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8.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9.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0"/>
  <workbookPr codeName="ThisWorkbook" defaultThemeVersion="166925"/>
  <mc:AlternateContent xmlns:mc="http://schemas.openxmlformats.org/markup-compatibility/2006">
    <mc:Choice Requires="x15">
      <x15ac:absPath xmlns:x15ac="http://schemas.microsoft.com/office/spreadsheetml/2010/11/ac" url="/Users/galvarez/Documents/"/>
    </mc:Choice>
  </mc:AlternateContent>
  <xr:revisionPtr revIDLastSave="0" documentId="8_{43B13621-F859-5045-BE16-6A5C0D8DDEB3}" xr6:coauthVersionLast="47" xr6:coauthVersionMax="47" xr10:uidLastSave="{00000000-0000-0000-0000-000000000000}"/>
  <bookViews>
    <workbookView xWindow="0" yWindow="500" windowWidth="38400" windowHeight="19300" tabRatio="835" xr2:uid="{00000000-000D-0000-FFFF-FFFF00000000}"/>
  </bookViews>
  <sheets>
    <sheet name="About" sheetId="127" r:id="rId1"/>
    <sheet name="Scenario Controls" sheetId="43" r:id="rId2"/>
    <sheet name="Output Graphs" sheetId="46" r:id="rId3"/>
    <sheet name="Output Graphs excl. Custom" sheetId="145" r:id="rId4"/>
    <sheet name="Time Series Graphs" sheetId="146" state="hidden" r:id="rId5"/>
    <sheet name="Calculations" sheetId="42" r:id="rId6"/>
    <sheet name="Region-Independent Data" sheetId="38" r:id="rId7"/>
    <sheet name="Region-Specific Data" sheetId="40" r:id="rId8"/>
    <sheet name="References" sheetId="44" r:id="rId9"/>
    <sheet name="Unit Conversions" sheetId="2" r:id="rId10"/>
    <sheet name="U.S. Energy Demand" sheetId="27" r:id="rId11"/>
    <sheet name="China Energy Demand" sheetId="70" r:id="rId12"/>
    <sheet name="EU Energy Demand" sheetId="107" r:id="rId13"/>
    <sheet name="India Energy Demand" sheetId="53" r:id="rId14"/>
    <sheet name="World Energy Demand" sheetId="108" r:id="rId15"/>
    <sheet name="Heat by Temperature Range" sheetId="45" r:id="rId16"/>
    <sheet name="EPA EF Hub 2023" sheetId="31" r:id="rId17"/>
    <sheet name="Direct Air Capture Data" sheetId="10" r:id="rId18"/>
    <sheet name="Global oil CO2 volume and CapEx" sheetId="50" r:id="rId19"/>
    <sheet name="Bioenergy land use requirements" sheetId="48" r:id="rId20"/>
    <sheet name="U.S. Electrolyzer Installations" sheetId="47" r:id="rId21"/>
    <sheet name="MECS T5.2" sheetId="28" r:id="rId22"/>
    <sheet name="Arable &amp; Ag Land by Country" sheetId="49" r:id="rId23"/>
    <sheet name="PRIMAP Process CO2 Emissions" sheetId="76" r:id="rId24"/>
    <sheet name="BAU H2 Estimates" sheetId="126" r:id="rId25"/>
    <sheet name="Drop Down Menu Options" sheetId="13" r:id="rId26"/>
    <sheet name="U.S. Process CO2 Emissions" sheetId="34" r:id="rId27"/>
    <sheet name="U.S. BAU Bioenergy Use" sheetId="147" r:id="rId28"/>
    <sheet name="AEO T2" sheetId="32" r:id="rId29"/>
    <sheet name="AEO T4" sheetId="137" r:id="rId30"/>
    <sheet name="AEO T5" sheetId="138" r:id="rId31"/>
    <sheet name="AEO T6" sheetId="29" r:id="rId32"/>
    <sheet name="AEO T9" sheetId="51" r:id="rId33"/>
    <sheet name="AEO T11" sheetId="139" r:id="rId34"/>
    <sheet name="AEO T16" sheetId="52" r:id="rId35"/>
    <sheet name="AEO T23" sheetId="33" r:id="rId36"/>
    <sheet name="AEO T24" sheetId="16" r:id="rId37"/>
    <sheet name="AEO T25" sheetId="17" r:id="rId38"/>
    <sheet name="AEO T26" sheetId="18" r:id="rId39"/>
    <sheet name="AEO T27" sheetId="19" r:id="rId40"/>
    <sheet name="AEO T28" sheetId="20" r:id="rId41"/>
    <sheet name="AEO T29" sheetId="21" r:id="rId42"/>
    <sheet name="AEO T30" sheetId="22" r:id="rId43"/>
    <sheet name="AEO T31" sheetId="23" r:id="rId44"/>
    <sheet name="AEO T32" sheetId="24" r:id="rId45"/>
    <sheet name="AEO T33" sheetId="25" r:id="rId46"/>
    <sheet name="AEO T34" sheetId="26" r:id="rId47"/>
    <sheet name="IESS v3.0 v3 Results" sheetId="81" r:id="rId48"/>
    <sheet name="IESS v3.0 Intermediate Output" sheetId="56" r:id="rId49"/>
    <sheet name="IESS 2022 Energy Balance" sheetId="130" r:id="rId50"/>
    <sheet name="IESS v3.0 XI" sheetId="124" r:id="rId51"/>
    <sheet name="EPS India Capacity" sheetId="78" r:id="rId52"/>
    <sheet name="EPS India Non-Energy Fuel Use" sheetId="79" r:id="rId53"/>
    <sheet name="EPS India Coal Mines Energy Use" sheetId="131" r:id="rId54"/>
    <sheet name="CESY NEBS 5-2" sheetId="69" r:id="rId55"/>
    <sheet name="CESY EC 4-3" sheetId="71" r:id="rId56"/>
    <sheet name="China Bioenergy Data" sheetId="143" r:id="rId57"/>
    <sheet name="EPS China IGDP Capacity" sheetId="77" r:id="rId58"/>
    <sheet name="EPS China Non-Energy Fuel Use" sheetId="80" r:id="rId59"/>
    <sheet name="JRC-IDEES FC_IND_IS_E" sheetId="149" r:id="rId60"/>
    <sheet name="JRC-IDEES FC_IND_NFM_E" sheetId="150" r:id="rId61"/>
    <sheet name="JRC-IDEES FC_IND_CPC_E" sheetId="151" r:id="rId62"/>
    <sheet name="JRC-IDEES FC_IND_NMM_E" sheetId="152" r:id="rId63"/>
    <sheet name="JRC-IDEES FC_IND_PPP_E" sheetId="153" r:id="rId64"/>
    <sheet name="JRC-IDEES FC_IND_FBT_E" sheetId="154" r:id="rId65"/>
    <sheet name="JRC-IDEES FC_IND_TE_E" sheetId="155" r:id="rId66"/>
    <sheet name="JRC-IDEES FC_IND_MAC_E" sheetId="156" r:id="rId67"/>
    <sheet name="JRC-IDEES FC_IND_TL_E" sheetId="157" r:id="rId68"/>
    <sheet name="JRC-IDEES FC_IND_WP_E" sheetId="158" r:id="rId69"/>
    <sheet name="JRC-IDEES FC_IND_MQ_E" sheetId="159" r:id="rId70"/>
    <sheet name="JRC-IDEES FC_IND_CON_E" sheetId="160" r:id="rId71"/>
    <sheet name="JRC-IDEES FC_IND_NSP_E" sheetId="162" r:id="rId72"/>
    <sheet name="JRC-IDEES FC_OTH_AFF_E" sheetId="161" r:id="rId73"/>
    <sheet name="JRC-IDEES FC_IND_CPC_NE" sheetId="164" r:id="rId74"/>
    <sheet name="JRC-IDEES FC_IND_NE" sheetId="163" r:id="rId75"/>
    <sheet name="JRC-IDEES FC_TRA_E" sheetId="165" r:id="rId76"/>
    <sheet name="JRC-IDEES FC_OTH_E" sheetId="166" r:id="rId77"/>
    <sheet name="JRC-IDEES Ind_Summary_emi" sheetId="167" r:id="rId78"/>
    <sheet name="EPS EU Capacity" sheetId="72" r:id="rId79"/>
    <sheet name="PNNL GCAM Industry" sheetId="169" r:id="rId80"/>
    <sheet name="PNNL GCAM Total" sheetId="171" r:id="rId81"/>
    <sheet name="PNNL GCAM Refining" sheetId="172" r:id="rId82"/>
  </sheets>
  <externalReferences>
    <externalReference r:id="rId83"/>
    <externalReference r:id="rId84"/>
  </externalReferences>
  <definedNames>
    <definedName name="_xlnm._FilterDatabase" localSheetId="79" hidden="1">'PNNL GCAM Industry'!$A$1:$Y$81</definedName>
    <definedName name="_xlnm._FilterDatabase" localSheetId="20" hidden="1">'U.S. Electrolyzer Installations'!$A$3:$C$105</definedName>
    <definedName name="base.year">'[1]Target Year Input'!$E$3</definedName>
    <definedName name="coal.past">'[1]XV.b.o'!$B$12:$G$23</definedName>
    <definedName name="Constants.Density.Diesel">#REF!</definedName>
    <definedName name="Constants.Density.Ethanol">#REF!</definedName>
    <definedName name="Constants.Density.JetFuel">#REF!</definedName>
    <definedName name="Constants.Density.MotorSpirit">#REF!</definedName>
    <definedName name="Conversion.to.average.power">[1]Conversions!$E$93</definedName>
    <definedName name="Conversion.water.L">[1]Conversions!$E$159:$E$161</definedName>
    <definedName name="Conversion.water.units">[1]Conversions!$B$159:$B$161</definedName>
    <definedName name="Conversions.Area.m2">[1]Conversions!$E$83:$E$88</definedName>
    <definedName name="Conversions.Area.Units">[1]Conversions!$B$83:$B$88</definedName>
    <definedName name="Conversions.Energy.Joules">[1]Conversions!$E$6:$E$59</definedName>
    <definedName name="Conversions.Energy.Units">[1]Conversions!$B$6:$B$59</definedName>
    <definedName name="Conversions.Money.GBP">[1]Conversions!$F$106:$F$124</definedName>
    <definedName name="Conversions.Money.Units">[1]Conversions!$B$106:$B$124</definedName>
    <definedName name="Conversions.Power.Units">[1]Conversions!$B$65:$B$70</definedName>
    <definedName name="Conversions.Power.Watts">[1]Conversions!$E$65:$E$70</definedName>
    <definedName name="Cost.Capital.Scenario">[1]Control!$E$59</definedName>
    <definedName name="Cost.Finance.Scenario">[1]Control!$E$62</definedName>
    <definedName name="Cost.Fuel.Scenario">[1]Control!$E$60</definedName>
    <definedName name="Cost.Infrastructure.Scenario">[1]Control!$E$61</definedName>
    <definedName name="csp.capacity">[1]IV.b!$B$14:$E$24</definedName>
    <definedName name="D">#REF!</definedName>
    <definedName name="discount_factors">'[1]Global assumptions'!$E$45:E$45</definedName>
    <definedName name="EF.BlastFurnaceGas.CO2">#REF!</definedName>
    <definedName name="EF.Diesel.CH4">#REF!</definedName>
    <definedName name="EF.Diesel.CO2">#REF!</definedName>
    <definedName name="EF.Diesel.N2O">#REF!</definedName>
    <definedName name="EF.IndustrialCoal.CH4">#REF!</definedName>
    <definedName name="EF.IndustrialCoal.CO2">#REF!</definedName>
    <definedName name="EF.IndustrialCoal.N2O">#REF!</definedName>
    <definedName name="EF.NaturalGas.CH4">#REF!</definedName>
    <definedName name="EF.NaturalGas.CO2">#REF!</definedName>
    <definedName name="EF.NaturalGas.N2O">#REF!</definedName>
    <definedName name="GBP">[1]Conversions!$E$124</definedName>
    <definedName name="growth.scenario">[1]Control!$E$31</definedName>
    <definedName name="GWP.CH4">'[1]Global assumptions'!$C$96</definedName>
    <definedName name="GWP.N2O">'[1]Global assumptions'!$C$97</definedName>
    <definedName name="h">#REF!</definedName>
    <definedName name="I.01">[1]!XV.b.Outputs.2[#Data]</definedName>
    <definedName name="I.a.scenario">[1]Control!$E$5</definedName>
    <definedName name="I.b.scenario">[1]Control!$E$6</definedName>
    <definedName name="I.b.scenario.efficiency">[1]Control!$E$7</definedName>
    <definedName name="I.c.scenario">[1]Control!$E$9</definedName>
    <definedName name="I.c.scenario.fuelmix">[1]Control!$E$10</definedName>
    <definedName name="II.scenario">[1]Control!$E$11</definedName>
    <definedName name="III.scenario">[1]Control!$E$12</definedName>
    <definedName name="input.choice">'[1]Target Year Input'!$E$10</definedName>
    <definedName name="INR">[1]Conversions!$E$115</definedName>
    <definedName name="INRb">[1]Conversions!$E$121</definedName>
    <definedName name="INRCr">[1]Conversions!$E$116</definedName>
    <definedName name="INRLac">[1]Conversions!$E$123</definedName>
    <definedName name="INRt">[1]Conversions!$E$120</definedName>
    <definedName name="IV.a.scenario">[1]Control!$E$13</definedName>
    <definedName name="IV.b.scenario">[1]Control!$E$14</definedName>
    <definedName name="IV.c.1.scenario">[1]Control!$E$15</definedName>
    <definedName name="iv.c.2.scenario">[1]Control!$E$16</definedName>
    <definedName name="IV.d.scenario">[1]Control!$E$17</definedName>
    <definedName name="IV.e.scenario">[1]Control!$E$18</definedName>
    <definedName name="IV.f.scenario">[1]Control!#REF!</definedName>
    <definedName name="IX.a.scenario">[1]Control!#REF!</definedName>
    <definedName name="MGBP">[1]Conversions!$E$108</definedName>
    <definedName name="Minesize.xv.b">'[1]XV.b.o'!$D$118</definedName>
    <definedName name="nuclear.past">#REF!</definedName>
    <definedName name="plantsize.I.b">#REF!</definedName>
    <definedName name="Plantsize.II">#REF!</definedName>
    <definedName name="Plantsize.III">#REF!</definedName>
    <definedName name="plantsize.iv.a">#REF!</definedName>
    <definedName name="plantsize.iv.b">#REF!</definedName>
    <definedName name="Plantsize.iv.c.1">#REF!</definedName>
    <definedName name="plantsize.iv.c.2">#REF!</definedName>
    <definedName name="plantsize.iv.d">#REF!</definedName>
    <definedName name="predefined.scenario">'[1]IESS V3 Main Sheet'!$E$12</definedName>
    <definedName name="Preferences.AreaUnits">'[1]Unit Preferences'!$C$7</definedName>
    <definedName name="preferences.energyunits">'[1]Unit Preferences'!$C$3</definedName>
    <definedName name="Preferences.moneyunits">'[1]Unit Preferences'!$C$9</definedName>
    <definedName name="Preferences.PowerUnits">'[1]Unit Preferences'!$C$5</definedName>
    <definedName name="Preferences.Unit.Energy">'[1]Unit Preferences'!$F$3</definedName>
    <definedName name="Preferences.Unit.Power">'[1]Unit Preferences'!$F$5</definedName>
    <definedName name="Preferences.waterunit">'[1]Unit Preferences'!$C$11</definedName>
    <definedName name="_xlnm.Print_Titles" localSheetId="77">'JRC-IDEES Ind_Summary_emi'!$1:$1</definedName>
    <definedName name="Reliability.scenario">[1]Control!#REF!</definedName>
    <definedName name="small_hydro.capacity">[1]IV.d!$B$13:$G$25</definedName>
    <definedName name="target.year">'[1]Target Year Input'!$E$6</definedName>
    <definedName name="this.year" localSheetId="49">'IESS 2022 Energy Balance'!$E$2</definedName>
    <definedName name="Unit.acre">[1]Conversions!$F$85</definedName>
    <definedName name="unit.bcm">[1]Conversions!$F$59</definedName>
    <definedName name="Unit.boe">[1]Conversions!$F$17</definedName>
    <definedName name="Unit.calorie">[1]Conversions!$F$38</definedName>
    <definedName name="Unit.day">[1]Conversions!$F$76</definedName>
    <definedName name="Unit.GJ">[1]Conversions!$F$8</definedName>
    <definedName name="Unit.GW">[1]Conversions!$F$65</definedName>
    <definedName name="Unit.GWh">[1]Conversions!$F$15</definedName>
    <definedName name="Unit.ha">[1]Conversions!$F$83</definedName>
    <definedName name="Unit.hour">[1]Conversions!$F$77</definedName>
    <definedName name="Unit.J">[1]Conversions!$F$9</definedName>
    <definedName name="unit.kcng">[1]Conversions!$F$55</definedName>
    <definedName name="unit.kgb">[1]Conversions!$F$42</definedName>
    <definedName name="unit.kgce">[1]Conversions!$F$22</definedName>
    <definedName name="unit.kghe">[1]Conversions!$F$57</definedName>
    <definedName name="unit.kglpge">[1]Conversions!$F$40</definedName>
    <definedName name="Unit.km2">[1]Conversions!$F$86</definedName>
    <definedName name="Unit.kW">[1]Conversions!$F$67</definedName>
    <definedName name="Unit.kWh">[1]Conversions!$F$12</definedName>
    <definedName name="unit.L">[1]Conversions!$F$160</definedName>
    <definedName name="unit.latfe">[1]Conversions!$F$44</definedName>
    <definedName name="unit.lcng">[1]Conversions!$F$54</definedName>
    <definedName name="unit.lde">[1]Conversions!$F$45</definedName>
    <definedName name="unit.lke">[1]Conversions!$F$48</definedName>
    <definedName name="unit.lpe">[1]Conversions!$F$47</definedName>
    <definedName name="Unit.m2">[1]Conversions!$F$87</definedName>
    <definedName name="Unit.m3">[1]Conversions!$F$58</definedName>
    <definedName name="unit.MCM">[1]Conversions!$F$159</definedName>
    <definedName name="Unit.minute">[1]Conversions!$F$78</definedName>
    <definedName name="Unit.MJ">[1]Conversions!$F$10</definedName>
    <definedName name="unit.mmbtu">[1]Conversions!$F$37</definedName>
    <definedName name="unit.mmscm">[1]Conversions!$F$52</definedName>
    <definedName name="unit.mtcce">[1]Conversions!$F$28</definedName>
    <definedName name="Unit.Mtce">[1]Conversions!$F$27</definedName>
    <definedName name="unit.mtde">[1]Conversions!$F$46</definedName>
    <definedName name="unit.mticce">[1]Conversions!$F$34</definedName>
    <definedName name="unit.mtice">[1]Conversions!$F$33</definedName>
    <definedName name="unit.mtle">[1]Conversions!$F$24</definedName>
    <definedName name="Unit.Mtoe">[1]Conversions!$F$21</definedName>
    <definedName name="Unit.MW">[1]Conversions!$F$66</definedName>
    <definedName name="Unit.MWh">[1]Conversions!$F$16</definedName>
    <definedName name="Unit.PJ">[1]Conversions!$F$6</definedName>
    <definedName name="unit.scm">[1]Conversions!$F$51</definedName>
    <definedName name="unit.scmb">[1]Conversions!$F$49</definedName>
    <definedName name="unit.tce">[1]Conversions!$F$25</definedName>
    <definedName name="unit.ticce">[1]Conversions!$F$32</definedName>
    <definedName name="unit.tice">[1]Conversions!$F$31</definedName>
    <definedName name="Unit.TJ">[1]Conversions!$F$7</definedName>
    <definedName name="Unit.toe">[1]Conversions!$F$19</definedName>
    <definedName name="Unit.TWh">[1]Conversions!$F$14</definedName>
    <definedName name="Unit.W">[1]Conversions!$F$68</definedName>
    <definedName name="Unit.year">[1]Conversions!$F$75</definedName>
    <definedName name="USD_Bn">[1]Conversions!$E$118</definedName>
    <definedName name="USD_mn">[1]Conversions!$E$117</definedName>
    <definedName name="USD2012_">[1]Conversions!$E$113</definedName>
    <definedName name="v.a.scenario">[1]Control!$E$21</definedName>
    <definedName name="V.b.scenario">[1]Control!$E$23</definedName>
    <definedName name="V.c.scenario">[1]Control!$E$24</definedName>
    <definedName name="VI.a.scenario">[1]Control!$E$25</definedName>
    <definedName name="VII.a.scenario">[1]Control!$E$19</definedName>
    <definedName name="VII.b.scenario">[1]Control!$E$57</definedName>
    <definedName name="X.a.economy">[1]Control!$E$41</definedName>
    <definedName name="X.a.epi">[1]Control!$E$42</definedName>
    <definedName name="X.a.floorspace">[1]Control!$E$40</definedName>
    <definedName name="X.b.ac">[1]Control!$E$44</definedName>
    <definedName name="X.b.ecbc">[1]Control!$E$45</definedName>
    <definedName name="x.b.floorspace">[1]Control!$E$43</definedName>
    <definedName name="XI.cement.fuel">[1]Control!$E$48</definedName>
    <definedName name="XI.fuelmix">[1]Control!$E$47</definedName>
    <definedName name="XI.scenario">[1]Control!$E$46</definedName>
    <definedName name="XI.steel.fuel">[1]Control!$E$49</definedName>
    <definedName name="XII.a.scenario">[1]Control!$E$33</definedName>
    <definedName name="XII.a.scenario.EVs">[1]Control!$E$36</definedName>
    <definedName name="XII.a.scenario.mode">[1]Control!$E$34</definedName>
    <definedName name="XII.a.scenario.pub_pri">[1]Control!$E$35</definedName>
    <definedName name="XII.b.mode">[1]Control!$E$39</definedName>
    <definedName name="XII.b.scenario">[1]Control!$E$38</definedName>
    <definedName name="XIII.a.chulhas">[1]Control!$E$51</definedName>
    <definedName name="XIII.a.scenario.fuelsplit">[1]Control!$E$50</definedName>
    <definedName name="XIII.b">[2]Constants!#REF!</definedName>
    <definedName name="XIV.scenario">[1]Control!$E$53</definedName>
    <definedName name="XIV.scenario.fuelsplit">[1]Control!$E$54</definedName>
    <definedName name="xv.a.scenario">[1]Control!$E$27</definedName>
    <definedName name="xv.b.scenario">[1]Control!$E$28</definedName>
    <definedName name="XV.c.scenario">[1]Control!$E$29</definedName>
    <definedName name="xvi.scenario.fuelsplit">[1]Control!$E$55</definedName>
    <definedName name="year.emissions" localSheetId="49">'IESS 2022 Energy Balance'!$BX$73:$DO$73</definedName>
    <definedName name="year.emissionsBySector" localSheetId="49">'IESS 2022 Energy Balance'!$DQ$6:$DQ$74</definedName>
    <definedName name="year.GHG" localSheetId="49">'IESS 2022 Energy Balance'!$BX$6:$DO$6</definedName>
    <definedName name="year.IPCC" localSheetId="49">'IESS 2022 Energy Balance'!$BX$5:$DO$5</definedName>
    <definedName name="year.matrix" localSheetId="49">'IESS 2022 Energy Balance'!$G$6:$BU$74</definedName>
    <definedName name="year.Modules" localSheetId="49">'IESS 2022 Energy Balance'!$C$6:$C$74</definedName>
    <definedName name="year.Netbalance" localSheetId="49">'IESS 2022 Energy Balance'!$G$73:$BU$73</definedName>
    <definedName name="year.vectors" localSheetId="49">'IESS 2022 Energy Balance'!$G$5:$BU$5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126" l="1"/>
  <c r="C11" i="126"/>
  <c r="C10" i="126"/>
  <c r="B12" i="126"/>
  <c r="B11" i="126"/>
  <c r="B10" i="126"/>
  <c r="C25" i="108"/>
  <c r="F22" i="40" s="1"/>
  <c r="C10" i="108"/>
  <c r="C139" i="45" s="1"/>
  <c r="B33" i="108"/>
  <c r="C135" i="45"/>
  <c r="C136" i="45"/>
  <c r="C137" i="45"/>
  <c r="C138" i="45"/>
  <c r="C140" i="45"/>
  <c r="C141" i="45"/>
  <c r="C142" i="45"/>
  <c r="C134" i="45"/>
  <c r="B142" i="45"/>
  <c r="B141" i="45"/>
  <c r="B140" i="45"/>
  <c r="B139" i="45"/>
  <c r="B138" i="45"/>
  <c r="B137" i="45"/>
  <c r="B136" i="45"/>
  <c r="B135" i="45"/>
  <c r="B134" i="45"/>
  <c r="A135" i="45"/>
  <c r="A136" i="45"/>
  <c r="A137" i="45"/>
  <c r="A138" i="45"/>
  <c r="A139" i="45"/>
  <c r="A140" i="45"/>
  <c r="A141" i="45"/>
  <c r="A142" i="45"/>
  <c r="A134" i="45"/>
  <c r="C12" i="108"/>
  <c r="E12" i="108"/>
  <c r="G40" i="172"/>
  <c r="H40" i="172"/>
  <c r="I40" i="172"/>
  <c r="J40" i="172"/>
  <c r="K40" i="172"/>
  <c r="L40" i="172"/>
  <c r="M40" i="172"/>
  <c r="N40" i="172"/>
  <c r="O40" i="172"/>
  <c r="P40" i="172"/>
  <c r="Q40" i="172"/>
  <c r="R40" i="172"/>
  <c r="S40" i="172"/>
  <c r="T40" i="172"/>
  <c r="U40" i="172"/>
  <c r="V40" i="172"/>
  <c r="W40" i="172"/>
  <c r="X40" i="172"/>
  <c r="Y40" i="172"/>
  <c r="Z40" i="172"/>
  <c r="G41" i="172"/>
  <c r="H41" i="172"/>
  <c r="I41" i="172"/>
  <c r="J41" i="172"/>
  <c r="K41" i="172"/>
  <c r="L41" i="172"/>
  <c r="M41" i="172"/>
  <c r="N41" i="172"/>
  <c r="O41" i="172"/>
  <c r="P41" i="172"/>
  <c r="Q41" i="172"/>
  <c r="R41" i="172"/>
  <c r="S41" i="172"/>
  <c r="T41" i="172"/>
  <c r="U41" i="172"/>
  <c r="V41" i="172"/>
  <c r="W41" i="172"/>
  <c r="X41" i="172"/>
  <c r="Y41" i="172"/>
  <c r="Z41" i="172"/>
  <c r="G42" i="172"/>
  <c r="H42" i="172"/>
  <c r="I42" i="172"/>
  <c r="J42" i="172"/>
  <c r="K42" i="172"/>
  <c r="L42" i="172"/>
  <c r="M42" i="172"/>
  <c r="N42" i="172"/>
  <c r="O42" i="172"/>
  <c r="P42" i="172"/>
  <c r="Q42" i="172"/>
  <c r="R42" i="172"/>
  <c r="S42" i="172"/>
  <c r="T42" i="172"/>
  <c r="U42" i="172"/>
  <c r="V42" i="172"/>
  <c r="W42" i="172"/>
  <c r="X42" i="172"/>
  <c r="Y42" i="172"/>
  <c r="Z42" i="172"/>
  <c r="F41" i="172"/>
  <c r="B40" i="172"/>
  <c r="C40" i="172"/>
  <c r="D40" i="172"/>
  <c r="E40" i="172"/>
  <c r="F40" i="172"/>
  <c r="B41" i="172"/>
  <c r="C41" i="172"/>
  <c r="D41" i="172"/>
  <c r="E41" i="172"/>
  <c r="B42" i="172"/>
  <c r="C42" i="172"/>
  <c r="D42" i="172"/>
  <c r="E42" i="172"/>
  <c r="F42" i="172"/>
  <c r="A41" i="172"/>
  <c r="A42" i="172"/>
  <c r="A40" i="172"/>
  <c r="F20" i="40"/>
  <c r="F19" i="40"/>
  <c r="F10" i="40"/>
  <c r="E8" i="108"/>
  <c r="D8" i="108"/>
  <c r="C8" i="108"/>
  <c r="E7" i="108"/>
  <c r="D7" i="108"/>
  <c r="C7" i="108"/>
  <c r="C6" i="108"/>
  <c r="E5" i="108"/>
  <c r="D5" i="108"/>
  <c r="C5" i="108"/>
  <c r="C23" i="108"/>
  <c r="C21" i="108"/>
  <c r="F18" i="40" s="1"/>
  <c r="C20" i="108"/>
  <c r="F17" i="40" s="1"/>
  <c r="F16" i="108"/>
  <c r="E16" i="108"/>
  <c r="D16" i="108"/>
  <c r="C16" i="108"/>
  <c r="F15" i="108"/>
  <c r="E15" i="108"/>
  <c r="D15" i="108"/>
  <c r="C15" i="108"/>
  <c r="F14" i="108"/>
  <c r="F15" i="40" s="1"/>
  <c r="E14" i="108"/>
  <c r="F4" i="40" s="1"/>
  <c r="D14" i="108"/>
  <c r="F11" i="40" s="1"/>
  <c r="C14" i="108"/>
  <c r="F8" i="40" s="1"/>
  <c r="F13" i="108"/>
  <c r="E13" i="108"/>
  <c r="D13" i="108"/>
  <c r="C13" i="108"/>
  <c r="F11" i="108"/>
  <c r="E11" i="108"/>
  <c r="D11" i="108"/>
  <c r="C11" i="108"/>
  <c r="F9" i="108"/>
  <c r="E9" i="108"/>
  <c r="D9" i="108"/>
  <c r="C9" i="108"/>
  <c r="F8" i="108"/>
  <c r="F14" i="40" s="1"/>
  <c r="E10" i="108"/>
  <c r="D10" i="108"/>
  <c r="D40" i="40"/>
  <c r="C25" i="107" a="1"/>
  <c r="F15" i="107" a="1"/>
  <c r="C22" i="107" a="1"/>
  <c r="A25" i="107" a="1"/>
  <c r="E32" i="107" a="1"/>
  <c r="A24" i="107" a="1"/>
  <c r="A23" i="107" a="1"/>
  <c r="A22" i="107" a="1"/>
  <c r="C23" i="107" a="1"/>
  <c r="D32" i="107" a="1"/>
  <c r="F32" i="107" a="1"/>
  <c r="A33" i="107" a="1"/>
  <c r="A32" i="107" a="1"/>
  <c r="F3" i="40" l="1"/>
  <c r="E29" i="108"/>
  <c r="F5" i="40" s="1"/>
  <c r="C29" i="108"/>
  <c r="F29" i="108"/>
  <c r="F7" i="40"/>
  <c r="D29" i="108"/>
  <c r="F12" i="40" s="1"/>
  <c r="A33" i="107"/>
  <c r="E32" i="107"/>
  <c r="F32" i="107"/>
  <c r="D32" i="107"/>
  <c r="A32" i="107"/>
  <c r="C22" i="107"/>
  <c r="C23" i="107"/>
  <c r="C25" i="107"/>
  <c r="A22" i="107"/>
  <c r="A23" i="107"/>
  <c r="A24" i="107"/>
  <c r="A25" i="107"/>
  <c r="F15" i="107"/>
  <c r="C24" i="107" a="1"/>
  <c r="C32" i="107" a="1"/>
  <c r="E15" i="107" a="1"/>
  <c r="C32" i="107" l="1"/>
  <c r="C24" i="107"/>
  <c r="E15" i="107"/>
  <c r="D15" i="107" a="1"/>
  <c r="C15" i="107" a="1"/>
  <c r="A15" i="107" a="1"/>
  <c r="F17" i="107" a="1"/>
  <c r="C15" i="107" l="1"/>
  <c r="D15" i="107"/>
  <c r="A15" i="107"/>
  <c r="F17" i="107"/>
  <c r="F33" i="107" a="1"/>
  <c r="E17" i="107" a="1"/>
  <c r="F33" i="107" l="1"/>
  <c r="E17" i="107"/>
  <c r="E33" i="107" a="1"/>
  <c r="D17" i="107" a="1"/>
  <c r="E33" i="107" l="1"/>
  <c r="D17" i="107"/>
  <c r="D33" i="107" s="1"/>
  <c r="A27" i="107" a="1"/>
  <c r="C17" i="107" a="1"/>
  <c r="A17" i="107" a="1"/>
  <c r="F18" i="107" a="1"/>
  <c r="C17" i="107" l="1"/>
  <c r="A17" i="107"/>
  <c r="A27" i="107"/>
  <c r="F18" i="107"/>
  <c r="D18" i="107" a="1"/>
  <c r="C18" i="107" a="1"/>
  <c r="E18" i="107" a="1"/>
  <c r="F16" i="107" a="1"/>
  <c r="C33" i="107" a="1"/>
  <c r="C18" i="107" l="1"/>
  <c r="D18" i="107"/>
  <c r="E18" i="107"/>
  <c r="C33" i="107"/>
  <c r="F16" i="107"/>
  <c r="C16" i="107" a="1"/>
  <c r="A16" i="107" a="1"/>
  <c r="D16" i="107" a="1"/>
  <c r="F14" i="107" a="1"/>
  <c r="E16" i="107" a="1"/>
  <c r="E16" i="107" l="1"/>
  <c r="C16" i="107"/>
  <c r="D16" i="107"/>
  <c r="A16" i="107"/>
  <c r="F14" i="107"/>
  <c r="A14" i="107" a="1"/>
  <c r="E12" i="107" a="1"/>
  <c r="D11" i="107" a="1"/>
  <c r="C14" i="107" a="1"/>
  <c r="C12" i="107" a="1"/>
  <c r="D14" i="107" a="1"/>
  <c r="A10" i="107" a="1"/>
  <c r="E11" i="107" a="1"/>
  <c r="A12" i="107" a="1"/>
  <c r="F12" i="107" a="1"/>
  <c r="E13" i="107" a="1"/>
  <c r="F10" i="107" a="1"/>
  <c r="D12" i="107" a="1"/>
  <c r="A11" i="107" a="1"/>
  <c r="E14" i="107" a="1"/>
  <c r="F13" i="107" a="1"/>
  <c r="C13" i="107" a="1"/>
  <c r="C11" i="107" a="1"/>
  <c r="F11" i="107" a="1"/>
  <c r="D13" i="107" a="1"/>
  <c r="A13" i="107" a="1"/>
  <c r="C11" i="107" l="1"/>
  <c r="C12" i="107"/>
  <c r="C13" i="107"/>
  <c r="C14" i="107"/>
  <c r="F13" i="107"/>
  <c r="D11" i="107"/>
  <c r="D12" i="107"/>
  <c r="D13" i="107"/>
  <c r="D14" i="107"/>
  <c r="F12" i="107"/>
  <c r="E11" i="107"/>
  <c r="E12" i="107"/>
  <c r="E13" i="107"/>
  <c r="E14" i="107"/>
  <c r="F11" i="107"/>
  <c r="A11" i="107"/>
  <c r="A14" i="107"/>
  <c r="A13" i="107"/>
  <c r="A12" i="107"/>
  <c r="A10" i="107"/>
  <c r="F10" i="107"/>
  <c r="C10" i="107" a="1"/>
  <c r="A9" i="107" a="1"/>
  <c r="D10" i="107" a="1"/>
  <c r="E10" i="107" a="1"/>
  <c r="C10" i="107" l="1"/>
  <c r="D10" i="107"/>
  <c r="E10" i="107"/>
  <c r="A9" i="107"/>
  <c r="E8" i="107" a="1"/>
  <c r="A8" i="107" a="1"/>
  <c r="E9" i="107" a="1"/>
  <c r="F8" i="107" a="1"/>
  <c r="A5" i="107" a="1"/>
  <c r="C8" i="107" a="1"/>
  <c r="A6" i="107" a="1"/>
  <c r="F9" i="107" a="1"/>
  <c r="A7" i="107" a="1"/>
  <c r="D8" i="107" a="1"/>
  <c r="E8" i="107" l="1"/>
  <c r="C8" i="107"/>
  <c r="D8" i="107"/>
  <c r="F8" i="107"/>
  <c r="E9" i="107"/>
  <c r="F9" i="107"/>
  <c r="A7" i="107"/>
  <c r="A8" i="107"/>
  <c r="A6" i="107"/>
  <c r="A5" i="107"/>
  <c r="E7" i="107" a="1"/>
  <c r="D9" i="107" a="1"/>
  <c r="C9" i="107" a="1"/>
  <c r="D7" i="107" a="1"/>
  <c r="F7" i="107" a="1"/>
  <c r="F7" i="107" l="1"/>
  <c r="D9" i="107"/>
  <c r="C9" i="107"/>
  <c r="E7" i="107"/>
  <c r="D7" i="107"/>
  <c r="C7" i="107" a="1"/>
  <c r="C7" i="107" l="1"/>
  <c r="C27" i="107" a="1"/>
  <c r="F6" i="107" a="1"/>
  <c r="C6" i="107" a="1"/>
  <c r="E6" i="107" a="1"/>
  <c r="D6" i="107" a="1"/>
  <c r="E5" i="107" a="1"/>
  <c r="F5" i="107" a="1"/>
  <c r="C27" i="107" l="1"/>
  <c r="E5" i="107"/>
  <c r="F5" i="107"/>
  <c r="C6" i="107"/>
  <c r="E6" i="107"/>
  <c r="F6" i="107"/>
  <c r="D6" i="107"/>
  <c r="D5" i="107" a="1"/>
  <c r="C5" i="107" a="1"/>
  <c r="C5" i="107" l="1"/>
  <c r="D5" i="107"/>
  <c r="B68" i="147" l="1"/>
  <c r="B63" i="147"/>
  <c r="B66" i="147" s="1"/>
  <c r="B67" i="147"/>
  <c r="G25" i="43"/>
  <c r="G18" i="43"/>
  <c r="B62" i="146"/>
  <c r="B56" i="146"/>
  <c r="B16" i="146"/>
  <c r="B10" i="146"/>
  <c r="F49" i="43"/>
  <c r="B348" i="145"/>
  <c r="E21" i="2"/>
  <c r="C12" i="40"/>
  <c r="C11" i="40"/>
  <c r="C10" i="40"/>
  <c r="B65" i="147" l="1"/>
  <c r="B70" i="147" s="1"/>
  <c r="B11" i="40" s="1"/>
  <c r="F21" i="2"/>
  <c r="I4" i="143"/>
  <c r="N6" i="143"/>
  <c r="H7" i="143"/>
  <c r="I7" i="143"/>
  <c r="N8" i="143"/>
  <c r="I8" i="143" s="1"/>
  <c r="N9" i="143"/>
  <c r="H10" i="143"/>
  <c r="N10" i="143"/>
  <c r="I10" i="143" s="1"/>
  <c r="N11" i="143"/>
  <c r="N12" i="143"/>
  <c r="N18" i="143"/>
  <c r="H19" i="143"/>
  <c r="N20" i="143"/>
  <c r="P18" i="143" s="1"/>
  <c r="P19" i="143" s="1"/>
  <c r="N26" i="143"/>
  <c r="N27" i="143"/>
  <c r="N28" i="143"/>
  <c r="P26" i="143" s="1"/>
  <c r="B69" i="147" l="1"/>
  <c r="B10" i="40" s="1"/>
  <c r="P27" i="143"/>
  <c r="H25" i="143" s="1"/>
  <c r="H21" i="143"/>
  <c r="H29" i="143" s="1"/>
  <c r="H24" i="143"/>
  <c r="I14" i="143"/>
  <c r="H20" i="143"/>
  <c r="H28" i="143" s="1"/>
  <c r="I13" i="143"/>
  <c r="N19" i="143"/>
  <c r="H23" i="143" s="1"/>
  <c r="H27" i="143" s="1"/>
  <c r="B348" i="46"/>
  <c r="G53" i="43"/>
  <c r="C53" i="43"/>
  <c r="D53" i="43"/>
  <c r="E53" i="43"/>
  <c r="F53" i="43"/>
  <c r="B53" i="43"/>
  <c r="F30" i="40"/>
  <c r="F29" i="40"/>
  <c r="F28" i="40"/>
  <c r="E30" i="40"/>
  <c r="E29" i="40"/>
  <c r="E28" i="40"/>
  <c r="D30" i="40"/>
  <c r="D29" i="40"/>
  <c r="D28" i="40"/>
  <c r="C30" i="40"/>
  <c r="M30" i="40" s="1"/>
  <c r="C14" i="42" s="1"/>
  <c r="C29" i="40"/>
  <c r="C28" i="40"/>
  <c r="B30" i="40"/>
  <c r="B28" i="40"/>
  <c r="B29" i="40"/>
  <c r="B71" i="147" l="1"/>
  <c r="B12" i="40" s="1"/>
  <c r="C27" i="42"/>
  <c r="C154" i="42" s="1"/>
  <c r="G14" i="42"/>
  <c r="F14" i="42"/>
  <c r="B14" i="42"/>
  <c r="E14" i="42"/>
  <c r="D14" i="42"/>
  <c r="F64" i="43"/>
  <c r="E64" i="43"/>
  <c r="D64" i="43"/>
  <c r="C64" i="43"/>
  <c r="B64" i="43"/>
  <c r="E49" i="43"/>
  <c r="D49" i="43"/>
  <c r="C49" i="43"/>
  <c r="B49" i="43"/>
  <c r="F43" i="43"/>
  <c r="E43" i="43"/>
  <c r="D43" i="43"/>
  <c r="C43" i="43"/>
  <c r="B43" i="43"/>
  <c r="F38" i="43"/>
  <c r="E38" i="43"/>
  <c r="D38" i="43"/>
  <c r="C38" i="43"/>
  <c r="B38" i="43"/>
  <c r="F32" i="43"/>
  <c r="E32" i="43"/>
  <c r="D32" i="43"/>
  <c r="C32" i="43"/>
  <c r="B32" i="43"/>
  <c r="F25" i="43"/>
  <c r="E25" i="43"/>
  <c r="D25" i="43"/>
  <c r="C25" i="43"/>
  <c r="B25" i="43"/>
  <c r="F18" i="43"/>
  <c r="E18" i="43"/>
  <c r="D18" i="43"/>
  <c r="C18" i="43"/>
  <c r="B18" i="43"/>
  <c r="B62" i="38"/>
  <c r="D35" i="53" s="1"/>
  <c r="E12" i="40" s="1"/>
  <c r="E11" i="40"/>
  <c r="B27" i="42" l="1"/>
  <c r="B154" i="42" s="1"/>
  <c r="B155" i="42" s="1"/>
  <c r="E27" i="42"/>
  <c r="E154" i="42" s="1"/>
  <c r="E155" i="42" s="1"/>
  <c r="F27" i="42"/>
  <c r="F154" i="42" s="1"/>
  <c r="F155" i="42" s="1"/>
  <c r="G27" i="42"/>
  <c r="G154" i="42" s="1"/>
  <c r="C155" i="42"/>
  <c r="D27" i="42"/>
  <c r="D154" i="42" s="1"/>
  <c r="D155" i="42" s="1"/>
  <c r="F55" i="70"/>
  <c r="E55" i="70"/>
  <c r="F54" i="70"/>
  <c r="E54" i="70"/>
  <c r="F53" i="70"/>
  <c r="E53" i="70"/>
  <c r="F52" i="70"/>
  <c r="E52" i="70"/>
  <c r="F51" i="70"/>
  <c r="E51" i="70"/>
  <c r="F37" i="70"/>
  <c r="E37" i="70"/>
  <c r="F36" i="70"/>
  <c r="E36" i="70"/>
  <c r="F38" i="70"/>
  <c r="E38" i="70"/>
  <c r="F6" i="70"/>
  <c r="F7" i="70"/>
  <c r="F8" i="70"/>
  <c r="F9" i="70"/>
  <c r="F10" i="70"/>
  <c r="F11" i="70"/>
  <c r="F12" i="70"/>
  <c r="F13" i="70"/>
  <c r="F14" i="70"/>
  <c r="F15" i="70"/>
  <c r="F16" i="70"/>
  <c r="F17" i="70"/>
  <c r="F18" i="70"/>
  <c r="F19" i="70"/>
  <c r="F20" i="70"/>
  <c r="F21" i="70"/>
  <c r="F22" i="70"/>
  <c r="F23" i="70"/>
  <c r="F24" i="70"/>
  <c r="F25" i="70"/>
  <c r="F26" i="70"/>
  <c r="F27" i="70"/>
  <c r="F28" i="70"/>
  <c r="F29" i="70"/>
  <c r="F30" i="70"/>
  <c r="F31" i="70"/>
  <c r="F32" i="70"/>
  <c r="F33" i="70"/>
  <c r="F34" i="70"/>
  <c r="F35" i="70"/>
  <c r="F5" i="70"/>
  <c r="E5" i="70"/>
  <c r="D42" i="27" l="1"/>
  <c r="D41" i="27"/>
  <c r="D40" i="27"/>
  <c r="I15" i="49"/>
  <c r="I16" i="49"/>
  <c r="I17" i="49"/>
  <c r="I18" i="49"/>
  <c r="I19" i="49"/>
  <c r="I20" i="49"/>
  <c r="I21" i="49"/>
  <c r="I22" i="49"/>
  <c r="I23" i="49"/>
  <c r="I24" i="49"/>
  <c r="I25" i="49"/>
  <c r="I26" i="49"/>
  <c r="I27" i="49"/>
  <c r="I28" i="49"/>
  <c r="I29" i="49"/>
  <c r="I30" i="49"/>
  <c r="I31" i="49"/>
  <c r="I32" i="49"/>
  <c r="I33" i="49"/>
  <c r="I34" i="49"/>
  <c r="I35" i="49"/>
  <c r="I36" i="49"/>
  <c r="I37" i="49"/>
  <c r="I38" i="49"/>
  <c r="I39" i="49"/>
  <c r="I40" i="49"/>
  <c r="I41" i="49"/>
  <c r="I42" i="49"/>
  <c r="I43" i="49"/>
  <c r="I44" i="49"/>
  <c r="I45" i="49"/>
  <c r="I46" i="49"/>
  <c r="I47" i="49"/>
  <c r="I48" i="49"/>
  <c r="I49" i="49"/>
  <c r="I50" i="49"/>
  <c r="I51" i="49"/>
  <c r="I52" i="49"/>
  <c r="I53" i="49"/>
  <c r="I54" i="49"/>
  <c r="C38" i="40" s="1"/>
  <c r="I55" i="49"/>
  <c r="I56" i="49"/>
  <c r="I57" i="49"/>
  <c r="I58" i="49"/>
  <c r="I59" i="49"/>
  <c r="I60" i="49"/>
  <c r="I61" i="49"/>
  <c r="I62" i="49"/>
  <c r="I63" i="49"/>
  <c r="I64" i="49"/>
  <c r="I65" i="49"/>
  <c r="I66" i="49"/>
  <c r="I67" i="49"/>
  <c r="I68" i="49"/>
  <c r="I69" i="49"/>
  <c r="I70" i="49"/>
  <c r="I71" i="49"/>
  <c r="I72" i="49"/>
  <c r="I73" i="49"/>
  <c r="I74" i="49"/>
  <c r="I75" i="49"/>
  <c r="I76" i="49"/>
  <c r="I77" i="49"/>
  <c r="I78" i="49"/>
  <c r="I79" i="49"/>
  <c r="I80" i="49"/>
  <c r="I81" i="49"/>
  <c r="I82" i="49"/>
  <c r="I83" i="49"/>
  <c r="I84" i="49"/>
  <c r="I85" i="49"/>
  <c r="I86" i="49"/>
  <c r="I87" i="49"/>
  <c r="I88" i="49"/>
  <c r="I89" i="49"/>
  <c r="I90" i="49"/>
  <c r="I91" i="49"/>
  <c r="I92" i="49"/>
  <c r="I93" i="49"/>
  <c r="I94" i="49"/>
  <c r="I95" i="49"/>
  <c r="I96" i="49"/>
  <c r="I97" i="49"/>
  <c r="I98" i="49"/>
  <c r="I99" i="49"/>
  <c r="I100" i="49"/>
  <c r="I101" i="49"/>
  <c r="I102" i="49"/>
  <c r="I103" i="49"/>
  <c r="I104" i="49"/>
  <c r="I105" i="49"/>
  <c r="I106" i="49"/>
  <c r="I107" i="49"/>
  <c r="I108" i="49"/>
  <c r="I109" i="49"/>
  <c r="I110" i="49"/>
  <c r="I111" i="49"/>
  <c r="I112" i="49"/>
  <c r="I113" i="49"/>
  <c r="I114" i="49"/>
  <c r="I115" i="49"/>
  <c r="I116" i="49"/>
  <c r="I117" i="49"/>
  <c r="I118" i="49"/>
  <c r="I119" i="49"/>
  <c r="I120" i="49"/>
  <c r="I121" i="49"/>
  <c r="I122" i="49"/>
  <c r="I123" i="49"/>
  <c r="E38" i="40" s="1"/>
  <c r="I124" i="49"/>
  <c r="I125" i="49"/>
  <c r="I126" i="49"/>
  <c r="I127" i="49"/>
  <c r="I128" i="49"/>
  <c r="I129" i="49"/>
  <c r="I130" i="49"/>
  <c r="I131" i="49"/>
  <c r="I132" i="49"/>
  <c r="I133" i="49"/>
  <c r="I134" i="49"/>
  <c r="I135" i="49"/>
  <c r="I136" i="49"/>
  <c r="I137" i="49"/>
  <c r="I138" i="49"/>
  <c r="I139" i="49"/>
  <c r="I140" i="49"/>
  <c r="I141" i="49"/>
  <c r="I142" i="49"/>
  <c r="I143" i="49"/>
  <c r="I144" i="49"/>
  <c r="I145" i="49"/>
  <c r="I146" i="49"/>
  <c r="I147" i="49"/>
  <c r="I148" i="49"/>
  <c r="I149" i="49"/>
  <c r="I150" i="49"/>
  <c r="I151" i="49"/>
  <c r="I152" i="49"/>
  <c r="I153" i="49"/>
  <c r="I154" i="49"/>
  <c r="I155" i="49"/>
  <c r="I156" i="49"/>
  <c r="I157" i="49"/>
  <c r="I158" i="49"/>
  <c r="I159" i="49"/>
  <c r="I160" i="49"/>
  <c r="I161" i="49"/>
  <c r="I162" i="49"/>
  <c r="I163" i="49"/>
  <c r="I164" i="49"/>
  <c r="I165" i="49"/>
  <c r="I166" i="49"/>
  <c r="I167" i="49"/>
  <c r="I168" i="49"/>
  <c r="I169" i="49"/>
  <c r="I170" i="49"/>
  <c r="I171" i="49"/>
  <c r="I172" i="49"/>
  <c r="I173" i="49"/>
  <c r="I174" i="49"/>
  <c r="I175" i="49"/>
  <c r="I176" i="49"/>
  <c r="I177" i="49"/>
  <c r="I178" i="49"/>
  <c r="I179" i="49"/>
  <c r="I180" i="49"/>
  <c r="I181" i="49"/>
  <c r="I182" i="49"/>
  <c r="I183" i="49"/>
  <c r="I184" i="49"/>
  <c r="I185" i="49"/>
  <c r="I186" i="49"/>
  <c r="I187" i="49"/>
  <c r="I188" i="49"/>
  <c r="I189" i="49"/>
  <c r="I190" i="49"/>
  <c r="I191" i="49"/>
  <c r="I192" i="49"/>
  <c r="I193" i="49"/>
  <c r="I194" i="49"/>
  <c r="I195" i="49"/>
  <c r="I196" i="49"/>
  <c r="I197" i="49"/>
  <c r="I198" i="49"/>
  <c r="I199" i="49"/>
  <c r="I200" i="49"/>
  <c r="I201" i="49"/>
  <c r="I202" i="49"/>
  <c r="I203" i="49"/>
  <c r="I204" i="49"/>
  <c r="I205" i="49"/>
  <c r="I206" i="49"/>
  <c r="I207" i="49"/>
  <c r="I208" i="49"/>
  <c r="I209" i="49"/>
  <c r="I210" i="49"/>
  <c r="I211" i="49"/>
  <c r="I212" i="49"/>
  <c r="I213" i="49"/>
  <c r="I214" i="49"/>
  <c r="I215" i="49"/>
  <c r="I216" i="49"/>
  <c r="I217" i="49"/>
  <c r="I218" i="49"/>
  <c r="I219" i="49"/>
  <c r="I220" i="49"/>
  <c r="I221" i="49"/>
  <c r="I222" i="49"/>
  <c r="I223" i="49"/>
  <c r="I224" i="49"/>
  <c r="I225" i="49"/>
  <c r="I226" i="49"/>
  <c r="I227" i="49"/>
  <c r="I228" i="49"/>
  <c r="I229" i="49"/>
  <c r="I230" i="49"/>
  <c r="I231" i="49"/>
  <c r="I232" i="49"/>
  <c r="I233" i="49"/>
  <c r="I234" i="49"/>
  <c r="I235" i="49"/>
  <c r="I236" i="49"/>
  <c r="I237" i="49"/>
  <c r="I238" i="49"/>
  <c r="I239" i="49"/>
  <c r="I240" i="49"/>
  <c r="I241" i="49"/>
  <c r="I242" i="49"/>
  <c r="I243" i="49"/>
  <c r="I244" i="49"/>
  <c r="I245" i="49"/>
  <c r="I246" i="49"/>
  <c r="I247" i="49"/>
  <c r="I248" i="49"/>
  <c r="I249" i="49"/>
  <c r="I250" i="49"/>
  <c r="I251" i="49"/>
  <c r="I252" i="49"/>
  <c r="I253" i="49"/>
  <c r="I254" i="49"/>
  <c r="I255" i="49"/>
  <c r="I256" i="49"/>
  <c r="I257" i="49"/>
  <c r="I258" i="49"/>
  <c r="I259" i="49"/>
  <c r="I260" i="49"/>
  <c r="I261" i="49"/>
  <c r="I262" i="49"/>
  <c r="I263" i="49"/>
  <c r="I264" i="49"/>
  <c r="I265" i="49"/>
  <c r="B38" i="40" s="1"/>
  <c r="I266" i="49"/>
  <c r="I267" i="49"/>
  <c r="I268" i="49"/>
  <c r="I269" i="49"/>
  <c r="I270" i="49"/>
  <c r="I271" i="49"/>
  <c r="I272" i="49"/>
  <c r="I273" i="49"/>
  <c r="F38" i="40" s="1"/>
  <c r="I274" i="49"/>
  <c r="I275" i="49"/>
  <c r="I276" i="49"/>
  <c r="I277" i="49"/>
  <c r="I278" i="49"/>
  <c r="I279" i="49"/>
  <c r="I14" i="49"/>
  <c r="D31" i="50"/>
  <c r="D19" i="50"/>
  <c r="D20" i="50"/>
  <c r="D21" i="50"/>
  <c r="D22" i="50"/>
  <c r="D23" i="50"/>
  <c r="D24" i="50"/>
  <c r="D25" i="50"/>
  <c r="D26" i="50"/>
  <c r="D27" i="50"/>
  <c r="D28" i="50"/>
  <c r="D29" i="50"/>
  <c r="D30" i="50"/>
  <c r="D18" i="50"/>
  <c r="C37" i="70"/>
  <c r="C36" i="70"/>
  <c r="C38" i="70"/>
  <c r="C35" i="70"/>
  <c r="C34" i="70"/>
  <c r="C33" i="70"/>
  <c r="C32" i="70"/>
  <c r="C31" i="70"/>
  <c r="C30" i="70"/>
  <c r="C29" i="70"/>
  <c r="C28" i="70"/>
  <c r="C27" i="70"/>
  <c r="C26" i="70"/>
  <c r="C25" i="70"/>
  <c r="C24" i="70"/>
  <c r="C22" i="70"/>
  <c r="C21" i="70"/>
  <c r="C20" i="70"/>
  <c r="C19" i="70"/>
  <c r="C18" i="70"/>
  <c r="C17" i="70"/>
  <c r="C16" i="70"/>
  <c r="C15" i="70"/>
  <c r="C14" i="70"/>
  <c r="C13" i="70"/>
  <c r="C12" i="70"/>
  <c r="C11" i="70"/>
  <c r="C10" i="70"/>
  <c r="C9" i="70"/>
  <c r="C8" i="70"/>
  <c r="C7" i="70"/>
  <c r="C6" i="70"/>
  <c r="C5" i="70"/>
  <c r="D38" i="40" l="1"/>
  <c r="F34" i="40" l="1"/>
  <c r="E34" i="40"/>
  <c r="C34" i="40"/>
  <c r="D34" i="40"/>
  <c r="B34" i="40"/>
  <c r="M34" i="40" s="1"/>
  <c r="G38" i="43"/>
  <c r="F46" i="40"/>
  <c r="C25" i="53"/>
  <c r="C26" i="53" s="1"/>
  <c r="C27" i="53" s="1"/>
  <c r="C28" i="53" s="1"/>
  <c r="C14" i="53"/>
  <c r="E37" i="53" l="1"/>
  <c r="E36" i="53"/>
  <c r="C36" i="53"/>
  <c r="E13" i="53"/>
  <c r="C13" i="53"/>
  <c r="E35" i="53"/>
  <c r="C35" i="53"/>
  <c r="E34" i="53"/>
  <c r="C34" i="53"/>
  <c r="E5" i="40" l="1"/>
  <c r="G64" i="43" l="1"/>
  <c r="G49" i="43"/>
  <c r="G155" i="42" s="1"/>
  <c r="G43" i="43"/>
  <c r="G32" i="43"/>
  <c r="C18" i="126"/>
  <c r="C45" i="70"/>
  <c r="C20" i="40" s="1"/>
  <c r="C44" i="70"/>
  <c r="C19" i="40" s="1"/>
  <c r="C43" i="70"/>
  <c r="C18" i="40" s="1"/>
  <c r="C42" i="70"/>
  <c r="C17" i="40" s="1"/>
  <c r="F32" i="40"/>
  <c r="C47" i="70"/>
  <c r="C23" i="70" s="1"/>
  <c r="C51" i="70"/>
  <c r="C23" i="53"/>
  <c r="E20" i="40" s="1"/>
  <c r="C22" i="53"/>
  <c r="C21" i="53"/>
  <c r="C20" i="53"/>
  <c r="C19" i="53"/>
  <c r="C18" i="53"/>
  <c r="E12" i="53"/>
  <c r="D12" i="53"/>
  <c r="C12" i="53"/>
  <c r="E11" i="53"/>
  <c r="C11" i="53"/>
  <c r="E10" i="53"/>
  <c r="C10" i="53"/>
  <c r="E9" i="53"/>
  <c r="C9" i="53"/>
  <c r="E8" i="53"/>
  <c r="C8" i="53"/>
  <c r="E7" i="53"/>
  <c r="C7" i="53"/>
  <c r="E6" i="53"/>
  <c r="C6" i="53"/>
  <c r="E5" i="53"/>
  <c r="C5" i="53"/>
  <c r="E40" i="40"/>
  <c r="C22" i="126" l="1"/>
  <c r="C32" i="40" s="1"/>
  <c r="C23" i="126"/>
  <c r="D32" i="40" s="1"/>
  <c r="C24" i="126"/>
  <c r="E32" i="40" s="1"/>
  <c r="E18" i="40"/>
  <c r="D142" i="45" l="1"/>
  <c r="D141" i="45"/>
  <c r="D140" i="45"/>
  <c r="D139" i="45"/>
  <c r="F138" i="45"/>
  <c r="D136" i="45"/>
  <c r="D135" i="45"/>
  <c r="D134" i="45"/>
  <c r="B122" i="45"/>
  <c r="G122" i="45" s="1"/>
  <c r="B121" i="45"/>
  <c r="G121" i="45" s="1"/>
  <c r="B120" i="45"/>
  <c r="E120" i="45" s="1"/>
  <c r="B119" i="45"/>
  <c r="D119" i="45" s="1"/>
  <c r="B118" i="45"/>
  <c r="F118" i="45" s="1"/>
  <c r="B117" i="45"/>
  <c r="G117" i="45" s="1"/>
  <c r="B116" i="45"/>
  <c r="E116" i="45" s="1"/>
  <c r="B115" i="45"/>
  <c r="B114" i="45"/>
  <c r="G114" i="45" s="1"/>
  <c r="B113" i="45"/>
  <c r="B112" i="45"/>
  <c r="G112" i="45" s="1"/>
  <c r="E4" i="2"/>
  <c r="C122" i="45"/>
  <c r="C121" i="45"/>
  <c r="D12" i="40" l="1"/>
  <c r="D15" i="40"/>
  <c r="D11" i="40"/>
  <c r="D14" i="40"/>
  <c r="D20" i="40"/>
  <c r="D18" i="40"/>
  <c r="D17" i="40"/>
  <c r="D22" i="40"/>
  <c r="D19" i="40"/>
  <c r="D5" i="40"/>
  <c r="D4" i="40"/>
  <c r="D8" i="40"/>
  <c r="D116" i="45"/>
  <c r="F120" i="45"/>
  <c r="G120" i="45"/>
  <c r="D122" i="45"/>
  <c r="G118" i="45"/>
  <c r="E119" i="45"/>
  <c r="E122" i="45"/>
  <c r="F116" i="45"/>
  <c r="F119" i="45"/>
  <c r="F122" i="45"/>
  <c r="G116" i="45"/>
  <c r="G119" i="45"/>
  <c r="D117" i="45"/>
  <c r="D120" i="45"/>
  <c r="E117" i="45"/>
  <c r="F117" i="45"/>
  <c r="E115" i="45"/>
  <c r="D118" i="45"/>
  <c r="D121" i="45"/>
  <c r="D113" i="45"/>
  <c r="E113" i="45"/>
  <c r="F113" i="45"/>
  <c r="G113" i="45"/>
  <c r="D114" i="45"/>
  <c r="F115" i="45"/>
  <c r="E118" i="45"/>
  <c r="E121" i="45"/>
  <c r="D115" i="45"/>
  <c r="E114" i="45"/>
  <c r="G115" i="45"/>
  <c r="F121" i="45"/>
  <c r="F114" i="45"/>
  <c r="F142" i="45"/>
  <c r="F140" i="45"/>
  <c r="D138" i="45"/>
  <c r="D137" i="45"/>
  <c r="F136" i="45"/>
  <c r="G141" i="45"/>
  <c r="G139" i="45"/>
  <c r="G137" i="45"/>
  <c r="G135" i="45"/>
  <c r="F141" i="45"/>
  <c r="F139" i="45"/>
  <c r="F137" i="45"/>
  <c r="F135" i="45"/>
  <c r="E141" i="45"/>
  <c r="E139" i="45"/>
  <c r="E137" i="45"/>
  <c r="E135" i="45"/>
  <c r="G142" i="45"/>
  <c r="G140" i="45"/>
  <c r="G138" i="45"/>
  <c r="G136" i="45"/>
  <c r="G134" i="45"/>
  <c r="F134" i="45"/>
  <c r="E142" i="45"/>
  <c r="E140" i="45"/>
  <c r="E138" i="45"/>
  <c r="E136" i="45"/>
  <c r="E134" i="45"/>
  <c r="D112" i="45"/>
  <c r="E112" i="45"/>
  <c r="F112" i="45"/>
  <c r="D144" i="45" l="1"/>
  <c r="E144" i="45"/>
  <c r="F144" i="45"/>
  <c r="G144" i="45"/>
  <c r="C120" i="45"/>
  <c r="C119" i="45"/>
  <c r="C118" i="45"/>
  <c r="C117" i="45"/>
  <c r="C116" i="45"/>
  <c r="C115" i="45"/>
  <c r="C113" i="45"/>
  <c r="A122" i="45"/>
  <c r="A121" i="45"/>
  <c r="A120" i="45"/>
  <c r="A119" i="45"/>
  <c r="A118" i="45"/>
  <c r="A117" i="45"/>
  <c r="A116" i="45"/>
  <c r="A115" i="45"/>
  <c r="A114" i="45"/>
  <c r="A113" i="45"/>
  <c r="A112" i="45"/>
  <c r="G145" i="45" l="1"/>
  <c r="D3" i="40"/>
  <c r="C114" i="45"/>
  <c r="F145" i="45"/>
  <c r="C112" i="45"/>
  <c r="D7" i="40"/>
  <c r="E145" i="45"/>
  <c r="D10" i="40"/>
  <c r="D145" i="45"/>
  <c r="D148" i="45" l="1"/>
  <c r="E148" i="45" s="1"/>
  <c r="E124" i="45"/>
  <c r="D124" i="45"/>
  <c r="F124" i="45"/>
  <c r="G124" i="45"/>
  <c r="F125" i="45" l="1"/>
  <c r="D125" i="45"/>
  <c r="G125" i="45"/>
  <c r="E125" i="45"/>
  <c r="D128" i="45" l="1"/>
  <c r="E128" i="45" s="1"/>
  <c r="E31" i="2" l="1"/>
  <c r="H14" i="45" l="1"/>
  <c r="H15" i="45"/>
  <c r="H16" i="45"/>
  <c r="H17" i="45"/>
  <c r="H20" i="45"/>
  <c r="H13" i="45"/>
  <c r="H11" i="45"/>
  <c r="H9" i="45"/>
  <c r="H8" i="45"/>
  <c r="H12" i="45"/>
  <c r="H21" i="45"/>
  <c r="H19" i="45"/>
  <c r="H10" i="45"/>
  <c r="H18" i="45"/>
  <c r="H7" i="45"/>
  <c r="D36" i="40"/>
  <c r="B100" i="45"/>
  <c r="D100" i="45" s="1"/>
  <c r="B99" i="45"/>
  <c r="G99" i="45" s="1"/>
  <c r="B98" i="45"/>
  <c r="G98" i="45" s="1"/>
  <c r="B97" i="45"/>
  <c r="G97" i="45" s="1"/>
  <c r="B58" i="45"/>
  <c r="G58" i="45" s="1"/>
  <c r="B96" i="45"/>
  <c r="D96" i="45" s="1"/>
  <c r="B95" i="45"/>
  <c r="G95" i="45" s="1"/>
  <c r="B94" i="45"/>
  <c r="G94" i="45" s="1"/>
  <c r="B93" i="45"/>
  <c r="G93" i="45" s="1"/>
  <c r="A100" i="45"/>
  <c r="A99" i="45"/>
  <c r="A98" i="45"/>
  <c r="A97" i="45"/>
  <c r="A96" i="45"/>
  <c r="A95" i="45"/>
  <c r="A94" i="45"/>
  <c r="A93" i="45"/>
  <c r="B75" i="45"/>
  <c r="E75" i="45" s="1"/>
  <c r="B81" i="45"/>
  <c r="G81" i="45" s="1"/>
  <c r="B80" i="45"/>
  <c r="G80" i="45" s="1"/>
  <c r="B79" i="45"/>
  <c r="F79" i="45" s="1"/>
  <c r="B78" i="45"/>
  <c r="G78" i="45" s="1"/>
  <c r="B77" i="45"/>
  <c r="G77" i="45" s="1"/>
  <c r="B76" i="45"/>
  <c r="G76" i="45" s="1"/>
  <c r="B74" i="45"/>
  <c r="F74" i="45" s="1"/>
  <c r="B73" i="45"/>
  <c r="G73" i="45" s="1"/>
  <c r="B72" i="45"/>
  <c r="G72" i="45" s="1"/>
  <c r="B71" i="45"/>
  <c r="G71" i="45" s="1"/>
  <c r="B70" i="45"/>
  <c r="F70" i="45" s="1"/>
  <c r="B69" i="45"/>
  <c r="G69" i="45" s="1"/>
  <c r="B68" i="45"/>
  <c r="G68" i="45" s="1"/>
  <c r="B67" i="45"/>
  <c r="G67" i="45" s="1"/>
  <c r="B66" i="45"/>
  <c r="F66" i="45" s="1"/>
  <c r="B65" i="45"/>
  <c r="G65" i="45" s="1"/>
  <c r="B64" i="45"/>
  <c r="G64" i="45" s="1"/>
  <c r="B63" i="45"/>
  <c r="G63" i="45" s="1"/>
  <c r="B62" i="45"/>
  <c r="F62" i="45" s="1"/>
  <c r="B61" i="45"/>
  <c r="G61" i="45" s="1"/>
  <c r="B60" i="45"/>
  <c r="G60" i="45" s="1"/>
  <c r="B59" i="45"/>
  <c r="G59" i="45" s="1"/>
  <c r="B57" i="45"/>
  <c r="G57" i="45" s="1"/>
  <c r="B56" i="45"/>
  <c r="G56" i="45" s="1"/>
  <c r="B55" i="45"/>
  <c r="G55" i="45" s="1"/>
  <c r="B54" i="45"/>
  <c r="F54" i="45" s="1"/>
  <c r="B53" i="45"/>
  <c r="G53" i="45" s="1"/>
  <c r="B52" i="45"/>
  <c r="G52" i="45" s="1"/>
  <c r="B51" i="45"/>
  <c r="D51" i="45" s="1"/>
  <c r="H137" i="45" l="1"/>
  <c r="H115" i="45"/>
  <c r="H136" i="45"/>
  <c r="H113" i="45"/>
  <c r="H138" i="45"/>
  <c r="H118" i="45"/>
  <c r="H120" i="45"/>
  <c r="H121" i="45"/>
  <c r="H142" i="45"/>
  <c r="H140" i="45"/>
  <c r="H117" i="45"/>
  <c r="H134" i="45"/>
  <c r="H112" i="45"/>
  <c r="H141" i="45"/>
  <c r="H116" i="45"/>
  <c r="H122" i="45"/>
  <c r="H139" i="45"/>
  <c r="H119" i="45"/>
  <c r="D53" i="45"/>
  <c r="H135" i="45"/>
  <c r="H114" i="45"/>
  <c r="D58" i="45"/>
  <c r="G70" i="45"/>
  <c r="E58" i="45"/>
  <c r="G74" i="45"/>
  <c r="F58" i="45"/>
  <c r="G79" i="45"/>
  <c r="D54" i="45"/>
  <c r="G62" i="45"/>
  <c r="E54" i="45"/>
  <c r="D65" i="45"/>
  <c r="G54" i="45"/>
  <c r="G66" i="45"/>
  <c r="D57" i="45"/>
  <c r="D69" i="45"/>
  <c r="E96" i="45"/>
  <c r="E99" i="45"/>
  <c r="F96" i="45"/>
  <c r="E100" i="45"/>
  <c r="F100" i="45"/>
  <c r="G96" i="45"/>
  <c r="G100" i="45"/>
  <c r="D93" i="45"/>
  <c r="D97" i="45"/>
  <c r="E93" i="45"/>
  <c r="E97" i="45"/>
  <c r="F93" i="45"/>
  <c r="F97" i="45"/>
  <c r="D94" i="45"/>
  <c r="D98" i="45"/>
  <c r="E94" i="45"/>
  <c r="E98" i="45"/>
  <c r="F94" i="45"/>
  <c r="F98" i="45"/>
  <c r="D95" i="45"/>
  <c r="D99" i="45"/>
  <c r="E95" i="45"/>
  <c r="F95" i="45"/>
  <c r="F99" i="45"/>
  <c r="E51" i="45"/>
  <c r="D55" i="45"/>
  <c r="D59" i="45"/>
  <c r="D63" i="45"/>
  <c r="D67" i="45"/>
  <c r="D71" i="45"/>
  <c r="D76" i="45"/>
  <c r="D80" i="45"/>
  <c r="F51" i="45"/>
  <c r="E55" i="45"/>
  <c r="E59" i="45"/>
  <c r="E63" i="45"/>
  <c r="E67" i="45"/>
  <c r="E71" i="45"/>
  <c r="E76" i="45"/>
  <c r="E80" i="45"/>
  <c r="G51" i="45"/>
  <c r="F55" i="45"/>
  <c r="F59" i="45"/>
  <c r="F63" i="45"/>
  <c r="F67" i="45"/>
  <c r="F71" i="45"/>
  <c r="F76" i="45"/>
  <c r="F80" i="45"/>
  <c r="D52" i="45"/>
  <c r="D56" i="45"/>
  <c r="D60" i="45"/>
  <c r="D64" i="45"/>
  <c r="D68" i="45"/>
  <c r="D72" i="45"/>
  <c r="D77" i="45"/>
  <c r="D81" i="45"/>
  <c r="E52" i="45"/>
  <c r="E56" i="45"/>
  <c r="E60" i="45"/>
  <c r="E64" i="45"/>
  <c r="E68" i="45"/>
  <c r="E72" i="45"/>
  <c r="E77" i="45"/>
  <c r="E81" i="45"/>
  <c r="F52" i="45"/>
  <c r="F56" i="45"/>
  <c r="F60" i="45"/>
  <c r="F64" i="45"/>
  <c r="F68" i="45"/>
  <c r="F72" i="45"/>
  <c r="F77" i="45"/>
  <c r="F81" i="45"/>
  <c r="D61" i="45"/>
  <c r="D73" i="45"/>
  <c r="D78" i="45"/>
  <c r="E53" i="45"/>
  <c r="E57" i="45"/>
  <c r="E61" i="45"/>
  <c r="E65" i="45"/>
  <c r="E69" i="45"/>
  <c r="E73" i="45"/>
  <c r="E78" i="45"/>
  <c r="F53" i="45"/>
  <c r="F57" i="45"/>
  <c r="F61" i="45"/>
  <c r="F65" i="45"/>
  <c r="F69" i="45"/>
  <c r="F73" i="45"/>
  <c r="F78" i="45"/>
  <c r="D62" i="45"/>
  <c r="D66" i="45"/>
  <c r="D70" i="45"/>
  <c r="D74" i="45"/>
  <c r="D79" i="45"/>
  <c r="E62" i="45"/>
  <c r="E66" i="45"/>
  <c r="E70" i="45"/>
  <c r="E74" i="45"/>
  <c r="E79" i="45"/>
  <c r="D75" i="45"/>
  <c r="F75" i="45"/>
  <c r="G75" i="45"/>
  <c r="C48" i="40"/>
  <c r="C47" i="40"/>
  <c r="C46" i="40"/>
  <c r="C45" i="40"/>
  <c r="C44" i="40"/>
  <c r="C43" i="40"/>
  <c r="C42" i="40"/>
  <c r="D44" i="40"/>
  <c r="D48" i="40"/>
  <c r="D47" i="40"/>
  <c r="D46" i="40"/>
  <c r="D45" i="40"/>
  <c r="D43" i="40"/>
  <c r="D42" i="40"/>
  <c r="D50" i="40" l="1"/>
  <c r="C50" i="40"/>
  <c r="H126" i="45"/>
  <c r="D24" i="40" s="1"/>
  <c r="H146" i="45"/>
  <c r="F24" i="40" s="1"/>
  <c r="A5" i="70"/>
  <c r="A51" i="45" s="1"/>
  <c r="E6" i="70"/>
  <c r="C52" i="45"/>
  <c r="H52" i="45" s="1"/>
  <c r="A6" i="70"/>
  <c r="A52" i="45" s="1"/>
  <c r="E7" i="70"/>
  <c r="C53" i="45"/>
  <c r="H53" i="45" s="1"/>
  <c r="A7" i="70"/>
  <c r="A53" i="45" s="1"/>
  <c r="E8" i="70"/>
  <c r="C54" i="45"/>
  <c r="H54" i="45" s="1"/>
  <c r="A8" i="70"/>
  <c r="A54" i="45" s="1"/>
  <c r="E9" i="70"/>
  <c r="C55" i="45"/>
  <c r="H55" i="45" s="1"/>
  <c r="A9" i="70"/>
  <c r="A55" i="45" s="1"/>
  <c r="E35" i="70"/>
  <c r="C81" i="45"/>
  <c r="H81" i="45" s="1"/>
  <c r="A35" i="70"/>
  <c r="A81" i="45" s="1"/>
  <c r="E34" i="70"/>
  <c r="C80" i="45"/>
  <c r="H80" i="45" s="1"/>
  <c r="A34" i="70"/>
  <c r="A80" i="45" s="1"/>
  <c r="E33" i="70"/>
  <c r="C79" i="45"/>
  <c r="H79" i="45" s="1"/>
  <c r="A33" i="70"/>
  <c r="A79" i="45" s="1"/>
  <c r="E32" i="70"/>
  <c r="C78" i="45"/>
  <c r="H78" i="45" s="1"/>
  <c r="A32" i="70"/>
  <c r="A78" i="45" s="1"/>
  <c r="E31" i="70"/>
  <c r="C77" i="45"/>
  <c r="H77" i="45" s="1"/>
  <c r="A31" i="70"/>
  <c r="A77" i="45" s="1"/>
  <c r="E30" i="70"/>
  <c r="C76" i="45"/>
  <c r="H76" i="45" s="1"/>
  <c r="A30" i="70"/>
  <c r="A76" i="45" s="1"/>
  <c r="E29" i="70"/>
  <c r="C75" i="45"/>
  <c r="H75" i="45" s="1"/>
  <c r="A29" i="70"/>
  <c r="A75" i="45" s="1"/>
  <c r="E28" i="70"/>
  <c r="C74" i="45"/>
  <c r="H74" i="45" s="1"/>
  <c r="A28" i="70"/>
  <c r="A74" i="45" s="1"/>
  <c r="E27" i="70"/>
  <c r="C73" i="45"/>
  <c r="H73" i="45" s="1"/>
  <c r="A27" i="70"/>
  <c r="A73" i="45" s="1"/>
  <c r="E26" i="70"/>
  <c r="C72" i="45"/>
  <c r="H72" i="45" s="1"/>
  <c r="A26" i="70"/>
  <c r="A72" i="45" s="1"/>
  <c r="E25" i="70"/>
  <c r="C71" i="45"/>
  <c r="H71" i="45" s="1"/>
  <c r="A25" i="70"/>
  <c r="A71" i="45" s="1"/>
  <c r="E24" i="70"/>
  <c r="C70" i="45"/>
  <c r="H70" i="45" s="1"/>
  <c r="A24" i="70"/>
  <c r="A70" i="45" s="1"/>
  <c r="E23" i="70"/>
  <c r="C69" i="45"/>
  <c r="H69" i="45" s="1"/>
  <c r="A23" i="70"/>
  <c r="A69" i="45" s="1"/>
  <c r="E22" i="70"/>
  <c r="C68" i="45"/>
  <c r="H68" i="45" s="1"/>
  <c r="A22" i="70"/>
  <c r="A68" i="45" s="1"/>
  <c r="E21" i="70"/>
  <c r="C67" i="45"/>
  <c r="H67" i="45" s="1"/>
  <c r="A21" i="70"/>
  <c r="A67" i="45" s="1"/>
  <c r="E20" i="70"/>
  <c r="C66" i="45"/>
  <c r="H66" i="45" s="1"/>
  <c r="A20" i="70"/>
  <c r="A66" i="45" s="1"/>
  <c r="E19" i="70"/>
  <c r="C65" i="45"/>
  <c r="H65" i="45" s="1"/>
  <c r="A19" i="70"/>
  <c r="A65" i="45" s="1"/>
  <c r="E18" i="70"/>
  <c r="C64" i="45"/>
  <c r="H64" i="45" s="1"/>
  <c r="A18" i="70"/>
  <c r="A64" i="45" s="1"/>
  <c r="E17" i="70"/>
  <c r="C63" i="45"/>
  <c r="H63" i="45" s="1"/>
  <c r="A17" i="70"/>
  <c r="A63" i="45" s="1"/>
  <c r="E16" i="70"/>
  <c r="C62" i="45"/>
  <c r="H62" i="45" s="1"/>
  <c r="A16" i="70"/>
  <c r="A62" i="45" s="1"/>
  <c r="E15" i="70"/>
  <c r="C61" i="45"/>
  <c r="H61" i="45" s="1"/>
  <c r="A15" i="70"/>
  <c r="A61" i="45" s="1"/>
  <c r="E14" i="70"/>
  <c r="C60" i="45"/>
  <c r="H60" i="45" s="1"/>
  <c r="A14" i="70"/>
  <c r="A60" i="45" s="1"/>
  <c r="E13" i="70"/>
  <c r="C59" i="45"/>
  <c r="H59" i="45" s="1"/>
  <c r="A13" i="70"/>
  <c r="A59" i="45" s="1"/>
  <c r="E12" i="70"/>
  <c r="C58" i="45"/>
  <c r="H58" i="45" s="1"/>
  <c r="A12" i="70"/>
  <c r="A58" i="45" s="1"/>
  <c r="E11" i="70"/>
  <c r="C57" i="45"/>
  <c r="H57" i="45" s="1"/>
  <c r="A11" i="70"/>
  <c r="A57" i="45" s="1"/>
  <c r="E10" i="70"/>
  <c r="C56" i="45"/>
  <c r="H56" i="45" s="1"/>
  <c r="A10" i="70"/>
  <c r="A56" i="45" s="1"/>
  <c r="F26" i="40" l="1"/>
  <c r="F25" i="40"/>
  <c r="D25" i="40"/>
  <c r="D26" i="40"/>
  <c r="C51" i="45"/>
  <c r="H51" i="45" s="1"/>
  <c r="H85" i="45" s="1"/>
  <c r="C24" i="40" s="1"/>
  <c r="C55" i="70"/>
  <c r="C54" i="70"/>
  <c r="C53" i="70"/>
  <c r="C52" i="70"/>
  <c r="F83" i="45" l="1"/>
  <c r="D83" i="45"/>
  <c r="E83" i="45"/>
  <c r="G83" i="45"/>
  <c r="G84" i="45" l="1"/>
  <c r="D84" i="45"/>
  <c r="E84" i="45"/>
  <c r="F84" i="45"/>
  <c r="E44" i="40"/>
  <c r="E50" i="40"/>
  <c r="E49" i="40"/>
  <c r="E48" i="40"/>
  <c r="E47" i="40"/>
  <c r="E46" i="40"/>
  <c r="E43" i="40"/>
  <c r="E42" i="40"/>
  <c r="C94" i="45" l="1"/>
  <c r="H94" i="45" s="1"/>
  <c r="C99" i="45"/>
  <c r="H99" i="45" s="1"/>
  <c r="C98" i="45"/>
  <c r="H98" i="45" s="1"/>
  <c r="C96" i="45" l="1"/>
  <c r="H96" i="45" s="1"/>
  <c r="C93" i="45"/>
  <c r="H93" i="45" s="1"/>
  <c r="C97" i="45"/>
  <c r="H97" i="45" s="1"/>
  <c r="E10" i="40"/>
  <c r="C95" i="45"/>
  <c r="H95" i="45" s="1"/>
  <c r="C100" i="45" l="1"/>
  <c r="H100" i="45" s="1"/>
  <c r="H104" i="45" s="1"/>
  <c r="E24" i="40" s="1"/>
  <c r="E3" i="40"/>
  <c r="E7" i="40"/>
  <c r="G102" i="45" l="1"/>
  <c r="F102" i="45"/>
  <c r="E102" i="45"/>
  <c r="D102" i="45"/>
  <c r="E4" i="40"/>
  <c r="D103" i="45" l="1"/>
  <c r="G103" i="45"/>
  <c r="E103" i="45"/>
  <c r="F103" i="45"/>
  <c r="D106" i="45" l="1"/>
  <c r="E106" i="45" l="1"/>
  <c r="E26" i="40" s="1"/>
  <c r="E25" i="40"/>
  <c r="E8" i="40"/>
  <c r="M52" i="40" l="1"/>
  <c r="M49" i="40"/>
  <c r="B50" i="40"/>
  <c r="M50" i="40" s="1"/>
  <c r="B48" i="40"/>
  <c r="M48" i="40" s="1"/>
  <c r="B47" i="40"/>
  <c r="M47" i="40" s="1"/>
  <c r="B46" i="40"/>
  <c r="M46" i="40" s="1"/>
  <c r="B45" i="40"/>
  <c r="M45" i="40" s="1"/>
  <c r="B44" i="40"/>
  <c r="M44" i="40" s="1"/>
  <c r="B43" i="40"/>
  <c r="M43" i="40" s="1"/>
  <c r="B42" i="40"/>
  <c r="M42" i="40" s="1"/>
  <c r="B49" i="38" l="1"/>
  <c r="B6" i="50"/>
  <c r="B9" i="50"/>
  <c r="B11" i="50" s="1"/>
  <c r="B4" i="50"/>
  <c r="M40" i="40"/>
  <c r="M38" i="40"/>
  <c r="B45" i="38"/>
  <c r="F5" i="47"/>
  <c r="F6" i="47"/>
  <c r="F7" i="47"/>
  <c r="F8" i="47"/>
  <c r="F4" i="47"/>
  <c r="B36" i="40" s="1"/>
  <c r="M32" i="40"/>
  <c r="E39" i="27"/>
  <c r="B25" i="10"/>
  <c r="B19" i="10"/>
  <c r="M29" i="40"/>
  <c r="B13" i="38"/>
  <c r="B14" i="38"/>
  <c r="B15" i="38"/>
  <c r="B40" i="38"/>
  <c r="B41" i="38" s="1"/>
  <c r="B39" i="45"/>
  <c r="B38" i="45"/>
  <c r="B37" i="45"/>
  <c r="B36" i="45"/>
  <c r="B35" i="45"/>
  <c r="B34" i="45"/>
  <c r="B33" i="45"/>
  <c r="B32" i="45"/>
  <c r="B31" i="45"/>
  <c r="B30" i="45"/>
  <c r="B29" i="45"/>
  <c r="B28" i="45"/>
  <c r="A29" i="45"/>
  <c r="A30" i="45"/>
  <c r="A31" i="45"/>
  <c r="A32" i="45"/>
  <c r="A33" i="45"/>
  <c r="A34" i="45"/>
  <c r="A35" i="45"/>
  <c r="A36" i="45"/>
  <c r="A37" i="45"/>
  <c r="A38" i="45"/>
  <c r="A39" i="45"/>
  <c r="A28" i="45"/>
  <c r="E13" i="42" l="1"/>
  <c r="F13" i="42"/>
  <c r="G13" i="42"/>
  <c r="B13" i="42"/>
  <c r="C13" i="42"/>
  <c r="D13" i="42"/>
  <c r="B196" i="42"/>
  <c r="C196" i="42"/>
  <c r="D196" i="42"/>
  <c r="E196" i="42"/>
  <c r="F196" i="42"/>
  <c r="G196" i="42"/>
  <c r="C219" i="42"/>
  <c r="D219" i="42"/>
  <c r="B219" i="42"/>
  <c r="E219" i="42"/>
  <c r="F219" i="42"/>
  <c r="G219" i="42"/>
  <c r="E33" i="45"/>
  <c r="F35" i="45"/>
  <c r="F36" i="45"/>
  <c r="D37" i="45"/>
  <c r="E28" i="45"/>
  <c r="D29" i="45"/>
  <c r="F30" i="45"/>
  <c r="F38" i="45"/>
  <c r="F34" i="45"/>
  <c r="F31" i="45"/>
  <c r="F39" i="45"/>
  <c r="E32" i="45"/>
  <c r="E37" i="45"/>
  <c r="G37" i="45"/>
  <c r="F32" i="45"/>
  <c r="B46" i="38"/>
  <c r="M36" i="40"/>
  <c r="M28" i="40"/>
  <c r="E31" i="45"/>
  <c r="E29" i="45"/>
  <c r="G33" i="45"/>
  <c r="D34" i="45"/>
  <c r="G32" i="45"/>
  <c r="D33" i="45"/>
  <c r="E39" i="45"/>
  <c r="G29" i="45"/>
  <c r="D35" i="45"/>
  <c r="E38" i="45"/>
  <c r="E30" i="45"/>
  <c r="F37" i="45"/>
  <c r="F33" i="45"/>
  <c r="F29" i="45"/>
  <c r="E36" i="45"/>
  <c r="D28" i="45"/>
  <c r="D32" i="45"/>
  <c r="E35" i="45"/>
  <c r="G39" i="45"/>
  <c r="G35" i="45"/>
  <c r="G31" i="45"/>
  <c r="F28" i="45"/>
  <c r="D39" i="45"/>
  <c r="D31" i="45"/>
  <c r="E34" i="45"/>
  <c r="D38" i="45"/>
  <c r="D30" i="45"/>
  <c r="G38" i="45"/>
  <c r="G34" i="45"/>
  <c r="G30" i="45"/>
  <c r="D36" i="45"/>
  <c r="G36" i="45"/>
  <c r="G28" i="45"/>
  <c r="G226" i="42" l="1"/>
  <c r="F226" i="42"/>
  <c r="E226" i="42"/>
  <c r="C226" i="42"/>
  <c r="D226" i="42"/>
  <c r="E26" i="42"/>
  <c r="E152" i="42" s="1"/>
  <c r="D26" i="42"/>
  <c r="D152" i="42" s="1"/>
  <c r="C26" i="42"/>
  <c r="C152" i="42" s="1"/>
  <c r="B26" i="42"/>
  <c r="B152" i="42" s="1"/>
  <c r="G26" i="42"/>
  <c r="G152" i="42" s="1"/>
  <c r="F26" i="42"/>
  <c r="F152" i="42" s="1"/>
  <c r="B226" i="42"/>
  <c r="B136" i="145"/>
  <c r="B179" i="46"/>
  <c r="B179" i="145"/>
  <c r="B297" i="46"/>
  <c r="B297" i="145"/>
  <c r="C12" i="42"/>
  <c r="D12" i="42"/>
  <c r="E12" i="42"/>
  <c r="G12" i="42"/>
  <c r="F12" i="42"/>
  <c r="B12" i="42"/>
  <c r="B136" i="46"/>
  <c r="D101" i="42"/>
  <c r="C101" i="42"/>
  <c r="B101" i="42"/>
  <c r="E101" i="42"/>
  <c r="G101" i="42"/>
  <c r="F101" i="42"/>
  <c r="D87" i="45"/>
  <c r="E31" i="27"/>
  <c r="D31" i="27"/>
  <c r="C31" i="27"/>
  <c r="C26" i="27"/>
  <c r="B22" i="40" s="1"/>
  <c r="C25" i="27"/>
  <c r="C24" i="27"/>
  <c r="C23" i="27"/>
  <c r="E19" i="27"/>
  <c r="D19" i="27"/>
  <c r="C19" i="27"/>
  <c r="E18" i="27"/>
  <c r="C18" i="27"/>
  <c r="E17" i="27"/>
  <c r="D17" i="27"/>
  <c r="C17" i="27"/>
  <c r="E16" i="27"/>
  <c r="D16" i="27"/>
  <c r="C16" i="27"/>
  <c r="C39" i="45" s="1"/>
  <c r="H39" i="45" s="1"/>
  <c r="E15" i="27"/>
  <c r="C15" i="27"/>
  <c r="C38" i="45" s="1"/>
  <c r="H38" i="45" s="1"/>
  <c r="E14" i="27"/>
  <c r="D14" i="27"/>
  <c r="C14" i="27"/>
  <c r="E13" i="27"/>
  <c r="C13" i="27"/>
  <c r="C36" i="45" s="1"/>
  <c r="H36" i="45" s="1"/>
  <c r="E12" i="27"/>
  <c r="C12" i="27"/>
  <c r="C35" i="45" s="1"/>
  <c r="H35" i="45" s="1"/>
  <c r="E11" i="27"/>
  <c r="C11" i="27"/>
  <c r="C34" i="45" s="1"/>
  <c r="H34" i="45" s="1"/>
  <c r="E10" i="27"/>
  <c r="D10" i="27"/>
  <c r="D30" i="27" s="1"/>
  <c r="C10" i="27"/>
  <c r="E9" i="27"/>
  <c r="C9" i="27"/>
  <c r="C32" i="45" s="1"/>
  <c r="H32" i="45" s="1"/>
  <c r="E8" i="27"/>
  <c r="C8" i="27"/>
  <c r="C31" i="45" s="1"/>
  <c r="H31" i="45" s="1"/>
  <c r="E7" i="27"/>
  <c r="D7" i="27"/>
  <c r="C7" i="27"/>
  <c r="E6" i="27"/>
  <c r="D6" i="27"/>
  <c r="C6" i="27"/>
  <c r="E5" i="27"/>
  <c r="D5" i="27"/>
  <c r="C5" i="27"/>
  <c r="F25" i="42" l="1"/>
  <c r="F149" i="42" s="1"/>
  <c r="F150" i="42" s="1"/>
  <c r="F157" i="42" s="1"/>
  <c r="G25" i="42"/>
  <c r="G149" i="42" s="1"/>
  <c r="G150" i="42" s="1"/>
  <c r="G157" i="42" s="1"/>
  <c r="E25" i="42"/>
  <c r="E149" i="42" s="1"/>
  <c r="E150" i="42" s="1"/>
  <c r="E157" i="42" s="1"/>
  <c r="D25" i="42"/>
  <c r="D149" i="42" s="1"/>
  <c r="D150" i="42" s="1"/>
  <c r="D157" i="42" s="1"/>
  <c r="B299" i="145"/>
  <c r="B25" i="42"/>
  <c r="B149" i="42" s="1"/>
  <c r="B150" i="42" s="1"/>
  <c r="B157" i="42" s="1"/>
  <c r="C25" i="42"/>
  <c r="C149" i="42" s="1"/>
  <c r="C150" i="42" s="1"/>
  <c r="C157" i="42" s="1"/>
  <c r="B298" i="46"/>
  <c r="B298" i="145"/>
  <c r="B299" i="46"/>
  <c r="C33" i="45"/>
  <c r="H33" i="45" s="1"/>
  <c r="C28" i="45"/>
  <c r="C30" i="27"/>
  <c r="C32" i="27" s="1"/>
  <c r="C29" i="45"/>
  <c r="H29" i="45" s="1"/>
  <c r="E30" i="27"/>
  <c r="C30" i="45"/>
  <c r="H30" i="45" s="1"/>
  <c r="C37" i="45"/>
  <c r="H37" i="45" s="1"/>
  <c r="E87" i="45"/>
  <c r="C26" i="40" s="1"/>
  <c r="C25" i="40"/>
  <c r="B24" i="40"/>
  <c r="M24" i="40" s="1"/>
  <c r="B47" i="34"/>
  <c r="J47" i="34" s="1"/>
  <c r="B48" i="34"/>
  <c r="B49" i="34"/>
  <c r="B50" i="34"/>
  <c r="B51" i="34"/>
  <c r="B52" i="34"/>
  <c r="B53" i="34"/>
  <c r="B54" i="34"/>
  <c r="B55" i="34"/>
  <c r="J55" i="34" s="1"/>
  <c r="B56" i="34"/>
  <c r="B57" i="34"/>
  <c r="B58" i="34"/>
  <c r="B59" i="34"/>
  <c r="B60" i="34"/>
  <c r="B61" i="34"/>
  <c r="B62" i="34"/>
  <c r="B46" i="34"/>
  <c r="E25"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E26" i="34"/>
  <c r="F26" i="34"/>
  <c r="G26" i="34"/>
  <c r="H26" i="34"/>
  <c r="I26" i="34"/>
  <c r="J26" i="34"/>
  <c r="K26" i="34"/>
  <c r="L26" i="34"/>
  <c r="M26" i="34"/>
  <c r="N26" i="34"/>
  <c r="O26" i="34"/>
  <c r="P26" i="34"/>
  <c r="Q26" i="34"/>
  <c r="R26" i="34"/>
  <c r="S26" i="34"/>
  <c r="T26" i="34"/>
  <c r="U26" i="34"/>
  <c r="V26" i="34"/>
  <c r="W26" i="34"/>
  <c r="X26" i="34"/>
  <c r="Y26" i="34"/>
  <c r="Z26" i="34"/>
  <c r="AA26" i="34"/>
  <c r="AB26" i="34"/>
  <c r="AC26" i="34"/>
  <c r="AD26" i="34"/>
  <c r="AE26" i="34"/>
  <c r="E27" i="34"/>
  <c r="F27" i="34"/>
  <c r="G27" i="34"/>
  <c r="H27" i="34"/>
  <c r="I27" i="34"/>
  <c r="J27" i="34"/>
  <c r="K27" i="34"/>
  <c r="L27" i="34"/>
  <c r="M27" i="34"/>
  <c r="N27" i="34"/>
  <c r="O27" i="34"/>
  <c r="P27" i="34"/>
  <c r="Q27" i="34"/>
  <c r="R27" i="34"/>
  <c r="S27" i="34"/>
  <c r="T27" i="34"/>
  <c r="U27" i="34"/>
  <c r="V27" i="34"/>
  <c r="W27" i="34"/>
  <c r="X27" i="34"/>
  <c r="Y27" i="34"/>
  <c r="Z27" i="34"/>
  <c r="AA27" i="34"/>
  <c r="AB27" i="34"/>
  <c r="AC27" i="34"/>
  <c r="AD27" i="34"/>
  <c r="AE27" i="34"/>
  <c r="E28" i="34"/>
  <c r="F28" i="34"/>
  <c r="G28" i="34"/>
  <c r="H28" i="34"/>
  <c r="I28" i="34"/>
  <c r="J28" i="34"/>
  <c r="K28" i="34"/>
  <c r="L28" i="34"/>
  <c r="M28" i="34"/>
  <c r="N28" i="34"/>
  <c r="O28" i="34"/>
  <c r="P28" i="34"/>
  <c r="Q28" i="34"/>
  <c r="R28" i="34"/>
  <c r="S28" i="34"/>
  <c r="T28" i="34"/>
  <c r="U28" i="34"/>
  <c r="V28" i="34"/>
  <c r="W28" i="34"/>
  <c r="X28" i="34"/>
  <c r="Y28" i="34"/>
  <c r="Z28" i="34"/>
  <c r="AA28" i="34"/>
  <c r="AB28" i="34"/>
  <c r="AC28" i="34"/>
  <c r="AD28" i="34"/>
  <c r="AE28" i="34"/>
  <c r="E29" i="34"/>
  <c r="F29" i="34"/>
  <c r="G29" i="34"/>
  <c r="H29" i="34"/>
  <c r="I29" i="34"/>
  <c r="J29" i="34"/>
  <c r="K29" i="34"/>
  <c r="L29" i="34"/>
  <c r="M29" i="34"/>
  <c r="N29" i="34"/>
  <c r="O29" i="34"/>
  <c r="P29" i="34"/>
  <c r="Q29" i="34"/>
  <c r="R29" i="34"/>
  <c r="S29" i="34"/>
  <c r="T29" i="34"/>
  <c r="U29" i="34"/>
  <c r="V29" i="34"/>
  <c r="W29" i="34"/>
  <c r="X29" i="34"/>
  <c r="Y29" i="34"/>
  <c r="Z29" i="34"/>
  <c r="AA29" i="34"/>
  <c r="AB29" i="34"/>
  <c r="AC29" i="34"/>
  <c r="AD29" i="34"/>
  <c r="AE29" i="34"/>
  <c r="E30"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E31" i="34"/>
  <c r="F31" i="34"/>
  <c r="G31" i="34"/>
  <c r="H31" i="34"/>
  <c r="I31" i="34"/>
  <c r="J31" i="34"/>
  <c r="K31" i="34"/>
  <c r="L31" i="34"/>
  <c r="M31" i="34"/>
  <c r="N31" i="34"/>
  <c r="O31" i="34"/>
  <c r="P31" i="34"/>
  <c r="Q31" i="34"/>
  <c r="R31" i="34"/>
  <c r="S31" i="34"/>
  <c r="T31" i="34"/>
  <c r="U31" i="34"/>
  <c r="V31" i="34"/>
  <c r="W31" i="34"/>
  <c r="X31" i="34"/>
  <c r="Y31" i="34"/>
  <c r="Z31" i="34"/>
  <c r="AA31" i="34"/>
  <c r="AB31" i="34"/>
  <c r="AC31" i="34"/>
  <c r="AD31" i="34"/>
  <c r="AE31" i="34"/>
  <c r="E32" i="34"/>
  <c r="F32" i="34"/>
  <c r="F53" i="34" s="1"/>
  <c r="G32" i="34"/>
  <c r="H32" i="34"/>
  <c r="I32" i="34"/>
  <c r="J32" i="34"/>
  <c r="K32" i="34"/>
  <c r="L32" i="34"/>
  <c r="M32" i="34"/>
  <c r="N32" i="34"/>
  <c r="N53" i="34" s="1"/>
  <c r="O32" i="34"/>
  <c r="P32" i="34"/>
  <c r="Q32" i="34"/>
  <c r="R32" i="34"/>
  <c r="S32" i="34"/>
  <c r="T32" i="34"/>
  <c r="U32" i="34"/>
  <c r="V32" i="34"/>
  <c r="V53" i="34" s="1"/>
  <c r="W32" i="34"/>
  <c r="X32" i="34"/>
  <c r="Y32" i="34"/>
  <c r="Z32" i="34"/>
  <c r="AA32" i="34"/>
  <c r="AB32" i="34"/>
  <c r="AC32" i="34"/>
  <c r="AD32" i="34"/>
  <c r="AD53" i="34" s="1"/>
  <c r="AE32" i="34"/>
  <c r="E33" i="34"/>
  <c r="F33" i="34"/>
  <c r="G33" i="34"/>
  <c r="H33" i="34"/>
  <c r="I33" i="34"/>
  <c r="J33" i="34"/>
  <c r="K33" i="34"/>
  <c r="L33" i="34"/>
  <c r="L54" i="34" s="1"/>
  <c r="M33" i="34"/>
  <c r="N33" i="34"/>
  <c r="O33" i="34"/>
  <c r="P33" i="34"/>
  <c r="Q33" i="34"/>
  <c r="R33" i="34"/>
  <c r="S33" i="34"/>
  <c r="T33" i="34"/>
  <c r="T54" i="34" s="1"/>
  <c r="U33" i="34"/>
  <c r="V33" i="34"/>
  <c r="W33" i="34"/>
  <c r="X33" i="34"/>
  <c r="Y33" i="34"/>
  <c r="Z33" i="34"/>
  <c r="AA33" i="34"/>
  <c r="AB33" i="34"/>
  <c r="AB54" i="34" s="1"/>
  <c r="AC33" i="34"/>
  <c r="AD33" i="34"/>
  <c r="AE33" i="34"/>
  <c r="E34" i="34"/>
  <c r="F34" i="34"/>
  <c r="G34" i="34"/>
  <c r="H34" i="34"/>
  <c r="I34" i="34"/>
  <c r="J34" i="34"/>
  <c r="K34" i="34"/>
  <c r="L34" i="34"/>
  <c r="M34" i="34"/>
  <c r="N34" i="34"/>
  <c r="O34" i="34"/>
  <c r="P34" i="34"/>
  <c r="Q34" i="34"/>
  <c r="R34" i="34"/>
  <c r="S34" i="34"/>
  <c r="T34" i="34"/>
  <c r="U34" i="34"/>
  <c r="V34" i="34"/>
  <c r="W34" i="34"/>
  <c r="X34" i="34"/>
  <c r="Y34" i="34"/>
  <c r="Z34" i="34"/>
  <c r="AA34" i="34"/>
  <c r="AB34" i="34"/>
  <c r="AC34" i="34"/>
  <c r="AD34" i="34"/>
  <c r="AE34" i="34"/>
  <c r="E35" i="34"/>
  <c r="F35" i="34"/>
  <c r="G35" i="34"/>
  <c r="H35" i="34"/>
  <c r="I35" i="34"/>
  <c r="J35" i="34"/>
  <c r="K35" i="34"/>
  <c r="L35" i="34"/>
  <c r="M35" i="34"/>
  <c r="N35" i="34"/>
  <c r="O35" i="34"/>
  <c r="P35" i="34"/>
  <c r="Q35" i="34"/>
  <c r="R35" i="34"/>
  <c r="S35" i="34"/>
  <c r="T35" i="34"/>
  <c r="U35" i="34"/>
  <c r="V35" i="34"/>
  <c r="W35" i="34"/>
  <c r="X35" i="34"/>
  <c r="Y35" i="34"/>
  <c r="Z35" i="34"/>
  <c r="AA35" i="34"/>
  <c r="AB35" i="34"/>
  <c r="AC35" i="34"/>
  <c r="AD35" i="34"/>
  <c r="AE35" i="34"/>
  <c r="E36" i="34"/>
  <c r="F36" i="34"/>
  <c r="G36" i="34"/>
  <c r="H36" i="34"/>
  <c r="I36" i="34"/>
  <c r="J36" i="34"/>
  <c r="K36" i="34"/>
  <c r="L36" i="34"/>
  <c r="M36" i="34"/>
  <c r="N36" i="34"/>
  <c r="O36" i="34"/>
  <c r="P36" i="34"/>
  <c r="Q36" i="34"/>
  <c r="R36" i="34"/>
  <c r="S36" i="34"/>
  <c r="T36" i="34"/>
  <c r="U36" i="34"/>
  <c r="V36" i="34"/>
  <c r="W36" i="34"/>
  <c r="X36" i="34"/>
  <c r="Y36" i="34"/>
  <c r="Z36" i="34"/>
  <c r="AA36" i="34"/>
  <c r="AB36" i="34"/>
  <c r="AC36" i="34"/>
  <c r="AD36" i="34"/>
  <c r="AE36" i="34"/>
  <c r="E37" i="34"/>
  <c r="F37" i="34"/>
  <c r="G37" i="34"/>
  <c r="H37" i="34"/>
  <c r="H58" i="34" s="1"/>
  <c r="I37" i="34"/>
  <c r="J37" i="34"/>
  <c r="B37" i="34" s="1" a="1"/>
  <c r="B37" i="34" s="1"/>
  <c r="K37" i="34"/>
  <c r="L37" i="34"/>
  <c r="L58" i="34" s="1"/>
  <c r="M37" i="34"/>
  <c r="N37" i="34"/>
  <c r="O37" i="34"/>
  <c r="P37" i="34"/>
  <c r="P58" i="34" s="1"/>
  <c r="Q37" i="34"/>
  <c r="R37" i="34"/>
  <c r="S37" i="34"/>
  <c r="T37" i="34"/>
  <c r="T58" i="34" s="1"/>
  <c r="U37" i="34"/>
  <c r="V37" i="34"/>
  <c r="W37" i="34"/>
  <c r="X37" i="34"/>
  <c r="X58" i="34" s="1"/>
  <c r="Y37" i="34"/>
  <c r="Z37" i="34"/>
  <c r="AA37" i="34"/>
  <c r="AB37" i="34"/>
  <c r="AB58" i="34" s="1"/>
  <c r="AC37" i="34"/>
  <c r="AD37" i="34"/>
  <c r="AE37" i="34"/>
  <c r="E38" i="34"/>
  <c r="F38" i="34"/>
  <c r="G38" i="34"/>
  <c r="H38" i="34"/>
  <c r="I38" i="34"/>
  <c r="J38" i="34"/>
  <c r="K38" i="34"/>
  <c r="L38" i="34"/>
  <c r="M38" i="34"/>
  <c r="N38" i="34"/>
  <c r="O38" i="34"/>
  <c r="P38" i="34"/>
  <c r="Q38" i="34"/>
  <c r="R38" i="34"/>
  <c r="S38" i="34"/>
  <c r="T38" i="34"/>
  <c r="U38" i="34"/>
  <c r="V38" i="34"/>
  <c r="W38" i="34"/>
  <c r="X38" i="34"/>
  <c r="Y38" i="34"/>
  <c r="Z38" i="34"/>
  <c r="AA38" i="34"/>
  <c r="AB38" i="34"/>
  <c r="AC38" i="34"/>
  <c r="AD38" i="34"/>
  <c r="AE38" i="34"/>
  <c r="E39" i="34"/>
  <c r="F39" i="34"/>
  <c r="G39" i="34"/>
  <c r="H39" i="34"/>
  <c r="I39" i="34"/>
  <c r="J39" i="34"/>
  <c r="K39" i="34"/>
  <c r="L39" i="34"/>
  <c r="M39" i="34"/>
  <c r="N39" i="34"/>
  <c r="O39" i="34"/>
  <c r="P39" i="34"/>
  <c r="Q39" i="34"/>
  <c r="R39" i="34"/>
  <c r="S39" i="34"/>
  <c r="T39" i="34"/>
  <c r="U39" i="34"/>
  <c r="V39" i="34"/>
  <c r="W39" i="34"/>
  <c r="X39" i="34"/>
  <c r="Y39" i="34"/>
  <c r="Z39" i="34"/>
  <c r="AA39" i="34"/>
  <c r="AB39" i="34"/>
  <c r="AC39" i="34"/>
  <c r="AD39" i="34"/>
  <c r="AE39" i="34"/>
  <c r="E40" i="34"/>
  <c r="F40" i="34"/>
  <c r="F61" i="34" s="1"/>
  <c r="G40" i="34"/>
  <c r="H40" i="34"/>
  <c r="I40" i="34"/>
  <c r="J40" i="34"/>
  <c r="K40" i="34"/>
  <c r="L40" i="34"/>
  <c r="M40" i="34"/>
  <c r="N40" i="34"/>
  <c r="N61" i="34" s="1"/>
  <c r="O40" i="34"/>
  <c r="P40" i="34"/>
  <c r="Q40" i="34"/>
  <c r="R40" i="34"/>
  <c r="S40" i="34"/>
  <c r="T40" i="34"/>
  <c r="U40" i="34"/>
  <c r="V40" i="34"/>
  <c r="V61" i="34" s="1"/>
  <c r="W40" i="34"/>
  <c r="X40" i="34"/>
  <c r="Y40" i="34"/>
  <c r="Z40" i="34"/>
  <c r="AA40" i="34"/>
  <c r="AB40" i="34"/>
  <c r="AC40" i="34"/>
  <c r="AD40" i="34"/>
  <c r="AD61" i="34" s="1"/>
  <c r="AE40" i="34"/>
  <c r="E41" i="34"/>
  <c r="F41" i="34"/>
  <c r="G41" i="34"/>
  <c r="H41" i="34"/>
  <c r="I41" i="34"/>
  <c r="J41" i="34"/>
  <c r="K41" i="34"/>
  <c r="L41" i="34"/>
  <c r="L62" i="34" s="1"/>
  <c r="M41" i="34"/>
  <c r="N41" i="34"/>
  <c r="O41" i="34"/>
  <c r="P41" i="34"/>
  <c r="Q41" i="34"/>
  <c r="R41" i="34"/>
  <c r="S41" i="34"/>
  <c r="T41" i="34"/>
  <c r="T62" i="34" s="1"/>
  <c r="U41" i="34"/>
  <c r="V41" i="34"/>
  <c r="W41" i="34"/>
  <c r="X41" i="34"/>
  <c r="Y41" i="34"/>
  <c r="Z41" i="34"/>
  <c r="AA41" i="34"/>
  <c r="AB41" i="34"/>
  <c r="AB62" i="34" s="1"/>
  <c r="AC41" i="34"/>
  <c r="AD41" i="34"/>
  <c r="AE41" i="34"/>
  <c r="C25" i="34"/>
  <c r="B25" i="34" s="1" a="1"/>
  <c r="B25" i="34" s="1"/>
  <c r="C26" i="34"/>
  <c r="B26" i="34" s="1" a="1"/>
  <c r="B26" i="34" s="1"/>
  <c r="C27" i="34"/>
  <c r="B27" i="34" s="1" a="1"/>
  <c r="B27" i="34" s="1"/>
  <c r="C28" i="34"/>
  <c r="C29" i="34"/>
  <c r="B29" i="34" s="1" a="1"/>
  <c r="B29" i="34" s="1"/>
  <c r="C30" i="34"/>
  <c r="C31" i="34"/>
  <c r="B31" i="34" s="1" a="1"/>
  <c r="B31" i="34" s="1"/>
  <c r="C32" i="34"/>
  <c r="B32" i="34" s="1" a="1"/>
  <c r="B32" i="34" s="1"/>
  <c r="C33" i="34"/>
  <c r="B33" i="34" s="1" a="1"/>
  <c r="B33" i="34" s="1"/>
  <c r="C34" i="34"/>
  <c r="B34" i="34" s="1" a="1"/>
  <c r="B34" i="34" s="1"/>
  <c r="C35" i="34"/>
  <c r="B35" i="34" s="1" a="1"/>
  <c r="B35" i="34" s="1"/>
  <c r="C36" i="34"/>
  <c r="C37" i="34"/>
  <c r="C38" i="34"/>
  <c r="C39" i="34"/>
  <c r="B39" i="34" s="1" a="1"/>
  <c r="B39" i="34" s="1"/>
  <c r="C40" i="34"/>
  <c r="B40" i="34" s="1" a="1"/>
  <c r="B40" i="34" s="1"/>
  <c r="C41" i="34"/>
  <c r="B41" i="34" s="1" a="1"/>
  <c r="B41" i="34" s="1"/>
  <c r="D35" i="34"/>
  <c r="D36" i="34"/>
  <c r="D37" i="34"/>
  <c r="D38" i="34"/>
  <c r="D39" i="34"/>
  <c r="D40" i="34"/>
  <c r="D41" i="34"/>
  <c r="D26" i="34"/>
  <c r="D27" i="34"/>
  <c r="D28" i="34"/>
  <c r="D29" i="34"/>
  <c r="D30" i="34"/>
  <c r="D31" i="34"/>
  <c r="D32" i="34"/>
  <c r="D33" i="34"/>
  <c r="D34" i="34"/>
  <c r="D25" i="34"/>
  <c r="C158" i="42" l="1"/>
  <c r="C161" i="42" s="1"/>
  <c r="D299" i="145" s="1"/>
  <c r="C159" i="42"/>
  <c r="D158" i="42"/>
  <c r="D161" i="42" s="1"/>
  <c r="E299" i="46" s="1"/>
  <c r="D159" i="42"/>
  <c r="E158" i="42"/>
  <c r="E161" i="42" s="1"/>
  <c r="F299" i="145" s="1"/>
  <c r="E159" i="42"/>
  <c r="G159" i="42"/>
  <c r="G158" i="42"/>
  <c r="F159" i="42"/>
  <c r="F158" i="42"/>
  <c r="F238" i="42" s="1"/>
  <c r="F239" i="42" s="1"/>
  <c r="B158" i="42"/>
  <c r="B161" i="42" s="1"/>
  <c r="B159" i="42"/>
  <c r="H28" i="45"/>
  <c r="H43" i="45" s="1"/>
  <c r="F41" i="45"/>
  <c r="D41" i="45"/>
  <c r="G41" i="45"/>
  <c r="E41" i="45"/>
  <c r="K50" i="34"/>
  <c r="AA50" i="34"/>
  <c r="S50" i="34"/>
  <c r="E50" i="34"/>
  <c r="E51" i="34"/>
  <c r="P50" i="34"/>
  <c r="M54" i="34"/>
  <c r="G56" i="34"/>
  <c r="O56" i="34"/>
  <c r="AE56" i="34"/>
  <c r="C56" i="34"/>
  <c r="W56" i="34"/>
  <c r="C48" i="34"/>
  <c r="W48" i="34"/>
  <c r="G48" i="34"/>
  <c r="O48" i="34"/>
  <c r="AE48" i="34"/>
  <c r="E61" i="34"/>
  <c r="E53" i="34"/>
  <c r="G61" i="34"/>
  <c r="G53" i="34"/>
  <c r="H50" i="34"/>
  <c r="L59" i="34"/>
  <c r="J49" i="34"/>
  <c r="M62" i="34"/>
  <c r="J59" i="34"/>
  <c r="Z51" i="34"/>
  <c r="P49" i="34"/>
  <c r="H60" i="34"/>
  <c r="H52" i="34"/>
  <c r="H62" i="34"/>
  <c r="P54" i="34"/>
  <c r="T50" i="34"/>
  <c r="D54" i="34"/>
  <c r="D62" i="34"/>
  <c r="M53" i="34"/>
  <c r="U53" i="34"/>
  <c r="AC53" i="34"/>
  <c r="Z61" i="34"/>
  <c r="R61" i="34"/>
  <c r="J61" i="34"/>
  <c r="Z53" i="34"/>
  <c r="R53" i="34"/>
  <c r="J53" i="34"/>
  <c r="F49" i="34"/>
  <c r="M58" i="34"/>
  <c r="M50" i="34"/>
  <c r="E59" i="34"/>
  <c r="X50" i="34"/>
  <c r="K54" i="34"/>
  <c r="S54" i="34"/>
  <c r="AA54" i="34"/>
  <c r="X62" i="34"/>
  <c r="X54" i="34"/>
  <c r="AB50" i="34"/>
  <c r="K59" i="34"/>
  <c r="W60" i="34"/>
  <c r="O60" i="34"/>
  <c r="G60" i="34"/>
  <c r="AE60" i="34"/>
  <c r="K58" i="34"/>
  <c r="AA58" i="34"/>
  <c r="S58" i="34"/>
  <c r="E58" i="34"/>
  <c r="AD54" i="34"/>
  <c r="V54" i="34"/>
  <c r="N54" i="34"/>
  <c r="F54" i="34"/>
  <c r="E49" i="34"/>
  <c r="L46" i="34"/>
  <c r="C57" i="34"/>
  <c r="AA62" i="34"/>
  <c r="K62" i="34"/>
  <c r="S62" i="34"/>
  <c r="P62" i="34"/>
  <c r="H54" i="34"/>
  <c r="L50" i="34"/>
  <c r="K51" i="34"/>
  <c r="M61" i="34"/>
  <c r="AC61" i="34"/>
  <c r="U61" i="34"/>
  <c r="D53" i="34"/>
  <c r="D61" i="34"/>
  <c r="G52" i="34"/>
  <c r="O52" i="34"/>
  <c r="W52" i="34"/>
  <c r="AE52" i="34"/>
  <c r="AD62" i="34"/>
  <c r="V62" i="34"/>
  <c r="N62" i="34"/>
  <c r="F62" i="34"/>
  <c r="E62" i="34"/>
  <c r="X61" i="34"/>
  <c r="P61" i="34"/>
  <c r="H61" i="34"/>
  <c r="V59" i="34"/>
  <c r="E54" i="34"/>
  <c r="X53" i="34"/>
  <c r="P53" i="34"/>
  <c r="H53" i="34"/>
  <c r="V51" i="34"/>
  <c r="H56" i="34"/>
  <c r="H48" i="34"/>
  <c r="I55" i="34"/>
  <c r="I47" i="34"/>
  <c r="K46" i="34"/>
  <c r="B36" i="34" a="1"/>
  <c r="B36" i="34" s="1"/>
  <c r="J57" i="34" s="1"/>
  <c r="C46" i="34"/>
  <c r="C61" i="34"/>
  <c r="D58" i="34"/>
  <c r="E55" i="34"/>
  <c r="C53" i="34"/>
  <c r="D50" i="34"/>
  <c r="E47" i="34"/>
  <c r="Z62" i="34"/>
  <c r="R62" i="34"/>
  <c r="J62" i="34"/>
  <c r="AB61" i="34"/>
  <c r="T61" i="34"/>
  <c r="L61" i="34"/>
  <c r="AD60" i="34"/>
  <c r="V60" i="34"/>
  <c r="N60" i="34"/>
  <c r="F60" i="34"/>
  <c r="P59" i="34"/>
  <c r="H59" i="34"/>
  <c r="Z58" i="34"/>
  <c r="R58" i="34"/>
  <c r="J58" i="34"/>
  <c r="AD56" i="34"/>
  <c r="V56" i="34"/>
  <c r="N56" i="34"/>
  <c r="F56" i="34"/>
  <c r="X55" i="34"/>
  <c r="P55" i="34"/>
  <c r="H55" i="34"/>
  <c r="Z54" i="34"/>
  <c r="R54" i="34"/>
  <c r="J54" i="34"/>
  <c r="AB53" i="34"/>
  <c r="T53" i="34"/>
  <c r="L53" i="34"/>
  <c r="AD52" i="34"/>
  <c r="V52" i="34"/>
  <c r="N52" i="34"/>
  <c r="F52" i="34"/>
  <c r="X51" i="34"/>
  <c r="Z50" i="34"/>
  <c r="R50" i="34"/>
  <c r="J50" i="34"/>
  <c r="T49" i="34"/>
  <c r="L49" i="34"/>
  <c r="AD48" i="34"/>
  <c r="V48" i="34"/>
  <c r="N48" i="34"/>
  <c r="F48" i="34"/>
  <c r="X47" i="34"/>
  <c r="P47" i="34"/>
  <c r="H47" i="34"/>
  <c r="Z46" i="34"/>
  <c r="R46" i="34"/>
  <c r="J46" i="34"/>
  <c r="Q47" i="34"/>
  <c r="AA46" i="34"/>
  <c r="S46" i="34"/>
  <c r="B30" i="34" a="1"/>
  <c r="B30" i="34" s="1"/>
  <c r="D46" i="34"/>
  <c r="E60" i="34"/>
  <c r="C58" i="34"/>
  <c r="D55" i="34"/>
  <c r="E52" i="34"/>
  <c r="C50" i="34"/>
  <c r="D47" i="34"/>
  <c r="Y62" i="34"/>
  <c r="Q62" i="34"/>
  <c r="I62" i="34"/>
  <c r="AA61" i="34"/>
  <c r="S61" i="34"/>
  <c r="K61" i="34"/>
  <c r="AC60" i="34"/>
  <c r="U60" i="34"/>
  <c r="M60" i="34"/>
  <c r="AE59" i="34"/>
  <c r="W59" i="34"/>
  <c r="Y58" i="34"/>
  <c r="Q58" i="34"/>
  <c r="I58" i="34"/>
  <c r="K57" i="34"/>
  <c r="AC56" i="34"/>
  <c r="U56" i="34"/>
  <c r="M56" i="34"/>
  <c r="AE55" i="34"/>
  <c r="W55" i="34"/>
  <c r="O55" i="34"/>
  <c r="G55" i="34"/>
  <c r="Y54" i="34"/>
  <c r="Q54" i="34"/>
  <c r="I54" i="34"/>
  <c r="AA53" i="34"/>
  <c r="S53" i="34"/>
  <c r="K53" i="34"/>
  <c r="AC52" i="34"/>
  <c r="U52" i="34"/>
  <c r="M52" i="34"/>
  <c r="O51" i="34"/>
  <c r="G51" i="34"/>
  <c r="Y50" i="34"/>
  <c r="Q50" i="34"/>
  <c r="I50" i="34"/>
  <c r="AA49" i="34"/>
  <c r="AC48" i="34"/>
  <c r="U48" i="34"/>
  <c r="M48" i="34"/>
  <c r="AE47" i="34"/>
  <c r="W47" i="34"/>
  <c r="O47" i="34"/>
  <c r="G47" i="34"/>
  <c r="Y46" i="34"/>
  <c r="Q46" i="34"/>
  <c r="I46" i="34"/>
  <c r="Q55" i="34"/>
  <c r="Y47" i="34"/>
  <c r="E46" i="34"/>
  <c r="D60" i="34"/>
  <c r="C55" i="34"/>
  <c r="D52" i="34"/>
  <c r="C47" i="34"/>
  <c r="AB60" i="34"/>
  <c r="T60" i="34"/>
  <c r="L60" i="34"/>
  <c r="AB56" i="34"/>
  <c r="T56" i="34"/>
  <c r="L56" i="34"/>
  <c r="AD55" i="34"/>
  <c r="V55" i="34"/>
  <c r="N55" i="34"/>
  <c r="F55" i="34"/>
  <c r="AB52" i="34"/>
  <c r="T52" i="34"/>
  <c r="L52" i="34"/>
  <c r="AB48" i="34"/>
  <c r="T48" i="34"/>
  <c r="L48" i="34"/>
  <c r="AD47" i="34"/>
  <c r="V47" i="34"/>
  <c r="N47" i="34"/>
  <c r="F47" i="34"/>
  <c r="X46" i="34"/>
  <c r="P46" i="34"/>
  <c r="H46" i="34"/>
  <c r="Y55" i="34"/>
  <c r="C60" i="34"/>
  <c r="C52" i="34"/>
  <c r="AE62" i="34"/>
  <c r="W62" i="34"/>
  <c r="O62" i="34"/>
  <c r="G62" i="34"/>
  <c r="Y61" i="34"/>
  <c r="Q61" i="34"/>
  <c r="I61" i="34"/>
  <c r="AA60" i="34"/>
  <c r="S60" i="34"/>
  <c r="K60" i="34"/>
  <c r="AC59" i="34"/>
  <c r="AE58" i="34"/>
  <c r="W58" i="34"/>
  <c r="O58" i="34"/>
  <c r="G58" i="34"/>
  <c r="Q57" i="34"/>
  <c r="AA56" i="34"/>
  <c r="S56" i="34"/>
  <c r="K56" i="34"/>
  <c r="AC55" i="34"/>
  <c r="U55" i="34"/>
  <c r="M55" i="34"/>
  <c r="AE54" i="34"/>
  <c r="W54" i="34"/>
  <c r="O54" i="34"/>
  <c r="G54" i="34"/>
  <c r="Y53" i="34"/>
  <c r="Q53" i="34"/>
  <c r="I53" i="34"/>
  <c r="AA52" i="34"/>
  <c r="S52" i="34"/>
  <c r="K52" i="34"/>
  <c r="U51" i="34"/>
  <c r="M51" i="34"/>
  <c r="AE50" i="34"/>
  <c r="W50" i="34"/>
  <c r="O50" i="34"/>
  <c r="G50" i="34"/>
  <c r="AA48" i="34"/>
  <c r="S48" i="34"/>
  <c r="K48" i="34"/>
  <c r="AC47" i="34"/>
  <c r="U47" i="34"/>
  <c r="M47" i="34"/>
  <c r="AE46" i="34"/>
  <c r="W46" i="34"/>
  <c r="O46" i="34"/>
  <c r="G46" i="34"/>
  <c r="B28" i="34" a="1"/>
  <c r="B28" i="34" s="1"/>
  <c r="R49" i="34" s="1"/>
  <c r="Z60" i="34"/>
  <c r="R60" i="34"/>
  <c r="J60" i="34"/>
  <c r="AD58" i="34"/>
  <c r="V58" i="34"/>
  <c r="N58" i="34"/>
  <c r="F58" i="34"/>
  <c r="Z56" i="34"/>
  <c r="R56" i="34"/>
  <c r="J56" i="34"/>
  <c r="AB55" i="34"/>
  <c r="T55" i="34"/>
  <c r="L55" i="34"/>
  <c r="Z52" i="34"/>
  <c r="R52" i="34"/>
  <c r="J52" i="34"/>
  <c r="AB51" i="34"/>
  <c r="T51" i="34"/>
  <c r="AD50" i="34"/>
  <c r="V50" i="34"/>
  <c r="N50" i="34"/>
  <c r="F50" i="34"/>
  <c r="H49" i="34"/>
  <c r="Z48" i="34"/>
  <c r="R48" i="34"/>
  <c r="J48" i="34"/>
  <c r="AB47" i="34"/>
  <c r="T47" i="34"/>
  <c r="L47" i="34"/>
  <c r="AD46" i="34"/>
  <c r="V46" i="34"/>
  <c r="N46" i="34"/>
  <c r="F46" i="34"/>
  <c r="B38" i="34" a="1"/>
  <c r="B38" i="34" s="1"/>
  <c r="Z59" i="34" s="1"/>
  <c r="C62" i="34"/>
  <c r="D59" i="34"/>
  <c r="E56" i="34"/>
  <c r="C54" i="34"/>
  <c r="D51" i="34"/>
  <c r="E48" i="34"/>
  <c r="AC62" i="34"/>
  <c r="U62" i="34"/>
  <c r="AE61" i="34"/>
  <c r="W61" i="34"/>
  <c r="O61" i="34"/>
  <c r="Y60" i="34"/>
  <c r="Q60" i="34"/>
  <c r="I60" i="34"/>
  <c r="AA59" i="34"/>
  <c r="S59" i="34"/>
  <c r="AC58" i="34"/>
  <c r="U58" i="34"/>
  <c r="Y56" i="34"/>
  <c r="Q56" i="34"/>
  <c r="I56" i="34"/>
  <c r="AA55" i="34"/>
  <c r="S55" i="34"/>
  <c r="K55" i="34"/>
  <c r="AC54" i="34"/>
  <c r="U54" i="34"/>
  <c r="AE53" i="34"/>
  <c r="W53" i="34"/>
  <c r="O53" i="34"/>
  <c r="Y52" i="34"/>
  <c r="Q52" i="34"/>
  <c r="I52" i="34"/>
  <c r="AA51" i="34"/>
  <c r="S51" i="34"/>
  <c r="AC50" i="34"/>
  <c r="U50" i="34"/>
  <c r="O49" i="34"/>
  <c r="Y48" i="34"/>
  <c r="Q48" i="34"/>
  <c r="I48" i="34"/>
  <c r="AA47" i="34"/>
  <c r="S47" i="34"/>
  <c r="K47" i="34"/>
  <c r="AC46" i="34"/>
  <c r="U46" i="34"/>
  <c r="M46" i="34"/>
  <c r="D56" i="34"/>
  <c r="D48" i="34"/>
  <c r="X60" i="34"/>
  <c r="P60" i="34"/>
  <c r="X56" i="34"/>
  <c r="P56" i="34"/>
  <c r="Z55" i="34"/>
  <c r="R55" i="34"/>
  <c r="X52" i="34"/>
  <c r="P52" i="34"/>
  <c r="X48" i="34"/>
  <c r="P48" i="34"/>
  <c r="Z47" i="34"/>
  <c r="R47" i="34"/>
  <c r="AB46" i="34"/>
  <c r="T46" i="34"/>
  <c r="D299" i="46" l="1"/>
  <c r="D238" i="42"/>
  <c r="E343" i="145" s="1"/>
  <c r="F299" i="46"/>
  <c r="E299" i="145"/>
  <c r="C238" i="42"/>
  <c r="C239" i="42" s="1"/>
  <c r="D347" i="46" s="1"/>
  <c r="G343" i="46"/>
  <c r="F161" i="42"/>
  <c r="G299" i="145" s="1"/>
  <c r="G343" i="145"/>
  <c r="G161" i="42"/>
  <c r="H299" i="145" s="1"/>
  <c r="G238" i="42"/>
  <c r="H343" i="145" s="1"/>
  <c r="E238" i="42"/>
  <c r="E239" i="42" s="1"/>
  <c r="F347" i="46" s="1"/>
  <c r="B238" i="42"/>
  <c r="B239" i="42" s="1"/>
  <c r="C299" i="46"/>
  <c r="C299" i="145"/>
  <c r="G347" i="46"/>
  <c r="G347" i="145"/>
  <c r="G42" i="45"/>
  <c r="F42" i="45"/>
  <c r="E42" i="45"/>
  <c r="D42" i="45"/>
  <c r="Y57" i="34"/>
  <c r="H57" i="34"/>
  <c r="O57" i="34"/>
  <c r="AA57" i="34"/>
  <c r="I51" i="34"/>
  <c r="Q51" i="34"/>
  <c r="Y51" i="34"/>
  <c r="AB49" i="34"/>
  <c r="L57" i="34"/>
  <c r="X59" i="34"/>
  <c r="F51" i="34"/>
  <c r="F59" i="34"/>
  <c r="C51" i="34"/>
  <c r="G49" i="34"/>
  <c r="P57" i="34"/>
  <c r="Z49" i="34"/>
  <c r="T59" i="34"/>
  <c r="S57" i="34"/>
  <c r="Z57" i="34"/>
  <c r="W57" i="34"/>
  <c r="T57" i="34"/>
  <c r="N51" i="34"/>
  <c r="N59" i="34"/>
  <c r="C59" i="34"/>
  <c r="G57" i="34"/>
  <c r="F57" i="34"/>
  <c r="X57" i="34"/>
  <c r="R57" i="34"/>
  <c r="I49" i="34"/>
  <c r="AD51" i="34"/>
  <c r="AD59" i="34"/>
  <c r="M49" i="34"/>
  <c r="M57" i="34"/>
  <c r="N49" i="34"/>
  <c r="V57" i="34"/>
  <c r="X49" i="34"/>
  <c r="R59" i="34"/>
  <c r="AB59" i="34"/>
  <c r="D57" i="34"/>
  <c r="E57" i="34"/>
  <c r="W49" i="34"/>
  <c r="Q49" i="34"/>
  <c r="AC51" i="34"/>
  <c r="M59" i="34"/>
  <c r="K49" i="34"/>
  <c r="W51" i="34"/>
  <c r="G59" i="34"/>
  <c r="H51" i="34"/>
  <c r="U49" i="34"/>
  <c r="U57" i="34"/>
  <c r="V49" i="34"/>
  <c r="AD57" i="34"/>
  <c r="J51" i="34"/>
  <c r="AE57" i="34"/>
  <c r="AB57" i="34"/>
  <c r="N57" i="34"/>
  <c r="AE49" i="34"/>
  <c r="Y59" i="34"/>
  <c r="Q59" i="34"/>
  <c r="I59" i="34"/>
  <c r="L51" i="34"/>
  <c r="Y49" i="34"/>
  <c r="I57" i="34"/>
  <c r="U59" i="34"/>
  <c r="S49" i="34"/>
  <c r="AE51" i="34"/>
  <c r="O59" i="34"/>
  <c r="P51" i="34"/>
  <c r="AC49" i="34"/>
  <c r="AC57" i="34"/>
  <c r="C49" i="34"/>
  <c r="AD49" i="34"/>
  <c r="R51" i="34"/>
  <c r="D49" i="34"/>
  <c r="E343" i="46" l="1"/>
  <c r="D239" i="42"/>
  <c r="E347" i="46" s="1"/>
  <c r="D347" i="145"/>
  <c r="D343" i="145"/>
  <c r="D343" i="46"/>
  <c r="G299" i="46"/>
  <c r="F343" i="46"/>
  <c r="F343" i="145"/>
  <c r="F347" i="145"/>
  <c r="H343" i="46"/>
  <c r="G239" i="42"/>
  <c r="H347" i="145" s="1"/>
  <c r="H299" i="46"/>
  <c r="C343" i="46"/>
  <c r="C343" i="145"/>
  <c r="C347" i="46"/>
  <c r="C347" i="145"/>
  <c r="D45" i="45"/>
  <c r="E45" i="45"/>
  <c r="B26" i="40" s="1"/>
  <c r="M26" i="40" s="1"/>
  <c r="B25" i="40"/>
  <c r="M25" i="40" s="1"/>
  <c r="M11" i="40"/>
  <c r="B8" i="40"/>
  <c r="B28" i="10"/>
  <c r="B29" i="10" s="1"/>
  <c r="B24" i="10"/>
  <c r="B18" i="10"/>
  <c r="C52" i="10"/>
  <c r="B52" i="10"/>
  <c r="B65" i="10" s="1"/>
  <c r="C51" i="10"/>
  <c r="B51" i="10"/>
  <c r="E347" i="145" l="1"/>
  <c r="H347" i="46"/>
  <c r="B64" i="10"/>
  <c r="B3" i="40"/>
  <c r="B4" i="40"/>
  <c r="B20" i="40"/>
  <c r="M20" i="40" s="1"/>
  <c r="B7" i="40"/>
  <c r="B19" i="40"/>
  <c r="M19" i="40" s="1"/>
  <c r="B18" i="40"/>
  <c r="B31" i="10"/>
  <c r="B19" i="38" s="1"/>
  <c r="M18" i="40" l="1"/>
  <c r="M17" i="40"/>
  <c r="E10" i="2"/>
  <c r="E9" i="2"/>
  <c r="E14" i="2" s="1"/>
  <c r="B35" i="38" s="1"/>
  <c r="F8" i="2"/>
  <c r="E8" i="2"/>
  <c r="F7" i="2"/>
  <c r="E7" i="2"/>
  <c r="C29" i="53" s="1"/>
  <c r="C30" i="53" s="1"/>
  <c r="E22" i="40" s="1"/>
  <c r="F6" i="2"/>
  <c r="F5" i="2"/>
  <c r="F3" i="2"/>
  <c r="F2" i="2"/>
  <c r="B5" i="40" l="1"/>
  <c r="M12" i="40"/>
  <c r="B18" i="38"/>
  <c r="C15" i="40"/>
  <c r="M15" i="40" s="1"/>
  <c r="C3" i="40"/>
  <c r="M3" i="40" s="1"/>
  <c r="C14" i="40"/>
  <c r="M14" i="40" s="1"/>
  <c r="C9" i="42"/>
  <c r="C22" i="42" s="1"/>
  <c r="D9" i="42"/>
  <c r="D22" i="42" s="1"/>
  <c r="E9" i="42"/>
  <c r="E22" i="42" s="1"/>
  <c r="F9" i="42"/>
  <c r="F22" i="42" s="1"/>
  <c r="G9" i="42"/>
  <c r="G22" i="42" s="1"/>
  <c r="B9" i="42"/>
  <c r="B22" i="42" s="1"/>
  <c r="C5" i="40"/>
  <c r="M5" i="40" s="1"/>
  <c r="C22" i="40"/>
  <c r="M22" i="40" s="1"/>
  <c r="C4" i="40"/>
  <c r="M4" i="40" s="1"/>
  <c r="M10" i="40"/>
  <c r="C7" i="40"/>
  <c r="M7" i="40" s="1"/>
  <c r="C8" i="40"/>
  <c r="M8" i="40" s="1"/>
  <c r="E11" i="2"/>
  <c r="B25" i="38"/>
  <c r="B21" i="38"/>
  <c r="B23" i="38"/>
  <c r="B22" i="38"/>
  <c r="B24" i="38"/>
  <c r="E12" i="2"/>
  <c r="E8" i="42" l="1"/>
  <c r="E21" i="42" s="1"/>
  <c r="E170" i="42" s="1"/>
  <c r="F8" i="42"/>
  <c r="F21" i="42" s="1"/>
  <c r="F170" i="42" s="1"/>
  <c r="G8" i="42"/>
  <c r="G21" i="42" s="1"/>
  <c r="G170" i="42" s="1"/>
  <c r="C8" i="42"/>
  <c r="C21" i="42" s="1"/>
  <c r="C170" i="42" s="1"/>
  <c r="D8" i="42"/>
  <c r="D21" i="42" s="1"/>
  <c r="D170" i="42" s="1"/>
  <c r="B8" i="42"/>
  <c r="E160" i="42"/>
  <c r="C160" i="42"/>
  <c r="D160" i="42"/>
  <c r="G160" i="42"/>
  <c r="F160" i="42"/>
  <c r="B160" i="42"/>
  <c r="C10" i="42"/>
  <c r="D10" i="42"/>
  <c r="E10" i="42"/>
  <c r="F10" i="42"/>
  <c r="G10" i="42"/>
  <c r="B10" i="42"/>
  <c r="E100" i="42"/>
  <c r="G115" i="42"/>
  <c r="E115" i="42"/>
  <c r="F115" i="42"/>
  <c r="B100" i="42"/>
  <c r="G100" i="42"/>
  <c r="D115" i="42"/>
  <c r="C100" i="42"/>
  <c r="F100" i="42"/>
  <c r="D100" i="42"/>
  <c r="B115" i="42"/>
  <c r="C115" i="42"/>
  <c r="G6" i="42"/>
  <c r="G19" i="42" s="1"/>
  <c r="D6" i="42"/>
  <c r="D19" i="42" s="1"/>
  <c r="E6" i="42"/>
  <c r="E19" i="42" s="1"/>
  <c r="F6" i="42"/>
  <c r="B6" i="42"/>
  <c r="C6" i="42"/>
  <c r="E7" i="42"/>
  <c r="E20" i="42" s="1"/>
  <c r="E57" i="42" s="1"/>
  <c r="C7" i="42"/>
  <c r="D7" i="42"/>
  <c r="G7" i="42"/>
  <c r="B7" i="42"/>
  <c r="F7" i="42"/>
  <c r="F20" i="42" s="1"/>
  <c r="F57" i="42" s="1"/>
  <c r="D5" i="42"/>
  <c r="B5" i="42"/>
  <c r="B18" i="42" s="1"/>
  <c r="F5" i="42"/>
  <c r="C5" i="42"/>
  <c r="G5" i="42"/>
  <c r="E5" i="42"/>
  <c r="G83" i="42"/>
  <c r="G176" i="42" s="1"/>
  <c r="H49" i="145" s="1"/>
  <c r="G95" i="42"/>
  <c r="G199" i="42" s="1"/>
  <c r="G87" i="42"/>
  <c r="G91" i="42"/>
  <c r="G178" i="42" s="1"/>
  <c r="H48" i="145" s="1"/>
  <c r="F95" i="42"/>
  <c r="F199" i="42" s="1"/>
  <c r="F87" i="42"/>
  <c r="F91" i="42"/>
  <c r="F178" i="42" s="1"/>
  <c r="G48" i="145" s="1"/>
  <c r="F83" i="42"/>
  <c r="E91" i="42"/>
  <c r="E178" i="42" s="1"/>
  <c r="F48" i="145" s="1"/>
  <c r="E87" i="42"/>
  <c r="E95" i="42"/>
  <c r="E199" i="42" s="1"/>
  <c r="E83" i="42"/>
  <c r="D87" i="42"/>
  <c r="D91" i="42"/>
  <c r="D178" i="42" s="1"/>
  <c r="E48" i="145" s="1"/>
  <c r="D83" i="42"/>
  <c r="D95" i="42"/>
  <c r="D199" i="42" s="1"/>
  <c r="C91" i="42"/>
  <c r="C178" i="42" s="1"/>
  <c r="D48" i="145" s="1"/>
  <c r="C83" i="42"/>
  <c r="C95" i="42"/>
  <c r="C199" i="42" s="1"/>
  <c r="C87" i="42"/>
  <c r="E25" i="2"/>
  <c r="E13" i="2"/>
  <c r="E6" i="46" l="1"/>
  <c r="E6" i="145"/>
  <c r="D6" i="46"/>
  <c r="D6" i="145"/>
  <c r="H6" i="145"/>
  <c r="H6" i="46"/>
  <c r="G6" i="46"/>
  <c r="G6" i="145"/>
  <c r="F6" i="46"/>
  <c r="F6" i="145"/>
  <c r="E18" i="42"/>
  <c r="E43" i="42" s="1"/>
  <c r="G192" i="42"/>
  <c r="G208" i="42" s="1"/>
  <c r="H217" i="145" s="1"/>
  <c r="G20" i="42"/>
  <c r="F23" i="42"/>
  <c r="F121" i="42" s="1"/>
  <c r="G18" i="42"/>
  <c r="G43" i="42" s="1"/>
  <c r="D192" i="42"/>
  <c r="D208" i="42" s="1"/>
  <c r="E217" i="145" s="1"/>
  <c r="D20" i="42"/>
  <c r="D57" i="42" s="1"/>
  <c r="E23" i="42"/>
  <c r="E121" i="42" s="1"/>
  <c r="C18" i="42"/>
  <c r="C43" i="42" s="1"/>
  <c r="C192" i="42"/>
  <c r="C208" i="42" s="1"/>
  <c r="D217" i="145" s="1"/>
  <c r="C20" i="42"/>
  <c r="C57" i="42" s="1"/>
  <c r="D23" i="42"/>
  <c r="D121" i="42" s="1"/>
  <c r="B6" i="145"/>
  <c r="B21" i="42"/>
  <c r="B170" i="42" s="1"/>
  <c r="F18" i="42"/>
  <c r="F43" i="42" s="1"/>
  <c r="C23" i="42"/>
  <c r="C121" i="42" s="1"/>
  <c r="C133" i="42" s="1"/>
  <c r="C134" i="42" s="1"/>
  <c r="C19" i="42"/>
  <c r="C31" i="42" s="1"/>
  <c r="C71" i="42" s="1"/>
  <c r="D18" i="42"/>
  <c r="D43" i="42" s="1"/>
  <c r="B8" i="145"/>
  <c r="B19" i="42"/>
  <c r="F19" i="42"/>
  <c r="F31" i="42" s="1"/>
  <c r="F71" i="42" s="1"/>
  <c r="B23" i="42"/>
  <c r="B121" i="42" s="1"/>
  <c r="B5" i="145"/>
  <c r="B20" i="42"/>
  <c r="B57" i="42" s="1"/>
  <c r="G23" i="42"/>
  <c r="G121" i="42" s="1"/>
  <c r="B186" i="42"/>
  <c r="B95" i="46" s="1"/>
  <c r="B96" i="145"/>
  <c r="B3" i="145"/>
  <c r="B51" i="145"/>
  <c r="B52" i="145" s="1"/>
  <c r="B6" i="46"/>
  <c r="B51" i="46"/>
  <c r="B52" i="46" s="1"/>
  <c r="G186" i="42"/>
  <c r="H95" i="145" s="1"/>
  <c r="F186" i="42"/>
  <c r="C186" i="42"/>
  <c r="E211" i="42"/>
  <c r="E212" i="42" s="1"/>
  <c r="B211" i="42"/>
  <c r="B218" i="145" s="1"/>
  <c r="B5" i="46"/>
  <c r="E31" i="42"/>
  <c r="G211" i="42"/>
  <c r="G212" i="42" s="1"/>
  <c r="F211" i="42"/>
  <c r="F212" i="42" s="1"/>
  <c r="E186" i="42"/>
  <c r="D186" i="42"/>
  <c r="D211" i="42"/>
  <c r="D212" i="42" s="1"/>
  <c r="B192" i="42"/>
  <c r="B208" i="42" s="1"/>
  <c r="B8" i="46"/>
  <c r="B43" i="42"/>
  <c r="B3" i="46"/>
  <c r="C211" i="42"/>
  <c r="C212" i="42" s="1"/>
  <c r="F192" i="42"/>
  <c r="F208" i="42" s="1"/>
  <c r="G217" i="145" s="1"/>
  <c r="E192" i="42"/>
  <c r="E208" i="42" s="1"/>
  <c r="F217" i="145" s="1"/>
  <c r="G102" i="42"/>
  <c r="G198" i="42"/>
  <c r="H138" i="145" s="1"/>
  <c r="H48" i="46"/>
  <c r="C198" i="42"/>
  <c r="D48" i="46"/>
  <c r="G191" i="42"/>
  <c r="H49" i="46"/>
  <c r="F198" i="42"/>
  <c r="G48" i="46"/>
  <c r="D198" i="42"/>
  <c r="E48" i="46"/>
  <c r="E198" i="42"/>
  <c r="F48" i="46"/>
  <c r="F102" i="42"/>
  <c r="F176" i="42"/>
  <c r="G49" i="145" s="1"/>
  <c r="D136" i="145"/>
  <c r="C103" i="42"/>
  <c r="C102" i="42"/>
  <c r="C176" i="42"/>
  <c r="D49" i="145" s="1"/>
  <c r="E102" i="42"/>
  <c r="E176" i="42"/>
  <c r="F49" i="145" s="1"/>
  <c r="F136" i="145"/>
  <c r="E103" i="42"/>
  <c r="G136" i="145"/>
  <c r="F103" i="42"/>
  <c r="E136" i="145"/>
  <c r="D103" i="42"/>
  <c r="D102" i="42"/>
  <c r="D176" i="42"/>
  <c r="E49" i="145" s="1"/>
  <c r="G103" i="42"/>
  <c r="H136" i="145"/>
  <c r="B87" i="42"/>
  <c r="B91" i="42"/>
  <c r="B178" i="42" s="1"/>
  <c r="B95" i="42"/>
  <c r="B199" i="42" s="1"/>
  <c r="B83" i="42"/>
  <c r="B176" i="42" s="1"/>
  <c r="B96" i="46"/>
  <c r="G209" i="42" l="1"/>
  <c r="H220" i="145" s="1"/>
  <c r="C6" i="46"/>
  <c r="C6" i="145"/>
  <c r="H217" i="46"/>
  <c r="G57" i="42"/>
  <c r="D31" i="42"/>
  <c r="D71" i="42" s="1"/>
  <c r="G31" i="42"/>
  <c r="G71" i="42" s="1"/>
  <c r="C95" i="46"/>
  <c r="AB8" i="146" s="1"/>
  <c r="B60" i="146"/>
  <c r="B14" i="146"/>
  <c r="B8" i="146"/>
  <c r="B98" i="46"/>
  <c r="B54" i="146"/>
  <c r="B15" i="146"/>
  <c r="B19" i="146" s="1"/>
  <c r="B9" i="146"/>
  <c r="B61" i="146"/>
  <c r="B66" i="146" s="1"/>
  <c r="B55" i="146"/>
  <c r="B143" i="42"/>
  <c r="B144" i="42" s="1"/>
  <c r="B179" i="42" s="1"/>
  <c r="C50" i="145" s="1"/>
  <c r="B125" i="42"/>
  <c r="B126" i="42" s="1"/>
  <c r="B127" i="42" s="1"/>
  <c r="G138" i="42"/>
  <c r="G139" i="42" s="1"/>
  <c r="G133" i="42"/>
  <c r="G134" i="42" s="1"/>
  <c r="F143" i="42"/>
  <c r="F144" i="42" s="1"/>
  <c r="F179" i="42" s="1"/>
  <c r="F133" i="42"/>
  <c r="F134" i="42" s="1"/>
  <c r="D138" i="42"/>
  <c r="D139" i="42" s="1"/>
  <c r="D125" i="42"/>
  <c r="D126" i="42" s="1"/>
  <c r="D128" i="42" s="1"/>
  <c r="D129" i="42" s="1"/>
  <c r="D177" i="42" s="1"/>
  <c r="C138" i="42"/>
  <c r="C139" i="42" s="1"/>
  <c r="C125" i="42"/>
  <c r="C126" i="42" s="1"/>
  <c r="C127" i="42" s="1"/>
  <c r="C143" i="42"/>
  <c r="C144" i="42" s="1"/>
  <c r="C179" i="42" s="1"/>
  <c r="D50" i="46" s="1"/>
  <c r="C38" i="42"/>
  <c r="C64" i="42" s="1"/>
  <c r="F37" i="42"/>
  <c r="D217" i="46"/>
  <c r="C209" i="42"/>
  <c r="D220" i="46" s="1"/>
  <c r="B9" i="145"/>
  <c r="E138" i="42"/>
  <c r="E139" i="42" s="1"/>
  <c r="E133" i="42"/>
  <c r="E134" i="42" s="1"/>
  <c r="E125" i="42"/>
  <c r="E126" i="42" s="1"/>
  <c r="E127" i="42" s="1"/>
  <c r="E143" i="42"/>
  <c r="E144" i="42" s="1"/>
  <c r="E179" i="42" s="1"/>
  <c r="D133" i="42"/>
  <c r="D134" i="42" s="1"/>
  <c r="F125" i="42"/>
  <c r="F126" i="42" s="1"/>
  <c r="F128" i="42" s="1"/>
  <c r="F129" i="42" s="1"/>
  <c r="F177" i="42" s="1"/>
  <c r="D143" i="42"/>
  <c r="D144" i="42" s="1"/>
  <c r="D179" i="42" s="1"/>
  <c r="E50" i="46" s="1"/>
  <c r="B138" i="42"/>
  <c r="B139" i="42" s="1"/>
  <c r="C39" i="42"/>
  <c r="C74" i="42" s="1"/>
  <c r="F138" i="42"/>
  <c r="F139" i="42" s="1"/>
  <c r="G125" i="42"/>
  <c r="G126" i="42" s="1"/>
  <c r="G127" i="42" s="1"/>
  <c r="B133" i="42"/>
  <c r="B134" i="42" s="1"/>
  <c r="F38" i="42"/>
  <c r="F73" i="42" s="1"/>
  <c r="C37" i="42"/>
  <c r="G143" i="42"/>
  <c r="G144" i="42" s="1"/>
  <c r="G179" i="42" s="1"/>
  <c r="H50" i="145" s="1"/>
  <c r="F39" i="42"/>
  <c r="F65" i="42" s="1"/>
  <c r="E217" i="46"/>
  <c r="D209" i="42"/>
  <c r="E220" i="145" s="1"/>
  <c r="F138" i="46"/>
  <c r="F138" i="145"/>
  <c r="D138" i="46"/>
  <c r="D138" i="145"/>
  <c r="D243" i="42"/>
  <c r="D249" i="42" s="1"/>
  <c r="E95" i="145"/>
  <c r="C49" i="46"/>
  <c r="C49" i="145"/>
  <c r="E243" i="42"/>
  <c r="E252" i="42" s="1"/>
  <c r="F95" i="145"/>
  <c r="D95" i="46"/>
  <c r="D95" i="145"/>
  <c r="H138" i="46"/>
  <c r="G138" i="46"/>
  <c r="G138" i="145"/>
  <c r="F243" i="42"/>
  <c r="F249" i="42" s="1"/>
  <c r="G95" i="145"/>
  <c r="H95" i="46"/>
  <c r="E138" i="46"/>
  <c r="E138" i="145"/>
  <c r="B243" i="42"/>
  <c r="C95" i="145"/>
  <c r="B95" i="145"/>
  <c r="B98" i="145" s="1"/>
  <c r="C217" i="145"/>
  <c r="B217" i="145"/>
  <c r="C48" i="46"/>
  <c r="C48" i="145"/>
  <c r="C243" i="42"/>
  <c r="C249" i="42" s="1"/>
  <c r="C136" i="145"/>
  <c r="G243" i="42"/>
  <c r="G249" i="42" s="1"/>
  <c r="D235" i="42"/>
  <c r="G95" i="46"/>
  <c r="C235" i="42"/>
  <c r="G235" i="42"/>
  <c r="H342" i="145" s="1"/>
  <c r="F235" i="42"/>
  <c r="G228" i="42"/>
  <c r="C228" i="42"/>
  <c r="F228" i="42"/>
  <c r="F95" i="46"/>
  <c r="E95" i="46"/>
  <c r="E39" i="42"/>
  <c r="E38" i="42"/>
  <c r="E37" i="42"/>
  <c r="C217" i="46"/>
  <c r="B217" i="46"/>
  <c r="B209" i="42"/>
  <c r="B9" i="46"/>
  <c r="B212" i="42"/>
  <c r="B218" i="46"/>
  <c r="F209" i="42"/>
  <c r="G217" i="46"/>
  <c r="E209" i="42"/>
  <c r="F217" i="46"/>
  <c r="B31" i="42"/>
  <c r="E71" i="42"/>
  <c r="G104" i="42"/>
  <c r="G106" i="42" s="1"/>
  <c r="G107" i="42" s="1"/>
  <c r="G108" i="42" s="1"/>
  <c r="D228" i="42"/>
  <c r="E104" i="42"/>
  <c r="E106" i="42" s="1"/>
  <c r="E107" i="42" s="1"/>
  <c r="E108" i="42" s="1"/>
  <c r="C104" i="42"/>
  <c r="C111" i="42" s="1"/>
  <c r="C112" i="42" s="1"/>
  <c r="E228" i="42"/>
  <c r="E235" i="42"/>
  <c r="F227" i="42"/>
  <c r="G136" i="46"/>
  <c r="D227" i="42"/>
  <c r="E136" i="46"/>
  <c r="E191" i="42"/>
  <c r="F49" i="46"/>
  <c r="D191" i="42"/>
  <c r="E49" i="46"/>
  <c r="E227" i="42"/>
  <c r="F136" i="46"/>
  <c r="C191" i="42"/>
  <c r="D49" i="46"/>
  <c r="G227" i="42"/>
  <c r="H136" i="46"/>
  <c r="C227" i="42"/>
  <c r="D136" i="46"/>
  <c r="F191" i="42"/>
  <c r="G49" i="46"/>
  <c r="F104" i="42"/>
  <c r="D104" i="42"/>
  <c r="B191" i="42"/>
  <c r="B103" i="42"/>
  <c r="B198" i="42"/>
  <c r="C138" i="145" s="1"/>
  <c r="B102" i="42"/>
  <c r="H220" i="46" l="1"/>
  <c r="D37" i="42"/>
  <c r="D44" i="42" s="1"/>
  <c r="D39" i="42"/>
  <c r="D52" i="42" s="1"/>
  <c r="D38" i="42"/>
  <c r="D64" i="42" s="1"/>
  <c r="G37" i="42"/>
  <c r="G72" i="42" s="1"/>
  <c r="F72" i="42"/>
  <c r="F75" i="42"/>
  <c r="F76" i="42"/>
  <c r="C44" i="42"/>
  <c r="C76" i="42"/>
  <c r="C75" i="42"/>
  <c r="G38" i="42"/>
  <c r="G45" i="42" s="1"/>
  <c r="E75" i="42"/>
  <c r="E76" i="42"/>
  <c r="G39" i="42"/>
  <c r="G65" i="42" s="1"/>
  <c r="B71" i="42"/>
  <c r="R8" i="146"/>
  <c r="B11" i="146"/>
  <c r="G128" i="42"/>
  <c r="G129" i="42" s="1"/>
  <c r="G177" i="42" s="1"/>
  <c r="H47" i="145" s="1"/>
  <c r="AB14" i="146"/>
  <c r="E50" i="145"/>
  <c r="M8" i="146"/>
  <c r="E247" i="42"/>
  <c r="C50" i="46"/>
  <c r="E251" i="42"/>
  <c r="F246" i="42"/>
  <c r="E246" i="42"/>
  <c r="C145" i="42"/>
  <c r="C180" i="42" s="1"/>
  <c r="D51" i="46" s="1"/>
  <c r="D50" i="145"/>
  <c r="E250" i="42"/>
  <c r="C128" i="42"/>
  <c r="C129" i="42" s="1"/>
  <c r="C177" i="42" s="1"/>
  <c r="D47" i="46" s="1"/>
  <c r="E249" i="42"/>
  <c r="D220" i="145"/>
  <c r="F251" i="42"/>
  <c r="E248" i="42"/>
  <c r="E253" i="42"/>
  <c r="F247" i="42"/>
  <c r="F250" i="42"/>
  <c r="E245" i="42"/>
  <c r="J8" i="146"/>
  <c r="C8" i="146"/>
  <c r="C65" i="42"/>
  <c r="C66" i="42" s="1"/>
  <c r="C67" i="42" s="1"/>
  <c r="C171" i="42" s="1"/>
  <c r="D7" i="145" s="1"/>
  <c r="E128" i="42"/>
  <c r="E129" i="42" s="1"/>
  <c r="E177" i="42" s="1"/>
  <c r="F47" i="46" s="1"/>
  <c r="H298" i="145"/>
  <c r="B145" i="42"/>
  <c r="B180" i="42" s="1"/>
  <c r="C51" i="46" s="1"/>
  <c r="P8" i="146"/>
  <c r="F8" i="146"/>
  <c r="S8" i="146"/>
  <c r="B57" i="146"/>
  <c r="B128" i="42"/>
  <c r="B129" i="42" s="1"/>
  <c r="B177" i="42" s="1"/>
  <c r="C47" i="145" s="1"/>
  <c r="H8" i="146"/>
  <c r="U8" i="146"/>
  <c r="K8" i="146"/>
  <c r="Q8" i="146"/>
  <c r="O8" i="146"/>
  <c r="T8" i="146"/>
  <c r="U60" i="146"/>
  <c r="D60" i="146"/>
  <c r="H60" i="146"/>
  <c r="B69" i="146"/>
  <c r="G60" i="146"/>
  <c r="V60" i="146"/>
  <c r="J60" i="146"/>
  <c r="C60" i="146"/>
  <c r="T60" i="146"/>
  <c r="E60" i="146"/>
  <c r="N60" i="146"/>
  <c r="I60" i="146"/>
  <c r="Z60" i="146"/>
  <c r="S60" i="146"/>
  <c r="W60" i="146"/>
  <c r="Q60" i="146"/>
  <c r="R60" i="146"/>
  <c r="K60" i="146"/>
  <c r="M60" i="146"/>
  <c r="P60" i="146"/>
  <c r="AA60" i="146"/>
  <c r="F60" i="146"/>
  <c r="O60" i="146"/>
  <c r="Y60" i="146"/>
  <c r="L60" i="146"/>
  <c r="X60" i="146"/>
  <c r="Y8" i="146"/>
  <c r="E8" i="146"/>
  <c r="AB54" i="146"/>
  <c r="AA54" i="146" s="1"/>
  <c r="AB60" i="146"/>
  <c r="I8" i="146"/>
  <c r="G8" i="146"/>
  <c r="L8" i="146"/>
  <c r="W8" i="146"/>
  <c r="Z8" i="146"/>
  <c r="V8" i="146"/>
  <c r="D8" i="146"/>
  <c r="D14" i="146"/>
  <c r="B22" i="146"/>
  <c r="Q14" i="146"/>
  <c r="C14" i="146"/>
  <c r="M14" i="146"/>
  <c r="N14" i="146"/>
  <c r="F14" i="146"/>
  <c r="X14" i="146"/>
  <c r="L14" i="146"/>
  <c r="H14" i="146"/>
  <c r="AA14" i="146"/>
  <c r="U14" i="146"/>
  <c r="P14" i="146"/>
  <c r="E14" i="146"/>
  <c r="Z14" i="146"/>
  <c r="W14" i="146"/>
  <c r="S14" i="146"/>
  <c r="J14" i="146"/>
  <c r="O14" i="146"/>
  <c r="I14" i="146"/>
  <c r="V14" i="146"/>
  <c r="K14" i="146"/>
  <c r="Y14" i="146"/>
  <c r="G14" i="146"/>
  <c r="T14" i="146"/>
  <c r="R14" i="146"/>
  <c r="X8" i="146"/>
  <c r="N8" i="146"/>
  <c r="AA8" i="146"/>
  <c r="F59" i="42"/>
  <c r="E220" i="46"/>
  <c r="F145" i="42"/>
  <c r="F180" i="42" s="1"/>
  <c r="G51" i="46" s="1"/>
  <c r="C45" i="42"/>
  <c r="C58" i="42"/>
  <c r="F74" i="42"/>
  <c r="F52" i="42"/>
  <c r="D72" i="42"/>
  <c r="G145" i="42"/>
  <c r="G180" i="42" s="1"/>
  <c r="H51" i="145" s="1"/>
  <c r="C73" i="42"/>
  <c r="E145" i="42"/>
  <c r="E180" i="42" s="1"/>
  <c r="F51" i="46" s="1"/>
  <c r="C51" i="42"/>
  <c r="D127" i="42"/>
  <c r="D145" i="42"/>
  <c r="D180" i="42" s="1"/>
  <c r="E51" i="46" s="1"/>
  <c r="F64" i="42"/>
  <c r="F66" i="42" s="1"/>
  <c r="F67" i="42" s="1"/>
  <c r="F171" i="42" s="1"/>
  <c r="G7" i="145" s="1"/>
  <c r="F44" i="42"/>
  <c r="F46" i="42"/>
  <c r="F45" i="42"/>
  <c r="F51" i="42"/>
  <c r="F58" i="42"/>
  <c r="F127" i="42"/>
  <c r="C59" i="42"/>
  <c r="C72" i="42"/>
  <c r="C46" i="42"/>
  <c r="C52" i="42"/>
  <c r="E298" i="145"/>
  <c r="C251" i="42"/>
  <c r="F298" i="145"/>
  <c r="D298" i="145"/>
  <c r="C245" i="42"/>
  <c r="C248" i="42"/>
  <c r="C250" i="42"/>
  <c r="D252" i="42"/>
  <c r="D251" i="42"/>
  <c r="D253" i="42"/>
  <c r="D247" i="42"/>
  <c r="D245" i="42"/>
  <c r="D250" i="42"/>
  <c r="D248" i="42"/>
  <c r="D246" i="42"/>
  <c r="F252" i="42"/>
  <c r="B251" i="42"/>
  <c r="B245" i="42"/>
  <c r="B247" i="42"/>
  <c r="B248" i="42"/>
  <c r="B250" i="42"/>
  <c r="B253" i="42"/>
  <c r="B252" i="42"/>
  <c r="B246" i="42"/>
  <c r="B249" i="42"/>
  <c r="F245" i="42"/>
  <c r="G298" i="145"/>
  <c r="F236" i="42"/>
  <c r="G342" i="145"/>
  <c r="H50" i="46"/>
  <c r="F253" i="42"/>
  <c r="F248" i="42"/>
  <c r="G236" i="42"/>
  <c r="H346" i="145" s="1"/>
  <c r="D236" i="42"/>
  <c r="E342" i="145"/>
  <c r="E236" i="42"/>
  <c r="F342" i="145"/>
  <c r="E47" i="46"/>
  <c r="E47" i="145"/>
  <c r="C236" i="42"/>
  <c r="D342" i="145"/>
  <c r="F50" i="46"/>
  <c r="F50" i="145"/>
  <c r="B221" i="46"/>
  <c r="B221" i="145"/>
  <c r="C220" i="145"/>
  <c r="B220" i="145"/>
  <c r="F220" i="46"/>
  <c r="F220" i="145"/>
  <c r="G220" i="46"/>
  <c r="G220" i="145"/>
  <c r="G50" i="46"/>
  <c r="G50" i="145"/>
  <c r="G47" i="46"/>
  <c r="G47" i="145"/>
  <c r="C252" i="42"/>
  <c r="C246" i="42"/>
  <c r="C247" i="42"/>
  <c r="C253" i="42"/>
  <c r="G248" i="42"/>
  <c r="G246" i="42"/>
  <c r="G247" i="42"/>
  <c r="G245" i="42"/>
  <c r="G252" i="42"/>
  <c r="G253" i="42"/>
  <c r="G250" i="42"/>
  <c r="G251" i="42"/>
  <c r="D342" i="46"/>
  <c r="H342" i="46"/>
  <c r="E342" i="46"/>
  <c r="G298" i="46"/>
  <c r="D298" i="46"/>
  <c r="G342" i="46"/>
  <c r="H298" i="46"/>
  <c r="F342" i="46"/>
  <c r="G111" i="42"/>
  <c r="G112" i="42" s="1"/>
  <c r="G114" i="42"/>
  <c r="G116" i="42" s="1"/>
  <c r="G117" i="42" s="1"/>
  <c r="C114" i="42"/>
  <c r="C116" i="42" s="1"/>
  <c r="C117" i="42" s="1"/>
  <c r="E44" i="42"/>
  <c r="E72" i="42"/>
  <c r="C220" i="46"/>
  <c r="B220" i="46"/>
  <c r="E73" i="42"/>
  <c r="E45" i="42"/>
  <c r="E64" i="42"/>
  <c r="E58" i="42"/>
  <c r="E51" i="42"/>
  <c r="C106" i="42"/>
  <c r="C107" i="42" s="1"/>
  <c r="C108" i="42" s="1"/>
  <c r="B39" i="42"/>
  <c r="B38" i="42"/>
  <c r="B37" i="42"/>
  <c r="E52" i="42"/>
  <c r="E46" i="42"/>
  <c r="E65" i="42"/>
  <c r="E74" i="42"/>
  <c r="E59" i="42"/>
  <c r="F298" i="46"/>
  <c r="E114" i="42"/>
  <c r="E116" i="42" s="1"/>
  <c r="E117" i="42" s="1"/>
  <c r="E111" i="42"/>
  <c r="E112" i="42" s="1"/>
  <c r="E298" i="46"/>
  <c r="F106" i="42"/>
  <c r="F107" i="42" s="1"/>
  <c r="F108" i="42" s="1"/>
  <c r="F111" i="42"/>
  <c r="F112" i="42" s="1"/>
  <c r="F114" i="42"/>
  <c r="F116" i="42" s="1"/>
  <c r="F117" i="42" s="1"/>
  <c r="B235" i="42"/>
  <c r="B228" i="42"/>
  <c r="D111" i="42"/>
  <c r="D112" i="42" s="1"/>
  <c r="D114" i="42"/>
  <c r="D116" i="42" s="1"/>
  <c r="D117" i="42" s="1"/>
  <c r="D106" i="42"/>
  <c r="D107" i="42" s="1"/>
  <c r="D108" i="42" s="1"/>
  <c r="C136" i="46"/>
  <c r="B227" i="42"/>
  <c r="C138" i="46"/>
  <c r="B104" i="42"/>
  <c r="D58" i="42" l="1"/>
  <c r="D65" i="42"/>
  <c r="D66" i="42" s="1"/>
  <c r="D67" i="42" s="1"/>
  <c r="D171" i="42" s="1"/>
  <c r="D221" i="42" s="1"/>
  <c r="D232" i="42" s="1"/>
  <c r="E341" i="145" s="1"/>
  <c r="D74" i="42"/>
  <c r="D59" i="42"/>
  <c r="D51" i="42"/>
  <c r="D53" i="42" s="1"/>
  <c r="D168" i="42" s="1"/>
  <c r="E4" i="46" s="1"/>
  <c r="D76" i="42"/>
  <c r="D45" i="42"/>
  <c r="D46" i="42"/>
  <c r="G58" i="42"/>
  <c r="G73" i="42"/>
  <c r="H47" i="46"/>
  <c r="D75" i="42"/>
  <c r="D73" i="42"/>
  <c r="G51" i="42"/>
  <c r="G74" i="42"/>
  <c r="G64" i="42"/>
  <c r="G66" i="42" s="1"/>
  <c r="G67" i="42" s="1"/>
  <c r="G171" i="42" s="1"/>
  <c r="H7" i="145" s="1"/>
  <c r="G46" i="42"/>
  <c r="G59" i="42"/>
  <c r="G52" i="42"/>
  <c r="F77" i="42"/>
  <c r="F172" i="42" s="1"/>
  <c r="G8" i="145" s="1"/>
  <c r="G75" i="42"/>
  <c r="G76" i="42"/>
  <c r="E77" i="42"/>
  <c r="E172" i="42" s="1"/>
  <c r="C77" i="42"/>
  <c r="C172" i="42" s="1"/>
  <c r="D8" i="46" s="1"/>
  <c r="B72" i="42"/>
  <c r="B76" i="42"/>
  <c r="B75" i="42"/>
  <c r="G44" i="42"/>
  <c r="C47" i="42"/>
  <c r="C167" i="42" s="1"/>
  <c r="D3" i="145" s="1"/>
  <c r="H52" i="145"/>
  <c r="C51" i="145"/>
  <c r="C52" i="145" s="1"/>
  <c r="D47" i="145"/>
  <c r="H51" i="46"/>
  <c r="F51" i="145"/>
  <c r="D51" i="145"/>
  <c r="F47" i="145"/>
  <c r="M54" i="146"/>
  <c r="E51" i="145"/>
  <c r="E52" i="145" s="1"/>
  <c r="S54" i="146"/>
  <c r="Z54" i="146"/>
  <c r="F54" i="146"/>
  <c r="P54" i="146"/>
  <c r="T54" i="146"/>
  <c r="C47" i="46"/>
  <c r="C52" i="46" s="1"/>
  <c r="L54" i="146"/>
  <c r="U54" i="146"/>
  <c r="E54" i="146"/>
  <c r="Y54" i="146"/>
  <c r="K54" i="146"/>
  <c r="F60" i="42"/>
  <c r="F109" i="42" s="1"/>
  <c r="F169" i="42" s="1"/>
  <c r="F190" i="42" s="1"/>
  <c r="C60" i="42"/>
  <c r="C109" i="42" s="1"/>
  <c r="C169" i="42" s="1"/>
  <c r="D5" i="145" s="1"/>
  <c r="R54" i="146"/>
  <c r="X54" i="146"/>
  <c r="C54" i="146"/>
  <c r="V54" i="146"/>
  <c r="O54" i="146"/>
  <c r="D7" i="46"/>
  <c r="I54" i="146"/>
  <c r="W54" i="146"/>
  <c r="H54" i="146"/>
  <c r="J54" i="146"/>
  <c r="N54" i="146"/>
  <c r="C221" i="42"/>
  <c r="C232" i="42" s="1"/>
  <c r="D341" i="145" s="1"/>
  <c r="Q54" i="146"/>
  <c r="D54" i="146"/>
  <c r="G54" i="146"/>
  <c r="G51" i="145"/>
  <c r="G52" i="145" s="1"/>
  <c r="G7" i="46"/>
  <c r="F221" i="42"/>
  <c r="F232" i="42" s="1"/>
  <c r="G341" i="145" s="1"/>
  <c r="F53" i="42"/>
  <c r="F168" i="42" s="1"/>
  <c r="G4" i="145" s="1"/>
  <c r="C53" i="42"/>
  <c r="C168" i="42" s="1"/>
  <c r="C185" i="42" s="1"/>
  <c r="D97" i="145" s="1"/>
  <c r="F47" i="42"/>
  <c r="F167" i="42" s="1"/>
  <c r="E52" i="46"/>
  <c r="G52" i="46"/>
  <c r="D52" i="46"/>
  <c r="F52" i="46"/>
  <c r="C298" i="145"/>
  <c r="B428" i="46"/>
  <c r="B428" i="145"/>
  <c r="H346" i="46"/>
  <c r="B430" i="46"/>
  <c r="B430" i="145"/>
  <c r="B431" i="46"/>
  <c r="B431" i="145"/>
  <c r="F346" i="46"/>
  <c r="F346" i="145"/>
  <c r="B432" i="46"/>
  <c r="B432" i="145"/>
  <c r="B424" i="145"/>
  <c r="H424" i="145" s="1"/>
  <c r="B424" i="46"/>
  <c r="B429" i="46"/>
  <c r="B429" i="145"/>
  <c r="B427" i="46"/>
  <c r="B427" i="145"/>
  <c r="E346" i="46"/>
  <c r="E346" i="145"/>
  <c r="B433" i="46"/>
  <c r="B433" i="145"/>
  <c r="B426" i="46"/>
  <c r="B426" i="145"/>
  <c r="D346" i="46"/>
  <c r="D346" i="145"/>
  <c r="G346" i="46"/>
  <c r="G346" i="145"/>
  <c r="B425" i="46"/>
  <c r="B425" i="145"/>
  <c r="C342" i="46"/>
  <c r="C342" i="145"/>
  <c r="E53" i="42"/>
  <c r="E168" i="42" s="1"/>
  <c r="E60" i="42"/>
  <c r="E109" i="42" s="1"/>
  <c r="E169" i="42" s="1"/>
  <c r="B59" i="42"/>
  <c r="B46" i="42"/>
  <c r="B52" i="42"/>
  <c r="B74" i="42"/>
  <c r="B65" i="42"/>
  <c r="B45" i="42"/>
  <c r="B51" i="42"/>
  <c r="B73" i="42"/>
  <c r="B64" i="42"/>
  <c r="B58" i="42"/>
  <c r="E47" i="42"/>
  <c r="E66" i="42"/>
  <c r="E67" i="42" s="1"/>
  <c r="E171" i="42" s="1"/>
  <c r="F7" i="145" s="1"/>
  <c r="B44" i="42"/>
  <c r="B236" i="42"/>
  <c r="B111" i="42"/>
  <c r="B114" i="42"/>
  <c r="B116" i="42" s="1"/>
  <c r="C298" i="46"/>
  <c r="B106" i="42"/>
  <c r="B107" i="42" s="1"/>
  <c r="B108" i="42" s="1"/>
  <c r="E7" i="145" l="1"/>
  <c r="D60" i="42"/>
  <c r="D109" i="42" s="1"/>
  <c r="D169" i="42" s="1"/>
  <c r="D214" i="42" s="1"/>
  <c r="E218" i="145" s="1"/>
  <c r="E7" i="46"/>
  <c r="D197" i="42"/>
  <c r="E137" i="46" s="1"/>
  <c r="E4" i="145"/>
  <c r="D47" i="42"/>
  <c r="D167" i="42" s="1"/>
  <c r="D184" i="42" s="1"/>
  <c r="D185" i="42"/>
  <c r="D201" i="42" s="1"/>
  <c r="D202" i="42" s="1"/>
  <c r="E179" i="46" s="1"/>
  <c r="G60" i="42"/>
  <c r="G109" i="42" s="1"/>
  <c r="G169" i="42" s="1"/>
  <c r="H5" i="145" s="1"/>
  <c r="D77" i="42"/>
  <c r="D172" i="42" s="1"/>
  <c r="D220" i="42" s="1"/>
  <c r="D222" i="42" s="1"/>
  <c r="H52" i="46"/>
  <c r="G53" i="42"/>
  <c r="G168" i="42" s="1"/>
  <c r="H4" i="145" s="1"/>
  <c r="H7" i="46"/>
  <c r="G221" i="42"/>
  <c r="G232" i="42" s="1"/>
  <c r="H341" i="145" s="1"/>
  <c r="G77" i="42"/>
  <c r="G172" i="42" s="1"/>
  <c r="H8" i="145" s="1"/>
  <c r="C184" i="42"/>
  <c r="D96" i="145" s="1"/>
  <c r="G47" i="42"/>
  <c r="G167" i="42" s="1"/>
  <c r="H3" i="145" s="1"/>
  <c r="B77" i="42"/>
  <c r="D3" i="46"/>
  <c r="D52" i="145"/>
  <c r="F52" i="145"/>
  <c r="D233" i="42"/>
  <c r="E345" i="46" s="1"/>
  <c r="E348" i="46" s="1"/>
  <c r="E341" i="46"/>
  <c r="D341" i="46"/>
  <c r="C233" i="42"/>
  <c r="D345" i="46" s="1"/>
  <c r="D348" i="46" s="1"/>
  <c r="C197" i="42"/>
  <c r="D137" i="145" s="1"/>
  <c r="F185" i="42"/>
  <c r="G97" i="145" s="1"/>
  <c r="F197" i="42"/>
  <c r="G137" i="46" s="1"/>
  <c r="G4" i="46"/>
  <c r="D4" i="46"/>
  <c r="D4" i="145"/>
  <c r="G341" i="46"/>
  <c r="C201" i="42"/>
  <c r="C202" i="42" s="1"/>
  <c r="D179" i="46" s="1"/>
  <c r="D97" i="46"/>
  <c r="F233" i="42"/>
  <c r="G345" i="145" s="1"/>
  <c r="F220" i="42"/>
  <c r="F222" i="42" s="1"/>
  <c r="G297" i="46" s="1"/>
  <c r="G8" i="46"/>
  <c r="D5" i="46"/>
  <c r="D8" i="145"/>
  <c r="C220" i="42"/>
  <c r="C222" i="42" s="1"/>
  <c r="D297" i="145" s="1"/>
  <c r="C190" i="42"/>
  <c r="C214" i="42"/>
  <c r="D218" i="46" s="1"/>
  <c r="D424" i="46"/>
  <c r="E424" i="46"/>
  <c r="F424" i="46"/>
  <c r="C424" i="46"/>
  <c r="G424" i="46"/>
  <c r="H424" i="46"/>
  <c r="E424" i="145"/>
  <c r="D424" i="145"/>
  <c r="G424" i="145"/>
  <c r="F424" i="145"/>
  <c r="C424" i="145"/>
  <c r="F214" i="42"/>
  <c r="G218" i="145" s="1"/>
  <c r="F4" i="46"/>
  <c r="F4" i="145"/>
  <c r="G5" i="46"/>
  <c r="G5" i="145"/>
  <c r="C346" i="46"/>
  <c r="C346" i="145"/>
  <c r="F184" i="42"/>
  <c r="G3" i="145"/>
  <c r="F5" i="46"/>
  <c r="F5" i="145"/>
  <c r="F8" i="46"/>
  <c r="F8" i="145"/>
  <c r="E5" i="46"/>
  <c r="G3" i="46"/>
  <c r="E214" i="42"/>
  <c r="E197" i="42"/>
  <c r="E190" i="42"/>
  <c r="E167" i="42"/>
  <c r="E185" i="42"/>
  <c r="B60" i="42"/>
  <c r="B109" i="42" s="1"/>
  <c r="B169" i="42" s="1"/>
  <c r="B53" i="42"/>
  <c r="B168" i="42" s="1"/>
  <c r="B47" i="42"/>
  <c r="E221" i="42"/>
  <c r="E232" i="42" s="1"/>
  <c r="F341" i="145" s="1"/>
  <c r="F7" i="46"/>
  <c r="B66" i="42"/>
  <c r="B67" i="42" s="1"/>
  <c r="B171" i="42" s="1"/>
  <c r="C7" i="145" s="1"/>
  <c r="E220" i="42"/>
  <c r="D215" i="42"/>
  <c r="B117" i="42"/>
  <c r="B112" i="42"/>
  <c r="D190" i="42" l="1"/>
  <c r="E218" i="46"/>
  <c r="E5" i="145"/>
  <c r="E137" i="145"/>
  <c r="E97" i="145"/>
  <c r="E97" i="46"/>
  <c r="E179" i="145"/>
  <c r="D262" i="42"/>
  <c r="D272" i="42" s="1"/>
  <c r="E426" i="46" s="1"/>
  <c r="E3" i="145"/>
  <c r="E3" i="46"/>
  <c r="H5" i="46"/>
  <c r="G214" i="42"/>
  <c r="H218" i="145" s="1"/>
  <c r="G190" i="42"/>
  <c r="G197" i="42"/>
  <c r="H137" i="145" s="1"/>
  <c r="G185" i="42"/>
  <c r="G201" i="42" s="1"/>
  <c r="G202" i="42" s="1"/>
  <c r="H179" i="145" s="1"/>
  <c r="H4" i="46"/>
  <c r="E8" i="145"/>
  <c r="E8" i="46"/>
  <c r="C256" i="42"/>
  <c r="C266" i="42" s="1"/>
  <c r="D433" i="145" s="1"/>
  <c r="C262" i="42"/>
  <c r="C272" i="42" s="1"/>
  <c r="D426" i="46" s="1"/>
  <c r="H3" i="46"/>
  <c r="H8" i="46"/>
  <c r="H9" i="145"/>
  <c r="G220" i="42"/>
  <c r="G222" i="42" s="1"/>
  <c r="H297" i="145" s="1"/>
  <c r="C255" i="42"/>
  <c r="C265" i="42" s="1"/>
  <c r="D432" i="46" s="1"/>
  <c r="G184" i="42"/>
  <c r="H96" i="145" s="1"/>
  <c r="H341" i="46"/>
  <c r="G233" i="42"/>
  <c r="H345" i="145" s="1"/>
  <c r="H348" i="145" s="1"/>
  <c r="C257" i="42"/>
  <c r="C267" i="42" s="1"/>
  <c r="D431" i="145" s="1"/>
  <c r="D98" i="145"/>
  <c r="D99" i="145" s="1"/>
  <c r="C260" i="42"/>
  <c r="C270" i="42" s="1"/>
  <c r="D428" i="46" s="1"/>
  <c r="C261" i="42"/>
  <c r="C271" i="42" s="1"/>
  <c r="D427" i="46" s="1"/>
  <c r="C263" i="42"/>
  <c r="C273" i="42" s="1"/>
  <c r="D425" i="145" s="1"/>
  <c r="C258" i="42"/>
  <c r="C268" i="42" s="1"/>
  <c r="D430" i="46" s="1"/>
  <c r="C259" i="42"/>
  <c r="C269" i="42" s="1"/>
  <c r="D429" i="46" s="1"/>
  <c r="D96" i="46"/>
  <c r="E345" i="145"/>
  <c r="E348" i="145" s="1"/>
  <c r="F201" i="42"/>
  <c r="F202" i="42" s="1"/>
  <c r="G179" i="46" s="1"/>
  <c r="G97" i="46"/>
  <c r="G345" i="46"/>
  <c r="G348" i="46" s="1"/>
  <c r="D345" i="145"/>
  <c r="D348" i="145" s="1"/>
  <c r="D9" i="145"/>
  <c r="G137" i="145"/>
  <c r="D9" i="46"/>
  <c r="D137" i="46"/>
  <c r="AB56" i="146"/>
  <c r="AB62" i="146"/>
  <c r="F259" i="42"/>
  <c r="F269" i="42" s="1"/>
  <c r="G429" i="46" s="1"/>
  <c r="D179" i="145"/>
  <c r="D218" i="145"/>
  <c r="G297" i="145"/>
  <c r="C215" i="42"/>
  <c r="D221" i="46" s="1"/>
  <c r="D297" i="46"/>
  <c r="F215" i="42"/>
  <c r="G221" i="145" s="1"/>
  <c r="D258" i="42"/>
  <c r="D268" i="42" s="1"/>
  <c r="E430" i="145" s="1"/>
  <c r="G218" i="46"/>
  <c r="D260" i="42"/>
  <c r="D270" i="42" s="1"/>
  <c r="E428" i="46" s="1"/>
  <c r="D263" i="42"/>
  <c r="D273" i="42" s="1"/>
  <c r="E425" i="46" s="1"/>
  <c r="D255" i="42"/>
  <c r="D265" i="42" s="1"/>
  <c r="E432" i="145" s="1"/>
  <c r="D256" i="42"/>
  <c r="D266" i="42" s="1"/>
  <c r="E433" i="46" s="1"/>
  <c r="G9" i="46"/>
  <c r="D261" i="42"/>
  <c r="D271" i="42" s="1"/>
  <c r="E427" i="145" s="1"/>
  <c r="F262" i="42"/>
  <c r="F272" i="42" s="1"/>
  <c r="G426" i="46" s="1"/>
  <c r="F263" i="42"/>
  <c r="F273" i="42" s="1"/>
  <c r="G425" i="46" s="1"/>
  <c r="D257" i="42"/>
  <c r="D267" i="42" s="1"/>
  <c r="E431" i="46" s="1"/>
  <c r="F255" i="42"/>
  <c r="F265" i="42" s="1"/>
  <c r="G432" i="145" s="1"/>
  <c r="D259" i="42"/>
  <c r="D269" i="42" s="1"/>
  <c r="E429" i="46" s="1"/>
  <c r="F256" i="42"/>
  <c r="F266" i="42" s="1"/>
  <c r="G433" i="46" s="1"/>
  <c r="F260" i="42"/>
  <c r="F270" i="42" s="1"/>
  <c r="G428" i="145" s="1"/>
  <c r="F261" i="42"/>
  <c r="F271" i="42" s="1"/>
  <c r="G427" i="145" s="1"/>
  <c r="F257" i="42"/>
  <c r="F267" i="42" s="1"/>
  <c r="G431" i="46" s="1"/>
  <c r="F258" i="42"/>
  <c r="F268" i="42" s="1"/>
  <c r="G430" i="46" s="1"/>
  <c r="E349" i="46"/>
  <c r="F137" i="46"/>
  <c r="F137" i="145"/>
  <c r="B197" i="42"/>
  <c r="C137" i="46" s="1"/>
  <c r="C4" i="145"/>
  <c r="E201" i="42"/>
  <c r="E202" i="42" s="1"/>
  <c r="F97" i="145"/>
  <c r="G349" i="145"/>
  <c r="G348" i="145"/>
  <c r="D349" i="46"/>
  <c r="G9" i="145"/>
  <c r="G96" i="46"/>
  <c r="G96" i="145"/>
  <c r="F218" i="46"/>
  <c r="F218" i="145"/>
  <c r="E184" i="42"/>
  <c r="F96" i="145" s="1"/>
  <c r="F3" i="145"/>
  <c r="F9" i="145" s="1"/>
  <c r="E96" i="46"/>
  <c r="E96" i="145"/>
  <c r="E221" i="46"/>
  <c r="E221" i="145"/>
  <c r="E297" i="46"/>
  <c r="E297" i="145"/>
  <c r="C5" i="46"/>
  <c r="C5" i="145"/>
  <c r="E215" i="42"/>
  <c r="B172" i="42"/>
  <c r="F97" i="46"/>
  <c r="F3" i="46"/>
  <c r="F9" i="46" s="1"/>
  <c r="B167" i="42"/>
  <c r="B214" i="42"/>
  <c r="B190" i="42"/>
  <c r="B185" i="42"/>
  <c r="C4" i="46"/>
  <c r="E222" i="42"/>
  <c r="E233" i="42"/>
  <c r="F341" i="46"/>
  <c r="C7" i="46"/>
  <c r="B221" i="42"/>
  <c r="B232" i="42" s="1"/>
  <c r="C341" i="145" s="1"/>
  <c r="H218" i="46" l="1"/>
  <c r="E9" i="46"/>
  <c r="G215" i="42"/>
  <c r="H221" i="145" s="1"/>
  <c r="E9" i="145"/>
  <c r="H137" i="46"/>
  <c r="E426" i="145"/>
  <c r="H97" i="46"/>
  <c r="H179" i="46"/>
  <c r="D433" i="46"/>
  <c r="H97" i="145"/>
  <c r="H98" i="145" s="1"/>
  <c r="H99" i="145" s="1"/>
  <c r="D426" i="145"/>
  <c r="H9" i="46"/>
  <c r="D432" i="145"/>
  <c r="H297" i="46"/>
  <c r="D429" i="145"/>
  <c r="D431" i="46"/>
  <c r="H345" i="46"/>
  <c r="H349" i="46" s="1"/>
  <c r="G263" i="42"/>
  <c r="G273" i="42" s="1"/>
  <c r="H425" i="145" s="1"/>
  <c r="G257" i="42"/>
  <c r="G267" i="42" s="1"/>
  <c r="H431" i="145" s="1"/>
  <c r="G258" i="42"/>
  <c r="G268" i="42" s="1"/>
  <c r="H430" i="46" s="1"/>
  <c r="H349" i="145"/>
  <c r="G262" i="42"/>
  <c r="G272" i="42" s="1"/>
  <c r="H426" i="145" s="1"/>
  <c r="G259" i="42"/>
  <c r="G269" i="42" s="1"/>
  <c r="H429" i="46" s="1"/>
  <c r="G260" i="42"/>
  <c r="G270" i="42" s="1"/>
  <c r="H428" i="46" s="1"/>
  <c r="G256" i="42"/>
  <c r="G266" i="42" s="1"/>
  <c r="H433" i="46" s="1"/>
  <c r="G261" i="42"/>
  <c r="G271" i="42" s="1"/>
  <c r="H427" i="46" s="1"/>
  <c r="H96" i="46"/>
  <c r="D425" i="46"/>
  <c r="G255" i="42"/>
  <c r="G265" i="42" s="1"/>
  <c r="H432" i="145" s="1"/>
  <c r="D427" i="145"/>
  <c r="E349" i="145"/>
  <c r="G179" i="145"/>
  <c r="D428" i="145"/>
  <c r="D430" i="145"/>
  <c r="D98" i="46"/>
  <c r="D99" i="46" s="1"/>
  <c r="AB61" i="146"/>
  <c r="AB55" i="146"/>
  <c r="B65" i="146" s="1"/>
  <c r="D349" i="145"/>
  <c r="G349" i="46"/>
  <c r="E425" i="145"/>
  <c r="G98" i="145"/>
  <c r="G99" i="145" s="1"/>
  <c r="L56" i="146"/>
  <c r="P56" i="146"/>
  <c r="N56" i="146"/>
  <c r="Q56" i="146"/>
  <c r="K56" i="146"/>
  <c r="D56" i="146"/>
  <c r="G56" i="146"/>
  <c r="Y56" i="146"/>
  <c r="S56" i="146"/>
  <c r="V56" i="146"/>
  <c r="O56" i="146"/>
  <c r="T56" i="146"/>
  <c r="J56" i="146"/>
  <c r="W56" i="146"/>
  <c r="M56" i="146"/>
  <c r="U56" i="146"/>
  <c r="R56" i="146"/>
  <c r="X56" i="146"/>
  <c r="AA56" i="146"/>
  <c r="H56" i="146"/>
  <c r="E56" i="146"/>
  <c r="I56" i="146"/>
  <c r="Z56" i="146"/>
  <c r="C56" i="146"/>
  <c r="F56" i="146"/>
  <c r="E98" i="145"/>
  <c r="E99" i="145" s="1"/>
  <c r="E98" i="46"/>
  <c r="E99" i="46" s="1"/>
  <c r="F98" i="145"/>
  <c r="F99" i="145" s="1"/>
  <c r="G429" i="145"/>
  <c r="G98" i="46"/>
  <c r="G99" i="46" s="1"/>
  <c r="D221" i="145"/>
  <c r="G221" i="46"/>
  <c r="E428" i="145"/>
  <c r="G425" i="145"/>
  <c r="G426" i="145"/>
  <c r="G432" i="46"/>
  <c r="E430" i="46"/>
  <c r="E429" i="145"/>
  <c r="E432" i="46"/>
  <c r="E427" i="46"/>
  <c r="E433" i="145"/>
  <c r="G427" i="46"/>
  <c r="G428" i="46"/>
  <c r="E259" i="42"/>
  <c r="E269" i="42" s="1"/>
  <c r="F429" i="46" s="1"/>
  <c r="E431" i="145"/>
  <c r="G433" i="145"/>
  <c r="G430" i="145"/>
  <c r="G431" i="145"/>
  <c r="E255" i="42"/>
  <c r="E265" i="42" s="1"/>
  <c r="F432" i="145" s="1"/>
  <c r="F96" i="46"/>
  <c r="C137" i="145"/>
  <c r="E257" i="42"/>
  <c r="E267" i="42" s="1"/>
  <c r="F431" i="46" s="1"/>
  <c r="E256" i="42"/>
  <c r="E266" i="42" s="1"/>
  <c r="F433" i="46" s="1"/>
  <c r="E258" i="42"/>
  <c r="E268" i="42" s="1"/>
  <c r="F430" i="46" s="1"/>
  <c r="E260" i="42"/>
  <c r="E270" i="42" s="1"/>
  <c r="F428" i="145" s="1"/>
  <c r="F179" i="46"/>
  <c r="F179" i="145"/>
  <c r="E263" i="42"/>
  <c r="E273" i="42" s="1"/>
  <c r="F425" i="145" s="1"/>
  <c r="E262" i="42"/>
  <c r="E272" i="42" s="1"/>
  <c r="F426" i="46" s="1"/>
  <c r="E261" i="42"/>
  <c r="E271" i="42" s="1"/>
  <c r="F427" i="46" s="1"/>
  <c r="B201" i="42"/>
  <c r="B202" i="42" s="1"/>
  <c r="C97" i="145"/>
  <c r="F221" i="46"/>
  <c r="F221" i="145"/>
  <c r="F345" i="46"/>
  <c r="F348" i="46" s="1"/>
  <c r="F345" i="145"/>
  <c r="F297" i="46"/>
  <c r="F297" i="145"/>
  <c r="B215" i="42"/>
  <c r="C218" i="145"/>
  <c r="C3" i="46"/>
  <c r="C3" i="145"/>
  <c r="C8" i="46"/>
  <c r="C8" i="145"/>
  <c r="B220" i="42"/>
  <c r="B222" i="42" s="1"/>
  <c r="C218" i="46"/>
  <c r="C97" i="46"/>
  <c r="B184" i="42"/>
  <c r="B233" i="42"/>
  <c r="C341" i="46"/>
  <c r="H221" i="46" l="1"/>
  <c r="H98" i="46"/>
  <c r="H99" i="46" s="1"/>
  <c r="H432" i="46"/>
  <c r="H348" i="46"/>
  <c r="H427" i="145"/>
  <c r="H425" i="46"/>
  <c r="H430" i="145"/>
  <c r="H431" i="46"/>
  <c r="H433" i="145"/>
  <c r="H426" i="46"/>
  <c r="H428" i="145"/>
  <c r="H429" i="145"/>
  <c r="AA55" i="146"/>
  <c r="AB64" i="146" s="1"/>
  <c r="L55" i="146"/>
  <c r="L57" i="146" s="1"/>
  <c r="G55" i="146"/>
  <c r="G57" i="146" s="1"/>
  <c r="N55" i="146"/>
  <c r="N57" i="146" s="1"/>
  <c r="O55" i="146"/>
  <c r="H55" i="146"/>
  <c r="C55" i="146"/>
  <c r="C64" i="146" s="1"/>
  <c r="P55" i="146"/>
  <c r="W55" i="146"/>
  <c r="W57" i="146" s="1"/>
  <c r="Z55" i="146"/>
  <c r="K55" i="146"/>
  <c r="T55" i="146"/>
  <c r="Y55" i="146"/>
  <c r="R55" i="146"/>
  <c r="R57" i="146" s="1"/>
  <c r="E55" i="146"/>
  <c r="U55" i="146"/>
  <c r="U57" i="146" s="1"/>
  <c r="S55" i="146"/>
  <c r="S57" i="146" s="1"/>
  <c r="V55" i="146"/>
  <c r="F55" i="146"/>
  <c r="F57" i="146" s="1"/>
  <c r="J55" i="146"/>
  <c r="AB57" i="146"/>
  <c r="B68" i="146" s="1"/>
  <c r="M55" i="146"/>
  <c r="M57" i="146" s="1"/>
  <c r="X55" i="146"/>
  <c r="D55" i="146"/>
  <c r="I55" i="146"/>
  <c r="I57" i="146" s="1"/>
  <c r="Q55" i="146"/>
  <c r="AB16" i="146"/>
  <c r="AB10" i="146"/>
  <c r="N10" i="146" s="1"/>
  <c r="F98" i="46"/>
  <c r="F99" i="46" s="1"/>
  <c r="F429" i="145"/>
  <c r="F432" i="46"/>
  <c r="F428" i="46"/>
  <c r="F430" i="145"/>
  <c r="F431" i="145"/>
  <c r="C9" i="46"/>
  <c r="F425" i="46"/>
  <c r="F433" i="145"/>
  <c r="F349" i="46"/>
  <c r="F426" i="145"/>
  <c r="F427" i="145"/>
  <c r="C9" i="145"/>
  <c r="C179" i="46"/>
  <c r="C179" i="145"/>
  <c r="F349" i="145"/>
  <c r="F348" i="145"/>
  <c r="C221" i="46"/>
  <c r="C221" i="145"/>
  <c r="C345" i="46"/>
  <c r="C348" i="46" s="1"/>
  <c r="C345" i="145"/>
  <c r="B257" i="42"/>
  <c r="B267" i="42" s="1"/>
  <c r="C96" i="145"/>
  <c r="C297" i="46"/>
  <c r="C297" i="145"/>
  <c r="B261" i="42"/>
  <c r="B271" i="42" s="1"/>
  <c r="B260" i="42"/>
  <c r="B270" i="42" s="1"/>
  <c r="C96" i="46"/>
  <c r="B262" i="42"/>
  <c r="B272" i="42" s="1"/>
  <c r="B255" i="42"/>
  <c r="B265" i="42" s="1"/>
  <c r="B263" i="42"/>
  <c r="B273" i="42" s="1"/>
  <c r="B256" i="42"/>
  <c r="B266" i="42" s="1"/>
  <c r="B258" i="42"/>
  <c r="B268" i="42" s="1"/>
  <c r="B259" i="42"/>
  <c r="B269" i="42" s="1"/>
  <c r="D64" i="146" l="1"/>
  <c r="AA64" i="146"/>
  <c r="I64" i="146"/>
  <c r="O64" i="146"/>
  <c r="W64" i="146"/>
  <c r="H57" i="146"/>
  <c r="H64" i="146"/>
  <c r="L64" i="146"/>
  <c r="AA57" i="146"/>
  <c r="P64" i="146"/>
  <c r="G64" i="146"/>
  <c r="X64" i="146"/>
  <c r="F64" i="146"/>
  <c r="R64" i="146"/>
  <c r="O57" i="146"/>
  <c r="V64" i="146"/>
  <c r="E57" i="146"/>
  <c r="Q64" i="146"/>
  <c r="E64" i="146"/>
  <c r="P57" i="146"/>
  <c r="V57" i="146"/>
  <c r="Z57" i="146"/>
  <c r="X57" i="146"/>
  <c r="Y64" i="146"/>
  <c r="C57" i="146"/>
  <c r="D57" i="146"/>
  <c r="J64" i="146"/>
  <c r="U64" i="146"/>
  <c r="K64" i="146"/>
  <c r="R10" i="146"/>
  <c r="T57" i="146"/>
  <c r="Y57" i="146"/>
  <c r="Z64" i="146"/>
  <c r="S64" i="146"/>
  <c r="M64" i="146"/>
  <c r="J57" i="146"/>
  <c r="T64" i="146"/>
  <c r="N64" i="146"/>
  <c r="K57" i="146"/>
  <c r="Q57" i="146"/>
  <c r="M10" i="146"/>
  <c r="E10" i="146"/>
  <c r="L10" i="146"/>
  <c r="T10" i="146"/>
  <c r="S10" i="146"/>
  <c r="Z10" i="146"/>
  <c r="U10" i="146"/>
  <c r="AA10" i="146"/>
  <c r="Q10" i="146"/>
  <c r="J10" i="146"/>
  <c r="I10" i="146"/>
  <c r="P10" i="146"/>
  <c r="V10" i="146"/>
  <c r="X10" i="146"/>
  <c r="Y10" i="146"/>
  <c r="K10" i="146"/>
  <c r="C10" i="146"/>
  <c r="D10" i="146"/>
  <c r="O10" i="146"/>
  <c r="G10" i="146"/>
  <c r="F10" i="146"/>
  <c r="H10" i="146"/>
  <c r="W10" i="146"/>
  <c r="C66" i="146"/>
  <c r="C98" i="145"/>
  <c r="C99" i="145" s="1"/>
  <c r="AB9" i="146"/>
  <c r="J9" i="146" s="1"/>
  <c r="AB15" i="146"/>
  <c r="C98" i="46"/>
  <c r="C99" i="46" s="1"/>
  <c r="C349" i="46"/>
  <c r="C349" i="145"/>
  <c r="C348" i="145"/>
  <c r="C429" i="46"/>
  <c r="C429" i="145"/>
  <c r="C430" i="46"/>
  <c r="C430" i="145"/>
  <c r="C425" i="46"/>
  <c r="C425" i="145"/>
  <c r="C432" i="46"/>
  <c r="C432" i="145"/>
  <c r="C426" i="46"/>
  <c r="C426" i="145"/>
  <c r="C428" i="46"/>
  <c r="C428" i="145"/>
  <c r="C427" i="46"/>
  <c r="C427" i="145"/>
  <c r="C433" i="46"/>
  <c r="C433" i="145"/>
  <c r="C431" i="46"/>
  <c r="C431" i="145"/>
  <c r="X9" i="146" l="1"/>
  <c r="X11" i="146" s="1"/>
  <c r="P9" i="146"/>
  <c r="P11" i="146" s="1"/>
  <c r="T9" i="146"/>
  <c r="T11" i="146" s="1"/>
  <c r="B18" i="146"/>
  <c r="C69" i="146"/>
  <c r="D69" i="146" s="1"/>
  <c r="M9" i="146"/>
  <c r="M11" i="146" s="1"/>
  <c r="E9" i="146"/>
  <c r="E11" i="146" s="1"/>
  <c r="G9" i="146"/>
  <c r="G11" i="146" s="1"/>
  <c r="L9" i="146"/>
  <c r="H9" i="146"/>
  <c r="H11" i="146" s="1"/>
  <c r="Y9" i="146"/>
  <c r="Y11" i="146" s="1"/>
  <c r="V9" i="146"/>
  <c r="V11" i="146" s="1"/>
  <c r="O9" i="146"/>
  <c r="O11" i="146" s="1"/>
  <c r="D9" i="146"/>
  <c r="W9" i="146"/>
  <c r="W11" i="146" s="1"/>
  <c r="C9" i="146"/>
  <c r="Q9" i="146"/>
  <c r="AA9" i="146"/>
  <c r="K9" i="146"/>
  <c r="K11" i="146" s="1"/>
  <c r="Z9" i="146"/>
  <c r="Z11" i="146" s="1"/>
  <c r="N9" i="146"/>
  <c r="N11" i="146" s="1"/>
  <c r="D66" i="146"/>
  <c r="C61" i="146"/>
  <c r="AB11" i="146"/>
  <c r="B21" i="146" s="1"/>
  <c r="U9" i="146"/>
  <c r="I9" i="146"/>
  <c r="S9" i="146"/>
  <c r="S11" i="146" s="1"/>
  <c r="F9" i="146"/>
  <c r="R9" i="146"/>
  <c r="R11" i="146" s="1"/>
  <c r="J11" i="146"/>
  <c r="L11" i="146" l="1"/>
  <c r="U11" i="146"/>
  <c r="C62" i="146"/>
  <c r="F11" i="146"/>
  <c r="C11" i="146"/>
  <c r="D11" i="146"/>
  <c r="Q11" i="146"/>
  <c r="AA11" i="146"/>
  <c r="E66" i="146"/>
  <c r="D61" i="146"/>
  <c r="D62" i="146" s="1"/>
  <c r="I11" i="146"/>
  <c r="E69" i="146"/>
  <c r="C19" i="146" l="1"/>
  <c r="F69" i="146"/>
  <c r="F66" i="146"/>
  <c r="E61" i="146"/>
  <c r="E62" i="146" s="1"/>
  <c r="C22" i="146" l="1"/>
  <c r="D22" i="146" s="1"/>
  <c r="D19" i="146"/>
  <c r="E19" i="146" s="1"/>
  <c r="F19" i="146" s="1"/>
  <c r="C15" i="146"/>
  <c r="F61" i="146"/>
  <c r="F62" i="146" s="1"/>
  <c r="G66" i="146"/>
  <c r="G69" i="146"/>
  <c r="D15" i="146" l="1"/>
  <c r="D16" i="146" s="1"/>
  <c r="E15" i="146"/>
  <c r="C16" i="146"/>
  <c r="H69" i="146"/>
  <c r="H66" i="146"/>
  <c r="G61" i="146"/>
  <c r="G62" i="146" s="1"/>
  <c r="E22" i="146"/>
  <c r="G19" i="146"/>
  <c r="F15" i="146"/>
  <c r="E16" i="146" l="1"/>
  <c r="I66" i="146"/>
  <c r="H61" i="146"/>
  <c r="H62" i="146" s="1"/>
  <c r="I69" i="146"/>
  <c r="F22" i="146"/>
  <c r="F16" i="146" s="1"/>
  <c r="H19" i="146"/>
  <c r="G15" i="146"/>
  <c r="J69" i="146" l="1"/>
  <c r="I61" i="146"/>
  <c r="I62" i="146" s="1"/>
  <c r="J66" i="146"/>
  <c r="G22" i="146"/>
  <c r="G16" i="146" s="1"/>
  <c r="I19" i="146"/>
  <c r="H15" i="146"/>
  <c r="K69" i="146" l="1"/>
  <c r="K66" i="146"/>
  <c r="J61" i="146"/>
  <c r="J62" i="146" s="1"/>
  <c r="H22" i="146"/>
  <c r="H16" i="146" s="1"/>
  <c r="J19" i="146"/>
  <c r="I15" i="146"/>
  <c r="L69" i="146" l="1"/>
  <c r="K61" i="146"/>
  <c r="K62" i="146" s="1"/>
  <c r="L66" i="146"/>
  <c r="I22" i="146"/>
  <c r="I16" i="146" s="1"/>
  <c r="K19" i="146"/>
  <c r="J15" i="146"/>
  <c r="L61" i="146" l="1"/>
  <c r="L62" i="146" s="1"/>
  <c r="M66" i="146"/>
  <c r="M69" i="146"/>
  <c r="J22" i="146"/>
  <c r="J16" i="146" s="1"/>
  <c r="L19" i="146"/>
  <c r="K15" i="146"/>
  <c r="K22" i="146" l="1"/>
  <c r="K16" i="146" s="1"/>
  <c r="N66" i="146"/>
  <c r="M61" i="146"/>
  <c r="M62" i="146" s="1"/>
  <c r="N69" i="146"/>
  <c r="M19" i="146"/>
  <c r="L15" i="146"/>
  <c r="L22" i="146" l="1"/>
  <c r="L16" i="146" s="1"/>
  <c r="O69" i="146"/>
  <c r="O66" i="146"/>
  <c r="N61" i="146"/>
  <c r="N62" i="146" s="1"/>
  <c r="N19" i="146"/>
  <c r="M15" i="146"/>
  <c r="M22" i="146" l="1"/>
  <c r="M16" i="146" s="1"/>
  <c r="P66" i="146"/>
  <c r="O61" i="146"/>
  <c r="O62" i="146" s="1"/>
  <c r="P69" i="146"/>
  <c r="O19" i="146"/>
  <c r="N15" i="146"/>
  <c r="N22" i="146" l="1"/>
  <c r="N16" i="146" s="1"/>
  <c r="Q69" i="146"/>
  <c r="Q66" i="146"/>
  <c r="P61" i="146"/>
  <c r="P62" i="146" s="1"/>
  <c r="P19" i="146"/>
  <c r="O15" i="146"/>
  <c r="O22" i="146" l="1"/>
  <c r="O16" i="146" s="1"/>
  <c r="R66" i="146"/>
  <c r="Q61" i="146"/>
  <c r="Q62" i="146" s="1"/>
  <c r="R69" i="146"/>
  <c r="Q19" i="146"/>
  <c r="P15" i="146"/>
  <c r="P22" i="146" l="1"/>
  <c r="Q22" i="146" s="1"/>
  <c r="S69" i="146"/>
  <c r="S66" i="146"/>
  <c r="R61" i="146"/>
  <c r="R62" i="146" s="1"/>
  <c r="R19" i="146"/>
  <c r="Q15" i="146"/>
  <c r="P16" i="146" l="1"/>
  <c r="Q16" i="146"/>
  <c r="T66" i="146"/>
  <c r="S61" i="146"/>
  <c r="S62" i="146" s="1"/>
  <c r="T69" i="146"/>
  <c r="S19" i="146"/>
  <c r="R15" i="146"/>
  <c r="R22" i="146"/>
  <c r="R16" i="146" l="1"/>
  <c r="U69" i="146"/>
  <c r="U66" i="146"/>
  <c r="T61" i="146"/>
  <c r="T62" i="146" s="1"/>
  <c r="T19" i="146"/>
  <c r="S15" i="146"/>
  <c r="S22" i="146"/>
  <c r="S16" i="146" l="1"/>
  <c r="V69" i="146"/>
  <c r="V66" i="146"/>
  <c r="U61" i="146"/>
  <c r="U62" i="146" s="1"/>
  <c r="U19" i="146"/>
  <c r="T15" i="146"/>
  <c r="T22" i="146"/>
  <c r="T16" i="146" l="1"/>
  <c r="W66" i="146"/>
  <c r="V61" i="146"/>
  <c r="V62" i="146" s="1"/>
  <c r="W69" i="146"/>
  <c r="V19" i="146"/>
  <c r="U15" i="146"/>
  <c r="U22" i="146"/>
  <c r="U16" i="146" l="1"/>
  <c r="X69" i="146"/>
  <c r="X66" i="146"/>
  <c r="W61" i="146"/>
  <c r="W62" i="146" s="1"/>
  <c r="W19" i="146"/>
  <c r="V15" i="146"/>
  <c r="V22" i="146"/>
  <c r="V16" i="146" l="1"/>
  <c r="Y66" i="146"/>
  <c r="X61" i="146"/>
  <c r="X62" i="146" s="1"/>
  <c r="Y69" i="146"/>
  <c r="X19" i="146"/>
  <c r="W15" i="146"/>
  <c r="W22" i="146"/>
  <c r="W16" i="146" l="1"/>
  <c r="Z69" i="146"/>
  <c r="Y61" i="146"/>
  <c r="Y62" i="146" s="1"/>
  <c r="Z66" i="146"/>
  <c r="Y19" i="146"/>
  <c r="X15" i="146"/>
  <c r="X22" i="146"/>
  <c r="X16" i="146" l="1"/>
  <c r="AA66" i="146"/>
  <c r="Z61" i="146"/>
  <c r="Z62" i="146" s="1"/>
  <c r="AA69" i="146"/>
  <c r="Z19" i="146"/>
  <c r="Y15" i="146"/>
  <c r="Y22" i="146"/>
  <c r="Y16" i="146" l="1"/>
  <c r="AB69" i="146"/>
  <c r="AB66" i="146"/>
  <c r="AA61" i="146"/>
  <c r="AA62" i="146" s="1"/>
  <c r="AA19" i="146"/>
  <c r="Z15" i="146"/>
  <c r="Z22" i="146"/>
  <c r="Z16" i="146" l="1"/>
  <c r="AB19" i="146"/>
  <c r="AA15" i="146"/>
  <c r="AA22" i="146"/>
  <c r="AA16" i="146" l="1"/>
  <c r="AB22" i="1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tc={A465F7CC-BCED-4957-B531-ABC5BB11D4CD}</author>
  </authors>
  <commentList>
    <comment ref="D4" authorId="0" shapeId="0" xr:uid="{A465F7CC-BCED-4957-B531-ABC5BB11D4CD}">
      <text>
        <t>[Threaded comment]
Your version of Excel allows you to read this threaded comment; however, any edits to it will get removed if the file is opened in a newer version of Excel. Learn more: https://go.microsoft.com/fwlink/?linkid=870924
Comment:
    We assume the "Renewables" category is bioenergy and waste, though there may be an extremely small contribution of on-site solar PV or wind in some cases.  This category is dominated by refining (where the fuel is explicitly labeled as bioenergy) and by the paper, wood, and agriculture industries, all of which have lots of biogenic, combustible materials that they burn for energy.  Cement and lime has a small contribution and is known to burn waste.  Therefore, it seems clear the "Renewables" category is entirely or almost entirely bioenergy and waste.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tc={68DFEA27-398A-4173-B8C6-18AF3328E1AD}</author>
  </authors>
  <commentList>
    <comment ref="D4" authorId="0" shapeId="0" xr:uid="{68DFEA27-398A-4173-B8C6-18AF3328E1AD}">
      <text>
        <t>[Threaded comment]
Your version of Excel allows you to read this threaded comment; however, any edits to it will get removed if the file is opened in a newer version of Excel. Learn more: https://go.microsoft.com/fwlink/?linkid=870924
Comment:
    For Chinese bioenergy data, see the "China Bioenergy Data" tab.</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tc={D0B9DBD7-EAB1-4541-951B-8127FC3E170E}</author>
  </authors>
  <commentList>
    <comment ref="D10" authorId="0" shapeId="0" xr:uid="{D0B9DBD7-EAB1-4541-951B-8127FC3E170E}">
      <text>
        <t>[Threaded comment]
Your version of Excel allows you to read this threaded comment; however, any edits to it will get removed if the file is opened in a newer version of Excel. Learn more: https://go.microsoft.com/fwlink/?linkid=870924
Comment:
    Changed from 1% to 0% so figures add up to 100% (eliminating rounding error)</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Hongyou Lu</author>
  </authors>
  <commentList>
    <comment ref="B3" authorId="0" shapeId="0" xr:uid="{C8022209-AC55-43D4-97B8-387A44C7145D}">
      <text>
        <r>
          <rPr>
            <b/>
            <sz val="9"/>
            <color indexed="81"/>
            <rFont val="Tahoma"/>
            <family val="2"/>
          </rPr>
          <t>Hongyou Lu:</t>
        </r>
        <r>
          <rPr>
            <sz val="9"/>
            <color indexed="81"/>
            <rFont val="Tahoma"/>
            <family val="2"/>
          </rPr>
          <t xml:space="preserve">
13th FYP for Bioenergy Development, https://www.gov.cn/xinwen/2016-12/06/content_5143612.htm</t>
        </r>
      </text>
    </comment>
    <comment ref="C3" authorId="0" shapeId="0" xr:uid="{7ED85832-941C-401B-8F3E-C9831C973693}">
      <text>
        <r>
          <rPr>
            <b/>
            <sz val="9"/>
            <color indexed="81"/>
            <rFont val="Tahoma"/>
            <family val="2"/>
          </rPr>
          <t>Hongyou Lu:</t>
        </r>
        <r>
          <rPr>
            <sz val="9"/>
            <color indexed="81"/>
            <rFont val="Tahoma"/>
            <family val="2"/>
          </rPr>
          <t xml:space="preserve">
Source: Wang Qingyi, 2022. 2021 China Energy Data. </t>
        </r>
      </text>
    </comment>
    <comment ref="D3" authorId="0" shapeId="0" xr:uid="{5C735BBC-F2CA-49F3-AA9D-D36CFC7DB879}">
      <text>
        <r>
          <rPr>
            <b/>
            <sz val="9"/>
            <color indexed="81"/>
            <rFont val="Tahoma"/>
            <family val="2"/>
          </rPr>
          <t>Hongyou Lu:</t>
        </r>
        <r>
          <rPr>
            <sz val="9"/>
            <color indexed="81"/>
            <rFont val="Tahoma"/>
            <family val="2"/>
          </rPr>
          <t xml:space="preserve">
Source: Energy Foundation China, https://www.efchina.org/Blog-zh/blog-20220630-zh</t>
        </r>
      </text>
    </comment>
    <comment ref="H3" authorId="0" shapeId="0" xr:uid="{EADACA8E-8ACB-435A-816A-7CCF1B05A436}">
      <text>
        <r>
          <rPr>
            <b/>
            <sz val="9"/>
            <color indexed="81"/>
            <rFont val="Tahoma"/>
            <family val="2"/>
          </rPr>
          <t>Hongyou Lu:</t>
        </r>
        <r>
          <rPr>
            <sz val="9"/>
            <color indexed="81"/>
            <rFont val="Tahoma"/>
            <family val="2"/>
          </rPr>
          <t xml:space="preserve">
13th FYP for Bioenergy Development, https://www.gov.cn/xinwen/2016-12/06/content_5143612.htm</t>
        </r>
      </text>
    </comment>
    <comment ref="I3" authorId="0" shapeId="0" xr:uid="{934B9F5D-AD01-4593-864C-39E0A3D5EDFD}">
      <text>
        <r>
          <rPr>
            <b/>
            <sz val="9"/>
            <color indexed="81"/>
            <rFont val="Tahoma"/>
            <family val="2"/>
          </rPr>
          <t>Hongyou Lu:</t>
        </r>
        <r>
          <rPr>
            <sz val="9"/>
            <color indexed="81"/>
            <rFont val="Tahoma"/>
            <family val="2"/>
          </rPr>
          <t xml:space="preserve">
Source: Wang Qingyi, 2022. 2021 China Energy Data. </t>
        </r>
      </text>
    </comment>
    <comment ref="A4" authorId="0" shapeId="0" xr:uid="{7CDAFBB6-C011-473A-BFD7-5A74BC928B42}">
      <text>
        <r>
          <rPr>
            <b/>
            <sz val="9"/>
            <color indexed="81"/>
            <rFont val="Tahoma"/>
            <family val="2"/>
          </rPr>
          <t>Hongyou Lu:</t>
        </r>
        <r>
          <rPr>
            <sz val="9"/>
            <color indexed="81"/>
            <rFont val="Tahoma"/>
            <family val="2"/>
          </rPr>
          <t xml:space="preserve">
40% stalk and 60% firewood</t>
        </r>
      </text>
    </comment>
    <comment ref="G4" authorId="0" shapeId="0" xr:uid="{53C3610A-C984-4B11-AEC8-4EBCC703135E}">
      <text>
        <r>
          <rPr>
            <b/>
            <sz val="9"/>
            <color indexed="81"/>
            <rFont val="Tahoma"/>
            <family val="2"/>
          </rPr>
          <t>Hongyou Lu:</t>
        </r>
        <r>
          <rPr>
            <sz val="9"/>
            <color indexed="81"/>
            <rFont val="Tahoma"/>
            <family val="2"/>
          </rPr>
          <t xml:space="preserve">
40% stalk and 60% firewood</t>
        </r>
      </text>
    </comment>
    <comment ref="A6" authorId="0" shapeId="0" xr:uid="{2298FA18-F1BA-496E-9862-D4CA99CD726D}">
      <text>
        <r>
          <rPr>
            <b/>
            <sz val="9"/>
            <color indexed="81"/>
            <rFont val="Tahoma"/>
            <family val="2"/>
          </rPr>
          <t>Hongyou Lu:</t>
        </r>
        <r>
          <rPr>
            <sz val="9"/>
            <color indexed="81"/>
            <rFont val="Tahoma"/>
            <family val="2"/>
          </rPr>
          <t xml:space="preserve">
including both biomass and waste-to-electricity, and a small amount of biogas to electricity (3%)</t>
        </r>
      </text>
    </comment>
    <comment ref="G6" authorId="0" shapeId="0" xr:uid="{3203A705-3131-43E5-9237-8B9E54F02AE6}">
      <text>
        <r>
          <rPr>
            <b/>
            <sz val="9"/>
            <color indexed="81"/>
            <rFont val="Tahoma"/>
            <family val="2"/>
          </rPr>
          <t>Hongyou Lu:</t>
        </r>
        <r>
          <rPr>
            <sz val="9"/>
            <color indexed="81"/>
            <rFont val="Tahoma"/>
            <family val="2"/>
          </rPr>
          <t xml:space="preserve">
including both biomass and waste-to-electricity, and a small amount of biogas to electricity (3%)</t>
        </r>
      </text>
    </comment>
    <comment ref="K6" authorId="0" shapeId="0" xr:uid="{ACB5A242-645D-4C73-AF51-48F139667862}">
      <text>
        <r>
          <rPr>
            <b/>
            <sz val="9"/>
            <color indexed="81"/>
            <rFont val="Tahoma"/>
            <family val="2"/>
          </rPr>
          <t>Hongyou Lu:</t>
        </r>
        <r>
          <rPr>
            <sz val="9"/>
            <color indexed="81"/>
            <rFont val="Tahoma"/>
            <family val="2"/>
          </rPr>
          <t xml:space="preserve">
Maybe consider using the share of electricity used in industry (or manufacturing) as a proxy to estimate how much biomass-electricity is used in industry?</t>
        </r>
      </text>
    </comment>
    <comment ref="M6" authorId="0" shapeId="0" xr:uid="{7BFCBD55-4746-47EB-AD0E-1AA6BD80206D}">
      <text>
        <r>
          <rPr>
            <b/>
            <sz val="9"/>
            <color indexed="81"/>
            <rFont val="Tahoma"/>
            <family val="2"/>
          </rPr>
          <t>Hongyou Lu:</t>
        </r>
        <r>
          <rPr>
            <sz val="9"/>
            <color indexed="81"/>
            <rFont val="Tahoma"/>
            <family val="2"/>
          </rPr>
          <t xml:space="preserve">
including both biomass and waste-to-electricity, and a small amount of biogas to electricity (3%)</t>
        </r>
      </text>
    </comment>
    <comment ref="A7" authorId="0" shapeId="0" xr:uid="{DA3ED6B7-B8B9-4901-9720-35A6DE03BCDC}">
      <text>
        <r>
          <rPr>
            <b/>
            <sz val="9"/>
            <color indexed="81"/>
            <rFont val="Tahoma"/>
            <family val="2"/>
          </rPr>
          <t>Hongyou Lu:</t>
        </r>
        <r>
          <rPr>
            <sz val="9"/>
            <color indexed="81"/>
            <rFont val="Tahoma"/>
            <family val="2"/>
          </rPr>
          <t xml:space="preserve">
including both biomass and waste-to-electricity, and a small amount of biogas to electricity (3%)</t>
        </r>
      </text>
    </comment>
    <comment ref="G7" authorId="0" shapeId="0" xr:uid="{C02966F0-9AD3-419A-A4EF-9C20EB842B8D}">
      <text>
        <r>
          <rPr>
            <b/>
            <sz val="9"/>
            <color indexed="81"/>
            <rFont val="Tahoma"/>
            <family val="2"/>
          </rPr>
          <t>Hongyou Lu:</t>
        </r>
        <r>
          <rPr>
            <sz val="9"/>
            <color indexed="81"/>
            <rFont val="Tahoma"/>
            <family val="2"/>
          </rPr>
          <t xml:space="preserve">
including both biomass and waste-to-electricity, and a small amount of biogas to electricity (3%)</t>
        </r>
      </text>
    </comment>
    <comment ref="M7" authorId="0" shapeId="0" xr:uid="{F3FD133D-4A83-4896-8CB1-D5CE45A3F2DC}">
      <text>
        <r>
          <rPr>
            <b/>
            <sz val="9"/>
            <color indexed="81"/>
            <rFont val="Tahoma"/>
            <family val="2"/>
          </rPr>
          <t>Hongyou Lu:</t>
        </r>
        <r>
          <rPr>
            <sz val="9"/>
            <color indexed="81"/>
            <rFont val="Tahoma"/>
            <family val="2"/>
          </rPr>
          <t xml:space="preserve">
including both biomass and waste-to-electricity, and a small amount of biogas to electricity (3%)</t>
        </r>
      </text>
    </comment>
    <comment ref="A8" authorId="0" shapeId="0" xr:uid="{010DF6A5-CC38-46DA-9DCB-3EFADD150F3D}">
      <text>
        <r>
          <rPr>
            <b/>
            <sz val="9"/>
            <color indexed="81"/>
            <rFont val="Tahoma"/>
            <family val="2"/>
          </rPr>
          <t>Hongyou Lu:</t>
        </r>
        <r>
          <rPr>
            <sz val="9"/>
            <color indexed="81"/>
            <rFont val="Tahoma"/>
            <family val="2"/>
          </rPr>
          <t xml:space="preserve">
生物质成型燃料</t>
        </r>
      </text>
    </comment>
    <comment ref="G8" authorId="0" shapeId="0" xr:uid="{A5310335-A206-4CF4-9CD7-89314DBEA6C3}">
      <text>
        <r>
          <rPr>
            <b/>
            <sz val="9"/>
            <color indexed="81"/>
            <rFont val="Tahoma"/>
            <family val="2"/>
          </rPr>
          <t>Hongyou Lu:</t>
        </r>
        <r>
          <rPr>
            <sz val="9"/>
            <color indexed="81"/>
            <rFont val="Tahoma"/>
            <family val="2"/>
          </rPr>
          <t xml:space="preserve">
生物质成型燃料</t>
        </r>
      </text>
    </comment>
    <comment ref="K8" authorId="0" shapeId="0" xr:uid="{9B65AE9D-6335-4952-AC08-BBF70D7788C2}">
      <text>
        <r>
          <rPr>
            <b/>
            <sz val="9"/>
            <color indexed="81"/>
            <rFont val="Tahoma"/>
            <family val="2"/>
          </rPr>
          <t>Hongyou Lu:</t>
        </r>
        <r>
          <rPr>
            <sz val="9"/>
            <color indexed="81"/>
            <rFont val="Tahoma"/>
            <family val="2"/>
          </rPr>
          <t xml:space="preserve">
The breakdown between buildings and industry is not clear from the literature/reports. My guess is most of the solid biomass fuels are used in buildings. </t>
        </r>
      </text>
    </comment>
    <comment ref="M8" authorId="0" shapeId="0" xr:uid="{701D48DD-7EAC-47F0-AE4D-6802D2EAD326}">
      <text>
        <r>
          <rPr>
            <b/>
            <sz val="9"/>
            <color indexed="81"/>
            <rFont val="Tahoma"/>
            <family val="2"/>
          </rPr>
          <t>Hongyou Lu:</t>
        </r>
        <r>
          <rPr>
            <sz val="9"/>
            <color indexed="81"/>
            <rFont val="Tahoma"/>
            <family val="2"/>
          </rPr>
          <t xml:space="preserve">
生物质成型燃料</t>
        </r>
      </text>
    </comment>
    <comment ref="K9" authorId="0" shapeId="0" xr:uid="{42EC3795-948A-48D7-8076-8E6402BACCB4}">
      <text>
        <r>
          <rPr>
            <b/>
            <sz val="9"/>
            <color indexed="81"/>
            <rFont val="Tahoma"/>
            <family val="2"/>
          </rPr>
          <t>Hongyou Lu:</t>
        </r>
        <r>
          <rPr>
            <sz val="9"/>
            <color indexed="81"/>
            <rFont val="Tahoma"/>
            <family val="2"/>
          </rPr>
          <t xml:space="preserve">
https://rmi.org.cn/wp-content/uploads/2023/11/final-%E7%94%9F%E7%89%A9%E5%A4%A9%E7%84%B6%E6%B0%941218.pdf</t>
        </r>
      </text>
    </comment>
    <comment ref="I13" authorId="0" shapeId="0" xr:uid="{1A989F71-71FD-4457-A812-6D5C5403150C}">
      <text>
        <r>
          <rPr>
            <b/>
            <sz val="9"/>
            <color indexed="81"/>
            <rFont val="Tahoma"/>
            <family val="2"/>
          </rPr>
          <t>Hongyou Lu:</t>
        </r>
        <r>
          <rPr>
            <sz val="9"/>
            <color indexed="81"/>
            <rFont val="Tahoma"/>
            <family val="2"/>
          </rPr>
          <t xml:space="preserve">
Not sure why this is so much lower than the reported 243.7 Mtce in the other table (by Wang Qingyi 2022)</t>
        </r>
      </text>
    </comment>
    <comment ref="J21" authorId="0" shapeId="0" xr:uid="{AAC717A7-C2CD-4EB6-A55E-FC506859E921}">
      <text>
        <r>
          <rPr>
            <b/>
            <sz val="9"/>
            <color indexed="81"/>
            <rFont val="Tahoma"/>
            <family val="2"/>
          </rPr>
          <t>Hongyou Lu:</t>
        </r>
        <r>
          <rPr>
            <sz val="9"/>
            <color indexed="81"/>
            <rFont val="Tahoma"/>
            <family val="2"/>
          </rPr>
          <t xml:space="preserve">
https://rmi.org.cn/wp-content/uploads/2023/11/final-%E7%94%9F%E7%89%A9%E5%A4%A9%E7%84%B6%E6%B0%941218.pdf</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<sst xmlns="http://schemas.openxmlformats.org/spreadsheetml/2006/main" count="25444" uniqueCount="6069">
  <si>
    <t>Scenario Setup Parameters</t>
  </si>
  <si>
    <t>Region</t>
  </si>
  <si>
    <t>United States</t>
  </si>
  <si>
    <t>Choose a region to model.</t>
  </si>
  <si>
    <t>Include non-manufacturing industries?</t>
  </si>
  <si>
    <t>Non-manufacturing industries include mining, construction, and agriculture.</t>
  </si>
  <si>
    <t>Displace BAU bioenergy use?</t>
  </si>
  <si>
    <t>Should the calculator seek to displace BAU bioenergy use with zero-carbon alternatives or let bioenergy use remain?</t>
  </si>
  <si>
    <t>Enter a percent reduction in non-feedstock energy requirements to produce each unit of industrial output, relative to BAU.</t>
  </si>
  <si>
    <t>Enter a percent reduction in demand for industrial outputs, such as steel, cement, etc., relative to BAU.</t>
  </si>
  <si>
    <t>percent electrified</t>
  </si>
  <si>
    <t>This mostly consists of using electric motors instead of fossil-fueled engines to move machinery and equipment.</t>
  </si>
  <si>
    <t>percent not decarbonized</t>
  </si>
  <si>
    <t>Method of Supplying Low-Temperature Heat</t>
  </si>
  <si>
    <t>At low temperatures, electrification is handled via heat pumps.</t>
  </si>
  <si>
    <t>percent handled via fossil fuel combustion with CCS</t>
  </si>
  <si>
    <t>percent handled via bioenergy combustion</t>
  </si>
  <si>
    <t>Method of Supplying Med- and High-Temperature Heat</t>
  </si>
  <si>
    <t>At medium-to-high temperatures, electrification is handled via a mix of technologies such as electric resistance, electromagnetic induction, dielectric heating, etc.</t>
  </si>
  <si>
    <t>Method of Forming Chemical Feedstocks</t>
  </si>
  <si>
    <t>bioenergy (direct use)</t>
  </si>
  <si>
    <t>green H2 + captured carbon</t>
  </si>
  <si>
    <t>Method of Obtaining Carbon to Form Chemical Feedstocks</t>
  </si>
  <si>
    <t>percent from bioenergy combustion with carbon capture</t>
  </si>
  <si>
    <t>percent from direct air capture</t>
  </si>
  <si>
    <t>Carbon capture applied to fossil fuel combustion or cement calcination should be included here (as the formed feedstocks aren't permanent stores of carbon).</t>
  </si>
  <si>
    <t>Method of Decarbonizing Primary Iron and Steel</t>
  </si>
  <si>
    <t>Molten Oxide Electrolysis</t>
  </si>
  <si>
    <t>Aqueous Electrolysis</t>
  </si>
  <si>
    <t>Mix of plants providing zero-carbon electricity</t>
  </si>
  <si>
    <t>onshore wind</t>
  </si>
  <si>
    <t>offshore wind</t>
  </si>
  <si>
    <t>solar photovoltaic</t>
  </si>
  <si>
    <t>geothermal</t>
  </si>
  <si>
    <t>hydroelectric</t>
  </si>
  <si>
    <t>biomass</t>
  </si>
  <si>
    <t>nuclear</t>
  </si>
  <si>
    <t>fossil fuels with CCS</t>
  </si>
  <si>
    <t>Energy</t>
  </si>
  <si>
    <t>Energy Type</t>
  </si>
  <si>
    <t>Historical</t>
  </si>
  <si>
    <t>Unit</t>
  </si>
  <si>
    <t>Electricity (direct use)</t>
  </si>
  <si>
    <t>EJ</t>
  </si>
  <si>
    <t>Hydrogen</t>
  </si>
  <si>
    <t>Bioenergy</t>
  </si>
  <si>
    <t>Fossil fuels with CCS</t>
  </si>
  <si>
    <t>Fossil fuels without CCS</t>
  </si>
  <si>
    <t>Notes</t>
  </si>
  <si>
    <t>Today, hydrogen production overwhelmingly comes from fossil fuels and is primarily used to make ammonia and in refining, which would be considered feedstock uses.</t>
  </si>
  <si>
    <t>This graph shows the fossil fuels used to make the hydrogen as feedstocks, rather than showing the hydrogen itself, to avoid double-counting the energy content.</t>
  </si>
  <si>
    <t>Electricity Demand</t>
  </si>
  <si>
    <t>PWh</t>
  </si>
  <si>
    <t>Direct electricity use by industry</t>
  </si>
  <si>
    <t>Hydrogen Production</t>
  </si>
  <si>
    <t>MMT H2</t>
  </si>
  <si>
    <t>This graph only shows dedicated hydrogen production and use, not byproduct hydrogen produced as part of a mixture of other gases (e.g., a syngas), as occurs in a steelmaking blast furnace.</t>
  </si>
  <si>
    <t>Hydrogen Electrolyzer Capacity</t>
  </si>
  <si>
    <t>GW</t>
  </si>
  <si>
    <t>Bioenergy land requirements</t>
  </si>
  <si>
    <t>million ha</t>
  </si>
  <si>
    <t>%</t>
  </si>
  <si>
    <t>Note</t>
  </si>
  <si>
    <t>CO2 emissions from fossil fuel combustion by industry</t>
  </si>
  <si>
    <t>MMT CO2</t>
  </si>
  <si>
    <t>Metric</t>
  </si>
  <si>
    <t>Value</t>
  </si>
  <si>
    <t>Substance</t>
  </si>
  <si>
    <t>User Settings and Efficiency Policies</t>
  </si>
  <si>
    <t>BAU electricity demand</t>
  </si>
  <si>
    <t>electricity</t>
  </si>
  <si>
    <t>Includes or excludes non-manufacturing industries based on the user's setting.</t>
  </si>
  <si>
    <t>BAU non-feedstock fossil fuel demand</t>
  </si>
  <si>
    <t>fossil fuels</t>
  </si>
  <si>
    <t>BAU non-feedstock bioenergy demand</t>
  </si>
  <si>
    <t>bioenergy</t>
  </si>
  <si>
    <t>BAU chemicals industry feedstock demand (energy content)</t>
  </si>
  <si>
    <t>Sums feedstocks based on their energy content, not mass.</t>
  </si>
  <si>
    <t>Applying efficiency policies</t>
  </si>
  <si>
    <t>electricity demand after efficiency policies</t>
  </si>
  <si>
    <t>Both energy efficiency and material efficiency affect BAU electricity demand.</t>
  </si>
  <si>
    <t>non-feedstock fossil fuel demand</t>
  </si>
  <si>
    <t>non-feedstock bioenergy demand</t>
  </si>
  <si>
    <t>Even if bioenergy use is not displaced, it still is affected by efficiency policies.</t>
  </si>
  <si>
    <t>chemicals industry feedstock demand</t>
  </si>
  <si>
    <t>Only material efficiency, not energy efficiency, affects BAU feedstock demand.</t>
  </si>
  <si>
    <t>Non-Feedstock Energy Use</t>
  </si>
  <si>
    <t>Electricity demand from direct electrification</t>
  </si>
  <si>
    <t>BAU electricity demand after efficiency policies</t>
  </si>
  <si>
    <t>electricity demand to electrify &lt; 165°C heat</t>
  </si>
  <si>
    <t>electricity demand to electrify &gt; 165°C heat</t>
  </si>
  <si>
    <t>electricity demand for existing uses plus direct electrification</t>
  </si>
  <si>
    <t>hydrogen demand to supply &lt; 165°C heat</t>
  </si>
  <si>
    <t>hydrogen</t>
  </si>
  <si>
    <t>hydrogen demand to supply &gt; 165°C heat</t>
  </si>
  <si>
    <t>total hydrogen demand to supply heat</t>
  </si>
  <si>
    <t>Bioenergy demand for supplying heat (not feedstocks)</t>
  </si>
  <si>
    <t>BAU bioenergy not being displaced</t>
  </si>
  <si>
    <t>bioenergy demand to supply &lt; 165°C heat</t>
  </si>
  <si>
    <t>bioenergy demand to supply &gt; 165°C heat</t>
  </si>
  <si>
    <t>total bioenergy demand to supply heat</t>
  </si>
  <si>
    <t>Fossil fuel combustion with CCS</t>
  </si>
  <si>
    <t>fossil fuels with CCS to supply &lt; 165°C heat</t>
  </si>
  <si>
    <t>Excludes additional energy needed to power the CCS process.</t>
  </si>
  <si>
    <t>fossil fuels with CCS to supply &gt; 165°C heat</t>
  </si>
  <si>
    <t>additional fossil fuel consumption to power the CCS process</t>
  </si>
  <si>
    <t>total fossil fuels with CCS to supply heat</t>
  </si>
  <si>
    <t>Unabated fossil fuel combustion</t>
  </si>
  <si>
    <t>fossil fuels without CCS for non-heating uses</t>
  </si>
  <si>
    <t>fossil fuels without CCS to supply &lt; 165°C heat</t>
  </si>
  <si>
    <t>fossil fuels without CCS to supply &gt; 165°C heat</t>
  </si>
  <si>
    <t>total non-feedstock fossil fuels without CCS</t>
  </si>
  <si>
    <t>Chemicals Industry Feedstocks</t>
  </si>
  <si>
    <t>Bioenergy to form chemicals industry feedstocks</t>
  </si>
  <si>
    <t>bioenergy directly displacing fossil feedstocks</t>
  </si>
  <si>
    <t>This refers to bioenergy used directly to form feedstocks, not bioenergy burned for energy with carbon capture whose resulting CO2 is used in feedstocks.</t>
  </si>
  <si>
    <t>Chemicals industry feedstocks not decarbonized</t>
  </si>
  <si>
    <t>chemicals industry feedstocks not decarbonized</t>
  </si>
  <si>
    <t>Carbon to form chemicals industry feedstocks</t>
  </si>
  <si>
    <t>Items in this category count as energy use, not as feedstocks.</t>
  </si>
  <si>
    <t>CO2 in existing chemicals industry feedstocks</t>
  </si>
  <si>
    <t>MMT</t>
  </si>
  <si>
    <t>CO2</t>
  </si>
  <si>
    <t>Chemicals industry process CO2 (carbon not needed for products)</t>
  </si>
  <si>
    <t>CO2 represented by increased direct use of bioenergy feedstocks</t>
  </si>
  <si>
    <t>CO2 represented by feedstocks that were not decarbonized</t>
  </si>
  <si>
    <t>CO2 still needed to form chemicals industry feedstocks</t>
  </si>
  <si>
    <t>CO2 obtained from bioenergy combustion + CCU</t>
  </si>
  <si>
    <t>bioenergy combustion required to obtain this much CO2</t>
  </si>
  <si>
    <t>bioenergy to power CCS process</t>
  </si>
  <si>
    <t>additional bioenergy combustion needed</t>
  </si>
  <si>
    <t>CO2 obtained from DAC</t>
  </si>
  <si>
    <t>electricity required to capture this CO2 via DAC</t>
  </si>
  <si>
    <t>CO2 obtained from fossil combustion or cement calcination + CCU</t>
  </si>
  <si>
    <t>Weighted average carbon intensity of fossil feedstocks</t>
  </si>
  <si>
    <t>MMT / EJ</t>
  </si>
  <si>
    <t>fossil fuel combustion required to obtain this much CO2</t>
  </si>
  <si>
    <t>fossil fuels to power carbon capture process</t>
  </si>
  <si>
    <t>We assume that there is sufficient fossil fuel combustion CO2 (or cement calcination CO2) being emitted somewhere in the economy and not already subject to CCS for us to capture and use to form feedstocks, so we only need to increase fossil fuel consumption to power the CCS process, not to supply additional CO2 for use in forming chemical feedstocks.</t>
  </si>
  <si>
    <t>Primary Iron and Steel</t>
  </si>
  <si>
    <t>iron and steel metallurgical coal use</t>
  </si>
  <si>
    <t>coal</t>
  </si>
  <si>
    <t>Hydrogen - Direct Reduced Iron (H2-DRI) steelmaking</t>
  </si>
  <si>
    <t>metallurgical coal replaced by H2-DRI steelmaking</t>
  </si>
  <si>
    <t>total electricity required for H2-DRI steelmaking</t>
  </si>
  <si>
    <t>electricity required for arc furnace for H2-DRI steelmaking</t>
  </si>
  <si>
    <t>electricity required to form hydrogen for H2-DRI steelmaking</t>
  </si>
  <si>
    <t>metallurgical coal replaced by MOE steelmaking</t>
  </si>
  <si>
    <t>electricity required for MOE steelmaking</t>
  </si>
  <si>
    <t>metallurgical coal replaced by aqueous electrolysis steelmaking</t>
  </si>
  <si>
    <t>electricity required for aqueous electrolysis steelmaking</t>
  </si>
  <si>
    <t>Remaining metallurgical coal use</t>
  </si>
  <si>
    <t>remaining metallurgical coal use</t>
  </si>
  <si>
    <t>Energy use totals</t>
  </si>
  <si>
    <t>Totals for energy (not feedstocks)</t>
  </si>
  <si>
    <t>electricity use before producing hydrogen</t>
  </si>
  <si>
    <t>non-feedstock bioenergy use</t>
  </si>
  <si>
    <t>fossil fuel use with CCS</t>
  </si>
  <si>
    <t>Assumes CO2 is securely stored underground or mineralized. No use in products/feedstocks, no enhanced oil/gas recovery, etc.</t>
  </si>
  <si>
    <t>non-feedstock unabated fossil fuel use</t>
  </si>
  <si>
    <t>Totals for feedstocks</t>
  </si>
  <si>
    <t>bioenergy used for feedstocks</t>
  </si>
  <si>
    <t>Total electricity use</t>
  </si>
  <si>
    <t>electricity use by rest of economy</t>
  </si>
  <si>
    <t>"Rest of economy" includes or excludes non-manufacturing industries based on user setting.</t>
  </si>
  <si>
    <t>Hydrogen use</t>
  </si>
  <si>
    <t>BAU hydrogen use (overwhelmingly from fossil fuels)</t>
  </si>
  <si>
    <t>This hydrogen is produced from fossil feedstocks and used in making ammonia and petroleum refining.</t>
  </si>
  <si>
    <t>modeled green (electrolytic) hydrogen use</t>
  </si>
  <si>
    <t>modeled fossil-based (gray/brown) hydrogen use</t>
  </si>
  <si>
    <t>electricity use to produce hydrogen (in PWh)</t>
  </si>
  <si>
    <t>required electrolyzer capacity to supply this hydrogen</t>
  </si>
  <si>
    <t>electrolyzer capacity</t>
  </si>
  <si>
    <t>Miscellaneous other model outputs</t>
  </si>
  <si>
    <t>land requirement for BAU bioenergy for industry</t>
  </si>
  <si>
    <t>land area</t>
  </si>
  <si>
    <t>land requirement for bioenergy for industry</t>
  </si>
  <si>
    <t>CO2 emissions from industrial fossil fuel combustion</t>
  </si>
  <si>
    <t>BAU CO2 from industrial fossil fuel combustion</t>
  </si>
  <si>
    <t>percent still handled via unabated fossil fuel combustion</t>
  </si>
  <si>
    <t>We account for the fact that CCS does not capture 100% of the CO2.</t>
  </si>
  <si>
    <t>CO2 from industrial fossil fuel combustion</t>
  </si>
  <si>
    <t>Volume of CO2 stored per yer</t>
  </si>
  <si>
    <t>^ as share of global oil production by volume</t>
  </si>
  <si>
    <t>We compare stored CO2 to global oil production to provide a sense of scale.</t>
  </si>
  <si>
    <t>Capacity requirements by power plant type</t>
  </si>
  <si>
    <t>BAU share of electricity used by industry</t>
  </si>
  <si>
    <t>electricity capacity</t>
  </si>
  <si>
    <t>electricity supplied for industry by onshore wind</t>
  </si>
  <si>
    <t>electricity supplied for industry by offshore wind</t>
  </si>
  <si>
    <t>electricity supplied for industry by solar</t>
  </si>
  <si>
    <t>electricity supplied for industry by geothermal</t>
  </si>
  <si>
    <t>electricity supplied for industry by hydroelectric</t>
  </si>
  <si>
    <t>electricity supplied for industry by biomass</t>
  </si>
  <si>
    <t>electricity supplied for industry by nuclear</t>
  </si>
  <si>
    <t>electricity supplied for industry by fossil fuels with CCS</t>
  </si>
  <si>
    <t>electricity supplied for industry by unabated sources</t>
  </si>
  <si>
    <t>required onshore wind capacity for industry</t>
  </si>
  <si>
    <t>Incorporates a reserve margin because BAU values are real observed values and therefore also reflect a reserve margin.</t>
  </si>
  <si>
    <t>required offshore wind capacity for industry</t>
  </si>
  <si>
    <t>required solar capacity for industry</t>
  </si>
  <si>
    <t>required geothermal capacity for industry</t>
  </si>
  <si>
    <t>required hydroelectric capacity for industry</t>
  </si>
  <si>
    <t>required biomass capacity for industry</t>
  </si>
  <si>
    <t>required nuclear capacity for industry</t>
  </si>
  <si>
    <t>required fossil fuel with CCS capacity for industry</t>
  </si>
  <si>
    <t>required unabated source capacity for industry</t>
  </si>
  <si>
    <t>Reference</t>
  </si>
  <si>
    <t>Energy efficiency of hydrogen electrolysis</t>
  </si>
  <si>
    <t>Upper end of efficiency range of today's alkaline electrolyzers</t>
  </si>
  <si>
    <t>Efficiency of fossil fuel → non-heat applications</t>
  </si>
  <si>
    <t>Based on diesel engine efficiency (energy to motion)</t>
  </si>
  <si>
    <t>Efficiency of fossil fuel → useful heat at &lt; 165°C</t>
  </si>
  <si>
    <t>Efficiency of fossil fuel → useful heat at &gt; 165°C</t>
  </si>
  <si>
    <t>Efficiency of electricity → non-heat applications</t>
  </si>
  <si>
    <t>Based on EV electric motor</t>
  </si>
  <si>
    <t>Efficiency of electricity → useful heat at &lt; 165°C</t>
  </si>
  <si>
    <t>Based on heat pump with COP of 3</t>
  </si>
  <si>
    <t>Efficiency of electricity → useful heat at &gt; 165°C</t>
  </si>
  <si>
    <t>Based on resistance, induction, or dielectric heating</t>
  </si>
  <si>
    <t>Percent reduction in energy need when electrifying non-heat</t>
  </si>
  <si>
    <t>calculated</t>
  </si>
  <si>
    <t>Percent reduction in energy need when electrifying at &lt; 165°C</t>
  </si>
  <si>
    <t>Percent reduction in energy need when electrifying at &gt; 165°C</t>
  </si>
  <si>
    <t>Increase in fuel consumption to power CCS process</t>
  </si>
  <si>
    <t>Mass of CO2 per EJ of biomass</t>
  </si>
  <si>
    <t>MMT CO2 / EJ</t>
  </si>
  <si>
    <t>Mass of CO2 per EJ of coal (mixed, industrial sector)</t>
  </si>
  <si>
    <t>Unit is equivalent to kg CO2 / GJ.</t>
  </si>
  <si>
    <t>Mass of CO2 per EJ of natural gas</t>
  </si>
  <si>
    <t>Mass of CO2 per EJ of hydrocarbon gas liquids</t>
  </si>
  <si>
    <t>Mass of CO2 per EJ of petrochemical feedstocks or petroleum</t>
  </si>
  <si>
    <t>DAC electricity demand per unit CO2 captured</t>
  </si>
  <si>
    <t>EJ / MMT CO2</t>
  </si>
  <si>
    <t>coal required per ton of steel via blast furnace route</t>
  </si>
  <si>
    <t>GJ / metric ton</t>
  </si>
  <si>
    <t>electricity required per ton of steel via H2-DRI route</t>
  </si>
  <si>
    <t>hydrogen electrolyzer share of H2-DRI electricity use</t>
  </si>
  <si>
    <t>electricity per ton steel via molten oxide electrolysis</t>
  </si>
  <si>
    <t>MWh / metric ton</t>
  </si>
  <si>
    <t>coal required per ton of steel via blast furnace route (in MWh)</t>
  </si>
  <si>
    <t>electricity per ton steel via aqueous electrolysis</t>
  </si>
  <si>
    <t>Hydrogen specific energy</t>
  </si>
  <si>
    <t>MJ/kg</t>
  </si>
  <si>
    <t>Using lower heating value (LHV), assumes formed H2O remains vapor</t>
  </si>
  <si>
    <t>EJ/kg</t>
  </si>
  <si>
    <t>EJ/MMT</t>
  </si>
  <si>
    <t xml:space="preserve">hydrogen electrolyzer capacity factor </t>
  </si>
  <si>
    <t>land required per unit bioenergy produced</t>
  </si>
  <si>
    <r>
      <t>m</t>
    </r>
    <r>
      <rPr>
        <vertAlign val="superscript"/>
        <sz val="11"/>
        <color theme="1"/>
        <rFont val="Calibri"/>
        <family val="2"/>
        <scheme val="minor"/>
      </rPr>
      <t>2</t>
    </r>
    <r>
      <rPr>
        <sz val="11"/>
        <color theme="1"/>
        <rFont val="Calibri"/>
        <family val="2"/>
        <scheme val="minor"/>
      </rPr>
      <t xml:space="preserve"> / GJ</t>
    </r>
  </si>
  <si>
    <t>million ha / EJ</t>
  </si>
  <si>
    <t>percent of CO2 captured by CCS systems</t>
  </si>
  <si>
    <t>mass of stored CO2 volumetrically equivalent to annual global oil production</t>
  </si>
  <si>
    <t>capacity factor for onshore wind</t>
  </si>
  <si>
    <t>capacity factor for offshore wind</t>
  </si>
  <si>
    <t>capacity factor for solar</t>
  </si>
  <si>
    <t>capacity factor for geothermal</t>
  </si>
  <si>
    <t>capacity factor for hydroelectric</t>
  </si>
  <si>
    <t>capacity factor for biomass</t>
  </si>
  <si>
    <t>capacity factor for nuclear</t>
  </si>
  <si>
    <t>capacity factor for fossil fuels with CCS</t>
  </si>
  <si>
    <t>capacity factor for unabated sources</t>
  </si>
  <si>
    <t>Based on U.S. natural gas combined cycle</t>
  </si>
  <si>
    <t>China</t>
  </si>
  <si>
    <t>India</t>
  </si>
  <si>
    <t>World</t>
  </si>
  <si>
    <t>US References</t>
  </si>
  <si>
    <t>China References</t>
  </si>
  <si>
    <t>EU References</t>
  </si>
  <si>
    <t>India References</t>
  </si>
  <si>
    <t>World References</t>
  </si>
  <si>
    <t>Active Region</t>
  </si>
  <si>
    <t>BAU electricity demand from manufacturing industries</t>
  </si>
  <si>
    <t>BAU electricity demand from non-manufacturing industries</t>
  </si>
  <si>
    <t>BAU electricity demand from non-industrial sectors (rest of economy)</t>
  </si>
  <si>
    <t>BAU non-feedstock fossil fuel demand from manufacturing industries</t>
  </si>
  <si>
    <t>BAU non-feedstock fossil fuel demand from non-manufacturing industries</t>
  </si>
  <si>
    <t>BAU non-feedstock bioenergy demand from manufacturing industries</t>
  </si>
  <si>
    <t>BAU non-feedstock bioenergy demand from non-manufacturing industries</t>
  </si>
  <si>
    <t>BAU chemicals industry feedstock demand: coal</t>
  </si>
  <si>
    <t>BAU chemicals industry feedstock demand: natural gas</t>
  </si>
  <si>
    <t>BAU chemicals industry feedstock demand: HGL (ethane, propane, butane, etc.)</t>
  </si>
  <si>
    <t>BAU chemicals industry feedstock demand: petroleum and petrochemical feedstocks</t>
  </si>
  <si>
    <t>BAU iron and steel feedstock demand: metallurgical coal</t>
  </si>
  <si>
    <t>24, 3</t>
  </si>
  <si>
    <t>32, 3</t>
  </si>
  <si>
    <t>22, 3</t>
  </si>
  <si>
    <t>36, 3</t>
  </si>
  <si>
    <t>1, 3</t>
  </si>
  <si>
    <t>BAU hydrogen use (pure H2, e.g. for ammonia and refining, not H2 that is part of syngas)</t>
  </si>
  <si>
    <t>existing hydrogen electrolyzer capacity</t>
  </si>
  <si>
    <t>MW</t>
  </si>
  <si>
    <t>26, 30</t>
  </si>
  <si>
    <t>BAU total onshore wind capacity</t>
  </si>
  <si>
    <t>BAU total offshore wind capacity</t>
  </si>
  <si>
    <t>BAU total solar capacity</t>
  </si>
  <si>
    <t>BAU total geothermal capacity</t>
  </si>
  <si>
    <t>n/a</t>
  </si>
  <si>
    <t>BAU total hydroelectric capacity</t>
  </si>
  <si>
    <t>BAU total biomass capacity</t>
  </si>
  <si>
    <t>BAU total nuclear capacity</t>
  </si>
  <si>
    <t>BAU total fossil fuel with CCS capacity</t>
  </si>
  <si>
    <t>BAU total unabated source capacity</t>
  </si>
  <si>
    <t>electricity system reserve margin</t>
  </si>
  <si>
    <t>Reference Number</t>
  </si>
  <si>
    <t>Author</t>
  </si>
  <si>
    <t>Year</t>
  </si>
  <si>
    <t>Document</t>
  </si>
  <si>
    <t>URL</t>
  </si>
  <si>
    <t>Page or Table</t>
  </si>
  <si>
    <t>U.S. Energy Information Administration</t>
  </si>
  <si>
    <t>Annual Energy Outlook 2023</t>
  </si>
  <si>
    <t>https://www.eia.gov/outlooks/aeo/tables_ref.php</t>
  </si>
  <si>
    <t>Reference case</t>
  </si>
  <si>
    <t>2018 Manufacturing Energy Consumption Survey</t>
  </si>
  <si>
    <t>https://www.eia.gov/consumption/manufacturing/</t>
  </si>
  <si>
    <t>Table 5.2</t>
  </si>
  <si>
    <t>Madeddu et al.</t>
  </si>
  <si>
    <t>The CO2 reduction potential for the European industry via direct electrification of heat supply (power-to-heat)</t>
  </si>
  <si>
    <t>https://doi.org/10.1088/1748-9326/abbd02</t>
  </si>
  <si>
    <t>Supplementary info, Table A.2</t>
  </si>
  <si>
    <t>International Council on Clean Transportation</t>
  </si>
  <si>
    <t>The Ever-Improving Efficiency of the Diesel Engine</t>
  </si>
  <si>
    <t>https://theicct.org/the-ever-improving-efficiency-of-the-diesel-engine/</t>
  </si>
  <si>
    <t>Paragraph 3</t>
  </si>
  <si>
    <t>Natural Resources Defense Council</t>
  </si>
  <si>
    <t>Electric Vehicle Basics</t>
  </si>
  <si>
    <t>https://www.nrdc.org/bio/madhur-boloor/electric-vehicle-basics</t>
  </si>
  <si>
    <t>Arpagaus et al.</t>
  </si>
  <si>
    <t>High temperature heat pumps: Market overview, state of the art, research status, refrigerants, and application potentials</t>
  </si>
  <si>
    <t>https://www.sciencedirect.com/science/article/pii/S0360544218305759</t>
  </si>
  <si>
    <t>Figure 8</t>
  </si>
  <si>
    <t>Wikipedia</t>
  </si>
  <si>
    <t>Energy Density</t>
  </si>
  <si>
    <t>https://en.wikipedia.org/wiki/Energy_density</t>
  </si>
  <si>
    <t>U.S. Environmental Protection Agency</t>
  </si>
  <si>
    <t>U.S. Inventory of Greenhouse Gas Emissions and Sinks: 1990-2021</t>
  </si>
  <si>
    <t>https://www.epa.gov/ghgemissions/inventory-us-greenhouse-gas-emissions-and-sinks-1990-2021</t>
  </si>
  <si>
    <t>Chapter 4</t>
  </si>
  <si>
    <t>GHG Emission Factors Hub</t>
  </si>
  <si>
    <t>https://www.epa.gov/climateleadership/ghg-emission-factors-hub</t>
  </si>
  <si>
    <t>Keith et al. (Carbon Engineering)</t>
  </si>
  <si>
    <t>A Process for Capturing CO2 from the Atmosphere</t>
  </si>
  <si>
    <t>https://www.cell.com/joule/fulltext/S2542-4351(18)30225-3</t>
  </si>
  <si>
    <t>Vogl et al.</t>
  </si>
  <si>
    <t>Assessment of hydrogen direct reduction for fossil-free steelmaking</t>
  </si>
  <si>
    <t>http://www.sciencedirect.com/science/article/pii/S0959652618326301</t>
  </si>
  <si>
    <t>Adam Rauwerdink</t>
  </si>
  <si>
    <t>Boston Metal: Steel Production Through Electrolysis: Impacts for Electricity Consumption</t>
  </si>
  <si>
    <t>https://iea.blob.core.windows.net/assets/imports/events/288/S5.4_20191010BostonMetalIEADecarbonization2019.pdf</t>
  </si>
  <si>
    <t>Lopes et al.</t>
  </si>
  <si>
    <t>Prospects and challenges of the electrochemical reduction of iron oxides in alkaline media for steel production</t>
  </si>
  <si>
    <t>https://www.frontiersin.org/articles/10.3389/fmats.2022.1010156/full</t>
  </si>
  <si>
    <t>U.S. Department of Energy</t>
  </si>
  <si>
    <t>undated</t>
  </si>
  <si>
    <t>https://www.energy.gov/eere/fuelcells/hydrogen-production</t>
  </si>
  <si>
    <t>Jeffrey Rissman</t>
  </si>
  <si>
    <t>Zero-Carbon Industry</t>
  </si>
  <si>
    <t>https://zerocarbonindustry.com</t>
  </si>
  <si>
    <t>Electrolyzer Installations in the United States</t>
  </si>
  <si>
    <t>Table 1</t>
  </si>
  <si>
    <t>Holmatov et al.</t>
  </si>
  <si>
    <t>Land, water and carbon footprints of circular bioenergy production systems</t>
  </si>
  <si>
    <t>https://www.sciencedirect.com/science/article/pii/S1364032119303065</t>
  </si>
  <si>
    <t>Table 9</t>
  </si>
  <si>
    <t>World Bank</t>
  </si>
  <si>
    <t>Mac Dowell et al.</t>
  </si>
  <si>
    <t>The role of CO2 capture and utilization in mitigating climate change</t>
  </si>
  <si>
    <t>https://www.nature.com/articles/nclimate3231</t>
  </si>
  <si>
    <t>Energy Innovation LLC</t>
  </si>
  <si>
    <t>U.S. Energy Policy Simulator 4.0.0</t>
  </si>
  <si>
    <t>https://energypolicy.solutions</t>
  </si>
  <si>
    <t>variable elec/BECF</t>
  </si>
  <si>
    <t xml:space="preserve">North American Electrict Reliability Coorporation </t>
  </si>
  <si>
    <t>2015 Summer Reliability Assessment</t>
  </si>
  <si>
    <t>http://www.nerc.com/pa/RAPA/ra/Reliability%20Assessments%20DL/2015_Summer_Reliability_Assessment.pdf</t>
  </si>
  <si>
    <t>p.3, Table 1: Projected Demand, Resources, and Planning Reserve Margins, NERC Reference Margin Level (%)</t>
  </si>
  <si>
    <t>NITI Aayog</t>
  </si>
  <si>
    <t>https://iess2047.gov.in/#?inputs=1-1-1-1-1-1-1-1-1-1-1-1-1-1-1-1-1-1-1-1-1-1-1-1-1-1-1-1-1-1-1-1-1-1-1-1-1-1-1-1-1-1</t>
  </si>
  <si>
    <t>CSV download</t>
  </si>
  <si>
    <t>Brookings Institution</t>
  </si>
  <si>
    <t>The Indian Power Grid: If Renewables are the Answer, what was the Question?</t>
  </si>
  <si>
    <t>https://www.brookings.edu/wp-content/uploads/2015/01/renewable-energy_ch3.pdf</t>
  </si>
  <si>
    <t>p.22 (to establish India's grid reserve margin)</t>
  </si>
  <si>
    <t>using 2021 year</t>
  </si>
  <si>
    <t>China IGDP Energy Policy Simulator</t>
  </si>
  <si>
    <t>using 2022 year</t>
  </si>
  <si>
    <t>IEA</t>
  </si>
  <si>
    <t>Electrolysers</t>
  </si>
  <si>
    <t>https://www.iea.org/energy-system/low-emission-fuels/electrolysers</t>
  </si>
  <si>
    <t>Country and regional highlights, Technology deployment</t>
  </si>
  <si>
    <t>Gutschow et al.</t>
  </si>
  <si>
    <t>https://primap.org/primap-hist/</t>
  </si>
  <si>
    <t>EU Energy Policy Simulator</t>
  </si>
  <si>
    <t>India Energy Policy Simulator 3.1.3.5</t>
  </si>
  <si>
    <t>Ansari et al.</t>
  </si>
  <si>
    <t>Electrolysers for the hydrogen revolution</t>
  </si>
  <si>
    <t>https://www.swp-berlin.org/10.18449/2022C57/</t>
  </si>
  <si>
    <t>JRC</t>
  </si>
  <si>
    <t>Renewables Data Explorer</t>
  </si>
  <si>
    <t>https://www.iea.org/data-and-statistics/data-tools/renewables-data-explorer</t>
  </si>
  <si>
    <t>Used for onshore/offshore wind - 2021 data for consistency with other non-renewables capacities</t>
  </si>
  <si>
    <t>https://www.eia.gov/international/data/world/electricity/electricity-capacity?pd=2&amp;p=0000000000000000000007vo7&amp;u=0&amp;f=A&amp;v=mapbubble&amp;a=-&amp;i=none&amp;vo=value&amp;t=C&amp;g=00000000000000000000000000000000000000000000000001&amp;l=249-ruvvvvvfvtvnvv1vrvvvvfvvvvvvfvvvou20evvvvvvvvvvnvvvs0008&amp;s=315532800000&amp;e=1609459200000&amp;</t>
  </si>
  <si>
    <t>Used for world capacities aside from carbon capture and onshore/offshore wind</t>
  </si>
  <si>
    <t>Data Year:</t>
  </si>
  <si>
    <t>Non-Feedstock Energy Consumption</t>
  </si>
  <si>
    <t xml:space="preserve">Industry </t>
  </si>
  <si>
    <t>Fossil fuel consumption</t>
  </si>
  <si>
    <t>Bioenergy and waste consumption</t>
  </si>
  <si>
    <t>Purchased electricity consumption</t>
  </si>
  <si>
    <t>TJ</t>
  </si>
  <si>
    <t>AEO considers this part of the Industry sector, but not part of manufacturing.</t>
  </si>
  <si>
    <t>Feedstock Energy Consumption</t>
  </si>
  <si>
    <t>Industry</t>
  </si>
  <si>
    <t>Feedstock consumption</t>
  </si>
  <si>
    <t>Non-Industrial Sectors (rest of economy)</t>
  </si>
  <si>
    <t>Residential</t>
  </si>
  <si>
    <t>IESS v3.0 Sheet</t>
  </si>
  <si>
    <t>Cement</t>
  </si>
  <si>
    <t>XI</t>
  </si>
  <si>
    <t>Mtoe</t>
  </si>
  <si>
    <t>Fertilizer</t>
  </si>
  <si>
    <t>Aluminum</t>
  </si>
  <si>
    <t>Iron and Steel</t>
  </si>
  <si>
    <t>Pulp and Paper</t>
  </si>
  <si>
    <t>Textile</t>
  </si>
  <si>
    <t>Chlor Alkali</t>
  </si>
  <si>
    <t>Other Manufacturing</t>
  </si>
  <si>
    <t>Agriculture</t>
  </si>
  <si>
    <t>XIV</t>
  </si>
  <si>
    <t>Telecom</t>
  </si>
  <si>
    <t>XVI</t>
  </si>
  <si>
    <t>Mining</t>
  </si>
  <si>
    <t>X.a</t>
  </si>
  <si>
    <t>X.b</t>
  </si>
  <si>
    <t>XII.a</t>
  </si>
  <si>
    <t>XII.b</t>
  </si>
  <si>
    <t>ktoe</t>
  </si>
  <si>
    <t>Construction</t>
  </si>
  <si>
    <t>China Statistical Yearbook (CSY) Sheet</t>
  </si>
  <si>
    <t>Energy Consumption 4-3</t>
  </si>
  <si>
    <t>10^4 TCE</t>
  </si>
  <si>
    <t>National Energy Balance Sheet 5-2</t>
  </si>
  <si>
    <t>Production and Supply of Electricity, Gas, and Water</t>
  </si>
  <si>
    <t>Chemicals</t>
  </si>
  <si>
    <t>trillion BTU</t>
  </si>
  <si>
    <t>chemicals</t>
  </si>
  <si>
    <t>Petrochemical Feedstocks</t>
  </si>
  <si>
    <t>Natural Gas</t>
  </si>
  <si>
    <t>iron and steel</t>
  </si>
  <si>
    <t>Metallurgical Coal</t>
  </si>
  <si>
    <t>Transport, Storage, and Post</t>
  </si>
  <si>
    <t>Wholesale and Retail Trades, Hotels and Catering Services</t>
  </si>
  <si>
    <t>Other</t>
  </si>
  <si>
    <r>
      <rPr>
        <sz val="10"/>
        <rFont val="宋体"/>
        <charset val="134"/>
      </rPr>
      <t>(10</t>
    </r>
    <r>
      <rPr>
        <vertAlign val="superscript"/>
        <sz val="10"/>
        <rFont val="宋体"/>
        <charset val="134"/>
      </rPr>
      <t>4</t>
    </r>
    <r>
      <rPr>
        <sz val="10"/>
        <rFont val="宋体"/>
        <charset val="134"/>
      </rPr>
      <t xml:space="preserve"> tce)</t>
    </r>
  </si>
  <si>
    <t>Sector</t>
  </si>
  <si>
    <t>终端消费合计
Final Consumption Total</t>
  </si>
  <si>
    <t>煤合计
Coal Total</t>
  </si>
  <si>
    <t>原煤
Raw Coal</t>
  </si>
  <si>
    <t>洗精煤
Cleaned
Coal</t>
  </si>
  <si>
    <t>其他洗煤
Other
Washed
Coal</t>
  </si>
  <si>
    <t>焦炭
Coke</t>
  </si>
  <si>
    <t>焦炉煤气
Coke Oven
Gas</t>
  </si>
  <si>
    <t>高炉煤气
Blast Furnace
Gas</t>
  </si>
  <si>
    <t>转炉煤气
Converter
Gas</t>
  </si>
  <si>
    <t>其他煤气
Other Gas</t>
  </si>
  <si>
    <t>(发电煤耗
计算法)
(Coal
Equivalent
Calculation)</t>
  </si>
  <si>
    <t>(电热当量
计算法)
(Calorific
Value
Calculation)</t>
  </si>
  <si>
    <t>其他焦化产品
Other
Coking
Products</t>
  </si>
  <si>
    <t>油品合计
Petroleum
Products
Total</t>
  </si>
  <si>
    <t>原油
Crude Oil</t>
  </si>
  <si>
    <t>汽油
Gasoline</t>
  </si>
  <si>
    <t>煤油
Kerosene</t>
  </si>
  <si>
    <t>柴油
Diesel Oil</t>
  </si>
  <si>
    <t>燃料油
Fuel Oil</t>
  </si>
  <si>
    <t>石脑油
Naphtha</t>
  </si>
  <si>
    <t>润滑油
Lubricants</t>
  </si>
  <si>
    <t>石蜡
Paraffin
Waxes</t>
  </si>
  <si>
    <t>溶剂油
White Spirit</t>
  </si>
  <si>
    <t>石油沥青
Bitumen
Asphalt</t>
  </si>
  <si>
    <t>石油焦
Petroleum
Coke</t>
  </si>
  <si>
    <t>液化石油气
Liquefied
Petroleum Gas</t>
  </si>
  <si>
    <t>炼厂干气
Refinery
Gas</t>
  </si>
  <si>
    <t>其他石油制品
Other
Petroleum
Products</t>
  </si>
  <si>
    <t>天然气
Natural Gas</t>
  </si>
  <si>
    <t>液化天然气
Liquefied
Natural Gas</t>
  </si>
  <si>
    <t>热力
Heat</t>
  </si>
  <si>
    <t>电力
Electricity</t>
  </si>
  <si>
    <t>其他能源
Other Energy</t>
  </si>
  <si>
    <t>Useful Energy by Temperature by Industry in the European Union in 2015</t>
  </si>
  <si>
    <t>We use these energy use breakdowns by industry from Madeddu et al. for all regions, but we use the region-specific distribution energy use</t>
  </si>
  <si>
    <t>among various industries to calculate our weighted average energy use by temperature range by region.</t>
  </si>
  <si>
    <t>Combustion heating</t>
  </si>
  <si>
    <t>&lt; 100°C</t>
  </si>
  <si>
    <t>100-400°C</t>
  </si>
  <si>
    <t>400-1000°C</t>
  </si>
  <si>
    <t>&gt; 1000°C</t>
  </si>
  <si>
    <t>Secondary Aluminum</t>
  </si>
  <si>
    <t>Other Non-Ferrous Metals</t>
  </si>
  <si>
    <t>Textiles</t>
  </si>
  <si>
    <t>Primary Aluminum</t>
  </si>
  <si>
    <t>Wood and Wood Products</t>
  </si>
  <si>
    <t>Glass</t>
  </si>
  <si>
    <t>Secondary Steel</t>
  </si>
  <si>
    <t>Transport Equipment</t>
  </si>
  <si>
    <t>Ceramics</t>
  </si>
  <si>
    <t>Machinery and Equipment</t>
  </si>
  <si>
    <t>Food</t>
  </si>
  <si>
    <t>Primary Steel</t>
  </si>
  <si>
    <t>United States Weighted Average</t>
  </si>
  <si>
    <t>Mapped industry from Madeddu (at top)</t>
  </si>
  <si>
    <t>Weighted Average</t>
  </si>
  <si>
    <t>As Share of Combustion Heating Energy Use</t>
  </si>
  <si>
    <t>&lt; 165°C</t>
  </si>
  <si>
    <t>&gt; 165°C</t>
  </si>
  <si>
    <t>Recategorized into two temperature buckets</t>
  </si>
  <si>
    <t>China Weighted Average</t>
  </si>
  <si>
    <t>India Weighted Average</t>
  </si>
  <si>
    <t>EU Weighted Average</t>
  </si>
  <si>
    <t>World Weighted Average</t>
  </si>
  <si>
    <t>Emission Factors for Greenhouse Gas Inventories</t>
  </si>
  <si>
    <t>Last Modified: 16 March 2023</t>
  </si>
  <si>
    <t>Red text indicates an update from the 2022 version of this document.</t>
  </si>
  <si>
    <r>
      <t>Typically, greenhouse gas emissions are reported in units of carbon dioxide equivalent (CO</t>
    </r>
    <r>
      <rPr>
        <vertAlign val="subscript"/>
        <sz val="10"/>
        <rFont val="Arial"/>
        <family val="2"/>
      </rPr>
      <t>2</t>
    </r>
    <r>
      <rPr>
        <sz val="10"/>
        <rFont val="Arial"/>
        <family val="2"/>
      </rPr>
      <t>e).  Gases are converted to CO</t>
    </r>
    <r>
      <rPr>
        <vertAlign val="subscript"/>
        <sz val="10"/>
        <rFont val="Arial"/>
        <family val="2"/>
      </rPr>
      <t>2</t>
    </r>
    <r>
      <rPr>
        <sz val="10"/>
        <rFont val="Arial"/>
        <family val="2"/>
      </rPr>
      <t>e by multiplying by their global warming potential (GWP).  The emission factors listed in this document have not been converted to CO</t>
    </r>
    <r>
      <rPr>
        <vertAlign val="subscript"/>
        <sz val="10"/>
        <rFont val="Arial"/>
        <family val="2"/>
      </rPr>
      <t>2</t>
    </r>
    <r>
      <rPr>
        <sz val="10"/>
        <rFont val="Arial"/>
        <family val="2"/>
      </rPr>
      <t xml:space="preserve">e.  To do so, multiply the emissions by the corresponding GWP listed in the table below.  </t>
    </r>
  </si>
  <si>
    <t>Gas</t>
  </si>
  <si>
    <t>100-Year GWP</t>
  </si>
  <si>
    <r>
      <t>CH</t>
    </r>
    <r>
      <rPr>
        <vertAlign val="subscript"/>
        <sz val="10"/>
        <rFont val="Arial"/>
        <family val="2"/>
      </rPr>
      <t>4</t>
    </r>
  </si>
  <si>
    <r>
      <t>N</t>
    </r>
    <r>
      <rPr>
        <vertAlign val="subscript"/>
        <sz val="10"/>
        <rFont val="Arial"/>
        <family val="2"/>
      </rPr>
      <t>2</t>
    </r>
    <r>
      <rPr>
        <sz val="10"/>
        <rFont val="Arial"/>
        <family val="2"/>
      </rPr>
      <t>O</t>
    </r>
  </si>
  <si>
    <r>
      <rPr>
        <b/>
        <sz val="9"/>
        <rFont val="Arial"/>
        <family val="2"/>
      </rPr>
      <t xml:space="preserve">Source: </t>
    </r>
    <r>
      <rPr>
        <sz val="9"/>
        <rFont val="Arial"/>
        <family val="2"/>
      </rPr>
      <t xml:space="preserve">Intergovernmental Panel on Climate Change (IPCC), Fourth Assessment
Report (AR4), 2007. See the source note to Table 11 for further explanation. </t>
    </r>
  </si>
  <si>
    <t xml:space="preserve">   Stationary Combustion</t>
  </si>
  <si>
    <t>Fuel Type</t>
  </si>
  <si>
    <t>Heat Content (HHV)</t>
  </si>
  <si>
    <r>
      <t>CO</t>
    </r>
    <r>
      <rPr>
        <b/>
        <vertAlign val="subscript"/>
        <sz val="10"/>
        <rFont val="Arial"/>
        <family val="2"/>
      </rPr>
      <t>2</t>
    </r>
    <r>
      <rPr>
        <b/>
        <sz val="10"/>
        <rFont val="Arial"/>
        <family val="2"/>
      </rPr>
      <t xml:space="preserve"> Factor</t>
    </r>
  </si>
  <si>
    <r>
      <t>CH</t>
    </r>
    <r>
      <rPr>
        <b/>
        <vertAlign val="subscript"/>
        <sz val="10"/>
        <rFont val="Arial"/>
        <family val="2"/>
      </rPr>
      <t>4</t>
    </r>
    <r>
      <rPr>
        <b/>
        <sz val="10"/>
        <rFont val="Arial"/>
        <family val="2"/>
      </rPr>
      <t xml:space="preserve"> Factor</t>
    </r>
  </si>
  <si>
    <r>
      <t>N</t>
    </r>
    <r>
      <rPr>
        <b/>
        <vertAlign val="subscript"/>
        <sz val="10"/>
        <rFont val="Arial"/>
        <family val="2"/>
      </rPr>
      <t>2</t>
    </r>
    <r>
      <rPr>
        <b/>
        <sz val="10"/>
        <rFont val="Arial"/>
        <family val="2"/>
      </rPr>
      <t>O Factor</t>
    </r>
  </si>
  <si>
    <t>mmBtu per short ton</t>
  </si>
  <si>
    <r>
      <t>kg CO</t>
    </r>
    <r>
      <rPr>
        <b/>
        <vertAlign val="subscript"/>
        <sz val="9"/>
        <rFont val="Arial"/>
        <family val="2"/>
      </rPr>
      <t>2</t>
    </r>
    <r>
      <rPr>
        <b/>
        <sz val="9"/>
        <rFont val="Arial"/>
        <family val="2"/>
      </rPr>
      <t xml:space="preserve"> per mmBtu</t>
    </r>
  </si>
  <si>
    <r>
      <t>g CH</t>
    </r>
    <r>
      <rPr>
        <b/>
        <vertAlign val="subscript"/>
        <sz val="9"/>
        <rFont val="Arial"/>
        <family val="2"/>
      </rPr>
      <t>4</t>
    </r>
    <r>
      <rPr>
        <b/>
        <sz val="9"/>
        <rFont val="Arial"/>
        <family val="2"/>
      </rPr>
      <t xml:space="preserve"> per mmBtu</t>
    </r>
  </si>
  <si>
    <r>
      <t>g N</t>
    </r>
    <r>
      <rPr>
        <b/>
        <vertAlign val="subscript"/>
        <sz val="9"/>
        <rFont val="Arial"/>
        <family val="2"/>
      </rPr>
      <t>2</t>
    </r>
    <r>
      <rPr>
        <b/>
        <sz val="9"/>
        <rFont val="Arial"/>
        <family val="2"/>
      </rPr>
      <t>O per mmBtu</t>
    </r>
  </si>
  <si>
    <r>
      <t>kg CO</t>
    </r>
    <r>
      <rPr>
        <b/>
        <vertAlign val="subscript"/>
        <sz val="9"/>
        <rFont val="Arial"/>
        <family val="2"/>
      </rPr>
      <t>2</t>
    </r>
    <r>
      <rPr>
        <b/>
        <sz val="9"/>
        <rFont val="Arial"/>
        <family val="2"/>
      </rPr>
      <t xml:space="preserve"> per short ton</t>
    </r>
  </si>
  <si>
    <r>
      <t>g CH</t>
    </r>
    <r>
      <rPr>
        <b/>
        <vertAlign val="subscript"/>
        <sz val="9"/>
        <rFont val="Arial"/>
        <family val="2"/>
      </rPr>
      <t>4</t>
    </r>
    <r>
      <rPr>
        <b/>
        <sz val="9"/>
        <rFont val="Arial"/>
        <family val="2"/>
      </rPr>
      <t xml:space="preserve"> per short ton</t>
    </r>
  </si>
  <si>
    <r>
      <t>g N</t>
    </r>
    <r>
      <rPr>
        <b/>
        <vertAlign val="subscript"/>
        <sz val="9"/>
        <rFont val="Arial"/>
        <family val="2"/>
      </rPr>
      <t>2</t>
    </r>
    <r>
      <rPr>
        <b/>
        <sz val="9"/>
        <rFont val="Arial"/>
        <family val="2"/>
      </rPr>
      <t>O per short ton</t>
    </r>
  </si>
  <si>
    <t>Coal and Coke</t>
  </si>
  <si>
    <t>Anthracite Coal</t>
  </si>
  <si>
    <t>Bituminous Coal</t>
  </si>
  <si>
    <t>Sub-bituminous Coal</t>
  </si>
  <si>
    <t>Lignite Coal</t>
  </si>
  <si>
    <t>Mixed (Commercial Sector)</t>
  </si>
  <si>
    <t>Mixed (Electric Power Sector)</t>
  </si>
  <si>
    <t>Mixed (Industrial Coking)</t>
  </si>
  <si>
    <t>Mixed (Industrial Sector)</t>
  </si>
  <si>
    <t>Coal Coke</t>
  </si>
  <si>
    <t>Other Fuels - Solid</t>
  </si>
  <si>
    <t>Municipal Solid Waste</t>
  </si>
  <si>
    <t>Petroleum Coke (Solid)</t>
  </si>
  <si>
    <t>Plastics</t>
  </si>
  <si>
    <t>Tires</t>
  </si>
  <si>
    <t>Biomass Fuels - Solid</t>
  </si>
  <si>
    <t>Agricultural Byproducts</t>
  </si>
  <si>
    <t>Peat</t>
  </si>
  <si>
    <t>Solid Byproducts</t>
  </si>
  <si>
    <t>Wood and Wood Residuals</t>
  </si>
  <si>
    <t>mmBtu per scf</t>
  </si>
  <si>
    <r>
      <t>kg CO</t>
    </r>
    <r>
      <rPr>
        <b/>
        <vertAlign val="subscript"/>
        <sz val="9"/>
        <rFont val="Arial"/>
        <family val="2"/>
      </rPr>
      <t>2</t>
    </r>
    <r>
      <rPr>
        <b/>
        <sz val="9"/>
        <rFont val="Arial"/>
        <family val="2"/>
      </rPr>
      <t xml:space="preserve"> per scf</t>
    </r>
  </si>
  <si>
    <r>
      <t>g CH</t>
    </r>
    <r>
      <rPr>
        <b/>
        <vertAlign val="subscript"/>
        <sz val="9"/>
        <rFont val="Arial"/>
        <family val="2"/>
      </rPr>
      <t>4</t>
    </r>
    <r>
      <rPr>
        <b/>
        <sz val="9"/>
        <rFont val="Arial"/>
        <family val="2"/>
      </rPr>
      <t xml:space="preserve"> per scf</t>
    </r>
  </si>
  <si>
    <r>
      <t>g N</t>
    </r>
    <r>
      <rPr>
        <b/>
        <vertAlign val="subscript"/>
        <sz val="9"/>
        <rFont val="Arial"/>
        <family val="2"/>
      </rPr>
      <t>2</t>
    </r>
    <r>
      <rPr>
        <b/>
        <sz val="9"/>
        <rFont val="Arial"/>
        <family val="2"/>
      </rPr>
      <t>O per scf</t>
    </r>
  </si>
  <si>
    <t>Other Fuels - Gaseous</t>
  </si>
  <si>
    <t>Blast Furnace Gas</t>
  </si>
  <si>
    <t>Coke Oven Gas</t>
  </si>
  <si>
    <t>Fuel Gas</t>
  </si>
  <si>
    <t>Propane Gas</t>
  </si>
  <si>
    <t>Biomass Fuels - Gaseous</t>
  </si>
  <si>
    <t>Landfill Gas</t>
  </si>
  <si>
    <t>Other Biomass Gases</t>
  </si>
  <si>
    <t>mmBtu per gallon</t>
  </si>
  <si>
    <r>
      <t>kg CO</t>
    </r>
    <r>
      <rPr>
        <b/>
        <vertAlign val="subscript"/>
        <sz val="9"/>
        <rFont val="Arial"/>
        <family val="2"/>
      </rPr>
      <t>2</t>
    </r>
    <r>
      <rPr>
        <b/>
        <sz val="9"/>
        <rFont val="Arial"/>
        <family val="2"/>
      </rPr>
      <t xml:space="preserve"> per gallon</t>
    </r>
  </si>
  <si>
    <r>
      <t>g CH</t>
    </r>
    <r>
      <rPr>
        <b/>
        <vertAlign val="subscript"/>
        <sz val="9"/>
        <rFont val="Arial"/>
        <family val="2"/>
      </rPr>
      <t>4</t>
    </r>
    <r>
      <rPr>
        <b/>
        <sz val="9"/>
        <rFont val="Arial"/>
        <family val="2"/>
      </rPr>
      <t xml:space="preserve"> per gallon</t>
    </r>
  </si>
  <si>
    <r>
      <t>g N</t>
    </r>
    <r>
      <rPr>
        <b/>
        <vertAlign val="subscript"/>
        <sz val="9"/>
        <rFont val="Arial"/>
        <family val="2"/>
      </rPr>
      <t>2</t>
    </r>
    <r>
      <rPr>
        <b/>
        <sz val="9"/>
        <rFont val="Arial"/>
        <family val="2"/>
      </rPr>
      <t>O per gallon</t>
    </r>
  </si>
  <si>
    <t>Petroleum Products</t>
  </si>
  <si>
    <t>Asphalt and Road Oil</t>
  </si>
  <si>
    <t>Aviation Gasoline</t>
  </si>
  <si>
    <t>Butane</t>
  </si>
  <si>
    <t>Butylene</t>
  </si>
  <si>
    <t>Crude Oil</t>
  </si>
  <si>
    <t>Distillate Fuel Oil No. 1</t>
  </si>
  <si>
    <t>Distillate Fuel Oil No. 2</t>
  </si>
  <si>
    <t>Distillate Fuel Oil No. 4</t>
  </si>
  <si>
    <t>Ethane</t>
  </si>
  <si>
    <t>Ethylene</t>
  </si>
  <si>
    <t>Heavy Gas Oils</t>
  </si>
  <si>
    <t>Isobutane</t>
  </si>
  <si>
    <t>Isobutylene</t>
  </si>
  <si>
    <t>Kerosene</t>
  </si>
  <si>
    <t>Kerosene-Type Jet Fuel</t>
  </si>
  <si>
    <t>Liquefied Petroleum Gases (LPG)</t>
  </si>
  <si>
    <t>Lubricants</t>
  </si>
  <si>
    <t>Motor Gasoline</t>
  </si>
  <si>
    <t>Naphtha (&lt;401 deg F)</t>
  </si>
  <si>
    <t>Natural Gasoline</t>
  </si>
  <si>
    <t>Other Oil (&gt;401 deg F)</t>
  </si>
  <si>
    <t>Pentanes Plus</t>
  </si>
  <si>
    <t>Propane</t>
  </si>
  <si>
    <t>Propylene</t>
  </si>
  <si>
    <t>Residual Fuel Oil No. 5</t>
  </si>
  <si>
    <t>Residual Fuel Oil No. 6</t>
  </si>
  <si>
    <t>Special Naphtha</t>
  </si>
  <si>
    <t>Unfinished Oils</t>
  </si>
  <si>
    <t>Used Oil</t>
  </si>
  <si>
    <t>Biomass Fuels - Liquid</t>
  </si>
  <si>
    <t>Biodiesel (100%)</t>
  </si>
  <si>
    <t>Ethanol (100%)</t>
  </si>
  <si>
    <t>Rendered Animal Fat</t>
  </si>
  <si>
    <t>Vegetable Oil</t>
  </si>
  <si>
    <t>Biomass Fuels - 
Kraft Pulping Liquor, by Wood Furnish</t>
  </si>
  <si>
    <t>North American Softwood</t>
  </si>
  <si>
    <t>North American Hardwood</t>
  </si>
  <si>
    <t>Bagasse</t>
  </si>
  <si>
    <t>Bamboo</t>
  </si>
  <si>
    <t>Straw</t>
  </si>
  <si>
    <t>Source:</t>
  </si>
  <si>
    <t xml:space="preserve">Federal Register EPA; 40 CFR Part 98; e-CFR, (see link below). Table C-1 and Table C-2 (78 FR 71950, Nov. 29, 2013, as amended at 81 FR 89252, Dec. 9, 2016), Table AA-1 (78 FR 71965, Nov. 29, 2013).  </t>
  </si>
  <si>
    <t>https://www.ecfr.gov/current/title-40/chapter-I/subchapter-C/part-98</t>
  </si>
  <si>
    <r>
      <rPr>
        <b/>
        <sz val="9"/>
        <rFont val="Arial"/>
        <family val="2"/>
      </rPr>
      <t>Notes:</t>
    </r>
    <r>
      <rPr>
        <sz val="9"/>
        <rFont val="Arial"/>
        <family val="2"/>
      </rPr>
      <t xml:space="preserve"> </t>
    </r>
  </si>
  <si>
    <t>Emission factors are per unit of heat content using higher heating values (HHV). If heat content is available from the fuel supplier, it is preferable to use that value. If not, default heat contents are provided.</t>
  </si>
  <si>
    <t>The factors represented in the table above represent combustion emissions only (tank-to-wheel) and do not represent upstream emissions or well-to-wheel emissions.</t>
  </si>
  <si>
    <t>Table 2</t>
  </si>
  <si>
    <r>
      <t xml:space="preserve">   Mobile Combustion CO</t>
    </r>
    <r>
      <rPr>
        <b/>
        <vertAlign val="subscript"/>
        <sz val="12"/>
        <rFont val="Arial"/>
        <family val="2"/>
      </rPr>
      <t>2</t>
    </r>
  </si>
  <si>
    <r>
      <t>kg CO</t>
    </r>
    <r>
      <rPr>
        <b/>
        <vertAlign val="subscript"/>
        <sz val="10"/>
        <rFont val="Arial"/>
        <family val="2"/>
      </rPr>
      <t>2</t>
    </r>
    <r>
      <rPr>
        <b/>
        <sz val="10"/>
        <rFont val="Arial"/>
        <family val="2"/>
      </rPr>
      <t xml:space="preserve"> per unit</t>
    </r>
  </si>
  <si>
    <t>gallon</t>
  </si>
  <si>
    <t>Compressed Natural Gas (CNG)</t>
  </si>
  <si>
    <t>scf</t>
  </si>
  <si>
    <t>Diesel Fuel</t>
  </si>
  <si>
    <t>Liquefied Natural Gas (LNG)</t>
  </si>
  <si>
    <t>Residual Fuel Oil</t>
  </si>
  <si>
    <t>Federal Register EPA; 40 CFR Part 98; e-CFR, (see link below). Table C-1 (78 FR 71950, Nov. 29, 2013, as amended at 81 FR 89252, Dec. 9, 2016)</t>
  </si>
  <si>
    <r>
      <t>LNG:  The factor was developed based on the CO</t>
    </r>
    <r>
      <rPr>
        <vertAlign val="subscript"/>
        <sz val="9"/>
        <rFont val="Arial"/>
        <family val="2"/>
      </rPr>
      <t>2</t>
    </r>
    <r>
      <rPr>
        <sz val="9"/>
        <rFont val="Arial"/>
        <family val="2"/>
      </rPr>
      <t xml:space="preserve"> factor for Natural Gas factor and LNG fuel density from GREET1_2022.xlsx Model, Argonne National Laboratory (Fuel_Specs worksheet).</t>
    </r>
  </si>
  <si>
    <t>Table 3</t>
  </si>
  <si>
    <r>
      <t xml:space="preserve">   Mobile Combustion CH</t>
    </r>
    <r>
      <rPr>
        <b/>
        <vertAlign val="subscript"/>
        <sz val="12"/>
        <rFont val="Arial"/>
        <family val="2"/>
      </rPr>
      <t>4</t>
    </r>
    <r>
      <rPr>
        <b/>
        <sz val="12"/>
        <rFont val="Arial"/>
        <family val="2"/>
      </rPr>
      <t xml:space="preserve"> and N</t>
    </r>
    <r>
      <rPr>
        <b/>
        <vertAlign val="subscript"/>
        <sz val="12"/>
        <rFont val="Arial"/>
        <family val="2"/>
      </rPr>
      <t>2</t>
    </r>
    <r>
      <rPr>
        <b/>
        <sz val="12"/>
        <rFont val="Arial"/>
        <family val="2"/>
      </rPr>
      <t>O for On-Road Gasoline Vehicles</t>
    </r>
  </si>
  <si>
    <t>Vehicle Type</t>
  </si>
  <si>
    <r>
      <t>CH</t>
    </r>
    <r>
      <rPr>
        <b/>
        <vertAlign val="subscript"/>
        <sz val="10"/>
        <rFont val="Arial"/>
        <family val="2"/>
      </rPr>
      <t>4</t>
    </r>
    <r>
      <rPr>
        <b/>
        <sz val="10"/>
        <rFont val="Arial"/>
        <family val="2"/>
      </rPr>
      <t xml:space="preserve"> Factor 
(g / mile)</t>
    </r>
  </si>
  <si>
    <r>
      <t>N</t>
    </r>
    <r>
      <rPr>
        <b/>
        <vertAlign val="subscript"/>
        <sz val="10"/>
        <rFont val="Arial"/>
        <family val="2"/>
      </rPr>
      <t>2</t>
    </r>
    <r>
      <rPr>
        <b/>
        <sz val="10"/>
        <rFont val="Arial"/>
        <family val="2"/>
      </rPr>
      <t>O Factor 
(g / mile)</t>
    </r>
  </si>
  <si>
    <t>Gasoline Passenger Cars</t>
  </si>
  <si>
    <t xml:space="preserve"> 1973-1974  </t>
  </si>
  <si>
    <t xml:space="preserve"> 1975 </t>
  </si>
  <si>
    <t xml:space="preserve"> 1976-1977 </t>
  </si>
  <si>
    <t xml:space="preserve"> 1978-1979 </t>
  </si>
  <si>
    <t xml:space="preserve"> 1980 </t>
  </si>
  <si>
    <t xml:space="preserve"> 1981 </t>
  </si>
  <si>
    <t xml:space="preserve"> 1982 </t>
  </si>
  <si>
    <t xml:space="preserve"> 1983 </t>
  </si>
  <si>
    <t xml:space="preserve"> 1984-1993  </t>
  </si>
  <si>
    <t xml:space="preserve"> 1994  </t>
  </si>
  <si>
    <t xml:space="preserve"> 1995  </t>
  </si>
  <si>
    <t xml:space="preserve"> 1996  </t>
  </si>
  <si>
    <t xml:space="preserve"> 1997  </t>
  </si>
  <si>
    <t xml:space="preserve"> 1998  </t>
  </si>
  <si>
    <t xml:space="preserve"> 1999  </t>
  </si>
  <si>
    <t xml:space="preserve"> 2000  </t>
  </si>
  <si>
    <t xml:space="preserve"> 2001  </t>
  </si>
  <si>
    <t xml:space="preserve"> 2002  </t>
  </si>
  <si>
    <t xml:space="preserve"> 2003 </t>
  </si>
  <si>
    <t xml:space="preserve"> 2004 </t>
  </si>
  <si>
    <t xml:space="preserve"> 2005 </t>
  </si>
  <si>
    <t xml:space="preserve"> 2006 </t>
  </si>
  <si>
    <t xml:space="preserve"> 2007 </t>
  </si>
  <si>
    <t xml:space="preserve"> 2008 </t>
  </si>
  <si>
    <t xml:space="preserve"> 2009</t>
  </si>
  <si>
    <t xml:space="preserve"> 2010</t>
  </si>
  <si>
    <t xml:space="preserve"> 2011</t>
  </si>
  <si>
    <t xml:space="preserve"> 2012</t>
  </si>
  <si>
    <t xml:space="preserve"> 2013</t>
  </si>
  <si>
    <t xml:space="preserve"> 2014</t>
  </si>
  <si>
    <t xml:space="preserve"> 2015</t>
  </si>
  <si>
    <t xml:space="preserve"> 2016</t>
  </si>
  <si>
    <t xml:space="preserve"> 2017</t>
  </si>
  <si>
    <t xml:space="preserve"> 2018</t>
  </si>
  <si>
    <t xml:space="preserve"> 2020</t>
  </si>
  <si>
    <t>Gasoline Light-Duty Trucks</t>
  </si>
  <si>
    <t xml:space="preserve"> 1973-1974 </t>
  </si>
  <si>
    <t>(Vans, Pickup Trucks, SUVs)</t>
  </si>
  <si>
    <t xml:space="preserve"> 1976 </t>
  </si>
  <si>
    <t xml:space="preserve"> 1977-1978 </t>
  </si>
  <si>
    <t xml:space="preserve"> 1979-1980 </t>
  </si>
  <si>
    <t xml:space="preserve"> 1984 </t>
  </si>
  <si>
    <t xml:space="preserve"> 1985 </t>
  </si>
  <si>
    <t xml:space="preserve"> 1986 </t>
  </si>
  <si>
    <t xml:space="preserve"> 1987-1993 </t>
  </si>
  <si>
    <t xml:space="preserve"> 1994 </t>
  </si>
  <si>
    <t xml:space="preserve"> 1995 </t>
  </si>
  <si>
    <t xml:space="preserve"> 1996 </t>
  </si>
  <si>
    <t xml:space="preserve"> 1997 </t>
  </si>
  <si>
    <t xml:space="preserve"> 1998 </t>
  </si>
  <si>
    <t xml:space="preserve"> 1999 </t>
  </si>
  <si>
    <t xml:space="preserve"> 2000 </t>
  </si>
  <si>
    <t xml:space="preserve"> 2001 </t>
  </si>
  <si>
    <t xml:space="preserve"> 2002 </t>
  </si>
  <si>
    <t xml:space="preserve"> 2019</t>
  </si>
  <si>
    <t>Gasoline Heavy-Duty Vehicles</t>
  </si>
  <si>
    <t xml:space="preserve"> ≤1980</t>
  </si>
  <si>
    <t xml:space="preserve"> 1981-1984 </t>
  </si>
  <si>
    <t xml:space="preserve"> 1985-1986 </t>
  </si>
  <si>
    <t xml:space="preserve"> 1987 </t>
  </si>
  <si>
    <t xml:space="preserve"> 1988-1989 </t>
  </si>
  <si>
    <t xml:space="preserve"> 1990-1995 </t>
  </si>
  <si>
    <t>Gasoline Motorcycles</t>
  </si>
  <si>
    <t xml:space="preserve"> 1960-1995 </t>
  </si>
  <si>
    <t xml:space="preserve"> 1996-2005</t>
  </si>
  <si>
    <t xml:space="preserve">0 </t>
  </si>
  <si>
    <t xml:space="preserve"> 2006-2020</t>
  </si>
  <si>
    <r>
      <rPr>
        <b/>
        <sz val="9"/>
        <rFont val="Arial"/>
        <family val="2"/>
      </rPr>
      <t>Source</t>
    </r>
    <r>
      <rPr>
        <sz val="9"/>
        <rFont val="Arial"/>
        <family val="2"/>
      </rPr>
      <t>: EPA (2022) Inventory of U.S. Greenhouse Gas Emissions and Sinks: 1990-2020 (Annexes). All values are calculated from Tables A-84 through A-88.</t>
    </r>
  </si>
  <si>
    <r>
      <rPr>
        <b/>
        <sz val="9"/>
        <rFont val="Arial"/>
        <family val="2"/>
      </rPr>
      <t>Notes</t>
    </r>
    <r>
      <rPr>
        <sz val="9"/>
        <rFont val="Arial"/>
        <family val="2"/>
      </rPr>
      <t>: 
Emission factor updates due to a methodology change. 
The factors represented in the table above represent combustion emissions only (tank-to-wheel) and do not represent upstream emissions or well-to-wheel emissions.</t>
    </r>
  </si>
  <si>
    <t>Table 4</t>
  </si>
  <si>
    <r>
      <t xml:space="preserve">    Mobile Combustion CH</t>
    </r>
    <r>
      <rPr>
        <b/>
        <vertAlign val="subscript"/>
        <sz val="12"/>
        <rFont val="Arial"/>
        <family val="2"/>
      </rPr>
      <t>4</t>
    </r>
    <r>
      <rPr>
        <b/>
        <sz val="12"/>
        <rFont val="Arial"/>
        <family val="2"/>
      </rPr>
      <t xml:space="preserve"> and N</t>
    </r>
    <r>
      <rPr>
        <b/>
        <vertAlign val="subscript"/>
        <sz val="12"/>
        <rFont val="Arial"/>
        <family val="2"/>
      </rPr>
      <t>2</t>
    </r>
    <r>
      <rPr>
        <b/>
        <sz val="12"/>
        <rFont val="Arial"/>
        <family val="2"/>
      </rPr>
      <t>O for On-Road Diesel and Alternative Fuel Vehicles</t>
    </r>
  </si>
  <si>
    <t>Vehicle Year</t>
  </si>
  <si>
    <r>
      <t>CH</t>
    </r>
    <r>
      <rPr>
        <b/>
        <vertAlign val="subscript"/>
        <sz val="10"/>
        <rFont val="Arial"/>
        <family val="2"/>
      </rPr>
      <t xml:space="preserve">4 </t>
    </r>
    <r>
      <rPr>
        <b/>
        <sz val="10"/>
        <rFont val="Arial"/>
        <family val="2"/>
      </rPr>
      <t>Factor 
(g / mile)</t>
    </r>
  </si>
  <si>
    <t>Passenger Cars</t>
  </si>
  <si>
    <t>Diesel</t>
  </si>
  <si>
    <t>1960-1982</t>
  </si>
  <si>
    <t>1983-2006</t>
  </si>
  <si>
    <t>2007-2020</t>
  </si>
  <si>
    <t>Light-Duty Trucks</t>
  </si>
  <si>
    <t>Medium- and Heavy-Duty Vehicles</t>
  </si>
  <si>
    <t>1960-2006</t>
  </si>
  <si>
    <t>Light-Duty Cars</t>
  </si>
  <si>
    <t>Methanol</t>
  </si>
  <si>
    <t>Ethanol</t>
  </si>
  <si>
    <t>CNG</t>
  </si>
  <si>
    <t>LPG</t>
  </si>
  <si>
    <t>Biodiesel</t>
  </si>
  <si>
    <t>LNG</t>
  </si>
  <si>
    <t>Medium-Duty Trucks</t>
  </si>
  <si>
    <t>Heavy-Duty Trucks</t>
  </si>
  <si>
    <t>Buses</t>
  </si>
  <si>
    <t>Source: EPA (2022) Inventory of U.S. Greenhouse Gas Emissions and Sinks: 1990-2020 (Annexes). All values are calculated from Tables A-88 through A-90.</t>
  </si>
  <si>
    <t>https://www.epa.gov/ghgemissions/inventory-us-greenhouse-gas-emissions-and-sinks</t>
  </si>
  <si>
    <t>Table 5</t>
  </si>
  <si>
    <r>
      <t xml:space="preserve">    Mobile Combustion CH</t>
    </r>
    <r>
      <rPr>
        <b/>
        <vertAlign val="subscript"/>
        <sz val="12"/>
        <rFont val="Arial"/>
        <family val="2"/>
      </rPr>
      <t>4</t>
    </r>
    <r>
      <rPr>
        <b/>
        <sz val="12"/>
        <rFont val="Arial"/>
        <family val="2"/>
      </rPr>
      <t xml:space="preserve"> and N</t>
    </r>
    <r>
      <rPr>
        <b/>
        <vertAlign val="subscript"/>
        <sz val="12"/>
        <rFont val="Arial"/>
        <family val="2"/>
      </rPr>
      <t>2</t>
    </r>
    <r>
      <rPr>
        <b/>
        <sz val="12"/>
        <rFont val="Arial"/>
        <family val="2"/>
      </rPr>
      <t>O for Non-Road Vehicles</t>
    </r>
  </si>
  <si>
    <r>
      <t>CH</t>
    </r>
    <r>
      <rPr>
        <b/>
        <vertAlign val="subscript"/>
        <sz val="10"/>
        <rFont val="Arial"/>
        <family val="2"/>
      </rPr>
      <t xml:space="preserve">4 </t>
    </r>
    <r>
      <rPr>
        <b/>
        <sz val="10"/>
        <rFont val="Arial"/>
        <family val="2"/>
      </rPr>
      <t xml:space="preserve">Factor 
(g / gallon) </t>
    </r>
  </si>
  <si>
    <r>
      <t>N</t>
    </r>
    <r>
      <rPr>
        <b/>
        <vertAlign val="subscript"/>
        <sz val="10"/>
        <rFont val="Arial"/>
        <family val="2"/>
      </rPr>
      <t>2</t>
    </r>
    <r>
      <rPr>
        <b/>
        <sz val="10"/>
        <rFont val="Arial"/>
        <family val="2"/>
      </rPr>
      <t xml:space="preserve">O Factor 
(g / gallon) </t>
    </r>
  </si>
  <si>
    <t>Ships and Boats</t>
  </si>
  <si>
    <t>Gasoline (2 stroke)</t>
  </si>
  <si>
    <t>Gasoline (4 stroke)</t>
  </si>
  <si>
    <t>Locomotives</t>
  </si>
  <si>
    <t>Aircraft</t>
  </si>
  <si>
    <t>Jet Fuel</t>
  </si>
  <si>
    <r>
      <t>Agricultural Equipment</t>
    </r>
    <r>
      <rPr>
        <vertAlign val="superscript"/>
        <sz val="10"/>
        <rFont val="Arial"/>
        <family val="2"/>
      </rPr>
      <t>A</t>
    </r>
  </si>
  <si>
    <t>Gasoline Off-Road Trucks</t>
  </si>
  <si>
    <t>Diesel Equipment</t>
  </si>
  <si>
    <t>Diesel Off-Road Trucks</t>
  </si>
  <si>
    <r>
      <t>Construction/Mining Equipment</t>
    </r>
    <r>
      <rPr>
        <vertAlign val="superscript"/>
        <sz val="10"/>
        <rFont val="Arial"/>
        <family val="2"/>
      </rPr>
      <t>B</t>
    </r>
  </si>
  <si>
    <t>Lawn and Garden Equipment</t>
  </si>
  <si>
    <t>Airport Equipment</t>
  </si>
  <si>
    <t>Gasoline</t>
  </si>
  <si>
    <t>Industrial/Commercial Equipment</t>
  </si>
  <si>
    <t>Logging Equipment</t>
  </si>
  <si>
    <t>Railroad Equipment</t>
  </si>
  <si>
    <t>Recreational Equipment</t>
  </si>
  <si>
    <t>Source: EPA (2022) Inventory of U.S. Greenhouse Gas Emissions and Sinks: 1990-2020 (Annexes). All values are calculated from Tables A-91 through A-92.</t>
  </si>
  <si>
    <r>
      <rPr>
        <b/>
        <sz val="9"/>
        <rFont val="Arial"/>
        <family val="2"/>
      </rPr>
      <t xml:space="preserve">Notes: 
</t>
    </r>
    <r>
      <rPr>
        <sz val="9"/>
        <rFont val="Arial"/>
        <family val="2"/>
      </rPr>
      <t xml:space="preserve">Emission factor updates due to a methodology change. </t>
    </r>
    <r>
      <rPr>
        <sz val="9"/>
        <color rgb="FFFF0000"/>
        <rFont val="Arial"/>
        <family val="2"/>
      </rPr>
      <t xml:space="preserve">
</t>
    </r>
    <r>
      <rPr>
        <sz val="9"/>
        <rFont val="Arial"/>
        <family val="2"/>
      </rPr>
      <t xml:space="preserve">The factors represented in the table above represent combustion emissions only (tank-to-wheel) and do not represent upstream emissions or well-to-wheel emissions.
</t>
    </r>
    <r>
      <rPr>
        <vertAlign val="superscript"/>
        <sz val="9"/>
        <rFont val="Arial"/>
        <family val="2"/>
      </rPr>
      <t>A</t>
    </r>
    <r>
      <rPr>
        <sz val="9"/>
        <rFont val="Arial"/>
        <family val="2"/>
      </rPr>
      <t xml:space="preserve"> Includes equipment, such as tractors and combines, as well as fuel consumption from trucks that are used off-road in agriculture.   
</t>
    </r>
    <r>
      <rPr>
        <vertAlign val="superscript"/>
        <sz val="9"/>
        <rFont val="Arial"/>
        <family val="2"/>
      </rPr>
      <t>B</t>
    </r>
    <r>
      <rPr>
        <sz val="9"/>
        <rFont val="Arial"/>
        <family val="2"/>
      </rPr>
      <t xml:space="preserve"> Includes equipment, such as cranes, dumpers, and excavators, as well as fuel consumption from trucks that are used off-road in construction. </t>
    </r>
  </si>
  <si>
    <t>Table 6</t>
  </si>
  <si>
    <t xml:space="preserve">   Electricity</t>
  </si>
  <si>
    <t>Total Output Emission Factors</t>
  </si>
  <si>
    <t>Non-Baseload Emission Factors</t>
  </si>
  <si>
    <t>eGRID Subregion Acronym</t>
  </si>
  <si>
    <t>eGRID Subregion Name</t>
  </si>
  <si>
    <t>(lb / MWh)</t>
  </si>
  <si>
    <t>AKGD</t>
  </si>
  <si>
    <t>AKGD (ASCC Alaska Grid)</t>
  </si>
  <si>
    <t>AKMS</t>
  </si>
  <si>
    <t>AKMS (ASCC Miscellaneous)</t>
  </si>
  <si>
    <t>AZNM</t>
  </si>
  <si>
    <t>AZNM (WECC Southwest)</t>
  </si>
  <si>
    <t>CAMX</t>
  </si>
  <si>
    <t>CAMX (WECC California)</t>
  </si>
  <si>
    <t>ERCT</t>
  </si>
  <si>
    <t>ERCT (ERCOT All)</t>
  </si>
  <si>
    <t>FRCC</t>
  </si>
  <si>
    <t>FRCC (FRCC All)</t>
  </si>
  <si>
    <t>HIMS</t>
  </si>
  <si>
    <t>HIMS (HICC Miscellaneous)</t>
  </si>
  <si>
    <t>HIOA</t>
  </si>
  <si>
    <t>HIOA (HICC Oahu)</t>
  </si>
  <si>
    <t>MROE</t>
  </si>
  <si>
    <t>MROE (MRO East)</t>
  </si>
  <si>
    <t>MROW</t>
  </si>
  <si>
    <t>MROW (MRO West)</t>
  </si>
  <si>
    <t>NEWE</t>
  </si>
  <si>
    <t>NEWE (NPCC New England)</t>
  </si>
  <si>
    <t>NWPP</t>
  </si>
  <si>
    <t>NWPP (WECC Northwest)</t>
  </si>
  <si>
    <t>NYCW</t>
  </si>
  <si>
    <t>NYCW (NPCC NYC/Westchester)</t>
  </si>
  <si>
    <t>NYLI</t>
  </si>
  <si>
    <t>NYLI (NPCC Long Island)</t>
  </si>
  <si>
    <t>NYUP</t>
  </si>
  <si>
    <t>NYUP (NPCC Upstate NY)</t>
  </si>
  <si>
    <t>PRMS</t>
  </si>
  <si>
    <t>PRMS (Puerto Rico Miscellaneous)</t>
  </si>
  <si>
    <t>RFCE</t>
  </si>
  <si>
    <t>RFCE (RFC East)</t>
  </si>
  <si>
    <t>RFCM</t>
  </si>
  <si>
    <t>RFCM (RFC Michigan)</t>
  </si>
  <si>
    <t>RFCW</t>
  </si>
  <si>
    <t>RFCW (RFC West)</t>
  </si>
  <si>
    <t>RMPA</t>
  </si>
  <si>
    <t>RMPA (WECC Rockies)</t>
  </si>
  <si>
    <t>SPNO</t>
  </si>
  <si>
    <t>SPNO (SPP North)</t>
  </si>
  <si>
    <t>SPSO</t>
  </si>
  <si>
    <t>SPSO (SPP South)</t>
  </si>
  <si>
    <t>SRMV</t>
  </si>
  <si>
    <t>SRMV (SERC Mississippi Valley)</t>
  </si>
  <si>
    <t>SRMW</t>
  </si>
  <si>
    <t>SRMW (SERC Midwest)</t>
  </si>
  <si>
    <t>SRSO</t>
  </si>
  <si>
    <t>SRSO (SERC South)</t>
  </si>
  <si>
    <t>SRTV</t>
  </si>
  <si>
    <t>SRTV (SERC Tennessee Valley)</t>
  </si>
  <si>
    <t>SRVC</t>
  </si>
  <si>
    <t>SRVC (SERC Virginia/Carolina)</t>
  </si>
  <si>
    <t>US Average</t>
  </si>
  <si>
    <r>
      <rPr>
        <b/>
        <sz val="9"/>
        <rFont val="Arial"/>
        <family val="2"/>
      </rPr>
      <t xml:space="preserve">Source: </t>
    </r>
    <r>
      <rPr>
        <sz val="9"/>
        <rFont val="Arial"/>
        <family val="2"/>
      </rPr>
      <t>EPA eGRID2021, February 2023 (Table 1. Subregion Output Emission Rates)</t>
    </r>
  </si>
  <si>
    <t>https://www.epa.gov/egrid/download-data</t>
  </si>
  <si>
    <t>Notes:</t>
  </si>
  <si>
    <t>Total output emission factors can be used as default factors for estimating GHG emissions from electricity use when developing a carbon footprint or emissions inventory. Annual non-baseload output emission factors should not be used when developing a carbon footprint or emissions inventory, but can be used to estimate GHG emissions reductions on the grid from changes in electricity use. 
For technical information, reference the EPA's eGRID Technical Guide</t>
  </si>
  <si>
    <t xml:space="preserve">https://www.epa.gov/system/files/documents/2023-01/eGRID2021_technical_guide.pdf </t>
  </si>
  <si>
    <t>Table 7</t>
  </si>
  <si>
    <t>Steam and Heat</t>
  </si>
  <si>
    <r>
      <t>CO</t>
    </r>
    <r>
      <rPr>
        <b/>
        <vertAlign val="subscript"/>
        <sz val="10"/>
        <rFont val="Arial"/>
        <family val="2"/>
      </rPr>
      <t>2</t>
    </r>
    <r>
      <rPr>
        <b/>
        <sz val="10"/>
        <rFont val="Arial"/>
        <family val="2"/>
      </rPr>
      <t xml:space="preserve"> Factor 
(kg / mmBtu)</t>
    </r>
  </si>
  <si>
    <r>
      <t>CH</t>
    </r>
    <r>
      <rPr>
        <b/>
        <vertAlign val="subscript"/>
        <sz val="10"/>
        <rFont val="Arial"/>
        <family val="2"/>
      </rPr>
      <t xml:space="preserve">4 </t>
    </r>
    <r>
      <rPr>
        <b/>
        <sz val="10"/>
        <rFont val="Arial"/>
        <family val="2"/>
      </rPr>
      <t xml:space="preserve">Factor 
(g / mmBtu) </t>
    </r>
  </si>
  <si>
    <r>
      <t>N</t>
    </r>
    <r>
      <rPr>
        <b/>
        <vertAlign val="subscript"/>
        <sz val="10"/>
        <rFont val="Arial"/>
        <family val="2"/>
      </rPr>
      <t>2</t>
    </r>
    <r>
      <rPr>
        <b/>
        <sz val="10"/>
        <rFont val="Arial"/>
        <family val="2"/>
      </rPr>
      <t xml:space="preserve">O Factor 
(g / mmBtu) </t>
    </r>
  </si>
  <si>
    <t xml:space="preserve">Emission factors are per mmBtu of steam or heat purchased. These factors assume natural gas fuel is used to generate steam or heat at 80 percent thermal efficiency.  </t>
  </si>
  <si>
    <t>Scope 3 Emission Factors</t>
  </si>
  <si>
    <t>Scope 3 emission factors provided below are aligned with the Greenhouse Gas Protocol Technical Guidance for Calculating Scope 3 Emissions, version 1.0 (Scope 3 Calculation Guidance). Where applicable, the specific calculation method is referenced. Refer to the Scope 3 Calculation Guidance for more information (http://www.ghgprotocol.org/scope-3-technical-calculation-guidance)</t>
  </si>
  <si>
    <t>Table 8</t>
  </si>
  <si>
    <t xml:space="preserve">   Scope 3 Category 4: Upstream Transportation and Distribution and Category 9: Downstream Transportation and Distribution</t>
  </si>
  <si>
    <t xml:space="preserve">These factors are intended for use in the distance-based method defined in the Scope 3 Calculation Guidance. If fuel data are available, then the fuel-based method should be used, with factors from Tables 2 through 5. </t>
  </si>
  <si>
    <r>
      <t>CO</t>
    </r>
    <r>
      <rPr>
        <b/>
        <vertAlign val="subscript"/>
        <sz val="10"/>
        <rFont val="Arial"/>
        <family val="2"/>
      </rPr>
      <t>2</t>
    </r>
    <r>
      <rPr>
        <b/>
        <sz val="10"/>
        <rFont val="Arial"/>
        <family val="2"/>
      </rPr>
      <t xml:space="preserve"> Factor 
(kg / unit)</t>
    </r>
  </si>
  <si>
    <r>
      <t>CH</t>
    </r>
    <r>
      <rPr>
        <b/>
        <vertAlign val="subscript"/>
        <sz val="10"/>
        <rFont val="Arial"/>
        <family val="2"/>
      </rPr>
      <t xml:space="preserve">4 </t>
    </r>
    <r>
      <rPr>
        <b/>
        <sz val="10"/>
        <rFont val="Arial"/>
        <family val="2"/>
      </rPr>
      <t>Factor 
(g / unit)</t>
    </r>
  </si>
  <si>
    <r>
      <t>N</t>
    </r>
    <r>
      <rPr>
        <b/>
        <vertAlign val="subscript"/>
        <sz val="10"/>
        <rFont val="Arial"/>
        <family val="2"/>
      </rPr>
      <t>2</t>
    </r>
    <r>
      <rPr>
        <b/>
        <sz val="10"/>
        <rFont val="Arial"/>
        <family val="2"/>
      </rPr>
      <t>O Factor 
(g / unit)</t>
    </r>
  </si>
  <si>
    <t>Units</t>
  </si>
  <si>
    <t>Medium- and Heavy-Duty Truck</t>
  </si>
  <si>
    <t>vehicle-mile</t>
  </si>
  <si>
    <r>
      <t xml:space="preserve">Passenger Car </t>
    </r>
    <r>
      <rPr>
        <vertAlign val="superscript"/>
        <sz val="10"/>
        <rFont val="Arial"/>
        <family val="2"/>
      </rPr>
      <t>A</t>
    </r>
  </si>
  <si>
    <r>
      <t xml:space="preserve">Light-Duty Truck </t>
    </r>
    <r>
      <rPr>
        <vertAlign val="superscript"/>
        <sz val="10"/>
        <rFont val="Arial"/>
        <family val="2"/>
      </rPr>
      <t>B</t>
    </r>
  </si>
  <si>
    <r>
      <t>Medium- and Heavy-Duty Truck</t>
    </r>
    <r>
      <rPr>
        <vertAlign val="superscript"/>
        <sz val="10"/>
        <rFont val="Arial"/>
        <family val="2"/>
      </rPr>
      <t>C</t>
    </r>
  </si>
  <si>
    <t>ton-mile</t>
  </si>
  <si>
    <t>Rail</t>
  </si>
  <si>
    <t>Waterborne Craft</t>
  </si>
  <si>
    <r>
      <rPr>
        <b/>
        <sz val="9"/>
        <rFont val="Arial"/>
        <family val="2"/>
      </rPr>
      <t>Source:</t>
    </r>
    <r>
      <rPr>
        <sz val="9"/>
        <rFont val="Arial"/>
        <family val="2"/>
      </rPr>
      <t xml:space="preserve"> 
CO</t>
    </r>
    <r>
      <rPr>
        <vertAlign val="subscript"/>
        <sz val="9"/>
        <rFont val="Arial"/>
        <family val="2"/>
      </rPr>
      <t>2</t>
    </r>
    <r>
      <rPr>
        <sz val="9"/>
        <rFont val="Arial"/>
        <family val="2"/>
      </rPr>
      <t>, CH</t>
    </r>
    <r>
      <rPr>
        <vertAlign val="subscript"/>
        <sz val="9"/>
        <rFont val="Arial"/>
        <family val="2"/>
      </rPr>
      <t>4</t>
    </r>
    <r>
      <rPr>
        <sz val="9"/>
        <rFont val="Arial"/>
        <family val="2"/>
      </rPr>
      <t>, and N</t>
    </r>
    <r>
      <rPr>
        <vertAlign val="subscript"/>
        <sz val="9"/>
        <rFont val="Arial"/>
        <family val="2"/>
      </rPr>
      <t>2</t>
    </r>
    <r>
      <rPr>
        <sz val="9"/>
        <rFont val="Arial"/>
        <family val="2"/>
      </rPr>
      <t>O emissions data for road vehicles are from Table 2-13 of the EPA (2022) Inventory of U.S. Greenhouse Gas Emissions and Sinks: 1990-2020.
Vehicle-miles and passenger-miles data for road vehicles are from Table VM-1 of the Federal Highway Administration Highway Statistics 2020.  
CO</t>
    </r>
    <r>
      <rPr>
        <vertAlign val="subscript"/>
        <sz val="9"/>
        <rFont val="Arial"/>
        <family val="2"/>
      </rPr>
      <t>2</t>
    </r>
    <r>
      <rPr>
        <sz val="9"/>
        <rFont val="Arial"/>
        <family val="2"/>
      </rPr>
      <t>e emissions data for non-road vehicles are based on Table A-107 of the EPA (2022) Inventory of U.S. Greenhouse Gas Emissions and Sinks: 1990-2020, which are distributed into CO</t>
    </r>
    <r>
      <rPr>
        <vertAlign val="subscript"/>
        <sz val="9"/>
        <rFont val="Arial"/>
        <family val="2"/>
      </rPr>
      <t>2</t>
    </r>
    <r>
      <rPr>
        <sz val="9"/>
        <rFont val="Arial"/>
        <family val="2"/>
      </rPr>
      <t>, CH</t>
    </r>
    <r>
      <rPr>
        <vertAlign val="subscript"/>
        <sz val="9"/>
        <rFont val="Arial"/>
        <family val="2"/>
      </rPr>
      <t>4</t>
    </r>
    <r>
      <rPr>
        <sz val="9"/>
        <rFont val="Arial"/>
        <family val="2"/>
      </rPr>
      <t>, and N</t>
    </r>
    <r>
      <rPr>
        <vertAlign val="subscript"/>
        <sz val="9"/>
        <rFont val="Arial"/>
        <family val="2"/>
      </rPr>
      <t>2</t>
    </r>
    <r>
      <rPr>
        <sz val="9"/>
        <rFont val="Arial"/>
        <family val="2"/>
      </rPr>
      <t>O emissions based on fuel/vehicle emission factors.
Freight ton-mile data are from Table 1-50 of the Bureau of Transportation Statistics, National Transportation Statistics for 2021 (2020 data).</t>
    </r>
  </si>
  <si>
    <r>
      <rPr>
        <b/>
        <sz val="9"/>
        <rFont val="Arial"/>
        <family val="2"/>
      </rPr>
      <t>Notes:</t>
    </r>
    <r>
      <rPr>
        <sz val="9"/>
        <rFont val="Arial"/>
        <family val="2"/>
      </rPr>
      <t xml:space="preserve"> 
Vehicle-mile factors are appropriate to use when the entire vehicle is dedicated to transporting the reporting company's product. Ton-mile factors are appropriate when the vehicle is shared with products from other companies.  
The factors represented in the table above represent combustion emissions only (tank-to-wheel) and do not represent upstream emissions or well-to-wheel emissions.
</t>
    </r>
    <r>
      <rPr>
        <vertAlign val="superscript"/>
        <sz val="9"/>
        <rFont val="Arial"/>
        <family val="2"/>
      </rPr>
      <t>A</t>
    </r>
    <r>
      <rPr>
        <sz val="9"/>
        <rFont val="Arial"/>
        <family val="2"/>
      </rPr>
      <t xml:space="preserve"> Passenger car: includes passenger cars, minivans, SUVs, and small pickup trucks (vehicles with wheelbase less than 121 inches).  
</t>
    </r>
    <r>
      <rPr>
        <vertAlign val="superscript"/>
        <sz val="9"/>
        <rFont val="Arial"/>
        <family val="2"/>
      </rPr>
      <t>B</t>
    </r>
    <r>
      <rPr>
        <sz val="9"/>
        <rFont val="Arial"/>
        <family val="2"/>
      </rPr>
      <t xml:space="preserve"> Light-duty truck: includes full-size pickup trucks, full-size vans, and extended-length SUVs (vehicles with wheelbase greater than 121 inches).
</t>
    </r>
    <r>
      <rPr>
        <vertAlign val="superscript"/>
        <sz val="9"/>
        <rFont val="Arial"/>
        <family val="2"/>
      </rPr>
      <t>C</t>
    </r>
    <r>
      <rPr>
        <sz val="9"/>
        <rFont val="Arial"/>
        <family val="2"/>
      </rPr>
      <t xml:space="preserve"> Medium- and Heavy-Duty Truck: includes Combination Trucks and single frame trucks that have 2-Axles and at least 6 tires or a gross vehicle weight rating exceeding 10,000 lbs.</t>
    </r>
  </si>
  <si>
    <t>Scope 3 Category 5: Waste Generated in Operations and Category 12: End-of-Life Treatment of Sold Products</t>
  </si>
  <si>
    <t>These factors are intended for use in the waste-type-specific method or the average-data method defined in the Scope 3 Calculation Guidance for category 5 and category 12. Choose the appropriate material and disposal method from the table below. For the average-data method, use one of the mixed material types, such as mixed MSW.</t>
  </si>
  <si>
    <r>
      <t>Metric Tons CO</t>
    </r>
    <r>
      <rPr>
        <b/>
        <vertAlign val="subscript"/>
        <sz val="10"/>
        <rFont val="Arial"/>
        <family val="2"/>
      </rPr>
      <t>2</t>
    </r>
    <r>
      <rPr>
        <b/>
        <sz val="10"/>
        <rFont val="Arial"/>
        <family val="2"/>
      </rPr>
      <t>e / Short Ton Material</t>
    </r>
  </si>
  <si>
    <t>Material</t>
  </si>
  <si>
    <r>
      <t>Recycled</t>
    </r>
    <r>
      <rPr>
        <vertAlign val="superscript"/>
        <sz val="10"/>
        <rFont val="Arial"/>
        <family val="2"/>
      </rPr>
      <t>A</t>
    </r>
  </si>
  <si>
    <r>
      <t>Landfilled</t>
    </r>
    <r>
      <rPr>
        <vertAlign val="superscript"/>
        <sz val="10"/>
        <rFont val="Arial"/>
        <family val="2"/>
      </rPr>
      <t>B</t>
    </r>
  </si>
  <si>
    <r>
      <t>Combusted</t>
    </r>
    <r>
      <rPr>
        <vertAlign val="superscript"/>
        <sz val="10"/>
        <rFont val="Arial"/>
        <family val="2"/>
      </rPr>
      <t>C</t>
    </r>
  </si>
  <si>
    <r>
      <t>Composted</t>
    </r>
    <r>
      <rPr>
        <vertAlign val="superscript"/>
        <sz val="10"/>
        <rFont val="Arial"/>
        <family val="2"/>
      </rPr>
      <t>D</t>
    </r>
  </si>
  <si>
    <t>Anaerobically Digested (Dry Digestate with Curing)</t>
  </si>
  <si>
    <t>Anaerobically Digested (Wet Digestate with Curing)</t>
  </si>
  <si>
    <t>Aluminum Cans</t>
  </si>
  <si>
    <t>NA</t>
  </si>
  <si>
    <t>Aluminum Ingot</t>
  </si>
  <si>
    <t>Steel Cans</t>
  </si>
  <si>
    <t>Copper Wire</t>
  </si>
  <si>
    <t>HDPE</t>
  </si>
  <si>
    <t>LDPE</t>
  </si>
  <si>
    <t>PET</t>
  </si>
  <si>
    <t>LLDPE</t>
  </si>
  <si>
    <t>PP</t>
  </si>
  <si>
    <t>PS</t>
  </si>
  <si>
    <t>PVC</t>
  </si>
  <si>
    <t>PLA</t>
  </si>
  <si>
    <t>Corrugated Containers</t>
  </si>
  <si>
    <t>Magazines/Third-class mail</t>
  </si>
  <si>
    <t>Newspaper</t>
  </si>
  <si>
    <t>Office Paper</t>
  </si>
  <si>
    <t>Phonebooks</t>
  </si>
  <si>
    <t>Textbooks</t>
  </si>
  <si>
    <t>Dimensional Lumber</t>
  </si>
  <si>
    <t>Medium-density Fiberboard</t>
  </si>
  <si>
    <t>Food Waste (non-meat)</t>
  </si>
  <si>
    <t>Food Waste (meat only)</t>
  </si>
  <si>
    <t>Beef</t>
  </si>
  <si>
    <t>Poultry</t>
  </si>
  <si>
    <t>Grains</t>
  </si>
  <si>
    <t>Bread</t>
  </si>
  <si>
    <t>Fruits and Vegetables</t>
  </si>
  <si>
    <t>Dairy Products</t>
  </si>
  <si>
    <t>Yard Trimmings</t>
  </si>
  <si>
    <t>Grass</t>
  </si>
  <si>
    <t>Leaves</t>
  </si>
  <si>
    <t>Branches</t>
  </si>
  <si>
    <t>Mixed Paper (general)</t>
  </si>
  <si>
    <t>Mixed Paper (primarily residential)</t>
  </si>
  <si>
    <t>Mixed Paper (primarily from offices)</t>
  </si>
  <si>
    <t>Mixed Metals</t>
  </si>
  <si>
    <t>Mixed Plastics</t>
  </si>
  <si>
    <t>Mixed Recyclables</t>
  </si>
  <si>
    <t>Food Waste</t>
  </si>
  <si>
    <t>Mixed Organics</t>
  </si>
  <si>
    <t>Mixed MSW</t>
  </si>
  <si>
    <t>Carpet</t>
  </si>
  <si>
    <t>Desktop CPUs</t>
  </si>
  <si>
    <t>Portable Electronic Devices</t>
  </si>
  <si>
    <t>Flat-panel Displays</t>
  </si>
  <si>
    <t>CRT Displays</t>
  </si>
  <si>
    <t>Electronic Peripherals</t>
  </si>
  <si>
    <t>Hard-copy Devices</t>
  </si>
  <si>
    <t>Mixed Electronics</t>
  </si>
  <si>
    <t>Clay Bricks</t>
  </si>
  <si>
    <t>Concrete</t>
  </si>
  <si>
    <t>Fly Ash</t>
  </si>
  <si>
    <t>Asphalt Concrete</t>
  </si>
  <si>
    <t>Asphalt Shingles</t>
  </si>
  <si>
    <t>Drywall</t>
  </si>
  <si>
    <t>Fiberglass Insulation</t>
  </si>
  <si>
    <t>Vinyl Flooring</t>
  </si>
  <si>
    <t>Wood Flooring</t>
  </si>
  <si>
    <r>
      <t xml:space="preserve">Source: </t>
    </r>
    <r>
      <rPr>
        <sz val="9"/>
        <rFont val="Arial"/>
        <family val="2"/>
      </rPr>
      <t xml:space="preserve">EPA, Office of Resource Conservation and Recovery (February 2016) Documentation for Greenhouse Gas Emission and Energy Factors used in the Waste Reduction Model (WARM). Factors from tables provided in the Management Practices Chapters and Background Chapters. WARM Version 15, November 2020 Update. Additional data provided  by EPA, WARM-15 Background Data. </t>
    </r>
  </si>
  <si>
    <r>
      <rPr>
        <b/>
        <sz val="9"/>
        <rFont val="Arial"/>
        <family val="2"/>
      </rPr>
      <t xml:space="preserve">Notes: </t>
    </r>
    <r>
      <rPr>
        <sz val="9"/>
        <rFont val="Arial"/>
        <family val="2"/>
      </rPr>
      <t>These factors do not include any avoided emissions impact from any of the disposal methods. All the factors presented here include transportation emissions, which are optional in the Scope 3 Calculation Guidance, with an assumed average distance traveled to the processing facility. AR4 GWPs are used to convert all waste emission factors into CO</t>
    </r>
    <r>
      <rPr>
        <vertAlign val="subscript"/>
        <sz val="9"/>
        <rFont val="Arial"/>
        <family val="2"/>
      </rPr>
      <t>2</t>
    </r>
    <r>
      <rPr>
        <sz val="9"/>
        <rFont val="Arial"/>
        <family val="2"/>
      </rPr>
      <t xml:space="preserve">e.   
</t>
    </r>
    <r>
      <rPr>
        <vertAlign val="superscript"/>
        <sz val="9"/>
        <rFont val="Arial"/>
        <family val="2"/>
      </rPr>
      <t>A</t>
    </r>
    <r>
      <rPr>
        <sz val="9"/>
        <rFont val="Arial"/>
        <family val="2"/>
      </rPr>
      <t xml:space="preserve"> Recycling emissions include transport to recycling facility and sorting of recycled materials at material recovery facility.  
</t>
    </r>
    <r>
      <rPr>
        <vertAlign val="superscript"/>
        <sz val="9"/>
        <rFont val="Arial"/>
        <family val="2"/>
      </rPr>
      <t>B</t>
    </r>
    <r>
      <rPr>
        <sz val="9"/>
        <rFont val="Arial"/>
        <family val="2"/>
      </rPr>
      <t xml:space="preserve"> Landfilling emissions include transport to landfill, equipment use at landfill and fugitive landfill CH</t>
    </r>
    <r>
      <rPr>
        <vertAlign val="subscript"/>
        <sz val="9"/>
        <rFont val="Arial"/>
        <family val="2"/>
      </rPr>
      <t>4</t>
    </r>
    <r>
      <rPr>
        <sz val="9"/>
        <rFont val="Arial"/>
        <family val="2"/>
      </rPr>
      <t xml:space="preserve"> emissions.  Landfill CH</t>
    </r>
    <r>
      <rPr>
        <vertAlign val="subscript"/>
        <sz val="9"/>
        <rFont val="Arial"/>
        <family val="2"/>
      </rPr>
      <t>4</t>
    </r>
    <r>
      <rPr>
        <sz val="9"/>
        <rFont val="Arial"/>
        <family val="2"/>
      </rPr>
      <t xml:space="preserve"> is based on typical landfill gas collection practices and average landfill moisture conditions.
</t>
    </r>
    <r>
      <rPr>
        <vertAlign val="superscript"/>
        <sz val="9"/>
        <rFont val="Arial"/>
        <family val="2"/>
      </rPr>
      <t>C</t>
    </r>
    <r>
      <rPr>
        <sz val="9"/>
        <rFont val="Arial"/>
        <family val="2"/>
      </rPr>
      <t xml:space="preserve"> Combustion emissions include transport to combustion facility and combustion-related non-biogenic CO</t>
    </r>
    <r>
      <rPr>
        <vertAlign val="subscript"/>
        <sz val="9"/>
        <rFont val="Arial"/>
        <family val="2"/>
      </rPr>
      <t>2</t>
    </r>
    <r>
      <rPr>
        <sz val="9"/>
        <rFont val="Arial"/>
        <family val="2"/>
      </rPr>
      <t xml:space="preserve"> and N</t>
    </r>
    <r>
      <rPr>
        <vertAlign val="subscript"/>
        <sz val="9"/>
        <rFont val="Arial"/>
        <family val="2"/>
      </rPr>
      <t>2</t>
    </r>
    <r>
      <rPr>
        <sz val="9"/>
        <rFont val="Arial"/>
        <family val="2"/>
      </rPr>
      <t xml:space="preserve">O  
</t>
    </r>
    <r>
      <rPr>
        <vertAlign val="superscript"/>
        <sz val="9"/>
        <rFont val="Arial"/>
        <family val="2"/>
      </rPr>
      <t>D</t>
    </r>
    <r>
      <rPr>
        <sz val="9"/>
        <rFont val="Arial"/>
        <family val="2"/>
      </rPr>
      <t xml:space="preserve"> Composting emissions include transport to composting facility, equipment use at composting facility and CH</t>
    </r>
    <r>
      <rPr>
        <vertAlign val="subscript"/>
        <sz val="9"/>
        <rFont val="Arial"/>
        <family val="2"/>
      </rPr>
      <t>4</t>
    </r>
    <r>
      <rPr>
        <sz val="9"/>
        <rFont val="Arial"/>
        <family val="2"/>
      </rPr>
      <t xml:space="preserve"> and N</t>
    </r>
    <r>
      <rPr>
        <vertAlign val="subscript"/>
        <sz val="9"/>
        <rFont val="Arial"/>
        <family val="2"/>
      </rPr>
      <t>2</t>
    </r>
    <r>
      <rPr>
        <sz val="9"/>
        <rFont val="Arial"/>
        <family val="2"/>
      </rPr>
      <t xml:space="preserve">O emissions during composting. </t>
    </r>
  </si>
  <si>
    <t>Table 10</t>
  </si>
  <si>
    <t xml:space="preserve">Scope 3 Category 6: Business Travel and Category 7: Employee Commuting </t>
  </si>
  <si>
    <t xml:space="preserve">These factors are intended for use in the distance-based method defined in the Scope 3 Calculation Guidance.  If fuel data are available, then the fuel-based method should be used, with factors from Tables 2 through 5. </t>
  </si>
  <si>
    <t>Motorcycle</t>
  </si>
  <si>
    <r>
      <t xml:space="preserve">Intercity Rail - Northeast Corridor </t>
    </r>
    <r>
      <rPr>
        <vertAlign val="superscript"/>
        <sz val="10"/>
        <color rgb="FF000000"/>
        <rFont val="Arial"/>
        <family val="2"/>
      </rPr>
      <t>C</t>
    </r>
  </si>
  <si>
    <t>passenger-mile</t>
  </si>
  <si>
    <r>
      <t xml:space="preserve">Intercity Rail - Other Routes </t>
    </r>
    <r>
      <rPr>
        <vertAlign val="superscript"/>
        <sz val="10"/>
        <color rgb="FF000000"/>
        <rFont val="Arial"/>
        <family val="2"/>
      </rPr>
      <t>C</t>
    </r>
  </si>
  <si>
    <r>
      <t xml:space="preserve">Intercity Rail - National Average </t>
    </r>
    <r>
      <rPr>
        <vertAlign val="superscript"/>
        <sz val="10"/>
        <color rgb="FF000000"/>
        <rFont val="Arial"/>
        <family val="2"/>
      </rPr>
      <t>C</t>
    </r>
  </si>
  <si>
    <r>
      <t>Commuter Rail</t>
    </r>
    <r>
      <rPr>
        <vertAlign val="superscript"/>
        <sz val="10"/>
        <color rgb="FF000000"/>
        <rFont val="Arial"/>
        <family val="2"/>
      </rPr>
      <t xml:space="preserve"> D</t>
    </r>
  </si>
  <si>
    <r>
      <t>Transit Rail (i.e. Subway, Tram)</t>
    </r>
    <r>
      <rPr>
        <vertAlign val="superscript"/>
        <sz val="10"/>
        <rFont val="Arial"/>
        <family val="2"/>
      </rPr>
      <t xml:space="preserve"> E</t>
    </r>
  </si>
  <si>
    <t>Bus</t>
  </si>
  <si>
    <t xml:space="preserve">Air Travel - Short Haul (&lt; 300 miles) </t>
  </si>
  <si>
    <t xml:space="preserve">Air Travel - Medium Haul (&gt;= 300 miles, 
&lt; 2300 miles) </t>
  </si>
  <si>
    <t xml:space="preserve">Air Travel - Long Haul (&gt;= 2300 miles) </t>
  </si>
  <si>
    <r>
      <rPr>
        <b/>
        <sz val="9"/>
        <rFont val="Arial"/>
        <family val="2"/>
      </rPr>
      <t>Source:</t>
    </r>
    <r>
      <rPr>
        <sz val="9"/>
        <rFont val="Arial"/>
        <family val="2"/>
      </rPr>
      <t xml:space="preserve"> 
CO</t>
    </r>
    <r>
      <rPr>
        <vertAlign val="subscript"/>
        <sz val="9"/>
        <rFont val="Arial"/>
        <family val="2"/>
      </rPr>
      <t>2</t>
    </r>
    <r>
      <rPr>
        <sz val="9"/>
        <rFont val="Arial"/>
        <family val="2"/>
      </rPr>
      <t>, CH</t>
    </r>
    <r>
      <rPr>
        <vertAlign val="subscript"/>
        <sz val="9"/>
        <rFont val="Arial"/>
        <family val="2"/>
      </rPr>
      <t>4</t>
    </r>
    <r>
      <rPr>
        <sz val="9"/>
        <rFont val="Arial"/>
        <family val="2"/>
      </rPr>
      <t>, and N</t>
    </r>
    <r>
      <rPr>
        <vertAlign val="subscript"/>
        <sz val="9"/>
        <rFont val="Arial"/>
        <family val="2"/>
      </rPr>
      <t>2</t>
    </r>
    <r>
      <rPr>
        <sz val="9"/>
        <rFont val="Arial"/>
        <family val="2"/>
      </rPr>
      <t>O emissions data for highway vehicles are from Table 2-13 of the EPA (2022) Inventory of U.S. Greenhouse Gas Emissions and Sinks: 1990–2020.  
Vehicle-miles and passenger-miles data for highway vehicles are from Table VM-1 of the Federal Highway Administration Highway Statistics 2020.
Fuel consumption data and passenger-miles data for rail are from Tables A.14 to A.16 and C.9 to C.11 of the Transportation Energy Data Book: Edition 40. Fuel consumption was converted to emissions by using fuel and electricity emission factors presented in the tables above. 
Intercity Rail factors from communication with Amtrak, March 2020. These are based on 2019 values. 
Air Travel factors from 2022 Guidelines to Defra / DECC's GHG Conversion Factors for Company Reporting.  Version 2.0 June 2022.</t>
    </r>
  </si>
  <si>
    <r>
      <rPr>
        <b/>
        <sz val="9"/>
        <rFont val="Arial"/>
        <family val="2"/>
      </rPr>
      <t>Notes:</t>
    </r>
    <r>
      <rPr>
        <sz val="9"/>
        <rFont val="Arial"/>
        <family val="2"/>
      </rPr>
      <t xml:space="preserve"> 
The factors represented in the table above represent combustion emissions only (tank-to-wheel) and do not represent upstream emissions or well-to-wheel emissions.
CH</t>
    </r>
    <r>
      <rPr>
        <vertAlign val="subscript"/>
        <sz val="9"/>
        <rFont val="Arial"/>
        <family val="2"/>
      </rPr>
      <t>4</t>
    </r>
    <r>
      <rPr>
        <sz val="9"/>
        <rFont val="Arial"/>
        <family val="2"/>
      </rPr>
      <t xml:space="preserve"> and N</t>
    </r>
    <r>
      <rPr>
        <vertAlign val="subscript"/>
        <sz val="9"/>
        <rFont val="Arial"/>
        <family val="2"/>
      </rPr>
      <t>2</t>
    </r>
    <r>
      <rPr>
        <sz val="9"/>
        <rFont val="Arial"/>
        <family val="2"/>
      </rPr>
      <t xml:space="preserve">O emission factor updates for motorcycle and bus due to a methodology change. 
</t>
    </r>
    <r>
      <rPr>
        <vertAlign val="superscript"/>
        <sz val="9"/>
        <rFont val="Arial"/>
        <family val="2"/>
      </rPr>
      <t xml:space="preserve">A </t>
    </r>
    <r>
      <rPr>
        <sz val="9"/>
        <rFont val="Arial"/>
        <family val="2"/>
      </rPr>
      <t xml:space="preserve">Passenger car: includes passenger cars, minivans, SUVs, and small pickup trucks (vehicles with wheelbase less than 121 inches).  
</t>
    </r>
    <r>
      <rPr>
        <vertAlign val="superscript"/>
        <sz val="9"/>
        <rFont val="Arial"/>
        <family val="2"/>
      </rPr>
      <t>B</t>
    </r>
    <r>
      <rPr>
        <sz val="9"/>
        <rFont val="Arial"/>
        <family val="2"/>
      </rPr>
      <t xml:space="preserve"> Light-duty truck: includes full-size pickup trucks, full-size vans, and extended-length SUVs (vehicles with wheelbase greater than 121 inches). 
</t>
    </r>
    <r>
      <rPr>
        <vertAlign val="superscript"/>
        <sz val="9"/>
        <rFont val="Arial"/>
        <family val="2"/>
      </rPr>
      <t>C</t>
    </r>
    <r>
      <rPr>
        <sz val="9"/>
        <rFont val="Arial"/>
        <family val="2"/>
      </rPr>
      <t xml:space="preserve"> Intercity rail: Amtrak long-distance rail between major cities. Northeast Corridor extends from Boston to Washington D.C. Other Routes are all routes outside the Northeast Corridor.
</t>
    </r>
    <r>
      <rPr>
        <vertAlign val="superscript"/>
        <sz val="9"/>
        <rFont val="Arial"/>
        <family val="2"/>
      </rPr>
      <t>D</t>
    </r>
    <r>
      <rPr>
        <sz val="9"/>
        <rFont val="Arial"/>
        <family val="2"/>
      </rPr>
      <t xml:space="preserve"> Commuter rail: rail service between a central city and adjacent suburbs (also called regional rail or suburban rail).  
</t>
    </r>
    <r>
      <rPr>
        <vertAlign val="superscript"/>
        <sz val="9"/>
        <rFont val="Arial"/>
        <family val="2"/>
      </rPr>
      <t>E</t>
    </r>
    <r>
      <rPr>
        <sz val="9"/>
        <rFont val="Arial"/>
        <family val="2"/>
      </rPr>
      <t xml:space="preserve"> Transit rail: rail typically within an urban center, such as subways, elevated railways, metropolitan railways (metro), streetcars, trolley cars, and tramways. </t>
    </r>
  </si>
  <si>
    <t>Global Warming Potentials</t>
  </si>
  <si>
    <t>Table 11</t>
  </si>
  <si>
    <t xml:space="preserve">   Global Warming Potentials (GWPs)</t>
  </si>
  <si>
    <r>
      <t>CO</t>
    </r>
    <r>
      <rPr>
        <vertAlign val="subscript"/>
        <sz val="10"/>
        <rFont val="Arial"/>
        <family val="2"/>
      </rPr>
      <t>2</t>
    </r>
    <r>
      <rPr>
        <sz val="10"/>
        <rFont val="Arial"/>
        <family val="2"/>
      </rPr>
      <t xml:space="preserve"> </t>
    </r>
  </si>
  <si>
    <t>HFC-23</t>
  </si>
  <si>
    <t>HFC-32</t>
  </si>
  <si>
    <t>HFC-41</t>
  </si>
  <si>
    <t>HFC-125</t>
  </si>
  <si>
    <t>HFC-134</t>
  </si>
  <si>
    <t>HFC-134a</t>
  </si>
  <si>
    <t>HFC-143</t>
  </si>
  <si>
    <t>HFC-143a</t>
  </si>
  <si>
    <t>HFC-152</t>
  </si>
  <si>
    <t>HFC-152a</t>
  </si>
  <si>
    <t>HFC-161</t>
  </si>
  <si>
    <t>HFC-227ea</t>
  </si>
  <si>
    <t>HFC-236cb</t>
  </si>
  <si>
    <t>HFC-236ea</t>
  </si>
  <si>
    <t>HFC-236fa</t>
  </si>
  <si>
    <t>HFC-245ca</t>
  </si>
  <si>
    <t>HFC-245fa</t>
  </si>
  <si>
    <t>HFC-365mfc</t>
  </si>
  <si>
    <t>HFC-43-10mee</t>
  </si>
  <si>
    <r>
      <t>SF</t>
    </r>
    <r>
      <rPr>
        <vertAlign val="subscript"/>
        <sz val="10"/>
        <rFont val="Arial"/>
        <family val="2"/>
      </rPr>
      <t>6</t>
    </r>
    <r>
      <rPr>
        <sz val="10"/>
        <rFont val="Arial"/>
        <family val="2"/>
      </rPr>
      <t xml:space="preserve"> </t>
    </r>
  </si>
  <si>
    <r>
      <t>NF</t>
    </r>
    <r>
      <rPr>
        <vertAlign val="subscript"/>
        <sz val="10"/>
        <rFont val="Arial"/>
        <family val="2"/>
      </rPr>
      <t>3</t>
    </r>
  </si>
  <si>
    <r>
      <t>CF</t>
    </r>
    <r>
      <rPr>
        <vertAlign val="subscript"/>
        <sz val="10"/>
        <rFont val="Arial"/>
        <family val="2"/>
      </rPr>
      <t>4</t>
    </r>
    <r>
      <rPr>
        <sz val="10"/>
        <rFont val="Arial"/>
        <family val="2"/>
      </rPr>
      <t xml:space="preserve"> </t>
    </r>
  </si>
  <si>
    <r>
      <t>C</t>
    </r>
    <r>
      <rPr>
        <vertAlign val="subscript"/>
        <sz val="10"/>
        <rFont val="Arial"/>
        <family val="2"/>
      </rPr>
      <t>2</t>
    </r>
    <r>
      <rPr>
        <sz val="10"/>
        <rFont val="Arial"/>
        <family val="2"/>
      </rPr>
      <t>F</t>
    </r>
    <r>
      <rPr>
        <vertAlign val="subscript"/>
        <sz val="10"/>
        <rFont val="Arial"/>
        <family val="2"/>
      </rPr>
      <t>6</t>
    </r>
    <r>
      <rPr>
        <sz val="10"/>
        <rFont val="Arial"/>
        <family val="2"/>
      </rPr>
      <t xml:space="preserve"> </t>
    </r>
  </si>
  <si>
    <r>
      <t>C</t>
    </r>
    <r>
      <rPr>
        <vertAlign val="subscript"/>
        <sz val="10"/>
        <rFont val="Arial"/>
        <family val="2"/>
      </rPr>
      <t>3</t>
    </r>
    <r>
      <rPr>
        <sz val="10"/>
        <rFont val="Arial"/>
        <family val="2"/>
      </rPr>
      <t>F</t>
    </r>
    <r>
      <rPr>
        <vertAlign val="subscript"/>
        <sz val="10"/>
        <rFont val="Arial"/>
        <family val="2"/>
      </rPr>
      <t>8</t>
    </r>
  </si>
  <si>
    <r>
      <t>c-C</t>
    </r>
    <r>
      <rPr>
        <vertAlign val="subscript"/>
        <sz val="10"/>
        <rFont val="Arial"/>
        <family val="2"/>
      </rPr>
      <t>4</t>
    </r>
    <r>
      <rPr>
        <sz val="10"/>
        <rFont val="Arial"/>
        <family val="2"/>
      </rPr>
      <t>F</t>
    </r>
    <r>
      <rPr>
        <vertAlign val="subscript"/>
        <sz val="10"/>
        <rFont val="Arial"/>
        <family val="2"/>
      </rPr>
      <t>8</t>
    </r>
  </si>
  <si>
    <r>
      <t>C</t>
    </r>
    <r>
      <rPr>
        <vertAlign val="subscript"/>
        <sz val="10"/>
        <rFont val="Arial"/>
        <family val="2"/>
      </rPr>
      <t>4</t>
    </r>
    <r>
      <rPr>
        <sz val="10"/>
        <rFont val="Arial"/>
        <family val="2"/>
      </rPr>
      <t>F</t>
    </r>
    <r>
      <rPr>
        <vertAlign val="subscript"/>
        <sz val="10"/>
        <rFont val="Arial"/>
        <family val="2"/>
      </rPr>
      <t>10</t>
    </r>
    <r>
      <rPr>
        <sz val="10"/>
        <rFont val="Arial"/>
        <family val="2"/>
      </rPr>
      <t xml:space="preserve"> </t>
    </r>
  </si>
  <si>
    <r>
      <t>C</t>
    </r>
    <r>
      <rPr>
        <vertAlign val="subscript"/>
        <sz val="10"/>
        <rFont val="Arial"/>
        <family val="2"/>
      </rPr>
      <t>5</t>
    </r>
    <r>
      <rPr>
        <sz val="10"/>
        <rFont val="Arial"/>
        <family val="2"/>
      </rPr>
      <t>F</t>
    </r>
    <r>
      <rPr>
        <vertAlign val="subscript"/>
        <sz val="10"/>
        <rFont val="Arial"/>
        <family val="2"/>
      </rPr>
      <t>12</t>
    </r>
  </si>
  <si>
    <r>
      <t>C</t>
    </r>
    <r>
      <rPr>
        <vertAlign val="subscript"/>
        <sz val="10"/>
        <rFont val="Arial"/>
        <family val="2"/>
      </rPr>
      <t>6</t>
    </r>
    <r>
      <rPr>
        <sz val="10"/>
        <rFont val="Arial"/>
        <family val="2"/>
      </rPr>
      <t>F</t>
    </r>
    <r>
      <rPr>
        <vertAlign val="subscript"/>
        <sz val="10"/>
        <rFont val="Arial"/>
        <family val="2"/>
      </rPr>
      <t>14</t>
    </r>
  </si>
  <si>
    <r>
      <t>C</t>
    </r>
    <r>
      <rPr>
        <vertAlign val="subscript"/>
        <sz val="10"/>
        <rFont val="Arial"/>
        <family val="2"/>
      </rPr>
      <t>10</t>
    </r>
    <r>
      <rPr>
        <sz val="10"/>
        <rFont val="Arial"/>
        <family val="2"/>
      </rPr>
      <t>F</t>
    </r>
    <r>
      <rPr>
        <vertAlign val="subscript"/>
        <sz val="10"/>
        <rFont val="Arial"/>
        <family val="2"/>
      </rPr>
      <t>18</t>
    </r>
  </si>
  <si>
    <t>&gt;7,500</t>
  </si>
  <si>
    <r>
      <rPr>
        <b/>
        <sz val="9"/>
        <rFont val="Arial"/>
        <family val="2"/>
      </rPr>
      <t>Source:</t>
    </r>
    <r>
      <rPr>
        <sz val="9"/>
        <rFont val="Arial"/>
        <family val="2"/>
      </rPr>
      <t xml:space="preserve"> 
100-year GWPs from IPCC Fourth Assessment Report (AR4), 2007. IPCC AR4 was published in 2007 and is among the most current and comprehensive peer-reviewed assessments of climate change. AR4 provides revised GWPs of several GHGs relative to the values provided in previous assessment reports, following advances in scientific knowledge on the radiative efficiencies and atmospheric lifetimes of these GHGs and of CO2. 
Factors in the 2023 Emission Factors update are based on AR4 GWPs, but EPA recognizes that Fifth Assessment Report (AR5) GWPs have been published and used in the Draft Inventory of U.S. Greenhouse Gas Emissions and Sinks: 1990-2021 report (published February 2023). However, this 2023 Emission Factors Hub and the GHG Reporting Program continue to use AR4 GWPs. EPA plans to incorporate AR5 GWPs into the 2024 Emission Factors Hub update.</t>
    </r>
  </si>
  <si>
    <t>Table 12</t>
  </si>
  <si>
    <t>Global Warming Potentials (GWPs) for Blended Refrigerants</t>
  </si>
  <si>
    <t>ASHRAE #</t>
  </si>
  <si>
    <t>100-year GWP</t>
  </si>
  <si>
    <t>Blend Composition</t>
  </si>
  <si>
    <t>R-401A</t>
  </si>
  <si>
    <t>53% HCFC-22 , 34% HCFC-124 , 13% HFC-152a</t>
  </si>
  <si>
    <t>R-401B</t>
  </si>
  <si>
    <t>61% HCFC-22 , 28% HCFC-124 , 11% HFC-152a</t>
  </si>
  <si>
    <t>R-401C</t>
  </si>
  <si>
    <t>33% HCFC-22 , 52% HCFC-124 , 15% HFC-152a</t>
  </si>
  <si>
    <t>R-402A</t>
  </si>
  <si>
    <t>38% HCFC-22 , 6% HFC-125 , 2% propane</t>
  </si>
  <si>
    <t>R-402B</t>
  </si>
  <si>
    <t>6% HCFC-22 , 38% HFC-125 , 2% propane</t>
  </si>
  <si>
    <t>R-403B</t>
  </si>
  <si>
    <t>56% HCFC-22 , 39% PFC-218 , 5% propane</t>
  </si>
  <si>
    <t>R-404A</t>
  </si>
  <si>
    <t>44% HFC-125 , 4% HFC-134a , 52% HFC 143a</t>
  </si>
  <si>
    <t>R-406A</t>
  </si>
  <si>
    <t>55% HCFC-22 , 41% HCFC-142b , 4% isobutane</t>
  </si>
  <si>
    <t>R-407A</t>
  </si>
  <si>
    <t>20% HFC-32 , 40% HFC-125 , 40% HFC-134a</t>
  </si>
  <si>
    <t>R-407B</t>
  </si>
  <si>
    <t>10% HFC-32 , 70% HFC-125 , 20% HFC-134a</t>
  </si>
  <si>
    <t>R-407C</t>
  </si>
  <si>
    <t>23% HFC-32 , 25% HFC-125 , 52% HFC-134a</t>
  </si>
  <si>
    <t>R-407D</t>
  </si>
  <si>
    <t>15% HFC-32 , 15% HFC-125 , 70% HFC-134a</t>
  </si>
  <si>
    <t>R-407E</t>
  </si>
  <si>
    <t>25% HFC-32 , 15% HFC-125 , 60% HFC-134a</t>
  </si>
  <si>
    <t>R-408A</t>
  </si>
  <si>
    <t>47% HCFC-22 , 7% HFC-125 , 46% HFC 143a</t>
  </si>
  <si>
    <t>R-409A</t>
  </si>
  <si>
    <t>60% HCFC-22 , 25% HCFC-124 , 15% HCFC-142b</t>
  </si>
  <si>
    <t>R-410A</t>
  </si>
  <si>
    <t>50% HFC-32 , 50% HFC-125</t>
  </si>
  <si>
    <t>R-410B</t>
  </si>
  <si>
    <t xml:space="preserve">45% HFC-32 , 55% HFC-125 </t>
  </si>
  <si>
    <t>R-411A</t>
  </si>
  <si>
    <t>87.5% HCFC-22 , 11 HFC-152a , 1.5% propylene</t>
  </si>
  <si>
    <t>R-411B</t>
  </si>
  <si>
    <t>94% HCFC-22 , 3% HFC-152a , 3% propylene</t>
  </si>
  <si>
    <t>R-413A</t>
  </si>
  <si>
    <t>88% HFC-134a , 9% PFC-218 , 3% isobutane</t>
  </si>
  <si>
    <t>R-414A</t>
  </si>
  <si>
    <t>51% HCFC-22 , 28.5% HCFC-124 , 16.5% HCFC-142b</t>
  </si>
  <si>
    <t>R-414B</t>
  </si>
  <si>
    <t>5% HCFC-22 , 39% HCFC-124 , 9.5% HCFC-142b</t>
  </si>
  <si>
    <t>R-417A</t>
  </si>
  <si>
    <t>46.6% HFC-125 , 5% HFC-134a , 3.4% butane</t>
  </si>
  <si>
    <t>R-422A</t>
  </si>
  <si>
    <t>85.1% HFC-125 , 11.5% HFC-134a , 3.4% isobutane</t>
  </si>
  <si>
    <t>R-422D</t>
  </si>
  <si>
    <t>65.1% HFC-125 , 31.5% HFC-134a , 3.4% isobutane</t>
  </si>
  <si>
    <t>R-423A</t>
  </si>
  <si>
    <t xml:space="preserve">47.5% HFC-227ea , 52.5% HFC-134a ,  </t>
  </si>
  <si>
    <t>R-424A</t>
  </si>
  <si>
    <t>50.5% HFC-125, 47% HFC-134a, 2.5% butane/pentane</t>
  </si>
  <si>
    <t>R-426A</t>
  </si>
  <si>
    <t>5.1% HFC-125, 93% HFC-134a, 1.9% butane/pentane</t>
  </si>
  <si>
    <t>R-428A</t>
  </si>
  <si>
    <t>77.5% HFC-125 , 2% HFC-143a , 1.9% isobutane</t>
  </si>
  <si>
    <t>R-434A</t>
  </si>
  <si>
    <t>63.2% HFC-125, 16% HFC-134a, 18% HFC-143a, 2.8% isobutane</t>
  </si>
  <si>
    <t>R-500</t>
  </si>
  <si>
    <t>73.8% CFC-12 , 26.2% HFC-152a , 48.8% HCFC-22</t>
  </si>
  <si>
    <t>R-502</t>
  </si>
  <si>
    <t xml:space="preserve">48.8% HCFC-22 , 51.2% CFC-115 </t>
  </si>
  <si>
    <t>R-504</t>
  </si>
  <si>
    <t>48.2% HFC-32 , 51.8% CFC-115</t>
  </si>
  <si>
    <t>R-507</t>
  </si>
  <si>
    <t>5% HFC-125 , 5% HFC143a</t>
  </si>
  <si>
    <t>R-508A</t>
  </si>
  <si>
    <t>39% HFC-23 , 61% PFC-116</t>
  </si>
  <si>
    <t>R-508B</t>
  </si>
  <si>
    <t>46% HFC-23 , 54% PFC-116</t>
  </si>
  <si>
    <r>
      <rPr>
        <b/>
        <sz val="9"/>
        <rFont val="Arial"/>
        <family val="2"/>
      </rPr>
      <t>Source:</t>
    </r>
    <r>
      <rPr>
        <sz val="9"/>
        <rFont val="Arial"/>
        <family val="2"/>
      </rPr>
      <t xml:space="preserve"> 
100-year GWPs from IPCC Fourth Assessment Report (AR4), 2007.  See the source note to Table 11 for further explanation. GWPs of blended refrigerants are based on their HFC and PFC constituents, which are based on data from http://www.epa.gov/ozone/snap/refrigerants/refblend.html.</t>
    </r>
  </si>
  <si>
    <t>To convert from:</t>
  </si>
  <si>
    <t>to</t>
  </si>
  <si>
    <t>PJ</t>
  </si>
  <si>
    <t>multiply by</t>
  </si>
  <si>
    <t>EJ/ktoe</t>
  </si>
  <si>
    <t>T btu</t>
  </si>
  <si>
    <t>MM btu</t>
  </si>
  <si>
    <t>GJ</t>
  </si>
  <si>
    <t>Q btu (quads)</t>
  </si>
  <si>
    <t>kWh</t>
  </si>
  <si>
    <t>TJ / kWh</t>
  </si>
  <si>
    <t>GWh</t>
  </si>
  <si>
    <t>EJ / GWh</t>
  </si>
  <si>
    <t>TJ / GWh</t>
  </si>
  <si>
    <t>TWh</t>
  </si>
  <si>
    <t>EJ / TWh</t>
  </si>
  <si>
    <t>EJ / PWh</t>
  </si>
  <si>
    <t>MWh</t>
  </si>
  <si>
    <t>GJ / MWh</t>
  </si>
  <si>
    <t>GJ / kWh</t>
  </si>
  <si>
    <t>TCE</t>
  </si>
  <si>
    <t>GWh/TCE</t>
  </si>
  <si>
    <t>mm BTU</t>
  </si>
  <si>
    <t>mm BTU/TCE</t>
  </si>
  <si>
    <t xml:space="preserve">to </t>
  </si>
  <si>
    <t>scf/TCE</t>
  </si>
  <si>
    <t>gge/TCE</t>
  </si>
  <si>
    <t>EJ/TJ</t>
  </si>
  <si>
    <t>lb</t>
  </si>
  <si>
    <t>kg</t>
  </si>
  <si>
    <t>kg / lb</t>
  </si>
  <si>
    <t>TWh / T btu</t>
  </si>
  <si>
    <r>
      <t>m</t>
    </r>
    <r>
      <rPr>
        <b/>
        <vertAlign val="superscript"/>
        <sz val="11"/>
        <color theme="1"/>
        <rFont val="Calibri"/>
        <family val="2"/>
        <scheme val="minor"/>
      </rPr>
      <t>2</t>
    </r>
  </si>
  <si>
    <t>ha</t>
  </si>
  <si>
    <r>
      <t>ha / m</t>
    </r>
    <r>
      <rPr>
        <vertAlign val="superscript"/>
        <sz val="11"/>
        <color theme="1"/>
        <rFont val="Calibri"/>
        <family val="2"/>
        <scheme val="minor"/>
      </rPr>
      <t>2</t>
    </r>
  </si>
  <si>
    <t xml:space="preserve">gigagrams </t>
  </si>
  <si>
    <t>MMT/Ggram</t>
  </si>
  <si>
    <t>metric ton</t>
  </si>
  <si>
    <t>short ton</t>
  </si>
  <si>
    <t>short ton/MT</t>
  </si>
  <si>
    <t>MMT/kg</t>
  </si>
  <si>
    <t>Direct Air Capture Data</t>
  </si>
  <si>
    <t>Energy Requirements from Carbon Engineering Study</t>
  </si>
  <si>
    <t>From Summary section of article:</t>
  </si>
  <si>
    <t>When CO2 is delivered at 15 MPa, the design requires either 8.81 GJ of natural gas, or 5.25 GJ of gas and 366 kWhr of electricity, per ton of CO2 captured.</t>
  </si>
  <si>
    <t>The system described in this paper uses liquid solvent technology, so it needs heat at greater temperature than heat pumps can provide.</t>
  </si>
  <si>
    <t>Option 1: Use all-gas numbers, but electrify gas use</t>
  </si>
  <si>
    <t>natural gas</t>
  </si>
  <si>
    <t>GJ / ton CO2</t>
  </si>
  <si>
    <t>EJ / Tg CO2</t>
  </si>
  <si>
    <t>electrical equivalent</t>
  </si>
  <si>
    <t>Uses liquid solvent technology</t>
  </si>
  <si>
    <t>Option 1: Use mixed gas and electricity numbers, and electrify gas use</t>
  </si>
  <si>
    <t>additional electricity need</t>
  </si>
  <si>
    <t>kWh / ton CO2</t>
  </si>
  <si>
    <t>total electricity demand</t>
  </si>
  <si>
    <t>Alternative (IEA) Source</t>
  </si>
  <si>
    <t>Data from:</t>
  </si>
  <si>
    <t>Direct Air Capture</t>
  </si>
  <si>
    <t>https://www.iea.org/reports/direct-air-capture</t>
  </si>
  <si>
    <t>Graph on web page</t>
  </si>
  <si>
    <t>Direct Air Capture Energy Requirements</t>
  </si>
  <si>
    <t>System</t>
  </si>
  <si>
    <t>Heat Demand</t>
  </si>
  <si>
    <t>Liquid solvent</t>
  </si>
  <si>
    <t>Mtoe / Mt CO2</t>
  </si>
  <si>
    <t>Solid sorbent</t>
  </si>
  <si>
    <t>One Mt is equal to one Tg</t>
  </si>
  <si>
    <t>Temp requirements</t>
  </si>
  <si>
    <t>From:</t>
  </si>
  <si>
    <t>https://www.wri.org/insights/direct-air-capture-resource-considerations-and-costs-carbon-removal</t>
  </si>
  <si>
    <t>900 C</t>
  </si>
  <si>
    <t>not heat pump compatible</t>
  </si>
  <si>
    <t>80-120 C</t>
  </si>
  <si>
    <t>heat pump compatible</t>
  </si>
  <si>
    <t>Electricity Demand per Unit CO2 Provided</t>
  </si>
  <si>
    <t>The liquid solvent technology is more mature right now.</t>
  </si>
  <si>
    <t>Source: 19</t>
  </si>
  <si>
    <t>value</t>
  </si>
  <si>
    <t>unit</t>
  </si>
  <si>
    <t>substance</t>
  </si>
  <si>
    <t>notes</t>
  </si>
  <si>
    <t>Global CO2 emissions</t>
  </si>
  <si>
    <t>Gt</t>
  </si>
  <si>
    <t>Equivalent barrels per day</t>
  </si>
  <si>
    <t>million barrels / day</t>
  </si>
  <si>
    <t>At underground storage conditions of 10 MPa, 40°C</t>
  </si>
  <si>
    <t>Equivalent barrels per year</t>
  </si>
  <si>
    <t>million barrels</t>
  </si>
  <si>
    <t>Global oil production per day</t>
  </si>
  <si>
    <t>oil</t>
  </si>
  <si>
    <t>Global oil production per year</t>
  </si>
  <si>
    <t>Mass of stored CO2 volumetrically equivalent to annual global oil production</t>
  </si>
  <si>
    <t>Source: 17</t>
  </si>
  <si>
    <t>Land requirements per unit bioenergy produced</t>
  </si>
  <si>
    <t>Unit:</t>
  </si>
  <si>
    <r>
      <t>m</t>
    </r>
    <r>
      <rPr>
        <b/>
        <vertAlign val="superscript"/>
        <sz val="11"/>
        <color theme="1"/>
        <rFont val="Calibri"/>
        <family val="2"/>
        <scheme val="minor"/>
      </rPr>
      <t>2</t>
    </r>
    <r>
      <rPr>
        <b/>
        <sz val="11"/>
        <color theme="1"/>
        <rFont val="Calibri"/>
        <family val="2"/>
        <scheme val="minor"/>
      </rPr>
      <t xml:space="preserve"> / GJ</t>
    </r>
  </si>
  <si>
    <t>energy form produced</t>
  </si>
  <si>
    <t>Crop</t>
  </si>
  <si>
    <t>bioelectricity</t>
  </si>
  <si>
    <t>CHP</t>
  </si>
  <si>
    <t>bioethanol</t>
  </si>
  <si>
    <t>biodiesel</t>
  </si>
  <si>
    <t>sugar beet</t>
  </si>
  <si>
    <t>sugarcane</t>
  </si>
  <si>
    <t>maize</t>
  </si>
  <si>
    <t>soybean</t>
  </si>
  <si>
    <t>rapeseed</t>
  </si>
  <si>
    <t>Source: 16</t>
  </si>
  <si>
    <t xml:space="preserve">Location </t>
  </si>
  <si>
    <t xml:space="preserve">Power (kW) </t>
  </si>
  <si>
    <t>Status</t>
  </si>
  <si>
    <t>Totals</t>
  </si>
  <si>
    <t>kW</t>
  </si>
  <si>
    <t xml:space="preserve">Corpus Christi, TX </t>
  </si>
  <si>
    <t>Planned</t>
  </si>
  <si>
    <t>Installed</t>
  </si>
  <si>
    <t xml:space="preserve">LaSalle, IL </t>
  </si>
  <si>
    <t>Installed/Commissioning</t>
  </si>
  <si>
    <t xml:space="preserve">Amarillo, TX </t>
  </si>
  <si>
    <t>Installed/Operational</t>
  </si>
  <si>
    <t xml:space="preserve">Laramie County, WY </t>
  </si>
  <si>
    <t xml:space="preserve">Lubbock County, TX </t>
  </si>
  <si>
    <t>Planned/Under Construction</t>
  </si>
  <si>
    <t xml:space="preserve">Pueblo County, CO </t>
  </si>
  <si>
    <t xml:space="preserve">Delta, UT </t>
  </si>
  <si>
    <t xml:space="preserve">Alabama, NY </t>
  </si>
  <si>
    <t xml:space="preserve">Nederland, TX </t>
  </si>
  <si>
    <t xml:space="preserve">Young County, TX </t>
  </si>
  <si>
    <t xml:space="preserve">Yuma, AZ </t>
  </si>
  <si>
    <t xml:space="preserve">Fresno, CA </t>
  </si>
  <si>
    <t xml:space="preserve">AZ </t>
  </si>
  <si>
    <t xml:space="preserve">Kingsland, GA </t>
  </si>
  <si>
    <t xml:space="preserve">Niagara Falls, NY </t>
  </si>
  <si>
    <t xml:space="preserve">Okeechobee, FL </t>
  </si>
  <si>
    <t xml:space="preserve">Donaldsonville, LA </t>
  </si>
  <si>
    <t xml:space="preserve">Lake Preston, SD </t>
  </si>
  <si>
    <t xml:space="preserve">New Albany, OH </t>
  </si>
  <si>
    <t xml:space="preserve">Douglas County, WA </t>
  </si>
  <si>
    <t xml:space="preserve">Ferndale, WA </t>
  </si>
  <si>
    <t xml:space="preserve">Ontario, CA </t>
  </si>
  <si>
    <t xml:space="preserve">Mountain View, CA </t>
  </si>
  <si>
    <t xml:space="preserve">DeBary, FL </t>
  </si>
  <si>
    <t xml:space="preserve">Durham, NC </t>
  </si>
  <si>
    <t xml:space="preserve">Oak Harbor, OH </t>
  </si>
  <si>
    <t xml:space="preserve">Palm Springs, CA </t>
  </si>
  <si>
    <t xml:space="preserve">Southwest WA </t>
  </si>
  <si>
    <t xml:space="preserve">Arvada, CO </t>
  </si>
  <si>
    <t xml:space="preserve">Oswego, NY </t>
  </si>
  <si>
    <t xml:space="preserve">CA </t>
  </si>
  <si>
    <t xml:space="preserve">Borrego Springs, CA </t>
  </si>
  <si>
    <t xml:space="preserve">Champaign, Urbana, IL </t>
  </si>
  <si>
    <t xml:space="preserve">Denver, CO </t>
  </si>
  <si>
    <t xml:space="preserve">Kansas City, MO </t>
  </si>
  <si>
    <t xml:space="preserve">Moses Lake, WA </t>
  </si>
  <si>
    <t xml:space="preserve">South Harrison, NC </t>
  </si>
  <si>
    <t xml:space="preserve">Tuscaloosa, AL </t>
  </si>
  <si>
    <t xml:space="preserve">Orlando, FL </t>
  </si>
  <si>
    <t xml:space="preserve">Prairie Island, MN </t>
  </si>
  <si>
    <t xml:space="preserve">Sonoma, CA </t>
  </si>
  <si>
    <t xml:space="preserve">Idaho Falls, ID </t>
  </si>
  <si>
    <t xml:space="preserve">Red Wing, MN </t>
  </si>
  <si>
    <t xml:space="preserve">Austin, TX </t>
  </si>
  <si>
    <t xml:space="preserve">Boston, MA </t>
  </si>
  <si>
    <t xml:space="preserve">Columbus, IN </t>
  </si>
  <si>
    <t xml:space="preserve">Columbus, OH </t>
  </si>
  <si>
    <t xml:space="preserve">Costa Mesa, CA </t>
  </si>
  <si>
    <t xml:space="preserve">Emeryville, CA </t>
  </si>
  <si>
    <t xml:space="preserve">GA </t>
  </si>
  <si>
    <t xml:space="preserve">HI </t>
  </si>
  <si>
    <t xml:space="preserve">Leesport, PA </t>
  </si>
  <si>
    <t xml:space="preserve">Lexington, MA </t>
  </si>
  <si>
    <t xml:space="preserve">MA </t>
  </si>
  <si>
    <t xml:space="preserve">Mahwah, NJ </t>
  </si>
  <si>
    <t xml:space="preserve">NJ </t>
  </si>
  <si>
    <t xml:space="preserve">Oakland, CA </t>
  </si>
  <si>
    <t xml:space="preserve">San Francisco, CA </t>
  </si>
  <si>
    <t xml:space="preserve">San Jose, CA </t>
  </si>
  <si>
    <t xml:space="preserve">Santa Clara, CA </t>
  </si>
  <si>
    <t xml:space="preserve">SC </t>
  </si>
  <si>
    <t xml:space="preserve">Tempe, AZ </t>
  </si>
  <si>
    <t xml:space="preserve">WA </t>
  </si>
  <si>
    <t xml:space="preserve">Braintree, MA </t>
  </si>
  <si>
    <t xml:space="preserve">Canandaigua, NY </t>
  </si>
  <si>
    <t xml:space="preserve">Hertford Cty, NC </t>
  </si>
  <si>
    <t xml:space="preserve">KY </t>
  </si>
  <si>
    <t xml:space="preserve">Lincoln, RI </t>
  </si>
  <si>
    <t xml:space="preserve">NC </t>
  </si>
  <si>
    <t xml:space="preserve">NY </t>
  </si>
  <si>
    <t xml:space="preserve">OH </t>
  </si>
  <si>
    <t xml:space="preserve">PA </t>
  </si>
  <si>
    <t xml:space="preserve">San Carlos, CA </t>
  </si>
  <si>
    <t xml:space="preserve">Sugar Land, TX </t>
  </si>
  <si>
    <t xml:space="preserve">UT </t>
  </si>
  <si>
    <t xml:space="preserve">Released: February 2021 </t>
  </si>
  <si>
    <t>Next MECS will be fielded in 2022.</t>
  </si>
  <si>
    <t>Table 5.2    End Uses of Fuel Consumption, 2018;</t>
  </si>
  <si>
    <t xml:space="preserve">                        Level: National Data; </t>
  </si>
  <si>
    <t xml:space="preserve">                        Row: End Uses within NAICS Codes;</t>
  </si>
  <si>
    <t xml:space="preserve">                        Column: Energy Sources, including Net Electricity;</t>
  </si>
  <si>
    <t xml:space="preserve">                        Unit: Trillion Btu.</t>
  </si>
  <si>
    <t xml:space="preserve"> </t>
  </si>
  <si>
    <t>Distillate</t>
  </si>
  <si>
    <t>Fuel Oil</t>
  </si>
  <si>
    <t>Coal</t>
  </si>
  <si>
    <t>NAICS</t>
  </si>
  <si>
    <t>Net</t>
  </si>
  <si>
    <t>Residual</t>
  </si>
  <si>
    <t>and</t>
  </si>
  <si>
    <t xml:space="preserve">Natural </t>
  </si>
  <si>
    <t>HGL (excluding</t>
  </si>
  <si>
    <t>(excluding Coal</t>
  </si>
  <si>
    <t>Code(a)</t>
  </si>
  <si>
    <t>End Use</t>
  </si>
  <si>
    <t>Total</t>
  </si>
  <si>
    <t>Electricity(b)</t>
  </si>
  <si>
    <t>Diesel Fuel(c)</t>
  </si>
  <si>
    <t>Gas(d)</t>
  </si>
  <si>
    <t>natural gasoline)(e)</t>
  </si>
  <si>
    <t>Coke and Breeze)</t>
  </si>
  <si>
    <t>Other(f)</t>
  </si>
  <si>
    <t/>
  </si>
  <si>
    <t>Total United States</t>
  </si>
  <si>
    <t xml:space="preserve">  311 - 339</t>
  </si>
  <si>
    <t>ALL MANUFACTURING INDUSTRIES</t>
  </si>
  <si>
    <t>TOTAL FUEL CONSUMPTION</t>
  </si>
  <si>
    <t>Indirect Uses-Boiler Fuel</t>
  </si>
  <si>
    <t>--</t>
  </si>
  <si>
    <t xml:space="preserve">  Conventional Boiler Use</t>
  </si>
  <si>
    <t xml:space="preserve">  CHP and/or Cogeneration Process</t>
  </si>
  <si>
    <t>Direct Uses-Total Process</t>
  </si>
  <si>
    <t>D</t>
  </si>
  <si>
    <t xml:space="preserve">  Process Heating</t>
  </si>
  <si>
    <t xml:space="preserve">  Process Cooling and Refrigeration</t>
  </si>
  <si>
    <t>*</t>
  </si>
  <si>
    <t xml:space="preserve">  Machine Drive</t>
  </si>
  <si>
    <t xml:space="preserve">  Electro-Chemical Processes</t>
  </si>
  <si>
    <t xml:space="preserve">  Other Process Use</t>
  </si>
  <si>
    <t>Direct Uses-Total Nonprocess</t>
  </si>
  <si>
    <t xml:space="preserve">  Facility HVAC (g)</t>
  </si>
  <si>
    <t xml:space="preserve">  Facility Lighting</t>
  </si>
  <si>
    <t xml:space="preserve">  Other Facility Support</t>
  </si>
  <si>
    <t xml:space="preserve">  Onsite Transportation</t>
  </si>
  <si>
    <t xml:space="preserve">  Conventional Electricity Generation</t>
  </si>
  <si>
    <t xml:space="preserve">  Other Nonprocess Use</t>
  </si>
  <si>
    <t>End Use Not Reported</t>
  </si>
  <si>
    <t xml:space="preserve">  311</t>
  </si>
  <si>
    <t>FOOD</t>
  </si>
  <si>
    <t>Q</t>
  </si>
  <si>
    <t xml:space="preserve">    3112</t>
  </si>
  <si>
    <t xml:space="preserve">  Grain and Oilseed Milling</t>
  </si>
  <si>
    <t xml:space="preserve">      311221</t>
  </si>
  <si>
    <t xml:space="preserve">  Wet Corn Milling</t>
  </si>
  <si>
    <t xml:space="preserve">     31131</t>
  </si>
  <si>
    <t xml:space="preserve">  Sugar</t>
  </si>
  <si>
    <t xml:space="preserve">    3114</t>
  </si>
  <si>
    <t xml:space="preserve">  Fruit and Vegetable Preserving and Specialty Foods</t>
  </si>
  <si>
    <t xml:space="preserve">    3115</t>
  </si>
  <si>
    <t xml:space="preserve">  Dairy Products</t>
  </si>
  <si>
    <t xml:space="preserve">    3116</t>
  </si>
  <si>
    <t xml:space="preserve">  Animal Slaughtering and Processing</t>
  </si>
  <si>
    <t xml:space="preserve">  312</t>
  </si>
  <si>
    <t>BEVERAGE AND TOBACCO PRODUCTS</t>
  </si>
  <si>
    <t xml:space="preserve">    3121</t>
  </si>
  <si>
    <t xml:space="preserve">  Beverages</t>
  </si>
  <si>
    <t xml:space="preserve">    3122</t>
  </si>
  <si>
    <t xml:space="preserve">  Tobacco</t>
  </si>
  <si>
    <t xml:space="preserve">  313</t>
  </si>
  <si>
    <t>TEXTILE MILLS</t>
  </si>
  <si>
    <t xml:space="preserve">  314</t>
  </si>
  <si>
    <t>TEXTILE PRODUCT MILLS</t>
  </si>
  <si>
    <t xml:space="preserve">  315</t>
  </si>
  <si>
    <t>APPAREL</t>
  </si>
  <si>
    <t xml:space="preserve">  316</t>
  </si>
  <si>
    <t>LEATHER AND ALLIED PRODUCTS</t>
  </si>
  <si>
    <t xml:space="preserve">  321</t>
  </si>
  <si>
    <t>WOOD PRODUCTS</t>
  </si>
  <si>
    <t xml:space="preserve">      321113</t>
  </si>
  <si>
    <t xml:space="preserve">  Sawmills</t>
  </si>
  <si>
    <t xml:space="preserve">    3212</t>
  </si>
  <si>
    <t xml:space="preserve">  Veneer, Plywood, and Engineered Woods</t>
  </si>
  <si>
    <t xml:space="preserve">      321219</t>
  </si>
  <si>
    <t xml:space="preserve">  Reconstituted Wood Products</t>
  </si>
  <si>
    <t xml:space="preserve">    3219</t>
  </si>
  <si>
    <t xml:space="preserve">  Other Wood Products</t>
  </si>
  <si>
    <t xml:space="preserve">  322</t>
  </si>
  <si>
    <t>PAPER</t>
  </si>
  <si>
    <t xml:space="preserve">      322110</t>
  </si>
  <si>
    <t xml:space="preserve">  Pulp Mills</t>
  </si>
  <si>
    <t xml:space="preserve">      322121</t>
  </si>
  <si>
    <t xml:space="preserve">  Paper Mills, except Newsprint</t>
  </si>
  <si>
    <t xml:space="preserve">      322122</t>
  </si>
  <si>
    <t xml:space="preserve">  Newsprint Mills</t>
  </si>
  <si>
    <t xml:space="preserve">      322130</t>
  </si>
  <si>
    <t xml:space="preserve">  Paperboard Mills</t>
  </si>
  <si>
    <t xml:space="preserve">  323</t>
  </si>
  <si>
    <t>PRINTING AND RELATED SUPPORT</t>
  </si>
  <si>
    <t xml:space="preserve">  324</t>
  </si>
  <si>
    <t>PETROLEUM AND COAL PRODUCTS</t>
  </si>
  <si>
    <t xml:space="preserve">      324110</t>
  </si>
  <si>
    <t xml:space="preserve">  Petroleum Refineries</t>
  </si>
  <si>
    <t xml:space="preserve">      324121</t>
  </si>
  <si>
    <t xml:space="preserve">  Asphalt Paving Mixture and Block</t>
  </si>
  <si>
    <t xml:space="preserve">      324122</t>
  </si>
  <si>
    <t xml:space="preserve">   Asphalt Shingle and Coating Materials</t>
  </si>
  <si>
    <t xml:space="preserve">      324191</t>
  </si>
  <si>
    <t xml:space="preserve">  Petroleum Lubricating Oil and Grease Products</t>
  </si>
  <si>
    <t xml:space="preserve">      324199</t>
  </si>
  <si>
    <t xml:space="preserve">  Other Petroleum and Coal Products</t>
  </si>
  <si>
    <t xml:space="preserve">  325</t>
  </si>
  <si>
    <t>CHEMICALS</t>
  </si>
  <si>
    <t xml:space="preserve">      325110</t>
  </si>
  <si>
    <t xml:space="preserve">  Petrochemicals</t>
  </si>
  <si>
    <t xml:space="preserve">      325120</t>
  </si>
  <si>
    <t xml:space="preserve">  Industrial Gases</t>
  </si>
  <si>
    <t xml:space="preserve">      325180</t>
  </si>
  <si>
    <t xml:space="preserve">  Other Basic Inorganic Chemicals</t>
  </si>
  <si>
    <t xml:space="preserve">      325193</t>
  </si>
  <si>
    <t xml:space="preserve">  Ethyl Alcohol</t>
  </si>
  <si>
    <t xml:space="preserve">      325194</t>
  </si>
  <si>
    <t xml:space="preserve">  Cyclic Crudes, Intermediate and Gum and Wood Chemicals</t>
  </si>
  <si>
    <t xml:space="preserve">      325199</t>
  </si>
  <si>
    <t xml:space="preserve">  Other Basic Organic Chemicals</t>
  </si>
  <si>
    <t xml:space="preserve">      325211</t>
  </si>
  <si>
    <t xml:space="preserve">  Plastics Materials and Resins</t>
  </si>
  <si>
    <t xml:space="preserve">      325212</t>
  </si>
  <si>
    <t xml:space="preserve">  Synthetic Rubber</t>
  </si>
  <si>
    <t xml:space="preserve">      325220</t>
  </si>
  <si>
    <t xml:space="preserve">  Artificial and Synthetic Fibers and Filaments</t>
  </si>
  <si>
    <t xml:space="preserve">      325311</t>
  </si>
  <si>
    <t xml:space="preserve">  Nitrogenous Fertilizers</t>
  </si>
  <si>
    <t xml:space="preserve">      325312</t>
  </si>
  <si>
    <t xml:space="preserve">  Phosphatic Fertilizers</t>
  </si>
  <si>
    <t xml:space="preserve">    3254</t>
  </si>
  <si>
    <t xml:space="preserve">  Pharmaceuticals and Medicines</t>
  </si>
  <si>
    <t xml:space="preserve">      325412</t>
  </si>
  <si>
    <t xml:space="preserve">  Pharmaceutical Preparation</t>
  </si>
  <si>
    <t xml:space="preserve">      325992</t>
  </si>
  <si>
    <t xml:space="preserve">  Photographic Film, Paper, Plate, and Chemicals</t>
  </si>
  <si>
    <t xml:space="preserve">  326</t>
  </si>
  <si>
    <t>PLASTICS AND RUBBER PRODUCTS</t>
  </si>
  <si>
    <t xml:space="preserve">  327</t>
  </si>
  <si>
    <t>NONMETALLIC MINERAL PRODUCTS</t>
  </si>
  <si>
    <t xml:space="preserve">      327120</t>
  </si>
  <si>
    <t xml:space="preserve">  Clay Building Material and Refractories</t>
  </si>
  <si>
    <t xml:space="preserve">    327211</t>
  </si>
  <si>
    <t xml:space="preserve">  Flat Glass</t>
  </si>
  <si>
    <t xml:space="preserve">      327212</t>
  </si>
  <si>
    <t xml:space="preserve">  Other Pressed and Blown Glass and Glassware</t>
  </si>
  <si>
    <t xml:space="preserve">      327213</t>
  </si>
  <si>
    <t xml:space="preserve">  Glass Containers</t>
  </si>
  <si>
    <t xml:space="preserve">      327215</t>
  </si>
  <si>
    <t xml:space="preserve">  Glass Products from Purchased Glass</t>
  </si>
  <si>
    <t xml:space="preserve">      327310</t>
  </si>
  <si>
    <t xml:space="preserve">  Cements</t>
  </si>
  <si>
    <t xml:space="preserve">      327410</t>
  </si>
  <si>
    <t xml:space="preserve">  Lime</t>
  </si>
  <si>
    <t xml:space="preserve">      327420</t>
  </si>
  <si>
    <t xml:space="preserve">  Gypsum</t>
  </si>
  <si>
    <t xml:space="preserve">      327993</t>
  </si>
  <si>
    <t xml:space="preserve">  Mineral Wool</t>
  </si>
  <si>
    <t xml:space="preserve">  331</t>
  </si>
  <si>
    <t>PRIMARY METALS</t>
  </si>
  <si>
    <t xml:space="preserve">      331110</t>
  </si>
  <si>
    <t xml:space="preserve">  Iron and Steel Mills and Ferroalloys</t>
  </si>
  <si>
    <t xml:space="preserve">    3312</t>
  </si>
  <si>
    <t xml:space="preserve">  Steel Products from Purchased Steel</t>
  </si>
  <si>
    <t xml:space="preserve">    3313</t>
  </si>
  <si>
    <t xml:space="preserve">  Alumina and Aluminum</t>
  </si>
  <si>
    <t xml:space="preserve">      331314</t>
  </si>
  <si>
    <t xml:space="preserve">  Secondary Smelting and Alloying of Aluminum</t>
  </si>
  <si>
    <t xml:space="preserve">      331315</t>
  </si>
  <si>
    <t xml:space="preserve">  Aluminum Sheet, Plate and Foils</t>
  </si>
  <si>
    <t xml:space="preserve">      331318</t>
  </si>
  <si>
    <t xml:space="preserve">  Other Aluminum Rolling, Drawing and Extruding</t>
  </si>
  <si>
    <t xml:space="preserve">    3314</t>
  </si>
  <si>
    <t xml:space="preserve">  Nonferrous Metals, except Aluminum</t>
  </si>
  <si>
    <t xml:space="preserve">      331410</t>
  </si>
  <si>
    <t xml:space="preserve">  Nonferrous Metal (except Aluminum) Smelting and Refining</t>
  </si>
  <si>
    <t xml:space="preserve">    3315</t>
  </si>
  <si>
    <t xml:space="preserve">  Foundries</t>
  </si>
  <si>
    <t xml:space="preserve">      331511</t>
  </si>
  <si>
    <t xml:space="preserve">  Iron Foundries</t>
  </si>
  <si>
    <t xml:space="preserve">      331523</t>
  </si>
  <si>
    <t xml:space="preserve">  Nonferrous Metal Die-Casting Foundries</t>
  </si>
  <si>
    <t xml:space="preserve">      331524</t>
  </si>
  <si>
    <t xml:space="preserve">  Aluminum Foundries, except Die-Casting</t>
  </si>
  <si>
    <t xml:space="preserve">  332</t>
  </si>
  <si>
    <t>FABRICATED METAL PRODUCTS</t>
  </si>
  <si>
    <t xml:space="preserve">  333</t>
  </si>
  <si>
    <t>MACHINERY</t>
  </si>
  <si>
    <t xml:space="preserve">  334</t>
  </si>
  <si>
    <t>COMPUTER AND ELECTRONIC PRODUCTS</t>
  </si>
  <si>
    <t xml:space="preserve">      334413</t>
  </si>
  <si>
    <t xml:space="preserve">  Semiconductors and Related Devices</t>
  </si>
  <si>
    <t xml:space="preserve">  335</t>
  </si>
  <si>
    <t>ELEC. EQUIP., APPLIANCES, COMPONENTS</t>
  </si>
  <si>
    <t xml:space="preserve">  336</t>
  </si>
  <si>
    <t>TRANSPORTATION EQUIPMENT</t>
  </si>
  <si>
    <t xml:space="preserve">      336111</t>
  </si>
  <si>
    <t xml:space="preserve">  Automobiles</t>
  </si>
  <si>
    <t xml:space="preserve">      336112</t>
  </si>
  <si>
    <t xml:space="preserve">  Light Trucks and Utility Vehicles</t>
  </si>
  <si>
    <t xml:space="preserve">    3364</t>
  </si>
  <si>
    <t xml:space="preserve">  Aerospace Products</t>
  </si>
  <si>
    <t xml:space="preserve">      336411</t>
  </si>
  <si>
    <t xml:space="preserve">  Aircraft</t>
  </si>
  <si>
    <t xml:space="preserve">  337</t>
  </si>
  <si>
    <t>FURNITURE AND RELATED PRODUCTS</t>
  </si>
  <si>
    <t xml:space="preserve">  339</t>
  </si>
  <si>
    <t>MISCELLANEOUS</t>
  </si>
  <si>
    <t>Process CO2 Data from EPA GHG Emissions Inventory</t>
  </si>
  <si>
    <t>Matching AEO T23 Industry for Scaling</t>
  </si>
  <si>
    <t xml:space="preserve">    Iron and Steel Mills and Products</t>
  </si>
  <si>
    <t xml:space="preserve">    Cement and Lime</t>
  </si>
  <si>
    <t>Petrochemicals</t>
  </si>
  <si>
    <t xml:space="preserve">    Bulk Chemicals</t>
  </si>
  <si>
    <t>Ammonia</t>
  </si>
  <si>
    <t xml:space="preserve">      Agricultural Chemicals</t>
  </si>
  <si>
    <t>Lime</t>
  </si>
  <si>
    <t>Other Process Uses of Carbonates</t>
  </si>
  <si>
    <t>CO2 Consumption</t>
  </si>
  <si>
    <t xml:space="preserve">  Beverages and Tobacco Products</t>
  </si>
  <si>
    <t>Urea Consumption for Non-Agriculture</t>
  </si>
  <si>
    <t xml:space="preserve">  Miscellaneous Manufacturing</t>
  </si>
  <si>
    <t>Glass Production</t>
  </si>
  <si>
    <t xml:space="preserve">    Glass and Glass Products</t>
  </si>
  <si>
    <t>Soda Ash Production</t>
  </si>
  <si>
    <t xml:space="preserve">  Stone, Clay, and Glass Products</t>
  </si>
  <si>
    <t>Ferroalloy Production</t>
  </si>
  <si>
    <t>Aluminum Production</t>
  </si>
  <si>
    <t xml:space="preserve">    Alumina and Aluminum Products</t>
  </si>
  <si>
    <t>Titanium Dioxide Production</t>
  </si>
  <si>
    <t xml:space="preserve">      Inorganic</t>
  </si>
  <si>
    <t>Zinc Production</t>
  </si>
  <si>
    <t xml:space="preserve">    Other Primary Metal Products</t>
  </si>
  <si>
    <t>Phosphoric Acid Production</t>
  </si>
  <si>
    <t>Lead Production</t>
  </si>
  <si>
    <t>Carbide Production and Consumption</t>
  </si>
  <si>
    <t>Multipliers for Change in Process Emissions Relative to 2022</t>
  </si>
  <si>
    <t>Time Series Process CO2 Emissions</t>
  </si>
  <si>
    <t>Source: 18</t>
  </si>
  <si>
    <t>World Development Indicators</t>
  </si>
  <si>
    <t>Last Updated Date</t>
  </si>
  <si>
    <t>Country Name</t>
  </si>
  <si>
    <t>Country Code</t>
  </si>
  <si>
    <t>Indicator Name</t>
  </si>
  <si>
    <t>Indicator Code</t>
  </si>
  <si>
    <t>EU-27 member</t>
  </si>
  <si>
    <t>Aruba</t>
  </si>
  <si>
    <t>ABW</t>
  </si>
  <si>
    <t>Arable land (hectares)</t>
  </si>
  <si>
    <t>AG.LND.ARBL.HA</t>
  </si>
  <si>
    <t>Africa Eastern and Southern</t>
  </si>
  <si>
    <t>AFE</t>
  </si>
  <si>
    <t>Afghanistan</t>
  </si>
  <si>
    <t>AFG</t>
  </si>
  <si>
    <t>Africa Western and Central</t>
  </si>
  <si>
    <t>AFW</t>
  </si>
  <si>
    <t>Angola</t>
  </si>
  <si>
    <t>AGO</t>
  </si>
  <si>
    <t>Albania</t>
  </si>
  <si>
    <t>ALB</t>
  </si>
  <si>
    <t>Andorra</t>
  </si>
  <si>
    <t>AND</t>
  </si>
  <si>
    <t>Arab World</t>
  </si>
  <si>
    <t>ARB</t>
  </si>
  <si>
    <t>United Arab Emirates</t>
  </si>
  <si>
    <t>ARE</t>
  </si>
  <si>
    <t>Argentina</t>
  </si>
  <si>
    <t>ARG</t>
  </si>
  <si>
    <t>Armenia</t>
  </si>
  <si>
    <t>ARM</t>
  </si>
  <si>
    <t>American Samoa</t>
  </si>
  <si>
    <t>ASM</t>
  </si>
  <si>
    <t>Antigua and Barbuda</t>
  </si>
  <si>
    <t>ATG</t>
  </si>
  <si>
    <t>Australia</t>
  </si>
  <si>
    <t>AUS</t>
  </si>
  <si>
    <t>Austria</t>
  </si>
  <si>
    <t>AUT</t>
  </si>
  <si>
    <t>Azerbaijan</t>
  </si>
  <si>
    <t>AZE</t>
  </si>
  <si>
    <t>Burundi</t>
  </si>
  <si>
    <t>BDI</t>
  </si>
  <si>
    <t>Belgium</t>
  </si>
  <si>
    <t>BEL</t>
  </si>
  <si>
    <t>Benin</t>
  </si>
  <si>
    <t>BEN</t>
  </si>
  <si>
    <t>Burkina Faso</t>
  </si>
  <si>
    <t>BFA</t>
  </si>
  <si>
    <t>Bangladesh</t>
  </si>
  <si>
    <t>BGD</t>
  </si>
  <si>
    <t>Bulgaria</t>
  </si>
  <si>
    <t>BGR</t>
  </si>
  <si>
    <t>Bahrain</t>
  </si>
  <si>
    <t>BHR</t>
  </si>
  <si>
    <t>Bahamas, The</t>
  </si>
  <si>
    <t>BHS</t>
  </si>
  <si>
    <t>Bosnia and Herzegovina</t>
  </si>
  <si>
    <t>BIH</t>
  </si>
  <si>
    <t>Belarus</t>
  </si>
  <si>
    <t>BLR</t>
  </si>
  <si>
    <t>Belize</t>
  </si>
  <si>
    <t>BLZ</t>
  </si>
  <si>
    <t>Bermuda</t>
  </si>
  <si>
    <t>BMU</t>
  </si>
  <si>
    <t>Bolivia</t>
  </si>
  <si>
    <t>BOL</t>
  </si>
  <si>
    <t>Brazil</t>
  </si>
  <si>
    <t>BRA</t>
  </si>
  <si>
    <t>Barbados</t>
  </si>
  <si>
    <t>BRB</t>
  </si>
  <si>
    <t>Brunei Darussalam</t>
  </si>
  <si>
    <t>BRN</t>
  </si>
  <si>
    <t>Bhutan</t>
  </si>
  <si>
    <t>BTN</t>
  </si>
  <si>
    <t>Botswana</t>
  </si>
  <si>
    <t>BWA</t>
  </si>
  <si>
    <t>Central African Republic</t>
  </si>
  <si>
    <t>CAF</t>
  </si>
  <si>
    <t>Canada</t>
  </si>
  <si>
    <t>CAN</t>
  </si>
  <si>
    <t>Central Europe and the Baltics</t>
  </si>
  <si>
    <t>CEB</t>
  </si>
  <si>
    <t>Switzerland</t>
  </si>
  <si>
    <t>CHE</t>
  </si>
  <si>
    <t>Channel Islands</t>
  </si>
  <si>
    <t>CHI</t>
  </si>
  <si>
    <t>Chile</t>
  </si>
  <si>
    <t>CHL</t>
  </si>
  <si>
    <t>CHN</t>
  </si>
  <si>
    <t>Cote d'Ivoire</t>
  </si>
  <si>
    <t>CIV</t>
  </si>
  <si>
    <t>Cameroon</t>
  </si>
  <si>
    <t>CMR</t>
  </si>
  <si>
    <t>Congo, Dem. Rep.</t>
  </si>
  <si>
    <t>COD</t>
  </si>
  <si>
    <t>Congo, Rep.</t>
  </si>
  <si>
    <t>COG</t>
  </si>
  <si>
    <t>Colombia</t>
  </si>
  <si>
    <t>COL</t>
  </si>
  <si>
    <t>Comoros</t>
  </si>
  <si>
    <t>COM</t>
  </si>
  <si>
    <t>Cabo Verde</t>
  </si>
  <si>
    <t>CPV</t>
  </si>
  <si>
    <t>Costa Rica</t>
  </si>
  <si>
    <t>CRI</t>
  </si>
  <si>
    <t>Caribbean small states</t>
  </si>
  <si>
    <t>CSS</t>
  </si>
  <si>
    <t>Cuba</t>
  </si>
  <si>
    <t>CUB</t>
  </si>
  <si>
    <t>Curacao</t>
  </si>
  <si>
    <t>CUW</t>
  </si>
  <si>
    <t>Cayman Islands</t>
  </si>
  <si>
    <t>CYM</t>
  </si>
  <si>
    <t>Cyprus</t>
  </si>
  <si>
    <t>CYP</t>
  </si>
  <si>
    <t>Czechia</t>
  </si>
  <si>
    <t>CZE</t>
  </si>
  <si>
    <t>Germany</t>
  </si>
  <si>
    <t>DEU</t>
  </si>
  <si>
    <t>Djibouti</t>
  </si>
  <si>
    <t>DJI</t>
  </si>
  <si>
    <t>Dominica</t>
  </si>
  <si>
    <t>DMA</t>
  </si>
  <si>
    <t>Denmark</t>
  </si>
  <si>
    <t>DNK</t>
  </si>
  <si>
    <t>Dominican Republic</t>
  </si>
  <si>
    <t>DOM</t>
  </si>
  <si>
    <t>Algeria</t>
  </si>
  <si>
    <t>DZA</t>
  </si>
  <si>
    <t>East Asia &amp; Pacific (excluding high income)</t>
  </si>
  <si>
    <t>EAP</t>
  </si>
  <si>
    <t>Early-demographic dividend</t>
  </si>
  <si>
    <t>EAR</t>
  </si>
  <si>
    <t>East Asia &amp; Pacific</t>
  </si>
  <si>
    <t>EAS</t>
  </si>
  <si>
    <t>Europe &amp; Central Asia (excluding high income)</t>
  </si>
  <si>
    <t>ECA</t>
  </si>
  <si>
    <t>Europe &amp; Central Asia</t>
  </si>
  <si>
    <t>ECS</t>
  </si>
  <si>
    <t>Ecuador</t>
  </si>
  <si>
    <t>ECU</t>
  </si>
  <si>
    <t>Egypt, Arab Rep.</t>
  </si>
  <si>
    <t>EGY</t>
  </si>
  <si>
    <t>Euro area</t>
  </si>
  <si>
    <t>EMU</t>
  </si>
  <si>
    <t>Eritrea</t>
  </si>
  <si>
    <t>ERI</t>
  </si>
  <si>
    <t>Spain</t>
  </si>
  <si>
    <t>ESP</t>
  </si>
  <si>
    <t>Estonia</t>
  </si>
  <si>
    <t>EST</t>
  </si>
  <si>
    <t>Ethiopia</t>
  </si>
  <si>
    <t>ETH</t>
  </si>
  <si>
    <t>European Union</t>
  </si>
  <si>
    <t>EUU</t>
  </si>
  <si>
    <t>Fragile and conflict affected situations</t>
  </si>
  <si>
    <t>FCS</t>
  </si>
  <si>
    <t>Finland</t>
  </si>
  <si>
    <t>FIN</t>
  </si>
  <si>
    <t>Fiji</t>
  </si>
  <si>
    <t>FJI</t>
  </si>
  <si>
    <t>France</t>
  </si>
  <si>
    <t>FRA</t>
  </si>
  <si>
    <t>Faroe Islands</t>
  </si>
  <si>
    <t>FRO</t>
  </si>
  <si>
    <t>Micronesia, Fed. Sts.</t>
  </si>
  <si>
    <t>FSM</t>
  </si>
  <si>
    <t>Gabon</t>
  </si>
  <si>
    <t>GAB</t>
  </si>
  <si>
    <t>United Kingdom</t>
  </si>
  <si>
    <t>GBR</t>
  </si>
  <si>
    <t>Georgia</t>
  </si>
  <si>
    <t>GEO</t>
  </si>
  <si>
    <t>Ghana</t>
  </si>
  <si>
    <t>GHA</t>
  </si>
  <si>
    <t>Gibraltar</t>
  </si>
  <si>
    <t>GIB</t>
  </si>
  <si>
    <t>Guinea</t>
  </si>
  <si>
    <t>GIN</t>
  </si>
  <si>
    <t>Gambia, The</t>
  </si>
  <si>
    <t>GMB</t>
  </si>
  <si>
    <t>Guinea-Bissau</t>
  </si>
  <si>
    <t>GNB</t>
  </si>
  <si>
    <t>Equatorial Guinea</t>
  </si>
  <si>
    <t>GNQ</t>
  </si>
  <si>
    <t>Greece</t>
  </si>
  <si>
    <t>GRC</t>
  </si>
  <si>
    <t>Grenada</t>
  </si>
  <si>
    <t>GRD</t>
  </si>
  <si>
    <t>Greenland</t>
  </si>
  <si>
    <t>GRL</t>
  </si>
  <si>
    <t>Guatemala</t>
  </si>
  <si>
    <t>GTM</t>
  </si>
  <si>
    <t>Guam</t>
  </si>
  <si>
    <t>GUM</t>
  </si>
  <si>
    <t>Guyana</t>
  </si>
  <si>
    <t>GUY</t>
  </si>
  <si>
    <t>High income</t>
  </si>
  <si>
    <t>HIC</t>
  </si>
  <si>
    <t>Hong Kong SAR, China</t>
  </si>
  <si>
    <t>HKG</t>
  </si>
  <si>
    <t>Honduras</t>
  </si>
  <si>
    <t>HND</t>
  </si>
  <si>
    <t>Heavily indebted poor countries (HIPC)</t>
  </si>
  <si>
    <t>HPC</t>
  </si>
  <si>
    <t>Croatia</t>
  </si>
  <si>
    <t>HRV</t>
  </si>
  <si>
    <t>Haiti</t>
  </si>
  <si>
    <t>HTI</t>
  </si>
  <si>
    <t>Hungary</t>
  </si>
  <si>
    <t>HUN</t>
  </si>
  <si>
    <t>IBRD only</t>
  </si>
  <si>
    <t>IBD</t>
  </si>
  <si>
    <t>IDA &amp; IBRD total</t>
  </si>
  <si>
    <t>IBT</t>
  </si>
  <si>
    <t>IDA total</t>
  </si>
  <si>
    <t>IDA</t>
  </si>
  <si>
    <t>IDA blend</t>
  </si>
  <si>
    <t>IDB</t>
  </si>
  <si>
    <t>Indonesia</t>
  </si>
  <si>
    <t>IDN</t>
  </si>
  <si>
    <t>IDA only</t>
  </si>
  <si>
    <t>IDX</t>
  </si>
  <si>
    <t>Isle of Man</t>
  </si>
  <si>
    <t>IMN</t>
  </si>
  <si>
    <t>IND</t>
  </si>
  <si>
    <t>Not classified</t>
  </si>
  <si>
    <t>INX</t>
  </si>
  <si>
    <t>Ireland</t>
  </si>
  <si>
    <t>IRL</t>
  </si>
  <si>
    <t>Iran, Islamic Rep.</t>
  </si>
  <si>
    <t>IRN</t>
  </si>
  <si>
    <t>Iraq</t>
  </si>
  <si>
    <t>IRQ</t>
  </si>
  <si>
    <t>Iceland</t>
  </si>
  <si>
    <t>ISL</t>
  </si>
  <si>
    <t>Israel</t>
  </si>
  <si>
    <t>ISR</t>
  </si>
  <si>
    <t>Italy</t>
  </si>
  <si>
    <t>ITA</t>
  </si>
  <si>
    <t>Jamaica</t>
  </si>
  <si>
    <t>JAM</t>
  </si>
  <si>
    <t>Jordan</t>
  </si>
  <si>
    <t>JOR</t>
  </si>
  <si>
    <t>Japan</t>
  </si>
  <si>
    <t>JPN</t>
  </si>
  <si>
    <t>Kazakhstan</t>
  </si>
  <si>
    <t>KAZ</t>
  </si>
  <si>
    <t>Kenya</t>
  </si>
  <si>
    <t>KEN</t>
  </si>
  <si>
    <t>Kyrgyz Republic</t>
  </si>
  <si>
    <t>KGZ</t>
  </si>
  <si>
    <t>Cambodia</t>
  </si>
  <si>
    <t>KHM</t>
  </si>
  <si>
    <t>Kiribati</t>
  </si>
  <si>
    <t>KIR</t>
  </si>
  <si>
    <t>St. Kitts and Nevis</t>
  </si>
  <si>
    <t>KNA</t>
  </si>
  <si>
    <t>Korea, Rep.</t>
  </si>
  <si>
    <t>KOR</t>
  </si>
  <si>
    <t>Kuwait</t>
  </si>
  <si>
    <t>KWT</t>
  </si>
  <si>
    <t>Latin America &amp; Caribbean (excluding high income)</t>
  </si>
  <si>
    <t>LAC</t>
  </si>
  <si>
    <t>Lao PDR</t>
  </si>
  <si>
    <t>LAO</t>
  </si>
  <si>
    <t>Lebanon</t>
  </si>
  <si>
    <t>LBN</t>
  </si>
  <si>
    <t>Liberia</t>
  </si>
  <si>
    <t>LBR</t>
  </si>
  <si>
    <t>Libya</t>
  </si>
  <si>
    <t>LBY</t>
  </si>
  <si>
    <t>St. Lucia</t>
  </si>
  <si>
    <t>LCA</t>
  </si>
  <si>
    <t>Latin America &amp; Caribbean</t>
  </si>
  <si>
    <t>LCN</t>
  </si>
  <si>
    <t>Least developed countries: UN classification</t>
  </si>
  <si>
    <t>LDC</t>
  </si>
  <si>
    <t>Low income</t>
  </si>
  <si>
    <t>LIC</t>
  </si>
  <si>
    <t>Liechtenstein</t>
  </si>
  <si>
    <t>LIE</t>
  </si>
  <si>
    <t>Sri Lanka</t>
  </si>
  <si>
    <t>LKA</t>
  </si>
  <si>
    <t>Lower middle income</t>
  </si>
  <si>
    <t>LMC</t>
  </si>
  <si>
    <t>Low &amp; middle income</t>
  </si>
  <si>
    <t>LMY</t>
  </si>
  <si>
    <t>Lesotho</t>
  </si>
  <si>
    <t>LSO</t>
  </si>
  <si>
    <t>Late-demographic dividend</t>
  </si>
  <si>
    <t>LTE</t>
  </si>
  <si>
    <t>Lithuania</t>
  </si>
  <si>
    <t>LTU</t>
  </si>
  <si>
    <t>Luxembourg</t>
  </si>
  <si>
    <t>LUX</t>
  </si>
  <si>
    <t>Latvia</t>
  </si>
  <si>
    <t>LVA</t>
  </si>
  <si>
    <t>Macao SAR, China</t>
  </si>
  <si>
    <t>MAC</t>
  </si>
  <si>
    <t>St. Martin (French part)</t>
  </si>
  <si>
    <t>MAF</t>
  </si>
  <si>
    <t>Morocco</t>
  </si>
  <si>
    <t>MAR</t>
  </si>
  <si>
    <t>Monaco</t>
  </si>
  <si>
    <t>MCO</t>
  </si>
  <si>
    <t>Moldova</t>
  </si>
  <si>
    <t>MDA</t>
  </si>
  <si>
    <t>Madagascar</t>
  </si>
  <si>
    <t>MDG</t>
  </si>
  <si>
    <t>Maldives</t>
  </si>
  <si>
    <t>MDV</t>
  </si>
  <si>
    <t>Middle East &amp; North Africa</t>
  </si>
  <si>
    <t>MEA</t>
  </si>
  <si>
    <t>Mexico</t>
  </si>
  <si>
    <t>MEX</t>
  </si>
  <si>
    <t>Marshall Islands</t>
  </si>
  <si>
    <t>MHL</t>
  </si>
  <si>
    <t>Middle income</t>
  </si>
  <si>
    <t>MIC</t>
  </si>
  <si>
    <t>North Macedonia</t>
  </si>
  <si>
    <t>MKD</t>
  </si>
  <si>
    <t>Mali</t>
  </si>
  <si>
    <t>MLI</t>
  </si>
  <si>
    <t>Malta</t>
  </si>
  <si>
    <t>MLT</t>
  </si>
  <si>
    <t>Myanmar</t>
  </si>
  <si>
    <t>MMR</t>
  </si>
  <si>
    <t>Middle East &amp; North Africa (excluding high income)</t>
  </si>
  <si>
    <t>MNA</t>
  </si>
  <si>
    <t>Montenegro</t>
  </si>
  <si>
    <t>MNE</t>
  </si>
  <si>
    <t>Mongolia</t>
  </si>
  <si>
    <t>MNG</t>
  </si>
  <si>
    <t>Northern Mariana Islands</t>
  </si>
  <si>
    <t>MNP</t>
  </si>
  <si>
    <t>Mozambique</t>
  </si>
  <si>
    <t>MOZ</t>
  </si>
  <si>
    <t>Mauritania</t>
  </si>
  <si>
    <t>MRT</t>
  </si>
  <si>
    <t>Mauritius</t>
  </si>
  <si>
    <t>MUS</t>
  </si>
  <si>
    <t>Malawi</t>
  </si>
  <si>
    <t>MWI</t>
  </si>
  <si>
    <t>Malaysia</t>
  </si>
  <si>
    <t>MYS</t>
  </si>
  <si>
    <t>North America</t>
  </si>
  <si>
    <t>NAC</t>
  </si>
  <si>
    <t>Namibia</t>
  </si>
  <si>
    <t>NAM</t>
  </si>
  <si>
    <t>New Caledonia</t>
  </si>
  <si>
    <t>NCL</t>
  </si>
  <si>
    <t>Niger</t>
  </si>
  <si>
    <t>NER</t>
  </si>
  <si>
    <t>Nigeria</t>
  </si>
  <si>
    <t>NGA</t>
  </si>
  <si>
    <t>Nicaragua</t>
  </si>
  <si>
    <t>NIC</t>
  </si>
  <si>
    <t>Netherlands</t>
  </si>
  <si>
    <t>NLD</t>
  </si>
  <si>
    <t>Norway</t>
  </si>
  <si>
    <t>NOR</t>
  </si>
  <si>
    <t>Nepal</t>
  </si>
  <si>
    <t>NPL</t>
  </si>
  <si>
    <t>Nauru</t>
  </si>
  <si>
    <t>NRU</t>
  </si>
  <si>
    <t>New Zealand</t>
  </si>
  <si>
    <t>NZL</t>
  </si>
  <si>
    <t>OECD members</t>
  </si>
  <si>
    <t>OED</t>
  </si>
  <si>
    <t>Oman</t>
  </si>
  <si>
    <t>OMN</t>
  </si>
  <si>
    <t>Other small states</t>
  </si>
  <si>
    <t>OSS</t>
  </si>
  <si>
    <t>Pakistan</t>
  </si>
  <si>
    <t>PAK</t>
  </si>
  <si>
    <t>Panama</t>
  </si>
  <si>
    <t>PAN</t>
  </si>
  <si>
    <t>Peru</t>
  </si>
  <si>
    <t>PER</t>
  </si>
  <si>
    <t>Philippines</t>
  </si>
  <si>
    <t>PHL</t>
  </si>
  <si>
    <t>Palau</t>
  </si>
  <si>
    <t>PLW</t>
  </si>
  <si>
    <t>Papua New Guinea</t>
  </si>
  <si>
    <t>PNG</t>
  </si>
  <si>
    <t>Poland</t>
  </si>
  <si>
    <t>POL</t>
  </si>
  <si>
    <t>Pre-demographic dividend</t>
  </si>
  <si>
    <t>PRE</t>
  </si>
  <si>
    <t>Puerto Rico</t>
  </si>
  <si>
    <t>PRI</t>
  </si>
  <si>
    <t>Korea, Dem. People's Rep.</t>
  </si>
  <si>
    <t>PRK</t>
  </si>
  <si>
    <t>Portugal</t>
  </si>
  <si>
    <t>PRT</t>
  </si>
  <si>
    <t>Paraguay</t>
  </si>
  <si>
    <t>PRY</t>
  </si>
  <si>
    <t>West Bank and Gaza</t>
  </si>
  <si>
    <t>PSE</t>
  </si>
  <si>
    <t>Pacific island small states</t>
  </si>
  <si>
    <t>PSS</t>
  </si>
  <si>
    <t>Post-demographic dividend</t>
  </si>
  <si>
    <t>PST</t>
  </si>
  <si>
    <t>French Polynesia</t>
  </si>
  <si>
    <t>PYF</t>
  </si>
  <si>
    <t>Qatar</t>
  </si>
  <si>
    <t>QAT</t>
  </si>
  <si>
    <t>Romania</t>
  </si>
  <si>
    <t>ROU</t>
  </si>
  <si>
    <t>Russian Federation</t>
  </si>
  <si>
    <t>RUS</t>
  </si>
  <si>
    <t>Rwanda</t>
  </si>
  <si>
    <t>RWA</t>
  </si>
  <si>
    <t>South Asia</t>
  </si>
  <si>
    <t>SAS</t>
  </si>
  <si>
    <t>Saudi Arabia</t>
  </si>
  <si>
    <t>SAU</t>
  </si>
  <si>
    <t>Sudan</t>
  </si>
  <si>
    <t>SDN</t>
  </si>
  <si>
    <t>Senegal</t>
  </si>
  <si>
    <t>SEN</t>
  </si>
  <si>
    <t>Singapore</t>
  </si>
  <si>
    <t>SGP</t>
  </si>
  <si>
    <t>Solomon Islands</t>
  </si>
  <si>
    <t>SLB</t>
  </si>
  <si>
    <t>Sierra Leone</t>
  </si>
  <si>
    <t>SLE</t>
  </si>
  <si>
    <t>El Salvador</t>
  </si>
  <si>
    <t>SLV</t>
  </si>
  <si>
    <t>San Marino</t>
  </si>
  <si>
    <t>SMR</t>
  </si>
  <si>
    <t>Somalia</t>
  </si>
  <si>
    <t>SOM</t>
  </si>
  <si>
    <t>Serbia</t>
  </si>
  <si>
    <t>SRB</t>
  </si>
  <si>
    <t>Sub-Saharan Africa (excluding high income)</t>
  </si>
  <si>
    <t>SSA</t>
  </si>
  <si>
    <t>South Sudan</t>
  </si>
  <si>
    <t>SSD</t>
  </si>
  <si>
    <t>Sub-Saharan Africa</t>
  </si>
  <si>
    <t>SSF</t>
  </si>
  <si>
    <t>Small states</t>
  </si>
  <si>
    <t>SST</t>
  </si>
  <si>
    <t>Sao Tome and Principe</t>
  </si>
  <si>
    <t>STP</t>
  </si>
  <si>
    <t>Suriname</t>
  </si>
  <si>
    <t>SUR</t>
  </si>
  <si>
    <t>Slovak Republic</t>
  </si>
  <si>
    <t>SVK</t>
  </si>
  <si>
    <t>Slovenia</t>
  </si>
  <si>
    <t>SVN</t>
  </si>
  <si>
    <t>Sweden</t>
  </si>
  <si>
    <t>SWE</t>
  </si>
  <si>
    <t>Eswatini</t>
  </si>
  <si>
    <t>SWZ</t>
  </si>
  <si>
    <t>Sint Maarten (Dutch part)</t>
  </si>
  <si>
    <t>SXM</t>
  </si>
  <si>
    <t>Seychelles</t>
  </si>
  <si>
    <t>SYC</t>
  </si>
  <si>
    <t>Syrian Arab Republic</t>
  </si>
  <si>
    <t>SYR</t>
  </si>
  <si>
    <t>Turks and Caicos Islands</t>
  </si>
  <si>
    <t>TCA</t>
  </si>
  <si>
    <t>Chad</t>
  </si>
  <si>
    <t>TCD</t>
  </si>
  <si>
    <t>East Asia &amp; Pacific (IDA &amp; IBRD countries)</t>
  </si>
  <si>
    <t>TEA</t>
  </si>
  <si>
    <t>Europe &amp; Central Asia (IDA &amp; IBRD countries)</t>
  </si>
  <si>
    <t>TEC</t>
  </si>
  <si>
    <t>Togo</t>
  </si>
  <si>
    <t>TGO</t>
  </si>
  <si>
    <t>Thailand</t>
  </si>
  <si>
    <t>THA</t>
  </si>
  <si>
    <t>Tajikistan</t>
  </si>
  <si>
    <t>TJK</t>
  </si>
  <si>
    <t>Turkmenistan</t>
  </si>
  <si>
    <t>TKM</t>
  </si>
  <si>
    <t>Latin America &amp; the Caribbean (IDA &amp; IBRD countries)</t>
  </si>
  <si>
    <t>TLA</t>
  </si>
  <si>
    <t>Timor-Leste</t>
  </si>
  <si>
    <t>TLS</t>
  </si>
  <si>
    <t>Middle East &amp; North Africa (IDA &amp; IBRD countries)</t>
  </si>
  <si>
    <t>TMN</t>
  </si>
  <si>
    <t>Tonga</t>
  </si>
  <si>
    <t>TON</t>
  </si>
  <si>
    <t>South Asia (IDA &amp; IBRD)</t>
  </si>
  <si>
    <t>TSA</t>
  </si>
  <si>
    <t>Sub-Saharan Africa (IDA &amp; IBRD countries)</t>
  </si>
  <si>
    <t>TSS</t>
  </si>
  <si>
    <t>Trinidad and Tobago</t>
  </si>
  <si>
    <t>TTO</t>
  </si>
  <si>
    <t>Tunisia</t>
  </si>
  <si>
    <t>TUN</t>
  </si>
  <si>
    <t>Turkiye</t>
  </si>
  <si>
    <t>TUR</t>
  </si>
  <si>
    <t>Tuvalu</t>
  </si>
  <si>
    <t>TUV</t>
  </si>
  <si>
    <t>Tanzania</t>
  </si>
  <si>
    <t>TZA</t>
  </si>
  <si>
    <t>Uganda</t>
  </si>
  <si>
    <t>UGA</t>
  </si>
  <si>
    <t>Ukraine</t>
  </si>
  <si>
    <t>UKR</t>
  </si>
  <si>
    <t>Upper middle income</t>
  </si>
  <si>
    <t>UMC</t>
  </si>
  <si>
    <t>Uruguay</t>
  </si>
  <si>
    <t>URY</t>
  </si>
  <si>
    <t>USA</t>
  </si>
  <si>
    <t>Uzbekistan</t>
  </si>
  <si>
    <t>UZB</t>
  </si>
  <si>
    <t>St. Vincent and the Grenadines</t>
  </si>
  <si>
    <t>VCT</t>
  </si>
  <si>
    <t>Venezuela, RB</t>
  </si>
  <si>
    <t>VEN</t>
  </si>
  <si>
    <t>British Virgin Islands</t>
  </si>
  <si>
    <t>VGB</t>
  </si>
  <si>
    <t>Virgin Islands (U.S.)</t>
  </si>
  <si>
    <t>VIR</t>
  </si>
  <si>
    <t>Vietnam</t>
  </si>
  <si>
    <t>VNM</t>
  </si>
  <si>
    <t>Vanuatu</t>
  </si>
  <si>
    <t>VUT</t>
  </si>
  <si>
    <t>WLD</t>
  </si>
  <si>
    <t>Samoa</t>
  </si>
  <si>
    <t>WSM</t>
  </si>
  <si>
    <t>Kosovo</t>
  </si>
  <si>
    <t>XKX</t>
  </si>
  <si>
    <t>Yemen, Rep.</t>
  </si>
  <si>
    <t>YEM</t>
  </si>
  <si>
    <t>South Africa</t>
  </si>
  <si>
    <t>ZAF</t>
  </si>
  <si>
    <t>Zambia</t>
  </si>
  <si>
    <t>ZMB</t>
  </si>
  <si>
    <t>Zimbabwe</t>
  </si>
  <si>
    <t>ZWE</t>
  </si>
  <si>
    <t>AEO Table</t>
  </si>
  <si>
    <t>Refining</t>
  </si>
  <si>
    <t>Includes petroleum refineries and ethanol plants.</t>
  </si>
  <si>
    <t>Paper</t>
  </si>
  <si>
    <t>Cement and Lime</t>
  </si>
  <si>
    <t>Metal-Based Durables</t>
  </si>
  <si>
    <t>Wood Products</t>
  </si>
  <si>
    <t>Hydrocarbon Gas Liquids</t>
  </si>
  <si>
    <t>Includes ethane, propane, butanes, natural gasoline, and refinery olefins.</t>
  </si>
  <si>
    <t>Cross-Check</t>
  </si>
  <si>
    <t>All Industry Sector</t>
  </si>
  <si>
    <t>from above</t>
  </si>
  <si>
    <t>quads</t>
  </si>
  <si>
    <t>There is a less than half-percent difference between the fossil fuel total I calculated from the industry-specific tables and the AEO total industry table.</t>
  </si>
  <si>
    <t>The difference is too small to matter.</t>
  </si>
  <si>
    <t>Non-Industrial Sectors</t>
  </si>
  <si>
    <t>ref2023.d020623a</t>
  </si>
  <si>
    <t>Report</t>
  </si>
  <si>
    <t>Scenario</t>
  </si>
  <si>
    <t>ref2023</t>
  </si>
  <si>
    <t>Datekey</t>
  </si>
  <si>
    <t>d020623a</t>
  </si>
  <si>
    <t>Release Date</t>
  </si>
  <si>
    <t xml:space="preserve"> March 2023</t>
  </si>
  <si>
    <t>QUA000</t>
  </si>
  <si>
    <t>2. Energy Consumption by Sector and Source</t>
  </si>
  <si>
    <t>Average</t>
  </si>
  <si>
    <t>(quadrillion Btu, unless otherwise noted)</t>
  </si>
  <si>
    <t>Annual</t>
  </si>
  <si>
    <t>Change</t>
  </si>
  <si>
    <t xml:space="preserve"> Sector and Source</t>
  </si>
  <si>
    <t>2022–2050</t>
  </si>
  <si>
    <t xml:space="preserve"> Residential</t>
  </si>
  <si>
    <t>QUA000:ca_LiquefiedPetr</t>
  </si>
  <si>
    <t xml:space="preserve">   Propane</t>
  </si>
  <si>
    <t>QUA000:ca_DistillateFue</t>
  </si>
  <si>
    <t xml:space="preserve">   Distillate Fuel Oil 1/</t>
  </si>
  <si>
    <t>QUA000:ca_PetroleumSubt</t>
  </si>
  <si>
    <t xml:space="preserve">     Petroleum and Other Liquids Subtotal</t>
  </si>
  <si>
    <t>QUA000:ca_NaturalGas</t>
  </si>
  <si>
    <t xml:space="preserve">   Natural Gas</t>
  </si>
  <si>
    <t>QUA000:ca_RenewableEner</t>
  </si>
  <si>
    <t xml:space="preserve">   Renewable Energy 2/</t>
  </si>
  <si>
    <t>QUA000:ca_Electricity</t>
  </si>
  <si>
    <t xml:space="preserve">   Purchased Electricity</t>
  </si>
  <si>
    <t>QUA000:ca_DeliveredEner</t>
  </si>
  <si>
    <t xml:space="preserve">     Delivered Energy</t>
  </si>
  <si>
    <t>QUA000:ca_ElectricityRe</t>
  </si>
  <si>
    <t xml:space="preserve">   Electricity Related Losses</t>
  </si>
  <si>
    <t>QUA000:ca_Total</t>
  </si>
  <si>
    <t xml:space="preserve">     Total</t>
  </si>
  <si>
    <t xml:space="preserve"> Commercial</t>
  </si>
  <si>
    <t>QUA000:da_LiquefiedPetr</t>
  </si>
  <si>
    <t>QUA000:da_MotorGasoline</t>
  </si>
  <si>
    <t xml:space="preserve">   Motor Gasoline 3/</t>
  </si>
  <si>
    <t>QUA000:da_Kerosene</t>
  </si>
  <si>
    <t xml:space="preserve">   Kerosene</t>
  </si>
  <si>
    <t>QUA000:da_DistillateFue</t>
  </si>
  <si>
    <t xml:space="preserve">   Distillate Fuel Oil</t>
  </si>
  <si>
    <t>QUA000:da_ResidualFuel</t>
  </si>
  <si>
    <t xml:space="preserve">   Residual Fuel Oil</t>
  </si>
  <si>
    <t>QUA000:da_PetroleumSubt</t>
  </si>
  <si>
    <t>QUA000:da_NaturalGas</t>
  </si>
  <si>
    <t>QUA000:da_Coal</t>
  </si>
  <si>
    <t xml:space="preserve">   Coal</t>
  </si>
  <si>
    <t>QUA000:da_RenewableEner</t>
  </si>
  <si>
    <t xml:space="preserve">   Renewable Energy 4/</t>
  </si>
  <si>
    <t>QUA000:da_Electricity</t>
  </si>
  <si>
    <t>QUA000:da_DeliveredEner</t>
  </si>
  <si>
    <t>QUA000:da_ElectricityRe</t>
  </si>
  <si>
    <t>QUA000:da_Total</t>
  </si>
  <si>
    <t xml:space="preserve"> Industrial 5/</t>
  </si>
  <si>
    <t>QUA000:ea_LiquefiedPetr</t>
  </si>
  <si>
    <t xml:space="preserve">   Hydrocarbon Gas Liquids 6/</t>
  </si>
  <si>
    <t>QUA000:ea_MotorGasoline</t>
  </si>
  <si>
    <t>QUA000:ea_DistillateFue</t>
  </si>
  <si>
    <t>QUA000:ea_ResidualFuel</t>
  </si>
  <si>
    <t>QUA000:ea_Petrochemical</t>
  </si>
  <si>
    <t xml:space="preserve">   Petrochemical Feedstocks</t>
  </si>
  <si>
    <t>QUA000:ea_OtherPetroleu</t>
  </si>
  <si>
    <t xml:space="preserve">   Other Petroleum 7/</t>
  </si>
  <si>
    <t>QUA000:ea_PetroleumSubt</t>
  </si>
  <si>
    <t>QUA000:ea_NaturalGas</t>
  </si>
  <si>
    <t>QUA000:ea_NGastoLiquids</t>
  </si>
  <si>
    <t xml:space="preserve">   Natural-Gas-to-Liquids Heat and Power</t>
  </si>
  <si>
    <t>QUA000:ea_LeaseandPlant</t>
  </si>
  <si>
    <t xml:space="preserve">   Lease and Plant Fuel 8/</t>
  </si>
  <si>
    <t>QUA000:ea_NaturalGasSub</t>
  </si>
  <si>
    <t xml:space="preserve">     Natural Gas Subtotal</t>
  </si>
  <si>
    <t>QUA000:ea_Metallurgical</t>
  </si>
  <si>
    <t xml:space="preserve">   Metallurgical Coal</t>
  </si>
  <si>
    <t>QUA000:ea_SteamCoal</t>
  </si>
  <si>
    <t xml:space="preserve">   Other Industrial Coal</t>
  </si>
  <si>
    <t>QUA000:ea_CoaltoLiquids</t>
  </si>
  <si>
    <t xml:space="preserve">   Coal-to-Liquids Heat and Power</t>
  </si>
  <si>
    <t>QUA000:ea_NetCoalCokeIm</t>
  </si>
  <si>
    <t xml:space="preserve">   Net Coal Coke Imports</t>
  </si>
  <si>
    <t>QUA000:ea_CoalSubtotal</t>
  </si>
  <si>
    <t xml:space="preserve">     Coal Subtotal</t>
  </si>
  <si>
    <t>QUA000:ea_BiofuelsHeat</t>
  </si>
  <si>
    <t xml:space="preserve">   Biofuels Heat and Coproducts</t>
  </si>
  <si>
    <t>QUA000:ea_RenewableEner</t>
  </si>
  <si>
    <t xml:space="preserve">   Renewable Energy 10/</t>
  </si>
  <si>
    <t>QUA000:ea_Electricity</t>
  </si>
  <si>
    <t>QUA000:ea_DeliveredEner</t>
  </si>
  <si>
    <t>QUA000:ea_ElectricityRe</t>
  </si>
  <si>
    <t>QUA000:ea_Total</t>
  </si>
  <si>
    <t xml:space="preserve"> Transportation</t>
  </si>
  <si>
    <t>QUA000:fa_LiquefiedPetr</t>
  </si>
  <si>
    <t>QUA000:fa_MotorGasoline</t>
  </si>
  <si>
    <t>QUA000:fa_RenewableEner</t>
  </si>
  <si>
    <t xml:space="preserve">      of which:  E85 11/</t>
  </si>
  <si>
    <t>QUA000:fa_JetFuel</t>
  </si>
  <si>
    <t xml:space="preserve">   Jet Fuel 12/</t>
  </si>
  <si>
    <t>QUA000:fa_DistillateFue</t>
  </si>
  <si>
    <t xml:space="preserve">   Distillate Fuel Oil 13/</t>
  </si>
  <si>
    <t>QUA000:fa_ResidualFuel</t>
  </si>
  <si>
    <t>QUA000:fa_OtherPetroleu</t>
  </si>
  <si>
    <t xml:space="preserve">   Other Petroleum 14/</t>
  </si>
  <si>
    <t>QUA000:fa_PetroleumSubt</t>
  </si>
  <si>
    <t>QUA000:fa_PipelineFuelN</t>
  </si>
  <si>
    <t xml:space="preserve">   Pipeline and Distribution Fuel Natural Gas</t>
  </si>
  <si>
    <t>QUA000:ea_liquefactexp</t>
  </si>
  <si>
    <t xml:space="preserve">   Natural Gas to Liquefy Gas for Export 9/</t>
  </si>
  <si>
    <t>QUA000:fa_CompressedNat</t>
  </si>
  <si>
    <t xml:space="preserve">   Compressed / Liquefied Natural Gas</t>
  </si>
  <si>
    <t>QUA000:fa_LiquidHydroge</t>
  </si>
  <si>
    <t xml:space="preserve">   Hydrogen</t>
  </si>
  <si>
    <t>QUA000:fa_Electricity</t>
  </si>
  <si>
    <t>QUA000:fa_DeliveredEner</t>
  </si>
  <si>
    <t>QUA000:fa_ElectricityRe</t>
  </si>
  <si>
    <t>QUA000:fa_Total</t>
  </si>
  <si>
    <t xml:space="preserve"> Unspecified Sector 15/</t>
  </si>
  <si>
    <t>QUA000:un_Total</t>
  </si>
  <si>
    <t xml:space="preserve"> Delivered Energy Consumption, All Sectors</t>
  </si>
  <si>
    <t>QUA000:ga_LiquefiedPetr</t>
  </si>
  <si>
    <t xml:space="preserve">   Liquefied Petroleum Gases and Other 6/</t>
  </si>
  <si>
    <t>QUA000:ga_MotorGasoline</t>
  </si>
  <si>
    <t>QUA000:ga_E85</t>
  </si>
  <si>
    <t>QUA000:ga_JetFuel</t>
  </si>
  <si>
    <t>QUA000:ga_Kerosene</t>
  </si>
  <si>
    <t xml:space="preserve">   Kerosene 16/</t>
  </si>
  <si>
    <t>QUA000:ga_DistillateFue</t>
  </si>
  <si>
    <t>QUA000:ga_ResidualFuel</t>
  </si>
  <si>
    <t>QUA000:ga_Petrochemical</t>
  </si>
  <si>
    <t>QUA000:ga_OtherPetroleu</t>
  </si>
  <si>
    <t xml:space="preserve">   Other Petroleum 17/</t>
  </si>
  <si>
    <t>QUA000:ga_PetroleumSubt</t>
  </si>
  <si>
    <t>QUA000:ga_NaturalGas</t>
  </si>
  <si>
    <t>QUA000:ga_NGastoLiquids</t>
  </si>
  <si>
    <t>QUA000:ga_LeaseandPlant</t>
  </si>
  <si>
    <t>QUA000:qa_liquefactexp</t>
  </si>
  <si>
    <t>QUA000:ga_PipelineNatur</t>
  </si>
  <si>
    <t>QUA000:ga_NaturalGasSub</t>
  </si>
  <si>
    <t>QUA000:ga_Metallurgical</t>
  </si>
  <si>
    <t>QUA000:ga_SteamCoal</t>
  </si>
  <si>
    <t xml:space="preserve">   Other Coal</t>
  </si>
  <si>
    <t>QUA000:ga_CoaltoLiquids</t>
  </si>
  <si>
    <t>QUA000:ga_NetCoalCokeIm</t>
  </si>
  <si>
    <t>QUA000:ga_CoalSubtotal</t>
  </si>
  <si>
    <t>QUA000:ga_BiofuelsHeat</t>
  </si>
  <si>
    <t>QUA000:ga_RenewableEner</t>
  </si>
  <si>
    <t xml:space="preserve">   Renewable Energy 18/</t>
  </si>
  <si>
    <t>QUA000:ga_LiquidHydroge</t>
  </si>
  <si>
    <t>QUA000:ga_Electricity</t>
  </si>
  <si>
    <t>QUA000:ga_DeliveredEner</t>
  </si>
  <si>
    <t>QUA000:ga_ElectricityRe</t>
  </si>
  <si>
    <t>QUA000:ga_Total</t>
  </si>
  <si>
    <t xml:space="preserve"> Electric Power 19/</t>
  </si>
  <si>
    <t>QUA000:ha_DistillateFue</t>
  </si>
  <si>
    <t>QUA000:ha_ResidualFuel</t>
  </si>
  <si>
    <t>QUA000:ha_PetroleumSubt</t>
  </si>
  <si>
    <t>QUA000:ha_NaturalGas</t>
  </si>
  <si>
    <t>QUA000:ha_SteamCoal</t>
  </si>
  <si>
    <t xml:space="preserve">   Steam Coal</t>
  </si>
  <si>
    <t>QUA000:ha_NuclearPower</t>
  </si>
  <si>
    <t xml:space="preserve">   Nuclear / Uranium 20/</t>
  </si>
  <si>
    <t>QUA000:ha_RenewableEner</t>
  </si>
  <si>
    <t xml:space="preserve">   Renewable Energy 21/</t>
  </si>
  <si>
    <t>QUA000:ha_non-bio_mun</t>
  </si>
  <si>
    <t xml:space="preserve">   Non-biogenic Municipal Waste</t>
  </si>
  <si>
    <t>QUA000:ha_ElectricityIm</t>
  </si>
  <si>
    <t xml:space="preserve">   Electricity Imports</t>
  </si>
  <si>
    <t>QUA000:ha_Total</t>
  </si>
  <si>
    <t xml:space="preserve"> Total Energy Consumption</t>
  </si>
  <si>
    <t>QUA000:ia_LiquefiedPetr</t>
  </si>
  <si>
    <t>QUA000:ia_MotorGasoline</t>
  </si>
  <si>
    <t>QUA000:ia_E85</t>
  </si>
  <si>
    <t>QUA000:ia_JetFuel</t>
  </si>
  <si>
    <t>QUA000:ia_Kerosene</t>
  </si>
  <si>
    <t>QUA000:ia_DistillateFue</t>
  </si>
  <si>
    <t>QUA000:ia_ResidualFuel</t>
  </si>
  <si>
    <t>QUA000:ia_Petrochemical</t>
  </si>
  <si>
    <t>QUA000:ia_OtherPetroleu</t>
  </si>
  <si>
    <t>QUA000:ia_PetroleumSubt</t>
  </si>
  <si>
    <t>QUA000:ia_NaturalGas</t>
  </si>
  <si>
    <t>QUA000:ia_NGastoLiquids</t>
  </si>
  <si>
    <t>QUA000:ia_LeaseandPlant</t>
  </si>
  <si>
    <t>QUA000:ia_liquefactexp</t>
  </si>
  <si>
    <t>QUA000:ia_PipelineNatur</t>
  </si>
  <si>
    <t>QUA000:ia_NaturalGasSub</t>
  </si>
  <si>
    <t>QUA000:ia_Metallurgical</t>
  </si>
  <si>
    <t>QUA000:ia_SteamCoal</t>
  </si>
  <si>
    <t>QUA000:ia_CoaltoLiquids</t>
  </si>
  <si>
    <t>QUA000:ia_NetCoalCokeIm</t>
  </si>
  <si>
    <t>QUA000:ia_CoalSubtotal</t>
  </si>
  <si>
    <t>QUA000:ia_NuclearPower</t>
  </si>
  <si>
    <t>QUA000:ia_BiofuelsHeat</t>
  </si>
  <si>
    <t>QUA000:ia_RenewableEner</t>
  </si>
  <si>
    <t xml:space="preserve">   Renewable Energy 22/</t>
  </si>
  <si>
    <t>QUA000:ia_LiquidHydroge</t>
  </si>
  <si>
    <t>QUA000:ia_non-bio_mun</t>
  </si>
  <si>
    <t>QUA000:ia_ElectricityIm</t>
  </si>
  <si>
    <t>QUA000:ia_Total</t>
  </si>
  <si>
    <t>Energy Use &amp; Related Statistics</t>
  </si>
  <si>
    <t>QUA000:ka_DeliveredEner</t>
  </si>
  <si>
    <t xml:space="preserve">  Delivered Energy Use</t>
  </si>
  <si>
    <t>QUA000:ka_TotalEnergyUs</t>
  </si>
  <si>
    <t xml:space="preserve">  Total Energy Use</t>
  </si>
  <si>
    <t>QUA000:ka_TotalEthanol</t>
  </si>
  <si>
    <t xml:space="preserve">  ethanol (denatured) Consumed in Motor Gasolin</t>
  </si>
  <si>
    <t>QUA000:ka_Population(mi</t>
  </si>
  <si>
    <t xml:space="preserve">  Population (millions)</t>
  </si>
  <si>
    <t>QUA000:ka_USGDP(billion</t>
  </si>
  <si>
    <t xml:space="preserve">  Gross Domestic Product (billion 2012 dollars)</t>
  </si>
  <si>
    <t xml:space="preserve">  Carbon Dioxide Emissions (million metric</t>
  </si>
  <si>
    <t>QUA000:ka_tonscarbon_dd</t>
  </si>
  <si>
    <t xml:space="preserve">   tons carbon dioxide)</t>
  </si>
  <si>
    <t>1/ Includes residential use of kerosene.</t>
  </si>
  <si>
    <t>2/ Includes wood used for residential heating. See Table 4 and Table 17 for estimates of nonmarketed renewable energy consumption for</t>
  </si>
  <si>
    <t>geothermal heat pumps, solar thermal water heating, and electricity generation from wind and solar photovoltaic sources.</t>
  </si>
  <si>
    <t>3/ Includes ethanol and ethers blended into gasoline.</t>
  </si>
  <si>
    <t>4/ Excludes ethanol.  Includes commercial sector consumption of wood and wood waste, landfill gas, municipal waste, and other biomass for</t>
  </si>
  <si>
    <t>combined heat and power. See Table 5 and Table 17 for estimates of nonmarketed renewable energy consumption for solar thermal water</t>
  </si>
  <si>
    <t>heating and electricity generation from wind and solar photovoltaic sources.</t>
  </si>
  <si>
    <t>5/ Includes energy for combined-heat-and-power plants that have a non-regulatory status and small on-site generating systems.</t>
  </si>
  <si>
    <t>6/ Includes ethane, propane, normal butane, isobutane, natural gasoline, and refinery olefins.</t>
  </si>
  <si>
    <t>7/ Includes petroleum coke, asphalt, road oil, lubricants, still gas, and miscellaneous petroleum products.</t>
  </si>
  <si>
    <t>8/ Represents natural gas used in well, field, and lease operations and in natural gas processing plant machinery.</t>
  </si>
  <si>
    <t>9/ Fuel used in facilities that liquefy natural gas for export.</t>
  </si>
  <si>
    <t>10/ Includes consumption of energy produced from conventional hydroelectric, wood and wood waste, municipal waste, and other biomass sources.</t>
  </si>
  <si>
    <t>Excludes ethanol in motor gasoline.</t>
  </si>
  <si>
    <t>11/ E85 refers to a high-level ethanol-gasoline blend containing 51% to 83% ethanol, depending on geography and season. To address cold</t>
  </si>
  <si>
    <t>starting issues, the percentage of ethanol varies seasonally. The annual average ethanol content of 74% is used for these projections</t>
  </si>
  <si>
    <t>12/ Includes only kerosene type.</t>
  </si>
  <si>
    <t>13/ Diesel fuel for on-road, rail, marine, and military.</t>
  </si>
  <si>
    <t>14/ Includes aviation gasoline and lubricants.</t>
  </si>
  <si>
    <t>15/ Represents consumption unattributed to the sectors above.</t>
  </si>
  <si>
    <t>16/ Does not include residential use of kerosene.</t>
  </si>
  <si>
    <t>17/ Includes aviation gasoline, petroleum coke, asphalt, road oil, lubricants, still gas, and miscellaneous petroleum products.</t>
  </si>
  <si>
    <t>18/ Includes electricity generated for sale to the grid and for own use from renewable sources, and non-electric energy from renewable sources.</t>
  </si>
  <si>
    <t>Excludes ethanol and nonmarketed renewable energy consumption for geothermal heat pumps, buildings photovoltaic systems, and solar thermal water</t>
  </si>
  <si>
    <t>heaters.</t>
  </si>
  <si>
    <t>19/ Includes consumption of energy by electricity-only and combined-heat-and-power plants that have a regulatory status.</t>
  </si>
  <si>
    <t>20/ These values represent the energy obtained from uranium when it is used in light water reactors.  The total energy content of uranium</t>
  </si>
  <si>
    <t>is much larger, but alternative processes are required to take advantage of it.</t>
  </si>
  <si>
    <t>21/ Includes conventional hydroelectric, geothermal, wood and wood waste, biogenic municipal waste, other biomass, wind, photovoltaic, and</t>
  </si>
  <si>
    <t>solar thermal sources.  Excludes net electricity imports.</t>
  </si>
  <si>
    <t>22/ Includes conventional hydroelectric, geothermal, wood and wood waste, biogenic municipal waste, other biomass, wind, photovoltaic, and</t>
  </si>
  <si>
    <t>solar thermal sources.  Excludes ethanol, net electricity imports, and nonmarketed renewable energy consumption for geothermal heat pumps,</t>
  </si>
  <si>
    <t>buildings photovoltaic systems, and solar thermal water heaters.</t>
  </si>
  <si>
    <t>Btu = British thermal unit.</t>
  </si>
  <si>
    <t>- - = Not applicable.</t>
  </si>
  <si>
    <t>Note:  Includes estimated consumption for petroleum and other liquids.  Totals may not equal sum of components due to independent rounding.</t>
  </si>
  <si>
    <t>Data source: 2022:  U.S. Energy Information Administration (EIA), Short-Term Energy Outlook, November 2022 and EIA, AEO2023</t>
  </si>
  <si>
    <t>National Energy Modeling System run ref2023.d020623a.  Projections:  EIA, AEO2023 National Energy Modeling System run ref2023.d020623a.</t>
  </si>
  <si>
    <t>IKI000</t>
  </si>
  <si>
    <t>6. Industrial Sector Key Indicators and Consumption</t>
  </si>
  <si>
    <t xml:space="preserve"> Shipments, Prices, and Consumption</t>
  </si>
  <si>
    <t>Value of Shipments</t>
  </si>
  <si>
    <t>(billion 2012 dollars)</t>
  </si>
  <si>
    <t>IKI000:ba_Manufacturing</t>
  </si>
  <si>
    <t xml:space="preserve">   Manufacturing</t>
  </si>
  <si>
    <t>IKI000:ba_Nonmanufactur</t>
  </si>
  <si>
    <t xml:space="preserve">   Agriculture, Mining, and Construction</t>
  </si>
  <si>
    <t>IKI000:ba_Total</t>
  </si>
  <si>
    <t>Energy Prices</t>
  </si>
  <si>
    <t xml:space="preserve">  (2022 dollars per million Btu)</t>
  </si>
  <si>
    <t>IKI000:ca_LiquefiedPetr</t>
  </si>
  <si>
    <t>IKI000:ca_MotorGasoline</t>
  </si>
  <si>
    <t xml:space="preserve">   Motor Gasoline</t>
  </si>
  <si>
    <t>IKI000:ca_DistillateOil</t>
  </si>
  <si>
    <t>IKI000:ca_ResidualOil</t>
  </si>
  <si>
    <t>IKI000:ca_Asphalt</t>
  </si>
  <si>
    <t xml:space="preserve">   Asphalt and Road Oil</t>
  </si>
  <si>
    <t>IKI000:ca_NaturalGasHP</t>
  </si>
  <si>
    <t xml:space="preserve">   Natural Gas Heat and Power</t>
  </si>
  <si>
    <t>IKI000:ca_NaturalGasFd</t>
  </si>
  <si>
    <t xml:space="preserve">   Natural Gas Feedstocks</t>
  </si>
  <si>
    <t>IKI000:ca_Metallurgical</t>
  </si>
  <si>
    <t>IKI000:ca_SteamCoal</t>
  </si>
  <si>
    <t>IKI000:ca_CoaltoLiquids</t>
  </si>
  <si>
    <t xml:space="preserve">   Coal to Liquids</t>
  </si>
  <si>
    <t>IKI000:ca_Electricity</t>
  </si>
  <si>
    <t xml:space="preserve">  (nominal dollars per million Btu)</t>
  </si>
  <si>
    <t>IKI000:nom_LiquefiedPet</t>
  </si>
  <si>
    <t>IKI000:nom_MotorGasolin</t>
  </si>
  <si>
    <t>IKI000:nom_DistillateOi</t>
  </si>
  <si>
    <t>IKI000:nom_ResidualOil</t>
  </si>
  <si>
    <t>IKI000:nom_Asphalt</t>
  </si>
  <si>
    <t>IKI000:nom_NaturalGasHP</t>
  </si>
  <si>
    <t>IKI000:nom_NaturalGasFd</t>
  </si>
  <si>
    <t>IKI000:nom_Metallurgica</t>
  </si>
  <si>
    <t>IKI000:nom_SteamCoal</t>
  </si>
  <si>
    <t>IKI000:nom_CoaltoLiquid</t>
  </si>
  <si>
    <t>IKI000:nom_Electricity</t>
  </si>
  <si>
    <t>Energy Consumption 1/ (quadrillion Btu)</t>
  </si>
  <si>
    <t xml:space="preserve"> Industrial Consumption Excluding Refining</t>
  </si>
  <si>
    <t>IKI000:ia_LiqPetGasHeat</t>
  </si>
  <si>
    <t xml:space="preserve">   Propane Heat and Power</t>
  </si>
  <si>
    <t>IKI000:ia_LiqPetGasFeed</t>
  </si>
  <si>
    <t xml:space="preserve">   Hydrocarbon Gas Liquid Feedstocks 2/</t>
  </si>
  <si>
    <t>IKI000:ia_Ethane</t>
  </si>
  <si>
    <t xml:space="preserve">      Ethane</t>
  </si>
  <si>
    <t>IKI000:ia_Propane</t>
  </si>
  <si>
    <t xml:space="preserve">      Propane</t>
  </si>
  <si>
    <t>IKI000:ia_Propylene</t>
  </si>
  <si>
    <t xml:space="preserve">      Propylene</t>
  </si>
  <si>
    <t>IKI000:ia_Butane</t>
  </si>
  <si>
    <t xml:space="preserve">      Butane 3/</t>
  </si>
  <si>
    <t>IKI000:ia_NaturalGas</t>
  </si>
  <si>
    <t xml:space="preserve">      Natural Gasoline</t>
  </si>
  <si>
    <t>IKI000:ia_MotorGasoline</t>
  </si>
  <si>
    <t>IKI000:ia_Distillate</t>
  </si>
  <si>
    <t>IKI000:ia_ResidualFuel</t>
  </si>
  <si>
    <t>IKI000:ia_Petrochemical</t>
  </si>
  <si>
    <t>IKI000:ia_PetroleumCoke</t>
  </si>
  <si>
    <t xml:space="preserve">   Petroleum Coke</t>
  </si>
  <si>
    <t>IKI000:ia_Asphalt</t>
  </si>
  <si>
    <t>IKI000:ia_Miscellaneous</t>
  </si>
  <si>
    <t xml:space="preserve">   Miscellaneous Petroleum 4/</t>
  </si>
  <si>
    <t>IKI000:ia_PetroleumSubt</t>
  </si>
  <si>
    <t>IKI000:ia_NatralGasHeat</t>
  </si>
  <si>
    <t>IKI000:ia_NatralGasFeed</t>
  </si>
  <si>
    <t>IKI000:ia_LeaseandPlant</t>
  </si>
  <si>
    <t xml:space="preserve">   Lease and Plant Fuel 5/</t>
  </si>
  <si>
    <t>IKI000:ia_NaturalGasSub</t>
  </si>
  <si>
    <t>IKI000:ia_Metallurgical</t>
  </si>
  <si>
    <t xml:space="preserve">   Metallurgical Coal and Coke 7/</t>
  </si>
  <si>
    <t>IKI000:ia_SteamCoal</t>
  </si>
  <si>
    <t>IKI000:ia_CoalSubtotal</t>
  </si>
  <si>
    <t>IKI000:ia_Renewables</t>
  </si>
  <si>
    <t xml:space="preserve">   Renewables 8/</t>
  </si>
  <si>
    <t>IKI000:ia_PurchasedElec</t>
  </si>
  <si>
    <t>IKI000:ia_DeliveredEner</t>
  </si>
  <si>
    <t>IKI000:ia_ElectricityRe</t>
  </si>
  <si>
    <t>IKI000:ia_Total</t>
  </si>
  <si>
    <t xml:space="preserve"> Refining Consumption</t>
  </si>
  <si>
    <t>IKI000:ka_LiqPetGasHeat</t>
  </si>
  <si>
    <t xml:space="preserve">   Liquefied Petroleum Gas Heat and Power 2/</t>
  </si>
  <si>
    <t>IKI000:ka_Distillate</t>
  </si>
  <si>
    <t>IKI000:ka_ResidualFuel</t>
  </si>
  <si>
    <t>IKI000:ka_PetroleumCoke</t>
  </si>
  <si>
    <t>IKI000:ka_StillGasAll</t>
  </si>
  <si>
    <t xml:space="preserve">   Still Gas</t>
  </si>
  <si>
    <t>IKI000:ka_Miscellaneous</t>
  </si>
  <si>
    <t>IKI000:ka_PetroleumSubt</t>
  </si>
  <si>
    <t>IKI000:ka_NatralGasHeat</t>
  </si>
  <si>
    <t>IKI000:ka_NaturalFeedst</t>
  </si>
  <si>
    <t>IKI000:ka_NatGas2LiqH&amp;P</t>
  </si>
  <si>
    <t>IKI000:ka_NaturalGasSub</t>
  </si>
  <si>
    <t>IKI000:ka_SteamCoal</t>
  </si>
  <si>
    <t>IKI000:ka_CoaltoLiquids</t>
  </si>
  <si>
    <t>IKI000:ka_CoalSubtotal</t>
  </si>
  <si>
    <t>IKI000:ka_BiofuelHeatCo</t>
  </si>
  <si>
    <t>IKI000:ka_PurchasedElec</t>
  </si>
  <si>
    <t>IKI000:ka_DeliveredEner</t>
  </si>
  <si>
    <t>IKI000:ka_ElectricityRe</t>
  </si>
  <si>
    <t>IKI000:ka_Total</t>
  </si>
  <si>
    <t xml:space="preserve"> Total Industrial Sector Consumption</t>
  </si>
  <si>
    <t>IKI000:da_LiqPetGasHeat</t>
  </si>
  <si>
    <t>IKI000:da_LiqPetGasFeed</t>
  </si>
  <si>
    <t>IKI000:da_MotorGasoline</t>
  </si>
  <si>
    <t>IKI000:da_Distillate</t>
  </si>
  <si>
    <t>IKI000:da_ResidualFuel</t>
  </si>
  <si>
    <t>IKI000:da_Petrochemical</t>
  </si>
  <si>
    <t>IKI000:da_PetroleumCoke</t>
  </si>
  <si>
    <t>IKI000:da_Asphalt</t>
  </si>
  <si>
    <t>IKI000:da_StillGas</t>
  </si>
  <si>
    <t>IKI000:da_Miscellaneous</t>
  </si>
  <si>
    <t>IKI000:da_PetroleumSubt</t>
  </si>
  <si>
    <t>IKI000:da_NatralGasHeat</t>
  </si>
  <si>
    <t>IKI000:da_NatralGasFeed</t>
  </si>
  <si>
    <t>IKI000:da_NatGas2LiqH&amp;P</t>
  </si>
  <si>
    <t>IKI000:da_LeaseandPlant</t>
  </si>
  <si>
    <t>IKI000:da_NaturalGasSub</t>
  </si>
  <si>
    <t>IKI000:da_Metallurgical</t>
  </si>
  <si>
    <t>IKI000:da_SteamCoal</t>
  </si>
  <si>
    <t>IKI000:da_CoaltoLiquids</t>
  </si>
  <si>
    <t>IKI000:da_CoalSubtotal</t>
  </si>
  <si>
    <t>IKI000:da_BiofuelHeatCo</t>
  </si>
  <si>
    <t>IKI000:da_Renewables</t>
  </si>
  <si>
    <t>IKI000:da_PurchasedElec</t>
  </si>
  <si>
    <t>IKI000:da_DeliveredEner</t>
  </si>
  <si>
    <t>IKI000:da_ElectricityRe</t>
  </si>
  <si>
    <t>IKI000:da_Total</t>
  </si>
  <si>
    <t>Energy Consumption per dollar of Shipments 1/</t>
  </si>
  <si>
    <t>(thousand Btu per 2012 dollar)</t>
  </si>
  <si>
    <t>IKI000:ea_LiqPetGasHeat</t>
  </si>
  <si>
    <t>IKI000:ea_LiqPetGasFeed</t>
  </si>
  <si>
    <t>IKI000:ea_MotorGasoline</t>
  </si>
  <si>
    <t>IKI000:ea_Distillate</t>
  </si>
  <si>
    <t>IKI000:ea_ResidualFuel</t>
  </si>
  <si>
    <t>IKI000:ea_Petrochemical</t>
  </si>
  <si>
    <t>IKI000:ea_PetroleumCoke</t>
  </si>
  <si>
    <t>IKI000:ea_Asphalt</t>
  </si>
  <si>
    <t>IKI000:ea_StillGas</t>
  </si>
  <si>
    <t>IKI000:ea_Miscellaneous</t>
  </si>
  <si>
    <t>IKI000:ea_PetroleumSubt</t>
  </si>
  <si>
    <t>IKI000:ea_NatralGasHeat</t>
  </si>
  <si>
    <t>IKI000:ea_NatralGasFeed</t>
  </si>
  <si>
    <t xml:space="preserve">   Natural Gas Feedstock</t>
  </si>
  <si>
    <t>IKI000:ea_NatGas2LiqH&amp;P</t>
  </si>
  <si>
    <t>IKI000:ea_LeaseandPlant</t>
  </si>
  <si>
    <t>IKI000:ea_NaturalGasSub</t>
  </si>
  <si>
    <t>IKI000:ea_Metallurgical</t>
  </si>
  <si>
    <t xml:space="preserve">   Metallurgical Coal and Coke 6/</t>
  </si>
  <si>
    <t>IKI000:ea_SteamCoal</t>
  </si>
  <si>
    <t>IKI000:ea_CoaltoLiquids</t>
  </si>
  <si>
    <t>IKI000:ea_CoalSubtotal</t>
  </si>
  <si>
    <t>IKI000:ea_BiofuelHeatCo</t>
  </si>
  <si>
    <t>IKI000:ea_Renewables</t>
  </si>
  <si>
    <t xml:space="preserve">   Renewables 7/</t>
  </si>
  <si>
    <t>IKI000:ea_PurchasedElec</t>
  </si>
  <si>
    <t>IKI000:ea_DeliveredEner</t>
  </si>
  <si>
    <t>IKI000:ea_ElectricityRe</t>
  </si>
  <si>
    <t>IKI000:ea_Total</t>
  </si>
  <si>
    <t>Total Industrial Combined Heat and Power 1/</t>
  </si>
  <si>
    <t>IKI000:ha_Capacity(giga</t>
  </si>
  <si>
    <t xml:space="preserve">  Capacity (gigawatts) 8/</t>
  </si>
  <si>
    <t>IKI000:ha_Generation(bi</t>
  </si>
  <si>
    <t xml:space="preserve">  Generation (billion kilowatthours)</t>
  </si>
  <si>
    <t>1/ Includes combined-heat-and-power plants that have a non-regulatory status and small on-site generating systems.</t>
  </si>
  <si>
    <t>2/ Includes ethane, propane, normal butane, isobutane, natural gasoline, and refinery olefins.</t>
  </si>
  <si>
    <t>3/ Includes normal butane and isobutane.</t>
  </si>
  <si>
    <t>4/ Includes lubricants and miscellaneous petroleum products.</t>
  </si>
  <si>
    <t>5/ Represents natural gas used in well, field, and lease operations and in natural gas processing plant machinery.</t>
  </si>
  <si>
    <t>6/ Includes net coal coke imports.</t>
  </si>
  <si>
    <t>7/ Includes consumption of energy produced from hydroelectric, wood and wood waste, municipal waste, and other biomass sources.</t>
  </si>
  <si>
    <t>8/ All capacities are in gigawatts alternating current.</t>
  </si>
  <si>
    <t>EGC000</t>
  </si>
  <si>
    <t>9. Electricity Generating Capacity</t>
  </si>
  <si>
    <t>(gigawatts)</t>
  </si>
  <si>
    <t xml:space="preserve"> Net Summer Capacity 1/</t>
  </si>
  <si>
    <t>Electric Power Sector 2/</t>
  </si>
  <si>
    <t xml:space="preserve">  Power Only 3/</t>
  </si>
  <si>
    <t>EGC000:ba_CoalSteam</t>
  </si>
  <si>
    <t xml:space="preserve">    Coal 4/</t>
  </si>
  <si>
    <t>EGC000:ba_OtherFossilSt</t>
  </si>
  <si>
    <t xml:space="preserve">    Oil and Natural Gas Steam 4, 5/</t>
  </si>
  <si>
    <t>EGC000:ba_CombinedCycle</t>
  </si>
  <si>
    <t xml:space="preserve">    Combined Cycle</t>
  </si>
  <si>
    <t>EGC000:ba_CombustionTur</t>
  </si>
  <si>
    <t xml:space="preserve">    Combustion Turbine/Diesel</t>
  </si>
  <si>
    <t>EGC000:ba_NuclearPower</t>
  </si>
  <si>
    <t xml:space="preserve">    Nuclear Power 6/</t>
  </si>
  <si>
    <t>EGC000:ba_PumpedStorage</t>
  </si>
  <si>
    <t xml:space="preserve">    Pumped Storage</t>
  </si>
  <si>
    <t>EGC000:ba_DiurnalStorag</t>
  </si>
  <si>
    <t xml:space="preserve">    Diurnal Storage</t>
  </si>
  <si>
    <t>EGC000:ba_FuelCells</t>
  </si>
  <si>
    <t xml:space="preserve">    Fuel Cells</t>
  </si>
  <si>
    <t>EGC000:ba_RenewableSour</t>
  </si>
  <si>
    <t xml:space="preserve">    Renewable Sources 7/</t>
  </si>
  <si>
    <t>EGC000:ba_DistributedGe</t>
  </si>
  <si>
    <t xml:space="preserve">    Distributed Generation (Natural Gas) 8/</t>
  </si>
  <si>
    <t>EGC000:ba_Total</t>
  </si>
  <si>
    <t xml:space="preserve">      Total</t>
  </si>
  <si>
    <t xml:space="preserve">  Combined Heat and Power 9/</t>
  </si>
  <si>
    <t>EGC000:ca_CoalSteam</t>
  </si>
  <si>
    <t xml:space="preserve">    Coal</t>
  </si>
  <si>
    <t>EGC000:ca_OtherFossilSt</t>
  </si>
  <si>
    <t xml:space="preserve">    Oil and Natural Gas Steam 5/</t>
  </si>
  <si>
    <t>EGC000:ca_CombinedCycle</t>
  </si>
  <si>
    <t>EGC000:ca_CombustionTur</t>
  </si>
  <si>
    <t>EGC000:ca_RenewableSour</t>
  </si>
  <si>
    <t>EGC000:ca_Total</t>
  </si>
  <si>
    <t xml:space="preserve">  Cumulative Planned Additions 10/</t>
  </si>
  <si>
    <t>EGC000:da_CoalSteam</t>
  </si>
  <si>
    <t>EGC000:da_OtherFossilSt</t>
  </si>
  <si>
    <t>EGC000:da_CombinedCycle</t>
  </si>
  <si>
    <t>EGC000:da_CombustionTur</t>
  </si>
  <si>
    <t>EGC000:da_NuclearPower</t>
  </si>
  <si>
    <t xml:space="preserve">    Nuclear Power</t>
  </si>
  <si>
    <t>EGC000:da_PumpedStorage</t>
  </si>
  <si>
    <t>EGC000:da_DiurnalStorag</t>
  </si>
  <si>
    <t>EGC000:da_FuelCells</t>
  </si>
  <si>
    <t>EGC000:da_RenewableSour</t>
  </si>
  <si>
    <t>EGC000:da_DistributedGe</t>
  </si>
  <si>
    <t xml:space="preserve">    Distributed Generation 8/</t>
  </si>
  <si>
    <t>EGC000:da_Total</t>
  </si>
  <si>
    <t xml:space="preserve">  Cumulative Unplanned Additions 10/</t>
  </si>
  <si>
    <t>EGC000:ea_CoalSteam</t>
  </si>
  <si>
    <t>EGC000:ea_OtherFossilSt</t>
  </si>
  <si>
    <t>EGC000:ea_CombinedCycle</t>
  </si>
  <si>
    <t>EGC000:ea_CombustionTur</t>
  </si>
  <si>
    <t>EGC000:ea_NuclearPower</t>
  </si>
  <si>
    <t>EGC000:ea_PumpedStorage</t>
  </si>
  <si>
    <t>EGC000:ea_DiurnalStorag</t>
  </si>
  <si>
    <t>EGC000:ea_FuelCells</t>
  </si>
  <si>
    <t>EGC000:ea_RenewableSour</t>
  </si>
  <si>
    <t>EGC000:ea_DistributedGe</t>
  </si>
  <si>
    <t>EGC000:ea_Total</t>
  </si>
  <si>
    <t>EGC000:ea_CumulativeEle</t>
  </si>
  <si>
    <t xml:space="preserve">  Cumulative Electric Power Sector Additions 10</t>
  </si>
  <si>
    <t xml:space="preserve">  Cumulative Retirements 11/</t>
  </si>
  <si>
    <t>EGC000:fa_CoalSteam</t>
  </si>
  <si>
    <t>EGC000:fa_OtherFossilSt</t>
  </si>
  <si>
    <t>EGC000:fa_CombinedCycle</t>
  </si>
  <si>
    <t>EGC000:fa_CombustionTur</t>
  </si>
  <si>
    <t>EGC000:fa_NuclearPower</t>
  </si>
  <si>
    <t>EGC000:fa_PumpedStorage</t>
  </si>
  <si>
    <t>EGC000:fa_DiurnalStorag</t>
  </si>
  <si>
    <t>EGC000:fa_FuelCells</t>
  </si>
  <si>
    <t>EGC000:fa_RenewableSour</t>
  </si>
  <si>
    <t>EGC000:fa_Total</t>
  </si>
  <si>
    <t>EGC000:ga_TotalElectric</t>
  </si>
  <si>
    <t>Total Electric Power Sector Capacity</t>
  </si>
  <si>
    <t>End-Use Generators 12/</t>
  </si>
  <si>
    <t>EGC000:ha_Coal</t>
  </si>
  <si>
    <t>EGC000:ha_Petroleum</t>
  </si>
  <si>
    <t xml:space="preserve">    Petroleum</t>
  </si>
  <si>
    <t>EGC000:ha_NaturalGas</t>
  </si>
  <si>
    <t xml:space="preserve">    Natural Gas</t>
  </si>
  <si>
    <t>EGC000:ha_OtherGaseousF</t>
  </si>
  <si>
    <t xml:space="preserve">    Other Gaseous Fuels 13/</t>
  </si>
  <si>
    <t>EGC000:ha_RenewableSour</t>
  </si>
  <si>
    <t>EGC000:ha_Other</t>
  </si>
  <si>
    <t xml:space="preserve">    Other 14/</t>
  </si>
  <si>
    <t>EGC000:ha_Total</t>
  </si>
  <si>
    <t>EGC000:ia_CumulativeCap</t>
  </si>
  <si>
    <t xml:space="preserve">  Cumulative Capacity Additions 10/</t>
  </si>
  <si>
    <t>1/ Net summer capacity is the steady hourly output that generating equipment is expected to supply to</t>
  </si>
  <si>
    <t>system load (exclusive of auxiliary power), as demonstrated by tests during summer peak demand.</t>
  </si>
  <si>
    <t>2/ Includes electricity-only and combined-heat-and-power plants that have a regulatory status.</t>
  </si>
  <si>
    <t>3/ Includes plants that only produce electricity and that have a regulatory status.  Includes capacity increases (uprates) at existing units.</t>
  </si>
  <si>
    <t>4/ total coal, oil, and natural gas steam capacity account for the conversion of coal capacity to natural gas steam capacity, but the conversions</t>
  </si>
  <si>
    <t>are not included explicitly as additions or retirements.  No planned conversions are assumed.  The totals reflect any conversions projected by</t>
  </si>
  <si>
    <t>the model.</t>
  </si>
  <si>
    <t>5/ includes oil-, natural gas-, and dual-fired capacity.</t>
  </si>
  <si>
    <t>6/ Nuclear capacity includes 0.05 gigawatts of uprates.</t>
  </si>
  <si>
    <t>7/ Includes conventional hydroelectric, geothermal, wood, wood waste, all municipal waste, landfill gas,</t>
  </si>
  <si>
    <t>other biomass, solar, and wind power.  Facilities co-firing biomass and coal are classified as coal.</t>
  </si>
  <si>
    <t>8/ Primarily peak-load capacity fueled by natural gas.</t>
  </si>
  <si>
    <t>9/ Includes combined-heat-and-power plants whose primary business is to sell electricity and heat to the public</t>
  </si>
  <si>
    <t>(that is, those that report North American Industry Classification System code 22 or that have a regulatory status).</t>
  </si>
  <si>
    <t>10/ Cumulative additions after December 31, 2022.</t>
  </si>
  <si>
    <t>11/ Cumulative retirements after December 31, 2022.</t>
  </si>
  <si>
    <t>12/ Includes combined-heat-and-power plants and electricity-only plants in the commercial and industrial sectors that have a non-regulatory</t>
  </si>
  <si>
    <t>status. Also includes small on-site generating systems in the residential, commercial, and industrial sectors used primarily for own-use generation,</t>
  </si>
  <si>
    <t>but which may also sell some power to the grid. Solar photovoltaic capacity portion of Renewable Sources in gigawatts direct current;</t>
  </si>
  <si>
    <t>other technologies in gigawatts alternating current.</t>
  </si>
  <si>
    <t>13/ Includes refinery gas and still gas.</t>
  </si>
  <si>
    <t>14/ Includes batteries, chemicals, hydrogen, pitch, purchased steam, sulfur, and miscellaneous technologies.</t>
  </si>
  <si>
    <t>Note:  Totals may not equal sum of components due to independent rounding.</t>
  </si>
  <si>
    <t>Data source: 2022:  U.S. Energy Information Administration (EIA), Short-Term Energy Outlook, November 2022 and EIA,</t>
  </si>
  <si>
    <t>AEO2023 National Energy Modeling System run ref2023.d020623a. Projections:  EIA, AEO2023 National Energy Modeling System run ref2023.d020623a.</t>
  </si>
  <si>
    <t>REN000</t>
  </si>
  <si>
    <t>16. Renewable Energy Generating Capacity and Generation</t>
  </si>
  <si>
    <t>(gigawatts, unless otherwise noted)</t>
  </si>
  <si>
    <t xml:space="preserve"> Net Summer Capacity and Generation</t>
  </si>
  <si>
    <t>Electric Power Sector 1/</t>
  </si>
  <si>
    <t xml:space="preserve"> Net Summer Capacity</t>
  </si>
  <si>
    <t>REN000:ba_ConventionalH</t>
  </si>
  <si>
    <t xml:space="preserve">   Conventional Hydroelectric Power</t>
  </si>
  <si>
    <t>REN000:ba_Geothermal</t>
  </si>
  <si>
    <t xml:space="preserve">   Geothermal 2/</t>
  </si>
  <si>
    <t>REN000:ba_MunicipalSoli</t>
  </si>
  <si>
    <t xml:space="preserve">   Municipal Waste 3/</t>
  </si>
  <si>
    <t>REN000:ba_WoodandOtherB</t>
  </si>
  <si>
    <t xml:space="preserve">   Wood and Other Biomass 4/</t>
  </si>
  <si>
    <t>REN000:ba_SolarThermal</t>
  </si>
  <si>
    <t xml:space="preserve">   Solar Thermal</t>
  </si>
  <si>
    <t>REN000:ba_SolarPhotovol</t>
  </si>
  <si>
    <t xml:space="preserve">   Solar Photovoltaic 5/</t>
  </si>
  <si>
    <t>REN000:ba_Wind</t>
  </si>
  <si>
    <t xml:space="preserve">   Wind</t>
  </si>
  <si>
    <t>REN000:ba_OffshoreWind</t>
  </si>
  <si>
    <t xml:space="preserve">   Offshore Wind</t>
  </si>
  <si>
    <t>REN000:ba_Total</t>
  </si>
  <si>
    <t xml:space="preserve">     Total Electric Power Sector Capacity</t>
  </si>
  <si>
    <t xml:space="preserve"> Generation (billion kilowatthours)</t>
  </si>
  <si>
    <t>REN000:ca_ConventionalH</t>
  </si>
  <si>
    <t>REN000:ca_Geothermal</t>
  </si>
  <si>
    <t>REN000:ca_MunicipalSoli</t>
  </si>
  <si>
    <t xml:space="preserve">   Biogenic Municipal Waste 6/</t>
  </si>
  <si>
    <t>REN000:ca_WoodandOtherB</t>
  </si>
  <si>
    <t xml:space="preserve">   Wood and Other Biomass</t>
  </si>
  <si>
    <t>REN000:ca_DedicatedPlan</t>
  </si>
  <si>
    <t xml:space="preserve">      Dedicated Plants</t>
  </si>
  <si>
    <t>REN000:ca_Cofiring</t>
  </si>
  <si>
    <t xml:space="preserve">      Cofiring</t>
  </si>
  <si>
    <t>REN000:ca_SolarThermal</t>
  </si>
  <si>
    <t>REN000:ca_SolarPhotovol</t>
  </si>
  <si>
    <t>REN000:ca_Wind</t>
  </si>
  <si>
    <t>REN000:ca_OffshoreWind</t>
  </si>
  <si>
    <t>REN000:ca_Total</t>
  </si>
  <si>
    <t xml:space="preserve">     Total Electric Power Sector Generation</t>
  </si>
  <si>
    <t>End-Use Sectors 7/</t>
  </si>
  <si>
    <t>REN000:da_ConventionalH</t>
  </si>
  <si>
    <t>REN000:da_Geothermal</t>
  </si>
  <si>
    <t xml:space="preserve">   Geothermal</t>
  </si>
  <si>
    <t>REN000:da_MunicipalSoli</t>
  </si>
  <si>
    <t>REN000:da_Biomass</t>
  </si>
  <si>
    <t xml:space="preserve">   Biomass</t>
  </si>
  <si>
    <t>REN000:da_SolarPhotovol</t>
  </si>
  <si>
    <t>REN000:da_WindWind</t>
  </si>
  <si>
    <t>REN000:da_Total</t>
  </si>
  <si>
    <t xml:space="preserve">     Total End-Use Sector Capacity</t>
  </si>
  <si>
    <t>REN000:ea_ConventionalH</t>
  </si>
  <si>
    <t>REN000:ea_Geothermal</t>
  </si>
  <si>
    <t>REN000:ea_MunicipalSoli</t>
  </si>
  <si>
    <t>REN000:ea_Biomass</t>
  </si>
  <si>
    <t>REN000:ea_SolarPhotovol</t>
  </si>
  <si>
    <t>REN000:ea_WindyWindy</t>
  </si>
  <si>
    <t>REN000:ea_Total</t>
  </si>
  <si>
    <t xml:space="preserve">     Total End-Use Sector Generation</t>
  </si>
  <si>
    <t>All Sectors</t>
  </si>
  <si>
    <t xml:space="preserve">  Net Summer Capacity</t>
  </si>
  <si>
    <t>REN000:x1_Hydropowers</t>
  </si>
  <si>
    <t xml:space="preserve">    Conventional Hydroelectric Power</t>
  </si>
  <si>
    <t>REN000:x1_Geothermals</t>
  </si>
  <si>
    <t xml:space="preserve">    Geothermal</t>
  </si>
  <si>
    <t>REN000:x1_AllSolidWaste</t>
  </si>
  <si>
    <t xml:space="preserve">    Municipal Waste 3/</t>
  </si>
  <si>
    <t>REN000:x1_AllBiomass</t>
  </si>
  <si>
    <t xml:space="preserve">    Wood and Other Biomass 4/</t>
  </si>
  <si>
    <t>REN000:x1_AllSunnyOut</t>
  </si>
  <si>
    <t xml:space="preserve">    Solar 5/</t>
  </si>
  <si>
    <t>REN000:x1_WetandDryWind</t>
  </si>
  <si>
    <t xml:space="preserve">    Wind</t>
  </si>
  <si>
    <t>REN000:x1_TotalTotal</t>
  </si>
  <si>
    <t xml:space="preserve">      Total Capacity, All Sectors</t>
  </si>
  <si>
    <t>REN000:x2_Hydropowers</t>
  </si>
  <si>
    <t>REN000:x2_Geothermals</t>
  </si>
  <si>
    <t>REN000:x2_AllSolidWaste</t>
  </si>
  <si>
    <t xml:space="preserve">    Municipal Waste 8/</t>
  </si>
  <si>
    <t>REN000:x2_AllBiomass</t>
  </si>
  <si>
    <t xml:space="preserve">    Wood and Other Biomass</t>
  </si>
  <si>
    <t>REN000:x2_AllSunnyOut</t>
  </si>
  <si>
    <t>REN000:x2_WetandDryWind</t>
  </si>
  <si>
    <t>REN000:x2_TotalTotal</t>
  </si>
  <si>
    <t xml:space="preserve">      Total Generation, All Sectors</t>
  </si>
  <si>
    <t>1/ Includes electricity-only and combined-heat-and-power plants that have a regulatory status.</t>
  </si>
  <si>
    <t>2/Includes both hydrothermal resources (hot water and steam) and near-field enhanced geothermal systems (EGS).</t>
  </si>
  <si>
    <t>Near-field EGS potential occurs on known hydrothermal sites and requires addition of external fluids for electricity generation.</t>
  </si>
  <si>
    <t>3/ Includes municipal waste, landfill gas, and municipal sewage sludge.  Incremental growth is assumed to be for landfill gas</t>
  </si>
  <si>
    <t>facilities.  All municipal waste is included, although a portion of the municipal waste stream contains petroleum-derived plastics</t>
  </si>
  <si>
    <t>and other non-renewable sources. Incremental growth in the power sector is assumed to be for landfill gas facilities.</t>
  </si>
  <si>
    <t>4/ Facilities co-firing biomass and coal are classified as coal.</t>
  </si>
  <si>
    <t>5/ Does not include off-grid photovoltaics.</t>
  </si>
  <si>
    <t>6/ Includes biogenic municipal waste, landfill gas, and municipal sewage sludge.  Incremental growth is assumed to be for</t>
  </si>
  <si>
    <t>landfill gas facilities.</t>
  </si>
  <si>
    <t>7/ Includes combined-heat-and-power plants and electricity-only plants in the commercial and industrial sectors that have a non-regulatory</t>
  </si>
  <si>
    <t>but which may also sell some power to the grid. Solar photovoltaic capacity in gigawatts direct current; other technologies in</t>
  </si>
  <si>
    <t>gigawatts alternating current.</t>
  </si>
  <si>
    <t>8/ Includes biogenic municipal waste from the power sector and all municipal waste from the end-use sectors, landfill gas,</t>
  </si>
  <si>
    <t>and municipal sewage sludge. Incremental growth in the power sector is assumed to be for landfill gas facilities.</t>
  </si>
  <si>
    <t>ISM000</t>
  </si>
  <si>
    <t>23. Industrial Sector Macroeconomic Indicators</t>
  </si>
  <si>
    <t xml:space="preserve"> Indicators</t>
  </si>
  <si>
    <t>ISM000:ba_GDP(billionm_</t>
  </si>
  <si>
    <t>Gross Domestic Product (billion 2012 dollars)</t>
  </si>
  <si>
    <t>ISM000:ca_NonfarmEmploy</t>
  </si>
  <si>
    <t>Nonfarm Employment (millions)</t>
  </si>
  <si>
    <t>Value of Shipments (billion 2012 dollars)</t>
  </si>
  <si>
    <t>Nonmanufacturing Sector</t>
  </si>
  <si>
    <t>ISM000:ea_Agricultural</t>
  </si>
  <si>
    <t xml:space="preserve">  Agriculture/Forestry/Fishing/Hunting</t>
  </si>
  <si>
    <t>ISM000:ea_Mining</t>
  </si>
  <si>
    <t xml:space="preserve">  Mining</t>
  </si>
  <si>
    <t>ISM000:ea_Construction</t>
  </si>
  <si>
    <t xml:space="preserve">  Construction</t>
  </si>
  <si>
    <t>Manufacturing Sector</t>
  </si>
  <si>
    <t>ISM000:fa_FoodandKindre</t>
  </si>
  <si>
    <t xml:space="preserve">  Food Products</t>
  </si>
  <si>
    <t>ISM000:fa_BeveragesandT</t>
  </si>
  <si>
    <t>ISM000:fa_TextileMillPr</t>
  </si>
  <si>
    <t xml:space="preserve">  Textile Mills and Products</t>
  </si>
  <si>
    <t>ISM000:fa_LumberandWood</t>
  </si>
  <si>
    <t xml:space="preserve">  Wood Products</t>
  </si>
  <si>
    <t>ISM000:fa_FurnitureandF</t>
  </si>
  <si>
    <t xml:space="preserve">  Furniture and Related Products</t>
  </si>
  <si>
    <t>ISM000:fa_PaperandAllie</t>
  </si>
  <si>
    <t xml:space="preserve">  Paper Products</t>
  </si>
  <si>
    <t>ISM000:fa_PrintingandPu</t>
  </si>
  <si>
    <t xml:space="preserve">  Printing</t>
  </si>
  <si>
    <t>ISM000:fa_ChemicalandAl</t>
  </si>
  <si>
    <t xml:space="preserve">  Chemical Manufacturing</t>
  </si>
  <si>
    <t>ISM000:fa_BulkChemicals</t>
  </si>
  <si>
    <t>ISM000:fa_Inorganic</t>
  </si>
  <si>
    <t>ISM000:fa_Organic</t>
  </si>
  <si>
    <t xml:space="preserve">      Organic</t>
  </si>
  <si>
    <t>ISM000:fa_Resins</t>
  </si>
  <si>
    <t xml:space="preserve">      Resin, Synthetic Rubber, and Fibers</t>
  </si>
  <si>
    <t>ISM000:fa_AgriculturalC</t>
  </si>
  <si>
    <t>ISM000:fa_OtherChemical</t>
  </si>
  <si>
    <t xml:space="preserve">    Other Chemical Products</t>
  </si>
  <si>
    <t>ISM000:fa_PetroleumandC</t>
  </si>
  <si>
    <t xml:space="preserve">  Petroleum and Coal Products</t>
  </si>
  <si>
    <t>ISM000:fa_PetroleumRefi</t>
  </si>
  <si>
    <t xml:space="preserve">    Petroleum Refineries</t>
  </si>
  <si>
    <t>ISM000:fa_OtherPetroleu</t>
  </si>
  <si>
    <t xml:space="preserve">    Other Petroleum and Coal Products</t>
  </si>
  <si>
    <t>ISM000:fa_RubberandMisc</t>
  </si>
  <si>
    <t xml:space="preserve">  Plastics and Rubber Products</t>
  </si>
  <si>
    <t>ISM000:fa_Stone,Clay,an</t>
  </si>
  <si>
    <t>ISM000:fa_GlassandGlass</t>
  </si>
  <si>
    <t>ISM000:fa_CementandHydr</t>
  </si>
  <si>
    <t>ISM000:fa_OtherStone,Cl</t>
  </si>
  <si>
    <t xml:space="preserve">    Other Nonmetallic Mineral Products</t>
  </si>
  <si>
    <t>ISM000:ga_PrimaryMetals</t>
  </si>
  <si>
    <t xml:space="preserve">  Primary Metals Industry</t>
  </si>
  <si>
    <t>ISM000:ga_BlastFurnacea</t>
  </si>
  <si>
    <t>ISM000:ga_Aluminum</t>
  </si>
  <si>
    <t>ISM000:ga_OtherPrimaryM</t>
  </si>
  <si>
    <t>ISM000:ga_FabricatedMet</t>
  </si>
  <si>
    <t xml:space="preserve">  Fabricated Metal Products</t>
  </si>
  <si>
    <t>ISM000:ga_IndustrialMac</t>
  </si>
  <si>
    <t xml:space="preserve">  Machinery</t>
  </si>
  <si>
    <t>ISM000:ga_Electronicand</t>
  </si>
  <si>
    <t xml:space="preserve">  Computers and Electronics</t>
  </si>
  <si>
    <t>ISM000:ga_Transportatio</t>
  </si>
  <si>
    <t xml:space="preserve">  Transportation Equipment</t>
  </si>
  <si>
    <t>ISM000:ga_Instrumentsan</t>
  </si>
  <si>
    <t xml:space="preserve">  Electrical Equipment</t>
  </si>
  <si>
    <t>ISM000:ga_Miscellaneous</t>
  </si>
  <si>
    <t>ISM000:ha_TotalIndustri</t>
  </si>
  <si>
    <t>Total Industrial Value of Shipments</t>
  </si>
  <si>
    <t>Data source: 2022:  IHS Markit, Macroeconomic model, September 2022.</t>
  </si>
  <si>
    <t>Projections:  U.S. Energy Information Administration, AEO2023 National Energy Modeling System run ref2023.d020623a.</t>
  </si>
  <si>
    <t>IRF000</t>
  </si>
  <si>
    <t>24. Refining Industry Energy Consumption</t>
  </si>
  <si>
    <t xml:space="preserve"> Shipments, Energy Consumption, and Emissions</t>
  </si>
  <si>
    <t>IRF000:ba_ValueofShipme</t>
  </si>
  <si>
    <t>Inputs to Distillation Units</t>
  </si>
  <si>
    <t>IRF000:ba_CrudeOilInput</t>
  </si>
  <si>
    <t>(million barrels per day)</t>
  </si>
  <si>
    <t>Total Energy Consumption (trillion Btu) 1/</t>
  </si>
  <si>
    <t>IRF000:ca_ResidualOil</t>
  </si>
  <si>
    <t xml:space="preserve"> Residual Fuel Oil</t>
  </si>
  <si>
    <t>IRF000:ca_DistillateOil</t>
  </si>
  <si>
    <t xml:space="preserve"> Distillate Fuel Oil</t>
  </si>
  <si>
    <t>IRF000:ca_LiquefiedPetr</t>
  </si>
  <si>
    <t>Liquefied Petroleum Gas Heat and Power 2/</t>
  </si>
  <si>
    <t>IRF000:ca_PetroleumCoke</t>
  </si>
  <si>
    <t xml:space="preserve"> Petroleum Coke</t>
  </si>
  <si>
    <t>IRF000:ca_StillGas</t>
  </si>
  <si>
    <t xml:space="preserve"> Still Gas</t>
  </si>
  <si>
    <t>IRF000:ca_OtherPetroleu</t>
  </si>
  <si>
    <t xml:space="preserve"> Other Petroleum 3/</t>
  </si>
  <si>
    <t>IRF000:ca_PetroleumSubt</t>
  </si>
  <si>
    <t xml:space="preserve">   Petroleum and Other Liquids Subtotal</t>
  </si>
  <si>
    <t>IRF000:ca_NaturalGas</t>
  </si>
  <si>
    <t xml:space="preserve"> Natural Gas</t>
  </si>
  <si>
    <t>IRF000:NatGas_owHeatPow</t>
  </si>
  <si>
    <t xml:space="preserve">    of which:  Heat and Power</t>
  </si>
  <si>
    <t>IRF000:NatGas_owFeed</t>
  </si>
  <si>
    <t xml:space="preserve">    of which:  Feedstocks</t>
  </si>
  <si>
    <t>IRF000:NatGas_owGTLHeat</t>
  </si>
  <si>
    <t xml:space="preserve">    of which:  Gas-to-Liquids Heat</t>
  </si>
  <si>
    <t>IRF000:ca_SteamCoal</t>
  </si>
  <si>
    <t xml:space="preserve"> Steam Coal 4/</t>
  </si>
  <si>
    <t>IRF000:ca_BiofuelsHeat</t>
  </si>
  <si>
    <t xml:space="preserve"> Biofuels Heat and Coproducts</t>
  </si>
  <si>
    <t>IRF000:ca_PurchasedElec</t>
  </si>
  <si>
    <t xml:space="preserve"> Purchased Electricity</t>
  </si>
  <si>
    <t>IRF000:ca_Total</t>
  </si>
  <si>
    <t xml:space="preserve">   Total</t>
  </si>
  <si>
    <t>Carbon Dioxide Emissions 5/</t>
  </si>
  <si>
    <t>IRF000:ea_tonscarbon_dd</t>
  </si>
  <si>
    <t>(million metric tons carbon dioxide)</t>
  </si>
  <si>
    <t>Energy Related to Refining Activity Only</t>
  </si>
  <si>
    <t xml:space="preserve">  Energy Consumption</t>
  </si>
  <si>
    <t>IRF000:da_ResidualOil</t>
  </si>
  <si>
    <t xml:space="preserve">    Residual Fuel Oil</t>
  </si>
  <si>
    <t>IRF000:da_DistillateOil</t>
  </si>
  <si>
    <t xml:space="preserve">    Distillate Fuel Oil</t>
  </si>
  <si>
    <t>IRF000:da_LiquefiedPetr</t>
  </si>
  <si>
    <t xml:space="preserve">    Liquefied Petroleum Gas Heat and Power 2/</t>
  </si>
  <si>
    <t>IRF000:da_PetroleumCoke</t>
  </si>
  <si>
    <t xml:space="preserve">    Petroleum Coke</t>
  </si>
  <si>
    <t>IRF000:da_StillGas</t>
  </si>
  <si>
    <t xml:space="preserve">    Still Gas</t>
  </si>
  <si>
    <t>IRF000:da_OtherPetroleu</t>
  </si>
  <si>
    <t xml:space="preserve">    Other Petroleum 3/</t>
  </si>
  <si>
    <t>IRF000:da_PetroleumSubt</t>
  </si>
  <si>
    <t xml:space="preserve">      Petroleum and Other Liquids Subtotal</t>
  </si>
  <si>
    <t>IRF000:da_NaturalGas</t>
  </si>
  <si>
    <t>IRF000:da_SteamCoal</t>
  </si>
  <si>
    <t xml:space="preserve">    Steam Coal 4/</t>
  </si>
  <si>
    <t>IRF000:da_PurchasedElec</t>
  </si>
  <si>
    <t xml:space="preserve">    Purchased Electricity</t>
  </si>
  <si>
    <t>IRF000:da_Total</t>
  </si>
  <si>
    <t xml:space="preserve">  Carbon Dioxide Emissions 5/</t>
  </si>
  <si>
    <t>IRF000:da_tonscarbon_dd</t>
  </si>
  <si>
    <t xml:space="preserve">  (million metric tons carbon dioxide)</t>
  </si>
  <si>
    <t xml:space="preserve">  Energy Consumption per Unit of Refinery Input</t>
  </si>
  <si>
    <t xml:space="preserve">  (thousand Btu per barrel)</t>
  </si>
  <si>
    <t>IRF000:db_ResidualOil</t>
  </si>
  <si>
    <t>IRF000:db_DistillateOil</t>
  </si>
  <si>
    <t>IRF000:db_LiquefiedPetr</t>
  </si>
  <si>
    <t>IRF000:db_PetroleumCoke</t>
  </si>
  <si>
    <t>IRF000:db_StillGas</t>
  </si>
  <si>
    <t>IRF000:db_OtherPetroleu</t>
  </si>
  <si>
    <t>IRF000:db_PetroleumSubt</t>
  </si>
  <si>
    <t>IRF000:db_NaturalGas</t>
  </si>
  <si>
    <t>IRF000:db_SteamCoal</t>
  </si>
  <si>
    <t>IRF000:db_PurchasedElec</t>
  </si>
  <si>
    <t>IRF000:db_Total</t>
  </si>
  <si>
    <t>Combined Heat and Power</t>
  </si>
  <si>
    <t xml:space="preserve">  Generating Capacity (gigawatts) 6/</t>
  </si>
  <si>
    <t>IRF000:ga_Petroleum</t>
  </si>
  <si>
    <t>IRF000:ga_NaturalGas</t>
  </si>
  <si>
    <t>IRF000:ga_Coal</t>
  </si>
  <si>
    <t>IRF000:ga_Other</t>
  </si>
  <si>
    <t xml:space="preserve">    Other 7/</t>
  </si>
  <si>
    <t>IRF000:ga_Total</t>
  </si>
  <si>
    <t xml:space="preserve">  Net Generation (billion kilowatthours)</t>
  </si>
  <si>
    <t>IRF000:ha_Petroleum</t>
  </si>
  <si>
    <t>IRF000:ha_NaturalGas</t>
  </si>
  <si>
    <t>IRF000:ha_Coal</t>
  </si>
  <si>
    <t>IRF000:ha_Other</t>
  </si>
  <si>
    <t>IRF000:ha_Total</t>
  </si>
  <si>
    <t xml:space="preserve">    Disposition</t>
  </si>
  <si>
    <t>IRF000:ha_SalestotheGri</t>
  </si>
  <si>
    <t xml:space="preserve">      Sales to the Grid</t>
  </si>
  <si>
    <t>IRF000:ha_Generationfor</t>
  </si>
  <si>
    <t xml:space="preserve">      Generation for Own Use</t>
  </si>
  <si>
    <t>Energy Consumed at Ethanol Plants</t>
  </si>
  <si>
    <t>(trillion Btu)</t>
  </si>
  <si>
    <t>IRF000:ja_NaturalGas</t>
  </si>
  <si>
    <t xml:space="preserve">  Natural Gas</t>
  </si>
  <si>
    <t>IRF000:ja_Coal</t>
  </si>
  <si>
    <t xml:space="preserve">  Coal</t>
  </si>
  <si>
    <t>IRF000:ja_Electricity</t>
  </si>
  <si>
    <t xml:space="preserve">  Electricity</t>
  </si>
  <si>
    <t>IRF000:ja_Total</t>
  </si>
  <si>
    <t xml:space="preserve">    Total</t>
  </si>
  <si>
    <t>1/ Includes energy for combined-heat-and-power plants that have a non-regulatory status, small on-site generating systems,</t>
  </si>
  <si>
    <t>consumption at ethanol plants, and (if adapted) consumption at coal-to-liquids (CTL) and gas-to-liquids (GTL) plants.</t>
  </si>
  <si>
    <t>2/ Includes ethane, natural gasoline, and refinery olefins.</t>
  </si>
  <si>
    <t>3/ Includes lubricants and miscellaneous petroleum products.</t>
  </si>
  <si>
    <t>4/ Includes consumption at ethanol and coal-to-liquids (CTL) plants. Where CTL technology is adopted in these projections,</t>
  </si>
  <si>
    <t>the plants are assumed to produce oil products and to generate electricity.</t>
  </si>
  <si>
    <t>A portion of the coal use is attributed to feedstock use to produce the liquids.  The feedstock portion</t>
  </si>
  <si>
    <t>is assumed to be equal to the Btu content of the liquids produced.  The rest of the coal used in CTL plants is accounted for in</t>
  </si>
  <si>
    <t>industrial steam coal consumption, a portion of which is reflected in energy used for end-use sector combined heat and power.</t>
  </si>
  <si>
    <t>5/ Includes emissions attributable to the fuels consumed to generate the purchased electricity.</t>
  </si>
  <si>
    <t>6/ All capacities are in gigawatts alternating current.</t>
  </si>
  <si>
    <t>7/ Includes municipal waste, wood, and other biomass.</t>
  </si>
  <si>
    <t>Data source: 2022 value of shipments:  IHS Markit, Macroeconomic model, September 2022.</t>
  </si>
  <si>
    <t>2022:  U.S. Energy Information Administration (EIA), Short-Term Energy Outlook, November 2022 and EIA,</t>
  </si>
  <si>
    <t>AEO2023 National Energy Modeling System run ref2023.d020623a. Projections: EIA, AEO2023 National Energy Modeling System run ref2023.d020623a.</t>
  </si>
  <si>
    <t>IFD000</t>
  </si>
  <si>
    <t>25. Food Industry Energy Consumption</t>
  </si>
  <si>
    <t xml:space="preserve"> Shipments &amp; Energy Consumption</t>
  </si>
  <si>
    <t>IFD000:ba_ValueofShipme</t>
  </si>
  <si>
    <t>Energy Consumption (trillion Btu) 1/</t>
  </si>
  <si>
    <t>IFD000:ca_ResidualOil</t>
  </si>
  <si>
    <t>IFD000:ca_DistillateOil</t>
  </si>
  <si>
    <t>IFD000:ca_LiquefiedPetr</t>
  </si>
  <si>
    <t xml:space="preserve"> Propane</t>
  </si>
  <si>
    <t>IFD000:ca_OtherPetroleu</t>
  </si>
  <si>
    <t xml:space="preserve"> Other Petroleum 2/</t>
  </si>
  <si>
    <t>IFD000:ca_PetroleumSubt</t>
  </si>
  <si>
    <t>IFD000:ca_NaturalGas</t>
  </si>
  <si>
    <t>IFD000:ca_SteamCoal</t>
  </si>
  <si>
    <t xml:space="preserve"> Steam Coal</t>
  </si>
  <si>
    <t>IFD000:ca_Renewables</t>
  </si>
  <si>
    <t xml:space="preserve"> Renewables</t>
  </si>
  <si>
    <t>IFD000:ca_PurchasedElec</t>
  </si>
  <si>
    <t>IFD000:ca_Total</t>
  </si>
  <si>
    <t>Energy Consumption per Unit of Output 1/</t>
  </si>
  <si>
    <t>(thousand Btu per 2012 dollar shipments)</t>
  </si>
  <si>
    <t>IFD000:da_ResidualOil</t>
  </si>
  <si>
    <t>IFD000:da_DistillateOil</t>
  </si>
  <si>
    <t>IFD000:da_LiquefiedPetr</t>
  </si>
  <si>
    <t>IFD000:da_OtherPetroleu</t>
  </si>
  <si>
    <t>IFD000:da_PetroleumSubt</t>
  </si>
  <si>
    <t>IFD000:da_NaturalGas</t>
  </si>
  <si>
    <t>IFD000:da_SteamCoal</t>
  </si>
  <si>
    <t>IFD000:da_Renewables</t>
  </si>
  <si>
    <t>IFD000:da_PurchasedElec</t>
  </si>
  <si>
    <t>IFD000:da_Total</t>
  </si>
  <si>
    <t>Carbon Dioxide Emissions 3/</t>
  </si>
  <si>
    <t>IFD000:ea_tonscarbon_dd</t>
  </si>
  <si>
    <t>Combined Heat and Power 4/</t>
  </si>
  <si>
    <t xml:space="preserve">  Generating Capacity (gigawatts) 5/</t>
  </si>
  <si>
    <t>IFD000:ga_Petroleum</t>
  </si>
  <si>
    <t>IFD000:ga_NaturalGas</t>
  </si>
  <si>
    <t>IFD000:ga_Coal</t>
  </si>
  <si>
    <t>IFD000:ga_Other</t>
  </si>
  <si>
    <t xml:space="preserve">    Other 6/</t>
  </si>
  <si>
    <t>IFD000:ga_Total</t>
  </si>
  <si>
    <t>IFD000:ha_Petroleum</t>
  </si>
  <si>
    <t>IFD000:ha_NaturalGas</t>
  </si>
  <si>
    <t>IFD000:ha_Coal</t>
  </si>
  <si>
    <t>IFD000:ha_Other</t>
  </si>
  <si>
    <t>IFD000:ha_Total</t>
  </si>
  <si>
    <t>IFD000:ha_SalestotheGri</t>
  </si>
  <si>
    <t>IFD000:ha_Generationfor</t>
  </si>
  <si>
    <t>1/ Includes energy for combined-heat-and-power plants that have a non-regulatory status and small on-site generating systems.</t>
  </si>
  <si>
    <t>2/ Includes lubricants and miscellaneous petroleum products.</t>
  </si>
  <si>
    <t>3/ Includes emissions attributable to the fuels consumed to generate the purchased electricity, but not non-combustion</t>
  </si>
  <si>
    <t>emissions from industrial processes.</t>
  </si>
  <si>
    <t>4/ Includes industrial-owned generators not classified as combined heat and power, such as standby generators.</t>
  </si>
  <si>
    <t>5/ All capacities are in gigawatts alternating current.</t>
  </si>
  <si>
    <t>6/ Includes wood and other biomass, waste heat, municipal waste, and renewable sources.</t>
  </si>
  <si>
    <t>2022:  U.S. Energy Information Administration (EIA), Short-Term Energy Outlook, November 2022 and EIA, AEO2023 National Energy</t>
  </si>
  <si>
    <t>Modeling System run ref2023.d020623a.  Projections: EIA, AEO2023 National Energy Modeling System run ref2023.d020623a.</t>
  </si>
  <si>
    <t>IPP000</t>
  </si>
  <si>
    <t>26. Paper Industry Energy Consumption</t>
  </si>
  <si>
    <t>IPP000:ba_ValueofShipme</t>
  </si>
  <si>
    <t>IPP000:ca_ResidualOil</t>
  </si>
  <si>
    <t>IPP000:ca_DistillateOil</t>
  </si>
  <si>
    <t>IPP000:ca_LiquefiedPetr</t>
  </si>
  <si>
    <t>IPP000:ca_PetroleumCoke</t>
  </si>
  <si>
    <t>IPP000:ca_OtherPetrol</t>
  </si>
  <si>
    <t>IPP000:ca_PetroleumSubt</t>
  </si>
  <si>
    <t>IPP000:ca_NaturalGas</t>
  </si>
  <si>
    <t>IPP000:ca_SteamCoal</t>
  </si>
  <si>
    <t>IPP000:ca_Renewables</t>
  </si>
  <si>
    <t>IPP000:ca_PurchasedElec</t>
  </si>
  <si>
    <t>IPP000:ca_Total</t>
  </si>
  <si>
    <t>IPP000:da_ResidualOil</t>
  </si>
  <si>
    <t>IPP000:da_DistillateOil</t>
  </si>
  <si>
    <t>IPP000:da_LiquefiedPetr</t>
  </si>
  <si>
    <t>IPP000:da_PetroleumCoke</t>
  </si>
  <si>
    <t>IPP000:da_OtherPetrol</t>
  </si>
  <si>
    <t>IPP000:da_PetroleumSubt</t>
  </si>
  <si>
    <t>IPP000:da_NaturalGas</t>
  </si>
  <si>
    <t>IPP000:da_SteamCoal</t>
  </si>
  <si>
    <t>IPP000:da_Renewables</t>
  </si>
  <si>
    <t>IPP000:da_PurchasedElec</t>
  </si>
  <si>
    <t>IPP000:da_Total</t>
  </si>
  <si>
    <t>IPP000:ea_tonscarbon_dd</t>
  </si>
  <si>
    <t>IPP000:ga_Petroleum</t>
  </si>
  <si>
    <t>IPP000:ga_NaturalGas</t>
  </si>
  <si>
    <t>IPP000:ga_Coal</t>
  </si>
  <si>
    <t>IPP000:ga_Other</t>
  </si>
  <si>
    <t>IPP000:ga_Total</t>
  </si>
  <si>
    <t>IPP000:ha_Petroleum</t>
  </si>
  <si>
    <t>IPP000:ha_NaturalGas</t>
  </si>
  <si>
    <t>IPP000:ha_Coal</t>
  </si>
  <si>
    <t>IPP000:ha_Other</t>
  </si>
  <si>
    <t>IPP000:ha_Total</t>
  </si>
  <si>
    <t>IPP000:ha_SalestotheGri</t>
  </si>
  <si>
    <t>IPP000:ha_Generationfor</t>
  </si>
  <si>
    <t>ICH000</t>
  </si>
  <si>
    <t>27. Bulk Chemical Industry Energy Consumption</t>
  </si>
  <si>
    <t>ICH000:ba_ValueofShipme</t>
  </si>
  <si>
    <t xml:space="preserve">  Heat and Power</t>
  </si>
  <si>
    <t>ICH000:ca_ResidualOil</t>
  </si>
  <si>
    <t>ICH000:ca_DistillateOil</t>
  </si>
  <si>
    <t>ICH000:ca_LiquefiedPetr</t>
  </si>
  <si>
    <t xml:space="preserve">    Propane</t>
  </si>
  <si>
    <t>ICH000:ca_PetroleumCoke</t>
  </si>
  <si>
    <t>ICH000:ca_OtherPetroleu</t>
  </si>
  <si>
    <t xml:space="preserve">    Other Petroleum 2/</t>
  </si>
  <si>
    <t>ICH000:ca_PetroleumSubt</t>
  </si>
  <si>
    <t>ICH000:ca_NaturalGas</t>
  </si>
  <si>
    <t>ICH000:ca_SteamCoal</t>
  </si>
  <si>
    <t xml:space="preserve">    Steam Coal</t>
  </si>
  <si>
    <t>ICH000:ca_Renewables</t>
  </si>
  <si>
    <t xml:space="preserve">    Renewables</t>
  </si>
  <si>
    <t>ICH000:ca_PurchasedElec</t>
  </si>
  <si>
    <t>ICH000:ca_TotalHeatandP</t>
  </si>
  <si>
    <t xml:space="preserve">      Total Heat and Power</t>
  </si>
  <si>
    <t xml:space="preserve">  Feedstock</t>
  </si>
  <si>
    <t>ICH000:da_LiquefiedPetr</t>
  </si>
  <si>
    <t xml:space="preserve">    Hydrocarbon Gas Liquid Feedstocks 3/</t>
  </si>
  <si>
    <t>ICH000:da_Propylene</t>
  </si>
  <si>
    <t>ICH000:da_Petrochemical</t>
  </si>
  <si>
    <t xml:space="preserve">    Petrochemical Feedstocks</t>
  </si>
  <si>
    <t>ICH000:da_NaturalGas</t>
  </si>
  <si>
    <t>ICH000:da_TotalFeedstoc</t>
  </si>
  <si>
    <t xml:space="preserve">      Total Feedstocks</t>
  </si>
  <si>
    <t>ICH000:da_Total</t>
  </si>
  <si>
    <t xml:space="preserve">  Total</t>
  </si>
  <si>
    <t>ICH000:ea_ResidualOil</t>
  </si>
  <si>
    <t>ICH000:ea_DistillateOil</t>
  </si>
  <si>
    <t>ICH000:ea_LiquefiedPetr</t>
  </si>
  <si>
    <t>ICH000:ea_PetroleumCoke</t>
  </si>
  <si>
    <t>ICH000:ea_OtherPetroleu</t>
  </si>
  <si>
    <t>ICH000:ea_PetroleumSubt</t>
  </si>
  <si>
    <t>ICH000:ea_NaturalGas</t>
  </si>
  <si>
    <t>ICH000:ea_SteamCoal</t>
  </si>
  <si>
    <t>ICH000:ea_Renewables</t>
  </si>
  <si>
    <t>ICH000:ea_PurchasedElec</t>
  </si>
  <si>
    <t>ICH000:ea_TotalHeatandP</t>
  </si>
  <si>
    <t>ICH000:fa_LiquefiedPetr</t>
  </si>
  <si>
    <t>ICH000:fa_Petrochemical</t>
  </si>
  <si>
    <t>ICH000:fa_NaturalGas</t>
  </si>
  <si>
    <t>ICH000:fa_TotalFeedstoc</t>
  </si>
  <si>
    <t>ICH000:fa_Total</t>
  </si>
  <si>
    <t>Carbon Dioxide Emissions 4/</t>
  </si>
  <si>
    <t>ICH000:ga_tonscarbon_dd</t>
  </si>
  <si>
    <t>Combined Heat and Power 5/</t>
  </si>
  <si>
    <t>ICH000:ia_Petroleum</t>
  </si>
  <si>
    <t>ICH000:ia_NaturalGas</t>
  </si>
  <si>
    <t>ICH000:ia_Coal</t>
  </si>
  <si>
    <t>ICH000:ia_Other</t>
  </si>
  <si>
    <t>ICH000:ia_Total</t>
  </si>
  <si>
    <t>ICH000:ja_Petroleum</t>
  </si>
  <si>
    <t>ICH000:ja_NaturalGas</t>
  </si>
  <si>
    <t>ICH000:ja_Coal</t>
  </si>
  <si>
    <t>ICH000:ja_Other</t>
  </si>
  <si>
    <t>ICH000:ja_Total</t>
  </si>
  <si>
    <t>ICH000:ja_SalestotheGri</t>
  </si>
  <si>
    <t>ICH000:ja_Generationfor</t>
  </si>
  <si>
    <t>3/ Includes ethane, propane, butanes, natural gasoline, and refinery olefins.</t>
  </si>
  <si>
    <t>4/ Includes emissions attributable to the fuels consumed to generate the purchased electricity, but not non-combustion</t>
  </si>
  <si>
    <t>5/ Includes industrial-owned generators not classified as combined heat and power, such as standby generators.</t>
  </si>
  <si>
    <t>7/ Includes wood and other biomass, waste heat, municipal waste, and renewable sources.</t>
  </si>
  <si>
    <t>IGL000</t>
  </si>
  <si>
    <t>28. Glass Industry Energy Consumption</t>
  </si>
  <si>
    <t>IGL000:ba_ValueofShipme</t>
  </si>
  <si>
    <t>IGL000:ca_ResidualOil</t>
  </si>
  <si>
    <t>IGL000:ca_DistillateOil</t>
  </si>
  <si>
    <t>IGL000:ca_LiquefiedPetr</t>
  </si>
  <si>
    <t>IGL000:ca_PetroleumSubt</t>
  </si>
  <si>
    <t>IGL000:ca_NaturalGas</t>
  </si>
  <si>
    <t>IGL000:ca_SteamCoal</t>
  </si>
  <si>
    <t>IGL000:ca_PurchasedElec</t>
  </si>
  <si>
    <t>IGL000:ca_Total</t>
  </si>
  <si>
    <t>IGL000:da_ResidualOil</t>
  </si>
  <si>
    <t>IGL000:da_DistillateOil</t>
  </si>
  <si>
    <t>IGL000:da_LiquefiedPetr</t>
  </si>
  <si>
    <t>IGL000:da_PetroleumSubt</t>
  </si>
  <si>
    <t>IGL000:da_NaturalGas</t>
  </si>
  <si>
    <t>IGL000:da_SteamCoal</t>
  </si>
  <si>
    <t>IGL000:da_PurchasedElec</t>
  </si>
  <si>
    <t>IGL000:da_Total</t>
  </si>
  <si>
    <t>Carbon Dioxide Emissions 2/</t>
  </si>
  <si>
    <t>IGL000:ea_tonscarbon_dd</t>
  </si>
  <si>
    <t>Combined Heat and Power 3/</t>
  </si>
  <si>
    <t xml:space="preserve">  Generating Capacity (gigawatts) 4/</t>
  </si>
  <si>
    <t>IGL000:ga_Petroleum</t>
  </si>
  <si>
    <t>IGL000:ga_NaturalGas</t>
  </si>
  <si>
    <t>IGL000:ga_Coal</t>
  </si>
  <si>
    <t>IGL000:ga_Other</t>
  </si>
  <si>
    <t xml:space="preserve">    Other 5/</t>
  </si>
  <si>
    <t>IGL000:ga_Total</t>
  </si>
  <si>
    <t>IGL000:ha_Petroleum</t>
  </si>
  <si>
    <t>IGL000:ha_NaturalGas</t>
  </si>
  <si>
    <t>IGL000:ha_Coal</t>
  </si>
  <si>
    <t>IGL000:ha_Other</t>
  </si>
  <si>
    <t>IGL000:ha_Total</t>
  </si>
  <si>
    <t>IGL000:ha_SalestotheGri</t>
  </si>
  <si>
    <t>IGL000:ha_Generationfor</t>
  </si>
  <si>
    <t>2/ Includes emissions attributable to the fuels consumed to generate the purchased electricity, but not non-combustion</t>
  </si>
  <si>
    <t>3/ Includes industrial-owned generators not classified as combined heat and power, such as standby generators.</t>
  </si>
  <si>
    <t>4/ All capacities are in gigawatts alternating current.</t>
  </si>
  <si>
    <t>5/ Includes wood and other biomass, waste heat, municipal waste, and renewable sources.</t>
  </si>
  <si>
    <t>ICM000</t>
  </si>
  <si>
    <t>29. Cement and Lime Industry Energy Consumption</t>
  </si>
  <si>
    <t>ICM000:ba_ValueofShipme</t>
  </si>
  <si>
    <t>ICM000:ca_DistillateOil</t>
  </si>
  <si>
    <t>ICM000:ca_ResidualOil</t>
  </si>
  <si>
    <t>ICM000:ca_LiquefiedPetr</t>
  </si>
  <si>
    <t>ICM000:ca_PetroleumCoke</t>
  </si>
  <si>
    <t>ICM000:ca_OtherPetroleu</t>
  </si>
  <si>
    <t>ICM000:ca_PetroleumSubt</t>
  </si>
  <si>
    <t>ICM000:ca_NaturalGas</t>
  </si>
  <si>
    <t>ICM000:ca_SteamCoal</t>
  </si>
  <si>
    <t>ICM000:ca_Metallurgical</t>
  </si>
  <si>
    <t xml:space="preserve"> Metallurgical Coal</t>
  </si>
  <si>
    <t>ICM000:ca_CoalSubtotal</t>
  </si>
  <si>
    <t xml:space="preserve">   Coal Subtotal</t>
  </si>
  <si>
    <t>ICM000:ca_Renewables</t>
  </si>
  <si>
    <t>ICM000:ca_PurchasedElec</t>
  </si>
  <si>
    <t>ICM000:ca_Total</t>
  </si>
  <si>
    <t>ICM000:da_DistillateOil</t>
  </si>
  <si>
    <t>ICM000:da_ResidualOil</t>
  </si>
  <si>
    <t>ICM000:da_LiquefiedPetr</t>
  </si>
  <si>
    <t>ICM000:da_PetroleumCoke</t>
  </si>
  <si>
    <t>ICM000:da_OtherPetroleu</t>
  </si>
  <si>
    <t>ICM000:da_PetroleumSubt</t>
  </si>
  <si>
    <t>ICM000:da_NaturalGas</t>
  </si>
  <si>
    <t>ICM000:da_SteamCoal</t>
  </si>
  <si>
    <t>ICM000:da_Metallurgical</t>
  </si>
  <si>
    <t>ICM000:da_CoalSubtotal</t>
  </si>
  <si>
    <t>ICM000:da_Renewables</t>
  </si>
  <si>
    <t>ICM000:da_PurchasedElec</t>
  </si>
  <si>
    <t>ICM000:da_Total</t>
  </si>
  <si>
    <t>Carbon Dioxide Emissions</t>
  </si>
  <si>
    <t>ICM000:ea_tonscarbon_dd</t>
  </si>
  <si>
    <t xml:space="preserve">    Combustion (million metric tons) 3/</t>
  </si>
  <si>
    <t>ICM000:ea_proccarbon_dd</t>
  </si>
  <si>
    <t xml:space="preserve">    Process (million metric tons) 4/</t>
  </si>
  <si>
    <t>ICM000:ga_Petroleum</t>
  </si>
  <si>
    <t>ICM000:ga_NaturalGas</t>
  </si>
  <si>
    <t>ICM000:ga_Coal</t>
  </si>
  <si>
    <t>ICM000:ga_Other</t>
  </si>
  <si>
    <t>ICM000:ga_Total</t>
  </si>
  <si>
    <t>ICM000:ha_Petroleum</t>
  </si>
  <si>
    <t>ICM000:ha_NaturalGas</t>
  </si>
  <si>
    <t>ICM000:ha_Coal</t>
  </si>
  <si>
    <t>ICM000:ha_Other</t>
  </si>
  <si>
    <t>ICM000:ha_Total</t>
  </si>
  <si>
    <t>ICM000:ha_SalestotheGri</t>
  </si>
  <si>
    <t>ICM000:ha_Generationfor</t>
  </si>
  <si>
    <t>4/ CO2 emissions from non-combustion cement and lime processes.</t>
  </si>
  <si>
    <t>2022:  U.S. Energy Information Administration (EIA), Short-Term Energy Outlook, November 2022</t>
  </si>
  <si>
    <t>and EIA, AEO2023 National Energy Modeling System run ref2023.d020623a.</t>
  </si>
  <si>
    <t>Projections: EIA, AEO2023 National Energy Modeling System run ref2023.d020623a.</t>
  </si>
  <si>
    <t>IIR000</t>
  </si>
  <si>
    <t>30. Iron and Steel Industry Energy Consumption</t>
  </si>
  <si>
    <t>IIR000:ba_ValueofShipme</t>
  </si>
  <si>
    <t>IIR000:ca_DistillateOil</t>
  </si>
  <si>
    <t>IIR000:ca_ResidualOil</t>
  </si>
  <si>
    <t>IIR000:ca_LiquefiedPetr</t>
  </si>
  <si>
    <t>IIR000:ca_OtherPetroleu</t>
  </si>
  <si>
    <t>IIR000:ca_PetroleumSubt</t>
  </si>
  <si>
    <t>IIR000:ca_NaturalGas</t>
  </si>
  <si>
    <t>IIR000:ca_Metallurgical</t>
  </si>
  <si>
    <t>IIR000:ca_NetCokeImport</t>
  </si>
  <si>
    <t xml:space="preserve"> Net Coke Imports</t>
  </si>
  <si>
    <t>IIR000:ca_SteamCoal</t>
  </si>
  <si>
    <t>IIR000:ca_CoalSubtotal</t>
  </si>
  <si>
    <t>IIR000:ca_Renewables</t>
  </si>
  <si>
    <t>IIR000:ca_PurchasedElec</t>
  </si>
  <si>
    <t>IIR000:ca_Total</t>
  </si>
  <si>
    <t>IIR000:da_DistillateOil</t>
  </si>
  <si>
    <t>IIR000:da_ResidualOil</t>
  </si>
  <si>
    <t>IIR000:da_LiquefiedPetr</t>
  </si>
  <si>
    <t>IIR000:da_OtherPetroleu</t>
  </si>
  <si>
    <t>IIR000:da_PetroleumSubt</t>
  </si>
  <si>
    <t>IIR000:da_NaturalGas</t>
  </si>
  <si>
    <t>IIR000:da_Metallurgical</t>
  </si>
  <si>
    <t>IIR000:da_NetCokeImport</t>
  </si>
  <si>
    <t>IIR000:da_SteamCoal</t>
  </si>
  <si>
    <t>IIR000:da_CoalSubtotal</t>
  </si>
  <si>
    <t>IIR000:da_Renewables</t>
  </si>
  <si>
    <t>IIR000:da_PurchasedElec</t>
  </si>
  <si>
    <t>IIR000:da_Total</t>
  </si>
  <si>
    <t>IIR000:ea_tonscarbon_dd</t>
  </si>
  <si>
    <t>IIR000:ga_Petroleum</t>
  </si>
  <si>
    <t>IIR000:ga_NaturalGas</t>
  </si>
  <si>
    <t>IIR000:ga_Coal</t>
  </si>
  <si>
    <t>IIR000:ga_Other</t>
  </si>
  <si>
    <t>IIR000:ga_Total</t>
  </si>
  <si>
    <t>IIR000:ha_Petroleum</t>
  </si>
  <si>
    <t>IIR000:ha_NaturalGas</t>
  </si>
  <si>
    <t>IIR000:ha_Coal</t>
  </si>
  <si>
    <t>IIR000:ha_Other</t>
  </si>
  <si>
    <t>IIR000:ha_Total</t>
  </si>
  <si>
    <t>IIR000:ha_SalestotheGri</t>
  </si>
  <si>
    <t>IIR000:ha_Generationfor</t>
  </si>
  <si>
    <t>IAL000</t>
  </si>
  <si>
    <t>31. Aluminum Industry Energy Consumption</t>
  </si>
  <si>
    <t>IAL000:ba_ValueofShipme</t>
  </si>
  <si>
    <t>IAL000:ca_ResidualOil</t>
  </si>
  <si>
    <t>IAL000:ca_DistillateOil</t>
  </si>
  <si>
    <t>IAL000:ca_LiquefiedPetr</t>
  </si>
  <si>
    <t>IAL000:ca_PetroleumCoke</t>
  </si>
  <si>
    <t>IAL000:ca_OtherPetroleu</t>
  </si>
  <si>
    <t>IAL000:ca_PetroleumSubt</t>
  </si>
  <si>
    <t>IAL000:ca_NaturalGas</t>
  </si>
  <si>
    <t>IAL000:ca_SteamCoal</t>
  </si>
  <si>
    <t>IAL000:ca_Renewables</t>
  </si>
  <si>
    <t>IAL000:ca_PurchasedElec</t>
  </si>
  <si>
    <t>IAL000:ca_Total</t>
  </si>
  <si>
    <t>IAL000:da_ResidualOil</t>
  </si>
  <si>
    <t>IAL000:da_DistillateOil</t>
  </si>
  <si>
    <t>IAL000:da_LiquefiedPetr</t>
  </si>
  <si>
    <t>IAL000:da_PetroleumCoke</t>
  </si>
  <si>
    <t>IAL000:da_OtherPetroleu</t>
  </si>
  <si>
    <t>IAL000:da_PetroleumSubt</t>
  </si>
  <si>
    <t>IAL000:da_NaturalGas</t>
  </si>
  <si>
    <t>IAL000:da_SteamCoal</t>
  </si>
  <si>
    <t>IAL000:da_Renewables</t>
  </si>
  <si>
    <t>IAL000:da_PurchasedElec</t>
  </si>
  <si>
    <t>IAL000:da_Total</t>
  </si>
  <si>
    <t>IAL000:ea_tonscarbon_dd</t>
  </si>
  <si>
    <t>IAL000:ga_Petroleum</t>
  </si>
  <si>
    <t>IAL000:ga_NaturalGas</t>
  </si>
  <si>
    <t>IAL000:ga_Coal</t>
  </si>
  <si>
    <t>IAL000:ga_Other</t>
  </si>
  <si>
    <t>IAL000:ga_Total</t>
  </si>
  <si>
    <t>IAL000:ha_Petroleum</t>
  </si>
  <si>
    <t>IAL000:ha_NaturalGas</t>
  </si>
  <si>
    <t>IAL000:ha_Coal</t>
  </si>
  <si>
    <t>IAL000:ha_Other</t>
  </si>
  <si>
    <t>IAL000:ha_Total</t>
  </si>
  <si>
    <t>IAL000:ha_SalestotheGri</t>
  </si>
  <si>
    <t>IAL000:ha_Generationfor</t>
  </si>
  <si>
    <t>Note:  Includes estimated consumption for petroleum and other liquids.  Totals may not equal sum of components due to independent</t>
  </si>
  <si>
    <t>rounding.</t>
  </si>
  <si>
    <t>MBD000</t>
  </si>
  <si>
    <t>32. Metal-based Durables Industry Energy Consumption</t>
  </si>
  <si>
    <t>Energy Consumption (trillion Btu)</t>
  </si>
  <si>
    <t xml:space="preserve">   Fabricated Metal Products Consumption 1/</t>
  </si>
  <si>
    <t>MBD000:aa_LiquefiedPetr</t>
  </si>
  <si>
    <t>MBD000:aa_DistillateOil</t>
  </si>
  <si>
    <t xml:space="preserve">      Distillate Fuel Oil</t>
  </si>
  <si>
    <t>MBD000:aa_ResidualOil</t>
  </si>
  <si>
    <t xml:space="preserve">      Residual Fuel Oil</t>
  </si>
  <si>
    <t>MBD000:aa_PetrolCoke</t>
  </si>
  <si>
    <t xml:space="preserve">      Petroleum Coke</t>
  </si>
  <si>
    <t>MBD000:aa_PetroleumSubt</t>
  </si>
  <si>
    <t xml:space="preserve">         Petroleum and Other Liquids Subtotal</t>
  </si>
  <si>
    <t>MBD000:aa_NaturalGas</t>
  </si>
  <si>
    <t xml:space="preserve">      Natural Gas</t>
  </si>
  <si>
    <t>MBD000:aa_Metallurgical</t>
  </si>
  <si>
    <t xml:space="preserve">      Metallurgical Coal</t>
  </si>
  <si>
    <t>MBD000:aa_SteamCoal</t>
  </si>
  <si>
    <t xml:space="preserve">      Steam Coal</t>
  </si>
  <si>
    <t>MBD000:aa_Renewables</t>
  </si>
  <si>
    <t xml:space="preserve">      Renewables</t>
  </si>
  <si>
    <t>MBD000:aa_PurchasedElec</t>
  </si>
  <si>
    <t xml:space="preserve">      Purchased Electricity</t>
  </si>
  <si>
    <t>MBD000:aa_Total</t>
  </si>
  <si>
    <t xml:space="preserve">         Total</t>
  </si>
  <si>
    <t xml:space="preserve">   Machinery Consumption 1/</t>
  </si>
  <si>
    <t>MBD000:ba_LiquefiedPetr</t>
  </si>
  <si>
    <t>MBD000:ba_DistillateOil</t>
  </si>
  <si>
    <t>MBD000:ba_ResidualOil</t>
  </si>
  <si>
    <t>MBD000:ba_PetrolCoke</t>
  </si>
  <si>
    <t>MBD000:ba_PetroleumSubt</t>
  </si>
  <si>
    <t>MBD000:ba_NaturalGas</t>
  </si>
  <si>
    <t>MBD000:ba_SteamCoal</t>
  </si>
  <si>
    <t>MBD000:ba_Renewables</t>
  </si>
  <si>
    <t>MBD000:ba_PurchasedElec</t>
  </si>
  <si>
    <t>MBD000:ba_Total</t>
  </si>
  <si>
    <t xml:space="preserve">   Computers Consumption 1/</t>
  </si>
  <si>
    <t>MBD000:ca_LiquefiedPetr</t>
  </si>
  <si>
    <t>MBD000:ca_DistillateOil</t>
  </si>
  <si>
    <t>MBD000:ca_ResidualOil</t>
  </si>
  <si>
    <t>MBD000:ca_PetrolCoke</t>
  </si>
  <si>
    <t>MBD000:ca_PetroleumSubt</t>
  </si>
  <si>
    <t>MBD000:ca_NaturalGas</t>
  </si>
  <si>
    <t>MBD000:ca_SteamCoal</t>
  </si>
  <si>
    <t>MBD000:ca_Renewables</t>
  </si>
  <si>
    <t>MBD000:ca_PurchasedElec</t>
  </si>
  <si>
    <t>MBD000:ca_Total</t>
  </si>
  <si>
    <t xml:space="preserve">   Transportation Equipment Consumption 1/</t>
  </si>
  <si>
    <t>MBD000:da_LiquefiedPetr</t>
  </si>
  <si>
    <t>MBD000:da_DistillateOil</t>
  </si>
  <si>
    <t>MBD000:da_ResidualOil</t>
  </si>
  <si>
    <t>MBD000:da_PetrolCoke</t>
  </si>
  <si>
    <t>MBD000:da_PetroleumSubt</t>
  </si>
  <si>
    <t>MBD000:da_NaturalGas</t>
  </si>
  <si>
    <t>MBD000:da_SteamCoal</t>
  </si>
  <si>
    <t>MBD000:da_Renewables</t>
  </si>
  <si>
    <t>MBD000:da_PurchasedElec</t>
  </si>
  <si>
    <t>MBD000:da_Total</t>
  </si>
  <si>
    <t xml:space="preserve">   Electrical Equipment Consumption 1/</t>
  </si>
  <si>
    <t>MBD000:ea_LiquefiedPetr</t>
  </si>
  <si>
    <t>MBD000:ea_DistillateOil</t>
  </si>
  <si>
    <t>MBD000:ea_ResidualOil</t>
  </si>
  <si>
    <t>MBD000:ea_PetrolCoke</t>
  </si>
  <si>
    <t>MBD000:ea_PetroleumSubt</t>
  </si>
  <si>
    <t>MBD000:ea_NaturalGas</t>
  </si>
  <si>
    <t>MBD000:ea_SteamCoal</t>
  </si>
  <si>
    <t>MBD000:ea_Renewables</t>
  </si>
  <si>
    <t>MBD000:ea_PurchasedElec</t>
  </si>
  <si>
    <t>MBD000:ea_Total</t>
  </si>
  <si>
    <t>MBD000:aa_ValueofShipme</t>
  </si>
  <si>
    <t xml:space="preserve">   Fabricated Metal Products</t>
  </si>
  <si>
    <t>MBD000:ba_ValueofShipme</t>
  </si>
  <si>
    <t xml:space="preserve">   Machinery</t>
  </si>
  <si>
    <t>MBD000:ca_ValueofShipme</t>
  </si>
  <si>
    <t xml:space="preserve">   Computers</t>
  </si>
  <si>
    <t>MBD000:da_ValueofShipme</t>
  </si>
  <si>
    <t xml:space="preserve">   Transportation Equipment</t>
  </si>
  <si>
    <t>MBD000:ea_ValueofShipme</t>
  </si>
  <si>
    <t xml:space="preserve">   Electrical Equipment</t>
  </si>
  <si>
    <t>MBD000:aa_(thousandBtup</t>
  </si>
  <si>
    <t>MBD000:ba_(thousandBtup</t>
  </si>
  <si>
    <t>MBD000:ca_(thousandBtup</t>
  </si>
  <si>
    <t>MBD000:da_(thousandBtup</t>
  </si>
  <si>
    <t>MBD000:ea_(thousandBtup</t>
  </si>
  <si>
    <t>Carbon Dioxide Emissions 2/ (million metric</t>
  </si>
  <si>
    <t xml:space="preserve"> tons carbon dioxide)</t>
  </si>
  <si>
    <t>MBD000:aa_tonscarbon_dd</t>
  </si>
  <si>
    <t>MBD000:ba_tonscarbon_dd</t>
  </si>
  <si>
    <t>MBD000:ca_tonscarbon_dd</t>
  </si>
  <si>
    <t>MBD000:da_tonscarbon_dd</t>
  </si>
  <si>
    <t>MBD000:ea_tonscarbon_dd</t>
  </si>
  <si>
    <t>Fabricated Metal Products, Machinery,</t>
  </si>
  <si>
    <t>Computers, Transportation Equipment,</t>
  </si>
  <si>
    <t>and Electrical Equipment:</t>
  </si>
  <si>
    <t xml:space="preserve"> Combined Heat and Power 3/</t>
  </si>
  <si>
    <t>MBD000:ma_Petroleum</t>
  </si>
  <si>
    <t>MBD000:ma_NaturalGas</t>
  </si>
  <si>
    <t>MBD000:ma_Coal</t>
  </si>
  <si>
    <t>MBD000:ma_Other</t>
  </si>
  <si>
    <t>MBD000:ma_Total</t>
  </si>
  <si>
    <t>MBD000:na_Petroleum</t>
  </si>
  <si>
    <t>MBD000:na_NaturalGas</t>
  </si>
  <si>
    <t>MBD000:na_Coal</t>
  </si>
  <si>
    <t>MBD000:na_Other</t>
  </si>
  <si>
    <t>MBD000:na_Total</t>
  </si>
  <si>
    <t>MBD000:na_SalestotheGri</t>
  </si>
  <si>
    <t>MBD000:na_Generationfor</t>
  </si>
  <si>
    <t>BOM000</t>
  </si>
  <si>
    <t>33. Other Manufacturing Industry Energy Consumption</t>
  </si>
  <si>
    <t xml:space="preserve">   Wood Products Consumption 1/</t>
  </si>
  <si>
    <t>BOM000:aa_LiquefiedPetr</t>
  </si>
  <si>
    <t>BOM000:aa_DistillateOil</t>
  </si>
  <si>
    <t>BOM000:aa_ResidualOil</t>
  </si>
  <si>
    <t>BOM000:aa_PetroleumSubt</t>
  </si>
  <si>
    <t>BOM000:aa_NaturalGas</t>
  </si>
  <si>
    <t>BOM000:aa_SteamCoal</t>
  </si>
  <si>
    <t>BOM000:aa_MetCoal</t>
  </si>
  <si>
    <t>BOM000:aa_Renewables</t>
  </si>
  <si>
    <t>BOM000:aa_PurchasedElec</t>
  </si>
  <si>
    <t>BOM000:aa_Total</t>
  </si>
  <si>
    <t xml:space="preserve">   Plastics Consumption 1/</t>
  </si>
  <si>
    <t>BOM000:ba_LiquefiedPetr</t>
  </si>
  <si>
    <t>BOM000:ba_DistillateOil</t>
  </si>
  <si>
    <t>BOM000:ba_ResidualOil</t>
  </si>
  <si>
    <t>BOM000:ba_PetroleumSubt</t>
  </si>
  <si>
    <t>BOM000:ba_NaturalGas</t>
  </si>
  <si>
    <t>BOM000:ba_SteamCoal</t>
  </si>
  <si>
    <t>BOM000:ba_MetCoal</t>
  </si>
  <si>
    <t>BOM000:ba_Renewables</t>
  </si>
  <si>
    <t>BOM000:ba_PurchasedElec</t>
  </si>
  <si>
    <t>BOM000:ba_Total</t>
  </si>
  <si>
    <t xml:space="preserve">   Balance of Manufacturing Consumption 1/</t>
  </si>
  <si>
    <t>BOM000:ca_LiquefiedPetr</t>
  </si>
  <si>
    <t>BOM000:ca_DistillateOil</t>
  </si>
  <si>
    <t>BOM000:ca_ResidualOil</t>
  </si>
  <si>
    <t>BOM000:ca_PetroleumCoke</t>
  </si>
  <si>
    <t>BOM000:ca_OtherPetrol</t>
  </si>
  <si>
    <t xml:space="preserve">      Other Petroleum 2/</t>
  </si>
  <si>
    <t>BOM000:ca_PetroleumSubt</t>
  </si>
  <si>
    <t>BOM000:ca_NaturalGas</t>
  </si>
  <si>
    <t>BOM000:ca_SteamCoal</t>
  </si>
  <si>
    <t>BOM000:ca_MetCoal</t>
  </si>
  <si>
    <t>BOM000:ca_Renewables</t>
  </si>
  <si>
    <t>BOM000:ca_PurchasedElec</t>
  </si>
  <si>
    <t>BOM000:ca_Total</t>
  </si>
  <si>
    <t>BOM000:ca_ValueofShipme</t>
  </si>
  <si>
    <t xml:space="preserve">   Wood Products</t>
  </si>
  <si>
    <t>BOM000:ea_ValueofShipme</t>
  </si>
  <si>
    <t xml:space="preserve">   Plastics</t>
  </si>
  <si>
    <t>BOM000:fa_ValueofShipme</t>
  </si>
  <si>
    <t xml:space="preserve">   Balance of Manufacturing</t>
  </si>
  <si>
    <t>BOM000:ca_(thousandBtup</t>
  </si>
  <si>
    <t>BOM000:ea_(thousandBtup</t>
  </si>
  <si>
    <t>BOM000:fa_(thousandBtup</t>
  </si>
  <si>
    <t>Carbon Dioxide Emissions 3/ (million metric</t>
  </si>
  <si>
    <t>BOM000:ca_tonscarbon_dd</t>
  </si>
  <si>
    <t>BOM000:ea_tonscarbon_dd</t>
  </si>
  <si>
    <t>BOM000:fa_tonscarbon_dd</t>
  </si>
  <si>
    <t>Wood, Plastics, and Balance of Manufacturing:</t>
  </si>
  <si>
    <t xml:space="preserve"> Combined Heat and Power 4/</t>
  </si>
  <si>
    <t>BOM000:ma_Petroleum</t>
  </si>
  <si>
    <t>BOM000:ma_NaturalGas</t>
  </si>
  <si>
    <t>BOM000:ma_Coal</t>
  </si>
  <si>
    <t>BOM000:ma_Other</t>
  </si>
  <si>
    <t>BOM000:ma_Total</t>
  </si>
  <si>
    <t>BOM000:na_Petroleum</t>
  </si>
  <si>
    <t>BOM000:na_NaturalGas</t>
  </si>
  <si>
    <t>BOM000:na_Coal</t>
  </si>
  <si>
    <t>BOM000:na_Other</t>
  </si>
  <si>
    <t>BOM000:na_Total</t>
  </si>
  <si>
    <t>BOM000:na_SalestotheGri</t>
  </si>
  <si>
    <t>BOM000:na_Generationfor</t>
  </si>
  <si>
    <t>- - - Not applicable.</t>
  </si>
  <si>
    <t>UIC000</t>
  </si>
  <si>
    <t>34. Nonmanufacturing Sector Energy Consumption</t>
  </si>
  <si>
    <t xml:space="preserve">   Agriculture</t>
  </si>
  <si>
    <t>UIC000:ba_ResidualOil</t>
  </si>
  <si>
    <t>UIC000:ba_DistillateOil</t>
  </si>
  <si>
    <t>UIC000:ba_LiquefiedPetr</t>
  </si>
  <si>
    <t>UIC000:ba_MotorGasoline</t>
  </si>
  <si>
    <t xml:space="preserve">      Motor Gasoline</t>
  </si>
  <si>
    <t>UIC000:ba_OtherPetroleu</t>
  </si>
  <si>
    <t xml:space="preserve">      Other Petroleum 1/</t>
  </si>
  <si>
    <t>UIC000:ba_PetroleumSubt</t>
  </si>
  <si>
    <t>UIC000:ba_NaturalGas</t>
  </si>
  <si>
    <t>UIC000:ba_SteamCoal</t>
  </si>
  <si>
    <t>UIC000:ba_Renewables</t>
  </si>
  <si>
    <t>UIC000:ba_PurchasedElec</t>
  </si>
  <si>
    <t>UIC000:ba_Total</t>
  </si>
  <si>
    <t xml:space="preserve">   Construction</t>
  </si>
  <si>
    <t>UIC000:da_DistillateOil</t>
  </si>
  <si>
    <t>UIC000:da_LiquefiedPetr</t>
  </si>
  <si>
    <t>UIC000:da_MotorGasoline</t>
  </si>
  <si>
    <t>UIC000:da_AsphaltandRoa</t>
  </si>
  <si>
    <t xml:space="preserve">      Asphalt and Road Oil</t>
  </si>
  <si>
    <t>UIC000:c_OtherPetroleum</t>
  </si>
  <si>
    <t>UIC000:da_PetroleumSubt</t>
  </si>
  <si>
    <t>UIC000:da_NaturalGas</t>
  </si>
  <si>
    <t>UIC000:da_PurchasedElec</t>
  </si>
  <si>
    <t>UIC000:da_Total</t>
  </si>
  <si>
    <t xml:space="preserve">   Mining</t>
  </si>
  <si>
    <t>UIC000:fa_ResidualOil</t>
  </si>
  <si>
    <t>UIC000:fa_DistillateOil</t>
  </si>
  <si>
    <t>UIC000:fa_MotorGasoline</t>
  </si>
  <si>
    <t>UIC000:fa_OtherPetroleu</t>
  </si>
  <si>
    <t>UIC000:fa_PetroleumSubt</t>
  </si>
  <si>
    <t>UIC000:fa_NaturalGas</t>
  </si>
  <si>
    <t>UIC000:fa_LeaseandPlant</t>
  </si>
  <si>
    <t xml:space="preserve">      Lease and Plant Fuel 2/</t>
  </si>
  <si>
    <t>UIC000:fa_SteamCoal</t>
  </si>
  <si>
    <t>UIC000:fa_Renewables</t>
  </si>
  <si>
    <t>UIC000:fa_PurchasedElec</t>
  </si>
  <si>
    <t xml:space="preserve">      Purchased Electricity Excluding Oil Shale</t>
  </si>
  <si>
    <t>UIC000:fa_ElecOilShale</t>
  </si>
  <si>
    <t xml:space="preserve">      Purchased Electricity for Oil Shale</t>
  </si>
  <si>
    <t>UIC000:fa_Total</t>
  </si>
  <si>
    <t>UIC000:ca_ValueofShipme</t>
  </si>
  <si>
    <t>UIC000:ea_ValueofShipme</t>
  </si>
  <si>
    <t>UIC000:fa_ValueofShipme</t>
  </si>
  <si>
    <t>Energy Consumption per Unit of Output</t>
  </si>
  <si>
    <t>UIC000:ca_(thousandBtup</t>
  </si>
  <si>
    <t>UIC000:ea_(thousandBtup</t>
  </si>
  <si>
    <t>UIC000:fa_(thousandBtup</t>
  </si>
  <si>
    <t>UIC000:ca_tonscarbon_dd</t>
  </si>
  <si>
    <t>UIC000:ea_tonscarbon_dd</t>
  </si>
  <si>
    <t>UIC000:fa_tonscarbon_mn</t>
  </si>
  <si>
    <t>Agriculture, Construction, and Mining:</t>
  </si>
  <si>
    <t>UIC000:ma_Petroleum</t>
  </si>
  <si>
    <t>UIC000:ma_NaturalGas</t>
  </si>
  <si>
    <t>UIC000:ma_Coal</t>
  </si>
  <si>
    <t>UIC000:ma_Other</t>
  </si>
  <si>
    <t>UIC000:ma_Total</t>
  </si>
  <si>
    <t>UIC000:na_Petroleum</t>
  </si>
  <si>
    <t>UIC000:na_NaturalGas</t>
  </si>
  <si>
    <t>UIC000:na_Coal</t>
  </si>
  <si>
    <t>UIC000:na_Other</t>
  </si>
  <si>
    <t>UIC000:na_Total</t>
  </si>
  <si>
    <t>UIC000:na_SalestotheGri</t>
  </si>
  <si>
    <t>UIC000:na_Generationfor</t>
  </si>
  <si>
    <t>1/ Includes lubricants and miscellaneous petroleum products.</t>
  </si>
  <si>
    <t>2/ Represents natural gas used in well, field, and lease operations and in natural gas processing plant machinery.</t>
  </si>
  <si>
    <t>4/ Includes energy for combined-heat-and-power plants that have a non-regulatory status and small on-site generating systems.</t>
  </si>
  <si>
    <t>ISM001</t>
  </si>
  <si>
    <t>23.1. Industrial Sector Macroeconomic Indicators</t>
  </si>
  <si>
    <t>New England - 01</t>
  </si>
  <si>
    <t>ISM001:ba_GDP(billionm_</t>
  </si>
  <si>
    <t>ISM001:ca_NonfarmEmploy</t>
  </si>
  <si>
    <t>ISM001:ea_Agricultural</t>
  </si>
  <si>
    <t>ISM001:ea_Mining</t>
  </si>
  <si>
    <t>ISM001:ea_Construction</t>
  </si>
  <si>
    <t>ISM001:fa_FoodandKindre</t>
  </si>
  <si>
    <t>ISM001:fa_BeveragesandT</t>
  </si>
  <si>
    <t>ISM001:fa_TextileMillPr</t>
  </si>
  <si>
    <t>ISM001:fa_LumberandWood</t>
  </si>
  <si>
    <t>ISM001:fa_FurnitureandF</t>
  </si>
  <si>
    <t>ISM001:fa_PaperandAllie</t>
  </si>
  <si>
    <t>ISM001:fa_PrintingandPu</t>
  </si>
  <si>
    <t>ISM001:fa_ChemicalandAl</t>
  </si>
  <si>
    <t>ISM001:fa_BulkChemicals</t>
  </si>
  <si>
    <t>ISM001:fa_Inorganic</t>
  </si>
  <si>
    <t>ISM001:fa_Organic</t>
  </si>
  <si>
    <t>ISM001:fa_Resins</t>
  </si>
  <si>
    <t>ISM001:fa_AgriculturalC</t>
  </si>
  <si>
    <t>ISM001:fa_OtherChemical</t>
  </si>
  <si>
    <t>ISM001:fa_PetroleumandC</t>
  </si>
  <si>
    <t>ISM001:fa_PetroleumRefi</t>
  </si>
  <si>
    <t>ISM001:fa_OtherPetroleu</t>
  </si>
  <si>
    <t>ISM001:fa_RubberandMisc</t>
  </si>
  <si>
    <t>ISM001:fa_Stone,Clay,an</t>
  </si>
  <si>
    <t>ISM001:fa_GlassandGlass</t>
  </si>
  <si>
    <t>ISM001:fa_CementandHydr</t>
  </si>
  <si>
    <t>ISM001:fa_OtherStone,Cl</t>
  </si>
  <si>
    <t>ISM001:ga_PrimaryMetals</t>
  </si>
  <si>
    <t>ISM001:ga_BlastFurnacea</t>
  </si>
  <si>
    <t>ISM001:ga_Aluminum</t>
  </si>
  <si>
    <t>ISM001:ga_OtherPrimaryM</t>
  </si>
  <si>
    <t>ISM001:ga_FabricatedMet</t>
  </si>
  <si>
    <t>ISM001:ga_IndustrialMac</t>
  </si>
  <si>
    <t>ISM001:ga_Electronicand</t>
  </si>
  <si>
    <t>ISM001:ga_Transportatio</t>
  </si>
  <si>
    <t>ISM001:ga_Instrumentsan</t>
  </si>
  <si>
    <t>ISM001:ga_Miscellaneous</t>
  </si>
  <si>
    <t>ISM001:ha_TotalIndustri</t>
  </si>
  <si>
    <t>ISM002</t>
  </si>
  <si>
    <t>23.2. Industrial Sector Macroeconomic Indicators</t>
  </si>
  <si>
    <t>Middle Atlantic - 02</t>
  </si>
  <si>
    <t>ISM002:ba_GDP(billionm_</t>
  </si>
  <si>
    <t>ISM002:ca_NonfarmEmploy</t>
  </si>
  <si>
    <t>ISM002:ea_Agricultural</t>
  </si>
  <si>
    <t>ISM002:ea_Mining</t>
  </si>
  <si>
    <t>ISM002:ea_Construction</t>
  </si>
  <si>
    <t>ISM002:fa_FoodandKindre</t>
  </si>
  <si>
    <t>ISM002:fa_BeveragesandT</t>
  </si>
  <si>
    <t>ISM002:fa_TextileMillPr</t>
  </si>
  <si>
    <t>ISM002:fa_LumberandWood</t>
  </si>
  <si>
    <t>ISM002:fa_FurnitureandF</t>
  </si>
  <si>
    <t>ISM002:fa_PaperandAllie</t>
  </si>
  <si>
    <t>ISM002:fa_PrintingandPu</t>
  </si>
  <si>
    <t>ISM002:fa_ChemicalandAl</t>
  </si>
  <si>
    <t>ISM002:fa_BulkChemicals</t>
  </si>
  <si>
    <t>ISM002:fa_Inorganic</t>
  </si>
  <si>
    <t>ISM002:fa_Organic</t>
  </si>
  <si>
    <t>ISM002:fa_Resins</t>
  </si>
  <si>
    <t>ISM002:fa_AgriculturalC</t>
  </si>
  <si>
    <t>ISM002:fa_OtherChemical</t>
  </si>
  <si>
    <t>ISM002:fa_PetroleumandC</t>
  </si>
  <si>
    <t>ISM002:fa_PetroleumRefi</t>
  </si>
  <si>
    <t>ISM002:fa_OtherPetroleu</t>
  </si>
  <si>
    <t>ISM002:fa_RubberandMisc</t>
  </si>
  <si>
    <t>ISM002:fa_Stone,Clay,an</t>
  </si>
  <si>
    <t>ISM002:fa_GlassandGlass</t>
  </si>
  <si>
    <t>ISM002:fa_CementandHydr</t>
  </si>
  <si>
    <t>ISM002:fa_OtherStone,Cl</t>
  </si>
  <si>
    <t>ISM002:ga_PrimaryMetals</t>
  </si>
  <si>
    <t>ISM002:ga_BlastFurnacea</t>
  </si>
  <si>
    <t>ISM002:ga_Aluminum</t>
  </si>
  <si>
    <t>ISM002:ga_OtherPrimaryM</t>
  </si>
  <si>
    <t>ISM002:ga_FabricatedMet</t>
  </si>
  <si>
    <t>ISM002:ga_IndustrialMac</t>
  </si>
  <si>
    <t>ISM002:ga_Electronicand</t>
  </si>
  <si>
    <t>ISM002:ga_Transportatio</t>
  </si>
  <si>
    <t>ISM002:ga_Instrumentsan</t>
  </si>
  <si>
    <t>ISM002:ga_Miscellaneous</t>
  </si>
  <si>
    <t>ISM002:ha_TotalIndustri</t>
  </si>
  <si>
    <t>ISM003</t>
  </si>
  <si>
    <t>23.3. Industrial Sector Macroeconomic Indicators</t>
  </si>
  <si>
    <t>East North Central - 03</t>
  </si>
  <si>
    <t>ISM003:ba_GDP(billionm_</t>
  </si>
  <si>
    <t>ISM003:ca_NonfarmEmploy</t>
  </si>
  <si>
    <t>ISM003:ea_Agricultural</t>
  </si>
  <si>
    <t>ISM003:ea_Mining</t>
  </si>
  <si>
    <t>ISM003:ea_Construction</t>
  </si>
  <si>
    <t>ISM003:fa_FoodandKindre</t>
  </si>
  <si>
    <t>ISM003:fa_BeveragesandT</t>
  </si>
  <si>
    <t>ISM003:fa_TextileMillPr</t>
  </si>
  <si>
    <t>ISM003:fa_LumberandWood</t>
  </si>
  <si>
    <t>ISM003:fa_FurnitureandF</t>
  </si>
  <si>
    <t>ISM003:fa_PaperandAllie</t>
  </si>
  <si>
    <t>ISM003:fa_PrintingandPu</t>
  </si>
  <si>
    <t>ISM003:fa_ChemicalandAl</t>
  </si>
  <si>
    <t>ISM003:fa_BulkChemicals</t>
  </si>
  <si>
    <t>ISM003:fa_Inorganic</t>
  </si>
  <si>
    <t>ISM003:fa_Organic</t>
  </si>
  <si>
    <t>ISM003:fa_Resins</t>
  </si>
  <si>
    <t>ISM003:fa_AgriculturalC</t>
  </si>
  <si>
    <t>ISM003:fa_OtherChemical</t>
  </si>
  <si>
    <t>ISM003:fa_PetroleumandC</t>
  </si>
  <si>
    <t>ISM003:fa_PetroleumRefi</t>
  </si>
  <si>
    <t>ISM003:fa_OtherPetroleu</t>
  </si>
  <si>
    <t>ISM003:fa_RubberandMisc</t>
  </si>
  <si>
    <t>ISM003:fa_Stone,Clay,an</t>
  </si>
  <si>
    <t>ISM003:fa_GlassandGlass</t>
  </si>
  <si>
    <t>ISM003:fa_CementandHydr</t>
  </si>
  <si>
    <t>ISM003:fa_OtherStone,Cl</t>
  </si>
  <si>
    <t>ISM003:ga_PrimaryMetals</t>
  </si>
  <si>
    <t>ISM003:ga_BlastFurnacea</t>
  </si>
  <si>
    <t>ISM003:ga_Aluminum</t>
  </si>
  <si>
    <t>ISM003:ga_OtherPrimaryM</t>
  </si>
  <si>
    <t>ISM003:ga_FabricatedMet</t>
  </si>
  <si>
    <t>ISM003:ga_IndustrialMac</t>
  </si>
  <si>
    <t>ISM003:ga_Electronicand</t>
  </si>
  <si>
    <t>ISM003:ga_Transportatio</t>
  </si>
  <si>
    <t>ISM003:ga_Instrumentsan</t>
  </si>
  <si>
    <t>ISM003:ga_Miscellaneous</t>
  </si>
  <si>
    <t>ISM003:ha_TotalIndustri</t>
  </si>
  <si>
    <t>ISM004</t>
  </si>
  <si>
    <t>23.4. Industrial Sector Macroeconomic Indicators</t>
  </si>
  <si>
    <t>West North Central - 04</t>
  </si>
  <si>
    <t>ISM004:ba_GDP(billionm_</t>
  </si>
  <si>
    <t>ISM004:ca_NonfarmEmploy</t>
  </si>
  <si>
    <t>ISM004:ea_Agricultural</t>
  </si>
  <si>
    <t>ISM004:ea_Mining</t>
  </si>
  <si>
    <t>ISM004:ea_Construction</t>
  </si>
  <si>
    <t>ISM004:fa_FoodandKindre</t>
  </si>
  <si>
    <t>ISM004:fa_BeveragesandT</t>
  </si>
  <si>
    <t>ISM004:fa_TextileMillPr</t>
  </si>
  <si>
    <t>ISM004:fa_LumberandWood</t>
  </si>
  <si>
    <t>ISM004:fa_FurnitureandF</t>
  </si>
  <si>
    <t>ISM004:fa_PaperandAllie</t>
  </si>
  <si>
    <t>ISM004:fa_PrintingandPu</t>
  </si>
  <si>
    <t>ISM004:fa_ChemicalandAl</t>
  </si>
  <si>
    <t>ISM004:fa_BulkChemicals</t>
  </si>
  <si>
    <t>ISM004:fa_Inorganic</t>
  </si>
  <si>
    <t>ISM004:fa_Organic</t>
  </si>
  <si>
    <t>ISM004:fa_Resins</t>
  </si>
  <si>
    <t>ISM004:fa_AgriculturalC</t>
  </si>
  <si>
    <t>ISM004:fa_OtherChemical</t>
  </si>
  <si>
    <t>ISM004:fa_PetroleumandC</t>
  </si>
  <si>
    <t>ISM004:fa_PetroleumRefi</t>
  </si>
  <si>
    <t>ISM004:fa_OtherPetroleu</t>
  </si>
  <si>
    <t>ISM004:fa_RubberandMisc</t>
  </si>
  <si>
    <t>ISM004:fa_Stone,Clay,an</t>
  </si>
  <si>
    <t>ISM004:fa_GlassandGlass</t>
  </si>
  <si>
    <t>ISM004:fa_CementandHydr</t>
  </si>
  <si>
    <t>ISM004:fa_OtherStone,Cl</t>
  </si>
  <si>
    <t>ISM004:ga_PrimaryMetals</t>
  </si>
  <si>
    <t>ISM004:ga_BlastFurnacea</t>
  </si>
  <si>
    <t>ISM004:ga_Aluminum</t>
  </si>
  <si>
    <t>ISM004:ga_OtherPrimaryM</t>
  </si>
  <si>
    <t>ISM004:ga_FabricatedMet</t>
  </si>
  <si>
    <t>ISM004:ga_IndustrialMac</t>
  </si>
  <si>
    <t>ISM004:ga_Electronicand</t>
  </si>
  <si>
    <t>ISM004:ga_Transportatio</t>
  </si>
  <si>
    <t>ISM004:ga_Instrumentsan</t>
  </si>
  <si>
    <t>ISM004:ga_Miscellaneous</t>
  </si>
  <si>
    <t>ISM004:ha_TotalIndustri</t>
  </si>
  <si>
    <t>ISM005</t>
  </si>
  <si>
    <t>23.5. Industrial Sector Macroeconomic Indicators</t>
  </si>
  <si>
    <t>South Atlantic - 05</t>
  </si>
  <si>
    <t>ISM005:ba_GDP(billionm_</t>
  </si>
  <si>
    <t>ISM005:ca_NonfarmEmploy</t>
  </si>
  <si>
    <t>ISM005:ea_Agricultural</t>
  </si>
  <si>
    <t>ISM005:ea_Mining</t>
  </si>
  <si>
    <t>ISM005:ea_Construction</t>
  </si>
  <si>
    <t>ISM005:fa_FoodandKindre</t>
  </si>
  <si>
    <t>ISM005:fa_BeveragesandT</t>
  </si>
  <si>
    <t>ISM005:fa_TextileMillPr</t>
  </si>
  <si>
    <t>ISM005:fa_LumberandWood</t>
  </si>
  <si>
    <t>ISM005:fa_FurnitureandF</t>
  </si>
  <si>
    <t>ISM005:fa_PaperandAllie</t>
  </si>
  <si>
    <t>ISM005:fa_PrintingandPu</t>
  </si>
  <si>
    <t>ISM005:fa_ChemicalandAl</t>
  </si>
  <si>
    <t>ISM005:fa_BulkChemicals</t>
  </si>
  <si>
    <t>ISM005:fa_Inorganic</t>
  </si>
  <si>
    <t>ISM005:fa_Organic</t>
  </si>
  <si>
    <t>ISM005:fa_Resins</t>
  </si>
  <si>
    <t>ISM005:fa_AgriculturalC</t>
  </si>
  <si>
    <t>ISM005:fa_OtherChemical</t>
  </si>
  <si>
    <t>ISM005:fa_PetroleumandC</t>
  </si>
  <si>
    <t>ISM005:fa_PetroleumRefi</t>
  </si>
  <si>
    <t>ISM005:fa_OtherPetroleu</t>
  </si>
  <si>
    <t>ISM005:fa_RubberandMisc</t>
  </si>
  <si>
    <t>ISM005:fa_Stone,Clay,an</t>
  </si>
  <si>
    <t>ISM005:fa_GlassandGlass</t>
  </si>
  <si>
    <t>ISM005:fa_CementandHydr</t>
  </si>
  <si>
    <t>ISM005:fa_OtherStone,Cl</t>
  </si>
  <si>
    <t>ISM005:ga_PrimaryMetals</t>
  </si>
  <si>
    <t>ISM005:ga_BlastFurnacea</t>
  </si>
  <si>
    <t>ISM005:ga_Aluminum</t>
  </si>
  <si>
    <t>ISM005:ga_OtherPrimaryM</t>
  </si>
  <si>
    <t>ISM005:ga_FabricatedMet</t>
  </si>
  <si>
    <t>ISM005:ga_IndustrialMac</t>
  </si>
  <si>
    <t>ISM005:ga_Electronicand</t>
  </si>
  <si>
    <t>ISM005:ga_Transportatio</t>
  </si>
  <si>
    <t>ISM005:ga_Instrumentsan</t>
  </si>
  <si>
    <t>ISM005:ga_Miscellaneous</t>
  </si>
  <si>
    <t>ISM005:ha_TotalIndustri</t>
  </si>
  <si>
    <t>ISM006</t>
  </si>
  <si>
    <t>23.6. Industrial Sector Macroeconomic Indicators</t>
  </si>
  <si>
    <t>East South Central - 06</t>
  </si>
  <si>
    <t>ISM006:ba_GDP(billionm_</t>
  </si>
  <si>
    <t>ISM006:ca_NonfarmEmploy</t>
  </si>
  <si>
    <t>ISM006:ea_Agricultural</t>
  </si>
  <si>
    <t>ISM006:ea_Mining</t>
  </si>
  <si>
    <t>ISM006:ea_Construction</t>
  </si>
  <si>
    <t>ISM006:fa_FoodandKindre</t>
  </si>
  <si>
    <t>ISM006:fa_BeveragesandT</t>
  </si>
  <si>
    <t>ISM006:fa_TextileMillPr</t>
  </si>
  <si>
    <t>ISM006:fa_LumberandWood</t>
  </si>
  <si>
    <t>ISM006:fa_FurnitureandF</t>
  </si>
  <si>
    <t>ISM006:fa_PaperandAllie</t>
  </si>
  <si>
    <t>ISM006:fa_PrintingandPu</t>
  </si>
  <si>
    <t>ISM006:fa_ChemicalandAl</t>
  </si>
  <si>
    <t>ISM006:fa_BulkChemicals</t>
  </si>
  <si>
    <t>ISM006:fa_Inorganic</t>
  </si>
  <si>
    <t>ISM006:fa_Organic</t>
  </si>
  <si>
    <t>ISM006:fa_Resins</t>
  </si>
  <si>
    <t>ISM006:fa_AgriculturalC</t>
  </si>
  <si>
    <t>ISM006:fa_OtherChemical</t>
  </si>
  <si>
    <t>ISM006:fa_PetroleumandC</t>
  </si>
  <si>
    <t>ISM006:fa_PetroleumRefi</t>
  </si>
  <si>
    <t>ISM006:fa_OtherPetroleu</t>
  </si>
  <si>
    <t>ISM006:fa_RubberandMisc</t>
  </si>
  <si>
    <t>ISM006:fa_Stone,Clay,an</t>
  </si>
  <si>
    <t>ISM006:fa_GlassandGlass</t>
  </si>
  <si>
    <t>ISM006:fa_CementandHydr</t>
  </si>
  <si>
    <t>ISM006:fa_OtherStone,Cl</t>
  </si>
  <si>
    <t>ISM006:ga_PrimaryMetals</t>
  </si>
  <si>
    <t>ISM006:ga_BlastFurnacea</t>
  </si>
  <si>
    <t>ISM006:ga_Aluminum</t>
  </si>
  <si>
    <t>ISM006:ga_OtherPrimaryM</t>
  </si>
  <si>
    <t>ISM006:ga_FabricatedMet</t>
  </si>
  <si>
    <t>ISM006:ga_IndustrialMac</t>
  </si>
  <si>
    <t>ISM006:ga_Electronicand</t>
  </si>
  <si>
    <t>ISM006:ga_Transportatio</t>
  </si>
  <si>
    <t>ISM006:ga_Instrumentsan</t>
  </si>
  <si>
    <t>ISM006:ga_Miscellaneous</t>
  </si>
  <si>
    <t>ISM006:ha_TotalIndustri</t>
  </si>
  <si>
    <t>ISM007</t>
  </si>
  <si>
    <t>23.7. Industrial Sector Macroeconomic Indicators</t>
  </si>
  <si>
    <t>West South Central - 07</t>
  </si>
  <si>
    <t>ISM007:ba_GDP(billionm_</t>
  </si>
  <si>
    <t>ISM007:ca_NonfarmEmploy</t>
  </si>
  <si>
    <t>ISM007:ea_Agricultural</t>
  </si>
  <si>
    <t>ISM007:ea_Mining</t>
  </si>
  <si>
    <t>ISM007:ea_Construction</t>
  </si>
  <si>
    <t>ISM007:fa_FoodandKindre</t>
  </si>
  <si>
    <t>ISM007:fa_BeveragesandT</t>
  </si>
  <si>
    <t>ISM007:fa_TextileMillPr</t>
  </si>
  <si>
    <t>ISM007:fa_LumberandWood</t>
  </si>
  <si>
    <t>ISM007:fa_FurnitureandF</t>
  </si>
  <si>
    <t>ISM007:fa_PaperandAllie</t>
  </si>
  <si>
    <t>ISM007:fa_PrintingandPu</t>
  </si>
  <si>
    <t>ISM007:fa_ChemicalandAl</t>
  </si>
  <si>
    <t>ISM007:fa_BulkChemicals</t>
  </si>
  <si>
    <t>ISM007:fa_Inorganic</t>
  </si>
  <si>
    <t>ISM007:fa_Organic</t>
  </si>
  <si>
    <t>ISM007:fa_Resins</t>
  </si>
  <si>
    <t>ISM007:fa_AgriculturalC</t>
  </si>
  <si>
    <t>ISM007:fa_OtherChemical</t>
  </si>
  <si>
    <t>ISM007:fa_PetroleumandC</t>
  </si>
  <si>
    <t>ISM007:fa_PetroleumRefi</t>
  </si>
  <si>
    <t>ISM007:fa_OtherPetroleu</t>
  </si>
  <si>
    <t>ISM007:fa_RubberandMisc</t>
  </si>
  <si>
    <t>ISM007:fa_Stone,Clay,an</t>
  </si>
  <si>
    <t>ISM007:fa_GlassandGlass</t>
  </si>
  <si>
    <t>ISM007:fa_CementandHydr</t>
  </si>
  <si>
    <t>ISM007:fa_OtherStone,Cl</t>
  </si>
  <si>
    <t>ISM007:ga_PrimaryMetals</t>
  </si>
  <si>
    <t>ISM007:ga_BlastFurnacea</t>
  </si>
  <si>
    <t>ISM007:ga_Aluminum</t>
  </si>
  <si>
    <t>ISM007:ga_OtherPrimaryM</t>
  </si>
  <si>
    <t>ISM007:ga_FabricatedMet</t>
  </si>
  <si>
    <t>ISM007:ga_IndustrialMac</t>
  </si>
  <si>
    <t>ISM007:ga_Electronicand</t>
  </si>
  <si>
    <t>ISM007:ga_Transportatio</t>
  </si>
  <si>
    <t>ISM007:ga_Instrumentsan</t>
  </si>
  <si>
    <t>ISM007:ga_Miscellaneous</t>
  </si>
  <si>
    <t>ISM007:ha_TotalIndustri</t>
  </si>
  <si>
    <t>ISM008</t>
  </si>
  <si>
    <t>23.8. Industrial Sector Macroeconomic Indicators</t>
  </si>
  <si>
    <t>Mountain - 08</t>
  </si>
  <si>
    <t>ISM008:ba_GDP(billionm_</t>
  </si>
  <si>
    <t>ISM008:ca_NonfarmEmploy</t>
  </si>
  <si>
    <t>ISM008:ea_Agricultural</t>
  </si>
  <si>
    <t>ISM008:ea_Mining</t>
  </si>
  <si>
    <t>ISM008:ea_Construction</t>
  </si>
  <si>
    <t>ISM008:fa_FoodandKindre</t>
  </si>
  <si>
    <t>ISM008:fa_BeveragesandT</t>
  </si>
  <si>
    <t>ISM008:fa_TextileMillPr</t>
  </si>
  <si>
    <t>ISM008:fa_LumberandWood</t>
  </si>
  <si>
    <t>ISM008:fa_FurnitureandF</t>
  </si>
  <si>
    <t>ISM008:fa_PaperandAllie</t>
  </si>
  <si>
    <t>ISM008:fa_PrintingandPu</t>
  </si>
  <si>
    <t>ISM008:fa_ChemicalandAl</t>
  </si>
  <si>
    <t>ISM008:fa_BulkChemicals</t>
  </si>
  <si>
    <t>ISM008:fa_Inorganic</t>
  </si>
  <si>
    <t>ISM008:fa_Organic</t>
  </si>
  <si>
    <t>ISM008:fa_Resins</t>
  </si>
  <si>
    <t>ISM008:fa_AgriculturalC</t>
  </si>
  <si>
    <t>ISM008:fa_OtherChemical</t>
  </si>
  <si>
    <t>ISM008:fa_PetroleumandC</t>
  </si>
  <si>
    <t>ISM008:fa_PetroleumRefi</t>
  </si>
  <si>
    <t>ISM008:fa_OtherPetroleu</t>
  </si>
  <si>
    <t>ISM008:fa_RubberandMisc</t>
  </si>
  <si>
    <t>ISM008:fa_Stone,Clay,an</t>
  </si>
  <si>
    <t>ISM008:fa_GlassandGlass</t>
  </si>
  <si>
    <t>ISM008:fa_CementandHydr</t>
  </si>
  <si>
    <t>ISM008:fa_OtherStone,Cl</t>
  </si>
  <si>
    <t>ISM008:ga_PrimaryMetals</t>
  </si>
  <si>
    <t>ISM008:ga_BlastFurnacea</t>
  </si>
  <si>
    <t>ISM008:ga_Aluminum</t>
  </si>
  <si>
    <t>ISM008:ga_OtherPrimaryM</t>
  </si>
  <si>
    <t>ISM008:ga_FabricatedMet</t>
  </si>
  <si>
    <t>ISM008:ga_IndustrialMac</t>
  </si>
  <si>
    <t>ISM008:ga_Electronicand</t>
  </si>
  <si>
    <t>ISM008:ga_Transportatio</t>
  </si>
  <si>
    <t>ISM008:ga_Instrumentsan</t>
  </si>
  <si>
    <t>ISM008:ga_Miscellaneous</t>
  </si>
  <si>
    <t>ISM008:ha_TotalIndustri</t>
  </si>
  <si>
    <t>ISM009</t>
  </si>
  <si>
    <t>23.9. Industrial Sector Macroeconomic Indicators</t>
  </si>
  <si>
    <t>Pacific - 09</t>
  </si>
  <si>
    <t>ISM009:ba_GDP(billionm_</t>
  </si>
  <si>
    <t>ISM009:ca_NonfarmEmploy</t>
  </si>
  <si>
    <t>ISM009:ea_Agricultural</t>
  </si>
  <si>
    <t>ISM009:ea_Mining</t>
  </si>
  <si>
    <t>ISM009:ea_Construction</t>
  </si>
  <si>
    <t>ISM009:fa_FoodandKindre</t>
  </si>
  <si>
    <t>ISM009:fa_BeveragesandT</t>
  </si>
  <si>
    <t>ISM009:fa_TextileMillPr</t>
  </si>
  <si>
    <t>ISM009:fa_LumberandWood</t>
  </si>
  <si>
    <t>ISM009:fa_FurnitureandF</t>
  </si>
  <si>
    <t>ISM009:fa_PaperandAllie</t>
  </si>
  <si>
    <t>ISM009:fa_PrintingandPu</t>
  </si>
  <si>
    <t>ISM009:fa_ChemicalandAl</t>
  </si>
  <si>
    <t>ISM009:fa_BulkChemicals</t>
  </si>
  <si>
    <t>ISM009:fa_Inorganic</t>
  </si>
  <si>
    <t>ISM009:fa_Organic</t>
  </si>
  <si>
    <t>ISM009:fa_Resins</t>
  </si>
  <si>
    <t>ISM009:fa_AgriculturalC</t>
  </si>
  <si>
    <t>ISM009:fa_OtherChemical</t>
  </si>
  <si>
    <t>ISM009:fa_PetroleumandC</t>
  </si>
  <si>
    <t>ISM009:fa_PetroleumRefi</t>
  </si>
  <si>
    <t>ISM009:fa_OtherPetroleu</t>
  </si>
  <si>
    <t>ISM009:fa_RubberandMisc</t>
  </si>
  <si>
    <t>ISM009:fa_Stone,Clay,an</t>
  </si>
  <si>
    <t>ISM009:fa_GlassandGlass</t>
  </si>
  <si>
    <t>ISM009:fa_CementandHydr</t>
  </si>
  <si>
    <t>ISM009:fa_OtherStone,Cl</t>
  </si>
  <si>
    <t>ISM009:ga_PrimaryMetals</t>
  </si>
  <si>
    <t>ISM009:ga_BlastFurnacea</t>
  </si>
  <si>
    <t>ISM009:ga_Aluminum</t>
  </si>
  <si>
    <t>ISM009:ga_OtherPrimaryM</t>
  </si>
  <si>
    <t>ISM009:ga_FabricatedMet</t>
  </si>
  <si>
    <t>ISM009:ga_IndustrialMac</t>
  </si>
  <si>
    <t>ISM009:ga_Electronicand</t>
  </si>
  <si>
    <t>ISM009:ga_Transportatio</t>
  </si>
  <si>
    <t>ISM009:ga_Instrumentsan</t>
  </si>
  <si>
    <t>ISM009:ga_Miscellaneous</t>
  </si>
  <si>
    <t>ISM009:ha_TotalIndustri</t>
  </si>
  <si>
    <t>Method of forming feedstocks</t>
  </si>
  <si>
    <t>1: fossil fuels (unabated)</t>
  </si>
  <si>
    <t>2: green H2 + fossil CCU</t>
  </si>
  <si>
    <t>3: green H2 + BECCU</t>
  </si>
  <si>
    <t>4: green H2 + DAC CCU</t>
  </si>
  <si>
    <t>Method of supplying med-high temp. heat (&gt;165 C)</t>
  </si>
  <si>
    <t>1: direct electrification</t>
  </si>
  <si>
    <t>2: electrolytic H2 cmbstn</t>
  </si>
  <si>
    <t>3: fossil fuel + CCS</t>
  </si>
  <si>
    <t>4: even split (33%-33%-33%)</t>
  </si>
  <si>
    <t>Europe</t>
  </si>
  <si>
    <t>Units: Mtoe</t>
  </si>
  <si>
    <t>Population</t>
  </si>
  <si>
    <t>Millions</t>
  </si>
  <si>
    <t>GDP</t>
  </si>
  <si>
    <t>INR Billion</t>
  </si>
  <si>
    <t>USD</t>
  </si>
  <si>
    <t>Demand</t>
  </si>
  <si>
    <t>Energy Demand</t>
  </si>
  <si>
    <t>CAGR</t>
  </si>
  <si>
    <t>Buildings</t>
  </si>
  <si>
    <t>Transport</t>
  </si>
  <si>
    <t>Pumps&amp; Tractors</t>
  </si>
  <si>
    <t>Cooking</t>
  </si>
  <si>
    <t>Others</t>
  </si>
  <si>
    <t>Per capita energy demand</t>
  </si>
  <si>
    <t>MJ/Person</t>
  </si>
  <si>
    <t>Fuel-wise energy consumption</t>
  </si>
  <si>
    <t>Base Year</t>
  </si>
  <si>
    <t>Target Year</t>
  </si>
  <si>
    <t>Oil Products</t>
  </si>
  <si>
    <t>Grid Electricity</t>
  </si>
  <si>
    <t>Traditional Biomass</t>
  </si>
  <si>
    <t>Green Hydrogen</t>
  </si>
  <si>
    <t>Off-grid RE</t>
  </si>
  <si>
    <t>Energy Supply</t>
  </si>
  <si>
    <t>Biomass</t>
  </si>
  <si>
    <t>Coal oversupply (imports)</t>
  </si>
  <si>
    <t>Coal production</t>
  </si>
  <si>
    <t>Oil Production</t>
  </si>
  <si>
    <t>Oil and petroleum products oversupply (imports)</t>
  </si>
  <si>
    <t>Oil and petroleum products</t>
  </si>
  <si>
    <t>Gas oversupply (imports)</t>
  </si>
  <si>
    <t>Gas production</t>
  </si>
  <si>
    <t>Natural gas</t>
  </si>
  <si>
    <t>Renewables and Clean Energy</t>
  </si>
  <si>
    <t>Electricity Imports</t>
  </si>
  <si>
    <t>-</t>
  </si>
  <si>
    <t>Total Primary Supply</t>
  </si>
  <si>
    <t xml:space="preserve">Energy Intensity </t>
  </si>
  <si>
    <t>MJ/INR</t>
  </si>
  <si>
    <t>Total Electricity Consumption (Inc. Captive electricity)</t>
  </si>
  <si>
    <t>Industry (Inc. self-generated electricity)</t>
  </si>
  <si>
    <t>Commercial</t>
  </si>
  <si>
    <t>Telecom + Cooking + Transport</t>
  </si>
  <si>
    <t>Miscellaneous</t>
  </si>
  <si>
    <t>Refineries</t>
  </si>
  <si>
    <t>Per Capita electricity demand</t>
  </si>
  <si>
    <t>Per capita generation</t>
  </si>
  <si>
    <t xml:space="preserve">PLF for Coal power plants: </t>
  </si>
  <si>
    <t>With projected capacities</t>
  </si>
  <si>
    <t xml:space="preserve">Installed capacity </t>
  </si>
  <si>
    <t>Fossil-fuel based</t>
  </si>
  <si>
    <t>Hydro &amp; Nuclear</t>
  </si>
  <si>
    <t>RE-based capacity</t>
  </si>
  <si>
    <t>Standalone PV for green H2</t>
  </si>
  <si>
    <t>Standalone wind for green H2</t>
  </si>
  <si>
    <t>Total grid-connected capacity</t>
  </si>
  <si>
    <t>Share of fossil fuel-based capacity</t>
  </si>
  <si>
    <t>Share of Hydro &amp; Nuclear</t>
  </si>
  <si>
    <t>Share of RE</t>
  </si>
  <si>
    <t>Net Electricity Generation (Gross generation - auxiliary consumption)</t>
  </si>
  <si>
    <t>RE-based</t>
  </si>
  <si>
    <t>Share of fossil fuel-based generation</t>
  </si>
  <si>
    <t>Share of RE-based generation (uncurtailed)</t>
  </si>
  <si>
    <t>Share of Non-fossil fuel based generation</t>
  </si>
  <si>
    <t>Amount of overgeneration</t>
  </si>
  <si>
    <t>Estimated Storage Requirement</t>
  </si>
  <si>
    <t>Import Dependence</t>
  </si>
  <si>
    <t>Non-coking coal</t>
  </si>
  <si>
    <t>Coking Coal</t>
  </si>
  <si>
    <t>Oil</t>
  </si>
  <si>
    <t>Overall</t>
  </si>
  <si>
    <t xml:space="preserve">Energy-related GHG Emissions </t>
  </si>
  <si>
    <t>Total energy GHG Emissions</t>
  </si>
  <si>
    <t>Mt CO2-eq.</t>
  </si>
  <si>
    <t>Per Capita energy GHG Emissions</t>
  </si>
  <si>
    <t>tCO2-eq.</t>
  </si>
  <si>
    <t>Energy Emissions intensity to GDP</t>
  </si>
  <si>
    <t>kg CO2-eq/1000 INR</t>
  </si>
  <si>
    <t>Fuel Production</t>
  </si>
  <si>
    <t>MTOE</t>
  </si>
  <si>
    <t>BCM</t>
  </si>
  <si>
    <t>Non-coking Coal</t>
  </si>
  <si>
    <t>MT</t>
  </si>
  <si>
    <t>Energy source / use charts</t>
  </si>
  <si>
    <t>Historic data:</t>
  </si>
  <si>
    <t>2047Calculator calculations</t>
  </si>
  <si>
    <t>Mtoe / year</t>
  </si>
  <si>
    <t>2017(Consistent)</t>
  </si>
  <si>
    <t>Use</t>
  </si>
  <si>
    <t>H.01</t>
  </si>
  <si>
    <t>Residential Heating and cooling</t>
  </si>
  <si>
    <t>H.02</t>
  </si>
  <si>
    <t>Commercial Heating and cooling</t>
  </si>
  <si>
    <t>L.01</t>
  </si>
  <si>
    <t>Domestic Lighting &amp; appliances</t>
  </si>
  <si>
    <t>L.02</t>
  </si>
  <si>
    <t>Commercial Lighting &amp; Appliances</t>
  </si>
  <si>
    <t>I.01</t>
  </si>
  <si>
    <t>T.01</t>
  </si>
  <si>
    <t>Road transport</t>
  </si>
  <si>
    <t>T.02</t>
  </si>
  <si>
    <t>Rail transport</t>
  </si>
  <si>
    <t>T.03</t>
  </si>
  <si>
    <t>Domestic aviation</t>
  </si>
  <si>
    <t>T.04</t>
  </si>
  <si>
    <t>National navigation</t>
  </si>
  <si>
    <t>D.01</t>
  </si>
  <si>
    <t>G.01</t>
  </si>
  <si>
    <t>M.01</t>
  </si>
  <si>
    <t>NE.01</t>
  </si>
  <si>
    <t>Non-energy use of fuels</t>
  </si>
  <si>
    <t>Miscellaneous Electricity</t>
  </si>
  <si>
    <t>Scenario Demand</t>
  </si>
  <si>
    <t>Determined Effort</t>
  </si>
  <si>
    <t>.</t>
  </si>
  <si>
    <t>Source</t>
  </si>
  <si>
    <t>Primary Energy Supply</t>
  </si>
  <si>
    <t>N.01</t>
  </si>
  <si>
    <t>Nuclear</t>
  </si>
  <si>
    <t>R.01</t>
  </si>
  <si>
    <t>Solar</t>
  </si>
  <si>
    <t>R.02</t>
  </si>
  <si>
    <t>Wind</t>
  </si>
  <si>
    <t>R.03</t>
  </si>
  <si>
    <t>Tidal</t>
  </si>
  <si>
    <t>R.04</t>
  </si>
  <si>
    <t>Wave</t>
  </si>
  <si>
    <t>R.05</t>
  </si>
  <si>
    <t>Geothermal</t>
  </si>
  <si>
    <t>R.06</t>
  </si>
  <si>
    <t>Hydro</t>
  </si>
  <si>
    <t>Y.02</t>
  </si>
  <si>
    <t>Electricity oversupply (imports)</t>
  </si>
  <si>
    <t>Primary electricity, solar, marine, and net imports</t>
  </si>
  <si>
    <t>R.07</t>
  </si>
  <si>
    <t>Environmental heat</t>
  </si>
  <si>
    <t>W.01</t>
  </si>
  <si>
    <t>Waste</t>
  </si>
  <si>
    <t>A.01</t>
  </si>
  <si>
    <t>Y.04</t>
  </si>
  <si>
    <t>Coking Coal Imports</t>
  </si>
  <si>
    <t>Non-coking Coal Imports</t>
  </si>
  <si>
    <t>Q.01</t>
  </si>
  <si>
    <t>Q.02</t>
  </si>
  <si>
    <t>Y.05</t>
  </si>
  <si>
    <t>Y.06</t>
  </si>
  <si>
    <t>Q.03</t>
  </si>
  <si>
    <t>Conversion losses, distribution, and own use</t>
  </si>
  <si>
    <t>X.01</t>
  </si>
  <si>
    <t>Conversion losses</t>
  </si>
  <si>
    <t>X.02</t>
  </si>
  <si>
    <t>Distribution losses and own use</t>
  </si>
  <si>
    <t>Supply net of losses</t>
  </si>
  <si>
    <t>Net Consumption of Hydrocarbons</t>
  </si>
  <si>
    <t>V.03</t>
  </si>
  <si>
    <t>Solid hydrocarbons</t>
  </si>
  <si>
    <t>V.04</t>
  </si>
  <si>
    <t>Liquid hydrocarbons</t>
  </si>
  <si>
    <t>V.05</t>
  </si>
  <si>
    <t>Gaseous hydrocarbons</t>
  </si>
  <si>
    <t>Energy Security Tables - Including non-energy use</t>
  </si>
  <si>
    <t xml:space="preserve">Energy Security Tables - Only energy purpose </t>
  </si>
  <si>
    <t>Supply / demand not accounted for</t>
  </si>
  <si>
    <t>C.01</t>
  </si>
  <si>
    <t>Coal indigenous production</t>
  </si>
  <si>
    <t>C.02</t>
  </si>
  <si>
    <t>C.03</t>
  </si>
  <si>
    <t>Natural gas production</t>
  </si>
  <si>
    <t>V.06</t>
  </si>
  <si>
    <t>Solid Biomass Hydrocarbons</t>
  </si>
  <si>
    <t>V.065</t>
  </si>
  <si>
    <t>Liquid Biomass Hydrocarbons</t>
  </si>
  <si>
    <t>V.07</t>
  </si>
  <si>
    <t xml:space="preserve"> Gaseous Biomass Hydrocarbons</t>
  </si>
  <si>
    <t>V.08</t>
  </si>
  <si>
    <t>Edible biomass</t>
  </si>
  <si>
    <t>V.09</t>
  </si>
  <si>
    <t>Dry biomass and waste</t>
  </si>
  <si>
    <t>V.10</t>
  </si>
  <si>
    <t>Wet biomass and waste</t>
  </si>
  <si>
    <t>V.11</t>
  </si>
  <si>
    <t>Off Grid Renewables</t>
  </si>
  <si>
    <t>V.12</t>
  </si>
  <si>
    <t>Green H2</t>
  </si>
  <si>
    <t>V.13</t>
  </si>
  <si>
    <t>Energy crops (second generation)</t>
  </si>
  <si>
    <t>Total unnaccounted supply / demand</t>
  </si>
  <si>
    <t>Supply, Demand, and Unaccounted supply</t>
  </si>
  <si>
    <t>Electricity grid (net of distribution losses)</t>
  </si>
  <si>
    <t>V.01</t>
  </si>
  <si>
    <t>Electricity (delivered to end user)</t>
  </si>
  <si>
    <t>V.02</t>
  </si>
  <si>
    <t>Electricity (supplied to grid)</t>
  </si>
  <si>
    <t>Electric supplied to refineries</t>
  </si>
  <si>
    <t>T&amp;D Losses</t>
  </si>
  <si>
    <t>Net Electricity Supply (Including refineries)</t>
  </si>
  <si>
    <t>Net electricity Supply (without refineries)</t>
  </si>
  <si>
    <t>Z.01</t>
  </si>
  <si>
    <t>Unallocated</t>
  </si>
  <si>
    <t>Net balance</t>
  </si>
  <si>
    <t>Electricity Generation</t>
  </si>
  <si>
    <t>Electricity Consumption</t>
  </si>
  <si>
    <t>Mtoe/year</t>
  </si>
  <si>
    <t>Target year</t>
  </si>
  <si>
    <t>I.a</t>
  </si>
  <si>
    <t>Gas Power Stations</t>
  </si>
  <si>
    <t>Dukes 5.6 sum of generation - used on works for coal, oil gas and renewables</t>
  </si>
  <si>
    <t>I.b</t>
  </si>
  <si>
    <t>Coal power stations</t>
  </si>
  <si>
    <t>I.c</t>
  </si>
  <si>
    <t>Carbon Capture Storage (CCS)</t>
  </si>
  <si>
    <t>I.d</t>
  </si>
  <si>
    <t>Electricity Balancing Requirement</t>
  </si>
  <si>
    <t>(Coal thermal for calculator balancing)</t>
  </si>
  <si>
    <t>Sum of above</t>
  </si>
  <si>
    <t>Fossil Fuel Based Electricity</t>
  </si>
  <si>
    <t>II</t>
  </si>
  <si>
    <t>III</t>
  </si>
  <si>
    <t>Hydro Power Generation</t>
  </si>
  <si>
    <t>Dukes 5.6 Nuclear generation - used on works</t>
  </si>
  <si>
    <t>Hydro and Nuclear</t>
  </si>
  <si>
    <t>IV.a</t>
  </si>
  <si>
    <t>Solar PV</t>
  </si>
  <si>
    <t>Dukes 7.4 Generation Onshore wind</t>
  </si>
  <si>
    <t>Share</t>
  </si>
  <si>
    <t>IV.b</t>
  </si>
  <si>
    <t>Solar CSP</t>
  </si>
  <si>
    <t>Dukes 7.4 Generation Offshore wind</t>
  </si>
  <si>
    <t>IV.c.1</t>
  </si>
  <si>
    <t>Onshore Wind</t>
  </si>
  <si>
    <t>Dukes 5.6 Hydro - natural flow generation - used on works</t>
  </si>
  <si>
    <t>IV.c.2</t>
  </si>
  <si>
    <t>Offshore Wind</t>
  </si>
  <si>
    <t>IV.d</t>
  </si>
  <si>
    <t>Small Hydro</t>
  </si>
  <si>
    <t>IV.e</t>
  </si>
  <si>
    <t>Distributed Solar PV</t>
  </si>
  <si>
    <t>V.a</t>
  </si>
  <si>
    <t>Biomass Based Electricity</t>
  </si>
  <si>
    <t>VI.a</t>
  </si>
  <si>
    <t>Waste to Electricity</t>
  </si>
  <si>
    <t>Renewable Based Electricity</t>
  </si>
  <si>
    <t>VII.a</t>
  </si>
  <si>
    <t>Electricity trade</t>
  </si>
  <si>
    <t>Total generation supplied to grid</t>
  </si>
  <si>
    <t>Overgeneration</t>
  </si>
  <si>
    <t>Share of Renewables</t>
  </si>
  <si>
    <t>Electricity exports</t>
  </si>
  <si>
    <t>GW installed capacity</t>
  </si>
  <si>
    <t>Dukes 5.7 Conventional steam stations + Combined cycle gas turbine stations</t>
  </si>
  <si>
    <t>no bio in Dukes</t>
  </si>
  <si>
    <t>I.e</t>
  </si>
  <si>
    <t>Back up electricity by diesel</t>
  </si>
  <si>
    <t>Dukes  5.7 Nuclear stations</t>
  </si>
  <si>
    <t>Wind not split in Dukes</t>
  </si>
  <si>
    <t>Dukes  5.7 Hydro-electric stations: Natural flow</t>
  </si>
  <si>
    <t>Other renewables not split in Dukes</t>
  </si>
  <si>
    <t>VII.c</t>
  </si>
  <si>
    <t>Standby / peaking gas</t>
  </si>
  <si>
    <t>Total generation capacity (Utilities)</t>
  </si>
  <si>
    <t>Export Capacity</t>
  </si>
  <si>
    <t>Total generation capacity installed (RE) GW</t>
  </si>
  <si>
    <t>Additional capacity requirements for green hydrogen</t>
  </si>
  <si>
    <t>Emissions</t>
  </si>
  <si>
    <t>Adjustment factor:</t>
  </si>
  <si>
    <t>Emissions by sector</t>
  </si>
  <si>
    <t>I</t>
  </si>
  <si>
    <t>Hydrocarbon fuel power generation</t>
  </si>
  <si>
    <t>Nuclear power generation</t>
  </si>
  <si>
    <t>Hydro Electric Power Generation</t>
  </si>
  <si>
    <t>IV</t>
  </si>
  <si>
    <t>National  renewable power generation</t>
  </si>
  <si>
    <t>V</t>
  </si>
  <si>
    <t>VI</t>
  </si>
  <si>
    <t>VII</t>
  </si>
  <si>
    <t>Electricity storage</t>
  </si>
  <si>
    <t>IX</t>
  </si>
  <si>
    <t>Stress</t>
  </si>
  <si>
    <t>X</t>
  </si>
  <si>
    <t>XII</t>
  </si>
  <si>
    <t>XIII</t>
  </si>
  <si>
    <t>XV</t>
  </si>
  <si>
    <t>Fossil fuel production</t>
  </si>
  <si>
    <t>XVII</t>
  </si>
  <si>
    <t>Transfer</t>
  </si>
  <si>
    <t xml:space="preserve">Total </t>
  </si>
  <si>
    <t>Total Emissions in MT CO2</t>
  </si>
  <si>
    <t>Emissions/capita</t>
  </si>
  <si>
    <t>tons/capita</t>
  </si>
  <si>
    <t>Emissions intensity of GDP</t>
  </si>
  <si>
    <t>tCO2/INR Billion</t>
  </si>
  <si>
    <t>IPCC Sector</t>
  </si>
  <si>
    <t>Actuals, GHG Inv.</t>
  </si>
  <si>
    <t>1A</t>
  </si>
  <si>
    <t>Fuel Combustion</t>
  </si>
  <si>
    <t>UNFCCC Inventory Submissions 2012 [GBR-2012-2010-v1.2.xls] Summary2 'SUMMARY REPORT FOR CO2 EQUIVALENT EMISSIONS' - http://unfccc.int/national_reports/annex_i_ghg_inventories/national_inventories_submissions/items/6598.php</t>
  </si>
  <si>
    <t>1B</t>
  </si>
  <si>
    <t>Fugitive Emissions from Fuels</t>
  </si>
  <si>
    <t>Industrial Processes</t>
  </si>
  <si>
    <t>Solvent and Other Product Use</t>
  </si>
  <si>
    <t>NE,NO</t>
  </si>
  <si>
    <t>Land Use, Land-Use Change and Forestry</t>
  </si>
  <si>
    <t>X1</t>
  </si>
  <si>
    <t>International Aviation and Shipping</t>
  </si>
  <si>
    <t>Calculation</t>
  </si>
  <si>
    <t>X2</t>
  </si>
  <si>
    <t>Bioenergy credit</t>
  </si>
  <si>
    <t>X3</t>
  </si>
  <si>
    <t>Carbon capture</t>
  </si>
  <si>
    <t>Imported Fuel Price</t>
  </si>
  <si>
    <t>INR Billion/Mtoe</t>
  </si>
  <si>
    <t>High</t>
  </si>
  <si>
    <t xml:space="preserve">Point </t>
  </si>
  <si>
    <t>Low</t>
  </si>
  <si>
    <t>Component</t>
  </si>
  <si>
    <t>Trajectory</t>
  </si>
  <si>
    <t>Trajectory assumptions</t>
  </si>
  <si>
    <t>Description</t>
  </si>
  <si>
    <t>User Input</t>
  </si>
  <si>
    <t>Chosen</t>
  </si>
  <si>
    <t>Fuel</t>
  </si>
  <si>
    <t>Derived assumptions</t>
  </si>
  <si>
    <t>Outputs</t>
  </si>
  <si>
    <t>Vector</t>
  </si>
  <si>
    <t>Name</t>
  </si>
  <si>
    <t>Column1</t>
  </si>
  <si>
    <t>Column2</t>
  </si>
  <si>
    <t>2022</t>
  </si>
  <si>
    <t>2027</t>
  </si>
  <si>
    <t>2032</t>
  </si>
  <si>
    <t>2037</t>
  </si>
  <si>
    <t>2042</t>
  </si>
  <si>
    <t>2047</t>
  </si>
  <si>
    <t>Delta</t>
  </si>
  <si>
    <t>INR Cr</t>
  </si>
  <si>
    <t>Costs</t>
  </si>
  <si>
    <t>C1.Low</t>
  </si>
  <si>
    <t>Low estimate of capital costs</t>
  </si>
  <si>
    <t>C1.point</t>
  </si>
  <si>
    <t>Point estimate of capital costs</t>
  </si>
  <si>
    <t>C1.high</t>
  </si>
  <si>
    <t>High estimate of capital costs</t>
  </si>
  <si>
    <t>Low estimate of operating costs</t>
  </si>
  <si>
    <t>C2.point</t>
  </si>
  <si>
    <t>Point estimate of operating costs</t>
  </si>
  <si>
    <t>C2.high</t>
  </si>
  <si>
    <t>High estimate of operating costs</t>
  </si>
  <si>
    <t>Trajectory choice</t>
  </si>
  <si>
    <t>Efficiency Trajectory</t>
  </si>
  <si>
    <t>Fuel Mix Trajectory</t>
  </si>
  <si>
    <t>Scenarios for fuel savings-Cement Sector</t>
  </si>
  <si>
    <t>Scenarios for fuel savings-steel sector</t>
  </si>
  <si>
    <t>Specific Energy Consumption</t>
  </si>
  <si>
    <t>SEC  in the Cement sector</t>
  </si>
  <si>
    <t>Level1</t>
  </si>
  <si>
    <t>Level 2</t>
  </si>
  <si>
    <t>Level 3</t>
  </si>
  <si>
    <t>Level 4</t>
  </si>
  <si>
    <t>SEC in the Fertilizer sector</t>
  </si>
  <si>
    <t>SEC in the Aluminium sector</t>
  </si>
  <si>
    <t>SEC in the Iron and Steel sector</t>
  </si>
  <si>
    <t>SEC in the Pulp n Paper sector</t>
  </si>
  <si>
    <t>SEC in the Textile sector</t>
  </si>
  <si>
    <t>SEC in the Chlor Alkali sector</t>
  </si>
  <si>
    <t>SEC Others</t>
  </si>
  <si>
    <t>Input assumptions</t>
  </si>
  <si>
    <t>Base Level Demand Level of Industry</t>
  </si>
  <si>
    <t>MT of Production</t>
  </si>
  <si>
    <t>Aluminium</t>
  </si>
  <si>
    <t>Projected values</t>
  </si>
  <si>
    <t>Production Levels of Industry( Assuming, whatever is consumed in the country is being produced in the country)</t>
  </si>
  <si>
    <t>kg/capita (production)</t>
  </si>
  <si>
    <t>MT (Demand)</t>
  </si>
  <si>
    <t>kg/capita (consumption)</t>
  </si>
  <si>
    <t>Steel</t>
  </si>
  <si>
    <t>MT (Production)</t>
  </si>
  <si>
    <t>Fertilizer self-sufficiency in meeting demand</t>
  </si>
  <si>
    <t>Very High</t>
  </si>
  <si>
    <t>Medium</t>
  </si>
  <si>
    <t>Production levels of industry (User Input)</t>
  </si>
  <si>
    <t>Chosen Prouction levels</t>
  </si>
  <si>
    <t>Gas for Fertilizer</t>
  </si>
  <si>
    <t>Ratio of 2020 demand and future demand</t>
  </si>
  <si>
    <t>Gas for Steel</t>
  </si>
  <si>
    <t>Gas for Petrochemicals</t>
  </si>
  <si>
    <t>Gas for Oil Refineries</t>
  </si>
  <si>
    <t>Gas for other use</t>
  </si>
  <si>
    <t>Petroleum Product for Industry</t>
  </si>
  <si>
    <t>Taken from PPAC</t>
  </si>
  <si>
    <t>Total Non Energy Use</t>
  </si>
  <si>
    <t>SEC Reduction due to Tech Switch:  Cement</t>
  </si>
  <si>
    <t>Description (Level 1)</t>
  </si>
  <si>
    <t>Tech Switch</t>
  </si>
  <si>
    <t>SEC Reduction</t>
  </si>
  <si>
    <t>Level 1</t>
  </si>
  <si>
    <t>Chosen SCENARIO</t>
  </si>
  <si>
    <t>SEC Reduction due to Tech Switch:  Iron and Steel</t>
  </si>
  <si>
    <t>Energy split by vector:  Cement</t>
  </si>
  <si>
    <t>Default</t>
  </si>
  <si>
    <t>Description (Level 2)</t>
  </si>
  <si>
    <t>Increased WHR</t>
  </si>
  <si>
    <t>Description (Level 3)</t>
  </si>
  <si>
    <t>Increased Elec from Grid</t>
  </si>
  <si>
    <t>Description (Level 4)</t>
  </si>
  <si>
    <t>Increased AFRM</t>
  </si>
  <si>
    <t>Description (User Input)</t>
  </si>
  <si>
    <t>Description (Chosen)</t>
  </si>
  <si>
    <t>Energy split by vector:  Fertilizers</t>
  </si>
  <si>
    <t>D1</t>
  </si>
  <si>
    <t>D2</t>
  </si>
  <si>
    <t>Energy split by vector:  Aluminium</t>
  </si>
  <si>
    <t>Description (level 2)</t>
  </si>
  <si>
    <t>Energy split by vector:  Iron and Steel</t>
  </si>
  <si>
    <t>Energy split by vector:  Pulp n Paper</t>
  </si>
  <si>
    <t>Energy split by vector:  Textile</t>
  </si>
  <si>
    <t>Energy split by vector:  Chlor Alkali</t>
  </si>
  <si>
    <t>Energy split by vector:  Others</t>
  </si>
  <si>
    <t>Description (User-defined trajectory)</t>
  </si>
  <si>
    <t>Methodology</t>
  </si>
  <si>
    <t>CEMENT SECTOR</t>
  </si>
  <si>
    <t>Production of Cement</t>
  </si>
  <si>
    <t xml:space="preserve">PATHWAY SPECIFIC NORMALIZED ENERGY SAVINGS </t>
  </si>
  <si>
    <t>Avg SEC Cement</t>
  </si>
  <si>
    <t>Avg Energy Demand Normalized</t>
  </si>
  <si>
    <t>Energy Savings Normalized</t>
  </si>
  <si>
    <t>Energy Savings Share</t>
  </si>
  <si>
    <t>Alternate FRM</t>
  </si>
  <si>
    <t>Increased Blending</t>
  </si>
  <si>
    <t>Improved NHR</t>
  </si>
  <si>
    <t>EE Technologies -Thermal</t>
  </si>
  <si>
    <t>EE Technologies -Electrical</t>
  </si>
  <si>
    <t>High Cost Scenario</t>
  </si>
  <si>
    <t>Specific costs</t>
  </si>
  <si>
    <t>Pathway costs</t>
  </si>
  <si>
    <t>Low Cost Scenario</t>
  </si>
  <si>
    <t>Pathway Costs</t>
  </si>
  <si>
    <t>Fuel Demand</t>
  </si>
  <si>
    <t>Demand by vector = Total × split by vector</t>
  </si>
  <si>
    <t>Physical Units</t>
  </si>
  <si>
    <t>Electricity</t>
  </si>
  <si>
    <t>Mtce</t>
  </si>
  <si>
    <t>H2</t>
  </si>
  <si>
    <t>Share of different types of coal in mix</t>
  </si>
  <si>
    <t>Assumption: For the base year, imported non-coking coal will go to 'Other' industries only. And 7 PAT sectors will only utilize domestic coal.</t>
  </si>
  <si>
    <t>This assumption has to be made because of non-availability of data regarding the use of imported coal in these sectors</t>
  </si>
  <si>
    <t>Emission factors</t>
  </si>
  <si>
    <t>Domestic coal</t>
  </si>
  <si>
    <t>Lignite</t>
  </si>
  <si>
    <t>Imported coal</t>
  </si>
  <si>
    <t>Gas density</t>
  </si>
  <si>
    <t>kg/bcm</t>
  </si>
  <si>
    <t>kg /kg fuel</t>
  </si>
  <si>
    <t>Oil Density</t>
  </si>
  <si>
    <t>kg/lit</t>
  </si>
  <si>
    <t>CH4</t>
  </si>
  <si>
    <t>N2O</t>
  </si>
  <si>
    <t>Fuel oil has been considered</t>
  </si>
  <si>
    <t>NO</t>
  </si>
  <si>
    <t>SPECIFIC EMISSIONS FROM ENERGY DEMAND IN CEMENT SECTOR</t>
  </si>
  <si>
    <t>SPECIFIC PROCESS EMISSIONS</t>
  </si>
  <si>
    <t>CLINKER TO CEMENT RATIO</t>
  </si>
  <si>
    <t>T/T</t>
  </si>
  <si>
    <t>PROCESS EMISSIONS FROM CEMENT SECTOR</t>
  </si>
  <si>
    <t>TOTAL EMISSIONS FROM CEMENT SECTOR</t>
  </si>
  <si>
    <t>SPECIFIC EMISSIONS FROM CEMENT SECTOR</t>
  </si>
  <si>
    <t>Fertilizer Sector</t>
  </si>
  <si>
    <t>Production of Fertilizer</t>
  </si>
  <si>
    <t>FERTILIZER SECTOR</t>
  </si>
  <si>
    <t>Avg SEC Fertilizer</t>
  </si>
  <si>
    <t>Specific Costs</t>
  </si>
  <si>
    <t>SPECIFIC EMISSIONS FROM ENERGY DEMAND IN FERTILIZER SECTOR</t>
  </si>
  <si>
    <t>Aluminium Sector</t>
  </si>
  <si>
    <t>Production of Aluminium</t>
  </si>
  <si>
    <t>ALUMINIUM SECTOR</t>
  </si>
  <si>
    <t>Avg SEC Aluminium</t>
  </si>
  <si>
    <t>SPECIFIC EMISSIONS FROM ENERGY DEMAND IN ALUMINIUM SECTOR</t>
  </si>
  <si>
    <t>Iron n Steel Sector</t>
  </si>
  <si>
    <t>Production of Iron and Steel</t>
  </si>
  <si>
    <t>Production Technology Shares</t>
  </si>
  <si>
    <t>Integrated Steel plants (ISP)</t>
  </si>
  <si>
    <t>Sponge Iron units (SI)</t>
  </si>
  <si>
    <t>Othe BOF units</t>
  </si>
  <si>
    <t>Scrap</t>
  </si>
  <si>
    <t>Technology-wise production</t>
  </si>
  <si>
    <t>Estimated Coking Coal Requirement</t>
  </si>
  <si>
    <t>IRON AND STEEL SECTOR</t>
  </si>
  <si>
    <t>Avg SEC Iron and Steel</t>
  </si>
  <si>
    <t>Gas Recovery</t>
  </si>
  <si>
    <t>Fuel or Process Switch</t>
  </si>
  <si>
    <t>Alternate Raw Materials</t>
  </si>
  <si>
    <t>Increased Scrap Utilization</t>
  </si>
  <si>
    <t>Improved Efficiency &amp; Casting Technologies</t>
  </si>
  <si>
    <t>Energy savings</t>
  </si>
  <si>
    <t>High Costs scenario</t>
  </si>
  <si>
    <t>Low Costs scenario</t>
  </si>
  <si>
    <t>SPECIFIC EMISSIONS FROM ENERGY DEMAND IN IRON AND STEEL SECTOR</t>
  </si>
  <si>
    <t>Pulp n Paper Sector</t>
  </si>
  <si>
    <t>Production of Pulp and Paper</t>
  </si>
  <si>
    <t>PULP AND PAPER SECTOR</t>
  </si>
  <si>
    <t>Avg SEC Pulp and Paper</t>
  </si>
  <si>
    <t>High Costs Scenario</t>
  </si>
  <si>
    <t>Low Costs Scenario</t>
  </si>
  <si>
    <t>Pathway cost</t>
  </si>
  <si>
    <t>SPECIFIC EMISSIONS FROM ENERGY DEMAND IN PULP AND PAPER SECTOR</t>
  </si>
  <si>
    <t>Production of Textile</t>
  </si>
  <si>
    <t>TEXTILE SECTOR</t>
  </si>
  <si>
    <t>Avg SEC Textile</t>
  </si>
  <si>
    <t>SPECIFIC EMISSIONS FROM ENERGY DEMAND IN TEXTILE SECTOR</t>
  </si>
  <si>
    <t>Chlor and Alkali</t>
  </si>
  <si>
    <t>Production of Chlor alkali</t>
  </si>
  <si>
    <t>CHLOR ALKALI SECTOR</t>
  </si>
  <si>
    <t>Avg SEC Chlor Alkali</t>
  </si>
  <si>
    <t>SPECIFIC EMISSIONS FROM ENERGY DEMAND IN CHLOR ALKALI SECTOR</t>
  </si>
  <si>
    <t>Production Demand frrom other sectors</t>
  </si>
  <si>
    <t>OTHER INDS SECTOR</t>
  </si>
  <si>
    <t>Avg SEC OTHERS</t>
  </si>
  <si>
    <t>Low costs scenario</t>
  </si>
  <si>
    <t>SPECIFIC EMISSIONS FROM ENERGY DEMAND IN OTHER INDS SECTOR</t>
  </si>
  <si>
    <t>Mt CO2e</t>
  </si>
  <si>
    <t>TOTAL SPECIFIC EMISSIONS FROM CEMENT SECTOR</t>
  </si>
  <si>
    <t>Mt CO2e/MT Cement</t>
  </si>
  <si>
    <t>SPECIFIC EMISSIONS FROM ENERGY DEMAND IN INDUSTRY SECTORS</t>
  </si>
  <si>
    <t>CEMENT</t>
  </si>
  <si>
    <t>FERTILIZER</t>
  </si>
  <si>
    <t>ALUMINIUM</t>
  </si>
  <si>
    <t>IRON AND STEEL</t>
  </si>
  <si>
    <t>PULP AND PAPER</t>
  </si>
  <si>
    <t>TEXTILE</t>
  </si>
  <si>
    <t>CHLOR ALKALI</t>
  </si>
  <si>
    <t xml:space="preserve">OTHER INDS </t>
  </si>
  <si>
    <t>Estimation of Electricity used in industry out of self generation</t>
  </si>
  <si>
    <t>Ratio of self-consumed electricity to grid electricity</t>
  </si>
  <si>
    <t>Avg. factor</t>
  </si>
  <si>
    <t>Trajectory 1</t>
  </si>
  <si>
    <t>Trajectory 2</t>
  </si>
  <si>
    <t>Trajectory 3</t>
  </si>
  <si>
    <t>Trajectory 4</t>
  </si>
  <si>
    <t>Electricity used in industry out of self generation</t>
  </si>
  <si>
    <t>Total Electricity Consumption in Industries (captive + grid)</t>
  </si>
  <si>
    <t>Statistical difference  (Fertilizer and Iron &amp; Steel- Accounting for non-energy)</t>
  </si>
  <si>
    <t>Energy produced and required -Industry</t>
  </si>
  <si>
    <t>2007</t>
  </si>
  <si>
    <t>NE.02</t>
  </si>
  <si>
    <t>NE.03</t>
  </si>
  <si>
    <t xml:space="preserve">Emissions produced </t>
  </si>
  <si>
    <t>GHG</t>
  </si>
  <si>
    <t>Costs of this physical change-Rest</t>
  </si>
  <si>
    <t>C2.Low</t>
  </si>
  <si>
    <t>Costs of this physical change-Cement</t>
  </si>
  <si>
    <t>2015</t>
  </si>
  <si>
    <t>Costs of this physical change-Steel</t>
  </si>
  <si>
    <t>Costs of this physical change-total</t>
  </si>
  <si>
    <t>Domestic freight</t>
  </si>
  <si>
    <t>Time (Year)</t>
  </si>
  <si>
    <t>Output Electricity Generation Capacity[hard coal es] : MostRecentRun</t>
  </si>
  <si>
    <t>Output Electricity Generation Capacity[natural gas nonpeaker es] : MostRecentRun</t>
  </si>
  <si>
    <t>Output Electricity Generation Capacity[nuclear es] : MostRecentRun</t>
  </si>
  <si>
    <t>Output Electricity Generation Capacity[hydro es] : MostRecentRun</t>
  </si>
  <si>
    <t>Output Electricity Generation Capacity[onshore wind es] : MostRecentRun</t>
  </si>
  <si>
    <t>Output Electricity Generation Capacity[solar PV es] : MostRecentRun</t>
  </si>
  <si>
    <t>Output Electricity Generation Capacity[solar thermal es] : MostRecentRun</t>
  </si>
  <si>
    <t>Output Electricity Generation Capacity[biomass es] : MostRecentRun</t>
  </si>
  <si>
    <t>Output Electricity Generation Capacity[geothermal es] : MostRecentRun</t>
  </si>
  <si>
    <t>Output Electricity Generation Capacity[petroleum es] : MostRecentRun</t>
  </si>
  <si>
    <t>Output Electricity Generation Capacity[natural gas peaker es] : MostRecentRun</t>
  </si>
  <si>
    <t>Output Electricity Generation Capacity[lignite es] : MostRecentRun</t>
  </si>
  <si>
    <t>Output Electricity Generation Capacity[offshore wind es] : MostRecentRun</t>
  </si>
  <si>
    <t>Output Electricity Generation Capacity[crude oil es] : MostRecentRun</t>
  </si>
  <si>
    <t>Output Electricity Generation Capacity[heavy or residual fuel oil es] : MostRecentRun</t>
  </si>
  <si>
    <t>Output Electricity Generation Capacity[municipal solid waste es] : MostRecentRun</t>
  </si>
  <si>
    <t>Industrial Fuel Use for Non Energy Purposes[chemicals,electricity if] : MostRecentRun</t>
  </si>
  <si>
    <t>Industrial Fuel Use for Non Energy Purposes[chemicals,hard coal if] : MostRecentRun</t>
  </si>
  <si>
    <t>Industrial Fuel Use for Non Energy Purposes[chemicals,natural gas if] : MostRecentRun</t>
  </si>
  <si>
    <t>Industrial Fuel Use for Non Energy Purposes[chemicals,biomass if] : MostRecentRun</t>
  </si>
  <si>
    <t>Industrial Fuel Use for Non Energy Purposes[chemicals,petroleum diesel if] : MostRecentRun</t>
  </si>
  <si>
    <t>Industrial Fuel Use for Non Energy Purposes[chemicals,heat if] : MostRecentRun</t>
  </si>
  <si>
    <t>Industrial Fuel Use for Non Energy Purposes[chemicals,crude oil if] : MostRecentRun</t>
  </si>
  <si>
    <t>Industrial Fuel Use for Non Energy Purposes[chemicals,heavy or residual fuel oil if] : MostRecentRun</t>
  </si>
  <si>
    <t>Industrial Fuel Use for Non Energy Purposes[chemicals,LPG propane or butane if] : MostRecentRun</t>
  </si>
  <si>
    <t>Industrial Fuel Use for Non Energy Purposes[chemicals,hydrogen if] : MostRecentRun</t>
  </si>
  <si>
    <t>5-2 全国能源平衡表(标准量)-2021</t>
  </si>
  <si>
    <t>Energy Balance of China(Standard Quantity)-2021</t>
  </si>
  <si>
    <t>单位:万吨标准煤</t>
  </si>
  <si>
    <t>项 目</t>
  </si>
  <si>
    <t>Item</t>
  </si>
  <si>
    <t>能源合计 Energy Total</t>
  </si>
  <si>
    <t>煤制品
Briquettes</t>
  </si>
  <si>
    <t>煤矸石
Gangue</t>
  </si>
  <si>
    <t>(发电煤耗
计算法)
(Coal Equivalent
Calculation)</t>
  </si>
  <si>
    <t>(电热当量
计算法)
(Calorific Value
Calculation)</t>
  </si>
  <si>
    <t>其他能源
Other
Energy</t>
  </si>
  <si>
    <t>一.可供本地区消费的能源量</t>
  </si>
  <si>
    <t>Total Primary Energy Supply</t>
  </si>
  <si>
    <t xml:space="preserve">  1.一次能源生产量</t>
  </si>
  <si>
    <t xml:space="preserve">  Indigenous Production</t>
  </si>
  <si>
    <t xml:space="preserve">    水电</t>
  </si>
  <si>
    <t xml:space="preserve">    Hydro Power</t>
  </si>
  <si>
    <t xml:space="preserve">    核电</t>
  </si>
  <si>
    <t xml:space="preserve">    风电</t>
  </si>
  <si>
    <t xml:space="preserve">    Wind Power</t>
  </si>
  <si>
    <t xml:space="preserve">  2.进口量</t>
  </si>
  <si>
    <t xml:space="preserve">  Import</t>
  </si>
  <si>
    <t xml:space="preserve">  3.境内飞机和轮船在境外的加油量</t>
  </si>
  <si>
    <t xml:space="preserve">  Domestic Airplanes&amp;Ships Refueling Abroad</t>
  </si>
  <si>
    <t xml:space="preserve">  4.出口量(-)</t>
  </si>
  <si>
    <t xml:space="preserve">  Export(-)</t>
  </si>
  <si>
    <t xml:space="preserve">  5.境外飞机和轮船在境内的加油量(-)</t>
  </si>
  <si>
    <t xml:space="preserve">  Oversea Airplanes&amp;Ships Refueling Domestically(-)</t>
  </si>
  <si>
    <t xml:space="preserve">  6.库存增(-)、减(+)量</t>
  </si>
  <si>
    <t xml:space="preserve">  Stock Change</t>
  </si>
  <si>
    <t>二.加工转换投入(-)产出(+)量</t>
  </si>
  <si>
    <t>Input(-)&amp; Output(+)of Transformation</t>
  </si>
  <si>
    <t xml:space="preserve">  1.火力发电</t>
  </si>
  <si>
    <t xml:space="preserve">  Thermal Power</t>
  </si>
  <si>
    <t xml:space="preserve">  2.供热</t>
  </si>
  <si>
    <t xml:space="preserve">  Heating Supply</t>
  </si>
  <si>
    <t xml:space="preserve">  3.煤炭洗选</t>
  </si>
  <si>
    <t xml:space="preserve">  Coal Washing</t>
  </si>
  <si>
    <t xml:space="preserve">  4.炼焦</t>
  </si>
  <si>
    <t xml:space="preserve">  Coking</t>
  </si>
  <si>
    <t xml:space="preserve">  5.炼油及煤制油</t>
  </si>
  <si>
    <t xml:space="preserve">  Petroleum Refining and Coal-to-liquids</t>
  </si>
  <si>
    <t xml:space="preserve">    #油品再投入量(-)</t>
  </si>
  <si>
    <t xml:space="preserve">    Petroleum Products Input(-)</t>
  </si>
  <si>
    <t xml:space="preserve">  6.制气</t>
  </si>
  <si>
    <t xml:space="preserve">  Gas Works</t>
  </si>
  <si>
    <t xml:space="preserve">    #再投入量(-)</t>
  </si>
  <si>
    <t xml:space="preserve">    Input(-)</t>
  </si>
  <si>
    <t xml:space="preserve">  7.天然气液化</t>
  </si>
  <si>
    <t xml:space="preserve">  Natural Gas Liquefaction</t>
  </si>
  <si>
    <t xml:space="preserve">  8.煤制品加工</t>
  </si>
  <si>
    <t xml:space="preserve">  Briquettes</t>
  </si>
  <si>
    <t xml:space="preserve">  9.回收能</t>
  </si>
  <si>
    <t xml:space="preserve">  Recovery of Energy</t>
  </si>
  <si>
    <t>三.损失量</t>
  </si>
  <si>
    <t>Loss</t>
  </si>
  <si>
    <t>四.终端消费量</t>
  </si>
  <si>
    <t>Total Final Consumption</t>
  </si>
  <si>
    <t xml:space="preserve">  1.农、林、牧、渔业</t>
  </si>
  <si>
    <t xml:space="preserve">  Agriculture,Forestry,Animal Husbandry and Fishery</t>
  </si>
  <si>
    <t xml:space="preserve">  2.工业</t>
  </si>
  <si>
    <t xml:space="preserve">  Industry</t>
  </si>
  <si>
    <t xml:space="preserve">    #用作原料、材料</t>
  </si>
  <si>
    <t xml:space="preserve">    Non-Energy Use</t>
  </si>
  <si>
    <t xml:space="preserve">  3.建筑业</t>
  </si>
  <si>
    <t xml:space="preserve">  4.交通运输、仓储和邮政业</t>
  </si>
  <si>
    <t xml:space="preserve">  Transport,Storage and Post</t>
  </si>
  <si>
    <t xml:space="preserve">  5.批发和零售业、住宿和餐饮业</t>
  </si>
  <si>
    <t xml:space="preserve">  Wholesale and Retail Trades,Hotels and Catering Services</t>
  </si>
  <si>
    <t xml:space="preserve">  6.其他</t>
  </si>
  <si>
    <t xml:space="preserve">  Others</t>
  </si>
  <si>
    <t xml:space="preserve">  7.居民生活</t>
  </si>
  <si>
    <t xml:space="preserve">  Residential</t>
  </si>
  <si>
    <t xml:space="preserve">    城镇</t>
  </si>
  <si>
    <t xml:space="preserve">    Urban</t>
  </si>
  <si>
    <t xml:space="preserve">    乡村</t>
  </si>
  <si>
    <t xml:space="preserve">    Rural</t>
  </si>
  <si>
    <t>五.平衡差额</t>
  </si>
  <si>
    <t>Statistical Difference</t>
  </si>
  <si>
    <t>六.消费量合计</t>
  </si>
  <si>
    <t>Total Energy Consumption</t>
  </si>
  <si>
    <t>4-3 工业分行业终端能源消费量(标准量)-2021</t>
  </si>
  <si>
    <t>Final Energy Consumption by Industrial Sector(Standard Quantity)-2021</t>
  </si>
  <si>
    <t>行 业</t>
  </si>
  <si>
    <t>工业</t>
  </si>
  <si>
    <t>(一)采矿业</t>
  </si>
  <si>
    <t xml:space="preserve">  煤炭开采和洗选业</t>
  </si>
  <si>
    <t xml:space="preserve">  Mining and Washing of Coal</t>
  </si>
  <si>
    <t xml:space="preserve">  石油和天然气开采业</t>
  </si>
  <si>
    <t xml:space="preserve">  Extraction of Petroleum and Natural Gas</t>
  </si>
  <si>
    <t xml:space="preserve">  黑色金属矿采选业</t>
  </si>
  <si>
    <t xml:space="preserve">  Mining and Processing of Ferrous Metal Ores</t>
  </si>
  <si>
    <t xml:space="preserve">  有色金属矿采选业</t>
  </si>
  <si>
    <t xml:space="preserve">  Mining and Processing of Non-Ferrous Metal Ores</t>
  </si>
  <si>
    <t xml:space="preserve">  非金属矿采选业</t>
  </si>
  <si>
    <t xml:space="preserve">  Mining and Processing of Nonmetal Ores</t>
  </si>
  <si>
    <t xml:space="preserve">  开采专业及辅助性活动</t>
  </si>
  <si>
    <t xml:space="preserve">  Professional and Support Activities for Mining</t>
  </si>
  <si>
    <t xml:space="preserve">  其他采矿业</t>
  </si>
  <si>
    <t xml:space="preserve">  Mining of Other Ores</t>
  </si>
  <si>
    <t>(二)制造业</t>
  </si>
  <si>
    <t>Manufacturing</t>
  </si>
  <si>
    <t xml:space="preserve">  农副食品加工业</t>
  </si>
  <si>
    <t xml:space="preserve">  Processing of Food from Agricultural Products</t>
  </si>
  <si>
    <t xml:space="preserve">  食品制造业</t>
  </si>
  <si>
    <t xml:space="preserve">  Manufacture of Foods</t>
  </si>
  <si>
    <t xml:space="preserve">  酒、饮料和精制茶制造业</t>
  </si>
  <si>
    <t xml:space="preserve">  Manufacture of Liquor,Beverages and Refined Tea</t>
  </si>
  <si>
    <t xml:space="preserve">  烟草制品业</t>
  </si>
  <si>
    <t xml:space="preserve">  Manufacture of Tobacco</t>
  </si>
  <si>
    <t xml:space="preserve">  纺织业</t>
  </si>
  <si>
    <t xml:space="preserve">  Manufacture of Textile</t>
  </si>
  <si>
    <t xml:space="preserve">  纺织服装、服饰业</t>
  </si>
  <si>
    <t xml:space="preserve">  Manufacture of Textile,Wearing Apparel and Accessories</t>
  </si>
  <si>
    <t xml:space="preserve">  皮革、毛皮、羽毛及其制品和制鞋业</t>
  </si>
  <si>
    <t xml:space="preserve">  Manufacture of Leather,Fur,Feather and Related Products and Footwear</t>
  </si>
  <si>
    <t xml:space="preserve">  木材加工和木、竹、藤、棕、草制品业</t>
  </si>
  <si>
    <t xml:space="preserve">  Processing of Timber,Manufacture of Wood,Bamboo,Rattan,Palm,
  Palm,and Straw Products</t>
  </si>
  <si>
    <t xml:space="preserve">  家具制造业</t>
  </si>
  <si>
    <t xml:space="preserve">  Manufacture of Furniture</t>
  </si>
  <si>
    <t xml:space="preserve">  造纸和纸制品业</t>
  </si>
  <si>
    <t xml:space="preserve">  Manufacture of Paper and Paper Products</t>
  </si>
  <si>
    <t xml:space="preserve">  印刷和记录媒介复制业</t>
  </si>
  <si>
    <t xml:space="preserve">  Printing and Reproduction of Recording Media</t>
  </si>
  <si>
    <t xml:space="preserve">  文教、工美、体育和娱乐用品制造业</t>
  </si>
  <si>
    <t xml:space="preserve">  Manufacture of Articles for Culture,Education,Arts and Crafts,
  Sport and Entertainment Activities</t>
  </si>
  <si>
    <t xml:space="preserve">  石油、煤炭及其他燃料加工业</t>
  </si>
  <si>
    <t xml:space="preserve">  Processing of Petroleum,Coal and Other Fuels</t>
  </si>
  <si>
    <t xml:space="preserve">  化学原料和化学制品制造业</t>
  </si>
  <si>
    <t xml:space="preserve">  Manufacture of Raw Chemical Materials and Chemical Products</t>
  </si>
  <si>
    <t xml:space="preserve">  医药制造业</t>
  </si>
  <si>
    <t xml:space="preserve">  Manufacture of Medicines</t>
  </si>
  <si>
    <t xml:space="preserve">  化学纤维制造业</t>
  </si>
  <si>
    <t xml:space="preserve">  Manufacture of Chemical Fibers</t>
  </si>
  <si>
    <t xml:space="preserve">  橡胶和塑料制品业</t>
  </si>
  <si>
    <t xml:space="preserve">  Manufacture of Rubber and Plastics Products</t>
  </si>
  <si>
    <t xml:space="preserve">  非金属矿物制品业</t>
  </si>
  <si>
    <t xml:space="preserve">  Manufacture of Non-metallic Mineral Products</t>
  </si>
  <si>
    <t xml:space="preserve">  黑色金属冶炼和压延加工业</t>
  </si>
  <si>
    <t xml:space="preserve">  Smelting and Pressing of Ferrous Metals</t>
  </si>
  <si>
    <t xml:space="preserve">  有色金属冶炼和压延加工业</t>
  </si>
  <si>
    <t xml:space="preserve">  Smelting and Pressing of Non-ferrous Metals</t>
  </si>
  <si>
    <t xml:space="preserve">  金属制品业</t>
  </si>
  <si>
    <t xml:space="preserve">  Manufacture of Metal Products</t>
  </si>
  <si>
    <t xml:space="preserve">  通用设备制造业</t>
  </si>
  <si>
    <t xml:space="preserve">  Manufacture of General Purpose Machinery</t>
  </si>
  <si>
    <t xml:space="preserve">  专用设备制造业</t>
  </si>
  <si>
    <t xml:space="preserve">  Manufacture of Special Purpose Machinery</t>
  </si>
  <si>
    <t xml:space="preserve">  汽车制造业</t>
  </si>
  <si>
    <t xml:space="preserve">  Manufacture of Automobiles</t>
  </si>
  <si>
    <t xml:space="preserve">  铁路、船舶、航空航天和其他运输设备
  制造业</t>
  </si>
  <si>
    <t xml:space="preserve">  Manufacture of Railway,Ship,Aerospace and Other Transport Equipments</t>
  </si>
  <si>
    <t xml:space="preserve">  电气机械和器材制造业</t>
  </si>
  <si>
    <t xml:space="preserve">  Manufacture of Electrical Machinery and Apparatus</t>
  </si>
  <si>
    <t xml:space="preserve">  计算机、通信和其他电子设备制造业</t>
  </si>
  <si>
    <t xml:space="preserve">  Manufacture of Computers,Communication and Other Electronic Equipment</t>
  </si>
  <si>
    <t xml:space="preserve">  仪器仪表制造业</t>
  </si>
  <si>
    <t xml:space="preserve">  Manufacture of Measuring Instruments and Machinery</t>
  </si>
  <si>
    <t xml:space="preserve">  其他制造业</t>
  </si>
  <si>
    <t xml:space="preserve">  Other Manufacture</t>
  </si>
  <si>
    <t xml:space="preserve">  废弃资源综合利用业</t>
  </si>
  <si>
    <t xml:space="preserve">  Utilization of Waste Resources</t>
  </si>
  <si>
    <t xml:space="preserve">  金属制品、机械和设备修理业</t>
  </si>
  <si>
    <t xml:space="preserve">  Repair Service of Metal Products,Machinery and Equipment</t>
  </si>
  <si>
    <t>(三)电力、热力、燃气及水生产和供应业</t>
  </si>
  <si>
    <t>Production and Supply of Electricity,Gas and Water</t>
  </si>
  <si>
    <t xml:space="preserve">  电力、热力生产和供应业</t>
  </si>
  <si>
    <t xml:space="preserve">  Production and Supply of Electric Power and Heat Power</t>
  </si>
  <si>
    <t xml:space="preserve">  燃气生产和供应业</t>
  </si>
  <si>
    <t xml:space="preserve">  Production and Supply of Gas</t>
  </si>
  <si>
    <t xml:space="preserve">  水的生产和供应业</t>
  </si>
  <si>
    <t xml:space="preserve">  Production and Supply of Water</t>
  </si>
  <si>
    <t>Industrial Fuel Use for Non Energy Purposes[chemicals 20,electricity if] : MostRecentRun</t>
  </si>
  <si>
    <t>Industrial Fuel Use for Non Energy Purposes[chemicals 20,hard coal if] : MostRecentRun</t>
  </si>
  <si>
    <t>Industrial Fuel Use for Non Energy Purposes[chemicals 20,natural gas if] : MostRecentRun</t>
  </si>
  <si>
    <t>Industrial Fuel Use for Non Energy Purposes[chemicals 20,biomass if] : MostRecentRun</t>
  </si>
  <si>
    <t>Industrial Fuel Use for Non Energy Purposes[chemicals 20,petroleum diesel if] : MostRecentRun</t>
  </si>
  <si>
    <t>Industrial Fuel Use for Non Energy Purposes[chemicals 20,heat if] : MostRecentRun</t>
  </si>
  <si>
    <t>Industrial Fuel Use for Non Energy Purposes[chemicals 20,crude oil if] : MostRecentRun</t>
  </si>
  <si>
    <t>Industrial Fuel Use for Non Energy Purposes[chemicals 20,heavy or residual fuel oil if] : MostRecentRun</t>
  </si>
  <si>
    <t>Industrial Fuel Use for Non Energy Purposes[chemicals 20,LPG propane or butane if] : MostRecentRun</t>
  </si>
  <si>
    <t>Industrial Fuel Use for Non Energy Purposes[chemicals 20,hydrogen if] : MostRecentRun</t>
  </si>
  <si>
    <t>Solids</t>
  </si>
  <si>
    <t>Coke</t>
  </si>
  <si>
    <t>Refinery gas</t>
  </si>
  <si>
    <t>Other liquids</t>
  </si>
  <si>
    <t>Derived gases</t>
  </si>
  <si>
    <t>Diesel oil</t>
  </si>
  <si>
    <t>Naphtha</t>
  </si>
  <si>
    <t>Solid Fuels</t>
  </si>
  <si>
    <t>Anthracite</t>
  </si>
  <si>
    <t>Bitumen</t>
  </si>
  <si>
    <t>Other recovered gases</t>
  </si>
  <si>
    <t>Nuclear heat</t>
  </si>
  <si>
    <t>Solar thermal</t>
  </si>
  <si>
    <t>Charcoal</t>
  </si>
  <si>
    <t>Other liquid biofuels</t>
  </si>
  <si>
    <t>Output Electricity Generation Capacity[hard coal es] : NoSettings</t>
  </si>
  <si>
    <t>Output Electricity Generation Capacity[natural gas nonpeaker es] : NoSettings</t>
  </si>
  <si>
    <t>Output Electricity Generation Capacity[nuclear es] : NoSettings</t>
  </si>
  <si>
    <t>Output Electricity Generation Capacity[hydro es] : NoSettings</t>
  </si>
  <si>
    <t>Output Electricity Generation Capacity[onshore wind es] : NoSettings</t>
  </si>
  <si>
    <t>Output Electricity Generation Capacity[solar PV es] : NoSettings</t>
  </si>
  <si>
    <t>Output Electricity Generation Capacity[solar thermal es] : NoSettings</t>
  </si>
  <si>
    <t>Output Electricity Generation Capacity[biomass es] : NoSettings</t>
  </si>
  <si>
    <t>Output Electricity Generation Capacity[geothermal es] : NoSettings</t>
  </si>
  <si>
    <t>Output Electricity Generation Capacity[petroleum es] : NoSettings</t>
  </si>
  <si>
    <t>Output Electricity Generation Capacity[natural gas peaker es] : NoSettings</t>
  </si>
  <si>
    <t>Output Electricity Generation Capacity[lignite es] : NoSettings</t>
  </si>
  <si>
    <t>Output Electricity Generation Capacity[offshore wind es] : NoSettings</t>
  </si>
  <si>
    <t>Output Electricity Generation Capacity[crude oil es] : NoSettings</t>
  </si>
  <si>
    <t>Output Electricity Generation Capacity[heavy or residual fuel oil es] : NoSettings</t>
  </si>
  <si>
    <t>Output Electricity Generation Capacity[municipal solid waste es] : NoSettings</t>
  </si>
  <si>
    <t>source</t>
  </si>
  <si>
    <t>scenario (PRIMAP-hist)</t>
  </si>
  <si>
    <t>area (ISO3)</t>
  </si>
  <si>
    <t>entity</t>
  </si>
  <si>
    <t>category (IPCC2006_PRIMAP)</t>
  </si>
  <si>
    <t>HISTCR</t>
  </si>
  <si>
    <t>CO2 * gigagram / a</t>
  </si>
  <si>
    <t>2.A</t>
  </si>
  <si>
    <t>2.B</t>
  </si>
  <si>
    <t>EARTH</t>
  </si>
  <si>
    <t>EU27BX</t>
  </si>
  <si>
    <t>Coking coal</t>
  </si>
  <si>
    <t>Other bituminous coal</t>
  </si>
  <si>
    <t>Sub-bituminous coal</t>
  </si>
  <si>
    <t>Patent fuel</t>
  </si>
  <si>
    <t>Coke oven coke</t>
  </si>
  <si>
    <t>Gas coke</t>
  </si>
  <si>
    <t>Coal tar</t>
  </si>
  <si>
    <t>Gas works gas</t>
  </si>
  <si>
    <t>Coke oven gas</t>
  </si>
  <si>
    <t>Blast furnace gas</t>
  </si>
  <si>
    <t>Peat products</t>
  </si>
  <si>
    <t>Oil shale and oil sands</t>
  </si>
  <si>
    <t>Crude oil</t>
  </si>
  <si>
    <t>Natural gas liquids</t>
  </si>
  <si>
    <t>Refinery feedstocks</t>
  </si>
  <si>
    <t>Other hydrocarbons</t>
  </si>
  <si>
    <t>Aviation gasoline</t>
  </si>
  <si>
    <t>Other kerosene</t>
  </si>
  <si>
    <t>Fuel oil</t>
  </si>
  <si>
    <t>Paraffin waxes</t>
  </si>
  <si>
    <t>Petroleum coke</t>
  </si>
  <si>
    <t>Other oil products</t>
  </si>
  <si>
    <t>Primary solid biofuels</t>
  </si>
  <si>
    <t>Biogases</t>
  </si>
  <si>
    <t>Heat</t>
  </si>
  <si>
    <t>National Bureau of Statistics</t>
  </si>
  <si>
    <t>China Energy Statistical Yearbook 2022</t>
  </si>
  <si>
    <t>https://www.chinayearbooks.com/china-energy-statistical-yearbook-2022.html</t>
  </si>
  <si>
    <t>https://energypolicy.solutions/home/china-igdp/en</t>
  </si>
  <si>
    <t>https://india.energypolicy.solutions/</t>
  </si>
  <si>
    <t>Domestic passenger transport</t>
  </si>
  <si>
    <t>Non-energy use of gas</t>
  </si>
  <si>
    <t>Non-energy uses of oil products</t>
  </si>
  <si>
    <r>
      <t>Mt CO</t>
    </r>
    <r>
      <rPr>
        <vertAlign val="subscript"/>
        <sz val="10"/>
        <color theme="1"/>
        <rFont val="Calibri Light"/>
        <family val="2"/>
        <scheme val="major"/>
      </rPr>
      <t>2</t>
    </r>
    <r>
      <rPr>
        <sz val="10"/>
        <color theme="1"/>
        <rFont val="Calibri Light"/>
        <family val="2"/>
        <scheme val="major"/>
      </rPr>
      <t>e</t>
    </r>
  </si>
  <si>
    <r>
      <t>Mt CO</t>
    </r>
    <r>
      <rPr>
        <b/>
        <vertAlign val="subscript"/>
        <sz val="10"/>
        <color theme="1"/>
        <rFont val="Calibri Light"/>
        <family val="2"/>
        <scheme val="major"/>
      </rPr>
      <t>2</t>
    </r>
    <r>
      <rPr>
        <b/>
        <sz val="10"/>
        <color theme="1"/>
        <rFont val="Calibri Light"/>
        <family val="2"/>
        <scheme val="major"/>
      </rPr>
      <t>e/MT</t>
    </r>
  </si>
  <si>
    <r>
      <t>Mt CO</t>
    </r>
    <r>
      <rPr>
        <b/>
        <vertAlign val="subscript"/>
        <sz val="10"/>
        <color theme="1"/>
        <rFont val="Calibri Light"/>
        <family val="2"/>
        <scheme val="major"/>
      </rPr>
      <t>2</t>
    </r>
    <r>
      <rPr>
        <b/>
        <sz val="10"/>
        <color theme="1"/>
        <rFont val="Calibri Light"/>
        <family val="2"/>
        <scheme val="major"/>
      </rPr>
      <t>e/MT Clinker</t>
    </r>
  </si>
  <si>
    <r>
      <t>Mt CO</t>
    </r>
    <r>
      <rPr>
        <b/>
        <vertAlign val="subscript"/>
        <sz val="10"/>
        <color theme="1"/>
        <rFont val="Calibri Light"/>
        <family val="2"/>
        <scheme val="major"/>
      </rPr>
      <t>2</t>
    </r>
    <r>
      <rPr>
        <b/>
        <sz val="10"/>
        <color theme="1"/>
        <rFont val="Calibri Light"/>
        <family val="2"/>
        <scheme val="major"/>
      </rPr>
      <t>e</t>
    </r>
  </si>
  <si>
    <r>
      <t>Mt CO</t>
    </r>
    <r>
      <rPr>
        <vertAlign val="subscript"/>
        <sz val="10"/>
        <color theme="1"/>
        <rFont val="Calibri Light"/>
        <family val="2"/>
        <scheme val="major"/>
      </rPr>
      <t>2</t>
    </r>
    <r>
      <rPr>
        <sz val="10"/>
        <color theme="1"/>
        <rFont val="Calibri Light"/>
        <family val="2"/>
        <scheme val="major"/>
      </rPr>
      <t>e/MT</t>
    </r>
  </si>
  <si>
    <t>Mtoe/MT of Production</t>
  </si>
  <si>
    <t>Mtoe/INR Billion</t>
  </si>
  <si>
    <t>Fuel for Non Energy Use in Industry, in  Mtoe</t>
  </si>
  <si>
    <t>Mtoe /MT</t>
  </si>
  <si>
    <t>Mtoe/ MT</t>
  </si>
  <si>
    <t>Mtoe /$bn</t>
  </si>
  <si>
    <t>Mt CO2e/MT</t>
  </si>
  <si>
    <t>gge (gasoline gallon equivalent)</t>
  </si>
  <si>
    <t>Data Source</t>
  </si>
  <si>
    <t>EPS China Non-Energy Fuel Use</t>
  </si>
  <si>
    <t>HGL (ethane, propane, butane, etc.)</t>
  </si>
  <si>
    <t>petroleum</t>
  </si>
  <si>
    <t>coke (from metallurgical coal)</t>
  </si>
  <si>
    <t>Bioenergy Consumption</t>
  </si>
  <si>
    <t>Industrial Processes and Product Use (IPPU)</t>
  </si>
  <si>
    <t>2.C</t>
  </si>
  <si>
    <t>2.D</t>
  </si>
  <si>
    <t>2.E</t>
  </si>
  <si>
    <t>2.G</t>
  </si>
  <si>
    <t>2.H</t>
  </si>
  <si>
    <t>3.A</t>
  </si>
  <si>
    <t>2.F</t>
  </si>
  <si>
    <t>Mineral Industry</t>
  </si>
  <si>
    <t>Chemical Industry</t>
  </si>
  <si>
    <t>Metal Industry</t>
  </si>
  <si>
    <t>Non-Energy Products from Fuels and Solvent Use</t>
  </si>
  <si>
    <t>Electronics Industry (no data available as the category is only used for fluorinated gases which are only resolved at the level of category 2)</t>
  </si>
  <si>
    <t>Product uses as Substitutes for Ozone Depleting Substances (no data available as the category is only used for fluorinated gases which are only resolved at the level of category 2)</t>
  </si>
  <si>
    <t>M.AG</t>
  </si>
  <si>
    <t>M.AG.ELV</t>
  </si>
  <si>
    <t>Agriculture excluding Livestock</t>
  </si>
  <si>
    <t>Livestock</t>
  </si>
  <si>
    <t>Agriculture (sum of 3.A and M.AG.ELV)</t>
  </si>
  <si>
    <t>Other Product Manufacture and Use</t>
  </si>
  <si>
    <t>1.B.1</t>
  </si>
  <si>
    <t>1.B.2</t>
  </si>
  <si>
    <t>1.B.3</t>
  </si>
  <si>
    <t>1.A</t>
  </si>
  <si>
    <t>1.B</t>
  </si>
  <si>
    <t>1.C</t>
  </si>
  <si>
    <t>M.0.EL</t>
  </si>
  <si>
    <t>National Total excluding LULUCF</t>
  </si>
  <si>
    <t>Fuel Combustion Activities</t>
  </si>
  <si>
    <t>Oil and Natural Gas</t>
  </si>
  <si>
    <t>Other Emissions from Energy Production</t>
  </si>
  <si>
    <t>Carbon Dioxide Transport and Storage (currently no data available)</t>
  </si>
  <si>
    <t>PRIMAP/IPCC Category Definitions</t>
  </si>
  <si>
    <t>https://www.hydrogen.energy.gov/docs/hydrogenprogramlibraries/pdfs/23003-electrolyzer-installations-united-states.pdf</t>
  </si>
  <si>
    <t>World Resources Institute</t>
  </si>
  <si>
    <t>ClimateWatch Data</t>
  </si>
  <si>
    <t>https://www.climatewatchdata.org/ghg-emissions?end_year=2020&amp;gases=co2&amp;regions=CHN&amp;sectors=manufacturing-construction&amp;start_year=1990</t>
  </si>
  <si>
    <t>Historical GHG Emissions, Climate Watch database, China, Energy &gt; Manufacturing &amp; Construction, CO2</t>
  </si>
  <si>
    <t>BAU dedicated hydrogen production data are only available for the U.S. and the World.</t>
  </si>
  <si>
    <t>Dedicated hydrogen production is almost exclusively used for refining and in making chemicals (particularly ammonia).</t>
  </si>
  <si>
    <t>multiplied by global H2 production.</t>
  </si>
  <si>
    <t>BAU dedicated hydrogen production is almost exclusively gray hydrogen (from reforming methane or gasified coal).</t>
  </si>
  <si>
    <t>Peat and peat products</t>
  </si>
  <si>
    <t>EU27</t>
  </si>
  <si>
    <t>Share of World Refinery Production</t>
  </si>
  <si>
    <t>Global Dedicated H2 for Refining</t>
  </si>
  <si>
    <t>Global Dedicated H2 for Ammonia and Other</t>
  </si>
  <si>
    <t>15, 36</t>
  </si>
  <si>
    <t>Figure 7.1 (for BAU hydrogen use)</t>
  </si>
  <si>
    <t>decarbonizing the industrial sector and the resulting implications, such as the required electricity demand,</t>
  </si>
  <si>
    <t>the rate at which CO2 must be stored underground, and more.</t>
  </si>
  <si>
    <t>High Direct Electrification</t>
  </si>
  <si>
    <t>High Bioenergy</t>
  </si>
  <si>
    <t>High Fossil CCS</t>
  </si>
  <si>
    <t>Custom User Values</t>
  </si>
  <si>
    <t>Directions:</t>
  </si>
  <si>
    <t>Uses</t>
  </si>
  <si>
    <t>Secondary sources</t>
  </si>
  <si>
    <t>Primary Sources</t>
  </si>
  <si>
    <t>Adjustments</t>
  </si>
  <si>
    <r>
      <t>Emissions (Mt CO</t>
    </r>
    <r>
      <rPr>
        <b/>
        <vertAlign val="subscript"/>
        <sz val="18"/>
        <color theme="1"/>
        <rFont val="Calibri Light"/>
        <family val="2"/>
        <scheme val="major"/>
      </rPr>
      <t>2</t>
    </r>
    <r>
      <rPr>
        <b/>
        <sz val="18"/>
        <color theme="1"/>
        <rFont val="Calibri Light"/>
        <family val="2"/>
        <scheme val="major"/>
      </rPr>
      <t>e)</t>
    </r>
  </si>
  <si>
    <t>Total uses</t>
  </si>
  <si>
    <t>Total secondary sources</t>
  </si>
  <si>
    <t>Total primary sources</t>
  </si>
  <si>
    <t>Total adjust.</t>
  </si>
  <si>
    <t>V.01b</t>
  </si>
  <si>
    <t>V.02b</t>
  </si>
  <si>
    <t>V.14</t>
  </si>
  <si>
    <t>V.15</t>
  </si>
  <si>
    <t>V.16</t>
  </si>
  <si>
    <t>Y.01</t>
  </si>
  <si>
    <t>Y.03</t>
  </si>
  <si>
    <t>F</t>
  </si>
  <si>
    <t>Consumption</t>
  </si>
  <si>
    <t>XIII.a</t>
  </si>
  <si>
    <t>Subtotal.Consumption</t>
  </si>
  <si>
    <t>Total consumption</t>
  </si>
  <si>
    <t>Supply</t>
  </si>
  <si>
    <t>v.a</t>
  </si>
  <si>
    <t>V.b</t>
  </si>
  <si>
    <t>V.c</t>
  </si>
  <si>
    <t>XV.a</t>
  </si>
  <si>
    <t>XV.b</t>
  </si>
  <si>
    <t>xv.c</t>
  </si>
  <si>
    <t>VIII</t>
  </si>
  <si>
    <t>IV.f</t>
  </si>
  <si>
    <t>Subtotal.I.d</t>
  </si>
  <si>
    <t>Total electricity supply (demand) to this point</t>
  </si>
  <si>
    <t>Subtotal.Supply</t>
  </si>
  <si>
    <t>Total supply</t>
  </si>
  <si>
    <t>Distribution, storage, and balancing</t>
  </si>
  <si>
    <t>Subtotal.VII.b</t>
  </si>
  <si>
    <t>Total electricity supply (demand) prior to generation</t>
  </si>
  <si>
    <t>VII.b</t>
  </si>
  <si>
    <t>Subtotal.V.a</t>
  </si>
  <si>
    <t>Total supply / (demand) to this point</t>
  </si>
  <si>
    <t>Subtotal.XVII.a</t>
  </si>
  <si>
    <t>Requested hydrocarbons</t>
  </si>
  <si>
    <t>XVII.a</t>
  </si>
  <si>
    <t>XVII.b</t>
  </si>
  <si>
    <t>Subtotal.Balancing</t>
  </si>
  <si>
    <t>Total Dist'n, storage, and balancing</t>
  </si>
  <si>
    <t>Used in electricity</t>
  </si>
  <si>
    <t>Computed within this worksheet</t>
  </si>
  <si>
    <t>Matching electricity</t>
  </si>
  <si>
    <t>emissions factor</t>
  </si>
  <si>
    <t>Back up Electricity delivered to the user</t>
  </si>
  <si>
    <t>back up electricty delivered by diesel gensets</t>
  </si>
  <si>
    <t>Energy crops (first generation)</t>
  </si>
  <si>
    <t>Gaseous waste</t>
  </si>
  <si>
    <t>Solar Thermal</t>
  </si>
  <si>
    <t>Biomass oversupply (imports)</t>
  </si>
  <si>
    <t>Petroleum products oversupply</t>
  </si>
  <si>
    <t>Domestic Cooking</t>
  </si>
  <si>
    <t>First &amp; Second Generation Bio Fuels</t>
  </si>
  <si>
    <t>3rd Generation Bio Fuels</t>
  </si>
  <si>
    <t>Domestic Gas Production</t>
  </si>
  <si>
    <t>Domestic Coal Production</t>
  </si>
  <si>
    <t>Domestic Oil Production</t>
  </si>
  <si>
    <t>Solar Water Heater</t>
  </si>
  <si>
    <t>Storage</t>
  </si>
  <si>
    <t>Fossil Fuel Transfer</t>
  </si>
  <si>
    <t>Fossil fuel Imports</t>
  </si>
  <si>
    <t>2022 Energy Balance</t>
  </si>
  <si>
    <t>Buildings (incl. cooking)</t>
  </si>
  <si>
    <t>Oil Refining</t>
  </si>
  <si>
    <t>Other Industry</t>
  </si>
  <si>
    <t>Industry (total)</t>
  </si>
  <si>
    <t>BAU Industrial Fuel Use for Energy Purposes before CCS[coal mining,electricity if] : MostRecentRun</t>
  </si>
  <si>
    <t>BAU Industrial Fuel Use for Energy Purposes before CCS[coal mining,hard coal if] : MostRecentRun</t>
  </si>
  <si>
    <t>BAU Industrial Fuel Use for Energy Purposes before CCS[coal mining,natural gas if] : MostRecentRun</t>
  </si>
  <si>
    <t>BAU Industrial Fuel Use for Energy Purposes before CCS[coal mining,biomass if] : MostRecentRun</t>
  </si>
  <si>
    <t>BAU Industrial Fuel Use for Energy Purposes before CCS[coal mining,petroleum diesel if] : MostRecentRun</t>
  </si>
  <si>
    <t>BAU Industrial Fuel Use for Energy Purposes before CCS[coal mining,heat if] : MostRecentRun</t>
  </si>
  <si>
    <t>BAU Industrial Fuel Use for Energy Purposes before CCS[coal mining,crude oil if] : MostRecentRun</t>
  </si>
  <si>
    <t>BAU Industrial Fuel Use for Energy Purposes before CCS[coal mining,heavy or residual fuel oil if] : MostRecentRun</t>
  </si>
  <si>
    <t>BAU Industrial Fuel Use for Energy Purposes before CCS[coal mining,LPG propane or butane if] : MostRecentRun</t>
  </si>
  <si>
    <t>BAU Industrial Fuel Use for Energy Purposes before CCS[coal mining,hydrogen if] : MostRecentRun</t>
  </si>
  <si>
    <t>EPS India Coal Mines Energy Use</t>
  </si>
  <si>
    <t>IESS v3.0 Sheet or Data Source</t>
  </si>
  <si>
    <t>metric tons of coal</t>
  </si>
  <si>
    <t>short tons of coal</t>
  </si>
  <si>
    <t>MMBTU</t>
  </si>
  <si>
    <t>coking coal</t>
  </si>
  <si>
    <t>million metric tons of coal</t>
  </si>
  <si>
    <t>IESS v3.0 Results</t>
  </si>
  <si>
    <t>(unit conversion)</t>
  </si>
  <si>
    <t>Reuters</t>
  </si>
  <si>
    <t>India's green hydrogen push and challenges</t>
  </si>
  <si>
    <t>https://www.reuters.com/world/india/indias-green-hydrogen-push-challenges-2023-07-10/</t>
  </si>
  <si>
    <t>paragraph 2 (no green H2 production until 2026)</t>
  </si>
  <si>
    <t>India Energy Security Scenarios 2047 v3.0</t>
  </si>
  <si>
    <t>M-1 Reserve Margin</t>
  </si>
  <si>
    <t>https://www.nerc.com/pa/RAPA/ri/Pages/PlanningReserveMargin.aspx</t>
  </si>
  <si>
    <t>International Energy Data, Electricity</t>
  </si>
  <si>
    <t>39, 40</t>
  </si>
  <si>
    <t>Global CCS Institute</t>
  </si>
  <si>
    <t>Global Status of CCS 2022</t>
  </si>
  <si>
    <t>https://status22.globalccsinstitute.com/wp-content/uploads/2023/03/GCCSI_Global-Report-2022_PDF_FINAL-01-03-23.pdf</t>
  </si>
  <si>
    <t>The table in the back shows that Canada's Boundary Dam 3 is the only operational CCS project in the "Power Generation" sector.</t>
  </si>
  <si>
    <t>SaskPower</t>
  </si>
  <si>
    <t>Boundary Dam Carbon Capture Project</t>
  </si>
  <si>
    <t>https://www.saskpower.com/Our-Power-Future/Infrastructure-Projects/Carbon-Capture-and-Storage/Boundary-Dam-Carbon-Capture-Project</t>
  </si>
  <si>
    <t>Specifies capacity of Boundary Dam 3, the only operational fossil + CCS facility in the electric power sector globally</t>
  </si>
  <si>
    <t>BAU chemicals industry feedstock demand: HGL, NGL, LPG (ethane, propane, butane, etc.)</t>
  </si>
  <si>
    <t>percent shifted to green hydrogen combustion</t>
  </si>
  <si>
    <t>energy efficiency</t>
  </si>
  <si>
    <t>material efficiency</t>
  </si>
  <si>
    <t>aqueous electrolysis</t>
  </si>
  <si>
    <t>green hydrogen–direct reduced iron (H2–DRI)</t>
  </si>
  <si>
    <t>blue H2 + captured carbon</t>
  </si>
  <si>
    <t>blue H2 is hydrogen formed from fossil fuels with CCS</t>
  </si>
  <si>
    <t>Green hydrogen demand for supplying heat (not feedstocks)</t>
  </si>
  <si>
    <t>Green hydrogen to form chemicals industry feedstocks</t>
  </si>
  <si>
    <t>green hydrogen produced for H2-DRI steelmaking</t>
  </si>
  <si>
    <t>non-feedstock green hydrogen use</t>
  </si>
  <si>
    <t>green hydrogen used for feedstocks</t>
  </si>
  <si>
    <t>electricity use to produce green hydrogen</t>
  </si>
  <si>
    <t>electricity use before producing green hydrogen</t>
  </si>
  <si>
    <t>Blue hydrogen to form chemicals industry feedstocks</t>
  </si>
  <si>
    <t>green hydrogen displacing fossil feedstocks</t>
  </si>
  <si>
    <t>blue hydrogen displacing fossil feedstocks</t>
  </si>
  <si>
    <t>blue hydrogen</t>
  </si>
  <si>
    <t>green hydrogen</t>
  </si>
  <si>
    <t>modeled blue (fossil + CCS) hydrogen use</t>
  </si>
  <si>
    <t>blue hydrogen used for feedstocks</t>
  </si>
  <si>
    <t>kg CO2 / kg H2</t>
  </si>
  <si>
    <t>Rocky Mountain Institute</t>
  </si>
  <si>
    <t>CO2 emissions from feedstock production</t>
  </si>
  <si>
    <t>CO2 generated per unit hydrogen from steam methane reforming</t>
  </si>
  <si>
    <t>CO2 generated per unit hydrogen from coal gasification</t>
  </si>
  <si>
    <t>https://rmi.org/wp-content/uploads/2020/01/hydrogen_insight_brief.pdf</t>
  </si>
  <si>
    <t>Figure 2</t>
  </si>
  <si>
    <t>Hydrogen’s Decarbonization Impact for Industry</t>
  </si>
  <si>
    <t>BAU hydrogen production emissions intensity</t>
  </si>
  <si>
    <t>41, 42</t>
  </si>
  <si>
    <t>Polly Martin</t>
  </si>
  <si>
    <t>India announces $736m push to produce dirty hydrogen from 100 million tonnes of coal</t>
  </si>
  <si>
    <t>https://www.hydrogeninsight.com/production/india-announces-736m-push-to-produce-dirty-hydrogen-from-100-million-tonnes-of-coal/2-1-1488233</t>
  </si>
  <si>
    <t>Article notes high-ash coal has previously prevented India from using coal gasification to obtain hydrogen; its hydrogen is currently from SMR</t>
  </si>
  <si>
    <t>Columbia Center on Global Energy Policy</t>
  </si>
  <si>
    <t>Hydrogen Fact Sheet: Production of Low-Carbon Hydrogen</t>
  </si>
  <si>
    <t>https://www.energypolicy.columbia.edu/publications/hydrogen-fact-sheet-production-of-low-carbon-hydrogen/</t>
  </si>
  <si>
    <t>76% SMR, 22% coal gasification, 2% electrolysis</t>
  </si>
  <si>
    <t>41, 43</t>
  </si>
  <si>
    <t>BAU CO2 from gray/brown H2 production</t>
  </si>
  <si>
    <t>CO2 from H2 production captured via CCS</t>
  </si>
  <si>
    <t>Mass Units</t>
  </si>
  <si>
    <t>Volume as Fraction of Global Oil Production</t>
  </si>
  <si>
    <t>modeled CO2 emissions from gray/brown H2 production</t>
  </si>
  <si>
    <t>modeled CO2 emissions from blue H2 production</t>
  </si>
  <si>
    <t>CO2 from fossil combustion captured via CCS</t>
  </si>
  <si>
    <t>Bioenergy and Waste Consumption</t>
  </si>
  <si>
    <t>Petroleum</t>
  </si>
  <si>
    <t>refinery gas, ethane, LPG</t>
  </si>
  <si>
    <t>Metallurgical coal / coke</t>
  </si>
  <si>
    <t>Excludes coke to avoid double-counting (with coke below)</t>
  </si>
  <si>
    <t>Some Notable Assumptions</t>
  </si>
  <si>
    <t>The energy in fossil feedstocks (coal, natural gas, petroleum) is replaced with hydrogen or bioenergy</t>
  </si>
  <si>
    <t>petrochemical is roughly similar to the efficiency of turning bioenergy or hydrogen into each petrochemical.</t>
  </si>
  <si>
    <t>A more detailed analysis would need to consider production quantities of each specific petrochemical</t>
  </si>
  <si>
    <t>and the relative efficiencies of making each petrochemical from traditional fossil feedstocks versus</t>
  </si>
  <si>
    <t>from hydrogen versus from bioenergy, which is beyond the scope of this simplified calculator.</t>
  </si>
  <si>
    <t>in order to produce the coke.</t>
  </si>
  <si>
    <t>See the "Scenario Controls" tab for directions and to choose (or design) your scenario, then</t>
  </si>
  <si>
    <t>see the "Output Graphs" tab for results.</t>
  </si>
  <si>
    <t>The calculator takes a historical year (the most recent year for which data are available, varying by region)</t>
  </si>
  <si>
    <t>and illustrates the consequences of decarbonizing that historical level of industrial production</t>
  </si>
  <si>
    <t>In reality, by the time the user-selected strategy could be implemented, demand for industrial products may</t>
  </si>
  <si>
    <t>be higher or lower than it was in the historical year (likely higher, given trends toward continuing GDP growth</t>
  </si>
  <si>
    <t>hydrogen required to meet industrial demand should be considered conservative.</t>
  </si>
  <si>
    <t>BAU growth in energy efficiency and material efficiency are assumed to offset BAU growth in demand for</t>
  </si>
  <si>
    <t>levers on the "Scenario Controls" tab represent additional efficiency improvements, i.e., beyond the level</t>
  </si>
  <si>
    <t>necessary simply to offset growth in demand for industrial products.)</t>
  </si>
  <si>
    <t>If you prefer, this can be framed as an assumption regarding BAU energy efficiency and material efficiency:</t>
  </si>
  <si>
    <t>This is a Tool to Pick an Ultimate Target, not a Time-Series Simulation</t>
  </si>
  <si>
    <t>International Energy Agency</t>
  </si>
  <si>
    <t>The Future of Hydrogen</t>
  </si>
  <si>
    <t>https://www.eea.europa.eu/publications/carbon-capture-and-storage/at_download/file</t>
  </si>
  <si>
    <t>Air Pollution Impacts from Carbon Capture and Storage (CCS)</t>
  </si>
  <si>
    <t>European Environment Agency</t>
  </si>
  <si>
    <t xml:space="preserve">CCUS in Clean Energy Transitions </t>
  </si>
  <si>
    <t>https://www.iea.org/reports/ccus-in-clean-energy-transitions</t>
  </si>
  <si>
    <t>Steven R. Mickey</t>
  </si>
  <si>
    <t>Efficient Gas Heating of Industrial Furnaces</t>
  </si>
  <si>
    <t>https://thermalprocessing.com/efficient-gas-heating-of-industrial-furnaces/</t>
  </si>
  <si>
    <t>Maximum efficiency of a burner without waste heat recovery operating at 700 °C, or a burner with waste heat recovery operating at 1000-1500 °C (heat losses increase with temperature)</t>
  </si>
  <si>
    <t>Upper end of efficiency range of typical boilers in China, disregarding energy losses in the steam distribution and condensate recovery systems</t>
  </si>
  <si>
    <t>United Nations Industrial Development Organization</t>
  </si>
  <si>
    <t>Energy Efficiency Potentials in Industrial Steam Systems in China</t>
  </si>
  <si>
    <t>https://www.unido.org/sites/default/files/2015-09/EE_Potentials_Steam_Systems_China__0.pdf</t>
  </si>
  <si>
    <t>For electrolyzer capacity factor, see Figure 13, center of lowest-cost range</t>
  </si>
  <si>
    <t>You may wish to jump in and try the tool now, then return here to read the detailed information below,</t>
  </si>
  <si>
    <t>once you have a feel for how the tool works.</t>
  </si>
  <si>
    <t>Global Oil Industry Capital Expenditures</t>
  </si>
  <si>
    <t>World Energy Investment 2023</t>
  </si>
  <si>
    <t>https://iea.blob.core.windows.net/assets/8834d3af-af60-4df0-9643-72e2684f7221/WorldEnergyInvestment2023.pdf</t>
  </si>
  <si>
    <t>Page 60</t>
  </si>
  <si>
    <t>Height (points)</t>
  </si>
  <si>
    <t>Billion 2022 USD</t>
  </si>
  <si>
    <t>2010-2022</t>
  </si>
  <si>
    <t>Agricultural land (sq. km)</t>
  </si>
  <si>
    <t>AG.LND.AGRI.K2</t>
  </si>
  <si>
    <t>Hectares</t>
  </si>
  <si>
    <t>Sq. km</t>
  </si>
  <si>
    <t>square km</t>
  </si>
  <si>
    <t>hectares</t>
  </si>
  <si>
    <r>
      <t>ha / km</t>
    </r>
    <r>
      <rPr>
        <vertAlign val="superscript"/>
        <sz val="11"/>
        <color theme="1"/>
        <rFont val="Calibri"/>
        <family val="2"/>
        <scheme val="minor"/>
      </rPr>
      <t>2</t>
    </r>
  </si>
  <si>
    <t>CSV download, year 2021</t>
  </si>
  <si>
    <t>https://data.worldbank.org/indicator/AG.LND.AGRI.K2?most_recent_value_desc=true&amp;view=map and https://data.worldbank.org/indicator/AG.LND.ARBL.HA?most_recent_value_desc=true&amp;view=map</t>
  </si>
  <si>
    <t>World Development Indicators: Agricultural land (sq. km) and Arable land (hectares)</t>
  </si>
  <si>
    <t>agricultural land</t>
  </si>
  <si>
    <t>Agricultural land includes land used for growing crops, animal pasture, meadows, and fallow land. It excludes non-orchard forests, water bodies, mountains, deserts, urban land, etc.</t>
  </si>
  <si>
    <t>^ as fraction of agricultural land</t>
  </si>
  <si>
    <t>BAU non-feedstock bioenergy demand from non-industrial sectors (rest of economy)</t>
  </si>
  <si>
    <t>12/ Consumption determined by using the average electric power sector net heat rate for fossil fuels.</t>
  </si>
  <si>
    <t>electronic devices, heating elements, and motors not listed above. Electric vehicles are included in the transportation sector.</t>
  </si>
  <si>
    <t>outdoor grills, natural gas- and propane-fueled lights, security systems, and backup electricity generators, as well as electric and</t>
  </si>
  <si>
    <t>coffee makers, miscellaneous refrigeration products, other small kitchen appliances, pool heaters, pool pumps, portable electric spas,</t>
  </si>
  <si>
    <t>11/ Includes (but is not limited to) dehumidifiers, ceiling fans, non-PC rechargeables, smart speakers, smartphones, tables, microwaves,</t>
  </si>
  <si>
    <t>Survey.</t>
  </si>
  <si>
    <t>10/ Includes wood used for primary and secondary heating in wood stoves or fireplaces as reported in the Residential Energy Consumption</t>
  </si>
  <si>
    <t>9/ Includes such appliances as outdoor grills, propane-fueled lights, pool heaters, spa heaters, and backup electricity generators.</t>
  </si>
  <si>
    <t>8/ Includes such appliances as pool heaters, spa heaters, and backup electricity generators.</t>
  </si>
  <si>
    <t>7/ Includes kerosene use.</t>
  </si>
  <si>
    <t>6/ Includes such appliances as outdoor grills, natural gas-fueled lights, pool heaters, spa heaters, and backup electricity generators.</t>
  </si>
  <si>
    <t>included in the transportation sector.</t>
  </si>
  <si>
    <t>security systems, as well as electric and electronic devices, heating elements, and motors not listed above. Electric vehicles are</t>
  </si>
  <si>
    <t>coffee makers, miscellaneous refrigeration products, other small kitchen appliances, pool heaters, pool pumps, portable electric spas, and</t>
  </si>
  <si>
    <t>5/ Includes (but is not limited to) dehumidifiers, ceiling fans, non-PC rechargeables, smart speakers, smartphones, tablets, microwaves,</t>
  </si>
  <si>
    <t>4/ Includes desktop and laptop computers, monitors, and networking equipment.</t>
  </si>
  <si>
    <t>3/ Includes televisions, set-top boxes, home theater systems, over-the-top streaming devices, and video game consoles.</t>
  </si>
  <si>
    <t>2/ Does not include water heating portion of load.</t>
  </si>
  <si>
    <t>including purchased electricity and on-site generation for own use.</t>
  </si>
  <si>
    <t>1/ Unless otherwise specified, energy consumption by end use includes all electricity consumed for that end use,</t>
  </si>
  <si>
    <t xml:space="preserve">      United States</t>
  </si>
  <si>
    <t>RKI000:cdd_UnitedStates</t>
  </si>
  <si>
    <t xml:space="preserve">   Pacific</t>
  </si>
  <si>
    <t>RKI000:cdd_Pacific</t>
  </si>
  <si>
    <t xml:space="preserve">   Mountain</t>
  </si>
  <si>
    <t>RKI000:cdd_Mountain</t>
  </si>
  <si>
    <t xml:space="preserve">   West South Central</t>
  </si>
  <si>
    <t>RKI000:cdd_WestSouthCen</t>
  </si>
  <si>
    <t xml:space="preserve">   East South Central</t>
  </si>
  <si>
    <t>RKI000:cdd_EastSouthCen</t>
  </si>
  <si>
    <t xml:space="preserve">   South Atlantic</t>
  </si>
  <si>
    <t>RKI000:cdd_SouthAtlantc</t>
  </si>
  <si>
    <t xml:space="preserve">   West North Central</t>
  </si>
  <si>
    <t>RKI000:cdd_WestNorthCen</t>
  </si>
  <si>
    <t xml:space="preserve">   East North Central</t>
  </si>
  <si>
    <t>RKI000:cdd_EastNorthCen</t>
  </si>
  <si>
    <t xml:space="preserve">   Middle Atlantic</t>
  </si>
  <si>
    <t>RKI000:cdd_MiddleAtlant</t>
  </si>
  <si>
    <t xml:space="preserve">   New England</t>
  </si>
  <si>
    <t>RKI000:cdd_NewEngland</t>
  </si>
  <si>
    <t>Cooling Degree Days</t>
  </si>
  <si>
    <t>RKI000:hdd_UnitedStates</t>
  </si>
  <si>
    <t>RKI000:hdd_Pacific</t>
  </si>
  <si>
    <t>RKI000:hdd_Mountain</t>
  </si>
  <si>
    <t>RKI000:hdd_WestSouthCen</t>
  </si>
  <si>
    <t>RKI000:hdd_EastSouthCen</t>
  </si>
  <si>
    <t>RKI000:hdd_SouthAtlantc</t>
  </si>
  <si>
    <t>RKI000:hdd_WestNorthCen</t>
  </si>
  <si>
    <t>RKI000:hdd_EastNorthCen</t>
  </si>
  <si>
    <t>RKI000:hdd_MiddleAtlant</t>
  </si>
  <si>
    <t>RKI000:hdd_NewEngland</t>
  </si>
  <si>
    <t>Heating Degree Days</t>
  </si>
  <si>
    <t>RKI000:na_Total</t>
  </si>
  <si>
    <t xml:space="preserve">  Wind</t>
  </si>
  <si>
    <t>RKI000:na_WindHuffPuff</t>
  </si>
  <si>
    <t xml:space="preserve">  Solar Photovoltaic</t>
  </si>
  <si>
    <t>RKI000:na_SolarPhotovol</t>
  </si>
  <si>
    <t xml:space="preserve">  Solar Hot Water Heating</t>
  </si>
  <si>
    <t>RKI000:na_SolarHotWater</t>
  </si>
  <si>
    <t xml:space="preserve">  Geothermal Heat Pumps</t>
  </si>
  <si>
    <t>RKI000:na_GeothermalHea</t>
  </si>
  <si>
    <t>Nonmarketed Renewables 12/</t>
  </si>
  <si>
    <t>Total Net Own-use Generation</t>
  </si>
  <si>
    <t>RKI000:ma_TtllOwnUseGen</t>
  </si>
  <si>
    <t xml:space="preserve"> Generation for Own Use</t>
  </si>
  <si>
    <t>RKI000:ma_OwnGeneration</t>
  </si>
  <si>
    <t xml:space="preserve">   Total Gross End-use Consumption</t>
  </si>
  <si>
    <t>RKI000:ma_Total</t>
  </si>
  <si>
    <t xml:space="preserve"> Other Uses 11/</t>
  </si>
  <si>
    <t>RKI000:ma_OtherUses</t>
  </si>
  <si>
    <t xml:space="preserve"> Furnace Fans and Boiler Circulation Pumps</t>
  </si>
  <si>
    <t>RKI000:ma_FurnaceFans</t>
  </si>
  <si>
    <t xml:space="preserve"> Computers and Related Equipment 4/</t>
  </si>
  <si>
    <t>RKI000:ma_PersonalCompu</t>
  </si>
  <si>
    <t xml:space="preserve"> Televisions and Related Equipment 3/</t>
  </si>
  <si>
    <t>RKI000:ma_ColorTelevisi</t>
  </si>
  <si>
    <t xml:space="preserve"> Dishwashers 2/</t>
  </si>
  <si>
    <t>RKI000:ma_Dishwashers</t>
  </si>
  <si>
    <t xml:space="preserve"> Clothes Washers 2/</t>
  </si>
  <si>
    <t>RKI000:ma_ClothesWasher</t>
  </si>
  <si>
    <t xml:space="preserve"> Lighting</t>
  </si>
  <si>
    <t>RKI000:ma_Lighting</t>
  </si>
  <si>
    <t xml:space="preserve"> Freezers</t>
  </si>
  <si>
    <t>RKI000:ma_Freezers</t>
  </si>
  <si>
    <t xml:space="preserve"> Clothes Dryers</t>
  </si>
  <si>
    <t>RKI000:ma_ClothesDryers</t>
  </si>
  <si>
    <t xml:space="preserve"> Cooking</t>
  </si>
  <si>
    <t>RKI000:ma_Cooking</t>
  </si>
  <si>
    <t xml:space="preserve"> Refrigeration</t>
  </si>
  <si>
    <t>RKI000:ma_Refrigeration</t>
  </si>
  <si>
    <t xml:space="preserve"> Water Heating</t>
  </si>
  <si>
    <t>RKI000:ma_WaterHeating</t>
  </si>
  <si>
    <t xml:space="preserve"> Space Cooling</t>
  </si>
  <si>
    <t>RKI000:ma_SpaceCooling</t>
  </si>
  <si>
    <t xml:space="preserve"> Space Heating</t>
  </si>
  <si>
    <t>RKI000:ma_SpaceHeating</t>
  </si>
  <si>
    <t>Total Energy Consumption by End Use 1/</t>
  </si>
  <si>
    <t>Electricity Related Losses</t>
  </si>
  <si>
    <t>RKI000:la_ElectricityRe</t>
  </si>
  <si>
    <t xml:space="preserve">    Delivered Energy</t>
  </si>
  <si>
    <t>RKI000:ka_DeliveredEner</t>
  </si>
  <si>
    <t xml:space="preserve"> On-site Generation for Own Use</t>
  </si>
  <si>
    <t>RKI000:ka_OwnGeneration</t>
  </si>
  <si>
    <t xml:space="preserve">    Gross End-use Consumption</t>
  </si>
  <si>
    <t>RKI000:ka_GrsEndUseCons</t>
  </si>
  <si>
    <t>RKI000:ka_OtherUses</t>
  </si>
  <si>
    <t>RKI000:ka_FurnaceFans</t>
  </si>
  <si>
    <t>RKI000:ka_PersonalCompu</t>
  </si>
  <si>
    <t>RKI000:ka_ColorTelevisi</t>
  </si>
  <si>
    <t>RKI000:ka_Dishwashers</t>
  </si>
  <si>
    <t>RKI000:ka_ClothesWasher</t>
  </si>
  <si>
    <t>RKI000:ka_Lighting</t>
  </si>
  <si>
    <t>RKI000:ka_Freezers</t>
  </si>
  <si>
    <t>RKI000:ka_ClothesDryers</t>
  </si>
  <si>
    <t>RKI000:ka_Cooking</t>
  </si>
  <si>
    <t>RKI000:ka_Refrigeration</t>
  </si>
  <si>
    <t>RKI000:ka_WaterHeating</t>
  </si>
  <si>
    <t>RKI000:ka_SpaceCooling</t>
  </si>
  <si>
    <t>RKI000:ka_SpaceHeating</t>
  </si>
  <si>
    <t>Energy Consumption by End Use 1/</t>
  </si>
  <si>
    <t xml:space="preserve"> Marketed Renewables (wood) 10/</t>
  </si>
  <si>
    <t>RKI000:ja_MarketedRenew</t>
  </si>
  <si>
    <t>RKI000:ia_DeliveredEner</t>
  </si>
  <si>
    <t xml:space="preserve">   Other Uses 9/</t>
  </si>
  <si>
    <t>RKI000:ia_OtherUses</t>
  </si>
  <si>
    <t xml:space="preserve">   Cooking</t>
  </si>
  <si>
    <t>RKI000:ia_Cooking</t>
  </si>
  <si>
    <t xml:space="preserve">   Water Heating</t>
  </si>
  <si>
    <t>RKI000:ia_WaterHeating</t>
  </si>
  <si>
    <t xml:space="preserve">   Space Heating</t>
  </si>
  <si>
    <t>RKI000:ia_SpaceHeating</t>
  </si>
  <si>
    <t>RKI000:ha_DeliveredEner</t>
  </si>
  <si>
    <t xml:space="preserve">   Other Uses 8/</t>
  </si>
  <si>
    <t>RKI000:Other_ha_ha</t>
  </si>
  <si>
    <t>RKI000:ha_WaterHeating</t>
  </si>
  <si>
    <t>RKI000:ha_SpaceHeating</t>
  </si>
  <si>
    <t xml:space="preserve"> Distillate Fuel Oil 7/</t>
  </si>
  <si>
    <t>RKI000:ga_DeliveredEner</t>
  </si>
  <si>
    <t xml:space="preserve">   Other Uses 6/</t>
  </si>
  <si>
    <t>RKI000:ga_OtherNatGas</t>
  </si>
  <si>
    <t xml:space="preserve">   Clothes Dryers</t>
  </si>
  <si>
    <t>RKI000:ga_ClothesDryers</t>
  </si>
  <si>
    <t>RKI000:ga_Cooking</t>
  </si>
  <si>
    <t>RKI000:ga_WaterHeating</t>
  </si>
  <si>
    <t xml:space="preserve">   Space Cooling</t>
  </si>
  <si>
    <t>RKI000:ga_SpaceCooling</t>
  </si>
  <si>
    <t>RKI000:ga_SpaceHeating</t>
  </si>
  <si>
    <t xml:space="preserve">     Purchased Electricity</t>
  </si>
  <si>
    <t>RKI000:fa_PurchasedElec</t>
  </si>
  <si>
    <t xml:space="preserve">   On-site Generation for Own Use</t>
  </si>
  <si>
    <t>RKI000:fa_OwnGeneration</t>
  </si>
  <si>
    <t xml:space="preserve">     Electricity Subtotal</t>
  </si>
  <si>
    <t>RKI000:fa_DeliveredEner</t>
  </si>
  <si>
    <t xml:space="preserve">   Other Uses 5/</t>
  </si>
  <si>
    <t>RKI000:fa_OtherUses</t>
  </si>
  <si>
    <t xml:space="preserve">   Furnace Fans and Boiler Circulation Pumps</t>
  </si>
  <si>
    <t>RKI000:fa_FurnaceFans</t>
  </si>
  <si>
    <t xml:space="preserve">   Computers and Related Equipment 4/</t>
  </si>
  <si>
    <t>RKI000:fa_PersonalCompu</t>
  </si>
  <si>
    <t xml:space="preserve">   Televisions and Related Equipment 3/</t>
  </si>
  <si>
    <t>RKI000:fa_ColorTelevisi</t>
  </si>
  <si>
    <t xml:space="preserve">   Dishwashers 2/</t>
  </si>
  <si>
    <t>RKI000:fa_Dishwashers</t>
  </si>
  <si>
    <t xml:space="preserve">   Clothes Washers 2/</t>
  </si>
  <si>
    <t>RKI000:fa_ClothesWasher</t>
  </si>
  <si>
    <t xml:space="preserve">   Lighting</t>
  </si>
  <si>
    <t>RKI000:fa_Lighting</t>
  </si>
  <si>
    <t xml:space="preserve">   Freezers</t>
  </si>
  <si>
    <t>RKI000:fa_Freezers</t>
  </si>
  <si>
    <t>RKI000:fa_ClothesDryers</t>
  </si>
  <si>
    <t>RKI000:fa_Cooking</t>
  </si>
  <si>
    <t xml:space="preserve">   Refrigeration</t>
  </si>
  <si>
    <t>RKI000:fa_Refrigeration</t>
  </si>
  <si>
    <t>RKI000:fa_WaterHeating</t>
  </si>
  <si>
    <t>RKI000:fa_SpaceCooling</t>
  </si>
  <si>
    <t>RKI000:fa_SpaceHeating</t>
  </si>
  <si>
    <t xml:space="preserve"> Electricity 1/</t>
  </si>
  <si>
    <t>Energy Consumption by Fuel</t>
  </si>
  <si>
    <t xml:space="preserve">   Delivered Energy Consumption</t>
  </si>
  <si>
    <t>RKI000:ea_TotalEnergyCo</t>
  </si>
  <si>
    <t xml:space="preserve">   Gross End-use Consumption 1/</t>
  </si>
  <si>
    <t>RKI000:ea_DeliveredEner</t>
  </si>
  <si>
    <t xml:space="preserve"> (thousand Btu per square foot)</t>
  </si>
  <si>
    <t>RKI000:da_TotalEnergyCo</t>
  </si>
  <si>
    <t>RKI000:da_DeliveredEner</t>
  </si>
  <si>
    <t xml:space="preserve"> (million Btu per household)</t>
  </si>
  <si>
    <t xml:space="preserve"> Energy Intensity</t>
  </si>
  <si>
    <t xml:space="preserve"> Average House Square Footage</t>
  </si>
  <si>
    <t>RKI000:ca_AverageHouseS</t>
  </si>
  <si>
    <t>RKI000:ba_Total</t>
  </si>
  <si>
    <t xml:space="preserve">   Mobile Homes</t>
  </si>
  <si>
    <t>RKI000:ba_MobileHomes</t>
  </si>
  <si>
    <t xml:space="preserve">   Multifamily</t>
  </si>
  <si>
    <t>RKI000:ba_Multifamily</t>
  </si>
  <si>
    <t xml:space="preserve">   Single-Family</t>
  </si>
  <si>
    <t>RKI000:ba_Single-Family</t>
  </si>
  <si>
    <t xml:space="preserve"> Households (millions)</t>
  </si>
  <si>
    <t>Key Indicators</t>
  </si>
  <si>
    <t xml:space="preserve"> Key Indicators and Consumption</t>
  </si>
  <si>
    <t>4. Residential Sector Key Indicators and Consumption</t>
  </si>
  <si>
    <t>RKI000</t>
  </si>
  <si>
    <t>8/ Consumption determined by using the average electric power sector net heat rate for fossil fuels.</t>
  </si>
  <si>
    <t>includes residual fuel oil, propane, coal, motor gasoline, kerosene, and marketed renewable fuels (biomass).</t>
  </si>
  <si>
    <t>combined heat and power in commercial buildings, manufacturing performed in commercial buildings, and cooking (distillate).  Also</t>
  </si>
  <si>
    <t>escalators, off-road electric vehicles, laboratory fume hoods, laundry equipment, coffee brewers, water services, emergency generators,</t>
  </si>
  <si>
    <t>7/ Includes (but is not limited to) miscellaneous uses such as transformers, medical imaging and other medical equipment, elevators,</t>
  </si>
  <si>
    <t>6/ Includes residual fuel oil, propane, coal, motor gasoline, and kerosene.</t>
  </si>
  <si>
    <t>5/ Includes miscellaneous uses, such as cooking, emergency generators, and combined heat and power in commercial buildings.</t>
  </si>
  <si>
    <t>performed in commercial buildings.</t>
  </si>
  <si>
    <t>4/ Includes miscellaneous uses, such as emergency generators, combined heat and power in commercial buildings, and manufacturing</t>
  </si>
  <si>
    <t>escalators, off-road electric vehicles, laboratory fume hoods, laundry equipment, coffee brewers, and water services.</t>
  </si>
  <si>
    <t>3/ Includes (but is not limited to) miscellaneous uses such as transformers, medical imaging and other medical equipment, elevators,</t>
  </si>
  <si>
    <t>2/ Includes fuel consumption for district services.</t>
  </si>
  <si>
    <t>CKI000:cdd_UnitedStates</t>
  </si>
  <si>
    <t>CKI000:cdd_Pacific</t>
  </si>
  <si>
    <t>CKI000:cdd_Mountain</t>
  </si>
  <si>
    <t>CKI000:cdd_WestSouthCen</t>
  </si>
  <si>
    <t>CKI000:cdd_EastSouthCen</t>
  </si>
  <si>
    <t>CKI000:cdd_SouthAtlantc</t>
  </si>
  <si>
    <t>CKI000:cdd_WestNorthCen</t>
  </si>
  <si>
    <t>CKI000:cdd_EastNorthCen</t>
  </si>
  <si>
    <t>CKI000:cdd_MiddleAtlant</t>
  </si>
  <si>
    <t>CKI000:cdd_NewEngland</t>
  </si>
  <si>
    <t>CKI000:hdd_UnitedStates</t>
  </si>
  <si>
    <t>CKI000:hdd_Pacific</t>
  </si>
  <si>
    <t>CKI000:hdd_Mountain</t>
  </si>
  <si>
    <t>CKI000:hdd_WestSouthCen</t>
  </si>
  <si>
    <t>CKI000:hdd_EastSouthCen</t>
  </si>
  <si>
    <t>CKI000:hdd_SouthAtlantc</t>
  </si>
  <si>
    <t>CKI000:hdd_WestNorthCen</t>
  </si>
  <si>
    <t>CKI000:hdd_EastNorthCen</t>
  </si>
  <si>
    <t>CKI000:hdd_MiddleAtlant</t>
  </si>
  <si>
    <t>CKI000:hdd_NewEngland</t>
  </si>
  <si>
    <t>CKI000:qa_TotalSolar</t>
  </si>
  <si>
    <t>CKI000:qa_EKnowitzWindy</t>
  </si>
  <si>
    <t>CKI000:qa_SolarPhotovol</t>
  </si>
  <si>
    <t xml:space="preserve">  Solar Thermal</t>
  </si>
  <si>
    <t>CKI000:qa_SolarThermal</t>
  </si>
  <si>
    <t>Nonmarketed Renewable Fuels 8/</t>
  </si>
  <si>
    <t>CKI000:pa_TtllOwnUseGen</t>
  </si>
  <si>
    <t>CKI000:pa_OwnGeneration</t>
  </si>
  <si>
    <t xml:space="preserve">     Total Gross End-use Consumption</t>
  </si>
  <si>
    <t>CKI000:pa_Total</t>
  </si>
  <si>
    <t xml:space="preserve">   Other Uses 7/</t>
  </si>
  <si>
    <t>CKI000:pa_OtherUses</t>
  </si>
  <si>
    <t xml:space="preserve">   Office Equipment</t>
  </si>
  <si>
    <t>CKI000:pa_OfficeEquipme</t>
  </si>
  <si>
    <t xml:space="preserve">   Computing</t>
  </si>
  <si>
    <t>CKI000:oa_OfficeEquipme</t>
  </si>
  <si>
    <t>CKI000:oa_Refrigeration</t>
  </si>
  <si>
    <t>CKI000:oa_Lighting</t>
  </si>
  <si>
    <t>CKI000:oa_Cooking</t>
  </si>
  <si>
    <t xml:space="preserve">   Ventilation</t>
  </si>
  <si>
    <t>CKI000:oa_Ventilation</t>
  </si>
  <si>
    <t xml:space="preserve">   Water Heating 2/</t>
  </si>
  <si>
    <t>CKI000:oa_WaterHeating</t>
  </si>
  <si>
    <t xml:space="preserve">   Space Cooling 2/</t>
  </si>
  <si>
    <t>CKI000:oa_SpaceCooling</t>
  </si>
  <si>
    <t xml:space="preserve">   Space Heating 2/</t>
  </si>
  <si>
    <t>CKI000:oa_SpaceHeating</t>
  </si>
  <si>
    <t>CKI000:na_ElectricityRe</t>
  </si>
  <si>
    <t>CKI000:ma_DeliveredEner</t>
  </si>
  <si>
    <t>CKI000:ma_OwnGeneration</t>
  </si>
  <si>
    <t xml:space="preserve">     Gross End-use Consumption</t>
  </si>
  <si>
    <t>CKI000:ma_GrsEndUseCons</t>
  </si>
  <si>
    <t>CKI000:ma_OtherUses</t>
  </si>
  <si>
    <t>CKI000:ma_OfficeEquipme</t>
  </si>
  <si>
    <t>CKI000:la_OfficeEquipme</t>
  </si>
  <si>
    <t>CKI000:la_Refrigeration</t>
  </si>
  <si>
    <t>CKI000:la_Lighting</t>
  </si>
  <si>
    <t>CKI000:la_Cooking</t>
  </si>
  <si>
    <t>CKI000:la_Ventilation</t>
  </si>
  <si>
    <t>CKI000:la_WaterHeating</t>
  </si>
  <si>
    <t>CKI000:la_SpaceCooling</t>
  </si>
  <si>
    <t>CKI000:la_SpaceHeating</t>
  </si>
  <si>
    <t xml:space="preserve"> Other Fuels 6/</t>
  </si>
  <si>
    <t>CKI000:ka_OtherFuels</t>
  </si>
  <si>
    <t xml:space="preserve"> Marketed Renewables (biomass)</t>
  </si>
  <si>
    <t>CKI000:ka_MarketedRenew</t>
  </si>
  <si>
    <t>CKI000:ja_DeliveredEner</t>
  </si>
  <si>
    <t>CKI000:ja_OtherUses</t>
  </si>
  <si>
    <t>CKI000:ja_WaterHeating</t>
  </si>
  <si>
    <t>CKI000:ja_SpaceHeating</t>
  </si>
  <si>
    <t>CKI000:ia_DeliveredEner</t>
  </si>
  <si>
    <t xml:space="preserve">   Other Uses 4/</t>
  </si>
  <si>
    <t>CKI000:ia_OtherUses</t>
  </si>
  <si>
    <t>CKI000:ia_Cooking</t>
  </si>
  <si>
    <t>CKI000:ia_WaterHeating</t>
  </si>
  <si>
    <t>CKI000:ia_SpaceCooling</t>
  </si>
  <si>
    <t>CKI000:ia_SpaceHeating</t>
  </si>
  <si>
    <t>CKI000:ha_PurchasedElec</t>
  </si>
  <si>
    <t>CKI000:ha_OwnGeneration</t>
  </si>
  <si>
    <t>CKI000:ha_ElecSubtotal</t>
  </si>
  <si>
    <t xml:space="preserve">   Other Uses 3/</t>
  </si>
  <si>
    <t>CKI000:ha_OtherUses</t>
  </si>
  <si>
    <t>CKI000:ha_OfficeEquipme</t>
  </si>
  <si>
    <t>CKI000:ga_OfficeEquipme</t>
  </si>
  <si>
    <t>CKI000:ga_Refrigeration</t>
  </si>
  <si>
    <t>CKI000:ga_Lighting</t>
  </si>
  <si>
    <t>CKI000:ga_Cooking</t>
  </si>
  <si>
    <t>CKI000:ga_Ventilation</t>
  </si>
  <si>
    <t>CKI000:ga_WaterHeating</t>
  </si>
  <si>
    <t>CKI000:ga_SpaceCooling</t>
  </si>
  <si>
    <t>CKI000:ga_SpaceHeating</t>
  </si>
  <si>
    <t>CKI000:ea_ElectricityRe</t>
  </si>
  <si>
    <t>CKI000:ea_DeliveredEner</t>
  </si>
  <si>
    <t xml:space="preserve"> Energy Consumption Intensity</t>
  </si>
  <si>
    <t>CKI000:da_Total</t>
  </si>
  <si>
    <t xml:space="preserve">   New Additions</t>
  </si>
  <si>
    <t>CKI000:da_NewAdditions</t>
  </si>
  <si>
    <t xml:space="preserve">   Surviving</t>
  </si>
  <si>
    <t>CKI000:da_Surviving</t>
  </si>
  <si>
    <t xml:space="preserve"> Total Floorspace (billion square feet)</t>
  </si>
  <si>
    <t>5. Commercial Sector Key Indicators and Consumption</t>
  </si>
  <si>
    <t>CKI000</t>
  </si>
  <si>
    <t>Residential buildings</t>
  </si>
  <si>
    <t>Commercial buildings</t>
  </si>
  <si>
    <t>Transportation sector</t>
  </si>
  <si>
    <t>operable refining capacity in barrels per calendar day.</t>
  </si>
  <si>
    <t>19/ Rate is calculated by dividing the gross annual input to atmospheric crude oil distillation units by their</t>
  </si>
  <si>
    <t>18/ End-of-year operable capacity.</t>
  </si>
  <si>
    <t>17/ Balancing item. Includes unaccounted for supply, losses, and gains.</t>
  </si>
  <si>
    <t>16/ Represents consumption unattributed to the sectors above.</t>
  </si>
  <si>
    <t>15/ Includes consumption of energy by electricity-only and combined-heat-and-power plants that have a regulatory status.</t>
  </si>
  <si>
    <t>14/ Includes energy for combined-heat-and-power plants that have a non-regulatory status and small on-site generating systems.</t>
  </si>
  <si>
    <t>coke, crude oil product supplied, methanol, miscellaneous petroleum products, and kerosene not used in the residential sector.</t>
  </si>
  <si>
    <t>13/ Includes aviation gasoline, petrochemical feedstocks, lubricants, waxes, asphalt, road oil, still gas, special naphthas, petroleum</t>
  </si>
  <si>
    <t>12/ Includes distillate fuel oil from petroleum and biomass feedstocks and kerosene use in the residential sector.</t>
  </si>
  <si>
    <t>11/ Includes only kerosene type.</t>
  </si>
  <si>
    <t>10/ E85 refers to a high-level ethanol-gasoline blend containing 51% to 83% ethanol, depending on geography and season. To address cold</t>
  </si>
  <si>
    <t>9/ Includes ethanol and ethers blended into gasoline.</t>
  </si>
  <si>
    <t>8/ Includes ethane, propane, normal butane, isobutane, natural gasoline, and refinery olefins.</t>
  </si>
  <si>
    <t>renewable sources, liquids from gas, liquids from coal, and other supply.</t>
  </si>
  <si>
    <t>7/ Total crude supply, net product imports, refinery processing gain, product stock withdrawal, natural gas plant liquids, supply from</t>
  </si>
  <si>
    <t>6/ Includes domestic sources of other blending components, other hydrocarbons, and ethers.</t>
  </si>
  <si>
    <t>diesel, gasoline, and aviation fuel.</t>
  </si>
  <si>
    <t>5/ Includes pyrolysis oils, biomass-derived Fischer-Tropsch liquids, and renewable feedstocks used for the on-site production of</t>
  </si>
  <si>
    <t>have a lower specific gravity than the crude oil processed.</t>
  </si>
  <si>
    <t>4/ The volumetric amount by which total output is greater than input due to the processing of crude oil into products which, in total,</t>
  </si>
  <si>
    <t>3/ Includes other hydrocarbons and alcohols.</t>
  </si>
  <si>
    <t>2/ Strategic Petroleum Reserve stock additions plus unaccounted for crude oil and crude oil stock withdrawals.</t>
  </si>
  <si>
    <t>1/ Includes lease condensate.</t>
  </si>
  <si>
    <t xml:space="preserve"> Petroleum Products (billion 2022 dollars)</t>
  </si>
  <si>
    <t>PSD000:ha_PetroleumProd</t>
  </si>
  <si>
    <t>Expenditures for Imported Crude Oil and</t>
  </si>
  <si>
    <t>Net Import Share of Product Supplied (percent)</t>
  </si>
  <si>
    <t>PSD000:ha_ImportShareof</t>
  </si>
  <si>
    <t>Total Net Imports</t>
  </si>
  <si>
    <t>PSD000:total_net_import</t>
  </si>
  <si>
    <t>Total Gross Exports</t>
  </si>
  <si>
    <t>PSD000:total_gross_exp</t>
  </si>
  <si>
    <t>Total Gross Imports</t>
  </si>
  <si>
    <t>PSD000:total_gross_imp</t>
  </si>
  <si>
    <t>Capacity Utilization Rate (percent) 19/</t>
  </si>
  <si>
    <t>PSD000:ha_CapacityUtili</t>
  </si>
  <si>
    <t>Domestic Refinery Distillation Capacity 18/</t>
  </si>
  <si>
    <t>PSD000:ha_DomesticRefin</t>
  </si>
  <si>
    <t xml:space="preserve"> Discrepancy 17/</t>
  </si>
  <si>
    <t>PSD000:ga_Discrepancy</t>
  </si>
  <si>
    <t>PSD000:fa_Total</t>
  </si>
  <si>
    <t xml:space="preserve">     Unspecified Sector 16/</t>
  </si>
  <si>
    <t>PSD000:fa_balancesector</t>
  </si>
  <si>
    <t xml:space="preserve">     Electric Power 15/</t>
  </si>
  <si>
    <t>PSD000:fa_ElectricPower</t>
  </si>
  <si>
    <t xml:space="preserve">     Transportation</t>
  </si>
  <si>
    <t>PSD000:fa_Transportatio</t>
  </si>
  <si>
    <t xml:space="preserve">     Industrial 14/</t>
  </si>
  <si>
    <t>PSD000:fa_Industrial</t>
  </si>
  <si>
    <t xml:space="preserve">     Residential and Commercial</t>
  </si>
  <si>
    <t>PSD000:fa_Residentialan</t>
  </si>
  <si>
    <t xml:space="preserve">   by Sector</t>
  </si>
  <si>
    <t xml:space="preserve">     Other 13/</t>
  </si>
  <si>
    <t>PSD000:ea_Other</t>
  </si>
  <si>
    <t xml:space="preserve">     Residual Fuel Oil</t>
  </si>
  <si>
    <t>PSD000:ea_ResidualFuel</t>
  </si>
  <si>
    <t xml:space="preserve">       of which:  Diesel</t>
  </si>
  <si>
    <t>PSD000:eb_DieselAllSect</t>
  </si>
  <si>
    <t xml:space="preserve">     Distillate Fuel Oil 12/</t>
  </si>
  <si>
    <t>PSD000:ea_DistillateFue</t>
  </si>
  <si>
    <t xml:space="preserve">     Jet Fuel 11/</t>
  </si>
  <si>
    <t>PSD000:ea_JetFuel</t>
  </si>
  <si>
    <t xml:space="preserve">        of which:  E85 10/</t>
  </si>
  <si>
    <t>PSD000:ea_E85E85E85E85</t>
  </si>
  <si>
    <t xml:space="preserve">     Motor Gasoline 9/</t>
  </si>
  <si>
    <t>PSD000:ea_MotorGasoline</t>
  </si>
  <si>
    <t xml:space="preserve">     Hydrocarbon Gas Liquids 8/</t>
  </si>
  <si>
    <t>PSD000:ea_LiqPetGas</t>
  </si>
  <si>
    <t xml:space="preserve">   by Fuel</t>
  </si>
  <si>
    <t xml:space="preserve"> Product Supplied</t>
  </si>
  <si>
    <t xml:space="preserve"> Total Primary Supply 7/</t>
  </si>
  <si>
    <t>PSD000:da_TotalPrimaryS</t>
  </si>
  <si>
    <t xml:space="preserve"> Other 6/</t>
  </si>
  <si>
    <t>PSD000:ca_OtherOther</t>
  </si>
  <si>
    <t xml:space="preserve"> Liquids from Coal</t>
  </si>
  <si>
    <t>PSD000:ca_LiquidsfromCo</t>
  </si>
  <si>
    <t xml:space="preserve"> Liquids from Gas</t>
  </si>
  <si>
    <t>PSD000:AllLiquidsfromGa</t>
  </si>
  <si>
    <t xml:space="preserve">     Stock Withdrawal</t>
  </si>
  <si>
    <t>PSD000:Other_BM_Stock</t>
  </si>
  <si>
    <t xml:space="preserve">     Net Imports</t>
  </si>
  <si>
    <t>PSD000:Other_BM_NetImp</t>
  </si>
  <si>
    <t xml:space="preserve">     Domestic Production</t>
  </si>
  <si>
    <t>PSD000:Other_BM_Dome</t>
  </si>
  <si>
    <t xml:space="preserve">   Other Biomass-derived Liquids 5/</t>
  </si>
  <si>
    <t>PSD000:Other_BM-derived</t>
  </si>
  <si>
    <t>PSD000:cb_BiodieselImpo</t>
  </si>
  <si>
    <t>PSD000:cb_DomesticBiodi</t>
  </si>
  <si>
    <t xml:space="preserve">  Renewable Diesel</t>
  </si>
  <si>
    <t>PSD000:cb_TotalBiodiesl</t>
  </si>
  <si>
    <t xml:space="preserve">   Biodiesel</t>
  </si>
  <si>
    <t>PSD000:ca_EthanolImport</t>
  </si>
  <si>
    <t>PSD000:ca_DomesticEthan</t>
  </si>
  <si>
    <t xml:space="preserve">   Ethanol (undenatured)</t>
  </si>
  <si>
    <t>PSD000:cb_TotalEthanol</t>
  </si>
  <si>
    <t xml:space="preserve"> Biofuels</t>
  </si>
  <si>
    <t>PSD000:from_Renewables</t>
  </si>
  <si>
    <t xml:space="preserve"> Natural Gas Plant Liquids</t>
  </si>
  <si>
    <t>PSD000:ca_NaturalGasPla</t>
  </si>
  <si>
    <t xml:space="preserve"> Product Stock Withdrawal</t>
  </si>
  <si>
    <t>PSD000:ProductStockDraw</t>
  </si>
  <si>
    <t xml:space="preserve"> Refinery Processing Gain 4/</t>
  </si>
  <si>
    <t>PSD000:ca_RefineryProce</t>
  </si>
  <si>
    <t xml:space="preserve">   Exports</t>
  </si>
  <si>
    <t>PSD000:ca_Exports</t>
  </si>
  <si>
    <t xml:space="preserve">   Blending Component Imports</t>
  </si>
  <si>
    <t>PSD000:ca_BlendingCompo</t>
  </si>
  <si>
    <t xml:space="preserve">   Unfinished Oil Imports</t>
  </si>
  <si>
    <t>PSD000:ca_UnfinishedOil</t>
  </si>
  <si>
    <t xml:space="preserve">   Gross Refined Product Imports 3/</t>
  </si>
  <si>
    <t>PSD000:ca_GrossRefinedP</t>
  </si>
  <si>
    <t xml:space="preserve"> Net Product Imports</t>
  </si>
  <si>
    <t>PSD000:ca_NetProductImp</t>
  </si>
  <si>
    <t xml:space="preserve">     Total Crude Supply</t>
  </si>
  <si>
    <t>PSD000:ba_TotalCrudeSup</t>
  </si>
  <si>
    <t xml:space="preserve">   Other Crude Supply 2/</t>
  </si>
  <si>
    <t>PSD000:ba_OtherCrudeSup</t>
  </si>
  <si>
    <t xml:space="preserve">     Exports</t>
  </si>
  <si>
    <t>PSD000:ba_Exports</t>
  </si>
  <si>
    <t xml:space="preserve">     Gross Imports</t>
  </si>
  <si>
    <t>PSD000:ba_GrossImports</t>
  </si>
  <si>
    <t xml:space="preserve">   Net Imports</t>
  </si>
  <si>
    <t>PSD000:ba_NetImports</t>
  </si>
  <si>
    <t xml:space="preserve">     Lower 48 States</t>
  </si>
  <si>
    <t>PSD000:ba_Lower48States</t>
  </si>
  <si>
    <t xml:space="preserve">     Alaska</t>
  </si>
  <si>
    <t>PSD000:ba_Alaska</t>
  </si>
  <si>
    <t xml:space="preserve">   Domestic Crude Production 1/</t>
  </si>
  <si>
    <t>PSD000:ba_DomesticCrude</t>
  </si>
  <si>
    <t xml:space="preserve"> Crude Oil</t>
  </si>
  <si>
    <t xml:space="preserve"> Supply and Disposition</t>
  </si>
  <si>
    <t>(million barrels per day, unless otherwise noted)</t>
  </si>
  <si>
    <t>11. Petroleum and Other Liquids Supply and Disposition</t>
  </si>
  <si>
    <t>PSD000</t>
  </si>
  <si>
    <t>Biomass inputs required per unit of liquid biofuel produced</t>
  </si>
  <si>
    <t>million BTU / barrel ethanol</t>
  </si>
  <si>
    <t>Monthly Energy Review January 2024</t>
  </si>
  <si>
    <t>https://www.eia.gov/totalenergy/data/monthly/pdf/sec12_4.pdf</t>
  </si>
  <si>
    <t>Table A3</t>
  </si>
  <si>
    <t>This is the number of BTUs of biomass (such as corn) needed to produce a barrel of liquid biofuel, most commonly ethanol. It is NOT the number of BTUs of energy contained in the produced liquid biofuel.</t>
  </si>
  <si>
    <t>This is based on the energy of the biomass needed to produce liquid biofuels, not the energy in the liquid biofuels themselves</t>
  </si>
  <si>
    <t>Total bioenergy use</t>
  </si>
  <si>
    <t>bioenergy use by rest of economy</t>
  </si>
  <si>
    <t>land requirement for BAU bioenergy for non-industrial sectors</t>
  </si>
  <si>
    <t>World Bank Definition of Arable Land (a subset of Agricultural Land)</t>
  </si>
  <si>
    <t>Agricultural land refers to the share of land area that is arable, under permanent crops, and under permanent pastures. Arable land includes land defined by the FAO as land under temporary crops (double-cropped areas are counted once), temporary meadows for mowing or for pasture, land under market or kitchen gardens, and land temporarily fallow. Land abandoned as a result of shifting cultivation is excluded. Land under permanent crops is land cultivated with crops that occupy the land for long periods and need not be replanted after each harvest, such as cocoa, coffee, and rubber. This category includes land under flowering shrubs, fruit trees, nut trees, and vines, but excludes land under trees grown for wood or timber. Permanent pasture is land used for five or more years for forage, including natural and cultivated crops.</t>
  </si>
  <si>
    <t>World Bank Definition of Agricultural Land</t>
  </si>
  <si>
    <t>Arable land includes land defined by the FAO as land under temporary crops (double-cropped areas are counted once), temporary meadows for mowing or for pasture, land under market or kitchen gardens, and land temporarily fallow. Land abandoned as a result of shifting cultivation is excluded.</t>
  </si>
  <si>
    <t>Arable Land</t>
  </si>
  <si>
    <t>Agricultural Land</t>
  </si>
  <si>
    <t>The calculator uses lower heating values (LHV), which exclude the latent energy in formed water vapor.</t>
  </si>
  <si>
    <t>The only way to recover this energy is to condense the water vapor from the combustion exhaust, and the</t>
  </si>
  <si>
    <t>recovered energy is at a low temperature (i.e. up to 100 C), so it is not useful for most industrial processes,</t>
  </si>
  <si>
    <t>which can operate at much higher temperatures, and condensation of the water vapor in exhaust would not</t>
  </si>
  <si>
    <t>for consistency.</t>
  </si>
  <si>
    <t>If "Displace BAU bioenergy use?" (above) is enabled, consider setting this to zero, unless you intend to displace bioenergy combustion with other bioenergy combustion.</t>
  </si>
  <si>
    <t>High Green Hydrogen</t>
  </si>
  <si>
    <t>Electricity use by rest of economy</t>
  </si>
  <si>
    <t>molten oxide electrolysis</t>
  </si>
  <si>
    <t>Yes</t>
  </si>
  <si>
    <t>Yes or No</t>
  </si>
  <si>
    <t>No</t>
  </si>
  <si>
    <t>Guide to Tabs and Tab Colors</t>
  </si>
  <si>
    <t>Green tabs</t>
  </si>
  <si>
    <t>Yellow tabs</t>
  </si>
  <si>
    <t>Green tabs are the only ones most users need to use. The "Scenarios Controls" tab lets you choose a region and</t>
  </si>
  <si>
    <t>The "Region-Specific Data" tab contains input data that varies depending on the modeled region (i.e.,</t>
  </si>
  <si>
    <t>Note that if you disagree with any of the input data, you may change the data on these tabs and then view the</t>
  </si>
  <si>
    <t>Orange tabs</t>
  </si>
  <si>
    <t>The "References" tab contains bibliographic information for the sources cited in the input data tabs.</t>
  </si>
  <si>
    <t>The "Unit Conversions" tab contains various unit conversions used throughout the calculator.</t>
  </si>
  <si>
    <t>Light blue tabs</t>
  </si>
  <si>
    <t>by region. The source of each piece of input data is indicated with one or more reference numbers,</t>
  </si>
  <si>
    <t>which correspond to the sources cited on the "References" tab.</t>
  </si>
  <si>
    <t>The light blue tabs contain region-specific energy use information consolidated into a common format</t>
  </si>
  <si>
    <t>that makes it easier to reference the relevant information in the "Region-Specific Data" tab.</t>
  </si>
  <si>
    <t>Uncolored Tabs</t>
  </si>
  <si>
    <t>uncolored tabs unless you are tracing where a specific number came from.</t>
  </si>
  <si>
    <t>It is difficult to edit without violating assumptions or breaking output graphs, so if you choose to edit it,</t>
  </si>
  <si>
    <t>Calculations tab without introducing errors, it is easy to edit the two Data tabs without introducing errors,</t>
  </si>
  <si>
    <t>as long as you ensure your data are provided in the units specified in those tabs.)</t>
  </si>
  <si>
    <t>do so with care.</t>
  </si>
  <si>
    <t>https://www.iea.org/reports/the-future-of-hydrogen</t>
  </si>
  <si>
    <t>The year represented by the "Historical" columns in the "Output Graphs" tab vary by region:</t>
  </si>
  <si>
    <t>United States - 2022</t>
  </si>
  <si>
    <t>China - 2021</t>
  </si>
  <si>
    <t>India - 2022</t>
  </si>
  <si>
    <t>World - 2020</t>
  </si>
  <si>
    <t>Key to Colors in "Value" Column</t>
  </si>
  <si>
    <t>yellow</t>
  </si>
  <si>
    <t>orange</t>
  </si>
  <si>
    <t>blue</t>
  </si>
  <si>
    <t>brown</t>
  </si>
  <si>
    <t>fossil fuels without CCS</t>
  </si>
  <si>
    <t>and only non-overlapping components are included in totals.</t>
  </si>
  <si>
    <t>The purpose of the colors is to aid in ensuring all necessary components</t>
  </si>
  <si>
    <t>Typically only cells used as totals or components of totals are colored.</t>
  </si>
  <si>
    <t>The calculator includes input fuels used by industry, including feedstocks and combusted fuels.</t>
  </si>
  <si>
    <t>furnace gas (BFG) produced and consumed by primary steelmakers and refinery fuel gas (RFG) produced</t>
  </si>
  <si>
    <t>Intermediate Energy Carriers</t>
  </si>
  <si>
    <t>Coking Coal vs. Coke</t>
  </si>
  <si>
    <t>Energy Content of Feedstocks</t>
  </si>
  <si>
    <t>Purchased Heat</t>
  </si>
  <si>
    <t>Lower Heating Value (LHV), not Higher Heating Values (HHV)</t>
  </si>
  <si>
    <t>In the case of refineries, fully decarbonizing non-feedstock energy inputs will not eliminate all</t>
  </si>
  <si>
    <t>CO2 emissions from those facilities, but also decarbonizing feedstocks should ensure that any intermediate</t>
  </si>
  <si>
    <t>energy carriers formed are carbon-neutral.</t>
  </si>
  <si>
    <t>Purchased heat consumption</t>
  </si>
  <si>
    <t>BAU purchased heat demand from manufacturing industries</t>
  </si>
  <si>
    <t>BAU purchased heat demand from non-manufacturing industries</t>
  </si>
  <si>
    <t>Ratio of biomass needed per unit liquid biofuel produced</t>
  </si>
  <si>
    <t>dimensionless</t>
  </si>
  <si>
    <t>This is the ratio of BTUs of biomass (such as corn) needed to produce the same number of BTUs of liquid biofuel, most commonly ethanol.</t>
  </si>
  <si>
    <t>Bioenergy consumption in this row is based on the energy of the biomass needed to produce liquid biofuels, not the energy in the liquid biofuels themselves</t>
  </si>
  <si>
    <t>Displace purchased heat (steam) use?</t>
  </si>
  <si>
    <t>Should the calculator seek to displace BAU purchased heat (steam) use with zero-carbon alternatives or let purchased heat (steam) use remain?</t>
  </si>
  <si>
    <t>BAU purchased heat (steam) demand</t>
  </si>
  <si>
    <t>purchased heat</t>
  </si>
  <si>
    <t>red</t>
  </si>
  <si>
    <t>purchased heat (steam)</t>
  </si>
  <si>
    <t>purchased heat (steam) demand</t>
  </si>
  <si>
    <t>Even if purchased heat (steam) use is not displaced, it still is affected by efficiency policies.</t>
  </si>
  <si>
    <t>Includes or excludes bioenergy and purchased heat (steam) based on the user's settings.</t>
  </si>
  <si>
    <t>purchased heat (steam) use</t>
  </si>
  <si>
    <t>Custom User Scenario</t>
  </si>
  <si>
    <t>For the remaining parameters, you may edit the yellow-highlighted values in the "Custom User Values" column.</t>
  </si>
  <si>
    <t>light green</t>
  </si>
  <si>
    <t>dark green</t>
  </si>
  <si>
    <t>Purchased heat (steam)</t>
  </si>
  <si>
    <t>Green hydrogen</t>
  </si>
  <si>
    <t>Blue hydrogen</t>
  </si>
  <si>
    <t>Electricity for green hydrogen for industry</t>
  </si>
  <si>
    <t>Hydrogen from fossil fuels without CCS</t>
  </si>
  <si>
    <t>manure) and forest residues, which would not require land dedicated to bioenergy production, but some of these materials may already be put to other uses (such as fertilizer), and their supply may be small.</t>
  </si>
  <si>
    <t>Agricultural land includes all land used for growing crops, animal pasture, meadows, and fallow land. It excludes forests, water bodies, mountains, deserts, etc.</t>
  </si>
  <si>
    <t>global oil industry total capital investment 2010-2022</t>
  </si>
  <si>
    <t>trillion USD</t>
  </si>
  <si>
    <t>Required capital investment</t>
  </si>
  <si>
    <t>For scale, global oil industry capital (equipment, buildings, etc.) represents $8 trillion in investment from 2010-2022. (This excludes the cost of any pre-2010 assets still in use. It also excludes capital investment for natural gas.) Capturing, compressing, transporting, and injecting an equivalent volume of CO2 might require an amount of capital equipment of a roughly similar magnitude. Source: [49]</t>
  </si>
  <si>
    <t>Decarbonizing feedstocks means the CO2 emitted when transforming those feedstocks into chemical products does not add carbon dioxide to the atmosphere on a net basis.</t>
  </si>
  <si>
    <t>Process (non-energy) CO2 emissions from metals</t>
  </si>
  <si>
    <t>Process (non-energy) CO2 emissions from non-metallic minerals</t>
  </si>
  <si>
    <t>Process (non-energy) CO2 emissions from chemicals</t>
  </si>
  <si>
    <t>PRIMAP-hist_v2.5_final</t>
  </si>
  <si>
    <t>data goes up to 2022 (using 2022)</t>
  </si>
  <si>
    <t>The PRIMAP-hist national historical emissions time series (1750-2021) v2.5</t>
  </si>
  <si>
    <t>BAU process CO2 from chemicals industry</t>
  </si>
  <si>
    <t>process CO2 from chemicals industry</t>
  </si>
  <si>
    <t>Only material efficiency, not energy efficiency, affects process emissions.</t>
  </si>
  <si>
    <t>process CO2 from chemicals industry before feedstock decarbonization</t>
  </si>
  <si>
    <t>BAU process CO2 from non-metallic minerals industry</t>
  </si>
  <si>
    <t>BAU process CO2 from metals industries</t>
  </si>
  <si>
    <t>process CO2 from non-metallic minerals industry</t>
  </si>
  <si>
    <t>process CO2 from metals industries</t>
  </si>
  <si>
    <t>process CO2 from metals industries before iron and steel process changes</t>
  </si>
  <si>
    <t>Assumes metals process emissions is dominated by iron and steel (which is confirmed in the U.S. process CO2 data source)</t>
  </si>
  <si>
    <t>Industrial process CO2 emissions</t>
  </si>
  <si>
    <t>Method of addressing remaining process (non-energy) CO2 emissions</t>
  </si>
  <si>
    <t>percent handled via carbon capture</t>
  </si>
  <si>
    <t>process CO2 captured via carbon capture</t>
  </si>
  <si>
    <t>total industrial process CO2 before carbon capture</t>
  </si>
  <si>
    <t>Energy required per unit CO2 captured via CCS</t>
  </si>
  <si>
    <t>Jackson S. and Brodal E.</t>
  </si>
  <si>
    <t>A comparison of the energy consumption for CO2 compression process alternatives</t>
  </si>
  <si>
    <t>https://iopscience.iop.org/article/10.1088/1755-1315/167/1/012031/pdf</t>
  </si>
  <si>
    <t>Introduction, paragraph 2</t>
  </si>
  <si>
    <t>remaining industrial process CO2</t>
  </si>
  <si>
    <t>electricity required to capture process CO2</t>
  </si>
  <si>
    <t>CO2 from process emissions captured via CCS</t>
  </si>
  <si>
    <t>green hydrogen production, bioenergy use (and agricultural land that must be devoted to growing bioenergy),</t>
  </si>
  <si>
    <t>BAU iron and steel metallurgical coal or coke demand (energy content)</t>
  </si>
  <si>
    <t>iron and steel metallurgical coal or coke demand (energy content)</t>
  </si>
  <si>
    <t>Capacity Used to Generate Electricity for Industry</t>
  </si>
  <si>
    <t>CO2 Stored Underground from Industrial CCS</t>
  </si>
  <si>
    <t>CO2 Emissions from Industry</t>
  </si>
  <si>
    <t>Bioenergy Land Requirements for Industry</t>
  </si>
  <si>
    <t>Industry Sector Hydrogen Demand</t>
  </si>
  <si>
    <t>Industry Sector Feedstock Use</t>
  </si>
  <si>
    <t>Industry Sector Non-Feedstock Energy Use</t>
  </si>
  <si>
    <t>Emissions from coke consumption in the iron and steel industry are included in the "CO2 process emissions" category.</t>
  </si>
  <si>
    <t>metallurgical coal use without CCS</t>
  </si>
  <si>
    <t>metallurgical coal use with CCS</t>
  </si>
  <si>
    <t>fossil fuels used for feedstocks without CCS</t>
  </si>
  <si>
    <t>fossil fuels used for feedstocks with CCS</t>
  </si>
  <si>
    <t>Feedstocks includes metallurgical coal or coke consumption, which is why CCS can apply to feedstocks.</t>
  </si>
  <si>
    <t>We only need electricity to capture emissions from chemicals and non-metallic minerals. CO2 from metals industries is largely coke consumption, and we assume more coke or metallurgical coal is used to power the CCS process rather than electricity in this case.</t>
  </si>
  <si>
    <t>share of process emissions attributable to metals industries</t>
  </si>
  <si>
    <t>percent using fossil fuels</t>
  </si>
  <si>
    <t>This may or may not be utilizing CCS, depending on the setting of the next lever below.</t>
  </si>
  <si>
    <t xml:space="preserve">to help users identify how different scenarios for reducing emissions in the industrial sector compare, thus helping to </t>
  </si>
  <si>
    <t>inform which pathway to pursue today, based on available technologies.</t>
  </si>
  <si>
    <t>Note: this table is based on the heating value of electricity (direct equivalent method)</t>
  </si>
  <si>
    <t>Bioenergy (biomethane/biogas)</t>
  </si>
  <si>
    <t>Energy use by all industry</t>
  </si>
  <si>
    <t>Bioenergy (solid fuels)</t>
  </si>
  <si>
    <t xml:space="preserve">Energy use by nonmanufacturing </t>
  </si>
  <si>
    <t>Biomass-to-Electricity</t>
  </si>
  <si>
    <t>Energy use by manufacturing industries</t>
  </si>
  <si>
    <t>20% assumption is based on reported projects of biomethane</t>
  </si>
  <si>
    <t>Electricity use by all industries</t>
  </si>
  <si>
    <t>30% assumption is a guess (based on relatively small applications as compared to use in buildings, reported in the 13th FYP)</t>
  </si>
  <si>
    <t>Electricity use by nonmanufacturing industries</t>
  </si>
  <si>
    <t>Electricity use by manufacturing industries</t>
  </si>
  <si>
    <t>Bioenergy use in China in 2020</t>
  </si>
  <si>
    <t>This table is based on reported data (Wang 2022, 13th FYP, and EF China)</t>
  </si>
  <si>
    <t>Total (direct eq method)</t>
  </si>
  <si>
    <t>Total (coal eq method)</t>
  </si>
  <si>
    <t>kgce/kg</t>
  </si>
  <si>
    <t xml:space="preserve">Biodiesel </t>
  </si>
  <si>
    <t>Mt</t>
  </si>
  <si>
    <t xml:space="preserve">Bioethanol </t>
  </si>
  <si>
    <t xml:space="preserve">Bioethanol and biodiesel </t>
  </si>
  <si>
    <t>kgce/m3</t>
  </si>
  <si>
    <t xml:space="preserve">Biogas (沼气) </t>
  </si>
  <si>
    <t>Rural housing, agricultural industry, small industry and transport applications</t>
  </si>
  <si>
    <t>Biogas (沼气)</t>
  </si>
  <si>
    <t>bcm</t>
  </si>
  <si>
    <t>Biomass-based solid fuels</t>
  </si>
  <si>
    <t xml:space="preserve">Buildings and industry </t>
  </si>
  <si>
    <t xml:space="preserve">heating value of electricity </t>
  </si>
  <si>
    <t>kgce/kWh</t>
  </si>
  <si>
    <t>Power generation (direct eq method)</t>
  </si>
  <si>
    <t>Power generation</t>
  </si>
  <si>
    <t>Please note this is based on China's coal power plant equivalent, rather than the heating value of electricity (which is 0.1229 kgce/kWh)</t>
  </si>
  <si>
    <t>Power generation (coal eq method)</t>
  </si>
  <si>
    <t>Economy wide</t>
  </si>
  <si>
    <t>Transformation</t>
  </si>
  <si>
    <t>Rural housing</t>
  </si>
  <si>
    <t xml:space="preserve">Residential (direct use) </t>
  </si>
  <si>
    <t>Conversion factor</t>
  </si>
  <si>
    <t xml:space="preserve">Sector </t>
  </si>
  <si>
    <t>Bioenergy consumption</t>
  </si>
  <si>
    <t>Data Courtesy of Hongyou Lu, Energy/Environment Technology Research at Lawrence Berkeley National Laboratory</t>
  </si>
  <si>
    <t>Bioenergy data in China</t>
  </si>
  <si>
    <t>Lawrence Berkeley National Laboratory</t>
  </si>
  <si>
    <t>Calculations by Hongyou Lu, Energy/Environment Technology Researcher at LBNL</t>
  </si>
  <si>
    <t xml:space="preserve">See "China Bioenergy Data" tab </t>
  </si>
  <si>
    <t>Land for bioenergy use by rest of economy</t>
  </si>
  <si>
    <t>Land for bioenergy use by industry</t>
  </si>
  <si>
    <t>Hydrogen electrolyzer capacity</t>
  </si>
  <si>
    <t>Capacity serving rest of economy</t>
  </si>
  <si>
    <t>Unabated sources</t>
  </si>
  <si>
    <t>Hydroelectric capacity</t>
  </si>
  <si>
    <t>Solar photovoltaic</t>
  </si>
  <si>
    <t>Onshore wind</t>
  </si>
  <si>
    <t>Offshore wind</t>
  </si>
  <si>
    <t>purchased from district heating plants, external to the industrial facility) can be displaced with zero-carbon</t>
  </si>
  <si>
    <t xml:space="preserve"> alternatives, or not, based on the scenario setup parameter settings.</t>
  </si>
  <si>
    <t>Efficiency Improvements (apply to all scenarios)</t>
  </si>
  <si>
    <t>Only material efficiency, not energy efficiency, affects BAU metallurgical coal or coke demand.</t>
  </si>
  <si>
    <t>Mixed</t>
  </si>
  <si>
    <t>Linear Growth</t>
  </si>
  <si>
    <t>Contant Percentage Growth</t>
  </si>
  <si>
    <t>Direct electricty use, annual growth rate</t>
  </si>
  <si>
    <t>Direct electricity use, geometric mean</t>
  </si>
  <si>
    <t>Total, geometric mean</t>
  </si>
  <si>
    <t>Total electricity use (geometric)</t>
  </si>
  <si>
    <t>Direct electricity use (geometric)</t>
  </si>
  <si>
    <t>Although the Industrial Decarbonization Calculator does not have a true time dimension, this sheet includes graph that use simple assumptions to illustrate how change in electricity demand would look when assuming</t>
  </si>
  <si>
    <t>the historical year values are valid for 2025, the scenario is fully implemented in 2050, and changes in electricity demand phase in at a constant percentage growth rate or linearly.</t>
  </si>
  <si>
    <t>These graphs are based on simple assumptions and should be considered illustrative, not a prediction nor a recommendation of the rate at which a scenario can or should phase in.</t>
  </si>
  <si>
    <t>Include or exclude bioenergy and purchased heat per user setting</t>
  </si>
  <si>
    <t>fossil fuels replacing displaced BAU bioenergy</t>
  </si>
  <si>
    <t>fossil fuels replacing diplaced BAU purchased heat (steam)</t>
  </si>
  <si>
    <t>If the user has chosen to displace BAU bioenergy use but uses unabated fossil fuel combustion to supply a non-zero share of energy, some of the BAU bioenergy use will be displaced by unabated fossil fuels.</t>
  </si>
  <si>
    <t>If the user has chosen to displace BAU purchased heat (steam) use but uses unabated fossil fuel combustion to supply a non-zero share of energy, some of the BAU purchaed heat (steam) use will be displaced by unabated fossil fuels.</t>
  </si>
  <si>
    <t>Assumes the share of chemicals industry feedstocks that are not decarbonized also applies to any other BAU hydrogen use, as in the refining industry.</t>
  </si>
  <si>
    <t>Second paragraph of introduction (caution: not the 6 GJ figure in the abstract)</t>
  </si>
  <si>
    <t xml:space="preserve">Agricultural </t>
  </si>
  <si>
    <t xml:space="preserve">Corn grain </t>
  </si>
  <si>
    <t xml:space="preserve">Sorghum grain </t>
  </si>
  <si>
    <t xml:space="preserve">Vegetable oils </t>
  </si>
  <si>
    <t xml:space="preserve">Other FOG </t>
  </si>
  <si>
    <t xml:space="preserve">Agricultural residues </t>
  </si>
  <si>
    <t xml:space="preserve">Manure </t>
  </si>
  <si>
    <t xml:space="preserve">Forestry/wood </t>
  </si>
  <si>
    <t xml:space="preserve">Wood/wood waste </t>
  </si>
  <si>
    <t xml:space="preserve">Wood pellets </t>
  </si>
  <si>
    <t xml:space="preserve">Energy crops </t>
  </si>
  <si>
    <t xml:space="preserve">Herbaceous energy crops </t>
  </si>
  <si>
    <t xml:space="preserve">Woody energy crops </t>
  </si>
  <si>
    <t xml:space="preserve">MSW/other wastes </t>
  </si>
  <si>
    <t xml:space="preserve">Biogenic portion of MSW </t>
  </si>
  <si>
    <t xml:space="preserve">Other waste biomass </t>
  </si>
  <si>
    <t xml:space="preserve">Landfill gas </t>
  </si>
  <si>
    <t xml:space="preserve">Algae </t>
  </si>
  <si>
    <t xml:space="preserve">Total biomass </t>
  </si>
  <si>
    <t xml:space="preserve">% change from BT16 </t>
  </si>
  <si>
    <t>Transportation Fuel</t>
  </si>
  <si>
    <t>Heat and Power</t>
  </si>
  <si>
    <t>Bio-Based Chemicals</t>
  </si>
  <si>
    <t>Wood Pellets</t>
  </si>
  <si>
    <t>Total Utilized Biomass</t>
  </si>
  <si>
    <t>Biomass Resource Category</t>
  </si>
  <si>
    <t>Feed for gasoline blendstock/naphtha</t>
  </si>
  <si>
    <t>Table 2.6: Total Current Consumption of Biomass for Energy Production and Bio-Based Chemicals, Including Losses</t>
  </si>
  <si>
    <t>Million Bioenergy Dry Tons per Year</t>
  </si>
  <si>
    <t>2023 Billion-Ton Report: An Assessment of U.S. Renewable Carbon Resources</t>
  </si>
  <si>
    <t>https://www.energy.gov/sites/default/files/2024-03/beto-2023-billion-ton-report_2.pdf</t>
  </si>
  <si>
    <t>Tbtu</t>
  </si>
  <si>
    <t>Table 2.4: Inherent Energy of Biomass Resources Consumed for Heat and Power in 2022</t>
  </si>
  <si>
    <t>Biomass Category</t>
  </si>
  <si>
    <t>E</t>
  </si>
  <si>
    <t>T</t>
  </si>
  <si>
    <t>Industrial</t>
  </si>
  <si>
    <t>Farm Use</t>
  </si>
  <si>
    <t>Wood/wood waste</t>
  </si>
  <si>
    <t>Animal manure</t>
  </si>
  <si>
    <t>Biogenic MSW</t>
  </si>
  <si>
    <t>Other waste biomass</t>
  </si>
  <si>
    <t>% change from BT16</t>
  </si>
  <si>
    <t>Note: E = biomass consumed for electricity generation and T = biomass consumed for thermal energy output.</t>
  </si>
  <si>
    <t>Table 2.5: Biomass Resources Consumed for Heat and Power in 2022</t>
  </si>
  <si>
    <t>Million Dry Tons</t>
  </si>
  <si>
    <t>Note: Wood pelets here are the exported-only mass</t>
  </si>
  <si>
    <t>million dry tons</t>
  </si>
  <si>
    <t>total U.S biomass use (2022)</t>
  </si>
  <si>
    <t>Table 2.6 (reproduced above)</t>
  </si>
  <si>
    <t>energy content per dry ton biomass</t>
  </si>
  <si>
    <t>MMBTU / dry ton</t>
  </si>
  <si>
    <t>Page 31, line 2 (refers specifically to wood, but we will use the same figure for other forms of biomass as well)</t>
  </si>
  <si>
    <t>Share of biomass use for heat and power</t>
  </si>
  <si>
    <t>Calculations</t>
  </si>
  <si>
    <r>
      <t xml:space="preserve">We will disregard the "Wood Pellets" column in table 2.6 because the only energy reported there is exported, and we are concerned with the energy </t>
    </r>
    <r>
      <rPr>
        <b/>
        <sz val="11"/>
        <color theme="1"/>
        <rFont val="Calibri"/>
        <family val="2"/>
        <scheme val="minor"/>
      </rPr>
      <t>consumed</t>
    </r>
    <r>
      <rPr>
        <sz val="11"/>
        <color theme="1"/>
        <rFont val="Calibri"/>
        <family val="2"/>
        <scheme val="minor"/>
      </rPr>
      <t xml:space="preserve"> by the U.S., not energy exports.</t>
    </r>
  </si>
  <si>
    <t>manufacturing industries biomass use for heat and power</t>
  </si>
  <si>
    <t>non-manufacturing industries biomass use for heat and power</t>
  </si>
  <si>
    <t>Share of heat and power for manufacturing industries</t>
  </si>
  <si>
    <t>Share of heat and power for non-manufacturing industries</t>
  </si>
  <si>
    <t>Includes only use by farms; use in construction and mining is trivial per AEO</t>
  </si>
  <si>
    <t>rest of economy biomass use</t>
  </si>
  <si>
    <t>Tables 2.4, 2.5, 2.6 (see "U.S. BAU Bioenergy Use" tab)</t>
  </si>
  <si>
    <t>CO₂ from fossil fuel combustion</t>
  </si>
  <si>
    <t>CO₂ from hydrogen production</t>
  </si>
  <si>
    <t>CO₂ process emissions</t>
  </si>
  <si>
    <t>Annual growth rate over 30 years</t>
  </si>
  <si>
    <t>About the Industrial Zero Emissions Calculator</t>
  </si>
  <si>
    <t>The industrial zero emissions calculator is a tool that lets you explore different technological options for</t>
  </si>
  <si>
    <t>"Calculations" contains the bulk of the math operations performed by the Industrial Zero Emissions Calculator.</t>
  </si>
  <si>
    <t>We will disregard bio-based chemicals in table 2.6 because these would be feedstocks, and the Industrial Zero Emissions Calculator isn't set up to have BAU bioenergy feedstocks presently.</t>
  </si>
  <si>
    <t>Code</t>
  </si>
  <si>
    <t>Biomass and waste</t>
  </si>
  <si>
    <t>Ambient heat</t>
  </si>
  <si>
    <t>Distributed steam</t>
  </si>
  <si>
    <t>Iron &amp; steel</t>
  </si>
  <si>
    <t>FC_IND_IS_E</t>
  </si>
  <si>
    <t>TOTAL</t>
  </si>
  <si>
    <t>Solid fossil fuels</t>
  </si>
  <si>
    <t>C0000X0350-0370</t>
  </si>
  <si>
    <t>Hard coal</t>
  </si>
  <si>
    <t>C0100</t>
  </si>
  <si>
    <t>C0110</t>
  </si>
  <si>
    <t>C0121</t>
  </si>
  <si>
    <t>C0129</t>
  </si>
  <si>
    <t>Brown coal</t>
  </si>
  <si>
    <t>C0200</t>
  </si>
  <si>
    <t>C0210</t>
  </si>
  <si>
    <t>C0220</t>
  </si>
  <si>
    <t>Coal products</t>
  </si>
  <si>
    <t>C0300</t>
  </si>
  <si>
    <t>C0320</t>
  </si>
  <si>
    <t>C0311</t>
  </si>
  <si>
    <t>C0312</t>
  </si>
  <si>
    <t>C0340</t>
  </si>
  <si>
    <t>Brown coal briquettes</t>
  </si>
  <si>
    <t>C0330</t>
  </si>
  <si>
    <t>Manufactured gases</t>
  </si>
  <si>
    <t>C0350-0370</t>
  </si>
  <si>
    <t>C0360</t>
  </si>
  <si>
    <t>C0350</t>
  </si>
  <si>
    <t>C0371</t>
  </si>
  <si>
    <t>C0379</t>
  </si>
  <si>
    <t>P1000</t>
  </si>
  <si>
    <t>P1100</t>
  </si>
  <si>
    <t>P1200</t>
  </si>
  <si>
    <t>S2000</t>
  </si>
  <si>
    <t>O4000XBIO</t>
  </si>
  <si>
    <t>Crude oil, NGL, refinery feedstocks, additives and oxygenates and other hydrocarbons (excluding biofuel portion)</t>
  </si>
  <si>
    <t>O4100_TOT_4200-4500XBIO</t>
  </si>
  <si>
    <t>O4100_TOT</t>
  </si>
  <si>
    <t>O4200</t>
  </si>
  <si>
    <t>O4300</t>
  </si>
  <si>
    <t>Additives and oxygenates (excluding biofuel portion)</t>
  </si>
  <si>
    <t>O4400X4410</t>
  </si>
  <si>
    <t>O4500</t>
  </si>
  <si>
    <t>Oil products (excluding biofuel portion)</t>
  </si>
  <si>
    <t>O4600XBIO</t>
  </si>
  <si>
    <t>O4610</t>
  </si>
  <si>
    <t>O4620</t>
  </si>
  <si>
    <t>Liquefied petroleum gases</t>
  </si>
  <si>
    <t>O4630</t>
  </si>
  <si>
    <t>Motor gasoline (excluding biofuel portion)</t>
  </si>
  <si>
    <t>O4652XR5210B</t>
  </si>
  <si>
    <t>O4651</t>
  </si>
  <si>
    <t>Gasoline-type jet fuel</t>
  </si>
  <si>
    <t>O4653</t>
  </si>
  <si>
    <t>Kerosene-type jet fuel (excluding biofuel portion)</t>
  </si>
  <si>
    <t>O4661XR5230B</t>
  </si>
  <si>
    <t>O4669</t>
  </si>
  <si>
    <t>O4640</t>
  </si>
  <si>
    <t>Gas oil and diesel oil (excluding biofuel portion)</t>
  </si>
  <si>
    <t>O4671XR5220B</t>
  </si>
  <si>
    <t>O4680</t>
  </si>
  <si>
    <t>White spirit and special boiling point industrial spirits</t>
  </si>
  <si>
    <t>O4691</t>
  </si>
  <si>
    <t>O4692</t>
  </si>
  <si>
    <t>O4695</t>
  </si>
  <si>
    <t>O4694</t>
  </si>
  <si>
    <t>O4693</t>
  </si>
  <si>
    <t>O4699</t>
  </si>
  <si>
    <t>G3000</t>
  </si>
  <si>
    <t>Renewables and biofuels</t>
  </si>
  <si>
    <t>RA000</t>
  </si>
  <si>
    <t>RA100</t>
  </si>
  <si>
    <t>Tide, wave, ocean</t>
  </si>
  <si>
    <t>RA500</t>
  </si>
  <si>
    <t>RA300</t>
  </si>
  <si>
    <t>RA420</t>
  </si>
  <si>
    <t>RA410</t>
  </si>
  <si>
    <t>RA200</t>
  </si>
  <si>
    <t>R5110-5150_W6000RI</t>
  </si>
  <si>
    <t>R5160</t>
  </si>
  <si>
    <t>R5300</t>
  </si>
  <si>
    <t>Renewable municipal waste</t>
  </si>
  <si>
    <t>W6210</t>
  </si>
  <si>
    <t>Pure biogasoline</t>
  </si>
  <si>
    <t>R5210P</t>
  </si>
  <si>
    <t>Blended biogasoline</t>
  </si>
  <si>
    <t>R5210B</t>
  </si>
  <si>
    <t>Pure biodiesels</t>
  </si>
  <si>
    <t>R5220P</t>
  </si>
  <si>
    <t>Blended biodiesels</t>
  </si>
  <si>
    <t>R5220B</t>
  </si>
  <si>
    <t>Pure bio jet kerosene</t>
  </si>
  <si>
    <t>R5230P</t>
  </si>
  <si>
    <t>Blended bio jet kerosene</t>
  </si>
  <si>
    <t>R5230B</t>
  </si>
  <si>
    <t>R5290</t>
  </si>
  <si>
    <t>Ambient heat (heat pumps)</t>
  </si>
  <si>
    <t>RA600</t>
  </si>
  <si>
    <t>Non-renewable waste</t>
  </si>
  <si>
    <t>W6100_6220</t>
  </si>
  <si>
    <t>Industrial waste (non-renewable)</t>
  </si>
  <si>
    <t>W6100</t>
  </si>
  <si>
    <t>Non-renewable municipal waste</t>
  </si>
  <si>
    <t>W6220</t>
  </si>
  <si>
    <t>N900H</t>
  </si>
  <si>
    <t>H8000</t>
  </si>
  <si>
    <t>E7000</t>
  </si>
  <si>
    <t>Non-ferrous metals</t>
  </si>
  <si>
    <t>FC_IND_NFM_E</t>
  </si>
  <si>
    <t>Chemical &amp; petrochemical</t>
  </si>
  <si>
    <t>FC_IND_CPC_E</t>
  </si>
  <si>
    <t>Non-metallic minerals</t>
  </si>
  <si>
    <t>FC_IND_NMM_E</t>
  </si>
  <si>
    <t>Paper, pulp &amp; printing</t>
  </si>
  <si>
    <t>FC_IND_PPP_E</t>
  </si>
  <si>
    <t>Food, beverages &amp; tobacco</t>
  </si>
  <si>
    <t>FC_IND_FBT_E</t>
  </si>
  <si>
    <t>Transport equipment</t>
  </si>
  <si>
    <t>FC_IND_TE_E</t>
  </si>
  <si>
    <t>Machinery</t>
  </si>
  <si>
    <t>FC_IND_MAC_E</t>
  </si>
  <si>
    <t>Textile &amp; leather</t>
  </si>
  <si>
    <t>FC_IND_TL_E</t>
  </si>
  <si>
    <t>Wood &amp; wood products</t>
  </si>
  <si>
    <t>FC_IND_WP_E</t>
  </si>
  <si>
    <t>Mining &amp; quarrying</t>
  </si>
  <si>
    <t>FC_IND_MQ_E</t>
  </si>
  <si>
    <t>FC_IND_CON_E</t>
  </si>
  <si>
    <t>JRC-IDEES Sheet</t>
  </si>
  <si>
    <t>Agriculture, forestry and fishing</t>
  </si>
  <si>
    <t>FC_OTH_AFF_E</t>
  </si>
  <si>
    <t>Not elsewhere specified (industry)</t>
  </si>
  <si>
    <t>FC_IND_NSP_E</t>
  </si>
  <si>
    <t>Non-energy use in industry sector</t>
  </si>
  <si>
    <t>FC_IND_NE</t>
  </si>
  <si>
    <t>Non-energy use in chemical industry</t>
  </si>
  <si>
    <t>FC_IND_CPC_NE</t>
  </si>
  <si>
    <t>Transport sector</t>
  </si>
  <si>
    <t>FC_TRA_E</t>
  </si>
  <si>
    <t>Other sectors</t>
  </si>
  <si>
    <t>FC_OTH_E</t>
  </si>
  <si>
    <t>Agriculture is included in the JRC-IDEES "Other Sectors" table and therefore we subtract it from this line (as it already appears above on this sheet)</t>
  </si>
  <si>
    <t>Detailed split of CO2 emissions (kt of CO2)</t>
  </si>
  <si>
    <t>All industrial sectors</t>
  </si>
  <si>
    <t>Lighting</t>
  </si>
  <si>
    <t>Air compressors</t>
  </si>
  <si>
    <t>Motor drives</t>
  </si>
  <si>
    <t>Fans and pumps</t>
  </si>
  <si>
    <t>Low-enthalpy heat</t>
  </si>
  <si>
    <t>Solar and geothermal</t>
  </si>
  <si>
    <t>Steam processes</t>
  </si>
  <si>
    <t>Other energy use related</t>
  </si>
  <si>
    <t>Process emissions</t>
  </si>
  <si>
    <t>Non-Ferrous Metals</t>
  </si>
  <si>
    <t>Chemical and Petrochemical</t>
  </si>
  <si>
    <t>Non-Metallic Minerals</t>
  </si>
  <si>
    <t>Solvent use and other process</t>
  </si>
  <si>
    <t>PROCESS_EMI.ktCO2.EU27.NSI.TOTAL</t>
  </si>
  <si>
    <t>Market shares of CO2 emissions (%)</t>
  </si>
  <si>
    <t>JRC-IDEES-2021</t>
  </si>
  <si>
    <t>https://data.jrc.ec.europa.eu/dataset/82322924-506a-4c9a-8532-2bdd30d69bf5</t>
  </si>
  <si>
    <t>EU27 Energy Balance tables (and Industry emissions table), 2021 column</t>
  </si>
  <si>
    <t>EU - 2021</t>
  </si>
  <si>
    <t>EU27: Industry Summary / CO2 emissions</t>
  </si>
  <si>
    <t>Share of non-feedstock combustible fuels used for non-heating purposes in a given industry (based on MECS 5.2 Data)</t>
  </si>
  <si>
    <t>Non-feedstock combustible energy use for non-heating purposes (T BTU)</t>
  </si>
  <si>
    <t>Non-feedstock combustible energy use for non-heating purposes (10^4 TCE)</t>
  </si>
  <si>
    <t>Non-feedstock combustible energy use for non-heating purposes (Mtoe)</t>
  </si>
  <si>
    <t>Non-feedstock combustible energy use for non-heating purposes (ktoe)</t>
  </si>
  <si>
    <t>Combustible Energy Use (T BTU)</t>
  </si>
  <si>
    <t>Combustible Energy Use (10^4 TCE)</t>
  </si>
  <si>
    <t>Combustible Energy Use (Mtoe)</t>
  </si>
  <si>
    <t>Combustible Energy Use (ktoe)</t>
  </si>
  <si>
    <t>Weighting of total non-feedstock combustible fuel use for non-heating purposes</t>
  </si>
  <si>
    <t>Share of non-feedstock combustible fuels used for non-heating purposes</t>
  </si>
  <si>
    <t>Share of non-feedstock combustible fuels used for &lt; 165°C heat</t>
  </si>
  <si>
    <t>Share of non-feedstock combustible fuels used for &gt; 165°C heat</t>
  </si>
  <si>
    <t>Method of Supplying Non-Heat Uses of Combustible Fuels</t>
  </si>
  <si>
    <t>Both energy efficiency and material efficiency affect BAU combustible fuel demand.</t>
  </si>
  <si>
    <t>BAU non-feedstock combustible fuel (and purchased heat) demand</t>
  </si>
  <si>
    <t>combustible fuels</t>
  </si>
  <si>
    <t>Dividing combustible fuel use by use type/temperature</t>
  </si>
  <si>
    <t>combustible fuels used for non-heating purposes</t>
  </si>
  <si>
    <t>combustible fuels used for &lt; 165°C heat</t>
  </si>
  <si>
    <t>combustible fuels used for &gt; 165°C heat</t>
  </si>
  <si>
    <t>electricity demand to electrify non-heating combustible fuel use</t>
  </si>
  <si>
    <t>May include an extremely small amount of BAU non-feedstock bioenergy use for non-heating purposes.</t>
  </si>
  <si>
    <t>fossil fuels' share of combustible fuels eligible to be displaced</t>
  </si>
  <si>
    <t>Electric heating</t>
  </si>
  <si>
    <t>Electric non-heating</t>
  </si>
  <si>
    <t>select a pre-built scenario or design a custom scenario. The "Output Graphs" tab shows the results.</t>
  </si>
  <si>
    <t>the U.S., China, India, EU, or World). The "Region-Specific Data" tab contains input data that does not vary</t>
  </si>
  <si>
    <t>"Output Graphs" tab to see the results using your preferred data. (While it may be difficult to edit the</t>
  </si>
  <si>
    <t>Uncolored tabs are mostly original data sources without formatting customizations. They also include some</t>
  </si>
  <si>
    <t>calculations to format or consolidate certain input data sources. You generally shouldn't need to refer to</t>
  </si>
  <si>
    <t>via the user-selected strategy. The calculator does not have a time dimension, as it is not predicting</t>
  </si>
  <si>
    <t>how fast industries could implement the user-selected strategy. Rather, the goal is to illustrates the endpoint,</t>
  </si>
  <si>
    <t xml:space="preserve"> and higher standards of living in many regions). Therefore, outputs such as the amount of electricity or</t>
  </si>
  <si>
    <t>industrial products. (Any non-zero setting of the energy efficiency and material efficiency improvement</t>
  </si>
  <si>
    <t>on an energy-equivalent basis. This assumes that the efficiency of turning fossil feedstocks into each</t>
  </si>
  <si>
    <t>For some regions, data on metallurgical or coking coal consumption is not available. Coke consumption</t>
  </si>
  <si>
    <t>is used instead. This slightly understates energy use, as it disregards energy consumed by coking ovens</t>
  </si>
  <si>
    <t>Some industries generate and also consume combustible fuels or materials onsite. Examples include blast</t>
  </si>
  <si>
    <t>and consumed at refineries. These intermediate energy carriers are not included in the calculator.</t>
  </si>
  <si>
    <t>The calculator includes fossil fuels, bioenergy, waste, and electricity. Purchased heat (i.e., steam</t>
  </si>
  <si>
    <t>provide much energy recovery. The calculator uses LHV throughout, including in the formation of hydrogen,</t>
  </si>
  <si>
    <t>Set the values in yellow-colored cells. The first four parameters are general scenario setup and must be set by the user.</t>
  </si>
  <si>
    <t>These settings displace metallurgical coal use. Other types of energy use by the iron and steel industry are governed by the heat and non-heat settings above.</t>
  </si>
  <si>
    <t>Feedstock decarbonization can eliminate process CO2 from the chemicals industry, and the iron and steel process changes above can eliminate process CO2 from the iron and steel industry, but that still leaves process CO2 from non-metallic minerals industries (primarily cement). This control also affects any CO2 from chemicals or iron and steel that was not decarbonized via the feedstock decarbonization or steel process change settings above.</t>
  </si>
  <si>
    <t>Metallurgical coal or coke consumption is considered a feedstock in the Industrial Zero Emissions Calculator and is included in this graph. This is why CCS can apply to feedstocks.</t>
  </si>
  <si>
    <t>This graph shows the land that would be needed to supply the relevant quantities of bioenergy using dedicated bioenergy crops. In reality, some bioenergy can be sourced from agricultural waste (crop residues,</t>
  </si>
  <si>
    <t>BAU offshore wind capacity used to supply electricity to industry</t>
  </si>
  <si>
    <t>BAU solar capacity used to supply electricity to industry</t>
  </si>
  <si>
    <t>BAU geothermal capacity used to supply electricity to industry</t>
  </si>
  <si>
    <t>BAU hydroelectric capacity used to supply electricity to industry</t>
  </si>
  <si>
    <t>BAU biomass capacity used to supply electricity to industry</t>
  </si>
  <si>
    <t>BAU nuclear capacity used to supply electricity to industry</t>
  </si>
  <si>
    <t>BAU fossil fuel with CCS capacity used to supply electricity to industry</t>
  </si>
  <si>
    <t>BAU onshore wind capacity used to supply electricity to industry</t>
  </si>
  <si>
    <t>BAU unabated source capacity used to supply electricity to industry</t>
  </si>
  <si>
    <t>The chemicals industry doesn't need all the carbon atoms in their existing feedstocks. Excess carbon atoms are emitted as process CO2.</t>
  </si>
  <si>
    <t>The quantity of direct use of bioenergy is based on replacing feedstocks directly, not replacing the CO2 in them. We take a share here of total CO2 content of feedstocks representing the CO2 in the fossil feedstocks that was displaced by direct use of bioenergy feedstocks.</t>
  </si>
  <si>
    <t>We preferentially apply CCS to existing bioenergy combustion. If there is insufficient existing bioenergy combustion, we add additional bioenergy combustion here. Either way, we add extra bioenergy to power the CCS process.</t>
  </si>
  <si>
    <t>We only apply steel-specific settings to metallurgical coal use. For other energy use by the iron and steel industry, we use the general heat and non-heat settings above.</t>
  </si>
  <si>
    <t>This value is only used for capturing process CO2 from industrial facilities (predominantly cement facilities). It is based on capturing CO2 from a coal plant. For capturing energy-related CO2, the percentage increase in fuel combustion just above is used instead.</t>
  </si>
  <si>
    <t>Unit is equivalent to kg CO2 / GJ. We use an average of agricultural byproducts, solid byproducts, and wood and wood residuals.</t>
  </si>
  <si>
    <t>Unit is equivalent to kg CO2 / GJ. HGLs include ethane, propane, butanes, natural gasoline, and refinery olefins. We use an average of ethane, propane, and butane here.</t>
  </si>
  <si>
    <t>Electrolyzer capacity factors vary greatly from study to study, from below 20% to over 90%. We use the capacity factor IEA found to achieve the lowest-cost H2 output for a grid-connected electrolyzer. Using a capacity factor well below 100% also allows electrolyzers to contribute to grid balancing and renewables integration by operating in hours when electricity is most abundant (lowest net demand).</t>
  </si>
  <si>
    <t>Average of the three most land-efficient crop types. Uses CHP rather than bioelectricity or liquid biofuels as it best reflects direct use of the bioenergy (e.g., for industrial heating or feedstocks) rather than first converting it to another form.</t>
  </si>
  <si>
    <t>This excludes the cost of any pre-2010 assets still in use. It also excludes capital investment for natural gas.</t>
  </si>
  <si>
    <t>Today, H2 is most commonly used for ammonia production and petroleum refining. It is safe to assume nearly 100% of today's hydrogen use is in the industry sector (except, perhaps, in Japan, where hydrogen vehicles may have a non-trivial share).</t>
  </si>
  <si>
    <t>NERC assumes 15% reserve margin for predominantly fuel-burning systems when specific data are not available. We use the same assumption for World reserve margin.</t>
  </si>
  <si>
    <t>Note: Although we total up AEO data on bioenergy and waste in column D, we don't use these data in the IDC. We instead use a different, bioenergy-focused source that we believe is more authoritative.</t>
  </si>
  <si>
    <t>I can't find any mistakes in this spreadsheet that could cause that difference. Maybe it is an issue in the AEO tables.</t>
  </si>
  <si>
    <t>In IESS, the agriculture sector consists only of pumps (for irrigation) and tractors, which use only electricity or petroleum fuels. AEO considers this part of the Industry sector, but not part of manufacturing.</t>
  </si>
  <si>
    <t>Authors: Jeffrey Rissman and Nik Sawe</t>
  </si>
  <si>
    <t>Version 1.1</t>
  </si>
  <si>
    <t>Version History</t>
  </si>
  <si>
    <t>1.0 - initial release</t>
  </si>
  <si>
    <t>scenario</t>
  </si>
  <si>
    <t>sector</t>
  </si>
  <si>
    <t>subsector</t>
  </si>
  <si>
    <t>input</t>
  </si>
  <si>
    <t>technology</t>
  </si>
  <si>
    <t>Reference,date=2025-13-3T13:09:47-07:00</t>
  </si>
  <si>
    <t>agricultural energy use</t>
  </si>
  <si>
    <t>H2 wholesale dispensing</t>
  </si>
  <si>
    <t>elect_td_ind</t>
  </si>
  <si>
    <t>refined liquids industrial</t>
  </si>
  <si>
    <t>refined liquids</t>
  </si>
  <si>
    <t>H2 wholesale delivery</t>
  </si>
  <si>
    <t>delivered biomass</t>
  </si>
  <si>
    <t>delivered coal</t>
  </si>
  <si>
    <t>district heat</t>
  </si>
  <si>
    <t>wholesale gas</t>
  </si>
  <si>
    <t>gas</t>
  </si>
  <si>
    <t>alumina</t>
  </si>
  <si>
    <t>aluminum</t>
  </si>
  <si>
    <t>ammonia</t>
  </si>
  <si>
    <t>H2 industrial</t>
  </si>
  <si>
    <t>cement</t>
  </si>
  <si>
    <t>chemical energy use</t>
  </si>
  <si>
    <t>chemical feedstocks</t>
  </si>
  <si>
    <t>construction energy use</t>
  </si>
  <si>
    <t>construction feedstocks</t>
  </si>
  <si>
    <t>food processing</t>
  </si>
  <si>
    <t>mining energy use</t>
  </si>
  <si>
    <t>other industrial energy use</t>
  </si>
  <si>
    <t>other industrial feedstocks</t>
  </si>
  <si>
    <t>paper</t>
  </si>
  <si>
    <t>global solar resource</t>
  </si>
  <si>
    <t>regional woodpulp for energy</t>
  </si>
  <si>
    <t>Iron and steel</t>
  </si>
  <si>
    <t>Chemicals (other than ammonia)</t>
  </si>
  <si>
    <t>Food processing</t>
  </si>
  <si>
    <t>Other industry</t>
  </si>
  <si>
    <t>solar</t>
  </si>
  <si>
    <t>traditional biomass</t>
  </si>
  <si>
    <t>fossil</t>
  </si>
  <si>
    <t>Rest of Economy</t>
  </si>
  <si>
    <t>refining</t>
  </si>
  <si>
    <t>biomass liquids</t>
  </si>
  <si>
    <t>BTL with hydrogen</t>
  </si>
  <si>
    <t>regional biomass</t>
  </si>
  <si>
    <t>FT biofuels</t>
  </si>
  <si>
    <t>regional biomassOil</t>
  </si>
  <si>
    <t>cellulosic ethanol</t>
  </si>
  <si>
    <t>corn ethanol</t>
  </si>
  <si>
    <t>regional corn for ethanol</t>
  </si>
  <si>
    <t>sugar cane ethanol</t>
  </si>
  <si>
    <t>regional sugar for ethanol</t>
  </si>
  <si>
    <t>coal to liquids</t>
  </si>
  <si>
    <t>regional coal</t>
  </si>
  <si>
    <t>gas to liquids</t>
  </si>
  <si>
    <t>regional natural gas</t>
  </si>
  <si>
    <t>oil refining</t>
  </si>
  <si>
    <t>regional oil</t>
  </si>
  <si>
    <t>OilCrop</t>
  </si>
  <si>
    <t>regional oilcrop</t>
  </si>
  <si>
    <t>OilPalm</t>
  </si>
  <si>
    <t>regional oilpalm</t>
  </si>
  <si>
    <t>Soybean</t>
  </si>
  <si>
    <t>regional soybean</t>
  </si>
  <si>
    <t>regional corn</t>
  </si>
  <si>
    <t>domestic crude oil</t>
  </si>
  <si>
    <t>crude oil</t>
  </si>
  <si>
    <t>imported crude oil</t>
  </si>
  <si>
    <t>traded oil</t>
  </si>
  <si>
    <t>regional sugarcrop</t>
  </si>
  <si>
    <t>refinery inputs by tech (energy and feedstocks)</t>
  </si>
  <si>
    <t>output</t>
  </si>
  <si>
    <t>refinery liquids production by tech</t>
  </si>
  <si>
    <t>net consumption by refineries</t>
  </si>
  <si>
    <t>Combustible Energy Use (EJ)</t>
  </si>
  <si>
    <t>Non-feedstock combustible energy use for non-heating purposes (EJ)</t>
  </si>
  <si>
    <t>GCAM does not divide up coal for making coke from coal used directly in steelmaking.  Therefore, we use China's ratio to divide up GCAM world data.</t>
  </si>
  <si>
    <t>Share of coal for making coke out of call coal inputs to steelmaking</t>
  </si>
  <si>
    <t>Pacific Northwest National Laboratory</t>
  </si>
  <si>
    <t>Global Change Assessment Model v7.1</t>
  </si>
  <si>
    <t>https://github.com/JGCRI/gcam-core</t>
  </si>
  <si>
    <t>ZCI book, page 194</t>
  </si>
  <si>
    <t>Source: 35</t>
  </si>
  <si>
    <t>1.1 - replaces IEA World Energy Balances data with data from Pacific Northwest National Laboratory's Global Change Assessment Model</t>
  </si>
  <si>
    <t>EU-12</t>
  </si>
  <si>
    <t>EU-15</t>
  </si>
  <si>
    <t>Global</t>
  </si>
  <si>
    <t>region</t>
  </si>
  <si>
    <t>chemical</t>
  </si>
  <si>
    <t>Reference,date=2025-13-3T13:09:47-07:01</t>
  </si>
  <si>
    <t>Share of World Chemicals Production</t>
  </si>
  <si>
    <t>Therefore, we estimate H2 for regions without data by taking their shares of global refining and chemicals output,</t>
  </si>
  <si>
    <t>Shares of Global Refinery and Chemicals Production</t>
  </si>
  <si>
    <t>Source: 36</t>
  </si>
  <si>
    <t>query: energy &gt; energy transformation &gt; refining &gt; refined liquids production by region</t>
  </si>
  <si>
    <t>query: energy &gt; end use sectors &gt; industry &gt; chemicals &gt; chemical production by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</si>
</sst>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1">
    <numFmt numFmtId="6" formatCode="&quot;$&quot;#,##0_);[Red]\(&quot;$&quot;#,##0\)"/>
    <numFmt numFmtId="41" formatCode="_(* #,##0_);_(* \(#,##0\);_(* &quot;-&quot;_);_(@_)"/>
    <numFmt numFmtId="43" formatCode="_(* #,##0.00_);_(* \(#,##0.00\);_(* &quot;-&quot;??_);_(@_)"/>
    <numFmt numFmtId="164" formatCode="0.0"/>
    <numFmt numFmtId="165" formatCode="0.0%"/>
    <numFmt numFmtId="166" formatCode="0.0000"/>
    <numFmt numFmtId="167" formatCode="#,##0.0"/>
    <numFmt numFmtId="168" formatCode="_(* #,##0.0_);_(* \(#,##0.0\);_(* &quot;-&quot;??_);_(@_)"/>
    <numFmt numFmtId="169" formatCode="_(* #,##0_);_(* \(#,##0\);_(@_)"/>
    <numFmt numFmtId="170" formatCode="_(* #,##0_);_(* \(#,##0\);_(* &quot;-&quot;??_);_(@_)"/>
    <numFmt numFmtId="171" formatCode="_(* #,##0.000_);_(* \(#,##0.000\);_(* &quot;-&quot;??_);_(@_)"/>
    <numFmt numFmtId="172" formatCode="_(* #,##0.0000_);_(* \(#,##0.0000\);_(* &quot;-&quot;??_);_(@_)"/>
    <numFmt numFmtId="173" formatCode="General_)"/>
    <numFmt numFmtId="174" formatCode="0.000"/>
    <numFmt numFmtId="175" formatCode="_(* #,##0.00000_);_(* \(#,##0.00000\);_(* &quot;-&quot;??_);_(@_)"/>
    <numFmt numFmtId="176" formatCode="_(* #,##0.000000_);_(* \(#,##0.000000\);_(* &quot;-&quot;??_);_(@_)"/>
    <numFmt numFmtId="177" formatCode="0.0E+00"/>
    <numFmt numFmtId="178" formatCode="0%;\ \(0%\);\ \-"/>
    <numFmt numFmtId="179" formatCode="0.00%;\ \(0.00%\);\ \-"/>
    <numFmt numFmtId="180" formatCode="#,##0.0_);\(#,##0.0\);&quot;-&quot;_);@"/>
    <numFmt numFmtId="181" formatCode="0.0%;\ \(0.0%\);\ \-"/>
    <numFmt numFmtId="182" formatCode="#,##0_);\(#,##0\);&quot;-&quot;_);@"/>
    <numFmt numFmtId="183" formatCode="0.000%;\ \(0.000%\);\ \-"/>
    <numFmt numFmtId="184" formatCode="#,##0.000_);\(#,##0.000\);&quot;-&quot;_);@"/>
    <numFmt numFmtId="185" formatCode="0.0000%;\ \(0.0000%\);\ \-"/>
    <numFmt numFmtId="186" formatCode="#,##0.00000_);\(#,##0.00000\);&quot;-&quot;_);@"/>
    <numFmt numFmtId="187" formatCode="#,##0.00_);\(#,##0.00\);&quot;-&quot;_);@"/>
    <numFmt numFmtId="188" formatCode="#,##0.0_);\(#,##0.0\)"/>
    <numFmt numFmtId="189" formatCode="#,##0.00000000000"/>
    <numFmt numFmtId="190" formatCode="#,##0.000000000000"/>
    <numFmt numFmtId="191" formatCode="#,##0.0_);\(#,##0.0\);&quot;-&quot;;@"/>
    <numFmt numFmtId="192" formatCode="0.00000"/>
    <numFmt numFmtId="193" formatCode="#,##0.0000_);\(#,##0.0000\);&quot;-&quot;_);@"/>
    <numFmt numFmtId="194" formatCode="_-* #,##0.00_-;\-* #,##0.00_-;_-* &quot;-&quot;??_-;_-@_-"/>
    <numFmt numFmtId="195" formatCode="_ * #,##0_ ;_ * \-#,##0_ ;_ * &quot;-&quot;_ ;_ @_ "/>
    <numFmt numFmtId="196" formatCode="0.00000000000"/>
    <numFmt numFmtId="197" formatCode="#,##0.0;\-#,##0.0;&quot;-&quot;"/>
    <numFmt numFmtId="198" formatCode="#,##0.00;\-#,##0.00;&quot;-&quot;"/>
    <numFmt numFmtId="199" formatCode="&quot;$&quot;#,##0.0"/>
    <numFmt numFmtId="200" formatCode="0.00000000000000"/>
    <numFmt numFmtId="201" formatCode="0.00%;\-0.00%;&quot;-&quot;"/>
  </numFmts>
  <fonts count="204">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i/>
      <sz val="11"/>
      <color theme="1"/>
      <name val="Calibri"/>
      <family val="2"/>
      <scheme val="minor"/>
    </font>
    <font>
      <u/>
      <sz val="11"/>
      <color theme="10"/>
      <name val="Calibri"/>
      <family val="2"/>
      <scheme val="minor"/>
    </font>
    <font>
      <b/>
      <i/>
      <sz val="11"/>
      <color theme="1"/>
      <name val="Calibri"/>
      <family val="2"/>
      <scheme val="minor"/>
    </font>
    <font>
      <sz val="9"/>
      <color indexed="8"/>
      <name val="Calibri"/>
      <family val="2"/>
    </font>
    <font>
      <sz val="9"/>
      <name val="Calibri"/>
      <family val="2"/>
    </font>
    <font>
      <b/>
      <sz val="9"/>
      <color indexed="8"/>
      <name val="Calibri"/>
      <family val="2"/>
    </font>
    <font>
      <b/>
      <sz val="9"/>
      <name val="Calibri"/>
      <family val="2"/>
    </font>
    <font>
      <sz val="8"/>
      <name val="Arial"/>
      <family val="2"/>
    </font>
    <font>
      <b/>
      <sz val="12"/>
      <color indexed="30"/>
      <name val="Calibri"/>
      <family val="2"/>
    </font>
    <font>
      <b/>
      <sz val="12"/>
      <name val="Calibri"/>
      <family val="2"/>
    </font>
    <font>
      <sz val="10"/>
      <color indexed="8"/>
      <name val="Arial"/>
      <family val="2"/>
    </font>
    <font>
      <sz val="10"/>
      <name val="Calibri"/>
      <family val="2"/>
    </font>
    <font>
      <sz val="9"/>
      <color theme="1"/>
      <name val="Calibri"/>
      <family val="2"/>
      <scheme val="minor"/>
    </font>
    <font>
      <b/>
      <sz val="9"/>
      <color theme="1"/>
      <name val="Calibri"/>
      <family val="2"/>
      <scheme val="minor"/>
    </font>
    <font>
      <b/>
      <sz val="12"/>
      <color theme="4"/>
      <name val="Calibri"/>
      <family val="2"/>
      <scheme val="minor"/>
    </font>
    <font>
      <sz val="10"/>
      <name val="Verdana"/>
      <family val="2"/>
    </font>
    <font>
      <sz val="10"/>
      <name val="Arial"/>
      <family val="2"/>
    </font>
    <font>
      <sz val="9"/>
      <name val="Arial"/>
      <family val="2"/>
    </font>
    <font>
      <b/>
      <sz val="9"/>
      <name val="Arial"/>
      <family val="2"/>
    </font>
    <font>
      <sz val="10"/>
      <color rgb="FFFF0000"/>
      <name val="Arial"/>
      <family val="2"/>
    </font>
    <font>
      <b/>
      <sz val="10"/>
      <name val="Arial"/>
      <family val="2"/>
    </font>
    <font>
      <b/>
      <sz val="12"/>
      <name val="Arial"/>
      <family val="2"/>
    </font>
    <font>
      <vertAlign val="subscript"/>
      <sz val="10"/>
      <name val="Arial"/>
      <family val="2"/>
    </font>
    <font>
      <vertAlign val="subscript"/>
      <sz val="9"/>
      <name val="Arial"/>
      <family val="2"/>
    </font>
    <font>
      <vertAlign val="superscript"/>
      <sz val="9"/>
      <name val="Arial"/>
      <family val="2"/>
    </font>
    <font>
      <vertAlign val="superscript"/>
      <sz val="10"/>
      <name val="Arial"/>
      <family val="2"/>
    </font>
    <font>
      <sz val="10"/>
      <color rgb="FF00B050"/>
      <name val="Arial"/>
      <family val="2"/>
    </font>
    <font>
      <sz val="10"/>
      <color rgb="FF000000"/>
      <name val="Arial"/>
      <family val="2"/>
    </font>
    <font>
      <vertAlign val="superscript"/>
      <sz val="10"/>
      <color rgb="FF000000"/>
      <name val="Arial"/>
      <family val="2"/>
    </font>
    <font>
      <b/>
      <vertAlign val="subscript"/>
      <sz val="10"/>
      <name val="Arial"/>
      <family val="2"/>
    </font>
    <font>
      <b/>
      <sz val="10"/>
      <color rgb="FFFF0000"/>
      <name val="Arial"/>
      <family val="2"/>
    </font>
    <font>
      <i/>
      <sz val="8"/>
      <name val="Arial"/>
      <family val="2"/>
    </font>
    <font>
      <sz val="4"/>
      <name val="Arial"/>
      <family val="2"/>
    </font>
    <font>
      <u/>
      <sz val="10"/>
      <color indexed="12"/>
      <name val="Verdana"/>
      <family val="2"/>
    </font>
    <font>
      <u/>
      <sz val="9"/>
      <color indexed="12"/>
      <name val="Arial"/>
      <family val="2"/>
    </font>
    <font>
      <sz val="9"/>
      <color rgb="FFFF0000"/>
      <name val="Arial"/>
      <family val="2"/>
    </font>
    <font>
      <sz val="10"/>
      <color rgb="FFFF0000"/>
      <name val="Verdana"/>
      <family val="2"/>
    </font>
    <font>
      <b/>
      <vertAlign val="subscript"/>
      <sz val="12"/>
      <name val="Arial"/>
      <family val="2"/>
    </font>
    <font>
      <u/>
      <sz val="10"/>
      <name val="Arial"/>
      <family val="2"/>
    </font>
    <font>
      <b/>
      <vertAlign val="subscript"/>
      <sz val="9"/>
      <name val="Arial"/>
      <family val="2"/>
    </font>
    <font>
      <sz val="9"/>
      <color indexed="10"/>
      <name val="Arial"/>
      <family val="2"/>
    </font>
    <font>
      <b/>
      <sz val="10"/>
      <color theme="5"/>
      <name val="Arial"/>
      <family val="2"/>
    </font>
    <font>
      <b/>
      <sz val="10"/>
      <color theme="6" tint="-0.499984740745262"/>
      <name val="Arial"/>
      <family val="2"/>
    </font>
    <font>
      <b/>
      <sz val="14"/>
      <color rgb="FFFF0000"/>
      <name val="Arial"/>
      <family val="2"/>
    </font>
    <font>
      <b/>
      <sz val="16"/>
      <name val="Arial"/>
      <family val="2"/>
    </font>
    <font>
      <sz val="8"/>
      <name val="Calibri"/>
      <family val="2"/>
      <scheme val="minor"/>
    </font>
    <font>
      <b/>
      <vertAlign val="superscript"/>
      <sz val="11"/>
      <color theme="1"/>
      <name val="Calibri"/>
      <family val="2"/>
      <scheme val="minor"/>
    </font>
    <font>
      <vertAlign val="superscript"/>
      <sz val="11"/>
      <color theme="1"/>
      <name val="Calibri"/>
      <family val="2"/>
      <scheme val="minor"/>
    </font>
    <font>
      <sz val="10"/>
      <color theme="1"/>
      <name val="Arial"/>
      <family val="2"/>
    </font>
    <font>
      <sz val="11"/>
      <color rgb="FF1F1F1F"/>
      <name val="Calibri"/>
      <family val="2"/>
      <scheme val="minor"/>
    </font>
    <font>
      <sz val="10"/>
      <color theme="1"/>
      <name val="Calibri"/>
      <family val="1"/>
      <scheme val="minor"/>
    </font>
    <font>
      <sz val="10"/>
      <name val="Calibri"/>
      <family val="1"/>
      <scheme val="minor"/>
    </font>
    <font>
      <u/>
      <sz val="8.5"/>
      <color theme="10"/>
      <name val="Cambria"/>
      <family val="1"/>
    </font>
    <font>
      <b/>
      <sz val="10"/>
      <name val="Calibri"/>
      <family val="1"/>
      <scheme val="minor"/>
    </font>
    <font>
      <sz val="12"/>
      <color theme="1"/>
      <name val="Arial"/>
      <family val="2"/>
    </font>
    <font>
      <b/>
      <sz val="10"/>
      <name val="Calibri Light"/>
      <family val="2"/>
      <scheme val="major"/>
    </font>
    <font>
      <sz val="10"/>
      <name val="Calibri Light"/>
      <family val="2"/>
      <scheme val="major"/>
    </font>
    <font>
      <sz val="10"/>
      <name val="Cambria"/>
      <family val="1"/>
    </font>
    <font>
      <sz val="12"/>
      <name val="Cambria"/>
      <family val="1"/>
    </font>
    <font>
      <b/>
      <sz val="10"/>
      <name val="Cambria"/>
      <family val="1"/>
    </font>
    <font>
      <sz val="10"/>
      <color rgb="FF000000"/>
      <name val="Cambria"/>
      <family val="1"/>
    </font>
    <font>
      <b/>
      <sz val="10"/>
      <name val="Calibri"/>
      <family val="2"/>
    </font>
    <font>
      <i/>
      <sz val="10"/>
      <name val="Cambria"/>
      <family val="1"/>
    </font>
    <font>
      <sz val="11"/>
      <name val="Cambria"/>
      <family val="1"/>
    </font>
    <font>
      <sz val="10"/>
      <color theme="1"/>
      <name val="Cambria"/>
      <family val="1"/>
    </font>
    <font>
      <sz val="18"/>
      <color rgb="FF000000"/>
      <name val="Cambria"/>
      <family val="1"/>
    </font>
    <font>
      <b/>
      <sz val="12"/>
      <color rgb="FF000000"/>
      <name val="Calibri"/>
      <family val="2"/>
    </font>
    <font>
      <sz val="10"/>
      <color rgb="FF366092"/>
      <name val="Calibri"/>
      <family val="2"/>
    </font>
    <font>
      <b/>
      <sz val="10"/>
      <color rgb="FF000000"/>
      <name val="Calibri"/>
      <family val="2"/>
    </font>
    <font>
      <sz val="8"/>
      <name val="Calibri"/>
      <family val="1"/>
      <scheme val="minor"/>
    </font>
    <font>
      <sz val="8"/>
      <name val="Cambria"/>
      <family val="1"/>
    </font>
    <font>
      <i/>
      <sz val="10"/>
      <color rgb="FF000000"/>
      <name val="Cambria"/>
      <family val="1"/>
    </font>
    <font>
      <i/>
      <sz val="10"/>
      <color rgb="FF366092"/>
      <name val="Calibri"/>
      <family val="2"/>
    </font>
    <font>
      <sz val="8"/>
      <color rgb="FF000000"/>
      <name val="Calibri"/>
      <family val="2"/>
    </font>
    <font>
      <b/>
      <sz val="8"/>
      <name val="Cambria"/>
      <family val="1"/>
    </font>
    <font>
      <b/>
      <sz val="10"/>
      <color rgb="FF000000"/>
      <name val="Cambria"/>
      <family val="1"/>
    </font>
    <font>
      <b/>
      <i/>
      <sz val="10"/>
      <color rgb="FF000000"/>
      <name val="Cambria"/>
      <family val="1"/>
    </font>
    <font>
      <b/>
      <i/>
      <sz val="10"/>
      <color rgb="FF366092"/>
      <name val="Calibri"/>
      <family val="2"/>
    </font>
    <font>
      <b/>
      <sz val="14"/>
      <color rgb="FF000000"/>
      <name val="Cambria"/>
      <family val="1"/>
    </font>
    <font>
      <b/>
      <sz val="8"/>
      <color rgb="FF000000"/>
      <name val="Cambria"/>
      <family val="1"/>
    </font>
    <font>
      <b/>
      <sz val="10"/>
      <color rgb="FFFF0000"/>
      <name val="Cambria"/>
      <family val="1"/>
    </font>
    <font>
      <b/>
      <sz val="10"/>
      <color rgb="FF7030A0"/>
      <name val="Cambria"/>
      <family val="1"/>
    </font>
    <font>
      <b/>
      <sz val="8"/>
      <color rgb="FFFF0000"/>
      <name val="Cambria"/>
      <family val="1"/>
    </font>
    <font>
      <sz val="10"/>
      <color rgb="FFFF0000"/>
      <name val="Cambria"/>
      <family val="1"/>
    </font>
    <font>
      <i/>
      <sz val="8"/>
      <color rgb="FF000000"/>
      <name val="Cambria"/>
      <family val="1"/>
    </font>
    <font>
      <sz val="8"/>
      <color rgb="FF000000"/>
      <name val="Cambria"/>
      <family val="1"/>
    </font>
    <font>
      <sz val="8"/>
      <name val="Calibri"/>
      <family val="2"/>
    </font>
    <font>
      <sz val="8"/>
      <color rgb="FF366092"/>
      <name val="Calibri"/>
      <family val="2"/>
    </font>
    <font>
      <b/>
      <sz val="10"/>
      <color rgb="FF366092"/>
      <name val="Calibri"/>
      <family val="2"/>
    </font>
    <font>
      <sz val="14"/>
      <color rgb="FF000000"/>
      <name val="Cambria"/>
      <family val="1"/>
    </font>
    <font>
      <sz val="10"/>
      <color rgb="FFA6A6A6"/>
      <name val="Cambria"/>
      <family val="1"/>
    </font>
    <font>
      <b/>
      <sz val="11"/>
      <color rgb="FF000000"/>
      <name val="Cambria"/>
      <family val="1"/>
    </font>
    <font>
      <sz val="8"/>
      <color rgb="FF444444"/>
      <name val="Inherit"/>
    </font>
    <font>
      <sz val="10"/>
      <color rgb="FF000000"/>
      <name val="Calibri"/>
      <family val="1"/>
    </font>
    <font>
      <b/>
      <sz val="18"/>
      <color indexed="8"/>
      <name val="Calibri Light"/>
      <family val="2"/>
      <scheme val="major"/>
    </font>
    <font>
      <b/>
      <sz val="16"/>
      <color indexed="8"/>
      <name val="Calibri Light"/>
      <family val="2"/>
      <scheme val="major"/>
    </font>
    <font>
      <sz val="12"/>
      <color theme="1"/>
      <name val="Calibri Light"/>
      <family val="2"/>
      <scheme val="major"/>
    </font>
    <font>
      <b/>
      <sz val="12"/>
      <color theme="1"/>
      <name val="Calibri Light"/>
      <family val="2"/>
      <scheme val="major"/>
    </font>
    <font>
      <b/>
      <sz val="10"/>
      <color theme="1"/>
      <name val="Calibri"/>
      <family val="1"/>
      <scheme val="minor"/>
    </font>
    <font>
      <sz val="12"/>
      <color theme="1"/>
      <name val="Calibri"/>
      <family val="1"/>
      <scheme val="minor"/>
    </font>
    <font>
      <b/>
      <sz val="10"/>
      <color theme="1"/>
      <name val="Calibri Light"/>
      <family val="2"/>
      <scheme val="major"/>
    </font>
    <font>
      <b/>
      <sz val="10"/>
      <color theme="9" tint="0.79998168889431442"/>
      <name val="Calibri Light"/>
      <family val="2"/>
      <scheme val="major"/>
    </font>
    <font>
      <sz val="10"/>
      <color theme="1"/>
      <name val="Calibri Light"/>
      <family val="2"/>
      <scheme val="major"/>
    </font>
    <font>
      <sz val="10"/>
      <color theme="9" tint="0.79998168889431442"/>
      <name val="Calibri Light"/>
      <family val="2"/>
      <scheme val="major"/>
    </font>
    <font>
      <i/>
      <sz val="10"/>
      <color theme="1"/>
      <name val="Calibri Light"/>
      <family val="2"/>
      <scheme val="major"/>
    </font>
    <font>
      <sz val="11"/>
      <color theme="1"/>
      <name val="Calibri"/>
      <family val="1"/>
      <scheme val="minor"/>
    </font>
    <font>
      <b/>
      <sz val="10"/>
      <color theme="6" tint="0.79998168889431442"/>
      <name val="Calibri Light"/>
      <family val="2"/>
      <scheme val="major"/>
    </font>
    <font>
      <b/>
      <sz val="10"/>
      <color theme="7" tint="0.79998168889431442"/>
      <name val="Calibri Light"/>
      <family val="2"/>
      <scheme val="major"/>
    </font>
    <font>
      <b/>
      <sz val="10"/>
      <color theme="3" tint="0.79998168889431442"/>
      <name val="Calibri"/>
      <family val="1"/>
      <scheme val="minor"/>
    </font>
    <font>
      <sz val="10"/>
      <color theme="3" tint="0.79998168889431442"/>
      <name val="Calibri"/>
      <family val="1"/>
      <scheme val="minor"/>
    </font>
    <font>
      <b/>
      <u/>
      <sz val="10"/>
      <color rgb="FF000000"/>
      <name val="Cambria"/>
      <family val="1"/>
    </font>
    <font>
      <b/>
      <sz val="18"/>
      <color theme="1"/>
      <name val="Calibri Light"/>
      <family val="2"/>
      <scheme val="major"/>
    </font>
    <font>
      <sz val="8"/>
      <color theme="1"/>
      <name val="Calibri"/>
      <family val="1"/>
      <scheme val="minor"/>
    </font>
    <font>
      <sz val="10"/>
      <name val="宋体"/>
      <charset val="134"/>
    </font>
    <font>
      <vertAlign val="superscript"/>
      <sz val="10"/>
      <name val="宋体"/>
      <charset val="134"/>
    </font>
    <font>
      <b/>
      <sz val="10"/>
      <name val="宋体"/>
      <charset val="134"/>
    </font>
    <font>
      <sz val="9"/>
      <color rgb="FF000000"/>
      <name val="Cambria"/>
      <family val="1"/>
    </font>
    <font>
      <b/>
      <sz val="11"/>
      <color rgb="FF333333"/>
      <name val="Arial"/>
      <family val="2"/>
    </font>
    <font>
      <sz val="10"/>
      <name val="Arial"/>
      <family val="2"/>
      <charset val="161"/>
    </font>
    <font>
      <sz val="8"/>
      <color theme="3" tint="-0.499984740745262"/>
      <name val="Calibri"/>
      <family val="2"/>
      <scheme val="minor"/>
    </font>
    <font>
      <b/>
      <sz val="11"/>
      <name val="Calibri"/>
      <family val="2"/>
      <scheme val="minor"/>
    </font>
    <font>
      <sz val="11"/>
      <color indexed="8"/>
      <name val="Calibri"/>
      <family val="2"/>
      <scheme val="minor"/>
    </font>
    <font>
      <b/>
      <sz val="12"/>
      <name val="Calibri Light"/>
      <family val="2"/>
      <scheme val="major"/>
    </font>
    <font>
      <sz val="12"/>
      <name val="Calibri Light"/>
      <family val="2"/>
      <scheme val="major"/>
    </font>
    <font>
      <sz val="11"/>
      <name val="Calibri Light"/>
      <family val="2"/>
      <scheme val="major"/>
    </font>
    <font>
      <u/>
      <sz val="8.5"/>
      <color theme="10"/>
      <name val="Calibri Light"/>
      <family val="2"/>
      <scheme val="major"/>
    </font>
    <font>
      <sz val="18"/>
      <color theme="1"/>
      <name val="Calibri Light"/>
      <family val="2"/>
      <scheme val="major"/>
    </font>
    <font>
      <sz val="11"/>
      <color theme="1"/>
      <name val="Calibri Light"/>
      <family val="2"/>
      <scheme val="major"/>
    </font>
    <font>
      <b/>
      <u/>
      <sz val="12"/>
      <color theme="1"/>
      <name val="Calibri Light"/>
      <family val="2"/>
      <scheme val="major"/>
    </font>
    <font>
      <sz val="8"/>
      <name val="Calibri Light"/>
      <family val="2"/>
      <scheme val="major"/>
    </font>
    <font>
      <sz val="10"/>
      <color theme="4" tint="-0.249977111117893"/>
      <name val="Calibri Light"/>
      <family val="2"/>
      <scheme val="major"/>
    </font>
    <font>
      <sz val="10"/>
      <color theme="0" tint="-0.499984740745262"/>
      <name val="Calibri Light"/>
      <family val="2"/>
      <scheme val="major"/>
    </font>
    <font>
      <sz val="11"/>
      <color theme="9" tint="0.79998168889431442"/>
      <name val="Calibri Light"/>
      <family val="2"/>
      <scheme val="major"/>
    </font>
    <font>
      <b/>
      <sz val="11"/>
      <color theme="1"/>
      <name val="Calibri Light"/>
      <family val="2"/>
      <scheme val="major"/>
    </font>
    <font>
      <sz val="11"/>
      <color rgb="FFFF0000"/>
      <name val="Calibri Light"/>
      <family val="2"/>
      <scheme val="major"/>
    </font>
    <font>
      <sz val="14"/>
      <color theme="1"/>
      <name val="Calibri Light"/>
      <family val="2"/>
      <scheme val="major"/>
    </font>
    <font>
      <b/>
      <sz val="10"/>
      <color theme="6" tint="0.39997558519241921"/>
      <name val="Calibri Light"/>
      <family val="2"/>
      <scheme val="major"/>
    </font>
    <font>
      <b/>
      <sz val="10"/>
      <color theme="0"/>
      <name val="Calibri Light"/>
      <family val="2"/>
      <scheme val="major"/>
    </font>
    <font>
      <sz val="10"/>
      <color theme="0"/>
      <name val="Calibri Light"/>
      <family val="2"/>
      <scheme val="major"/>
    </font>
    <font>
      <sz val="10"/>
      <color rgb="FFFFFF00"/>
      <name val="Calibri Light"/>
      <family val="2"/>
      <scheme val="major"/>
    </font>
    <font>
      <b/>
      <sz val="10"/>
      <color rgb="FFFFFF00"/>
      <name val="Calibri Light"/>
      <family val="2"/>
      <scheme val="major"/>
    </font>
    <font>
      <sz val="10"/>
      <color theme="7" tint="0.79998168889431442"/>
      <name val="Calibri Light"/>
      <family val="2"/>
      <scheme val="major"/>
    </font>
    <font>
      <vertAlign val="subscript"/>
      <sz val="10"/>
      <color theme="1"/>
      <name val="Calibri Light"/>
      <family val="2"/>
      <scheme val="major"/>
    </font>
    <font>
      <b/>
      <vertAlign val="subscript"/>
      <sz val="10"/>
      <color theme="1"/>
      <name val="Calibri Light"/>
      <family val="2"/>
      <scheme val="major"/>
    </font>
    <font>
      <b/>
      <sz val="10"/>
      <color theme="7" tint="0.59999389629810485"/>
      <name val="Calibri Light"/>
      <family val="2"/>
      <scheme val="major"/>
    </font>
    <font>
      <b/>
      <sz val="10"/>
      <color rgb="FF00B050"/>
      <name val="Calibri Light"/>
      <family val="2"/>
      <scheme val="major"/>
    </font>
    <font>
      <sz val="10"/>
      <color theme="6" tint="0.79998168889431442"/>
      <name val="Calibri Light"/>
      <family val="2"/>
      <scheme val="major"/>
    </font>
    <font>
      <b/>
      <sz val="10"/>
      <color theme="3" tint="0.79998168889431442"/>
      <name val="Calibri Light"/>
      <family val="2"/>
      <scheme val="major"/>
    </font>
    <font>
      <sz val="10"/>
      <color theme="3" tint="0.79998168889431442"/>
      <name val="Calibri Light"/>
      <family val="2"/>
      <scheme val="major"/>
    </font>
    <font>
      <sz val="11"/>
      <name val="Calibri"/>
      <family val="2"/>
      <scheme val="minor"/>
    </font>
    <font>
      <b/>
      <sz val="18"/>
      <name val="Calibri Light"/>
      <family val="2"/>
      <scheme val="major"/>
    </font>
    <font>
      <b/>
      <vertAlign val="subscript"/>
      <sz val="18"/>
      <color theme="1"/>
      <name val="Calibri Light"/>
      <family val="2"/>
      <scheme val="major"/>
    </font>
    <font>
      <sz val="8"/>
      <color theme="1"/>
      <name val="Calibri Light"/>
      <family val="2"/>
      <scheme val="major"/>
    </font>
    <font>
      <b/>
      <sz val="8"/>
      <color theme="1"/>
      <name val="Calibri Light"/>
      <family val="2"/>
      <scheme val="major"/>
    </font>
    <font>
      <sz val="8"/>
      <color theme="4" tint="-0.249977111117893"/>
      <name val="Calibri"/>
      <family val="1"/>
      <scheme val="minor"/>
    </font>
    <font>
      <i/>
      <sz val="10"/>
      <color indexed="8"/>
      <name val="Calibri"/>
      <family val="1"/>
      <scheme val="minor"/>
    </font>
    <font>
      <i/>
      <sz val="8"/>
      <name val="Calibri"/>
      <family val="1"/>
      <scheme val="minor"/>
    </font>
    <font>
      <b/>
      <sz val="12"/>
      <name val="Calibri"/>
      <family val="1"/>
      <scheme val="minor"/>
    </font>
    <font>
      <i/>
      <sz val="12"/>
      <name val="Calibri"/>
      <family val="1"/>
      <scheme val="minor"/>
    </font>
    <font>
      <sz val="10"/>
      <name val="Calibri"/>
      <family val="2"/>
    </font>
    <font>
      <sz val="9"/>
      <name val="Calibri"/>
      <family val="2"/>
    </font>
    <font>
      <sz val="11"/>
      <color rgb="FF000000"/>
      <name val="Calibri"/>
      <family val="2"/>
    </font>
    <font>
      <sz val="11"/>
      <color theme="4"/>
      <name val="Calibri"/>
      <family val="2"/>
      <scheme val="minor"/>
    </font>
    <font>
      <b/>
      <sz val="9"/>
      <color indexed="81"/>
      <name val="Tahoma"/>
      <family val="2"/>
    </font>
    <font>
      <sz val="9"/>
      <color indexed="81"/>
      <name val="Tahoma"/>
      <family val="2"/>
    </font>
    <font>
      <b/>
      <sz val="11"/>
      <color rgb="FF000000"/>
      <name val="Calibri"/>
      <family val="2"/>
    </font>
    <font>
      <b/>
      <sz val="10"/>
      <color rgb="FF050505"/>
      <name val="Calibri"/>
      <family val="2"/>
      <scheme val="minor"/>
    </font>
    <font>
      <b/>
      <sz val="8"/>
      <color rgb="FF050505"/>
      <name val="Calibri"/>
      <family val="2"/>
      <scheme val="minor"/>
    </font>
    <font>
      <sz val="8"/>
      <color rgb="FF963732"/>
      <name val="Calibri"/>
      <family val="2"/>
      <scheme val="minor"/>
    </font>
    <font>
      <sz val="8"/>
      <color rgb="FF050505"/>
      <name val="Calibri"/>
      <family val="2"/>
      <scheme val="minor"/>
    </font>
    <font>
      <b/>
      <sz val="8"/>
      <name val="Calibri"/>
      <family val="2"/>
      <scheme val="minor"/>
    </font>
    <font>
      <b/>
      <sz val="8"/>
      <color indexed="8"/>
      <name val="Calibri"/>
      <family val="2"/>
      <scheme val="minor"/>
    </font>
    <font>
      <sz val="8"/>
      <color indexed="8"/>
      <name val="Calibri"/>
      <family val="2"/>
      <scheme val="minor"/>
    </font>
    <font>
      <b/>
      <sz val="8"/>
      <color rgb="FF800000"/>
      <name val="Calibri"/>
      <family val="2"/>
      <scheme val="minor"/>
    </font>
    <font>
      <sz val="8"/>
      <color rgb="FF800000"/>
      <name val="Calibri"/>
      <family val="2"/>
      <scheme val="minor"/>
    </font>
    <font>
      <sz val="8"/>
      <color rgb="FF0000FF"/>
      <name val="Calibri"/>
      <family val="2"/>
      <scheme val="minor"/>
    </font>
    <font>
      <b/>
      <sz val="10"/>
      <color rgb="FF00143C"/>
      <name val="Calibri"/>
      <family val="2"/>
      <scheme val="minor"/>
    </font>
    <font>
      <sz val="10"/>
      <color rgb="FF00143C"/>
      <name val="Calibri"/>
      <family val="2"/>
      <scheme val="minor"/>
    </font>
    <font>
      <sz val="10"/>
      <color rgb="FFBE0000"/>
      <name val="Calibri"/>
      <family val="2"/>
      <scheme val="minor"/>
    </font>
    <font>
      <b/>
      <sz val="8"/>
      <color rgb="FFBE0000"/>
      <name val="Calibri"/>
      <family val="2"/>
      <scheme val="minor"/>
    </font>
    <font>
      <sz val="8"/>
      <color rgb="FF506428"/>
      <name val="Calibri"/>
      <family val="2"/>
      <scheme val="minor"/>
    </font>
    <font>
      <sz val="8"/>
      <color rgb="FF828282"/>
      <name val="Calibri"/>
      <family val="2"/>
      <scheme val="minor"/>
    </font>
    <font>
      <sz val="8"/>
      <color rgb="FF006EBE"/>
      <name val="Calibri"/>
      <family val="2"/>
      <scheme val="minor"/>
    </font>
    <font>
      <sz val="8"/>
      <color rgb="FFE1690A"/>
      <name val="Calibri"/>
      <family val="2"/>
      <scheme val="minor"/>
    </font>
    <font>
      <sz val="8"/>
      <color rgb="FFBE0000"/>
      <name val="Calibri"/>
      <family val="2"/>
      <scheme val="minor"/>
    </font>
  </fonts>
  <fills count="10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rgb="FFFF7979"/>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43"/>
        <bgColor indexed="64"/>
      </patternFill>
    </fill>
    <fill>
      <patternFill patternType="solid">
        <fgColor indexed="45"/>
        <bgColor indexed="64"/>
      </patternFill>
    </fill>
    <fill>
      <patternFill patternType="solid">
        <fgColor theme="3" tint="0.59999389629810485"/>
        <bgColor indexed="64"/>
      </patternFill>
    </fill>
    <fill>
      <patternFill patternType="solid">
        <fgColor rgb="FFFFFF99"/>
        <bgColor indexed="64"/>
      </patternFill>
    </fill>
    <fill>
      <patternFill patternType="solid">
        <fgColor indexed="44"/>
        <bgColor indexed="64"/>
      </patternFill>
    </fill>
    <fill>
      <patternFill patternType="solid">
        <fgColor indexed="41"/>
        <bgColor indexed="64"/>
      </patternFill>
    </fill>
    <fill>
      <patternFill patternType="solid">
        <fgColor indexed="51"/>
        <bgColor indexed="64"/>
      </patternFill>
    </fill>
    <fill>
      <patternFill patternType="solid">
        <fgColor theme="9" tint="0.39997558519241921"/>
        <bgColor indexed="64"/>
      </patternFill>
    </fill>
    <fill>
      <patternFill patternType="solid">
        <fgColor theme="5"/>
        <bgColor indexed="64"/>
      </patternFill>
    </fill>
    <fill>
      <patternFill patternType="solid">
        <fgColor theme="7" tint="-0.49998474074526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rgb="FFC4D79B"/>
        <bgColor rgb="FF000000"/>
      </patternFill>
    </fill>
    <fill>
      <patternFill patternType="solid">
        <fgColor rgb="FFEBF1DE"/>
        <bgColor rgb="FF000000"/>
      </patternFill>
    </fill>
    <fill>
      <patternFill patternType="solid">
        <fgColor rgb="FFFDE9D9"/>
        <bgColor rgb="FF000000"/>
      </patternFill>
    </fill>
    <fill>
      <patternFill patternType="solid">
        <fgColor rgb="FFFFFFFF"/>
        <bgColor rgb="FF000000"/>
      </patternFill>
    </fill>
    <fill>
      <patternFill patternType="solid">
        <fgColor rgb="FF538DD5"/>
        <bgColor rgb="FF000000"/>
      </patternFill>
    </fill>
    <fill>
      <patternFill patternType="solid">
        <fgColor rgb="FFC5D9F1"/>
        <bgColor rgb="FF000000"/>
      </patternFill>
    </fill>
    <fill>
      <patternFill patternType="solid">
        <fgColor rgb="FFFFFF00"/>
        <bgColor rgb="FF000000"/>
      </patternFill>
    </fill>
    <fill>
      <patternFill patternType="solid">
        <fgColor rgb="FFE26B0A"/>
        <bgColor rgb="FF000000"/>
      </patternFill>
    </fill>
    <fill>
      <patternFill patternType="solid">
        <fgColor rgb="FFB1A0C7"/>
        <bgColor rgb="FF000000"/>
      </patternFill>
    </fill>
    <fill>
      <patternFill patternType="solid">
        <fgColor rgb="FFE4DFEC"/>
        <bgColor rgb="FF000000"/>
      </patternFill>
    </fill>
    <fill>
      <patternFill patternType="solid">
        <fgColor rgb="FF00B0F0"/>
        <bgColor rgb="FF000000"/>
      </patternFill>
    </fill>
    <fill>
      <patternFill patternType="solid">
        <fgColor rgb="FFDCE6F1"/>
        <bgColor rgb="FFFFFFFF"/>
      </patternFill>
    </fill>
    <fill>
      <patternFill patternType="solid">
        <fgColor rgb="FFFFFFFF"/>
        <bgColor rgb="FFFFFFCC"/>
      </patternFill>
    </fill>
    <fill>
      <patternFill patternType="solid">
        <fgColor theme="7" tint="0.79998168889431442"/>
        <bgColor indexed="64"/>
      </patternFill>
    </fill>
    <fill>
      <patternFill patternType="solid">
        <fgColor rgb="FFDAEEF3"/>
        <bgColor rgb="FF000000"/>
      </patternFill>
    </fill>
    <fill>
      <patternFill patternType="solid">
        <fgColor rgb="FFFF0000"/>
        <bgColor indexed="64"/>
      </patternFill>
    </fill>
    <fill>
      <patternFill patternType="solid">
        <fgColor rgb="FFF2DCDB"/>
        <bgColor rgb="FF000000"/>
      </patternFill>
    </fill>
    <fill>
      <patternFill patternType="solid">
        <fgColor rgb="FFDDD9C4"/>
        <bgColor rgb="FF000000"/>
      </patternFill>
    </fill>
    <fill>
      <patternFill patternType="solid">
        <fgColor rgb="FFDCE6F1"/>
        <bgColor rgb="FF000000"/>
      </patternFill>
    </fill>
    <fill>
      <patternFill patternType="solid">
        <fgColor rgb="FFC4BD97"/>
        <bgColor rgb="FF000000"/>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002060"/>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rgb="FF00B050"/>
        <bgColor indexed="64"/>
      </patternFill>
    </fill>
    <fill>
      <patternFill patternType="solid">
        <fgColor theme="8" tint="0.59999389629810485"/>
        <bgColor indexed="64"/>
      </patternFill>
    </fill>
    <fill>
      <patternFill patternType="solid">
        <fgColor theme="4"/>
        <bgColor theme="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1"/>
        <bgColor indexed="64"/>
      </patternFill>
    </fill>
    <fill>
      <patternFill patternType="solid">
        <fgColor rgb="FFC00000"/>
        <bgColor indexed="64"/>
      </patternFill>
    </fill>
    <fill>
      <patternFill patternType="solid">
        <fgColor theme="9" tint="-0.499984740745262"/>
        <bgColor indexed="64"/>
      </patternFill>
    </fill>
    <fill>
      <patternFill patternType="solid">
        <fgColor rgb="FFFFFFFF"/>
        <bgColor indexed="64"/>
      </patternFill>
    </fill>
    <fill>
      <patternFill patternType="solid">
        <fgColor rgb="FFDCEBF5"/>
        <bgColor indexed="64"/>
      </patternFill>
    </fill>
    <fill>
      <patternFill patternType="solid">
        <fgColor rgb="FFD7D7D7"/>
        <bgColor indexed="64"/>
      </patternFill>
    </fill>
    <fill>
      <patternFill patternType="solid">
        <fgColor rgb="FFF0F0F0"/>
        <bgColor indexed="64"/>
      </patternFill>
    </fill>
    <fill>
      <patternFill patternType="solid">
        <fgColor theme="8" tint="0.79998168889431442"/>
        <bgColor indexed="64"/>
      </patternFill>
    </fill>
  </fills>
  <borders count="1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0096D7"/>
      </top>
      <bottom/>
      <diagonal/>
    </border>
    <border>
      <left/>
      <right/>
      <top/>
      <bottom style="thin">
        <color rgb="FFBFBFBF"/>
      </bottom>
      <diagonal/>
    </border>
    <border>
      <left/>
      <right/>
      <top/>
      <bottom style="dashed">
        <color rgb="FFBFBFBF"/>
      </bottom>
      <diagonal/>
    </border>
    <border>
      <left/>
      <right/>
      <top/>
      <bottom style="thick">
        <color rgb="FF0096D7"/>
      </bottom>
      <diagonal/>
    </border>
    <border>
      <left/>
      <right/>
      <top style="medium">
        <color theme="4"/>
      </top>
      <bottom/>
      <diagonal/>
    </border>
    <border>
      <left/>
      <right/>
      <top/>
      <bottom style="dashed">
        <color theme="0" tint="-0.24994659260841701"/>
      </bottom>
      <diagonal/>
    </border>
    <border>
      <left/>
      <right/>
      <top/>
      <bottom style="thin">
        <color theme="0" tint="-0.249977111117893"/>
      </bottom>
      <diagonal/>
    </border>
    <border>
      <left/>
      <right/>
      <top style="thick">
        <color rgb="FF0096D7"/>
      </top>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thin">
        <color auto="1"/>
      </left>
      <right style="medium">
        <color auto="1"/>
      </right>
      <top style="medium">
        <color auto="1"/>
      </top>
      <bottom/>
      <diagonal/>
    </border>
    <border>
      <left style="medium">
        <color auto="1"/>
      </left>
      <right/>
      <top style="medium">
        <color auto="1"/>
      </top>
      <bottom/>
      <diagonal/>
    </border>
    <border>
      <left style="thin">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medium">
        <color auto="1"/>
      </right>
      <top/>
      <bottom style="thin">
        <color auto="1"/>
      </bottom>
      <diagonal/>
    </border>
    <border>
      <left style="medium">
        <color indexed="64"/>
      </left>
      <right/>
      <top/>
      <bottom style="thin">
        <color auto="1"/>
      </bottom>
      <diagonal/>
    </border>
    <border>
      <left style="thin">
        <color indexed="64"/>
      </left>
      <right style="thin">
        <color auto="1"/>
      </right>
      <top/>
      <bottom/>
      <diagonal/>
    </border>
    <border>
      <left style="medium">
        <color auto="1"/>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medium">
        <color auto="1"/>
      </bottom>
      <diagonal/>
    </border>
    <border>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style="medium">
        <color auto="1"/>
      </bottom>
      <diagonal/>
    </border>
    <border>
      <left/>
      <right/>
      <top style="medium">
        <color auto="1"/>
      </top>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style="medium">
        <color auto="1"/>
      </left>
      <right/>
      <top/>
      <bottom style="medium">
        <color auto="1"/>
      </bottom>
      <diagonal/>
    </border>
    <border>
      <left style="thin">
        <color auto="1"/>
      </left>
      <right style="medium">
        <color auto="1"/>
      </right>
      <top style="thin">
        <color auto="1"/>
      </top>
      <bottom/>
      <diagonal/>
    </border>
    <border>
      <left style="thin">
        <color auto="1"/>
      </left>
      <right/>
      <top style="thin">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style="medium">
        <color auto="1"/>
      </left>
      <right/>
      <top/>
      <bottom/>
      <diagonal/>
    </border>
    <border>
      <left style="medium">
        <color auto="1"/>
      </left>
      <right style="thin">
        <color auto="1"/>
      </right>
      <top/>
      <bottom/>
      <diagonal/>
    </border>
    <border>
      <left/>
      <right style="thin">
        <color auto="1"/>
      </right>
      <top/>
      <bottom/>
      <diagonal/>
    </border>
    <border>
      <left/>
      <right style="thin">
        <color auto="1"/>
      </right>
      <top style="thin">
        <color auto="1"/>
      </top>
      <bottom/>
      <diagonal/>
    </border>
    <border>
      <left style="medium">
        <color indexed="64"/>
      </left>
      <right/>
      <top style="thin">
        <color auto="1"/>
      </top>
      <bottom/>
      <diagonal/>
    </border>
    <border>
      <left/>
      <right style="medium">
        <color auto="1"/>
      </right>
      <top/>
      <bottom/>
      <diagonal/>
    </border>
    <border>
      <left style="thin">
        <color auto="1"/>
      </left>
      <right style="thin">
        <color auto="1"/>
      </right>
      <top style="medium">
        <color auto="1"/>
      </top>
      <bottom/>
      <diagonal/>
    </border>
    <border>
      <left/>
      <right style="medium">
        <color auto="1"/>
      </right>
      <top/>
      <bottom style="medium">
        <color auto="1"/>
      </bottom>
      <diagonal/>
    </border>
    <border>
      <left/>
      <right/>
      <top/>
      <bottom style="medium">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1" tint="4.9989318521683403E-2"/>
      </top>
      <bottom style="thin">
        <color auto="1"/>
      </bottom>
      <diagonal/>
    </border>
    <border>
      <left/>
      <right/>
      <top/>
      <bottom style="thin">
        <color auto="1"/>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bottom/>
      <diagonal/>
    </border>
    <border>
      <left/>
      <right style="thin">
        <color rgb="FFFFFFFF"/>
      </right>
      <top/>
      <bottom/>
      <diagonal/>
    </border>
    <border>
      <left/>
      <right/>
      <top/>
      <bottom style="thin">
        <color rgb="FFFFFFFF"/>
      </bottom>
      <diagonal/>
    </border>
    <border>
      <left/>
      <right style="thin">
        <color rgb="FFFFFFFF"/>
      </right>
      <top/>
      <bottom style="thin">
        <color rgb="FFFFFFFF"/>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right/>
      <top style="thin">
        <color rgb="FFA6A6A6"/>
      </top>
      <bottom/>
      <diagonal/>
    </border>
    <border>
      <left/>
      <right/>
      <top style="thin">
        <color auto="1"/>
      </top>
      <bottom style="thin">
        <color rgb="FFA6A6A6"/>
      </bottom>
      <diagonal/>
    </border>
    <border>
      <left/>
      <right/>
      <top style="thin">
        <color rgb="FF0D0D0D"/>
      </top>
      <bottom/>
      <diagonal/>
    </border>
    <border>
      <left/>
      <right/>
      <top style="thin">
        <color rgb="FFFFFFFF"/>
      </top>
      <bottom style="thin">
        <color auto="1"/>
      </bottom>
      <diagonal/>
    </border>
    <border>
      <left style="thin">
        <color rgb="FFFFFFFF"/>
      </left>
      <right style="thin">
        <color rgb="FFFFFFFF"/>
      </right>
      <top/>
      <bottom style="thin">
        <color rgb="FFFFFFFF"/>
      </bottom>
      <diagonal/>
    </border>
    <border>
      <left style="thin">
        <color rgb="FFFFFFFF"/>
      </left>
      <right style="thin">
        <color rgb="FFFFFFFF"/>
      </right>
      <top/>
      <bottom/>
      <diagonal/>
    </border>
    <border>
      <left/>
      <right style="thin">
        <color theme="0" tint="-0.34998626667073579"/>
      </right>
      <top style="thin">
        <color theme="1" tint="4.9989318521683403E-2"/>
      </top>
      <bottom style="thin">
        <color auto="1"/>
      </bottom>
      <diagonal/>
    </border>
    <border>
      <left/>
      <right/>
      <top/>
      <bottom style="thin">
        <color theme="0" tint="-0.34998626667073579"/>
      </bottom>
      <diagonal/>
    </border>
    <border>
      <left/>
      <right/>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medium">
        <color auto="1"/>
      </left>
      <right style="medium">
        <color auto="1"/>
      </right>
      <top style="medium">
        <color auto="1"/>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top style="hair">
        <color auto="1"/>
      </top>
      <bottom style="hair">
        <color auto="1"/>
      </bottom>
      <diagonal/>
    </border>
    <border>
      <left/>
      <right/>
      <top style="thin">
        <color indexed="64"/>
      </top>
      <bottom style="hair">
        <color indexed="64"/>
      </bottom>
      <diagonal/>
    </border>
    <border>
      <left/>
      <right/>
      <top style="hair">
        <color indexed="64"/>
      </top>
      <bottom style="thin">
        <color indexed="64"/>
      </bottom>
      <diagonal/>
    </border>
    <border>
      <left/>
      <right style="thin">
        <color theme="4" tint="0.39997558519241921"/>
      </right>
      <top style="thin">
        <color theme="4" tint="0.39997558519241921"/>
      </top>
      <bottom/>
      <diagonal/>
    </border>
    <border>
      <left style="thin">
        <color theme="4" tint="0.39997558519241921"/>
      </left>
      <right/>
      <top style="thin">
        <color rgb="FF000000"/>
      </top>
      <bottom/>
      <diagonal/>
    </border>
    <border>
      <left/>
      <right/>
      <top style="thin">
        <color rgb="FF000000"/>
      </top>
      <bottom/>
      <diagonal/>
    </border>
    <border>
      <left style="thin">
        <color theme="4" tint="0.39997558519241921"/>
      </left>
      <right/>
      <top style="thin">
        <color auto="1"/>
      </top>
      <bottom style="thin">
        <color theme="4" tint="0.39997558519241921"/>
      </bottom>
      <diagonal/>
    </border>
    <border>
      <left/>
      <right/>
      <top style="thin">
        <color auto="1"/>
      </top>
      <bottom style="thin">
        <color theme="4" tint="0.39997558519241921"/>
      </bottom>
      <diagonal/>
    </border>
    <border>
      <left/>
      <right style="thin">
        <color theme="4" tint="0.39997558519241921"/>
      </right>
      <top style="thin">
        <color auto="1"/>
      </top>
      <bottom style="thin">
        <color theme="4" tint="0.39997558519241921"/>
      </bottom>
      <diagonal/>
    </border>
    <border>
      <left style="thin">
        <color theme="4" tint="0.39997558519241921"/>
      </left>
      <right/>
      <top style="thin">
        <color auto="1"/>
      </top>
      <bottom style="thin">
        <color rgb="FF0D0D0D"/>
      </bottom>
      <diagonal/>
    </border>
    <border>
      <left/>
      <right/>
      <top style="thin">
        <color auto="1"/>
      </top>
      <bottom style="thin">
        <color rgb="FF0D0D0D"/>
      </bottom>
      <diagonal/>
    </border>
    <border>
      <left/>
      <right style="thin">
        <color theme="4" tint="0.39997558519241921"/>
      </right>
      <top style="thin">
        <color auto="1"/>
      </top>
      <bottom style="thin">
        <color rgb="FF0D0D0D"/>
      </bottom>
      <diagonal/>
    </border>
    <border>
      <left style="thin">
        <color theme="4" tint="0.39997558519241921"/>
      </left>
      <right/>
      <top style="thin">
        <color theme="4" tint="0.39997558519241921"/>
      </top>
      <bottom style="thin">
        <color auto="1"/>
      </bottom>
      <diagonal/>
    </border>
    <border>
      <left/>
      <right/>
      <top style="thin">
        <color theme="4" tint="0.39997558519241921"/>
      </top>
      <bottom style="thin">
        <color auto="1"/>
      </bottom>
      <diagonal/>
    </border>
    <border>
      <left/>
      <right style="thin">
        <color theme="4" tint="0.39997558519241921"/>
      </right>
      <top style="thin">
        <color theme="4" tint="0.39997558519241921"/>
      </top>
      <bottom style="thin">
        <color auto="1"/>
      </bottom>
      <diagonal/>
    </border>
    <border>
      <left/>
      <right style="thin">
        <color theme="4" tint="0.39997558519241921"/>
      </right>
      <top style="thin">
        <color rgb="FF000000"/>
      </top>
      <bottom/>
      <diagonal/>
    </border>
    <border>
      <left style="thin">
        <color theme="4" tint="0.39997558519241921"/>
      </left>
      <right/>
      <top style="thin">
        <color auto="1"/>
      </top>
      <bottom/>
      <diagonal/>
    </border>
    <border>
      <left/>
      <right style="thin">
        <color theme="4" tint="0.39997558519241921"/>
      </right>
      <top style="thin">
        <color auto="1"/>
      </top>
      <bottom/>
      <diagonal/>
    </border>
    <border>
      <left style="thin">
        <color theme="4" tint="0.39997558519241921"/>
      </left>
      <right/>
      <top style="thin">
        <color rgb="FF0D0D0D"/>
      </top>
      <bottom/>
      <diagonal/>
    </border>
    <border>
      <left/>
      <right style="thin">
        <color theme="4" tint="0.39997558519241921"/>
      </right>
      <top style="thin">
        <color rgb="FF0D0D0D"/>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tint="-0.34998626667073579"/>
      </bottom>
      <diagonal/>
    </border>
    <border>
      <left/>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0"/>
      </left>
      <right style="thin">
        <color theme="0"/>
      </right>
      <top style="thin">
        <color auto="1"/>
      </top>
      <bottom style="thin">
        <color auto="1"/>
      </bottom>
      <diagonal/>
    </border>
    <border>
      <left/>
      <right/>
      <top style="medium">
        <color theme="1"/>
      </top>
      <bottom style="medium">
        <color theme="1"/>
      </bottom>
      <diagonal/>
    </border>
    <border>
      <left style="thin">
        <color theme="0"/>
      </left>
      <right style="thin">
        <color theme="0"/>
      </right>
      <top style="medium">
        <color theme="1"/>
      </top>
      <bottom style="medium">
        <color theme="1"/>
      </bottom>
      <diagonal/>
    </border>
    <border>
      <left style="thin">
        <color theme="0"/>
      </left>
      <right style="thin">
        <color theme="0"/>
      </right>
      <top style="medium">
        <color auto="1"/>
      </top>
      <bottom style="medium">
        <color auto="1"/>
      </bottom>
      <diagonal/>
    </border>
    <border>
      <left/>
      <right style="thick">
        <color indexed="64"/>
      </right>
      <top/>
      <bottom/>
      <diagonal/>
    </border>
    <border>
      <left style="thick">
        <color indexed="64"/>
      </left>
      <right style="thick">
        <color indexed="64"/>
      </right>
      <top/>
      <bottom/>
      <diagonal/>
    </border>
  </borders>
  <cellStyleXfs count="89">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applyNumberFormat="0" applyFill="0" applyBorder="0" applyAlignment="0" applyProtection="0"/>
    <xf numFmtId="0" fontId="18" fillId="0" borderId="0"/>
    <xf numFmtId="0" fontId="22" fillId="0" borderId="0"/>
    <xf numFmtId="0" fontId="22" fillId="0" borderId="10">
      <alignment wrapText="1"/>
    </xf>
    <xf numFmtId="0" fontId="24" fillId="0" borderId="11">
      <alignment wrapText="1"/>
    </xf>
    <xf numFmtId="0" fontId="22" fillId="0" borderId="12">
      <alignment wrapText="1"/>
    </xf>
    <xf numFmtId="0" fontId="24" fillId="0" borderId="13">
      <alignment wrapText="1"/>
    </xf>
    <xf numFmtId="0" fontId="22" fillId="0" borderId="0"/>
    <xf numFmtId="0" fontId="27" fillId="0" borderId="0">
      <alignment horizontal="left"/>
    </xf>
    <xf numFmtId="0" fontId="31" fillId="0" borderId="0" applyNumberFormat="0" applyFill="0" applyBorder="0" applyAlignment="0" applyProtection="0"/>
    <xf numFmtId="0" fontId="31" fillId="0" borderId="14" applyNumberFormat="0" applyProtection="0">
      <alignment vertical="top" wrapText="1"/>
    </xf>
    <xf numFmtId="0" fontId="31" fillId="0" borderId="15" applyNumberFormat="0" applyFont="0" applyProtection="0">
      <alignment wrapText="1"/>
    </xf>
    <xf numFmtId="0" fontId="32" fillId="0" borderId="16" applyNumberFormat="0" applyProtection="0">
      <alignment wrapText="1"/>
    </xf>
    <xf numFmtId="0" fontId="33" fillId="0" borderId="0" applyNumberFormat="0" applyProtection="0">
      <alignment horizontal="left"/>
    </xf>
    <xf numFmtId="0" fontId="34" fillId="0" borderId="0"/>
    <xf numFmtId="43" fontId="34" fillId="0" borderId="0" applyFont="0" applyFill="0" applyBorder="0" applyAlignment="0" applyProtection="0"/>
    <xf numFmtId="0" fontId="34" fillId="0" borderId="0"/>
    <xf numFmtId="0" fontId="52" fillId="0" borderId="0" applyNumberFormat="0" applyFill="0" applyBorder="0" applyAlignment="0" applyProtection="0">
      <alignment vertical="top"/>
      <protection locked="0"/>
    </xf>
    <xf numFmtId="9" fontId="34"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69" fillId="0" borderId="0"/>
    <xf numFmtId="0" fontId="71" fillId="0" borderId="0" applyNumberFormat="0" applyFill="0" applyBorder="0" applyAlignment="0" applyProtection="0">
      <alignment vertical="top"/>
      <protection locked="0"/>
    </xf>
    <xf numFmtId="178" fontId="73" fillId="0" borderId="0" applyFont="0" applyFill="0" applyBorder="0" applyAlignment="0" applyProtection="0"/>
    <xf numFmtId="180" fontId="69" fillId="0" borderId="0" applyFont="0" applyFill="0" applyBorder="0" applyAlignment="0" applyProtection="0"/>
    <xf numFmtId="0" fontId="67" fillId="30" borderId="0" applyNumberFormat="0" applyBorder="0" applyAlignment="0" applyProtection="0"/>
    <xf numFmtId="0" fontId="67" fillId="30" borderId="0" applyNumberFormat="0" applyBorder="0" applyAlignment="0" applyProtection="0"/>
    <xf numFmtId="191" fontId="88" fillId="0" borderId="0" applyNumberFormat="0" applyFill="0" applyBorder="0" applyAlignment="0" applyProtection="0"/>
    <xf numFmtId="0" fontId="67" fillId="75" borderId="0" applyNumberFormat="0" applyBorder="0" applyAlignment="0" applyProtection="0"/>
    <xf numFmtId="0" fontId="112" fillId="0" borderId="0"/>
    <xf numFmtId="0" fontId="1" fillId="0" borderId="0"/>
    <xf numFmtId="0" fontId="1" fillId="0" borderId="0"/>
    <xf numFmtId="0" fontId="69" fillId="0" borderId="0"/>
    <xf numFmtId="180" fontId="69" fillId="0" borderId="0" applyFont="0" applyFill="0" applyBorder="0" applyAlignment="0" applyProtection="0"/>
    <xf numFmtId="178" fontId="73" fillId="0" borderId="0" applyFont="0" applyFill="0" applyBorder="0" applyAlignment="0" applyProtection="0"/>
    <xf numFmtId="194" fontId="67" fillId="0" borderId="0" applyFont="0" applyFill="0" applyBorder="0" applyAlignment="0" applyProtection="0"/>
    <xf numFmtId="0" fontId="35" fillId="0" borderId="0"/>
    <xf numFmtId="0" fontId="67" fillId="30" borderId="0" applyNumberFormat="0" applyBorder="0" applyAlignment="0" applyProtection="0"/>
    <xf numFmtId="0" fontId="1" fillId="0" borderId="0"/>
    <xf numFmtId="195" fontId="35" fillId="0" borderId="0"/>
    <xf numFmtId="0" fontId="137" fillId="0" borderId="0"/>
    <xf numFmtId="0" fontId="140" fillId="0" borderId="0"/>
    <xf numFmtId="0" fontId="1" fillId="0" borderId="0"/>
    <xf numFmtId="0" fontId="35" fillId="0" borderId="0"/>
    <xf numFmtId="178" fontId="73" fillId="0" borderId="0" applyFont="0" applyFill="0" applyBorder="0" applyAlignment="0" applyProtection="0"/>
    <xf numFmtId="9" fontId="1" fillId="0" borderId="0"/>
  </cellStyleXfs>
  <cellXfs count="2231">
    <xf numFmtId="0" fontId="0" fillId="0" borderId="0" xfId="0"/>
    <xf numFmtId="0" fontId="16" fillId="33" borderId="0" xfId="0" applyFont="1" applyFill="1"/>
    <xf numFmtId="0" fontId="0" fillId="33" borderId="0" xfId="0" applyFill="1"/>
    <xf numFmtId="0" fontId="16" fillId="0" borderId="0" xfId="0" applyFont="1"/>
    <xf numFmtId="0" fontId="16" fillId="34" borderId="0" xfId="0" applyFont="1" applyFill="1"/>
    <xf numFmtId="0" fontId="0" fillId="0" borderId="0" xfId="0" applyAlignment="1">
      <alignment wrapText="1"/>
    </xf>
    <xf numFmtId="9" fontId="0" fillId="0" borderId="0" xfId="0" applyNumberFormat="1"/>
    <xf numFmtId="164" fontId="0" fillId="0" borderId="0" xfId="0" applyNumberFormat="1"/>
    <xf numFmtId="0" fontId="16" fillId="36" borderId="0" xfId="0" applyFont="1" applyFill="1"/>
    <xf numFmtId="0" fontId="0" fillId="36" borderId="0" xfId="0" applyFill="1"/>
    <xf numFmtId="0" fontId="20" fillId="0" borderId="0" xfId="43"/>
    <xf numFmtId="1" fontId="0" fillId="0" borderId="0" xfId="0" applyNumberFormat="1"/>
    <xf numFmtId="0" fontId="0" fillId="0" borderId="0" xfId="0" applyAlignment="1">
      <alignment horizontal="left" wrapText="1"/>
    </xf>
    <xf numFmtId="0" fontId="16" fillId="0" borderId="0" xfId="0" applyFont="1" applyAlignment="1">
      <alignment horizontal="right"/>
    </xf>
    <xf numFmtId="0" fontId="16" fillId="0" borderId="0" xfId="0" applyFont="1" applyAlignment="1">
      <alignment horizontal="center"/>
    </xf>
    <xf numFmtId="0" fontId="0" fillId="0" borderId="0" xfId="0" applyAlignment="1">
      <alignment horizontal="center"/>
    </xf>
    <xf numFmtId="0" fontId="0" fillId="0" borderId="0" xfId="0" applyAlignment="1">
      <alignment horizontal="left"/>
    </xf>
    <xf numFmtId="0" fontId="21" fillId="0" borderId="0" xfId="0" applyFont="1"/>
    <xf numFmtId="0" fontId="16" fillId="37" borderId="0" xfId="0" applyFont="1" applyFill="1"/>
    <xf numFmtId="0" fontId="0" fillId="37" borderId="0" xfId="0" applyFill="1"/>
    <xf numFmtId="0" fontId="19" fillId="0" borderId="0" xfId="0" applyFont="1"/>
    <xf numFmtId="166" fontId="0" fillId="0" borderId="0" xfId="0" applyNumberFormat="1"/>
    <xf numFmtId="9" fontId="0" fillId="37" borderId="0" xfId="0" applyNumberFormat="1" applyFill="1"/>
    <xf numFmtId="0" fontId="0" fillId="34" borderId="0" xfId="0" applyFill="1"/>
    <xf numFmtId="0" fontId="16" fillId="38" borderId="0" xfId="0" applyFont="1" applyFill="1"/>
    <xf numFmtId="0" fontId="0" fillId="38" borderId="0" xfId="0" applyFill="1"/>
    <xf numFmtId="0" fontId="0" fillId="38" borderId="0" xfId="0" applyFill="1" applyAlignment="1">
      <alignment horizontal="center"/>
    </xf>
    <xf numFmtId="0" fontId="0" fillId="0" borderId="0" xfId="0" applyAlignment="1">
      <alignment horizontal="right"/>
    </xf>
    <xf numFmtId="0" fontId="22" fillId="0" borderId="0" xfId="45"/>
    <xf numFmtId="0" fontId="23" fillId="0" borderId="0" xfId="45" applyFont="1"/>
    <xf numFmtId="0" fontId="22" fillId="0" borderId="10" xfId="45" applyBorder="1"/>
    <xf numFmtId="165" fontId="25" fillId="0" borderId="11" xfId="47" applyNumberFormat="1" applyFont="1" applyAlignment="1">
      <alignment horizontal="right" wrapText="1"/>
    </xf>
    <xf numFmtId="167" fontId="25" fillId="0" borderId="11" xfId="47" applyNumberFormat="1" applyFont="1" applyAlignment="1">
      <alignment horizontal="right" wrapText="1"/>
    </xf>
    <xf numFmtId="0" fontId="25" fillId="0" borderId="11" xfId="47" applyFont="1">
      <alignment wrapText="1"/>
    </xf>
    <xf numFmtId="0" fontId="26" fillId="0" borderId="0" xfId="45" applyFont="1"/>
    <xf numFmtId="165" fontId="23" fillId="0" borderId="12" xfId="48" applyNumberFormat="1" applyFont="1" applyAlignment="1">
      <alignment horizontal="right" wrapText="1"/>
    </xf>
    <xf numFmtId="167" fontId="23" fillId="0" borderId="12" xfId="48" applyNumberFormat="1" applyFont="1" applyAlignment="1">
      <alignment horizontal="right" wrapText="1"/>
    </xf>
    <xf numFmtId="0" fontId="23" fillId="0" borderId="12" xfId="48" applyFont="1">
      <alignment wrapText="1"/>
    </xf>
    <xf numFmtId="4" fontId="23" fillId="0" borderId="12" xfId="48" applyNumberFormat="1" applyFont="1" applyAlignment="1">
      <alignment horizontal="right" wrapText="1"/>
    </xf>
    <xf numFmtId="4" fontId="25" fillId="0" borderId="11" xfId="47" applyNumberFormat="1" applyFont="1" applyAlignment="1">
      <alignment horizontal="right" wrapText="1"/>
    </xf>
    <xf numFmtId="3" fontId="25" fillId="0" borderId="11" xfId="47" applyNumberFormat="1" applyFont="1" applyAlignment="1">
      <alignment horizontal="right" wrapText="1"/>
    </xf>
    <xf numFmtId="0" fontId="25" fillId="0" borderId="13" xfId="49" applyFont="1" applyAlignment="1">
      <alignment horizontal="right"/>
    </xf>
    <xf numFmtId="0" fontId="25" fillId="0" borderId="13" xfId="49" applyFont="1">
      <alignment wrapText="1"/>
    </xf>
    <xf numFmtId="0" fontId="25" fillId="0" borderId="0" xfId="45" applyFont="1" applyAlignment="1">
      <alignment horizontal="right"/>
    </xf>
    <xf numFmtId="0" fontId="23" fillId="0" borderId="0" xfId="45" applyFont="1" applyAlignment="1">
      <alignment horizontal="left"/>
    </xf>
    <xf numFmtId="0" fontId="23" fillId="0" borderId="0" xfId="50" applyFont="1"/>
    <xf numFmtId="0" fontId="28" fillId="0" borderId="0" xfId="51" applyFont="1">
      <alignment horizontal="left"/>
    </xf>
    <xf numFmtId="0" fontId="29" fillId="0" borderId="0" xfId="45" applyFont="1"/>
    <xf numFmtId="0" fontId="30" fillId="0" borderId="0" xfId="45" applyFont="1"/>
    <xf numFmtId="0" fontId="24" fillId="0" borderId="13" xfId="49">
      <alignment wrapText="1"/>
    </xf>
    <xf numFmtId="0" fontId="22" fillId="0" borderId="0" xfId="50"/>
    <xf numFmtId="0" fontId="23" fillId="0" borderId="10" xfId="45" applyFont="1" applyBorder="1"/>
    <xf numFmtId="0" fontId="23" fillId="0" borderId="10" xfId="46" applyFont="1" applyAlignment="1"/>
    <xf numFmtId="3" fontId="23" fillId="0" borderId="12" xfId="48" applyNumberFormat="1" applyFont="1" applyAlignment="1">
      <alignment horizontal="right" wrapText="1"/>
    </xf>
    <xf numFmtId="0" fontId="23" fillId="0" borderId="10" xfId="46" applyFont="1">
      <alignment wrapText="1"/>
    </xf>
    <xf numFmtId="0" fontId="16" fillId="39" borderId="0" xfId="0" applyFont="1" applyFill="1"/>
    <xf numFmtId="0" fontId="0" fillId="39" borderId="0" xfId="0" applyFill="1"/>
    <xf numFmtId="0" fontId="16" fillId="0" borderId="0" xfId="0" applyFont="1" applyAlignment="1">
      <alignment wrapText="1"/>
    </xf>
    <xf numFmtId="0" fontId="16" fillId="0" borderId="0" xfId="0" applyFont="1" applyAlignment="1">
      <alignment horizontal="right" wrapText="1"/>
    </xf>
    <xf numFmtId="0" fontId="0" fillId="35" borderId="0" xfId="0" applyFill="1" applyAlignment="1">
      <alignment horizontal="center"/>
    </xf>
    <xf numFmtId="0" fontId="31" fillId="0" borderId="0" xfId="52"/>
    <xf numFmtId="49" fontId="31" fillId="0" borderId="0" xfId="52" applyNumberFormat="1" applyAlignment="1" applyProtection="1">
      <alignment horizontal="left"/>
    </xf>
    <xf numFmtId="0" fontId="31" fillId="0" borderId="0" xfId="52" applyAlignment="1"/>
    <xf numFmtId="49" fontId="31" fillId="0" borderId="0" xfId="52" applyNumberFormat="1" applyAlignment="1" applyProtection="1"/>
    <xf numFmtId="49" fontId="31" fillId="0" borderId="0" xfId="52" applyNumberFormat="1" applyAlignment="1"/>
    <xf numFmtId="0" fontId="31" fillId="0" borderId="0" xfId="52" applyBorder="1"/>
    <xf numFmtId="0" fontId="31" fillId="0" borderId="0" xfId="52" applyBorder="1" applyAlignment="1"/>
    <xf numFmtId="49" fontId="31" fillId="0" borderId="0" xfId="52" applyNumberFormat="1" applyBorder="1" applyAlignment="1"/>
    <xf numFmtId="3" fontId="31" fillId="0" borderId="15" xfId="54" applyNumberFormat="1" applyAlignment="1">
      <alignment horizontal="right" wrapText="1"/>
    </xf>
    <xf numFmtId="49" fontId="32" fillId="0" borderId="15" xfId="54" applyNumberFormat="1" applyFont="1" applyAlignment="1" applyProtection="1">
      <alignment horizontal="left" wrapText="1"/>
    </xf>
    <xf numFmtId="0" fontId="31" fillId="0" borderId="15" xfId="54" applyAlignment="1">
      <alignment horizontal="left" wrapText="1"/>
    </xf>
    <xf numFmtId="49" fontId="31" fillId="0" borderId="15" xfId="54" applyNumberFormat="1" applyAlignment="1" applyProtection="1">
      <alignment horizontal="left" wrapText="1"/>
    </xf>
    <xf numFmtId="49" fontId="31" fillId="0" borderId="15" xfId="54" applyNumberFormat="1" applyAlignment="1">
      <alignment horizontal="left" wrapText="1"/>
    </xf>
    <xf numFmtId="0" fontId="32" fillId="0" borderId="0" xfId="52" applyFont="1"/>
    <xf numFmtId="3" fontId="32" fillId="0" borderId="15" xfId="54" applyNumberFormat="1" applyFont="1" applyAlignment="1">
      <alignment horizontal="right" wrapText="1"/>
    </xf>
    <xf numFmtId="49" fontId="32" fillId="0" borderId="15" xfId="54" applyNumberFormat="1" applyFont="1" applyAlignment="1">
      <alignment horizontal="left" wrapText="1"/>
    </xf>
    <xf numFmtId="49" fontId="31" fillId="0" borderId="15" xfId="54" applyNumberFormat="1" applyFont="1" applyAlignment="1" applyProtection="1">
      <alignment horizontal="left" wrapText="1"/>
    </xf>
    <xf numFmtId="0" fontId="31" fillId="0" borderId="15" xfId="54" applyAlignment="1">
      <alignment horizontal="right" wrapText="1"/>
    </xf>
    <xf numFmtId="0" fontId="32" fillId="0" borderId="15" xfId="54" applyFont="1" applyAlignment="1">
      <alignment horizontal="right" wrapText="1"/>
    </xf>
    <xf numFmtId="0" fontId="31" fillId="0" borderId="15" xfId="54">
      <alignment wrapText="1"/>
    </xf>
    <xf numFmtId="49" fontId="31" fillId="0" borderId="15" xfId="54" applyNumberFormat="1" applyProtection="1">
      <alignment wrapText="1"/>
    </xf>
    <xf numFmtId="0" fontId="31" fillId="0" borderId="15" xfId="54" applyProtection="1">
      <alignment wrapText="1"/>
    </xf>
    <xf numFmtId="0" fontId="32" fillId="0" borderId="16" xfId="55" applyAlignment="1"/>
    <xf numFmtId="49" fontId="32" fillId="0" borderId="16" xfId="55" applyNumberFormat="1" applyAlignment="1" applyProtection="1"/>
    <xf numFmtId="0" fontId="32" fillId="0" borderId="16" xfId="55" applyAlignment="1" applyProtection="1"/>
    <xf numFmtId="0" fontId="31" fillId="0" borderId="17" xfId="52" applyBorder="1"/>
    <xf numFmtId="0" fontId="31" fillId="0" borderId="17" xfId="52" applyBorder="1" applyProtection="1">
      <protection locked="0"/>
    </xf>
    <xf numFmtId="49" fontId="31" fillId="0" borderId="17" xfId="52" applyNumberFormat="1" applyBorder="1"/>
    <xf numFmtId="0" fontId="32" fillId="0" borderId="0" xfId="52" applyFont="1" applyAlignment="1" applyProtection="1">
      <alignment horizontal="right"/>
    </xf>
    <xf numFmtId="0" fontId="32" fillId="0" borderId="0" xfId="52" applyFont="1" applyAlignment="1" applyProtection="1">
      <alignment horizontal="left"/>
    </xf>
    <xf numFmtId="0" fontId="32" fillId="0" borderId="0" xfId="52" applyFont="1" applyAlignment="1">
      <alignment horizontal="right"/>
    </xf>
    <xf numFmtId="0" fontId="31" fillId="0" borderId="0" xfId="52" applyAlignment="1" applyProtection="1">
      <alignment horizontal="left"/>
    </xf>
    <xf numFmtId="0" fontId="32" fillId="0" borderId="0" xfId="52" applyFont="1" applyAlignment="1">
      <alignment horizontal="left" indent="2"/>
    </xf>
    <xf numFmtId="0" fontId="32" fillId="0" borderId="0" xfId="52" applyFont="1" applyAlignment="1" applyProtection="1">
      <alignment horizontal="left" indent="2"/>
    </xf>
    <xf numFmtId="0" fontId="33" fillId="0" borderId="0" xfId="56">
      <alignment horizontal="left"/>
    </xf>
    <xf numFmtId="0" fontId="33" fillId="0" borderId="0" xfId="56" applyProtection="1">
      <alignment horizontal="left"/>
    </xf>
    <xf numFmtId="0" fontId="16" fillId="40" borderId="0" xfId="0" applyFont="1" applyFill="1" applyAlignment="1">
      <alignment horizontal="left" wrapText="1"/>
    </xf>
    <xf numFmtId="165" fontId="0" fillId="0" borderId="0" xfId="1" applyNumberFormat="1" applyFont="1"/>
    <xf numFmtId="4" fontId="19" fillId="0" borderId="0" xfId="0" applyNumberFormat="1" applyFont="1"/>
    <xf numFmtId="165" fontId="0" fillId="41" borderId="0" xfId="1" applyNumberFormat="1" applyFont="1" applyFill="1"/>
    <xf numFmtId="0" fontId="0" fillId="43" borderId="0" xfId="0" applyFill="1"/>
    <xf numFmtId="0" fontId="35" fillId="0" borderId="0" xfId="57" applyFont="1"/>
    <xf numFmtId="0" fontId="35" fillId="0" borderId="0" xfId="57" applyFont="1" applyAlignment="1">
      <alignment horizontal="center"/>
    </xf>
    <xf numFmtId="0" fontId="35" fillId="0" borderId="0" xfId="57" applyFont="1" applyAlignment="1">
      <alignment vertical="center"/>
    </xf>
    <xf numFmtId="0" fontId="35" fillId="44" borderId="0" xfId="57" applyFont="1" applyFill="1" applyAlignment="1">
      <alignment vertical="center"/>
    </xf>
    <xf numFmtId="43" fontId="35" fillId="44" borderId="0" xfId="57" applyNumberFormat="1" applyFont="1" applyFill="1"/>
    <xf numFmtId="0" fontId="36" fillId="45" borderId="0" xfId="57" applyFont="1" applyFill="1" applyAlignment="1">
      <alignment horizontal="left" vertical="top" wrapText="1"/>
    </xf>
    <xf numFmtId="0" fontId="35" fillId="44" borderId="0" xfId="57" applyFont="1" applyFill="1" applyAlignment="1">
      <alignment horizontal="center" vertical="center"/>
    </xf>
    <xf numFmtId="0" fontId="35" fillId="44" borderId="0" xfId="57" applyFont="1" applyFill="1"/>
    <xf numFmtId="168" fontId="35" fillId="44" borderId="0" xfId="57" applyNumberFormat="1" applyFont="1" applyFill="1"/>
    <xf numFmtId="0" fontId="35" fillId="44" borderId="18" xfId="57" applyFont="1" applyFill="1" applyBorder="1" applyAlignment="1">
      <alignment horizontal="left"/>
    </xf>
    <xf numFmtId="0" fontId="35" fillId="44" borderId="19" xfId="57" applyFont="1" applyFill="1" applyBorder="1" applyAlignment="1">
      <alignment horizontal="left"/>
    </xf>
    <xf numFmtId="0" fontId="35" fillId="44" borderId="20" xfId="57" applyFont="1" applyFill="1" applyBorder="1" applyAlignment="1">
      <alignment horizontal="left"/>
    </xf>
    <xf numFmtId="169" fontId="35" fillId="44" borderId="21" xfId="58" applyNumberFormat="1" applyFont="1" applyFill="1" applyBorder="1" applyAlignment="1"/>
    <xf numFmtId="0" fontId="35" fillId="44" borderId="22" xfId="57" applyFont="1" applyFill="1" applyBorder="1"/>
    <xf numFmtId="0" fontId="35" fillId="44" borderId="23" xfId="57" applyFont="1" applyFill="1" applyBorder="1" applyAlignment="1">
      <alignment horizontal="left"/>
    </xf>
    <xf numFmtId="0" fontId="35" fillId="44" borderId="24" xfId="57" applyFont="1" applyFill="1" applyBorder="1" applyAlignment="1">
      <alignment horizontal="left"/>
    </xf>
    <xf numFmtId="0" fontId="35" fillId="44" borderId="25" xfId="57" applyFont="1" applyFill="1" applyBorder="1" applyAlignment="1">
      <alignment horizontal="left"/>
    </xf>
    <xf numFmtId="169" fontId="35" fillId="44" borderId="26" xfId="58" applyNumberFormat="1" applyFont="1" applyFill="1" applyBorder="1" applyAlignment="1"/>
    <xf numFmtId="0" fontId="35" fillId="44" borderId="27" xfId="57" applyFont="1" applyFill="1" applyBorder="1"/>
    <xf numFmtId="0" fontId="35" fillId="44" borderId="27" xfId="57" applyFont="1" applyFill="1" applyBorder="1" applyAlignment="1">
      <alignment horizontal="left"/>
    </xf>
    <xf numFmtId="0" fontId="35" fillId="45" borderId="23" xfId="57" applyFont="1" applyFill="1" applyBorder="1" applyAlignment="1">
      <alignment horizontal="left"/>
    </xf>
    <xf numFmtId="0" fontId="35" fillId="45" borderId="24" xfId="57" applyFont="1" applyFill="1" applyBorder="1" applyAlignment="1">
      <alignment horizontal="left"/>
    </xf>
    <xf numFmtId="0" fontId="35" fillId="45" borderId="25" xfId="57" applyFont="1" applyFill="1" applyBorder="1" applyAlignment="1">
      <alignment horizontal="left"/>
    </xf>
    <xf numFmtId="169" fontId="35" fillId="45" borderId="26" xfId="58" applyNumberFormat="1" applyFont="1" applyFill="1" applyBorder="1" applyAlignment="1"/>
    <xf numFmtId="0" fontId="35" fillId="44" borderId="28" xfId="57" applyFont="1" applyFill="1" applyBorder="1" applyAlignment="1">
      <alignment horizontal="left"/>
    </xf>
    <xf numFmtId="0" fontId="35" fillId="44" borderId="29" xfId="57" applyFont="1" applyFill="1" applyBorder="1" applyAlignment="1">
      <alignment horizontal="left"/>
    </xf>
    <xf numFmtId="0" fontId="35" fillId="44" borderId="30" xfId="57" applyFont="1" applyFill="1" applyBorder="1" applyAlignment="1">
      <alignment horizontal="left"/>
    </xf>
    <xf numFmtId="169" fontId="35" fillId="44" borderId="31" xfId="58" applyNumberFormat="1" applyFont="1" applyFill="1" applyBorder="1" applyAlignment="1"/>
    <xf numFmtId="0" fontId="35" fillId="44" borderId="32" xfId="57" applyFont="1" applyFill="1" applyBorder="1"/>
    <xf numFmtId="0" fontId="38" fillId="44" borderId="0" xfId="57" applyFont="1" applyFill="1"/>
    <xf numFmtId="0" fontId="39" fillId="46" borderId="33" xfId="57" applyFont="1" applyFill="1" applyBorder="1" applyAlignment="1">
      <alignment horizontal="center" vertical="top" wrapText="1"/>
    </xf>
    <xf numFmtId="0" fontId="39" fillId="46" borderId="34" xfId="57" applyFont="1" applyFill="1" applyBorder="1" applyAlignment="1">
      <alignment horizontal="center" vertical="top" wrapText="1"/>
    </xf>
    <xf numFmtId="0" fontId="39" fillId="46" borderId="35" xfId="57" applyFont="1" applyFill="1" applyBorder="1" applyAlignment="1">
      <alignment horizontal="center" vertical="top" wrapText="1"/>
    </xf>
    <xf numFmtId="0" fontId="39" fillId="46" borderId="36" xfId="57" applyFont="1" applyFill="1" applyBorder="1" applyAlignment="1">
      <alignment horizontal="center" vertical="top" wrapText="1"/>
    </xf>
    <xf numFmtId="0" fontId="39" fillId="46" borderId="37" xfId="57" applyFont="1" applyFill="1" applyBorder="1" applyAlignment="1">
      <alignment horizontal="center" vertical="top" wrapText="1"/>
    </xf>
    <xf numFmtId="0" fontId="39" fillId="44" borderId="0" xfId="57" applyFont="1" applyFill="1" applyAlignment="1">
      <alignment horizontal="left"/>
    </xf>
    <xf numFmtId="0" fontId="40" fillId="44" borderId="0" xfId="57" applyFont="1" applyFill="1" applyAlignment="1">
      <alignment horizontal="center"/>
    </xf>
    <xf numFmtId="0" fontId="35" fillId="47" borderId="26" xfId="57" applyFont="1" applyFill="1" applyBorder="1"/>
    <xf numFmtId="0" fontId="35" fillId="47" borderId="24" xfId="57" applyFont="1" applyFill="1" applyBorder="1"/>
    <xf numFmtId="0" fontId="40" fillId="47" borderId="25" xfId="57" applyFont="1" applyFill="1" applyBorder="1"/>
    <xf numFmtId="0" fontId="40" fillId="48" borderId="38" xfId="57" applyFont="1" applyFill="1" applyBorder="1" applyAlignment="1">
      <alignment horizontal="center"/>
    </xf>
    <xf numFmtId="0" fontId="36" fillId="44" borderId="0" xfId="57" applyFont="1" applyFill="1"/>
    <xf numFmtId="170" fontId="35" fillId="44" borderId="39" xfId="58" applyNumberFormat="1" applyFont="1" applyFill="1" applyBorder="1" applyAlignment="1">
      <alignment horizontal="right"/>
    </xf>
    <xf numFmtId="170" fontId="35" fillId="44" borderId="40" xfId="58" applyNumberFormat="1" applyFont="1" applyFill="1" applyBorder="1"/>
    <xf numFmtId="170" fontId="35" fillId="45" borderId="40" xfId="58" applyNumberFormat="1" applyFont="1" applyFill="1" applyBorder="1"/>
    <xf numFmtId="0" fontId="35" fillId="44" borderId="41" xfId="57" applyFont="1" applyFill="1" applyBorder="1"/>
    <xf numFmtId="170" fontId="35" fillId="44" borderId="42" xfId="58" applyNumberFormat="1" applyFont="1" applyFill="1" applyBorder="1"/>
    <xf numFmtId="0" fontId="35" fillId="44" borderId="43" xfId="57" applyFont="1" applyFill="1" applyBorder="1"/>
    <xf numFmtId="0" fontId="39" fillId="46" borderId="44" xfId="57" applyFont="1" applyFill="1" applyBorder="1" applyAlignment="1">
      <alignment horizontal="center" vertical="top" wrapText="1"/>
    </xf>
    <xf numFmtId="0" fontId="39" fillId="46" borderId="45" xfId="57" applyFont="1" applyFill="1" applyBorder="1" applyAlignment="1">
      <alignment horizontal="center" vertical="top" wrapText="1"/>
    </xf>
    <xf numFmtId="0" fontId="35" fillId="44" borderId="0" xfId="57" applyFont="1" applyFill="1" applyAlignment="1">
      <alignment horizontal="center"/>
    </xf>
    <xf numFmtId="0" fontId="35" fillId="45" borderId="0" xfId="57" applyFont="1" applyFill="1"/>
    <xf numFmtId="0" fontId="36" fillId="0" borderId="0" xfId="57" applyFont="1" applyAlignment="1">
      <alignment horizontal="left" vertical="top" wrapText="1"/>
    </xf>
    <xf numFmtId="0" fontId="36" fillId="44" borderId="0" xfId="57" applyFont="1" applyFill="1" applyAlignment="1">
      <alignment horizontal="left"/>
    </xf>
    <xf numFmtId="0" fontId="36" fillId="44" borderId="0" xfId="57" applyFont="1" applyFill="1" applyAlignment="1">
      <alignment horizontal="center"/>
    </xf>
    <xf numFmtId="171" fontId="35" fillId="44" borderId="0" xfId="57" applyNumberFormat="1" applyFont="1" applyFill="1"/>
    <xf numFmtId="0" fontId="35" fillId="0" borderId="39" xfId="57" applyFont="1" applyBorder="1"/>
    <xf numFmtId="172" fontId="35" fillId="0" borderId="46" xfId="58" applyNumberFormat="1" applyFont="1" applyFill="1" applyBorder="1"/>
    <xf numFmtId="172" fontId="35" fillId="0" borderId="47" xfId="58" applyNumberFormat="1" applyFont="1" applyFill="1" applyBorder="1"/>
    <xf numFmtId="171" fontId="35" fillId="0" borderId="46" xfId="58" applyNumberFormat="1" applyFont="1" applyFill="1" applyBorder="1"/>
    <xf numFmtId="0" fontId="35" fillId="0" borderId="22" xfId="57" applyFont="1" applyBorder="1"/>
    <xf numFmtId="0" fontId="35" fillId="0" borderId="40" xfId="57" applyFont="1" applyBorder="1"/>
    <xf numFmtId="172" fontId="35" fillId="0" borderId="38" xfId="58" applyNumberFormat="1" applyFont="1" applyFill="1" applyBorder="1"/>
    <xf numFmtId="171" fontId="35" fillId="0" borderId="38" xfId="58" applyNumberFormat="1" applyFont="1" applyFill="1" applyBorder="1"/>
    <xf numFmtId="0" fontId="35" fillId="0" borderId="27" xfId="57" applyFont="1" applyBorder="1" applyAlignment="1">
      <alignment wrapText="1"/>
    </xf>
    <xf numFmtId="171" fontId="35" fillId="0" borderId="48" xfId="58" applyNumberFormat="1" applyFont="1" applyFill="1" applyBorder="1"/>
    <xf numFmtId="0" fontId="35" fillId="0" borderId="27" xfId="57" applyFont="1" applyBorder="1"/>
    <xf numFmtId="172" fontId="38" fillId="0" borderId="38" xfId="58" applyNumberFormat="1" applyFont="1" applyFill="1" applyBorder="1"/>
    <xf numFmtId="172" fontId="38" fillId="0" borderId="26" xfId="58" applyNumberFormat="1" applyFont="1" applyFill="1" applyBorder="1"/>
    <xf numFmtId="171" fontId="38" fillId="0" borderId="38" xfId="58" applyNumberFormat="1" applyFont="1" applyFill="1" applyBorder="1"/>
    <xf numFmtId="0" fontId="35" fillId="0" borderId="41" xfId="57" applyFont="1" applyBorder="1"/>
    <xf numFmtId="166" fontId="35" fillId="44" borderId="0" xfId="57" applyNumberFormat="1" applyFont="1" applyFill="1"/>
    <xf numFmtId="172" fontId="35" fillId="44" borderId="0" xfId="57" applyNumberFormat="1" applyFont="1" applyFill="1"/>
    <xf numFmtId="172" fontId="38" fillId="0" borderId="49" xfId="58" applyNumberFormat="1" applyFont="1" applyFill="1" applyBorder="1"/>
    <xf numFmtId="171" fontId="38" fillId="0" borderId="49" xfId="58" applyNumberFormat="1" applyFont="1" applyFill="1" applyBorder="1"/>
    <xf numFmtId="171" fontId="45" fillId="44" borderId="0" xfId="57" applyNumberFormat="1" applyFont="1" applyFill="1"/>
    <xf numFmtId="0" fontId="46" fillId="0" borderId="41" xfId="57" applyFont="1" applyBorder="1"/>
    <xf numFmtId="0" fontId="35" fillId="0" borderId="50" xfId="57" applyFont="1" applyBorder="1"/>
    <xf numFmtId="172" fontId="35" fillId="45" borderId="38" xfId="58" applyNumberFormat="1" applyFont="1" applyFill="1" applyBorder="1"/>
    <xf numFmtId="171" fontId="35" fillId="45" borderId="38" xfId="58" applyNumberFormat="1" applyFont="1" applyFill="1" applyBorder="1"/>
    <xf numFmtId="0" fontId="46" fillId="0" borderId="51" xfId="57" applyFont="1" applyBorder="1"/>
    <xf numFmtId="172" fontId="35" fillId="45" borderId="52" xfId="58" applyNumberFormat="1" applyFont="1" applyFill="1" applyBorder="1"/>
    <xf numFmtId="171" fontId="35" fillId="45" borderId="52" xfId="58" applyNumberFormat="1" applyFont="1" applyFill="1" applyBorder="1"/>
    <xf numFmtId="0" fontId="46" fillId="0" borderId="53" xfId="57" applyFont="1" applyBorder="1"/>
    <xf numFmtId="171" fontId="38" fillId="0" borderId="46" xfId="58" applyNumberFormat="1" applyFont="1" applyFill="1" applyBorder="1"/>
    <xf numFmtId="172" fontId="38" fillId="44" borderId="0" xfId="57" applyNumberFormat="1" applyFont="1" applyFill="1"/>
    <xf numFmtId="0" fontId="35" fillId="0" borderId="42" xfId="57" applyFont="1" applyBorder="1"/>
    <xf numFmtId="171" fontId="35" fillId="0" borderId="54" xfId="58" applyNumberFormat="1" applyFont="1" applyFill="1" applyBorder="1"/>
    <xf numFmtId="171" fontId="38" fillId="0" borderId="54" xfId="58" applyNumberFormat="1" applyFont="1" applyFill="1" applyBorder="1"/>
    <xf numFmtId="0" fontId="35" fillId="0" borderId="32" xfId="57" applyFont="1" applyBorder="1"/>
    <xf numFmtId="0" fontId="39" fillId="46" borderId="55" xfId="57" applyFont="1" applyFill="1" applyBorder="1" applyAlignment="1">
      <alignment horizontal="center" vertical="center" wrapText="1"/>
    </xf>
    <xf numFmtId="0" fontId="39" fillId="46" borderId="56" xfId="57" applyFont="1" applyFill="1" applyBorder="1" applyAlignment="1">
      <alignment horizontal="center" vertical="center" wrapText="1"/>
    </xf>
    <xf numFmtId="0" fontId="39" fillId="46" borderId="57" xfId="57" applyFont="1" applyFill="1" applyBorder="1" applyAlignment="1">
      <alignment horizontal="center" vertical="center" wrapText="1"/>
    </xf>
    <xf numFmtId="0" fontId="40" fillId="44" borderId="0" xfId="57" applyFont="1" applyFill="1" applyAlignment="1">
      <alignment horizontal="center" vertical="center"/>
    </xf>
    <xf numFmtId="0" fontId="40" fillId="50" borderId="24" xfId="57" applyFont="1" applyFill="1" applyBorder="1" applyAlignment="1">
      <alignment horizontal="left" wrapText="1"/>
    </xf>
    <xf numFmtId="0" fontId="40" fillId="50" borderId="25" xfId="57" applyFont="1" applyFill="1" applyBorder="1" applyAlignment="1">
      <alignment horizontal="left"/>
    </xf>
    <xf numFmtId="0" fontId="36" fillId="44" borderId="0" xfId="57" applyFont="1" applyFill="1" applyAlignment="1">
      <alignment horizontal="left" vertical="top" wrapText="1"/>
    </xf>
    <xf numFmtId="43" fontId="35" fillId="0" borderId="0" xfId="57" applyNumberFormat="1" applyFont="1"/>
    <xf numFmtId="0" fontId="35" fillId="0" borderId="39" xfId="57" applyFont="1" applyBorder="1" applyAlignment="1">
      <alignment horizontal="right"/>
    </xf>
    <xf numFmtId="0" fontId="35" fillId="0" borderId="46" xfId="57" applyFont="1" applyBorder="1" applyAlignment="1">
      <alignment horizontal="right"/>
    </xf>
    <xf numFmtId="43" fontId="35" fillId="0" borderId="46" xfId="58" applyFont="1" applyBorder="1" applyAlignment="1">
      <alignment horizontal="right"/>
    </xf>
    <xf numFmtId="173" fontId="35" fillId="0" borderId="22" xfId="57" applyNumberFormat="1" applyFont="1" applyBorder="1"/>
    <xf numFmtId="0" fontId="35" fillId="0" borderId="40" xfId="57" applyFont="1" applyBorder="1" applyAlignment="1">
      <alignment horizontal="right"/>
    </xf>
    <xf numFmtId="0" fontId="35" fillId="0" borderId="38" xfId="57" applyFont="1" applyBorder="1" applyAlignment="1">
      <alignment horizontal="right"/>
    </xf>
    <xf numFmtId="43" fontId="35" fillId="0" borderId="38" xfId="58" applyFont="1" applyBorder="1" applyAlignment="1">
      <alignment horizontal="right"/>
    </xf>
    <xf numFmtId="173" fontId="35" fillId="0" borderId="27" xfId="57" applyNumberFormat="1" applyFont="1" applyBorder="1"/>
    <xf numFmtId="0" fontId="35" fillId="0" borderId="38" xfId="58" quotePrefix="1" applyNumberFormat="1" applyFont="1" applyBorder="1" applyAlignment="1">
      <alignment horizontal="right"/>
    </xf>
    <xf numFmtId="2" fontId="35" fillId="0" borderId="40" xfId="57" applyNumberFormat="1" applyFont="1" applyBorder="1" applyAlignment="1">
      <alignment horizontal="right"/>
    </xf>
    <xf numFmtId="2" fontId="35" fillId="0" borderId="38" xfId="57" applyNumberFormat="1" applyFont="1" applyBorder="1" applyAlignment="1">
      <alignment horizontal="right"/>
    </xf>
    <xf numFmtId="43" fontId="38" fillId="0" borderId="0" xfId="57" applyNumberFormat="1" applyFont="1"/>
    <xf numFmtId="0" fontId="35" fillId="0" borderId="42" xfId="57" applyFont="1" applyBorder="1" applyAlignment="1">
      <alignment horizontal="right"/>
    </xf>
    <xf numFmtId="0" fontId="35" fillId="0" borderId="54" xfId="57" applyFont="1" applyBorder="1" applyAlignment="1">
      <alignment horizontal="right"/>
    </xf>
    <xf numFmtId="43" fontId="35" fillId="0" borderId="54" xfId="58" applyFont="1" applyBorder="1" applyAlignment="1">
      <alignment horizontal="right"/>
    </xf>
    <xf numFmtId="173" fontId="35" fillId="0" borderId="32" xfId="57" applyNumberFormat="1" applyFont="1" applyBorder="1"/>
    <xf numFmtId="0" fontId="38" fillId="0" borderId="0" xfId="57" applyFont="1"/>
    <xf numFmtId="2" fontId="39" fillId="42" borderId="55" xfId="59" applyNumberFormat="1" applyFont="1" applyFill="1" applyBorder="1" applyAlignment="1">
      <alignment horizontal="center" vertical="center" wrapText="1"/>
    </xf>
    <xf numFmtId="2" fontId="39" fillId="42" borderId="56" xfId="59" applyNumberFormat="1" applyFont="1" applyFill="1" applyBorder="1" applyAlignment="1">
      <alignment horizontal="center" vertical="center" wrapText="1"/>
    </xf>
    <xf numFmtId="2" fontId="39" fillId="42" borderId="57" xfId="59" applyNumberFormat="1" applyFont="1" applyFill="1" applyBorder="1" applyAlignment="1">
      <alignment horizontal="center" vertical="center" wrapText="1"/>
    </xf>
    <xf numFmtId="2" fontId="35" fillId="44" borderId="0" xfId="59" applyNumberFormat="1" applyFont="1" applyFill="1" applyAlignment="1">
      <alignment vertical="center"/>
    </xf>
    <xf numFmtId="0" fontId="49" fillId="44" borderId="0" xfId="57" applyFont="1" applyFill="1" applyAlignment="1">
      <alignment vertical="center"/>
    </xf>
    <xf numFmtId="0" fontId="35" fillId="44" borderId="39" xfId="57" applyFont="1" applyFill="1" applyBorder="1"/>
    <xf numFmtId="166" fontId="38" fillId="0" borderId="46" xfId="57" applyNumberFormat="1" applyFont="1" applyBorder="1"/>
    <xf numFmtId="0" fontId="35" fillId="0" borderId="46" xfId="58" applyNumberFormat="1" applyFont="1" applyFill="1" applyBorder="1"/>
    <xf numFmtId="174" fontId="38" fillId="0" borderId="46" xfId="57" applyNumberFormat="1" applyFont="1" applyBorder="1"/>
    <xf numFmtId="0" fontId="35" fillId="44" borderId="40" xfId="57" applyFont="1" applyFill="1" applyBorder="1"/>
    <xf numFmtId="166" fontId="38" fillId="0" borderId="38" xfId="57" applyNumberFormat="1" applyFont="1" applyBorder="1"/>
    <xf numFmtId="174" fontId="38" fillId="0" borderId="38" xfId="57" applyNumberFormat="1" applyFont="1" applyBorder="1"/>
    <xf numFmtId="0" fontId="35" fillId="44" borderId="42" xfId="57" applyFont="1" applyFill="1" applyBorder="1"/>
    <xf numFmtId="166" fontId="38" fillId="0" borderId="54" xfId="57" applyNumberFormat="1" applyFont="1" applyBorder="1"/>
    <xf numFmtId="174" fontId="38" fillId="0" borderId="54" xfId="57" applyNumberFormat="1" applyFont="1" applyBorder="1"/>
    <xf numFmtId="0" fontId="35" fillId="44" borderId="50" xfId="57" applyFont="1" applyFill="1" applyBorder="1"/>
    <xf numFmtId="174" fontId="35" fillId="0" borderId="38" xfId="57" applyNumberFormat="1" applyFont="1" applyBorder="1"/>
    <xf numFmtId="0" fontId="35" fillId="44" borderId="53" xfId="57" applyFont="1" applyFill="1" applyBorder="1"/>
    <xf numFmtId="174" fontId="35" fillId="0" borderId="54" xfId="57" applyNumberFormat="1" applyFont="1" applyBorder="1"/>
    <xf numFmtId="0" fontId="40" fillId="47" borderId="24" xfId="57" applyFont="1" applyFill="1" applyBorder="1"/>
    <xf numFmtId="0" fontId="40" fillId="50" borderId="25" xfId="57" applyFont="1" applyFill="1" applyBorder="1"/>
    <xf numFmtId="0" fontId="36" fillId="0" borderId="0" xfId="57" applyFont="1" applyAlignment="1">
      <alignment horizontal="left" wrapText="1"/>
    </xf>
    <xf numFmtId="43" fontId="35" fillId="44" borderId="0" xfId="57" applyNumberFormat="1" applyFont="1" applyFill="1" applyAlignment="1">
      <alignment vertical="center"/>
    </xf>
    <xf numFmtId="0" fontId="36" fillId="44" borderId="0" xfId="57" applyFont="1" applyFill="1" applyAlignment="1">
      <alignment vertical="center"/>
    </xf>
    <xf numFmtId="0" fontId="37" fillId="44" borderId="0" xfId="57" applyFont="1" applyFill="1" applyAlignment="1">
      <alignment vertical="center"/>
    </xf>
    <xf numFmtId="0" fontId="35" fillId="44" borderId="0" xfId="57" applyFont="1" applyFill="1" applyAlignment="1">
      <alignment horizontal="center" vertical="center" wrapText="1"/>
    </xf>
    <xf numFmtId="171" fontId="35" fillId="45" borderId="39" xfId="58" applyNumberFormat="1" applyFont="1" applyFill="1" applyBorder="1" applyAlignment="1">
      <alignment vertical="center"/>
    </xf>
    <xf numFmtId="171" fontId="35" fillId="45" borderId="46" xfId="58" applyNumberFormat="1" applyFont="1" applyFill="1" applyBorder="1" applyAlignment="1">
      <alignment vertical="center"/>
    </xf>
    <xf numFmtId="43" fontId="35" fillId="45" borderId="46" xfId="58" applyFont="1" applyFill="1" applyBorder="1" applyAlignment="1">
      <alignment vertical="center"/>
    </xf>
    <xf numFmtId="0" fontId="35" fillId="0" borderId="60" xfId="57" applyFont="1" applyBorder="1"/>
    <xf numFmtId="0" fontId="39" fillId="46" borderId="61" xfId="57" applyFont="1" applyFill="1" applyBorder="1" applyAlignment="1">
      <alignment horizontal="center" vertical="center" wrapText="1"/>
    </xf>
    <xf numFmtId="0" fontId="40" fillId="50" borderId="24" xfId="57" applyFont="1" applyFill="1" applyBorder="1"/>
    <xf numFmtId="0" fontId="50" fillId="44" borderId="0" xfId="57" applyFont="1" applyFill="1"/>
    <xf numFmtId="0" fontId="34" fillId="0" borderId="0" xfId="57"/>
    <xf numFmtId="0" fontId="51" fillId="0" borderId="0" xfId="57" applyFont="1"/>
    <xf numFmtId="0" fontId="53" fillId="44" borderId="0" xfId="60" applyFont="1" applyFill="1" applyBorder="1" applyAlignment="1" applyProtection="1">
      <alignment horizontal="left" vertical="top"/>
    </xf>
    <xf numFmtId="0" fontId="36" fillId="0" borderId="0" xfId="57" applyFont="1"/>
    <xf numFmtId="175" fontId="36" fillId="44" borderId="0" xfId="57" applyNumberFormat="1" applyFont="1" applyFill="1"/>
    <xf numFmtId="175" fontId="54" fillId="44" borderId="0" xfId="57" applyNumberFormat="1" applyFont="1" applyFill="1"/>
    <xf numFmtId="0" fontId="53" fillId="0" borderId="0" xfId="60" applyFont="1" applyFill="1" applyBorder="1" applyAlignment="1" applyProtection="1">
      <alignment horizontal="left" vertical="top"/>
    </xf>
    <xf numFmtId="175" fontId="35" fillId="44" borderId="0" xfId="57" applyNumberFormat="1" applyFont="1" applyFill="1"/>
    <xf numFmtId="0" fontId="36" fillId="0" borderId="62" xfId="57" applyFont="1" applyBorder="1" applyAlignment="1">
      <alignment horizontal="left" vertical="top" wrapText="1"/>
    </xf>
    <xf numFmtId="0" fontId="36" fillId="0" borderId="62" xfId="57" applyFont="1" applyBorder="1" applyAlignment="1">
      <alignment horizontal="left" vertical="top"/>
    </xf>
    <xf numFmtId="171" fontId="38" fillId="0" borderId="39" xfId="58" applyNumberFormat="1" applyFont="1" applyFill="1" applyBorder="1"/>
    <xf numFmtId="168" fontId="38" fillId="0" borderId="22" xfId="58" applyNumberFormat="1" applyFont="1" applyFill="1" applyBorder="1"/>
    <xf numFmtId="171" fontId="38" fillId="0" borderId="19" xfId="58" applyNumberFormat="1" applyFont="1" applyFill="1" applyBorder="1"/>
    <xf numFmtId="0" fontId="35" fillId="44" borderId="63" xfId="57" applyFont="1" applyFill="1" applyBorder="1"/>
    <xf numFmtId="171" fontId="38" fillId="0" borderId="40" xfId="58" applyNumberFormat="1" applyFont="1" applyFill="1" applyBorder="1"/>
    <xf numFmtId="168" fontId="38" fillId="0" borderId="27" xfId="58" applyNumberFormat="1" applyFont="1" applyFill="1" applyBorder="1"/>
    <xf numFmtId="171" fontId="38" fillId="0" borderId="24" xfId="58" applyNumberFormat="1" applyFont="1" applyFill="1" applyBorder="1"/>
    <xf numFmtId="171" fontId="38" fillId="0" borderId="42" xfId="58" applyNumberFormat="1" applyFont="1" applyFill="1" applyBorder="1"/>
    <xf numFmtId="168" fontId="38" fillId="0" borderId="32" xfId="58" applyNumberFormat="1" applyFont="1" applyFill="1" applyBorder="1"/>
    <xf numFmtId="171" fontId="38" fillId="0" borderId="29" xfId="58" applyNumberFormat="1" applyFont="1" applyFill="1" applyBorder="1"/>
    <xf numFmtId="0" fontId="39" fillId="46" borderId="64" xfId="57" applyFont="1" applyFill="1" applyBorder="1" applyAlignment="1">
      <alignment horizontal="center" vertical="center" wrapText="1"/>
    </xf>
    <xf numFmtId="0" fontId="39" fillId="46" borderId="47" xfId="57" applyFont="1" applyFill="1" applyBorder="1" applyAlignment="1">
      <alignment horizontal="center" vertical="center" wrapText="1"/>
    </xf>
    <xf numFmtId="0" fontId="39" fillId="46" borderId="60" xfId="57" applyFont="1" applyFill="1" applyBorder="1" applyAlignment="1">
      <alignment horizontal="center" vertical="center" wrapText="1"/>
    </xf>
    <xf numFmtId="0" fontId="39" fillId="46" borderId="64" xfId="57" applyFont="1" applyFill="1" applyBorder="1" applyAlignment="1">
      <alignment horizontal="center" wrapText="1"/>
    </xf>
    <xf numFmtId="0" fontId="39" fillId="46" borderId="65" xfId="57" applyFont="1" applyFill="1" applyBorder="1" applyAlignment="1">
      <alignment horizontal="center" wrapText="1"/>
    </xf>
    <xf numFmtId="0" fontId="39" fillId="46" borderId="66" xfId="57" applyFont="1" applyFill="1" applyBorder="1" applyAlignment="1">
      <alignment horizontal="center" vertical="center" wrapText="1"/>
    </xf>
    <xf numFmtId="0" fontId="39" fillId="46" borderId="67" xfId="57" applyFont="1" applyFill="1" applyBorder="1" applyAlignment="1">
      <alignment horizontal="center" vertical="center" wrapText="1"/>
    </xf>
    <xf numFmtId="0" fontId="39" fillId="46" borderId="68" xfId="57" applyFont="1" applyFill="1" applyBorder="1" applyAlignment="1">
      <alignment horizontal="center" vertical="center" wrapText="1"/>
    </xf>
    <xf numFmtId="0" fontId="39" fillId="46" borderId="69" xfId="57" applyFont="1" applyFill="1" applyBorder="1" applyAlignment="1">
      <alignment horizontal="center"/>
    </xf>
    <xf numFmtId="0" fontId="39" fillId="46" borderId="70" xfId="57" applyFont="1" applyFill="1" applyBorder="1" applyAlignment="1">
      <alignment horizontal="center"/>
    </xf>
    <xf numFmtId="0" fontId="39" fillId="33" borderId="28" xfId="57" applyFont="1" applyFill="1" applyBorder="1" applyAlignment="1">
      <alignment horizontal="center"/>
    </xf>
    <xf numFmtId="0" fontId="39" fillId="33" borderId="29" xfId="57" applyFont="1" applyFill="1" applyBorder="1" applyAlignment="1">
      <alignment horizontal="center"/>
    </xf>
    <xf numFmtId="0" fontId="39" fillId="33" borderId="43" xfId="57" applyFont="1" applyFill="1" applyBorder="1" applyAlignment="1">
      <alignment horizontal="center"/>
    </xf>
    <xf numFmtId="0" fontId="39" fillId="33" borderId="42" xfId="57" applyFont="1" applyFill="1" applyBorder="1"/>
    <xf numFmtId="0" fontId="39" fillId="33" borderId="45" xfId="57" applyFont="1" applyFill="1" applyBorder="1"/>
    <xf numFmtId="0" fontId="39" fillId="44" borderId="0" xfId="57" applyFont="1" applyFill="1"/>
    <xf numFmtId="0" fontId="35" fillId="47" borderId="24" xfId="57" applyFont="1" applyFill="1" applyBorder="1" applyAlignment="1">
      <alignment vertical="center"/>
    </xf>
    <xf numFmtId="0" fontId="40" fillId="47" borderId="24" xfId="57" applyFont="1" applyFill="1" applyBorder="1" applyAlignment="1">
      <alignment vertical="center"/>
    </xf>
    <xf numFmtId="0" fontId="40" fillId="47" borderId="25" xfId="57" applyFont="1" applyFill="1" applyBorder="1" applyAlignment="1">
      <alignment vertical="center"/>
    </xf>
    <xf numFmtId="0" fontId="40" fillId="48" borderId="38" xfId="57" applyFont="1" applyFill="1" applyBorder="1" applyAlignment="1">
      <alignment horizontal="center" vertical="center"/>
    </xf>
    <xf numFmtId="0" fontId="55" fillId="0" borderId="0" xfId="57" applyFont="1" applyAlignment="1">
      <alignment wrapText="1"/>
    </xf>
    <xf numFmtId="0" fontId="53" fillId="44" borderId="0" xfId="60" applyFont="1" applyFill="1" applyAlignment="1" applyProtection="1">
      <alignment vertical="center"/>
    </xf>
    <xf numFmtId="43" fontId="38" fillId="0" borderId="39" xfId="57" applyNumberFormat="1" applyFont="1" applyBorder="1"/>
    <xf numFmtId="43" fontId="38" fillId="0" borderId="46" xfId="57" applyNumberFormat="1" applyFont="1" applyBorder="1"/>
    <xf numFmtId="0" fontId="35" fillId="44" borderId="21" xfId="57" applyFont="1" applyFill="1" applyBorder="1"/>
    <xf numFmtId="43" fontId="38" fillId="0" borderId="40" xfId="57" applyNumberFormat="1" applyFont="1" applyBorder="1"/>
    <xf numFmtId="43" fontId="38" fillId="0" borderId="38" xfId="57" applyNumberFormat="1" applyFont="1" applyBorder="1"/>
    <xf numFmtId="0" fontId="35" fillId="44" borderId="26" xfId="57" applyFont="1" applyFill="1" applyBorder="1"/>
    <xf numFmtId="1" fontId="38" fillId="44" borderId="40" xfId="58" quotePrefix="1" applyNumberFormat="1" applyFont="1" applyFill="1" applyBorder="1" applyAlignment="1">
      <alignment horizontal="right"/>
    </xf>
    <xf numFmtId="43" fontId="35" fillId="0" borderId="40" xfId="57" applyNumberFormat="1" applyFont="1" applyBorder="1"/>
    <xf numFmtId="43" fontId="35" fillId="0" borderId="38" xfId="57" applyNumberFormat="1" applyFont="1" applyBorder="1"/>
    <xf numFmtId="0" fontId="35" fillId="44" borderId="72" xfId="57" applyFont="1" applyFill="1" applyBorder="1"/>
    <xf numFmtId="0" fontId="35" fillId="44" borderId="73" xfId="57" applyFont="1" applyFill="1" applyBorder="1"/>
    <xf numFmtId="1" fontId="35" fillId="44" borderId="48" xfId="58" quotePrefix="1" applyNumberFormat="1" applyFont="1" applyFill="1" applyBorder="1" applyAlignment="1">
      <alignment horizontal="right"/>
    </xf>
    <xf numFmtId="43" fontId="35" fillId="0" borderId="50" xfId="57" applyNumberFormat="1" applyFont="1" applyBorder="1"/>
    <xf numFmtId="43" fontId="35" fillId="0" borderId="48" xfId="57" applyNumberFormat="1" applyFont="1" applyBorder="1"/>
    <xf numFmtId="0" fontId="39" fillId="47" borderId="24" xfId="57" applyFont="1" applyFill="1" applyBorder="1"/>
    <xf numFmtId="0" fontId="54" fillId="45" borderId="0" xfId="57" applyFont="1" applyFill="1" applyAlignment="1">
      <alignment horizontal="left" vertical="top"/>
    </xf>
    <xf numFmtId="0" fontId="52" fillId="44" borderId="0" xfId="60" applyFill="1" applyAlignment="1" applyProtection="1">
      <alignment vertical="center"/>
    </xf>
    <xf numFmtId="0" fontId="36" fillId="44" borderId="0" xfId="57" applyFont="1" applyFill="1" applyAlignment="1">
      <alignment horizontal="left" wrapText="1"/>
    </xf>
    <xf numFmtId="172" fontId="35" fillId="0" borderId="39" xfId="58" applyNumberFormat="1" applyFont="1" applyBorder="1"/>
    <xf numFmtId="172" fontId="35" fillId="0" borderId="46" xfId="58" applyNumberFormat="1" applyFont="1" applyBorder="1"/>
    <xf numFmtId="0" fontId="35" fillId="46" borderId="47" xfId="57" applyFont="1" applyFill="1" applyBorder="1"/>
    <xf numFmtId="0" fontId="35" fillId="44" borderId="47" xfId="57" applyFont="1" applyFill="1" applyBorder="1"/>
    <xf numFmtId="172" fontId="35" fillId="0" borderId="40" xfId="58" applyNumberFormat="1" applyFont="1" applyBorder="1"/>
    <xf numFmtId="172" fontId="38" fillId="0" borderId="38" xfId="58" applyNumberFormat="1" applyFont="1" applyBorder="1"/>
    <xf numFmtId="0" fontId="35" fillId="46" borderId="38" xfId="57" applyFont="1" applyFill="1" applyBorder="1"/>
    <xf numFmtId="0" fontId="35" fillId="44" borderId="38" xfId="57" applyFont="1" applyFill="1" applyBorder="1"/>
    <xf numFmtId="172" fontId="38" fillId="0" borderId="40" xfId="58" applyNumberFormat="1" applyFont="1" applyBorder="1"/>
    <xf numFmtId="172" fontId="35" fillId="0" borderId="38" xfId="58" applyNumberFormat="1" applyFont="1" applyBorder="1"/>
    <xf numFmtId="0" fontId="45" fillId="44" borderId="0" xfId="57" applyFont="1" applyFill="1"/>
    <xf numFmtId="0" fontId="35" fillId="44" borderId="0" xfId="57" applyFont="1" applyFill="1" applyAlignment="1">
      <alignment horizontal="left"/>
    </xf>
    <xf numFmtId="0" fontId="35" fillId="44" borderId="38" xfId="57" applyFont="1" applyFill="1" applyBorder="1" applyAlignment="1">
      <alignment horizontal="left"/>
    </xf>
    <xf numFmtId="172" fontId="35" fillId="0" borderId="40" xfId="58" applyNumberFormat="1" applyFont="1" applyFill="1" applyBorder="1" applyAlignment="1">
      <alignment horizontal="right"/>
    </xf>
    <xf numFmtId="172" fontId="35" fillId="0" borderId="38" xfId="58" applyNumberFormat="1" applyFont="1" applyFill="1" applyBorder="1" applyAlignment="1">
      <alignment horizontal="right"/>
    </xf>
    <xf numFmtId="0" fontId="35" fillId="44" borderId="75" xfId="57" applyFont="1" applyFill="1" applyBorder="1"/>
    <xf numFmtId="0" fontId="35" fillId="44" borderId="54" xfId="57" applyFont="1" applyFill="1" applyBorder="1" applyAlignment="1">
      <alignment horizontal="left"/>
    </xf>
    <xf numFmtId="0" fontId="39" fillId="46" borderId="58" xfId="57" applyFont="1" applyFill="1" applyBorder="1" applyAlignment="1">
      <alignment horizontal="center" vertical="center" wrapText="1"/>
    </xf>
    <xf numFmtId="172" fontId="38" fillId="44" borderId="39" xfId="58" applyNumberFormat="1" applyFont="1" applyFill="1" applyBorder="1" applyAlignment="1">
      <alignment horizontal="right"/>
    </xf>
    <xf numFmtId="172" fontId="38" fillId="44" borderId="46" xfId="58" applyNumberFormat="1" applyFont="1" applyFill="1" applyBorder="1" applyAlignment="1">
      <alignment horizontal="right"/>
    </xf>
    <xf numFmtId="0" fontId="38" fillId="44" borderId="46" xfId="57" applyFont="1" applyFill="1" applyBorder="1" applyAlignment="1">
      <alignment horizontal="left"/>
    </xf>
    <xf numFmtId="1" fontId="38" fillId="44" borderId="48" xfId="58" quotePrefix="1" applyNumberFormat="1" applyFont="1" applyFill="1" applyBorder="1" applyAlignment="1">
      <alignment horizontal="right"/>
    </xf>
    <xf numFmtId="0" fontId="38" fillId="44" borderId="48" xfId="57" applyFont="1" applyFill="1" applyBorder="1" applyAlignment="1">
      <alignment horizontal="left"/>
    </xf>
    <xf numFmtId="172" fontId="38" fillId="44" borderId="42" xfId="58" applyNumberFormat="1" applyFont="1" applyFill="1" applyBorder="1" applyAlignment="1">
      <alignment horizontal="right"/>
    </xf>
    <xf numFmtId="172" fontId="38" fillId="44" borderId="54" xfId="58" applyNumberFormat="1" applyFont="1" applyFill="1" applyBorder="1" applyAlignment="1">
      <alignment horizontal="right"/>
    </xf>
    <xf numFmtId="172" fontId="35" fillId="0" borderId="39" xfId="58" applyNumberFormat="1" applyFont="1" applyFill="1" applyBorder="1"/>
    <xf numFmtId="0" fontId="35" fillId="44" borderId="38" xfId="57" quotePrefix="1" applyFont="1" applyFill="1" applyBorder="1" applyAlignment="1">
      <alignment horizontal="left"/>
    </xf>
    <xf numFmtId="0" fontId="35" fillId="44" borderId="65" xfId="57" applyFont="1" applyFill="1" applyBorder="1"/>
    <xf numFmtId="172" fontId="35" fillId="0" borderId="66" xfId="58" applyNumberFormat="1" applyFont="1" applyFill="1" applyBorder="1"/>
    <xf numFmtId="172" fontId="35" fillId="0" borderId="49" xfId="58" applyNumberFormat="1" applyFont="1" applyFill="1" applyBorder="1"/>
    <xf numFmtId="0" fontId="35" fillId="44" borderId="70" xfId="57" applyFont="1" applyFill="1" applyBorder="1"/>
    <xf numFmtId="172" fontId="35" fillId="0" borderId="40" xfId="58" applyNumberFormat="1" applyFont="1" applyFill="1" applyBorder="1"/>
    <xf numFmtId="172" fontId="35" fillId="0" borderId="42" xfId="58" applyNumberFormat="1" applyFont="1" applyFill="1" applyBorder="1"/>
    <xf numFmtId="172" fontId="35" fillId="0" borderId="54" xfId="58" applyNumberFormat="1" applyFont="1" applyFill="1" applyBorder="1"/>
    <xf numFmtId="0" fontId="35" fillId="44" borderId="45" xfId="57" applyFont="1" applyFill="1" applyBorder="1"/>
    <xf numFmtId="172" fontId="35" fillId="0" borderId="50" xfId="58" applyNumberFormat="1" applyFont="1" applyFill="1" applyBorder="1"/>
    <xf numFmtId="172" fontId="35" fillId="0" borderId="48" xfId="58" applyNumberFormat="1" applyFont="1" applyFill="1" applyBorder="1"/>
    <xf numFmtId="0" fontId="35" fillId="44" borderId="48" xfId="57" applyFont="1" applyFill="1" applyBorder="1" applyAlignment="1">
      <alignment horizontal="left"/>
    </xf>
    <xf numFmtId="0" fontId="39" fillId="46" borderId="56" xfId="57" applyFont="1" applyFill="1" applyBorder="1" applyAlignment="1">
      <alignment horizontal="center" vertical="center"/>
    </xf>
    <xf numFmtId="0" fontId="39" fillId="46" borderId="57" xfId="57" applyFont="1" applyFill="1" applyBorder="1" applyAlignment="1">
      <alignment horizontal="center" vertical="center"/>
    </xf>
    <xf numFmtId="0" fontId="35" fillId="50" borderId="24" xfId="57" applyFont="1" applyFill="1" applyBorder="1"/>
    <xf numFmtId="0" fontId="53" fillId="44" borderId="0" xfId="60" applyFont="1" applyFill="1" applyAlignment="1" applyProtection="1"/>
    <xf numFmtId="0" fontId="35" fillId="45" borderId="0" xfId="57" applyFont="1" applyFill="1" applyAlignment="1">
      <alignment vertical="center"/>
    </xf>
    <xf numFmtId="11" fontId="35" fillId="45" borderId="0" xfId="57" applyNumberFormat="1" applyFont="1" applyFill="1"/>
    <xf numFmtId="43" fontId="35" fillId="45" borderId="0" xfId="58" applyFont="1" applyFill="1"/>
    <xf numFmtId="0" fontId="35" fillId="44" borderId="39" xfId="57" applyFont="1" applyFill="1" applyBorder="1" applyAlignment="1">
      <alignment horizontal="center"/>
    </xf>
    <xf numFmtId="43" fontId="35" fillId="0" borderId="46" xfId="58" applyFont="1" applyFill="1" applyBorder="1" applyAlignment="1">
      <alignment vertical="center"/>
    </xf>
    <xf numFmtId="0" fontId="35" fillId="44" borderId="22" xfId="57" applyFont="1" applyFill="1" applyBorder="1" applyAlignment="1">
      <alignment vertical="center"/>
    </xf>
    <xf numFmtId="0" fontId="35" fillId="44" borderId="40" xfId="57" applyFont="1" applyFill="1" applyBorder="1" applyAlignment="1">
      <alignment horizontal="center"/>
    </xf>
    <xf numFmtId="43" fontId="35" fillId="0" borderId="38" xfId="58" applyFont="1" applyFill="1" applyBorder="1" applyAlignment="1">
      <alignment vertical="center"/>
    </xf>
    <xf numFmtId="0" fontId="35" fillId="44" borderId="27" xfId="57" applyFont="1" applyFill="1" applyBorder="1" applyAlignment="1">
      <alignment vertical="center"/>
    </xf>
    <xf numFmtId="43" fontId="57" fillId="45" borderId="0" xfId="60" applyNumberFormat="1" applyFont="1" applyFill="1" applyAlignment="1" applyProtection="1"/>
    <xf numFmtId="175" fontId="35" fillId="44" borderId="0" xfId="58" applyNumberFormat="1" applyFont="1" applyFill="1"/>
    <xf numFmtId="0" fontId="35" fillId="0" borderId="40" xfId="57" applyFont="1" applyBorder="1" applyAlignment="1">
      <alignment horizontal="center"/>
    </xf>
    <xf numFmtId="0" fontId="35" fillId="0" borderId="27" xfId="57" applyFont="1" applyBorder="1" applyAlignment="1">
      <alignment vertical="center"/>
    </xf>
    <xf numFmtId="175" fontId="35" fillId="45" borderId="38" xfId="58" applyNumberFormat="1" applyFont="1" applyFill="1" applyBorder="1" applyAlignment="1">
      <alignment vertical="center"/>
    </xf>
    <xf numFmtId="0" fontId="35" fillId="44" borderId="50" xfId="57" applyFont="1" applyFill="1" applyBorder="1" applyAlignment="1">
      <alignment horizontal="center"/>
    </xf>
    <xf numFmtId="43" fontId="35" fillId="0" borderId="48" xfId="58" applyFont="1" applyFill="1" applyBorder="1" applyAlignment="1">
      <alignment vertical="center"/>
    </xf>
    <xf numFmtId="0" fontId="35" fillId="44" borderId="53" xfId="57" applyFont="1" applyFill="1" applyBorder="1" applyAlignment="1">
      <alignment vertical="center"/>
    </xf>
    <xf numFmtId="0" fontId="35" fillId="0" borderId="0" xfId="57" applyFont="1" applyAlignment="1">
      <alignment horizontal="center" vertical="center"/>
    </xf>
    <xf numFmtId="0" fontId="39" fillId="33" borderId="55" xfId="57" applyFont="1" applyFill="1" applyBorder="1" applyAlignment="1">
      <alignment horizontal="center" vertical="top" wrapText="1"/>
    </xf>
    <xf numFmtId="0" fontId="39" fillId="33" borderId="56" xfId="57" applyFont="1" applyFill="1" applyBorder="1" applyAlignment="1">
      <alignment horizontal="center" vertical="top" wrapText="1"/>
    </xf>
    <xf numFmtId="0" fontId="39" fillId="33" borderId="57" xfId="57" applyFont="1" applyFill="1" applyBorder="1" applyAlignment="1">
      <alignment horizontal="center" vertical="top"/>
    </xf>
    <xf numFmtId="0" fontId="35" fillId="47" borderId="26" xfId="57" applyFont="1" applyFill="1" applyBorder="1" applyAlignment="1">
      <alignment vertical="center"/>
    </xf>
    <xf numFmtId="10" fontId="36" fillId="44" borderId="0" xfId="61" applyNumberFormat="1" applyFont="1" applyFill="1"/>
    <xf numFmtId="172" fontId="36" fillId="44" borderId="0" xfId="57" applyNumberFormat="1" applyFont="1" applyFill="1"/>
    <xf numFmtId="43" fontId="36" fillId="46" borderId="77" xfId="58" applyFont="1" applyFill="1" applyBorder="1" applyAlignment="1">
      <alignment vertical="center"/>
    </xf>
    <xf numFmtId="43" fontId="36" fillId="46" borderId="78" xfId="58" applyFont="1" applyFill="1" applyBorder="1" applyAlignment="1">
      <alignment vertical="center"/>
    </xf>
    <xf numFmtId="43" fontId="35" fillId="0" borderId="46" xfId="58" applyFont="1" applyFill="1" applyBorder="1"/>
    <xf numFmtId="168" fontId="35" fillId="0" borderId="46" xfId="58" applyNumberFormat="1" applyFont="1" applyFill="1" applyBorder="1"/>
    <xf numFmtId="43" fontId="36" fillId="46" borderId="75" xfId="58" applyFont="1" applyFill="1" applyBorder="1" applyAlignment="1">
      <alignment vertical="center"/>
    </xf>
    <xf numFmtId="43" fontId="36" fillId="46" borderId="0" xfId="58" applyFont="1" applyFill="1" applyBorder="1" applyAlignment="1">
      <alignment vertical="center"/>
    </xf>
    <xf numFmtId="43" fontId="35" fillId="0" borderId="38" xfId="58" applyFont="1" applyFill="1" applyBorder="1"/>
    <xf numFmtId="168" fontId="35" fillId="0" borderId="38" xfId="58" applyNumberFormat="1" applyFont="1" applyFill="1" applyBorder="1"/>
    <xf numFmtId="0" fontId="35" fillId="46" borderId="0" xfId="57" applyFont="1" applyFill="1" applyAlignment="1">
      <alignment vertical="center"/>
    </xf>
    <xf numFmtId="43" fontId="35" fillId="46" borderId="0" xfId="57" applyNumberFormat="1" applyFont="1" applyFill="1" applyAlignment="1">
      <alignment vertical="center"/>
    </xf>
    <xf numFmtId="43" fontId="39" fillId="51" borderId="68" xfId="57" applyNumberFormat="1" applyFont="1" applyFill="1" applyBorder="1" applyAlignment="1">
      <alignment horizontal="center" vertical="center" wrapText="1"/>
    </xf>
    <xf numFmtId="43" fontId="35" fillId="0" borderId="40" xfId="58" applyFont="1" applyFill="1" applyBorder="1"/>
    <xf numFmtId="43" fontId="39" fillId="51" borderId="68" xfId="57" applyNumberFormat="1" applyFont="1" applyFill="1" applyBorder="1" applyAlignment="1">
      <alignment horizontal="center" vertical="center"/>
    </xf>
    <xf numFmtId="0" fontId="57" fillId="44" borderId="0" xfId="60" applyFont="1" applyFill="1" applyAlignment="1" applyProtection="1"/>
    <xf numFmtId="0" fontId="35" fillId="46" borderId="75" xfId="57" applyFont="1" applyFill="1" applyBorder="1" applyAlignment="1">
      <alignment vertical="center"/>
    </xf>
    <xf numFmtId="0" fontId="35" fillId="0" borderId="0" xfId="57" applyFont="1" applyAlignment="1">
      <alignment horizontal="center" vertical="center" wrapText="1"/>
    </xf>
    <xf numFmtId="0" fontId="37" fillId="52" borderId="40" xfId="57" applyFont="1" applyFill="1" applyBorder="1" applyAlignment="1">
      <alignment horizontal="center" vertical="center" wrapText="1"/>
    </xf>
    <xf numFmtId="0" fontId="37" fillId="52" borderId="38" xfId="57" applyFont="1" applyFill="1" applyBorder="1" applyAlignment="1">
      <alignment horizontal="center" vertical="center" wrapText="1"/>
    </xf>
    <xf numFmtId="0" fontId="39" fillId="46" borderId="70" xfId="57" applyFont="1" applyFill="1" applyBorder="1" applyAlignment="1">
      <alignment horizontal="center" vertical="center" wrapText="1"/>
    </xf>
    <xf numFmtId="176" fontId="35" fillId="0" borderId="40" xfId="58" applyNumberFormat="1" applyFont="1" applyFill="1" applyBorder="1"/>
    <xf numFmtId="176" fontId="35" fillId="0" borderId="38" xfId="58" applyNumberFormat="1" applyFont="1" applyFill="1" applyBorder="1"/>
    <xf numFmtId="168" fontId="35" fillId="0" borderId="38" xfId="58" applyNumberFormat="1" applyFont="1" applyFill="1" applyBorder="1" applyAlignment="1">
      <alignment vertical="center"/>
    </xf>
    <xf numFmtId="176" fontId="35" fillId="0" borderId="38" xfId="58" applyNumberFormat="1" applyFont="1" applyFill="1" applyBorder="1" applyAlignment="1">
      <alignment vertical="center"/>
    </xf>
    <xf numFmtId="43" fontId="36" fillId="44" borderId="0" xfId="57" applyNumberFormat="1" applyFont="1" applyFill="1" applyAlignment="1">
      <alignment horizontal="center" vertical="center"/>
    </xf>
    <xf numFmtId="176" fontId="39" fillId="46" borderId="75" xfId="58" applyNumberFormat="1" applyFont="1" applyFill="1" applyBorder="1"/>
    <xf numFmtId="176" fontId="39" fillId="46" borderId="0" xfId="58" applyNumberFormat="1" applyFont="1" applyFill="1" applyBorder="1"/>
    <xf numFmtId="171" fontId="35" fillId="46" borderId="0" xfId="58" applyNumberFormat="1" applyFont="1" applyFill="1" applyBorder="1"/>
    <xf numFmtId="176" fontId="35" fillId="46" borderId="0" xfId="58" applyNumberFormat="1" applyFont="1" applyFill="1" applyBorder="1"/>
    <xf numFmtId="0" fontId="39" fillId="51" borderId="71" xfId="57" applyFont="1" applyFill="1" applyBorder="1" applyAlignment="1">
      <alignment horizontal="center"/>
    </xf>
    <xf numFmtId="175" fontId="35" fillId="0" borderId="38" xfId="58" applyNumberFormat="1" applyFont="1" applyFill="1" applyBorder="1"/>
    <xf numFmtId="43" fontId="35" fillId="0" borderId="38" xfId="58" applyFont="1" applyFill="1" applyBorder="1" applyAlignment="1">
      <alignment horizontal="center"/>
    </xf>
    <xf numFmtId="175" fontId="39" fillId="46" borderId="0" xfId="58" applyNumberFormat="1" applyFont="1" applyFill="1" applyBorder="1"/>
    <xf numFmtId="43" fontId="39" fillId="51" borderId="71" xfId="58" applyFont="1" applyFill="1" applyBorder="1" applyAlignment="1">
      <alignment horizontal="center"/>
    </xf>
    <xf numFmtId="175" fontId="35" fillId="0" borderId="40" xfId="58" applyNumberFormat="1" applyFont="1" applyFill="1" applyBorder="1"/>
    <xf numFmtId="43" fontId="36" fillId="44" borderId="0" xfId="57" applyNumberFormat="1" applyFont="1" applyFill="1" applyAlignment="1">
      <alignment horizontal="center"/>
    </xf>
    <xf numFmtId="0" fontId="35" fillId="46" borderId="75" xfId="57" applyFont="1" applyFill="1" applyBorder="1"/>
    <xf numFmtId="0" fontId="35" fillId="46" borderId="0" xfId="57" applyFont="1" applyFill="1"/>
    <xf numFmtId="168" fontId="35" fillId="46" borderId="0" xfId="58" applyNumberFormat="1" applyFont="1" applyFill="1" applyBorder="1"/>
    <xf numFmtId="171" fontId="59" fillId="46" borderId="0" xfId="58" applyNumberFormat="1" applyFont="1" applyFill="1" applyBorder="1"/>
    <xf numFmtId="171" fontId="36" fillId="46" borderId="0" xfId="58" applyNumberFormat="1" applyFont="1" applyFill="1" applyBorder="1"/>
    <xf numFmtId="0" fontId="39" fillId="51" borderId="68" xfId="57" applyFont="1" applyFill="1" applyBorder="1" applyAlignment="1">
      <alignment horizontal="center" vertical="center" wrapText="1"/>
    </xf>
    <xf numFmtId="170" fontId="35" fillId="0" borderId="40" xfId="58" applyNumberFormat="1" applyFont="1" applyFill="1" applyBorder="1"/>
    <xf numFmtId="170" fontId="35" fillId="0" borderId="38" xfId="58" applyNumberFormat="1" applyFont="1" applyFill="1" applyBorder="1"/>
    <xf numFmtId="170" fontId="39" fillId="46" borderId="75" xfId="57" applyNumberFormat="1" applyFont="1" applyFill="1" applyBorder="1"/>
    <xf numFmtId="170" fontId="39" fillId="46" borderId="0" xfId="57" applyNumberFormat="1" applyFont="1" applyFill="1"/>
    <xf numFmtId="168" fontId="39" fillId="46" borderId="0" xfId="58" applyNumberFormat="1" applyFont="1" applyFill="1" applyBorder="1"/>
    <xf numFmtId="170" fontId="39" fillId="46" borderId="0" xfId="58" applyNumberFormat="1" applyFont="1" applyFill="1" applyBorder="1"/>
    <xf numFmtId="171" fontId="39" fillId="46" borderId="0" xfId="58" applyNumberFormat="1" applyFont="1" applyFill="1" applyBorder="1"/>
    <xf numFmtId="171" fontId="38" fillId="44" borderId="0" xfId="57" applyNumberFormat="1" applyFont="1" applyFill="1"/>
    <xf numFmtId="170" fontId="39" fillId="46" borderId="75" xfId="58" applyNumberFormat="1" applyFont="1" applyFill="1" applyBorder="1"/>
    <xf numFmtId="177" fontId="35" fillId="44" borderId="0" xfId="57" applyNumberFormat="1" applyFont="1" applyFill="1"/>
    <xf numFmtId="168" fontId="36" fillId="44" borderId="0" xfId="57" applyNumberFormat="1" applyFont="1" applyFill="1"/>
    <xf numFmtId="0" fontId="39" fillId="46" borderId="75" xfId="57" applyFont="1" applyFill="1" applyBorder="1" applyAlignment="1">
      <alignment horizontal="center" vertical="center" wrapText="1"/>
    </xf>
    <xf numFmtId="0" fontId="39" fillId="46" borderId="0" xfId="57" applyFont="1" applyFill="1" applyAlignment="1">
      <alignment horizontal="center" vertical="center" wrapText="1"/>
    </xf>
    <xf numFmtId="0" fontId="39" fillId="51" borderId="68" xfId="57" applyFont="1" applyFill="1" applyBorder="1" applyAlignment="1">
      <alignment horizontal="center"/>
    </xf>
    <xf numFmtId="0" fontId="60" fillId="44" borderId="0" xfId="57" applyFont="1" applyFill="1"/>
    <xf numFmtId="0" fontId="37" fillId="52" borderId="40" xfId="57" applyFont="1" applyFill="1" applyBorder="1" applyAlignment="1">
      <alignment horizontal="center" vertical="top" wrapText="1"/>
    </xf>
    <xf numFmtId="0" fontId="37" fillId="52" borderId="38" xfId="57" applyFont="1" applyFill="1" applyBorder="1" applyAlignment="1">
      <alignment horizontal="center" vertical="top" wrapText="1"/>
    </xf>
    <xf numFmtId="0" fontId="61" fillId="44" borderId="0" xfId="57" applyFont="1" applyFill="1" applyAlignment="1">
      <alignment horizontal="center" vertical="center" wrapText="1"/>
    </xf>
    <xf numFmtId="0" fontId="39" fillId="51" borderId="42" xfId="57" applyFont="1" applyFill="1" applyBorder="1" applyAlignment="1">
      <alignment horizontal="center" vertical="center" wrapText="1"/>
    </xf>
    <xf numFmtId="0" fontId="39" fillId="51" borderId="54" xfId="57" applyFont="1" applyFill="1" applyBorder="1" applyAlignment="1">
      <alignment horizontal="center" vertical="center" wrapText="1"/>
    </xf>
    <xf numFmtId="0" fontId="39" fillId="51" borderId="32" xfId="57" applyFont="1" applyFill="1" applyBorder="1" applyAlignment="1">
      <alignment horizontal="center" vertical="center"/>
    </xf>
    <xf numFmtId="170" fontId="35" fillId="44" borderId="39" xfId="57" applyNumberFormat="1" applyFont="1" applyFill="1" applyBorder="1" applyAlignment="1">
      <alignment horizontal="center" vertical="center"/>
    </xf>
    <xf numFmtId="0" fontId="35" fillId="44" borderId="22" xfId="57" applyFont="1" applyFill="1" applyBorder="1" applyAlignment="1">
      <alignment horizontal="center" vertical="center"/>
    </xf>
    <xf numFmtId="170" fontId="35" fillId="44" borderId="42" xfId="57" applyNumberFormat="1" applyFont="1" applyFill="1" applyBorder="1" applyAlignment="1">
      <alignment horizontal="center" vertical="center"/>
    </xf>
    <xf numFmtId="0" fontId="35" fillId="44" borderId="32" xfId="57" applyFont="1" applyFill="1" applyBorder="1" applyAlignment="1">
      <alignment horizontal="center" vertical="center"/>
    </xf>
    <xf numFmtId="0" fontId="35" fillId="44" borderId="0" xfId="57" applyFont="1" applyFill="1" applyAlignment="1">
      <alignment horizontal="left" wrapText="1"/>
    </xf>
    <xf numFmtId="0" fontId="39" fillId="33" borderId="44" xfId="57" applyFont="1" applyFill="1" applyBorder="1" applyAlignment="1">
      <alignment horizontal="center" vertical="center"/>
    </xf>
    <xf numFmtId="0" fontId="39" fillId="33" borderId="37" xfId="57" applyFont="1" applyFill="1" applyBorder="1" applyAlignment="1">
      <alignment horizontal="center" vertical="center"/>
    </xf>
    <xf numFmtId="0" fontId="36" fillId="44" borderId="0" xfId="57" applyFont="1" applyFill="1" applyAlignment="1">
      <alignment horizontal="center" vertical="center"/>
    </xf>
    <xf numFmtId="0" fontId="62" fillId="44" borderId="0" xfId="57" applyFont="1" applyFill="1" applyAlignment="1">
      <alignment vertical="center"/>
    </xf>
    <xf numFmtId="0" fontId="35" fillId="45" borderId="0" xfId="57" applyFont="1" applyFill="1" applyAlignment="1">
      <alignment horizontal="center" vertical="center"/>
    </xf>
    <xf numFmtId="165" fontId="23" fillId="0" borderId="12" xfId="48" applyNumberFormat="1" applyFont="1">
      <alignment wrapText="1"/>
    </xf>
    <xf numFmtId="4" fontId="23" fillId="0" borderId="12" xfId="48" applyNumberFormat="1" applyFont="1">
      <alignment wrapText="1"/>
    </xf>
    <xf numFmtId="0" fontId="0" fillId="42" borderId="0" xfId="0" applyFill="1"/>
    <xf numFmtId="164" fontId="0" fillId="42" borderId="0" xfId="0" applyNumberFormat="1" applyFill="1"/>
    <xf numFmtId="0" fontId="16" fillId="33" borderId="0" xfId="0" applyFont="1" applyFill="1" applyAlignment="1">
      <alignment horizontal="center"/>
    </xf>
    <xf numFmtId="0" fontId="16" fillId="33" borderId="0" xfId="0" applyFont="1" applyFill="1" applyAlignment="1">
      <alignment horizontal="right"/>
    </xf>
    <xf numFmtId="0" fontId="16" fillId="35" borderId="0" xfId="0" applyFont="1" applyFill="1"/>
    <xf numFmtId="174" fontId="0" fillId="0" borderId="0" xfId="0" applyNumberFormat="1"/>
    <xf numFmtId="2" fontId="0" fillId="0" borderId="0" xfId="0" applyNumberFormat="1"/>
    <xf numFmtId="0" fontId="16" fillId="35" borderId="0" xfId="0" applyFont="1" applyFill="1" applyAlignment="1">
      <alignment horizontal="center"/>
    </xf>
    <xf numFmtId="2" fontId="0" fillId="0" borderId="0" xfId="1" applyNumberFormat="1" applyFont="1" applyFill="1"/>
    <xf numFmtId="0" fontId="16" fillId="33" borderId="0" xfId="0" applyFont="1" applyFill="1" applyAlignment="1">
      <alignment horizontal="center" wrapText="1"/>
    </xf>
    <xf numFmtId="9" fontId="0" fillId="0" borderId="0" xfId="1" applyFont="1"/>
    <xf numFmtId="0" fontId="16" fillId="54" borderId="0" xfId="0" applyFont="1" applyFill="1"/>
    <xf numFmtId="0" fontId="0" fillId="33" borderId="0" xfId="0" applyFill="1" applyAlignment="1">
      <alignment horizontal="center"/>
    </xf>
    <xf numFmtId="165" fontId="0" fillId="0" borderId="0" xfId="0" applyNumberFormat="1"/>
    <xf numFmtId="0" fontId="16" fillId="55" borderId="0" xfId="0" applyFont="1" applyFill="1"/>
    <xf numFmtId="0" fontId="0" fillId="55" borderId="0" xfId="0" applyFill="1"/>
    <xf numFmtId="9" fontId="0" fillId="34" borderId="0" xfId="1" applyFont="1" applyFill="1"/>
    <xf numFmtId="9" fontId="0" fillId="34" borderId="0" xfId="0" applyNumberFormat="1" applyFill="1"/>
    <xf numFmtId="0" fontId="16" fillId="38" borderId="0" xfId="0" applyFont="1" applyFill="1" applyAlignment="1">
      <alignment horizontal="left" wrapText="1"/>
    </xf>
    <xf numFmtId="9" fontId="0" fillId="0" borderId="0" xfId="1" applyFont="1" applyAlignment="1">
      <alignment horizontal="center"/>
    </xf>
    <xf numFmtId="2" fontId="0" fillId="34" borderId="0" xfId="0" applyNumberFormat="1" applyFill="1"/>
    <xf numFmtId="2" fontId="0" fillId="35" borderId="0" xfId="0" applyNumberFormat="1" applyFill="1"/>
    <xf numFmtId="2" fontId="0" fillId="36" borderId="0" xfId="0" applyNumberFormat="1" applyFill="1"/>
    <xf numFmtId="2" fontId="17" fillId="56" borderId="0" xfId="0" applyNumberFormat="1" applyFont="1" applyFill="1"/>
    <xf numFmtId="0" fontId="0" fillId="55" borderId="0" xfId="0" applyFill="1" applyAlignment="1">
      <alignment horizontal="center"/>
    </xf>
    <xf numFmtId="4" fontId="0" fillId="0" borderId="0" xfId="0" applyNumberFormat="1"/>
    <xf numFmtId="177" fontId="16" fillId="34" borderId="0" xfId="0" applyNumberFormat="1" applyFont="1" applyFill="1"/>
    <xf numFmtId="164" fontId="16" fillId="34" borderId="0" xfId="0" applyNumberFormat="1" applyFont="1" applyFill="1"/>
    <xf numFmtId="3" fontId="0" fillId="0" borderId="0" xfId="0" applyNumberFormat="1" applyAlignment="1">
      <alignment horizontal="center"/>
    </xf>
    <xf numFmtId="14" fontId="0" fillId="0" borderId="0" xfId="0" applyNumberFormat="1"/>
    <xf numFmtId="164" fontId="0" fillId="35" borderId="0" xfId="0" applyNumberFormat="1" applyFill="1"/>
    <xf numFmtId="0" fontId="68" fillId="0" borderId="0" xfId="0" applyFont="1"/>
    <xf numFmtId="0" fontId="78" fillId="0" borderId="0" xfId="0" applyFont="1"/>
    <xf numFmtId="0" fontId="76" fillId="0" borderId="0" xfId="0" applyFont="1"/>
    <xf numFmtId="0" fontId="83" fillId="0" borderId="0" xfId="0" applyFont="1"/>
    <xf numFmtId="164" fontId="83" fillId="0" borderId="0" xfId="0" applyNumberFormat="1" applyFont="1" applyAlignment="1">
      <alignment horizontal="center" vertical="center"/>
    </xf>
    <xf numFmtId="0" fontId="83" fillId="0" borderId="0" xfId="0" applyFont="1" applyAlignment="1">
      <alignment horizontal="center" vertical="center"/>
    </xf>
    <xf numFmtId="1" fontId="83" fillId="0" borderId="0" xfId="0" applyNumberFormat="1" applyFont="1" applyAlignment="1">
      <alignment horizontal="center" vertical="center"/>
    </xf>
    <xf numFmtId="2" fontId="83" fillId="0" borderId="0" xfId="0" applyNumberFormat="1" applyFont="1" applyAlignment="1">
      <alignment horizontal="center" vertical="center"/>
    </xf>
    <xf numFmtId="0" fontId="83" fillId="0" borderId="0" xfId="0" applyFont="1" applyAlignment="1">
      <alignment horizontal="center"/>
    </xf>
    <xf numFmtId="1" fontId="83" fillId="0" borderId="0" xfId="0" applyNumberFormat="1" applyFont="1" applyAlignment="1">
      <alignment horizontal="center"/>
    </xf>
    <xf numFmtId="164" fontId="83" fillId="0" borderId="84" xfId="0" applyNumberFormat="1" applyFont="1" applyBorder="1" applyAlignment="1">
      <alignment horizontal="center" vertical="center"/>
    </xf>
    <xf numFmtId="164" fontId="83" fillId="0" borderId="0" xfId="0" applyNumberFormat="1" applyFont="1"/>
    <xf numFmtId="1" fontId="83" fillId="0" borderId="0" xfId="0" applyNumberFormat="1" applyFont="1"/>
    <xf numFmtId="11" fontId="0" fillId="0" borderId="0" xfId="0" applyNumberFormat="1"/>
    <xf numFmtId="0" fontId="76" fillId="67" borderId="0" xfId="0" applyFont="1" applyFill="1"/>
    <xf numFmtId="0" fontId="84" fillId="0" borderId="0" xfId="0" applyFont="1"/>
    <xf numFmtId="0" fontId="85" fillId="64" borderId="94" xfId="0" applyFont="1" applyFill="1" applyBorder="1" applyAlignment="1">
      <alignment horizontal="left" vertical="center" indent="1"/>
    </xf>
    <xf numFmtId="0" fontId="83" fillId="64" borderId="95" xfId="0" applyFont="1" applyFill="1" applyBorder="1"/>
    <xf numFmtId="0" fontId="83" fillId="64" borderId="95" xfId="0" applyFont="1" applyFill="1" applyBorder="1" applyAlignment="1">
      <alignment horizontal="center" vertical="center"/>
    </xf>
    <xf numFmtId="183" fontId="83" fillId="64" borderId="95" xfId="1" applyNumberFormat="1" applyFont="1" applyFill="1" applyBorder="1" applyAlignment="1">
      <alignment horizontal="center" vertical="center"/>
    </xf>
    <xf numFmtId="0" fontId="83" fillId="64" borderId="96" xfId="0" applyFont="1" applyFill="1" applyBorder="1"/>
    <xf numFmtId="0" fontId="83" fillId="0" borderId="0" xfId="0" applyFont="1" applyAlignment="1">
      <alignment vertical="center"/>
    </xf>
    <xf numFmtId="0" fontId="83" fillId="65" borderId="97" xfId="0" applyFont="1" applyFill="1" applyBorder="1"/>
    <xf numFmtId="0" fontId="83" fillId="65" borderId="0" xfId="0" applyFont="1" applyFill="1"/>
    <xf numFmtId="0" fontId="86" fillId="65" borderId="0" xfId="0" applyFont="1" applyFill="1"/>
    <xf numFmtId="0" fontId="83" fillId="65" borderId="0" xfId="0" applyFont="1" applyFill="1" applyAlignment="1">
      <alignment horizontal="center" vertical="center"/>
    </xf>
    <xf numFmtId="0" fontId="83" fillId="65" borderId="107" xfId="0" applyFont="1" applyFill="1" applyBorder="1" applyAlignment="1">
      <alignment horizontal="center" vertical="center"/>
    </xf>
    <xf numFmtId="0" fontId="83" fillId="65" borderId="98" xfId="0" applyFont="1" applyFill="1" applyBorder="1" applyAlignment="1">
      <alignment vertical="center"/>
    </xf>
    <xf numFmtId="0" fontId="76" fillId="67" borderId="0" xfId="0" applyFont="1" applyFill="1" applyAlignment="1">
      <alignment vertical="center"/>
    </xf>
    <xf numFmtId="0" fontId="76" fillId="0" borderId="0" xfId="0" applyFont="1" applyAlignment="1">
      <alignment vertical="center"/>
    </xf>
    <xf numFmtId="0" fontId="83" fillId="65" borderId="105" xfId="0" applyFont="1" applyFill="1" applyBorder="1" applyAlignment="1">
      <alignment horizontal="left" vertical="center"/>
    </xf>
    <xf numFmtId="0" fontId="83" fillId="65" borderId="105" xfId="0" applyFont="1" applyFill="1" applyBorder="1" applyAlignment="1">
      <alignment horizontal="right" vertical="center"/>
    </xf>
    <xf numFmtId="0" fontId="83" fillId="65" borderId="0" xfId="0" applyFont="1" applyFill="1" applyAlignment="1">
      <alignment horizontal="right" vertical="center"/>
    </xf>
    <xf numFmtId="0" fontId="86" fillId="65" borderId="0" xfId="0" applyFont="1" applyFill="1" applyAlignment="1">
      <alignment horizontal="right" vertical="center"/>
    </xf>
    <xf numFmtId="0" fontId="86" fillId="65" borderId="0" xfId="0" applyFont="1" applyFill="1" applyAlignment="1">
      <alignment horizontal="left" vertical="center"/>
    </xf>
    <xf numFmtId="0" fontId="87" fillId="65" borderId="105" xfId="0" applyFont="1" applyFill="1" applyBorder="1" applyAlignment="1">
      <alignment vertical="center"/>
    </xf>
    <xf numFmtId="0" fontId="87" fillId="65" borderId="105" xfId="0" applyFont="1" applyFill="1" applyBorder="1" applyAlignment="1">
      <alignment horizontal="center" vertical="center"/>
    </xf>
    <xf numFmtId="0" fontId="83" fillId="65" borderId="98" xfId="0" applyFont="1" applyFill="1" applyBorder="1"/>
    <xf numFmtId="0" fontId="89" fillId="0" borderId="0" xfId="70" applyNumberFormat="1" applyFont="1" applyFill="1" applyBorder="1"/>
    <xf numFmtId="0" fontId="89" fillId="65" borderId="97" xfId="70" applyNumberFormat="1" applyFont="1" applyFill="1" applyBorder="1"/>
    <xf numFmtId="0" fontId="78" fillId="65" borderId="0" xfId="70" applyNumberFormat="1" applyFont="1" applyFill="1" applyBorder="1"/>
    <xf numFmtId="0" fontId="89" fillId="65" borderId="0" xfId="70" applyNumberFormat="1" applyFont="1" applyFill="1" applyBorder="1"/>
    <xf numFmtId="0" fontId="90" fillId="65" borderId="0" xfId="0" applyFont="1" applyFill="1"/>
    <xf numFmtId="0" fontId="91" fillId="65" borderId="0" xfId="0" applyFont="1" applyFill="1"/>
    <xf numFmtId="180" fontId="89" fillId="65" borderId="0" xfId="70" applyNumberFormat="1" applyFont="1" applyFill="1" applyBorder="1"/>
    <xf numFmtId="180" fontId="89" fillId="65" borderId="0" xfId="70" applyNumberFormat="1" applyFont="1" applyFill="1" applyBorder="1" applyAlignment="1">
      <alignment horizontal="center" vertical="center"/>
    </xf>
    <xf numFmtId="180" fontId="89" fillId="65" borderId="98" xfId="70" applyNumberFormat="1" applyFont="1" applyFill="1" applyBorder="1"/>
    <xf numFmtId="180" fontId="89" fillId="67" borderId="0" xfId="70" applyNumberFormat="1" applyFont="1" applyFill="1" applyBorder="1"/>
    <xf numFmtId="0" fontId="92" fillId="65" borderId="108" xfId="0" applyFont="1" applyFill="1" applyBorder="1" applyAlignment="1">
      <alignment horizontal="center" vertical="center" wrapText="1"/>
    </xf>
    <xf numFmtId="0" fontId="93" fillId="0" borderId="0" xfId="70" applyNumberFormat="1" applyFont="1" applyFill="1" applyBorder="1"/>
    <xf numFmtId="0" fontId="93" fillId="65" borderId="97" xfId="70" applyNumberFormat="1" applyFont="1" applyFill="1" applyBorder="1"/>
    <xf numFmtId="0" fontId="94" fillId="65" borderId="0" xfId="0" applyFont="1" applyFill="1"/>
    <xf numFmtId="180" fontId="93" fillId="65" borderId="0" xfId="70" applyNumberFormat="1" applyFont="1" applyFill="1" applyBorder="1"/>
    <xf numFmtId="180" fontId="93" fillId="65" borderId="98" xfId="70" applyNumberFormat="1" applyFont="1" applyFill="1" applyBorder="1"/>
    <xf numFmtId="180" fontId="93" fillId="67" borderId="0" xfId="70" applyNumberFormat="1" applyFont="1" applyFill="1" applyBorder="1"/>
    <xf numFmtId="174" fontId="93" fillId="0" borderId="0" xfId="70" applyNumberFormat="1" applyFont="1" applyFill="1" applyBorder="1"/>
    <xf numFmtId="164" fontId="93" fillId="0" borderId="0" xfId="70" applyNumberFormat="1" applyFont="1" applyFill="1" applyBorder="1"/>
    <xf numFmtId="0" fontId="93" fillId="65" borderId="0" xfId="70" applyNumberFormat="1" applyFont="1" applyFill="1" applyBorder="1"/>
    <xf numFmtId="0" fontId="95" fillId="65" borderId="0" xfId="0" applyFont="1" applyFill="1"/>
    <xf numFmtId="0" fontId="96" fillId="65" borderId="0" xfId="0" applyFont="1" applyFill="1"/>
    <xf numFmtId="180" fontId="93" fillId="65" borderId="0" xfId="70" applyNumberFormat="1" applyFont="1" applyFill="1" applyBorder="1" applyAlignment="1">
      <alignment horizontal="center" vertical="center"/>
    </xf>
    <xf numFmtId="174" fontId="89" fillId="0" borderId="0" xfId="70" applyNumberFormat="1" applyFont="1" applyFill="1" applyBorder="1"/>
    <xf numFmtId="164" fontId="89" fillId="0" borderId="0" xfId="70" applyNumberFormat="1" applyFont="1" applyFill="1" applyBorder="1"/>
    <xf numFmtId="184" fontId="89" fillId="67" borderId="0" xfId="70" applyNumberFormat="1" applyFont="1" applyFill="1" applyBorder="1"/>
    <xf numFmtId="184" fontId="93" fillId="67" borderId="0" xfId="70" applyNumberFormat="1" applyFont="1" applyFill="1" applyBorder="1"/>
    <xf numFmtId="185" fontId="93" fillId="65" borderId="0" xfId="1" applyNumberFormat="1" applyFont="1" applyFill="1" applyBorder="1"/>
    <xf numFmtId="180" fontId="83" fillId="65" borderId="98" xfId="63" applyNumberFormat="1" applyFont="1" applyFill="1" applyBorder="1"/>
    <xf numFmtId="180" fontId="76" fillId="67" borderId="0" xfId="63" applyNumberFormat="1" applyFont="1" applyFill="1" applyBorder="1"/>
    <xf numFmtId="180" fontId="76" fillId="0" borderId="0" xfId="63" applyNumberFormat="1" applyFont="1" applyFill="1" applyBorder="1"/>
    <xf numFmtId="0" fontId="94" fillId="0" borderId="0" xfId="0" applyFont="1"/>
    <xf numFmtId="0" fontId="94" fillId="65" borderId="97" xfId="0" applyFont="1" applyFill="1" applyBorder="1"/>
    <xf numFmtId="180" fontId="94" fillId="65" borderId="98" xfId="63" applyNumberFormat="1" applyFont="1" applyFill="1" applyBorder="1"/>
    <xf numFmtId="180" fontId="78" fillId="67" borderId="0" xfId="63" applyNumberFormat="1" applyFont="1" applyFill="1" applyBorder="1"/>
    <xf numFmtId="0" fontId="92" fillId="65" borderId="0" xfId="0" applyFont="1" applyFill="1" applyAlignment="1">
      <alignment horizontal="center" vertical="center" wrapText="1"/>
    </xf>
    <xf numFmtId="0" fontId="94" fillId="67" borderId="0" xfId="0" applyFont="1" applyFill="1" applyAlignment="1">
      <alignment vertical="center"/>
    </xf>
    <xf numFmtId="0" fontId="97" fillId="65" borderId="97" xfId="0" applyFont="1" applyFill="1" applyBorder="1" applyAlignment="1">
      <alignment vertical="center"/>
    </xf>
    <xf numFmtId="0" fontId="98" fillId="65" borderId="0" xfId="0" applyFont="1" applyFill="1" applyAlignment="1">
      <alignment vertical="center"/>
    </xf>
    <xf numFmtId="0" fontId="94" fillId="65" borderId="104" xfId="0" applyFont="1" applyFill="1" applyBorder="1" applyAlignment="1">
      <alignment vertical="center"/>
    </xf>
    <xf numFmtId="182" fontId="94" fillId="65" borderId="104" xfId="63" applyNumberFormat="1" applyFont="1" applyFill="1" applyBorder="1" applyAlignment="1">
      <alignment vertical="center"/>
    </xf>
    <xf numFmtId="182" fontId="94" fillId="65" borderId="104" xfId="63" applyNumberFormat="1" applyFont="1" applyFill="1" applyBorder="1" applyAlignment="1">
      <alignment horizontal="center" vertical="center"/>
    </xf>
    <xf numFmtId="164" fontId="94" fillId="65" borderId="104" xfId="63" applyNumberFormat="1" applyFont="1" applyFill="1" applyBorder="1" applyAlignment="1">
      <alignment horizontal="center" vertical="center"/>
    </xf>
    <xf numFmtId="180" fontId="94" fillId="65" borderId="98" xfId="63" applyNumberFormat="1" applyFont="1" applyFill="1" applyBorder="1" applyAlignment="1">
      <alignment vertical="center"/>
    </xf>
    <xf numFmtId="186" fontId="78" fillId="67" borderId="0" xfId="63" applyNumberFormat="1" applyFont="1" applyFill="1" applyBorder="1" applyAlignment="1">
      <alignment vertical="center"/>
    </xf>
    <xf numFmtId="0" fontId="78" fillId="0" borderId="0" xfId="0" applyFont="1" applyAlignment="1">
      <alignment vertical="center"/>
    </xf>
    <xf numFmtId="0" fontId="94" fillId="0" borderId="0" xfId="0" applyFont="1" applyAlignment="1">
      <alignment vertical="center"/>
    </xf>
    <xf numFmtId="0" fontId="99" fillId="0" borderId="0" xfId="0" applyFont="1"/>
    <xf numFmtId="0" fontId="100" fillId="65" borderId="97" xfId="0" applyFont="1" applyFill="1" applyBorder="1" applyAlignment="1">
      <alignment horizontal="left"/>
    </xf>
    <xf numFmtId="0" fontId="101" fillId="65" borderId="0" xfId="0" applyFont="1" applyFill="1"/>
    <xf numFmtId="0" fontId="99" fillId="65" borderId="0" xfId="0" applyFont="1" applyFill="1"/>
    <xf numFmtId="0" fontId="102" fillId="65" borderId="0" xfId="0" applyFont="1" applyFill="1"/>
    <xf numFmtId="180" fontId="102" fillId="65" borderId="0" xfId="63" applyNumberFormat="1" applyFont="1" applyFill="1" applyBorder="1"/>
    <xf numFmtId="180" fontId="102" fillId="65" borderId="0" xfId="63" applyNumberFormat="1" applyFont="1" applyFill="1" applyBorder="1" applyAlignment="1">
      <alignment horizontal="center" vertical="center"/>
    </xf>
    <xf numFmtId="180" fontId="99" fillId="65" borderId="98" xfId="63" applyNumberFormat="1" applyFont="1" applyFill="1" applyBorder="1"/>
    <xf numFmtId="0" fontId="90" fillId="0" borderId="0" xfId="0" applyFont="1"/>
    <xf numFmtId="0" fontId="90" fillId="65" borderId="97" xfId="0" applyFont="1" applyFill="1" applyBorder="1"/>
    <xf numFmtId="0" fontId="103" fillId="65" borderId="0" xfId="0" applyFont="1" applyFill="1"/>
    <xf numFmtId="180" fontId="90" fillId="65" borderId="0" xfId="63" applyNumberFormat="1" applyFont="1" applyFill="1" applyBorder="1"/>
    <xf numFmtId="182" fontId="90" fillId="65" borderId="0" xfId="63" applyNumberFormat="1" applyFont="1" applyFill="1" applyBorder="1" applyAlignment="1">
      <alignment horizontal="center" vertical="center"/>
    </xf>
    <xf numFmtId="182" fontId="90" fillId="70" borderId="0" xfId="63" applyNumberFormat="1" applyFont="1" applyFill="1" applyBorder="1" applyAlignment="1">
      <alignment horizontal="center" vertical="center"/>
    </xf>
    <xf numFmtId="180" fontId="83" fillId="65" borderId="0" xfId="63" applyNumberFormat="1" applyFont="1" applyFill="1" applyBorder="1" applyAlignment="1">
      <alignment horizontal="center" vertical="center"/>
    </xf>
    <xf numFmtId="180" fontId="90" fillId="65" borderId="98" xfId="63" applyNumberFormat="1" applyFont="1" applyFill="1" applyBorder="1"/>
    <xf numFmtId="180" fontId="81" fillId="67" borderId="0" xfId="63" applyNumberFormat="1" applyFont="1" applyFill="1" applyBorder="1"/>
    <xf numFmtId="0" fontId="81" fillId="0" borderId="0" xfId="0" applyFont="1"/>
    <xf numFmtId="0" fontId="104" fillId="65" borderId="0" xfId="0" applyFont="1" applyFill="1"/>
    <xf numFmtId="180" fontId="83" fillId="65" borderId="0" xfId="63" applyNumberFormat="1" applyFont="1" applyFill="1" applyBorder="1"/>
    <xf numFmtId="187" fontId="83" fillId="65" borderId="0" xfId="63" applyNumberFormat="1" applyFont="1" applyFill="1" applyBorder="1" applyAlignment="1">
      <alignment horizontal="center" vertical="center"/>
    </xf>
    <xf numFmtId="182" fontId="89" fillId="65" borderId="0" xfId="70" applyNumberFormat="1" applyFont="1" applyFill="1" applyBorder="1"/>
    <xf numFmtId="182" fontId="89" fillId="65" borderId="0" xfId="70" applyNumberFormat="1" applyFont="1" applyFill="1" applyBorder="1" applyAlignment="1">
      <alignment horizontal="center" vertical="center"/>
    </xf>
    <xf numFmtId="164" fontId="89" fillId="65" borderId="0" xfId="70" applyNumberFormat="1" applyFont="1" applyFill="1" applyBorder="1" applyAlignment="1">
      <alignment horizontal="center" vertical="center"/>
    </xf>
    <xf numFmtId="0" fontId="105" fillId="67" borderId="108" xfId="0" applyFont="1" applyFill="1" applyBorder="1" applyAlignment="1">
      <alignment horizontal="center" vertical="center" wrapText="1"/>
    </xf>
    <xf numFmtId="182" fontId="76" fillId="65" borderId="0" xfId="70" applyNumberFormat="1" applyFont="1" applyFill="1" applyBorder="1" applyAlignment="1">
      <alignment horizontal="center" vertical="center"/>
    </xf>
    <xf numFmtId="164" fontId="76" fillId="65" borderId="0" xfId="70" applyNumberFormat="1" applyFont="1" applyFill="1" applyBorder="1" applyAlignment="1">
      <alignment horizontal="center" vertical="center"/>
    </xf>
    <xf numFmtId="182" fontId="83" fillId="65" borderId="0" xfId="63" applyNumberFormat="1" applyFont="1" applyFill="1" applyBorder="1"/>
    <xf numFmtId="182" fontId="83" fillId="65" borderId="0" xfId="63" applyNumberFormat="1" applyFont="1" applyFill="1" applyBorder="1" applyAlignment="1">
      <alignment horizontal="center" vertical="center"/>
    </xf>
    <xf numFmtId="164" fontId="83" fillId="65" borderId="0" xfId="63" applyNumberFormat="1" applyFont="1" applyFill="1" applyBorder="1" applyAlignment="1">
      <alignment horizontal="center" vertical="center"/>
    </xf>
    <xf numFmtId="178" fontId="89" fillId="0" borderId="0" xfId="1" applyNumberFormat="1" applyFont="1" applyFill="1" applyBorder="1"/>
    <xf numFmtId="1" fontId="90" fillId="65" borderId="0" xfId="0" applyNumberFormat="1" applyFont="1" applyFill="1"/>
    <xf numFmtId="180" fontId="89" fillId="0" borderId="0" xfId="70" applyNumberFormat="1" applyFont="1" applyFill="1" applyBorder="1"/>
    <xf numFmtId="178" fontId="83" fillId="65" borderId="0" xfId="1" applyNumberFormat="1" applyFont="1" applyFill="1" applyBorder="1"/>
    <xf numFmtId="187" fontId="76" fillId="67" borderId="0" xfId="63" applyNumberFormat="1" applyFont="1" applyFill="1" applyBorder="1"/>
    <xf numFmtId="0" fontId="94" fillId="65" borderId="0" xfId="0" applyFont="1" applyFill="1" applyAlignment="1">
      <alignment vertical="center"/>
    </xf>
    <xf numFmtId="180" fontId="78" fillId="67" borderId="0" xfId="63" applyNumberFormat="1" applyFont="1" applyFill="1" applyBorder="1" applyAlignment="1">
      <alignment vertical="center"/>
    </xf>
    <xf numFmtId="180" fontId="78" fillId="0" borderId="0" xfId="0" applyNumberFormat="1" applyFont="1" applyAlignment="1">
      <alignment vertical="center"/>
    </xf>
    <xf numFmtId="180" fontId="78" fillId="0" borderId="0" xfId="63" applyNumberFormat="1" applyFont="1" applyFill="1" applyBorder="1" applyAlignment="1">
      <alignment vertical="center"/>
    </xf>
    <xf numFmtId="1" fontId="83" fillId="65" borderId="0" xfId="63" applyNumberFormat="1" applyFont="1" applyFill="1" applyBorder="1" applyAlignment="1">
      <alignment horizontal="center" vertical="center"/>
    </xf>
    <xf numFmtId="181" fontId="83" fillId="65" borderId="0" xfId="1" applyNumberFormat="1" applyFont="1" applyFill="1" applyBorder="1" applyAlignment="1">
      <alignment horizontal="center" vertical="center"/>
    </xf>
    <xf numFmtId="1" fontId="83" fillId="65" borderId="0" xfId="1" applyNumberFormat="1" applyFont="1" applyFill="1" applyBorder="1" applyAlignment="1">
      <alignment horizontal="center" vertical="center"/>
    </xf>
    <xf numFmtId="183" fontId="83" fillId="65" borderId="0" xfId="1" applyNumberFormat="1" applyFont="1" applyFill="1" applyBorder="1" applyAlignment="1">
      <alignment horizontal="center" vertical="center"/>
    </xf>
    <xf numFmtId="178" fontId="83" fillId="65" borderId="0" xfId="1" applyNumberFormat="1" applyFont="1" applyFill="1" applyBorder="1" applyAlignment="1">
      <alignment horizontal="center" vertical="center"/>
    </xf>
    <xf numFmtId="178" fontId="83" fillId="65" borderId="98" xfId="1" applyNumberFormat="1" applyFont="1" applyFill="1" applyBorder="1"/>
    <xf numFmtId="180" fontId="106" fillId="65" borderId="0" xfId="70" applyNumberFormat="1" applyFont="1" applyFill="1" applyBorder="1"/>
    <xf numFmtId="0" fontId="83" fillId="67" borderId="0" xfId="0" applyFont="1" applyFill="1" applyAlignment="1">
      <alignment vertical="center"/>
    </xf>
    <xf numFmtId="0" fontId="83" fillId="65" borderId="0" xfId="0" applyFont="1" applyFill="1" applyAlignment="1">
      <alignment vertical="center"/>
    </xf>
    <xf numFmtId="180" fontId="94" fillId="65" borderId="104" xfId="63" applyNumberFormat="1" applyFont="1" applyFill="1" applyBorder="1" applyAlignment="1">
      <alignment vertical="center"/>
    </xf>
    <xf numFmtId="180" fontId="94" fillId="65" borderId="0" xfId="63" applyNumberFormat="1" applyFont="1" applyFill="1" applyBorder="1" applyAlignment="1">
      <alignment vertical="center"/>
    </xf>
    <xf numFmtId="180" fontId="107" fillId="65" borderId="0" xfId="63" applyNumberFormat="1" applyFont="1" applyFill="1" applyBorder="1" applyAlignment="1">
      <alignment vertical="center"/>
    </xf>
    <xf numFmtId="180" fontId="94" fillId="65" borderId="104" xfId="63" applyNumberFormat="1" applyFont="1" applyFill="1" applyBorder="1" applyAlignment="1">
      <alignment horizontal="center" vertical="center"/>
    </xf>
    <xf numFmtId="180" fontId="83" fillId="65" borderId="98" xfId="63" applyNumberFormat="1" applyFont="1" applyFill="1" applyBorder="1" applyAlignment="1">
      <alignment vertical="center"/>
    </xf>
    <xf numFmtId="180" fontId="76" fillId="67" borderId="0" xfId="63" applyNumberFormat="1" applyFont="1" applyFill="1" applyBorder="1" applyAlignment="1">
      <alignment vertical="center"/>
    </xf>
    <xf numFmtId="180" fontId="94" fillId="65" borderId="0" xfId="63" applyNumberFormat="1" applyFont="1" applyFill="1" applyBorder="1" applyAlignment="1">
      <alignment horizontal="center" vertical="center"/>
    </xf>
    <xf numFmtId="182" fontId="78" fillId="65" borderId="0" xfId="63" applyNumberFormat="1" applyFont="1" applyFill="1" applyBorder="1" applyAlignment="1">
      <alignment vertical="center"/>
    </xf>
    <xf numFmtId="182" fontId="78" fillId="65" borderId="0" xfId="63" applyNumberFormat="1" applyFont="1" applyFill="1" applyBorder="1" applyAlignment="1">
      <alignment horizontal="center" vertical="center"/>
    </xf>
    <xf numFmtId="178" fontId="83" fillId="65" borderId="98" xfId="1" applyNumberFormat="1" applyFont="1" applyFill="1" applyBorder="1" applyAlignment="1">
      <alignment vertical="center"/>
    </xf>
    <xf numFmtId="0" fontId="108" fillId="65" borderId="97" xfId="0" applyFont="1" applyFill="1" applyBorder="1" applyAlignment="1">
      <alignment vertical="center"/>
    </xf>
    <xf numFmtId="165" fontId="94" fillId="65" borderId="0" xfId="63" applyNumberFormat="1" applyFont="1" applyFill="1" applyBorder="1" applyAlignment="1">
      <alignment vertical="center"/>
    </xf>
    <xf numFmtId="9" fontId="94" fillId="65" borderId="0" xfId="63" applyNumberFormat="1" applyFont="1" applyFill="1" applyBorder="1" applyAlignment="1">
      <alignment horizontal="center" vertical="center"/>
    </xf>
    <xf numFmtId="178" fontId="94" fillId="65" borderId="0" xfId="1" applyNumberFormat="1" applyFont="1" applyFill="1" applyBorder="1" applyAlignment="1">
      <alignment vertical="center"/>
    </xf>
    <xf numFmtId="187" fontId="76" fillId="67" borderId="0" xfId="63" applyNumberFormat="1" applyFont="1" applyFill="1" applyBorder="1" applyAlignment="1">
      <alignment vertical="center"/>
    </xf>
    <xf numFmtId="0" fontId="94" fillId="71" borderId="0" xfId="0" applyFont="1" applyFill="1" applyAlignment="1">
      <alignment vertical="center"/>
    </xf>
    <xf numFmtId="0" fontId="83" fillId="71" borderId="0" xfId="0" applyFont="1" applyFill="1"/>
    <xf numFmtId="180" fontId="94" fillId="71" borderId="0" xfId="63" applyNumberFormat="1" applyFont="1" applyFill="1" applyBorder="1" applyAlignment="1">
      <alignment vertical="center"/>
    </xf>
    <xf numFmtId="180" fontId="107" fillId="71" borderId="0" xfId="63" applyNumberFormat="1" applyFont="1" applyFill="1" applyBorder="1" applyAlignment="1">
      <alignment vertical="center"/>
    </xf>
    <xf numFmtId="0" fontId="87" fillId="71" borderId="105" xfId="0" applyFont="1" applyFill="1" applyBorder="1" applyAlignment="1">
      <alignment vertical="center"/>
    </xf>
    <xf numFmtId="0" fontId="87" fillId="71" borderId="105" xfId="0" applyFont="1" applyFill="1" applyBorder="1" applyAlignment="1">
      <alignment horizontal="center" vertical="center"/>
    </xf>
    <xf numFmtId="0" fontId="83" fillId="71" borderId="0" xfId="0" applyFont="1" applyFill="1" applyAlignment="1">
      <alignment vertical="center"/>
    </xf>
    <xf numFmtId="165" fontId="94" fillId="71" borderId="0" xfId="63" applyNumberFormat="1" applyFont="1" applyFill="1" applyBorder="1" applyAlignment="1">
      <alignment vertical="center"/>
    </xf>
    <xf numFmtId="9" fontId="94" fillId="71" borderId="0" xfId="63" applyNumberFormat="1" applyFont="1" applyFill="1" applyBorder="1" applyAlignment="1">
      <alignment horizontal="center" vertical="center"/>
    </xf>
    <xf numFmtId="178" fontId="94" fillId="71" borderId="0" xfId="1" applyNumberFormat="1" applyFont="1" applyFill="1" applyBorder="1" applyAlignment="1">
      <alignment vertical="center"/>
    </xf>
    <xf numFmtId="0" fontId="108" fillId="65" borderId="0" xfId="0" applyFont="1" applyFill="1" applyAlignment="1">
      <alignment vertical="center"/>
    </xf>
    <xf numFmtId="0" fontId="105" fillId="67" borderId="0" xfId="0" applyFont="1" applyFill="1" applyAlignment="1">
      <alignment horizontal="center" vertical="center" wrapText="1"/>
    </xf>
    <xf numFmtId="180" fontId="94" fillId="0" borderId="0" xfId="63" applyNumberFormat="1" applyFont="1" applyFill="1" applyBorder="1" applyAlignment="1">
      <alignment vertical="center"/>
    </xf>
    <xf numFmtId="180" fontId="107" fillId="0" borderId="0" xfId="63" applyNumberFormat="1" applyFont="1" applyFill="1" applyBorder="1" applyAlignment="1">
      <alignment vertical="center"/>
    </xf>
    <xf numFmtId="180" fontId="94" fillId="0" borderId="0" xfId="63" applyNumberFormat="1" applyFont="1" applyFill="1" applyBorder="1" applyAlignment="1">
      <alignment horizontal="center" vertical="center"/>
    </xf>
    <xf numFmtId="0" fontId="85" fillId="72" borderId="94" xfId="0" applyFont="1" applyFill="1" applyBorder="1" applyAlignment="1">
      <alignment horizontal="left" vertical="center" indent="1"/>
    </xf>
    <xf numFmtId="0" fontId="83" fillId="72" borderId="95" xfId="0" applyFont="1" applyFill="1" applyBorder="1"/>
    <xf numFmtId="0" fontId="86" fillId="72" borderId="95" xfId="0" applyFont="1" applyFill="1" applyBorder="1"/>
    <xf numFmtId="180" fontId="83" fillId="72" borderId="95" xfId="63" applyNumberFormat="1" applyFont="1" applyFill="1" applyBorder="1"/>
    <xf numFmtId="180" fontId="83" fillId="72" borderId="95" xfId="63" applyNumberFormat="1" applyFont="1" applyFill="1" applyBorder="1" applyAlignment="1">
      <alignment horizontal="center" vertical="center"/>
    </xf>
    <xf numFmtId="180" fontId="83" fillId="72" borderId="96" xfId="63" applyNumberFormat="1" applyFont="1" applyFill="1" applyBorder="1"/>
    <xf numFmtId="0" fontId="97" fillId="73" borderId="0" xfId="0" applyFont="1" applyFill="1" applyAlignment="1">
      <alignment vertical="center"/>
    </xf>
    <xf numFmtId="0" fontId="83" fillId="73" borderId="102" xfId="0" applyFont="1" applyFill="1" applyBorder="1"/>
    <xf numFmtId="0" fontId="86" fillId="73" borderId="102" xfId="0" applyFont="1" applyFill="1" applyBorder="1"/>
    <xf numFmtId="180" fontId="83" fillId="73" borderId="102" xfId="63" applyNumberFormat="1" applyFont="1" applyFill="1" applyBorder="1"/>
    <xf numFmtId="180" fontId="83" fillId="73" borderId="102" xfId="63" applyNumberFormat="1" applyFont="1" applyFill="1" applyBorder="1" applyAlignment="1">
      <alignment horizontal="center" vertical="center"/>
    </xf>
    <xf numFmtId="180" fontId="83" fillId="73" borderId="103" xfId="63" applyNumberFormat="1" applyFont="1" applyFill="1" applyBorder="1"/>
    <xf numFmtId="0" fontId="85" fillId="73" borderId="94" xfId="0" applyFont="1" applyFill="1" applyBorder="1" applyAlignment="1">
      <alignment horizontal="left" vertical="center" indent="1"/>
    </xf>
    <xf numFmtId="0" fontId="83" fillId="73" borderId="0" xfId="0" applyFont="1" applyFill="1"/>
    <xf numFmtId="180" fontId="89" fillId="73" borderId="0" xfId="70" applyNumberFormat="1" applyFont="1" applyFill="1" applyBorder="1"/>
    <xf numFmtId="180" fontId="106" fillId="73" borderId="0" xfId="70" applyNumberFormat="1" applyFont="1" applyFill="1" applyBorder="1"/>
    <xf numFmtId="180" fontId="83" fillId="73" borderId="0" xfId="63" applyNumberFormat="1" applyFont="1" applyFill="1" applyBorder="1"/>
    <xf numFmtId="180" fontId="83" fillId="73" borderId="0" xfId="63" applyNumberFormat="1" applyFont="1" applyFill="1" applyBorder="1" applyAlignment="1">
      <alignment horizontal="center" vertical="center"/>
    </xf>
    <xf numFmtId="180" fontId="83" fillId="73" borderId="98" xfId="63" applyNumberFormat="1" applyFont="1" applyFill="1" applyBorder="1"/>
    <xf numFmtId="0" fontId="83" fillId="73" borderId="101" xfId="0" applyFont="1" applyFill="1" applyBorder="1"/>
    <xf numFmtId="0" fontId="83" fillId="73" borderId="97" xfId="0" applyFont="1" applyFill="1" applyBorder="1"/>
    <xf numFmtId="0" fontId="83" fillId="73" borderId="0" xfId="0" applyFont="1" applyFill="1" applyAlignment="1">
      <alignment vertical="center"/>
    </xf>
    <xf numFmtId="0" fontId="94" fillId="73" borderId="104" xfId="0" applyFont="1" applyFill="1" applyBorder="1" applyAlignment="1">
      <alignment vertical="center"/>
    </xf>
    <xf numFmtId="180" fontId="94" fillId="73" borderId="104" xfId="63" applyNumberFormat="1" applyFont="1" applyFill="1" applyBorder="1" applyAlignment="1">
      <alignment vertical="center"/>
    </xf>
    <xf numFmtId="180" fontId="94" fillId="73" borderId="0" xfId="63" applyNumberFormat="1" applyFont="1" applyFill="1" applyBorder="1" applyAlignment="1">
      <alignment vertical="center"/>
    </xf>
    <xf numFmtId="180" fontId="107" fillId="73" borderId="0" xfId="63" applyNumberFormat="1" applyFont="1" applyFill="1" applyBorder="1" applyAlignment="1">
      <alignment vertical="center"/>
    </xf>
    <xf numFmtId="180" fontId="94" fillId="73" borderId="104" xfId="63" applyNumberFormat="1" applyFont="1" applyFill="1" applyBorder="1" applyAlignment="1">
      <alignment horizontal="center" vertical="center"/>
    </xf>
    <xf numFmtId="180" fontId="83" fillId="73" borderId="98" xfId="63" applyNumberFormat="1" applyFont="1" applyFill="1" applyBorder="1" applyAlignment="1">
      <alignment vertical="center"/>
    </xf>
    <xf numFmtId="0" fontId="86" fillId="73" borderId="0" xfId="0" applyFont="1" applyFill="1"/>
    <xf numFmtId="0" fontId="108" fillId="73" borderId="97" xfId="0" applyFont="1" applyFill="1" applyBorder="1" applyAlignment="1">
      <alignment vertical="center"/>
    </xf>
    <xf numFmtId="0" fontId="90" fillId="73" borderId="0" xfId="0" applyFont="1" applyFill="1"/>
    <xf numFmtId="0" fontId="91" fillId="73" borderId="0" xfId="0" applyFont="1" applyFill="1"/>
    <xf numFmtId="180" fontId="90" fillId="73" borderId="0" xfId="63" applyNumberFormat="1" applyFont="1" applyFill="1" applyBorder="1"/>
    <xf numFmtId="180" fontId="90" fillId="73" borderId="0" xfId="63" applyNumberFormat="1" applyFont="1" applyFill="1" applyBorder="1" applyAlignment="1">
      <alignment horizontal="center" vertical="center"/>
    </xf>
    <xf numFmtId="180" fontId="90" fillId="73" borderId="98" xfId="63" applyNumberFormat="1" applyFont="1" applyFill="1" applyBorder="1"/>
    <xf numFmtId="0" fontId="90" fillId="0" borderId="0" xfId="0" applyFont="1" applyAlignment="1">
      <alignment vertical="center"/>
    </xf>
    <xf numFmtId="0" fontId="90" fillId="73" borderId="97" xfId="0" applyFont="1" applyFill="1" applyBorder="1"/>
    <xf numFmtId="0" fontId="90" fillId="73" borderId="0" xfId="0" applyFont="1" applyFill="1" applyAlignment="1">
      <alignment vertical="center"/>
    </xf>
    <xf numFmtId="180" fontId="90" fillId="73" borderId="0" xfId="63" applyNumberFormat="1" applyFont="1" applyFill="1" applyBorder="1" applyAlignment="1">
      <alignment vertical="center"/>
    </xf>
    <xf numFmtId="180" fontId="91" fillId="73" borderId="0" xfId="63" applyNumberFormat="1" applyFont="1" applyFill="1" applyBorder="1" applyAlignment="1">
      <alignment vertical="center"/>
    </xf>
    <xf numFmtId="0" fontId="90" fillId="73" borderId="98" xfId="0" applyFont="1" applyFill="1" applyBorder="1" applyAlignment="1">
      <alignment vertical="center"/>
    </xf>
    <xf numFmtId="0" fontId="81" fillId="67" borderId="0" xfId="0" applyFont="1" applyFill="1" applyAlignment="1">
      <alignment vertical="center"/>
    </xf>
    <xf numFmtId="0" fontId="81" fillId="0" borderId="0" xfId="0" applyFont="1" applyAlignment="1">
      <alignment vertical="center"/>
    </xf>
    <xf numFmtId="0" fontId="90" fillId="73" borderId="97" xfId="0" applyFont="1" applyFill="1" applyBorder="1" applyAlignment="1">
      <alignment vertical="center"/>
    </xf>
    <xf numFmtId="167" fontId="83" fillId="73" borderId="0" xfId="0" applyNumberFormat="1" applyFont="1" applyFill="1" applyAlignment="1">
      <alignment horizontal="center" vertical="center"/>
    </xf>
    <xf numFmtId="0" fontId="83" fillId="73" borderId="98" xfId="0" applyFont="1" applyFill="1" applyBorder="1"/>
    <xf numFmtId="180" fontId="86" fillId="73" borderId="0" xfId="63" applyNumberFormat="1" applyFont="1" applyFill="1" applyBorder="1"/>
    <xf numFmtId="0" fontId="83" fillId="73" borderId="98" xfId="0" applyFont="1" applyFill="1" applyBorder="1" applyAlignment="1">
      <alignment vertical="center"/>
    </xf>
    <xf numFmtId="0" fontId="83" fillId="0" borderId="97" xfId="0" applyFont="1" applyBorder="1"/>
    <xf numFmtId="0" fontId="86" fillId="0" borderId="0" xfId="0" applyFont="1"/>
    <xf numFmtId="0" fontId="83" fillId="0" borderId="98" xfId="0" applyFont="1" applyBorder="1"/>
    <xf numFmtId="0" fontId="78" fillId="67" borderId="0" xfId="0" applyFont="1" applyFill="1"/>
    <xf numFmtId="0" fontId="83" fillId="73" borderId="105" xfId="0" applyFont="1" applyFill="1" applyBorder="1"/>
    <xf numFmtId="0" fontId="87" fillId="73" borderId="105" xfId="0" applyFont="1" applyFill="1" applyBorder="1" applyAlignment="1">
      <alignment vertical="center"/>
    </xf>
    <xf numFmtId="0" fontId="87" fillId="73" borderId="105" xfId="0" applyFont="1" applyFill="1" applyBorder="1" applyAlignment="1">
      <alignment horizontal="center" vertical="center"/>
    </xf>
    <xf numFmtId="0" fontId="80" fillId="67" borderId="105" xfId="0" applyFont="1" applyFill="1" applyBorder="1" applyAlignment="1">
      <alignment vertical="center"/>
    </xf>
    <xf numFmtId="0" fontId="80" fillId="67" borderId="105" xfId="0" applyFont="1" applyFill="1" applyBorder="1" applyAlignment="1">
      <alignment horizontal="center" vertical="center"/>
    </xf>
    <xf numFmtId="0" fontId="85" fillId="73" borderId="97" xfId="0" applyFont="1" applyFill="1" applyBorder="1" applyAlignment="1">
      <alignment horizontal="left" vertical="center" indent="1"/>
    </xf>
    <xf numFmtId="164" fontId="83" fillId="73" borderId="0" xfId="63" applyNumberFormat="1" applyFont="1" applyFill="1" applyBorder="1" applyAlignment="1">
      <alignment horizontal="center" vertical="center"/>
    </xf>
    <xf numFmtId="1" fontId="76" fillId="67" borderId="0" xfId="1" applyNumberFormat="1" applyFont="1" applyFill="1" applyBorder="1"/>
    <xf numFmtId="2" fontId="76" fillId="67" borderId="0" xfId="1" applyNumberFormat="1" applyFont="1" applyFill="1" applyBorder="1" applyAlignment="1">
      <alignment horizontal="center"/>
    </xf>
    <xf numFmtId="0" fontId="76" fillId="73" borderId="0" xfId="70" applyNumberFormat="1" applyFont="1" applyFill="1" applyBorder="1"/>
    <xf numFmtId="180" fontId="76" fillId="73" borderId="0" xfId="70" applyNumberFormat="1" applyFont="1" applyFill="1" applyBorder="1"/>
    <xf numFmtId="180" fontId="86" fillId="73" borderId="0" xfId="70" applyNumberFormat="1" applyFont="1" applyFill="1" applyBorder="1"/>
    <xf numFmtId="180" fontId="76" fillId="73" borderId="0" xfId="70" applyNumberFormat="1" applyFont="1" applyFill="1" applyBorder="1" applyAlignment="1">
      <alignment horizontal="center" vertical="center"/>
    </xf>
    <xf numFmtId="164" fontId="76" fillId="73" borderId="0" xfId="70" applyNumberFormat="1" applyFont="1" applyFill="1" applyBorder="1" applyAlignment="1">
      <alignment horizontal="center" vertical="center"/>
    </xf>
    <xf numFmtId="0" fontId="89" fillId="73" borderId="98" xfId="70" applyNumberFormat="1" applyFont="1" applyFill="1" applyBorder="1"/>
    <xf numFmtId="0" fontId="78" fillId="67" borderId="0" xfId="70" applyNumberFormat="1" applyFont="1" applyFill="1" applyBorder="1"/>
    <xf numFmtId="0" fontId="76" fillId="67" borderId="0" xfId="70" applyNumberFormat="1" applyFont="1" applyFill="1" applyBorder="1"/>
    <xf numFmtId="0" fontId="76" fillId="0" borderId="0" xfId="70" applyNumberFormat="1" applyFont="1" applyFill="1" applyBorder="1"/>
    <xf numFmtId="0" fontId="104" fillId="0" borderId="0" xfId="70" applyNumberFormat="1" applyFont="1" applyFill="1" applyBorder="1"/>
    <xf numFmtId="0" fontId="89" fillId="73" borderId="97" xfId="70" applyNumberFormat="1" applyFont="1" applyFill="1" applyBorder="1"/>
    <xf numFmtId="0" fontId="94" fillId="73" borderId="0" xfId="0" applyFont="1" applyFill="1"/>
    <xf numFmtId="1" fontId="76" fillId="0" borderId="0" xfId="1" applyNumberFormat="1" applyFont="1" applyFill="1" applyBorder="1"/>
    <xf numFmtId="2" fontId="76" fillId="74" borderId="0" xfId="1" applyNumberFormat="1" applyFont="1" applyFill="1" applyBorder="1" applyAlignment="1">
      <alignment horizontal="center"/>
    </xf>
    <xf numFmtId="188" fontId="76" fillId="67" borderId="0" xfId="70" applyNumberFormat="1" applyFont="1" applyFill="1" applyBorder="1"/>
    <xf numFmtId="2" fontId="76" fillId="0" borderId="0" xfId="1" applyNumberFormat="1" applyFont="1" applyFill="1" applyBorder="1" applyAlignment="1">
      <alignment horizontal="center"/>
    </xf>
    <xf numFmtId="180" fontId="76" fillId="67" borderId="0" xfId="0" applyNumberFormat="1" applyFont="1" applyFill="1"/>
    <xf numFmtId="37" fontId="76" fillId="67" borderId="0" xfId="70" applyNumberFormat="1" applyFont="1" applyFill="1" applyBorder="1"/>
    <xf numFmtId="1" fontId="78" fillId="67" borderId="0" xfId="1" applyNumberFormat="1" applyFont="1" applyFill="1" applyBorder="1"/>
    <xf numFmtId="2" fontId="78" fillId="67" borderId="0" xfId="1" applyNumberFormat="1" applyFont="1" applyFill="1" applyBorder="1" applyAlignment="1">
      <alignment horizontal="center"/>
    </xf>
    <xf numFmtId="178" fontId="76" fillId="67" borderId="0" xfId="1" applyNumberFormat="1" applyFont="1" applyFill="1" applyBorder="1"/>
    <xf numFmtId="180" fontId="76" fillId="67" borderId="0" xfId="70" applyNumberFormat="1" applyFont="1" applyFill="1" applyBorder="1"/>
    <xf numFmtId="178" fontId="77" fillId="0" borderId="0" xfId="1" applyNumberFormat="1" applyFont="1" applyFill="1" applyBorder="1"/>
    <xf numFmtId="181" fontId="82" fillId="0" borderId="0" xfId="1" applyNumberFormat="1" applyFont="1" applyFill="1" applyBorder="1" applyAlignment="1">
      <alignment horizontal="center" vertical="center"/>
    </xf>
    <xf numFmtId="179" fontId="77" fillId="0" borderId="0" xfId="1" applyNumberFormat="1" applyFont="1" applyFill="1" applyBorder="1"/>
    <xf numFmtId="165" fontId="76" fillId="67" borderId="0" xfId="70" applyNumberFormat="1" applyFont="1" applyFill="1" applyBorder="1"/>
    <xf numFmtId="178" fontId="77" fillId="0" borderId="0" xfId="1" applyNumberFormat="1" applyFont="1" applyFill="1" applyBorder="1" applyAlignment="1">
      <alignment horizontal="center"/>
    </xf>
    <xf numFmtId="10" fontId="76" fillId="67" borderId="0" xfId="70" applyNumberFormat="1" applyFont="1" applyFill="1" applyBorder="1"/>
    <xf numFmtId="0" fontId="94" fillId="73" borderId="104" xfId="0" applyFont="1" applyFill="1" applyBorder="1"/>
    <xf numFmtId="180" fontId="94" fillId="73" borderId="104" xfId="63" applyNumberFormat="1" applyFont="1" applyFill="1" applyBorder="1"/>
    <xf numFmtId="180" fontId="94" fillId="73" borderId="0" xfId="63" applyNumberFormat="1" applyFont="1" applyFill="1" applyBorder="1"/>
    <xf numFmtId="180" fontId="107" fillId="73" borderId="0" xfId="63" applyNumberFormat="1" applyFont="1" applyFill="1" applyBorder="1"/>
    <xf numFmtId="164" fontId="94" fillId="73" borderId="104" xfId="63" applyNumberFormat="1" applyFont="1" applyFill="1" applyBorder="1" applyAlignment="1">
      <alignment horizontal="center" vertical="center"/>
    </xf>
    <xf numFmtId="180" fontId="94" fillId="73" borderId="0" xfId="63" applyNumberFormat="1" applyFont="1" applyFill="1" applyBorder="1" applyAlignment="1">
      <alignment horizontal="center" vertical="center"/>
    </xf>
    <xf numFmtId="164" fontId="94" fillId="73" borderId="0" xfId="63" applyNumberFormat="1" applyFont="1" applyFill="1" applyBorder="1" applyAlignment="1">
      <alignment horizontal="center" vertical="center"/>
    </xf>
    <xf numFmtId="165" fontId="76" fillId="67" borderId="0" xfId="0" applyNumberFormat="1" applyFont="1" applyFill="1"/>
    <xf numFmtId="166" fontId="94" fillId="73" borderId="0" xfId="63" applyNumberFormat="1" applyFont="1" applyFill="1" applyBorder="1" applyAlignment="1">
      <alignment horizontal="center" vertical="center"/>
    </xf>
    <xf numFmtId="178" fontId="94" fillId="73" borderId="0" xfId="1" applyNumberFormat="1" applyFont="1" applyFill="1" applyBorder="1" applyAlignment="1">
      <alignment horizontal="center" vertical="center"/>
    </xf>
    <xf numFmtId="165" fontId="94" fillId="73" borderId="0" xfId="63" applyNumberFormat="1" applyFont="1" applyFill="1" applyBorder="1"/>
    <xf numFmtId="9" fontId="94" fillId="73" borderId="0" xfId="63" applyNumberFormat="1" applyFont="1" applyFill="1" applyBorder="1" applyAlignment="1">
      <alignment horizontal="center" vertical="center"/>
    </xf>
    <xf numFmtId="0" fontId="76" fillId="67" borderId="0" xfId="0" applyFont="1" applyFill="1" applyAlignment="1">
      <alignment horizontal="center" vertical="center"/>
    </xf>
    <xf numFmtId="2" fontId="76" fillId="67" borderId="0" xfId="0" applyNumberFormat="1" applyFont="1" applyFill="1"/>
    <xf numFmtId="180" fontId="79" fillId="73" borderId="0" xfId="63" applyNumberFormat="1" applyFont="1" applyFill="1" applyBorder="1"/>
    <xf numFmtId="4" fontId="79" fillId="73" borderId="0" xfId="63" applyNumberFormat="1" applyFont="1" applyFill="1" applyBorder="1" applyAlignment="1">
      <alignment horizontal="center" vertical="center"/>
    </xf>
    <xf numFmtId="3" fontId="76" fillId="67" borderId="0" xfId="0" applyNumberFormat="1" applyFont="1" applyFill="1" applyAlignment="1">
      <alignment horizontal="center" vertical="center"/>
    </xf>
    <xf numFmtId="4" fontId="76" fillId="67" borderId="0" xfId="0" applyNumberFormat="1" applyFont="1" applyFill="1" applyAlignment="1">
      <alignment horizontal="center" vertical="center"/>
    </xf>
    <xf numFmtId="180" fontId="79" fillId="73" borderId="0" xfId="63" applyNumberFormat="1" applyFont="1" applyFill="1" applyBorder="1" applyAlignment="1">
      <alignment horizontal="center" vertical="center"/>
    </xf>
    <xf numFmtId="1" fontId="79" fillId="73" borderId="0" xfId="1" applyNumberFormat="1" applyFont="1" applyFill="1" applyBorder="1" applyAlignment="1">
      <alignment horizontal="center" vertical="center"/>
    </xf>
    <xf numFmtId="178" fontId="79" fillId="73" borderId="0" xfId="1" applyNumberFormat="1" applyFont="1" applyFill="1" applyBorder="1" applyAlignment="1">
      <alignment horizontal="center" vertical="center"/>
    </xf>
    <xf numFmtId="0" fontId="86" fillId="73" borderId="105" xfId="0" applyFont="1" applyFill="1" applyBorder="1"/>
    <xf numFmtId="2" fontId="76" fillId="67" borderId="0" xfId="70" applyNumberFormat="1" applyFont="1" applyFill="1" applyBorder="1"/>
    <xf numFmtId="182" fontId="83" fillId="73" borderId="109" xfId="63" applyNumberFormat="1" applyFont="1" applyFill="1" applyBorder="1" applyAlignment="1">
      <alignment vertical="center"/>
    </xf>
    <xf numFmtId="182" fontId="83" fillId="73" borderId="109" xfId="63" applyNumberFormat="1" applyFont="1" applyFill="1" applyBorder="1" applyAlignment="1">
      <alignment horizontal="center" vertical="center"/>
    </xf>
    <xf numFmtId="180" fontId="83" fillId="73" borderId="109" xfId="63" applyNumberFormat="1" applyFont="1" applyFill="1" applyBorder="1" applyAlignment="1">
      <alignment horizontal="center" vertical="center"/>
    </xf>
    <xf numFmtId="180" fontId="78" fillId="67" borderId="0" xfId="0" applyNumberFormat="1" applyFont="1" applyFill="1"/>
    <xf numFmtId="37" fontId="76" fillId="67" borderId="0" xfId="0" applyNumberFormat="1" applyFont="1" applyFill="1"/>
    <xf numFmtId="41" fontId="76" fillId="67" borderId="0" xfId="1" applyNumberFormat="1" applyFont="1" applyFill="1" applyBorder="1"/>
    <xf numFmtId="1" fontId="76" fillId="67" borderId="0" xfId="0" applyNumberFormat="1" applyFont="1" applyFill="1"/>
    <xf numFmtId="1" fontId="76" fillId="67" borderId="0" xfId="70" applyNumberFormat="1" applyFont="1" applyFill="1" applyBorder="1"/>
    <xf numFmtId="39" fontId="76" fillId="67" borderId="0" xfId="0" applyNumberFormat="1" applyFont="1" applyFill="1"/>
    <xf numFmtId="37" fontId="78" fillId="67" borderId="0" xfId="0" applyNumberFormat="1" applyFont="1" applyFill="1"/>
    <xf numFmtId="41" fontId="89" fillId="67" borderId="0" xfId="1" applyNumberFormat="1" applyFont="1" applyFill="1" applyBorder="1"/>
    <xf numFmtId="188" fontId="76" fillId="0" borderId="0" xfId="0" applyNumberFormat="1" applyFont="1"/>
    <xf numFmtId="39" fontId="89" fillId="0" borderId="0" xfId="70" applyNumberFormat="1" applyFont="1" applyFill="1" applyBorder="1"/>
    <xf numFmtId="41" fontId="76" fillId="0" borderId="0" xfId="0" applyNumberFormat="1" applyFont="1"/>
    <xf numFmtId="180" fontId="76" fillId="0" borderId="0" xfId="0" applyNumberFormat="1" applyFont="1"/>
    <xf numFmtId="3" fontId="78" fillId="67" borderId="0" xfId="0" applyNumberFormat="1" applyFont="1" applyFill="1"/>
    <xf numFmtId="41" fontId="78" fillId="0" borderId="0" xfId="0" applyNumberFormat="1" applyFont="1"/>
    <xf numFmtId="3" fontId="76" fillId="67" borderId="0" xfId="0" applyNumberFormat="1" applyFont="1" applyFill="1"/>
    <xf numFmtId="9" fontId="76" fillId="0" borderId="0" xfId="0" applyNumberFormat="1" applyFont="1"/>
    <xf numFmtId="182" fontId="76" fillId="0" borderId="0" xfId="0" applyNumberFormat="1" applyFont="1"/>
    <xf numFmtId="0" fontId="86" fillId="73" borderId="0" xfId="70" applyNumberFormat="1" applyFont="1" applyFill="1" applyBorder="1"/>
    <xf numFmtId="189" fontId="78" fillId="67" borderId="0" xfId="0" applyNumberFormat="1" applyFont="1" applyFill="1"/>
    <xf numFmtId="0" fontId="107" fillId="73" borderId="104" xfId="0" applyFont="1" applyFill="1" applyBorder="1"/>
    <xf numFmtId="164" fontId="107" fillId="73" borderId="104" xfId="0" applyNumberFormat="1" applyFont="1" applyFill="1" applyBorder="1"/>
    <xf numFmtId="182" fontId="94" fillId="73" borderId="104" xfId="63" applyNumberFormat="1" applyFont="1" applyFill="1" applyBorder="1"/>
    <xf numFmtId="182" fontId="94" fillId="73" borderId="104" xfId="63" applyNumberFormat="1" applyFont="1" applyFill="1" applyBorder="1" applyAlignment="1">
      <alignment horizontal="center" vertical="center"/>
    </xf>
    <xf numFmtId="190" fontId="78" fillId="67" borderId="0" xfId="0" applyNumberFormat="1" applyFont="1" applyFill="1"/>
    <xf numFmtId="0" fontId="83" fillId="67" borderId="0" xfId="0" applyFont="1" applyFill="1"/>
    <xf numFmtId="0" fontId="83" fillId="67" borderId="97" xfId="0" applyFont="1" applyFill="1" applyBorder="1"/>
    <xf numFmtId="0" fontId="86" fillId="67" borderId="0" xfId="0" applyFont="1" applyFill="1"/>
    <xf numFmtId="181" fontId="83" fillId="67" borderId="0" xfId="1" applyNumberFormat="1" applyFont="1" applyFill="1" applyBorder="1" applyAlignment="1">
      <alignment horizontal="center" vertical="center"/>
    </xf>
    <xf numFmtId="185" fontId="83" fillId="67" borderId="0" xfId="1" applyNumberFormat="1" applyFont="1" applyFill="1" applyBorder="1" applyAlignment="1">
      <alignment horizontal="center" vertical="center"/>
    </xf>
    <xf numFmtId="178" fontId="83" fillId="67" borderId="0" xfId="1" applyNumberFormat="1" applyFont="1" applyFill="1" applyBorder="1" applyAlignment="1">
      <alignment horizontal="center" vertical="center"/>
    </xf>
    <xf numFmtId="181" fontId="83" fillId="67" borderId="0" xfId="1" applyNumberFormat="1" applyFont="1" applyFill="1" applyBorder="1"/>
    <xf numFmtId="0" fontId="85" fillId="68" borderId="94" xfId="0" applyFont="1" applyFill="1" applyBorder="1" applyAlignment="1">
      <alignment horizontal="left" vertical="center" indent="1"/>
    </xf>
    <xf numFmtId="0" fontId="83" fillId="68" borderId="95" xfId="0" applyFont="1" applyFill="1" applyBorder="1"/>
    <xf numFmtId="0" fontId="86" fillId="68" borderId="95" xfId="0" applyFont="1" applyFill="1" applyBorder="1"/>
    <xf numFmtId="0" fontId="83" fillId="68" borderId="95" xfId="0" applyFont="1" applyFill="1" applyBorder="1" applyAlignment="1">
      <alignment horizontal="center" vertical="center"/>
    </xf>
    <xf numFmtId="182" fontId="83" fillId="68" borderId="95" xfId="0" applyNumberFormat="1" applyFont="1" applyFill="1" applyBorder="1" applyAlignment="1">
      <alignment horizontal="center" vertical="center"/>
    </xf>
    <xf numFmtId="0" fontId="83" fillId="68" borderId="96" xfId="0" applyFont="1" applyFill="1" applyBorder="1"/>
    <xf numFmtId="0" fontId="83" fillId="69" borderId="0" xfId="0" applyFont="1" applyFill="1"/>
    <xf numFmtId="0" fontId="86" fillId="69" borderId="0" xfId="0" applyFont="1" applyFill="1"/>
    <xf numFmtId="0" fontId="83" fillId="69" borderId="0" xfId="0" applyFont="1" applyFill="1" applyAlignment="1">
      <alignment horizontal="center" vertical="center"/>
    </xf>
    <xf numFmtId="0" fontId="83" fillId="69" borderId="98" xfId="0" applyFont="1" applyFill="1" applyBorder="1"/>
    <xf numFmtId="41" fontId="76" fillId="67" borderId="0" xfId="0" applyNumberFormat="1" applyFont="1" applyFill="1"/>
    <xf numFmtId="0" fontId="83" fillId="69" borderId="97" xfId="0" applyFont="1" applyFill="1" applyBorder="1"/>
    <xf numFmtId="0" fontId="90" fillId="69" borderId="97" xfId="0" applyFont="1" applyFill="1" applyBorder="1"/>
    <xf numFmtId="0" fontId="83" fillId="69" borderId="0" xfId="0" applyFont="1" applyFill="1" applyAlignment="1">
      <alignment vertical="center"/>
    </xf>
    <xf numFmtId="0" fontId="94" fillId="69" borderId="0" xfId="0" applyFont="1" applyFill="1" applyAlignment="1">
      <alignment horizontal="right" vertical="center"/>
    </xf>
    <xf numFmtId="0" fontId="109" fillId="69" borderId="0" xfId="0" applyFont="1" applyFill="1" applyAlignment="1">
      <alignment vertical="center"/>
    </xf>
    <xf numFmtId="0" fontId="86" fillId="69" borderId="0" xfId="0" applyFont="1" applyFill="1" applyAlignment="1">
      <alignment vertical="center"/>
    </xf>
    <xf numFmtId="184" fontId="94" fillId="69" borderId="0" xfId="63" applyNumberFormat="1" applyFont="1" applyFill="1" applyBorder="1" applyAlignment="1">
      <alignment vertical="center"/>
    </xf>
    <xf numFmtId="178" fontId="83" fillId="69" borderId="0" xfId="1" applyNumberFormat="1" applyFont="1" applyFill="1" applyBorder="1" applyAlignment="1">
      <alignment horizontal="center" vertical="center"/>
    </xf>
    <xf numFmtId="0" fontId="83" fillId="69" borderId="98" xfId="0" applyFont="1" applyFill="1" applyBorder="1" applyAlignment="1">
      <alignment vertical="center"/>
    </xf>
    <xf numFmtId="41" fontId="89" fillId="0" borderId="0" xfId="1" applyNumberFormat="1" applyFont="1" applyFill="1" applyBorder="1"/>
    <xf numFmtId="0" fontId="83" fillId="69" borderId="97" xfId="0" applyFont="1" applyFill="1" applyBorder="1" applyAlignment="1">
      <alignment vertical="center"/>
    </xf>
    <xf numFmtId="0" fontId="107" fillId="69" borderId="0" xfId="0" applyFont="1" applyFill="1" applyAlignment="1">
      <alignment horizontal="right" vertical="center"/>
    </xf>
    <xf numFmtId="0" fontId="87" fillId="69" borderId="105" xfId="0" applyFont="1" applyFill="1" applyBorder="1" applyAlignment="1">
      <alignment vertical="center"/>
    </xf>
    <xf numFmtId="0" fontId="87" fillId="69" borderId="105" xfId="0" applyFont="1" applyFill="1" applyBorder="1" applyAlignment="1">
      <alignment horizontal="center" vertical="center"/>
    </xf>
    <xf numFmtId="0" fontId="83" fillId="69" borderId="0" xfId="0" applyFont="1" applyFill="1" applyAlignment="1">
      <alignment horizontal="right" vertical="center"/>
    </xf>
    <xf numFmtId="0" fontId="86" fillId="69" borderId="0" xfId="0" applyFont="1" applyFill="1" applyAlignment="1">
      <alignment horizontal="right" vertical="center"/>
    </xf>
    <xf numFmtId="1" fontId="35" fillId="69" borderId="0" xfId="71" applyNumberFormat="1" applyFont="1" applyFill="1" applyBorder="1" applyAlignment="1">
      <alignment vertical="center"/>
    </xf>
    <xf numFmtId="1" fontId="35" fillId="69" borderId="0" xfId="71" applyNumberFormat="1" applyFont="1" applyFill="1" applyBorder="1" applyAlignment="1">
      <alignment horizontal="center" vertical="center"/>
    </xf>
    <xf numFmtId="164" fontId="35" fillId="69" borderId="0" xfId="71" applyNumberFormat="1" applyFont="1" applyFill="1" applyBorder="1" applyAlignment="1">
      <alignment horizontal="center" vertical="center"/>
    </xf>
    <xf numFmtId="178" fontId="76" fillId="67" borderId="0" xfId="1" applyNumberFormat="1" applyFont="1" applyFill="1" applyBorder="1" applyAlignment="1">
      <alignment vertical="center"/>
    </xf>
    <xf numFmtId="0" fontId="110" fillId="69" borderId="0" xfId="0" applyFont="1" applyFill="1" applyAlignment="1">
      <alignment vertical="center"/>
    </xf>
    <xf numFmtId="0" fontId="94" fillId="69" borderId="0" xfId="0" applyFont="1" applyFill="1" applyAlignment="1">
      <alignment horizontal="left"/>
    </xf>
    <xf numFmtId="0" fontId="83" fillId="69" borderId="0" xfId="0" applyFont="1" applyFill="1" applyAlignment="1">
      <alignment horizontal="center"/>
    </xf>
    <xf numFmtId="0" fontId="90" fillId="69" borderId="0" xfId="0" applyFont="1" applyFill="1" applyAlignment="1">
      <alignment horizontal="right"/>
    </xf>
    <xf numFmtId="0" fontId="90" fillId="69" borderId="0" xfId="0" applyFont="1" applyFill="1"/>
    <xf numFmtId="0" fontId="91" fillId="69" borderId="0" xfId="0" applyFont="1" applyFill="1"/>
    <xf numFmtId="11" fontId="83" fillId="69" borderId="0" xfId="63" applyNumberFormat="1" applyFont="1" applyFill="1" applyBorder="1" applyAlignment="1">
      <alignment horizontal="center" vertical="center"/>
    </xf>
    <xf numFmtId="3" fontId="111" fillId="69" borderId="0" xfId="0" applyNumberFormat="1" applyFont="1" applyFill="1" applyAlignment="1">
      <alignment horizontal="right" vertical="top" wrapText="1"/>
    </xf>
    <xf numFmtId="0" fontId="94" fillId="69" borderId="0" xfId="0" applyFont="1" applyFill="1" applyAlignment="1">
      <alignment horizontal="center" vertical="center"/>
    </xf>
    <xf numFmtId="3" fontId="83" fillId="69" borderId="0" xfId="0" applyNumberFormat="1" applyFont="1" applyFill="1"/>
    <xf numFmtId="0" fontId="95" fillId="69" borderId="0" xfId="0" applyFont="1" applyFill="1" applyAlignment="1">
      <alignment horizontal="right"/>
    </xf>
    <xf numFmtId="0" fontId="95" fillId="69" borderId="0" xfId="0" applyFont="1" applyFill="1"/>
    <xf numFmtId="0" fontId="96" fillId="69" borderId="0" xfId="0" applyFont="1" applyFill="1"/>
    <xf numFmtId="0" fontId="94" fillId="69" borderId="0" xfId="0" applyFont="1" applyFill="1"/>
    <xf numFmtId="164" fontId="94" fillId="69" borderId="0" xfId="0" applyNumberFormat="1" applyFont="1" applyFill="1" applyAlignment="1">
      <alignment horizontal="center" vertical="center"/>
    </xf>
    <xf numFmtId="0" fontId="78" fillId="0" borderId="0" xfId="0" applyFont="1" applyAlignment="1">
      <alignment wrapText="1"/>
    </xf>
    <xf numFmtId="0" fontId="76" fillId="0" borderId="0" xfId="0" applyFont="1" applyAlignment="1">
      <alignment wrapText="1"/>
    </xf>
    <xf numFmtId="174" fontId="83" fillId="69" borderId="0" xfId="0" applyNumberFormat="1" applyFont="1" applyFill="1" applyAlignment="1">
      <alignment horizontal="center" vertical="center"/>
    </xf>
    <xf numFmtId="1" fontId="76" fillId="0" borderId="0" xfId="0" applyNumberFormat="1" applyFont="1" applyAlignment="1">
      <alignment wrapText="1"/>
    </xf>
    <xf numFmtId="0" fontId="89" fillId="69" borderId="0" xfId="70" applyNumberFormat="1" applyFont="1" applyFill="1" applyBorder="1" applyAlignment="1">
      <alignment horizontal="right"/>
    </xf>
    <xf numFmtId="0" fontId="89" fillId="69" borderId="0" xfId="70" applyNumberFormat="1" applyFont="1" applyFill="1" applyBorder="1"/>
    <xf numFmtId="182" fontId="89" fillId="69" borderId="0" xfId="70" applyNumberFormat="1" applyFont="1" applyFill="1" applyBorder="1"/>
    <xf numFmtId="182" fontId="106" fillId="69" borderId="0" xfId="70" applyNumberFormat="1" applyFont="1" applyFill="1" applyBorder="1"/>
    <xf numFmtId="182" fontId="86" fillId="69" borderId="0" xfId="63" applyNumberFormat="1" applyFont="1" applyFill="1" applyBorder="1"/>
    <xf numFmtId="182" fontId="83" fillId="69" borderId="0" xfId="0" applyNumberFormat="1" applyFont="1" applyFill="1"/>
    <xf numFmtId="182" fontId="89" fillId="69" borderId="0" xfId="70" applyNumberFormat="1" applyFont="1" applyFill="1" applyBorder="1" applyAlignment="1">
      <alignment horizontal="center" vertical="center"/>
    </xf>
    <xf numFmtId="180" fontId="89" fillId="69" borderId="0" xfId="70" applyNumberFormat="1" applyFont="1" applyFill="1" applyBorder="1" applyAlignment="1">
      <alignment horizontal="center" vertical="center"/>
    </xf>
    <xf numFmtId="0" fontId="89" fillId="69" borderId="98" xfId="70" applyNumberFormat="1" applyFont="1" applyFill="1" applyBorder="1"/>
    <xf numFmtId="0" fontId="89" fillId="69" borderId="97" xfId="70" applyNumberFormat="1" applyFont="1" applyFill="1" applyBorder="1"/>
    <xf numFmtId="0" fontId="83" fillId="69" borderId="0" xfId="0" applyFont="1" applyFill="1" applyAlignment="1">
      <alignment horizontal="right"/>
    </xf>
    <xf numFmtId="182" fontId="83" fillId="69" borderId="0" xfId="63" applyNumberFormat="1" applyFont="1" applyFill="1" applyBorder="1"/>
    <xf numFmtId="182" fontId="83" fillId="69" borderId="0" xfId="63" applyNumberFormat="1" applyFont="1" applyFill="1" applyBorder="1" applyAlignment="1">
      <alignment horizontal="center" vertical="center"/>
    </xf>
    <xf numFmtId="180" fontId="83" fillId="69" borderId="0" xfId="63" applyNumberFormat="1" applyFont="1" applyFill="1" applyBorder="1" applyAlignment="1">
      <alignment horizontal="center" vertical="center"/>
    </xf>
    <xf numFmtId="0" fontId="89" fillId="67" borderId="0" xfId="70" applyNumberFormat="1" applyFont="1" applyFill="1" applyBorder="1"/>
    <xf numFmtId="182" fontId="86" fillId="69" borderId="0" xfId="0" applyNumberFormat="1" applyFont="1" applyFill="1"/>
    <xf numFmtId="3" fontId="89" fillId="69" borderId="0" xfId="70" applyNumberFormat="1" applyFont="1" applyFill="1" applyBorder="1"/>
    <xf numFmtId="3" fontId="89" fillId="69" borderId="0" xfId="70" applyNumberFormat="1" applyFont="1" applyFill="1" applyBorder="1" applyAlignment="1">
      <alignment horizontal="center" vertical="center"/>
    </xf>
    <xf numFmtId="182" fontId="94" fillId="69" borderId="0" xfId="0" applyNumberFormat="1" applyFont="1" applyFill="1"/>
    <xf numFmtId="182" fontId="107" fillId="69" borderId="0" xfId="0" applyNumberFormat="1" applyFont="1" applyFill="1"/>
    <xf numFmtId="182" fontId="94" fillId="69" borderId="0" xfId="0" applyNumberFormat="1" applyFont="1" applyFill="1" applyAlignment="1">
      <alignment horizontal="center" vertical="center"/>
    </xf>
    <xf numFmtId="182" fontId="83" fillId="69" borderId="0" xfId="0" applyNumberFormat="1" applyFont="1" applyFill="1" applyAlignment="1">
      <alignment horizontal="center" vertical="center"/>
    </xf>
    <xf numFmtId="182" fontId="90" fillId="69" borderId="0" xfId="63" applyNumberFormat="1" applyFont="1" applyFill="1" applyBorder="1"/>
    <xf numFmtId="182" fontId="91" fillId="69" borderId="0" xfId="63" applyNumberFormat="1" applyFont="1" applyFill="1" applyBorder="1"/>
    <xf numFmtId="182" fontId="90" fillId="69" borderId="0" xfId="0" applyNumberFormat="1" applyFont="1" applyFill="1"/>
    <xf numFmtId="182" fontId="90" fillId="69" borderId="0" xfId="63" applyNumberFormat="1" applyFont="1" applyFill="1" applyBorder="1" applyAlignment="1">
      <alignment horizontal="center" vertical="center"/>
    </xf>
    <xf numFmtId="181" fontId="78" fillId="67" borderId="0" xfId="1" applyNumberFormat="1" applyFont="1" applyFill="1" applyBorder="1"/>
    <xf numFmtId="0" fontId="83" fillId="69" borderId="99" xfId="0" applyFont="1" applyFill="1" applyBorder="1"/>
    <xf numFmtId="0" fontId="86" fillId="69" borderId="99" xfId="0" applyFont="1" applyFill="1" applyBorder="1"/>
    <xf numFmtId="0" fontId="83" fillId="69" borderId="99" xfId="0" applyFont="1" applyFill="1" applyBorder="1" applyAlignment="1">
      <alignment horizontal="center" vertical="center"/>
    </xf>
    <xf numFmtId="0" fontId="83" fillId="69" borderId="100" xfId="0" applyFont="1" applyFill="1" applyBorder="1"/>
    <xf numFmtId="0" fontId="90" fillId="67" borderId="97" xfId="0" applyFont="1" applyFill="1" applyBorder="1"/>
    <xf numFmtId="0" fontId="83" fillId="67" borderId="0" xfId="0" applyFont="1" applyFill="1" applyAlignment="1">
      <alignment horizontal="center" vertical="center"/>
    </xf>
    <xf numFmtId="0" fontId="81" fillId="67" borderId="0" xfId="0" applyFont="1" applyFill="1"/>
    <xf numFmtId="0" fontId="83" fillId="69" borderId="0" xfId="63" applyNumberFormat="1" applyFont="1" applyFill="1" applyBorder="1"/>
    <xf numFmtId="182" fontId="94" fillId="69" borderId="24" xfId="0" applyNumberFormat="1" applyFont="1" applyFill="1" applyBorder="1"/>
    <xf numFmtId="0" fontId="83" fillId="69" borderId="24" xfId="63" applyNumberFormat="1" applyFont="1" applyFill="1" applyBorder="1"/>
    <xf numFmtId="0" fontId="83" fillId="69" borderId="24" xfId="0" applyFont="1" applyFill="1" applyBorder="1"/>
    <xf numFmtId="182" fontId="83" fillId="69" borderId="24" xfId="0" applyNumberFormat="1" applyFont="1" applyFill="1" applyBorder="1"/>
    <xf numFmtId="0" fontId="83" fillId="69" borderId="24" xfId="0" applyFont="1" applyFill="1" applyBorder="1" applyAlignment="1">
      <alignment horizontal="right"/>
    </xf>
    <xf numFmtId="182" fontId="94" fillId="69" borderId="24" xfId="0" applyNumberFormat="1" applyFont="1" applyFill="1" applyBorder="1" applyAlignment="1">
      <alignment horizontal="center" vertical="center"/>
    </xf>
    <xf numFmtId="0" fontId="94" fillId="69" borderId="24" xfId="0" applyFont="1" applyFill="1" applyBorder="1" applyAlignment="1">
      <alignment horizontal="center" vertical="center"/>
    </xf>
    <xf numFmtId="0" fontId="94" fillId="69" borderId="24" xfId="0" applyFont="1" applyFill="1" applyBorder="1" applyAlignment="1">
      <alignment horizontal="right" vertical="center"/>
    </xf>
    <xf numFmtId="164" fontId="83" fillId="69" borderId="0" xfId="0" applyNumberFormat="1" applyFont="1" applyFill="1" applyAlignment="1">
      <alignment horizontal="center" vertical="center"/>
    </xf>
    <xf numFmtId="164" fontId="83" fillId="69" borderId="0" xfId="0" applyNumberFormat="1" applyFont="1" applyFill="1" applyAlignment="1">
      <alignment horizontal="right" vertical="center"/>
    </xf>
    <xf numFmtId="1" fontId="83" fillId="69" borderId="0" xfId="0" applyNumberFormat="1" applyFont="1" applyFill="1" applyAlignment="1">
      <alignment horizontal="center" vertical="center"/>
    </xf>
    <xf numFmtId="1" fontId="83" fillId="69" borderId="0" xfId="0" applyNumberFormat="1" applyFont="1" applyFill="1" applyAlignment="1">
      <alignment horizontal="right" vertical="center"/>
    </xf>
    <xf numFmtId="0" fontId="112" fillId="76" borderId="0" xfId="72" applyFill="1" applyAlignment="1">
      <alignment horizontal="right"/>
    </xf>
    <xf numFmtId="182" fontId="83" fillId="67" borderId="0" xfId="0" applyNumberFormat="1" applyFont="1" applyFill="1" applyAlignment="1">
      <alignment horizontal="center" vertical="center"/>
    </xf>
    <xf numFmtId="0" fontId="83" fillId="67" borderId="0" xfId="0" applyFont="1" applyFill="1" applyAlignment="1">
      <alignment horizontal="right"/>
    </xf>
    <xf numFmtId="182" fontId="83" fillId="67" borderId="0" xfId="0" applyNumberFormat="1" applyFont="1" applyFill="1" applyAlignment="1">
      <alignment horizontal="right"/>
    </xf>
    <xf numFmtId="2" fontId="16" fillId="39" borderId="0" xfId="0" applyNumberFormat="1" applyFont="1" applyFill="1"/>
    <xf numFmtId="2" fontId="0" fillId="39" borderId="0" xfId="0" applyNumberFormat="1" applyFill="1"/>
    <xf numFmtId="2" fontId="16" fillId="0" borderId="0" xfId="0" applyNumberFormat="1" applyFont="1" applyAlignment="1">
      <alignment wrapText="1"/>
    </xf>
    <xf numFmtId="2" fontId="16" fillId="0" borderId="0" xfId="0" applyNumberFormat="1" applyFont="1" applyAlignment="1">
      <alignment horizontal="right" wrapText="1"/>
    </xf>
    <xf numFmtId="2" fontId="0" fillId="43" borderId="0" xfId="0" applyNumberFormat="1" applyFill="1"/>
    <xf numFmtId="0" fontId="0" fillId="0" borderId="0" xfId="0" applyAlignment="1">
      <alignment vertical="center"/>
    </xf>
    <xf numFmtId="179" fontId="121" fillId="61" borderId="84" xfId="66" applyNumberFormat="1" applyFont="1" applyFill="1" applyBorder="1" applyAlignment="1">
      <alignment horizontal="center" vertical="center"/>
    </xf>
    <xf numFmtId="179" fontId="121" fillId="61" borderId="0" xfId="66" applyNumberFormat="1" applyFont="1" applyFill="1" applyBorder="1" applyAlignment="1">
      <alignment horizontal="center" vertical="center"/>
    </xf>
    <xf numFmtId="181" fontId="121" fillId="61" borderId="0" xfId="66" applyNumberFormat="1" applyFont="1" applyFill="1" applyBorder="1" applyAlignment="1">
      <alignment horizontal="center" vertical="center"/>
    </xf>
    <xf numFmtId="2" fontId="121" fillId="61" borderId="0" xfId="67" applyNumberFormat="1" applyFont="1" applyFill="1" applyBorder="1" applyAlignment="1">
      <alignment horizontal="center" vertical="center"/>
    </xf>
    <xf numFmtId="178" fontId="121" fillId="61" borderId="0" xfId="66" applyFont="1" applyFill="1" applyBorder="1" applyAlignment="1">
      <alignment horizontal="center" vertical="center"/>
    </xf>
    <xf numFmtId="2" fontId="0" fillId="0" borderId="0" xfId="0" quotePrefix="1" applyNumberFormat="1"/>
    <xf numFmtId="0" fontId="0" fillId="35" borderId="0" xfId="0" applyFill="1" applyAlignment="1">
      <alignment vertical="center"/>
    </xf>
    <xf numFmtId="0" fontId="83" fillId="73" borderId="0" xfId="0" applyFont="1" applyFill="1" applyAlignment="1">
      <alignment horizontal="center" vertical="center"/>
    </xf>
    <xf numFmtId="0" fontId="132" fillId="0" borderId="0" xfId="0" applyFont="1" applyAlignment="1">
      <alignment vertical="center"/>
    </xf>
    <xf numFmtId="0" fontId="132" fillId="0" borderId="84" xfId="0" applyFont="1" applyBorder="1" applyAlignment="1">
      <alignment vertical="center"/>
    </xf>
    <xf numFmtId="0" fontId="132" fillId="0" borderId="0" xfId="0" applyFont="1" applyAlignment="1">
      <alignment horizontal="right" vertical="center" wrapText="1"/>
    </xf>
    <xf numFmtId="0" fontId="132" fillId="0" borderId="0" xfId="0" applyFont="1" applyAlignment="1">
      <alignment horizontal="right" vertical="center"/>
    </xf>
    <xf numFmtId="0" fontId="132" fillId="0" borderId="92" xfId="0" applyFont="1" applyBorder="1" applyAlignment="1">
      <alignment horizontal="right" vertical="center"/>
    </xf>
    <xf numFmtId="0" fontId="132" fillId="0" borderId="84" xfId="0" applyFont="1" applyBorder="1" applyAlignment="1">
      <alignment horizontal="right" vertical="center"/>
    </xf>
    <xf numFmtId="0" fontId="132" fillId="0" borderId="84" xfId="0" applyFont="1" applyBorder="1" applyAlignment="1">
      <alignment horizontal="right" vertical="center" wrapText="1"/>
    </xf>
    <xf numFmtId="49" fontId="132" fillId="0" borderId="0" xfId="0" applyNumberFormat="1" applyFont="1"/>
    <xf numFmtId="49" fontId="132" fillId="0" borderId="84" xfId="0" applyNumberFormat="1" applyFont="1" applyBorder="1"/>
    <xf numFmtId="49" fontId="132" fillId="0" borderId="38" xfId="0" applyNumberFormat="1" applyFont="1" applyBorder="1" applyAlignment="1">
      <alignment horizontal="center" vertical="center" wrapText="1"/>
    </xf>
    <xf numFmtId="49" fontId="134" fillId="0" borderId="0" xfId="0" applyNumberFormat="1" applyFont="1" applyAlignment="1">
      <alignment horizontal="left" vertical="center" wrapText="1"/>
    </xf>
    <xf numFmtId="49" fontId="134" fillId="0" borderId="73" xfId="0" applyNumberFormat="1" applyFont="1" applyBorder="1" applyAlignment="1">
      <alignment horizontal="left" vertical="center" wrapText="1"/>
    </xf>
    <xf numFmtId="49" fontId="132" fillId="0" borderId="0" xfId="0" applyNumberFormat="1" applyFont="1" applyAlignment="1">
      <alignment horizontal="left" vertical="center" wrapText="1"/>
    </xf>
    <xf numFmtId="49" fontId="132" fillId="0" borderId="72" xfId="0" applyNumberFormat="1" applyFont="1" applyBorder="1" applyAlignment="1">
      <alignment horizontal="left" vertical="center" wrapText="1"/>
    </xf>
    <xf numFmtId="49" fontId="134" fillId="0" borderId="72" xfId="0" applyNumberFormat="1" applyFont="1" applyBorder="1" applyAlignment="1">
      <alignment horizontal="left" vertical="center" wrapText="1"/>
    </xf>
    <xf numFmtId="0" fontId="132" fillId="0" borderId="92" xfId="0" applyFont="1" applyBorder="1" applyAlignment="1">
      <alignment horizontal="right" vertical="center" wrapText="1"/>
    </xf>
    <xf numFmtId="49" fontId="132" fillId="79" borderId="38" xfId="0" applyNumberFormat="1" applyFont="1" applyFill="1" applyBorder="1" applyAlignment="1">
      <alignment horizontal="center" vertical="center" wrapText="1"/>
    </xf>
    <xf numFmtId="49" fontId="132" fillId="35" borderId="38" xfId="0" applyNumberFormat="1" applyFont="1" applyFill="1" applyBorder="1" applyAlignment="1">
      <alignment horizontal="center" vertical="center" wrapText="1"/>
    </xf>
    <xf numFmtId="49" fontId="132" fillId="54" borderId="38" xfId="0" applyNumberFormat="1" applyFont="1" applyFill="1" applyBorder="1" applyAlignment="1">
      <alignment horizontal="center" vertical="center" wrapText="1"/>
    </xf>
    <xf numFmtId="49" fontId="132" fillId="35" borderId="25" xfId="0" applyNumberFormat="1" applyFont="1" applyFill="1" applyBorder="1" applyAlignment="1">
      <alignment horizontal="center" vertical="center" wrapText="1"/>
    </xf>
    <xf numFmtId="49" fontId="132" fillId="35" borderId="72" xfId="0" applyNumberFormat="1" applyFont="1" applyFill="1" applyBorder="1" applyAlignment="1">
      <alignment horizontal="left" vertical="center" wrapText="1"/>
    </xf>
    <xf numFmtId="49" fontId="132" fillId="0" borderId="84" xfId="0" applyNumberFormat="1" applyFont="1" applyBorder="1" applyAlignment="1">
      <alignment horizontal="left" vertical="center" wrapText="1"/>
    </xf>
    <xf numFmtId="49" fontId="132" fillId="0" borderId="93" xfId="0" applyNumberFormat="1" applyFont="1" applyBorder="1" applyAlignment="1">
      <alignment horizontal="left" vertical="center" wrapText="1"/>
    </xf>
    <xf numFmtId="10" fontId="0" fillId="0" borderId="0" xfId="0" applyNumberFormat="1" applyAlignment="1">
      <alignment vertical="center"/>
    </xf>
    <xf numFmtId="10" fontId="0" fillId="0" borderId="0" xfId="0" applyNumberFormat="1"/>
    <xf numFmtId="2" fontId="0" fillId="0" borderId="0" xfId="1" applyNumberFormat="1" applyFont="1"/>
    <xf numFmtId="0" fontId="94" fillId="0" borderId="38" xfId="0" applyFont="1" applyBorder="1" applyAlignment="1">
      <alignment horizontal="center" vertical="center"/>
    </xf>
    <xf numFmtId="0" fontId="83" fillId="66" borderId="45" xfId="0" applyFont="1" applyFill="1" applyBorder="1"/>
    <xf numFmtId="0" fontId="83" fillId="66" borderId="49" xfId="0" applyFont="1" applyFill="1" applyBorder="1" applyAlignment="1">
      <alignment horizontal="center" vertical="center"/>
    </xf>
    <xf numFmtId="1" fontId="83" fillId="66" borderId="38" xfId="0" applyNumberFormat="1" applyFont="1" applyFill="1" applyBorder="1" applyAlignment="1">
      <alignment horizontal="center" vertical="center"/>
    </xf>
    <xf numFmtId="0" fontId="83" fillId="66" borderId="65" xfId="0" applyFont="1" applyFill="1" applyBorder="1"/>
    <xf numFmtId="0" fontId="83" fillId="66" borderId="52" xfId="0" applyFont="1" applyFill="1" applyBorder="1" applyAlignment="1">
      <alignment horizontal="center" vertical="center"/>
    </xf>
    <xf numFmtId="1" fontId="83" fillId="66" borderId="49" xfId="0" applyNumberFormat="1" applyFont="1" applyFill="1" applyBorder="1" applyAlignment="1">
      <alignment horizontal="center" vertical="center"/>
    </xf>
    <xf numFmtId="182" fontId="83" fillId="66" borderId="49" xfId="63" applyNumberFormat="1" applyFont="1" applyFill="1" applyBorder="1" applyAlignment="1">
      <alignment horizontal="center" vertical="center"/>
    </xf>
    <xf numFmtId="182" fontId="83" fillId="66" borderId="49" xfId="63" applyNumberFormat="1" applyFont="1" applyFill="1" applyBorder="1" applyAlignment="1">
      <alignment horizontal="center"/>
    </xf>
    <xf numFmtId="0" fontId="83" fillId="0" borderId="38" xfId="0" applyFont="1" applyBorder="1" applyAlignment="1">
      <alignment horizontal="center" vertical="center"/>
    </xf>
    <xf numFmtId="11" fontId="83" fillId="0" borderId="38" xfId="0" applyNumberFormat="1" applyFont="1" applyBorder="1" applyAlignment="1">
      <alignment horizontal="center"/>
    </xf>
    <xf numFmtId="11" fontId="83" fillId="0" borderId="38" xfId="0" applyNumberFormat="1" applyFont="1" applyBorder="1" applyAlignment="1">
      <alignment horizontal="center" vertical="center"/>
    </xf>
    <xf numFmtId="0" fontId="90" fillId="0" borderId="0" xfId="0" applyFont="1" applyAlignment="1">
      <alignment horizontal="center" vertical="center"/>
    </xf>
    <xf numFmtId="0" fontId="83" fillId="78" borderId="45" xfId="0" applyFont="1" applyFill="1" applyBorder="1"/>
    <xf numFmtId="0" fontId="83" fillId="78" borderId="62" xfId="0" applyFont="1" applyFill="1" applyBorder="1"/>
    <xf numFmtId="0" fontId="83" fillId="78" borderId="62" xfId="0" applyFont="1" applyFill="1" applyBorder="1" applyAlignment="1">
      <alignment horizontal="center" vertical="center"/>
    </xf>
    <xf numFmtId="0" fontId="83" fillId="78" borderId="62" xfId="0" applyFont="1" applyFill="1" applyBorder="1" applyAlignment="1">
      <alignment horizontal="center"/>
    </xf>
    <xf numFmtId="0" fontId="90" fillId="78" borderId="119" xfId="0" applyFont="1" applyFill="1" applyBorder="1" applyAlignment="1">
      <alignment horizontal="center" vertical="center"/>
    </xf>
    <xf numFmtId="0" fontId="83" fillId="78" borderId="70" xfId="0" applyFont="1" applyFill="1" applyBorder="1"/>
    <xf numFmtId="0" fontId="83" fillId="78" borderId="0" xfId="0" applyFont="1" applyFill="1"/>
    <xf numFmtId="0" fontId="83" fillId="78" borderId="0" xfId="0" applyFont="1" applyFill="1" applyAlignment="1">
      <alignment horizontal="center" vertical="center"/>
    </xf>
    <xf numFmtId="0" fontId="83" fillId="78" borderId="0" xfId="0" applyFont="1" applyFill="1" applyAlignment="1">
      <alignment horizontal="center"/>
    </xf>
    <xf numFmtId="0" fontId="90" fillId="78" borderId="116" xfId="0" applyFont="1" applyFill="1" applyBorder="1" applyAlignment="1">
      <alignment horizontal="center" vertical="center"/>
    </xf>
    <xf numFmtId="0" fontId="94" fillId="78" borderId="58" xfId="0" applyFont="1" applyFill="1" applyBorder="1" applyAlignment="1">
      <alignment horizontal="left"/>
    </xf>
    <xf numFmtId="0" fontId="94" fillId="78" borderId="34" xfId="0" applyFont="1" applyFill="1" applyBorder="1" applyAlignment="1">
      <alignment horizontal="center"/>
    </xf>
    <xf numFmtId="0" fontId="94" fillId="78" borderId="34" xfId="0" applyFont="1" applyFill="1" applyBorder="1" applyAlignment="1">
      <alignment horizontal="center" vertical="center"/>
    </xf>
    <xf numFmtId="0" fontId="94" fillId="78" borderId="120" xfId="0" applyFont="1" applyFill="1" applyBorder="1" applyAlignment="1">
      <alignment horizontal="center" vertical="center"/>
    </xf>
    <xf numFmtId="0" fontId="95" fillId="78" borderId="120" xfId="0" applyFont="1" applyFill="1" applyBorder="1" applyAlignment="1">
      <alignment horizontal="center" vertical="center"/>
    </xf>
    <xf numFmtId="0" fontId="94" fillId="0" borderId="0" xfId="0" applyFont="1" applyAlignment="1">
      <alignment horizontal="center" vertical="center"/>
    </xf>
    <xf numFmtId="1" fontId="94" fillId="0" borderId="0" xfId="0" applyNumberFormat="1" applyFont="1" applyAlignment="1">
      <alignment horizontal="center" vertical="center"/>
    </xf>
    <xf numFmtId="1" fontId="83" fillId="78" borderId="0" xfId="0" applyNumberFormat="1" applyFont="1" applyFill="1" applyAlignment="1">
      <alignment horizontal="center" vertical="center"/>
    </xf>
    <xf numFmtId="1" fontId="83" fillId="78" borderId="0" xfId="0" applyNumberFormat="1" applyFont="1" applyFill="1" applyAlignment="1">
      <alignment horizontal="center"/>
    </xf>
    <xf numFmtId="1" fontId="83" fillId="78" borderId="116" xfId="0" applyNumberFormat="1" applyFont="1" applyFill="1" applyBorder="1" applyAlignment="1">
      <alignment horizontal="center" vertical="center"/>
    </xf>
    <xf numFmtId="10" fontId="90" fillId="78" borderId="116" xfId="1" applyNumberFormat="1" applyFont="1" applyFill="1" applyBorder="1" applyAlignment="1">
      <alignment horizontal="center" vertical="center"/>
    </xf>
    <xf numFmtId="1" fontId="83" fillId="78" borderId="116" xfId="0" applyNumberFormat="1" applyFont="1" applyFill="1" applyBorder="1" applyAlignment="1">
      <alignment horizontal="center"/>
    </xf>
    <xf numFmtId="0" fontId="94" fillId="78" borderId="70" xfId="0" applyFont="1" applyFill="1" applyBorder="1"/>
    <xf numFmtId="0" fontId="94" fillId="78" borderId="0" xfId="0" applyFont="1" applyFill="1"/>
    <xf numFmtId="1" fontId="94" fillId="78" borderId="0" xfId="0" applyNumberFormat="1" applyFont="1" applyFill="1" applyAlignment="1">
      <alignment horizontal="center" vertical="center"/>
    </xf>
    <xf numFmtId="1" fontId="94" fillId="78" borderId="116" xfId="0" applyNumberFormat="1" applyFont="1" applyFill="1" applyBorder="1" applyAlignment="1">
      <alignment horizontal="center" vertical="center"/>
    </xf>
    <xf numFmtId="1" fontId="94" fillId="0" borderId="0" xfId="0" applyNumberFormat="1" applyFont="1"/>
    <xf numFmtId="1" fontId="94" fillId="78" borderId="0" xfId="0" applyNumberFormat="1" applyFont="1" applyFill="1"/>
    <xf numFmtId="0" fontId="94" fillId="78" borderId="116" xfId="0" applyFont="1" applyFill="1" applyBorder="1"/>
    <xf numFmtId="0" fontId="94" fillId="78" borderId="41" xfId="0" applyFont="1" applyFill="1" applyBorder="1"/>
    <xf numFmtId="0" fontId="94" fillId="78" borderId="24" xfId="0" applyFont="1" applyFill="1" applyBorder="1"/>
    <xf numFmtId="1" fontId="94" fillId="78" borderId="24" xfId="0" applyNumberFormat="1" applyFont="1" applyFill="1" applyBorder="1" applyAlignment="1">
      <alignment horizontal="center" vertical="center"/>
    </xf>
    <xf numFmtId="1" fontId="94" fillId="78" borderId="121" xfId="0" applyNumberFormat="1" applyFont="1" applyFill="1" applyBorder="1" applyAlignment="1">
      <alignment horizontal="center" vertical="center"/>
    </xf>
    <xf numFmtId="181" fontId="95" fillId="78" borderId="121" xfId="1" applyNumberFormat="1" applyFont="1" applyFill="1" applyBorder="1" applyAlignment="1">
      <alignment horizontal="center" vertical="center"/>
    </xf>
    <xf numFmtId="196" fontId="83" fillId="0" borderId="0" xfId="0" applyNumberFormat="1" applyFont="1" applyAlignment="1">
      <alignment horizontal="center" vertical="center"/>
    </xf>
    <xf numFmtId="196" fontId="83" fillId="0" borderId="0" xfId="0" applyNumberFormat="1" applyFont="1" applyAlignment="1">
      <alignment horizontal="center"/>
    </xf>
    <xf numFmtId="1" fontId="83" fillId="78" borderId="119" xfId="0" applyNumberFormat="1" applyFont="1" applyFill="1" applyBorder="1" applyAlignment="1">
      <alignment horizontal="center" vertical="center"/>
    </xf>
    <xf numFmtId="181" fontId="83" fillId="0" borderId="0" xfId="1" applyNumberFormat="1" applyFont="1" applyFill="1" applyBorder="1"/>
    <xf numFmtId="0" fontId="94" fillId="78" borderId="65" xfId="0" applyFont="1" applyFill="1" applyBorder="1"/>
    <xf numFmtId="0" fontId="83" fillId="78" borderId="78" xfId="0" applyFont="1" applyFill="1" applyBorder="1"/>
    <xf numFmtId="1" fontId="83" fillId="78" borderId="78" xfId="0" applyNumberFormat="1" applyFont="1" applyFill="1" applyBorder="1" applyAlignment="1">
      <alignment horizontal="center" vertical="center"/>
    </xf>
    <xf numFmtId="1" fontId="94" fillId="78" borderId="78" xfId="0" applyNumberFormat="1" applyFont="1" applyFill="1" applyBorder="1" applyAlignment="1">
      <alignment horizontal="center" vertical="center"/>
    </xf>
    <xf numFmtId="1" fontId="94" fillId="78" borderId="118" xfId="0" applyNumberFormat="1" applyFont="1" applyFill="1" applyBorder="1" applyAlignment="1">
      <alignment horizontal="center" vertical="center"/>
    </xf>
    <xf numFmtId="10" fontId="90" fillId="78" borderId="118" xfId="1" applyNumberFormat="1" applyFont="1" applyFill="1" applyBorder="1" applyAlignment="1">
      <alignment horizontal="center" vertical="center"/>
    </xf>
    <xf numFmtId="0" fontId="110" fillId="80" borderId="45" xfId="0" applyFont="1" applyFill="1" applyBorder="1"/>
    <xf numFmtId="0" fontId="94" fillId="80" borderId="62" xfId="0" applyFont="1" applyFill="1" applyBorder="1"/>
    <xf numFmtId="0" fontId="83" fillId="80" borderId="62" xfId="0" applyFont="1" applyFill="1" applyBorder="1" applyAlignment="1">
      <alignment horizontal="center" vertical="center"/>
    </xf>
    <xf numFmtId="0" fontId="83" fillId="80" borderId="62" xfId="0" applyFont="1" applyFill="1" applyBorder="1" applyAlignment="1">
      <alignment horizontal="center"/>
    </xf>
    <xf numFmtId="0" fontId="90" fillId="80" borderId="119" xfId="0" applyFont="1" applyFill="1" applyBorder="1" applyAlignment="1">
      <alignment horizontal="center" vertical="center"/>
    </xf>
    <xf numFmtId="0" fontId="83" fillId="80" borderId="41" xfId="0" applyFont="1" applyFill="1" applyBorder="1"/>
    <xf numFmtId="0" fontId="83" fillId="80" borderId="24" xfId="0" applyFont="1" applyFill="1" applyBorder="1"/>
    <xf numFmtId="0" fontId="94" fillId="80" borderId="24" xfId="0" applyFont="1" applyFill="1" applyBorder="1" applyAlignment="1">
      <alignment horizontal="center" vertical="center"/>
    </xf>
    <xf numFmtId="0" fontId="94" fillId="80" borderId="24" xfId="0" applyFont="1" applyFill="1" applyBorder="1" applyAlignment="1">
      <alignment horizontal="center"/>
    </xf>
    <xf numFmtId="0" fontId="94" fillId="80" borderId="115" xfId="0" applyFont="1" applyFill="1" applyBorder="1" applyAlignment="1">
      <alignment horizontal="center" vertical="center"/>
    </xf>
    <xf numFmtId="0" fontId="94" fillId="80" borderId="70" xfId="0" applyFont="1" applyFill="1" applyBorder="1"/>
    <xf numFmtId="0" fontId="94" fillId="80" borderId="0" xfId="0" applyFont="1" applyFill="1"/>
    <xf numFmtId="1" fontId="94" fillId="80" borderId="0" xfId="0" applyNumberFormat="1" applyFont="1" applyFill="1" applyAlignment="1">
      <alignment horizontal="center" vertical="center"/>
    </xf>
    <xf numFmtId="1" fontId="94" fillId="80" borderId="0" xfId="0" applyNumberFormat="1" applyFont="1" applyFill="1" applyAlignment="1">
      <alignment horizontal="center"/>
    </xf>
    <xf numFmtId="1" fontId="94" fillId="80" borderId="116" xfId="0" applyNumberFormat="1" applyFont="1" applyFill="1" applyBorder="1" applyAlignment="1">
      <alignment horizontal="center" vertical="center"/>
    </xf>
    <xf numFmtId="10" fontId="90" fillId="80" borderId="116" xfId="1" applyNumberFormat="1" applyFont="1" applyFill="1" applyBorder="1" applyAlignment="1">
      <alignment horizontal="center" vertical="center"/>
    </xf>
    <xf numFmtId="0" fontId="83" fillId="80" borderId="70" xfId="0" applyFont="1" applyFill="1" applyBorder="1"/>
    <xf numFmtId="0" fontId="83" fillId="80" borderId="0" xfId="0" applyFont="1" applyFill="1"/>
    <xf numFmtId="1" fontId="83" fillId="80" borderId="0" xfId="0" applyNumberFormat="1" applyFont="1" applyFill="1" applyAlignment="1">
      <alignment horizontal="center" vertical="center"/>
    </xf>
    <xf numFmtId="164" fontId="135" fillId="80" borderId="0" xfId="0" applyNumberFormat="1" applyFont="1" applyFill="1" applyAlignment="1">
      <alignment horizontal="center" vertical="center"/>
    </xf>
    <xf numFmtId="164" fontId="135" fillId="80" borderId="0" xfId="0" applyNumberFormat="1" applyFont="1" applyFill="1" applyAlignment="1">
      <alignment horizontal="center"/>
    </xf>
    <xf numFmtId="1" fontId="135" fillId="80" borderId="116" xfId="0" applyNumberFormat="1" applyFont="1" applyFill="1" applyBorder="1" applyAlignment="1">
      <alignment horizontal="center" vertical="center"/>
    </xf>
    <xf numFmtId="181" fontId="90" fillId="80" borderId="116" xfId="1" applyNumberFormat="1" applyFont="1" applyFill="1" applyBorder="1" applyAlignment="1">
      <alignment horizontal="center" vertical="center"/>
    </xf>
    <xf numFmtId="164" fontId="135" fillId="80" borderId="116" xfId="0" applyNumberFormat="1" applyFont="1" applyFill="1" applyBorder="1" applyAlignment="1">
      <alignment horizontal="center" vertical="center"/>
    </xf>
    <xf numFmtId="2" fontId="94" fillId="80" borderId="0" xfId="0" applyNumberFormat="1" applyFont="1" applyFill="1" applyAlignment="1">
      <alignment horizontal="center"/>
    </xf>
    <xf numFmtId="2" fontId="94" fillId="80" borderId="116" xfId="0" applyNumberFormat="1" applyFont="1" applyFill="1" applyBorder="1" applyAlignment="1">
      <alignment horizontal="center" vertical="center"/>
    </xf>
    <xf numFmtId="1" fontId="135" fillId="80" borderId="0" xfId="0" applyNumberFormat="1" applyFont="1" applyFill="1" applyAlignment="1">
      <alignment horizontal="center" vertical="center"/>
    </xf>
    <xf numFmtId="1" fontId="135" fillId="80" borderId="0" xfId="0" applyNumberFormat="1" applyFont="1" applyFill="1" applyAlignment="1">
      <alignment horizontal="center"/>
    </xf>
    <xf numFmtId="164" fontId="94" fillId="80" borderId="0" xfId="0" applyNumberFormat="1" applyFont="1" applyFill="1" applyAlignment="1">
      <alignment horizontal="center"/>
    </xf>
    <xf numFmtId="164" fontId="94" fillId="80" borderId="116" xfId="0" applyNumberFormat="1" applyFont="1" applyFill="1" applyBorder="1" applyAlignment="1">
      <alignment horizontal="center" vertical="center"/>
    </xf>
    <xf numFmtId="164" fontId="94" fillId="80" borderId="0" xfId="0" applyNumberFormat="1" applyFont="1" applyFill="1" applyAlignment="1">
      <alignment horizontal="center" vertical="center"/>
    </xf>
    <xf numFmtId="2" fontId="94" fillId="80" borderId="0" xfId="0" applyNumberFormat="1" applyFont="1" applyFill="1" applyAlignment="1">
      <alignment horizontal="center" vertical="center"/>
    </xf>
    <xf numFmtId="0" fontId="94" fillId="80" borderId="41" xfId="0" applyFont="1" applyFill="1" applyBorder="1"/>
    <xf numFmtId="1" fontId="94" fillId="80" borderId="24" xfId="0" applyNumberFormat="1" applyFont="1" applyFill="1" applyBorder="1" applyAlignment="1">
      <alignment horizontal="center" vertical="center"/>
    </xf>
    <xf numFmtId="1" fontId="94" fillId="80" borderId="115" xfId="0" applyNumberFormat="1" applyFont="1" applyFill="1" applyBorder="1" applyAlignment="1">
      <alignment horizontal="center" vertical="center"/>
    </xf>
    <xf numFmtId="0" fontId="94" fillId="80" borderId="65" xfId="0" applyFont="1" applyFill="1" applyBorder="1"/>
    <xf numFmtId="0" fontId="94" fillId="80" borderId="78" xfId="0" applyFont="1" applyFill="1" applyBorder="1" applyAlignment="1">
      <alignment horizontal="center" vertical="center"/>
    </xf>
    <xf numFmtId="1" fontId="94" fillId="80" borderId="78" xfId="0" applyNumberFormat="1" applyFont="1" applyFill="1" applyBorder="1" applyAlignment="1">
      <alignment horizontal="center" vertical="center"/>
    </xf>
    <xf numFmtId="166" fontId="94" fillId="80" borderId="78" xfId="0" applyNumberFormat="1" applyFont="1" applyFill="1" applyBorder="1" applyAlignment="1">
      <alignment horizontal="center" vertical="center"/>
    </xf>
    <xf numFmtId="1" fontId="94" fillId="80" borderId="118" xfId="0" applyNumberFormat="1" applyFont="1" applyFill="1" applyBorder="1" applyAlignment="1">
      <alignment horizontal="center" vertical="center"/>
    </xf>
    <xf numFmtId="2" fontId="94" fillId="0" borderId="0" xfId="0" applyNumberFormat="1" applyFont="1" applyAlignment="1">
      <alignment horizontal="center" vertical="center"/>
    </xf>
    <xf numFmtId="0" fontId="129" fillId="73" borderId="45" xfId="0" applyFont="1" applyFill="1" applyBorder="1"/>
    <xf numFmtId="0" fontId="83" fillId="73" borderId="62" xfId="0" applyFont="1" applyFill="1" applyBorder="1"/>
    <xf numFmtId="0" fontId="83" fillId="73" borderId="62" xfId="0" applyFont="1" applyFill="1" applyBorder="1" applyAlignment="1">
      <alignment horizontal="center" vertical="center"/>
    </xf>
    <xf numFmtId="0" fontId="83" fillId="73" borderId="62" xfId="0" applyFont="1" applyFill="1" applyBorder="1" applyAlignment="1">
      <alignment horizontal="center"/>
    </xf>
    <xf numFmtId="0" fontId="90" fillId="73" borderId="76" xfId="0" applyFont="1" applyFill="1" applyBorder="1" applyAlignment="1">
      <alignment horizontal="center" vertical="center"/>
    </xf>
    <xf numFmtId="0" fontId="83" fillId="73" borderId="70" xfId="0" applyFont="1" applyFill="1" applyBorder="1"/>
    <xf numFmtId="0" fontId="83" fillId="73" borderId="0" xfId="0" applyFont="1" applyFill="1" applyAlignment="1">
      <alignment horizontal="center"/>
    </xf>
    <xf numFmtId="0" fontId="90" fillId="73" borderId="52" xfId="0" applyFont="1" applyFill="1" applyBorder="1" applyAlignment="1">
      <alignment horizontal="center" vertical="center"/>
    </xf>
    <xf numFmtId="0" fontId="94" fillId="73" borderId="25" xfId="0" applyFont="1" applyFill="1" applyBorder="1"/>
    <xf numFmtId="0" fontId="94" fillId="73" borderId="24" xfId="0" applyFont="1" applyFill="1" applyBorder="1"/>
    <xf numFmtId="0" fontId="94" fillId="73" borderId="24" xfId="0" applyFont="1" applyFill="1" applyBorder="1" applyAlignment="1">
      <alignment horizontal="center" vertical="center"/>
    </xf>
    <xf numFmtId="0" fontId="94" fillId="73" borderId="38" xfId="0" applyFont="1" applyFill="1" applyBorder="1" applyAlignment="1">
      <alignment horizontal="center" vertical="center"/>
    </xf>
    <xf numFmtId="1" fontId="83" fillId="73" borderId="0" xfId="0" applyNumberFormat="1" applyFont="1" applyFill="1" applyAlignment="1">
      <alignment horizontal="center" vertical="center"/>
    </xf>
    <xf numFmtId="1" fontId="83" fillId="73" borderId="52" xfId="0" applyNumberFormat="1" applyFont="1" applyFill="1" applyBorder="1" applyAlignment="1">
      <alignment horizontal="center" vertical="center"/>
    </xf>
    <xf numFmtId="181" fontId="83" fillId="73" borderId="52" xfId="1" applyNumberFormat="1" applyFont="1" applyFill="1" applyBorder="1" applyAlignment="1">
      <alignment horizontal="center" vertical="center"/>
    </xf>
    <xf numFmtId="1" fontId="94" fillId="73" borderId="0" xfId="0" applyNumberFormat="1" applyFont="1" applyFill="1" applyAlignment="1">
      <alignment horizontal="center" vertical="center"/>
    </xf>
    <xf numFmtId="182" fontId="83" fillId="73" borderId="0" xfId="63" applyNumberFormat="1" applyFont="1" applyFill="1" applyBorder="1" applyAlignment="1">
      <alignment horizontal="center" vertical="center"/>
    </xf>
    <xf numFmtId="182" fontId="83" fillId="73" borderId="72" xfId="63" applyNumberFormat="1" applyFont="1" applyFill="1" applyBorder="1" applyAlignment="1">
      <alignment horizontal="center" vertical="center"/>
    </xf>
    <xf numFmtId="0" fontId="94" fillId="73" borderId="70" xfId="0" applyFont="1" applyFill="1" applyBorder="1"/>
    <xf numFmtId="1" fontId="94" fillId="73" borderId="72" xfId="0" applyNumberFormat="1" applyFont="1" applyFill="1" applyBorder="1" applyAlignment="1">
      <alignment horizontal="center" vertical="center"/>
    </xf>
    <xf numFmtId="0" fontId="94" fillId="73" borderId="70" xfId="0" applyFont="1" applyFill="1" applyBorder="1" applyAlignment="1">
      <alignment wrapText="1"/>
    </xf>
    <xf numFmtId="181" fontId="94" fillId="73" borderId="0" xfId="1" applyNumberFormat="1" applyFont="1" applyFill="1" applyBorder="1" applyAlignment="1">
      <alignment horizontal="center" vertical="center"/>
    </xf>
    <xf numFmtId="1" fontId="94" fillId="73" borderId="52" xfId="0" applyNumberFormat="1" applyFont="1" applyFill="1" applyBorder="1" applyAlignment="1">
      <alignment horizontal="center" vertical="center"/>
    </xf>
    <xf numFmtId="181" fontId="95" fillId="73" borderId="52" xfId="1" applyNumberFormat="1" applyFont="1" applyFill="1" applyBorder="1" applyAlignment="1">
      <alignment horizontal="center" vertical="center"/>
    </xf>
    <xf numFmtId="0" fontId="94" fillId="73" borderId="70" xfId="0" applyFont="1" applyFill="1" applyBorder="1" applyAlignment="1">
      <alignment vertical="center" wrapText="1"/>
    </xf>
    <xf numFmtId="0" fontId="94" fillId="73" borderId="0" xfId="0" applyFont="1" applyFill="1" applyAlignment="1">
      <alignment vertical="center"/>
    </xf>
    <xf numFmtId="0" fontId="94" fillId="81" borderId="45" xfId="0" applyFont="1" applyFill="1" applyBorder="1"/>
    <xf numFmtId="0" fontId="83" fillId="81" borderId="62" xfId="0" applyFont="1" applyFill="1" applyBorder="1"/>
    <xf numFmtId="181" fontId="83" fillId="81" borderId="62" xfId="1" applyNumberFormat="1" applyFont="1" applyFill="1" applyBorder="1" applyAlignment="1">
      <alignment horizontal="center" vertical="center"/>
    </xf>
    <xf numFmtId="0" fontId="94" fillId="81" borderId="62" xfId="0" applyFont="1" applyFill="1" applyBorder="1" applyAlignment="1">
      <alignment horizontal="center" vertical="center"/>
    </xf>
    <xf numFmtId="0" fontId="94" fillId="81" borderId="44" xfId="0" applyFont="1" applyFill="1" applyBorder="1" applyAlignment="1">
      <alignment horizontal="center" vertical="center"/>
    </xf>
    <xf numFmtId="0" fontId="83" fillId="81" borderId="70" xfId="0" applyFont="1" applyFill="1" applyBorder="1"/>
    <xf numFmtId="0" fontId="83" fillId="81" borderId="0" xfId="0" applyFont="1" applyFill="1"/>
    <xf numFmtId="0" fontId="83" fillId="81" borderId="0" xfId="0" applyFont="1" applyFill="1" applyAlignment="1">
      <alignment horizontal="center" vertical="center"/>
    </xf>
    <xf numFmtId="181" fontId="83" fillId="81" borderId="0" xfId="1" applyNumberFormat="1" applyFont="1" applyFill="1" applyBorder="1" applyAlignment="1">
      <alignment horizontal="center" vertical="center"/>
    </xf>
    <xf numFmtId="181" fontId="83" fillId="81" borderId="69" xfId="1" applyNumberFormat="1" applyFont="1" applyFill="1" applyBorder="1" applyAlignment="1">
      <alignment horizontal="center" vertical="center"/>
    </xf>
    <xf numFmtId="0" fontId="83" fillId="81" borderId="41" xfId="0" applyFont="1" applyFill="1" applyBorder="1"/>
    <xf numFmtId="0" fontId="83" fillId="81" borderId="24" xfId="0" applyFont="1" applyFill="1" applyBorder="1"/>
    <xf numFmtId="0" fontId="83" fillId="81" borderId="24" xfId="0" applyFont="1" applyFill="1" applyBorder="1" applyAlignment="1">
      <alignment horizontal="center" vertical="center"/>
    </xf>
    <xf numFmtId="1" fontId="83" fillId="81" borderId="24" xfId="1" applyNumberFormat="1" applyFont="1" applyFill="1" applyBorder="1" applyAlignment="1">
      <alignment horizontal="center" vertical="center"/>
    </xf>
    <xf numFmtId="1" fontId="83" fillId="81" borderId="40" xfId="1" applyNumberFormat="1" applyFont="1" applyFill="1" applyBorder="1" applyAlignment="1">
      <alignment horizontal="center" vertical="center"/>
    </xf>
    <xf numFmtId="0" fontId="94" fillId="81" borderId="70" xfId="0" applyFont="1" applyFill="1" applyBorder="1"/>
    <xf numFmtId="0" fontId="94" fillId="81" borderId="0" xfId="0" applyFont="1" applyFill="1" applyAlignment="1">
      <alignment horizontal="left" vertical="center"/>
    </xf>
    <xf numFmtId="0" fontId="83" fillId="81" borderId="0" xfId="0" applyFont="1" applyFill="1" applyAlignment="1">
      <alignment horizontal="center"/>
    </xf>
    <xf numFmtId="0" fontId="90" fillId="81" borderId="69" xfId="0" applyFont="1" applyFill="1" applyBorder="1" applyAlignment="1">
      <alignment horizontal="center" vertical="center"/>
    </xf>
    <xf numFmtId="1" fontId="94" fillId="81" borderId="41" xfId="0" applyNumberFormat="1" applyFont="1" applyFill="1" applyBorder="1" applyAlignment="1">
      <alignment horizontal="center" vertical="center"/>
    </xf>
    <xf numFmtId="1" fontId="94" fillId="81" borderId="24" xfId="0" applyNumberFormat="1" applyFont="1" applyFill="1" applyBorder="1" applyAlignment="1">
      <alignment horizontal="center" vertical="center"/>
    </xf>
    <xf numFmtId="1" fontId="94" fillId="81" borderId="40" xfId="0" applyNumberFormat="1" applyFont="1" applyFill="1" applyBorder="1" applyAlignment="1">
      <alignment horizontal="center" vertical="center"/>
    </xf>
    <xf numFmtId="0" fontId="83" fillId="81" borderId="0" xfId="0" applyFont="1" applyFill="1" applyAlignment="1">
      <alignment horizontal="left" vertical="center"/>
    </xf>
    <xf numFmtId="1" fontId="83" fillId="81" borderId="0" xfId="0" applyNumberFormat="1" applyFont="1" applyFill="1" applyAlignment="1">
      <alignment horizontal="center" vertical="center"/>
    </xf>
    <xf numFmtId="1" fontId="83" fillId="81" borderId="69" xfId="0" applyNumberFormat="1" applyFont="1" applyFill="1" applyBorder="1" applyAlignment="1">
      <alignment horizontal="center" vertical="center"/>
    </xf>
    <xf numFmtId="0" fontId="94" fillId="81" borderId="63" xfId="0" applyFont="1" applyFill="1" applyBorder="1"/>
    <xf numFmtId="0" fontId="83" fillId="81" borderId="19" xfId="0" applyFont="1" applyFill="1" applyBorder="1"/>
    <xf numFmtId="0" fontId="94" fillId="81" borderId="19" xfId="0" applyFont="1" applyFill="1" applyBorder="1" applyAlignment="1">
      <alignment horizontal="left" vertical="center"/>
    </xf>
    <xf numFmtId="1" fontId="83" fillId="81" borderId="19" xfId="0" applyNumberFormat="1" applyFont="1" applyFill="1" applyBorder="1" applyAlignment="1">
      <alignment horizontal="center" vertical="center"/>
    </xf>
    <xf numFmtId="1" fontId="83" fillId="81" borderId="39" xfId="0" applyNumberFormat="1" applyFont="1" applyFill="1" applyBorder="1" applyAlignment="1">
      <alignment horizontal="center" vertical="center"/>
    </xf>
    <xf numFmtId="0" fontId="94" fillId="81" borderId="74" xfId="0" applyFont="1" applyFill="1" applyBorder="1"/>
    <xf numFmtId="0" fontId="83" fillId="81" borderId="59" xfId="0" applyFont="1" applyFill="1" applyBorder="1"/>
    <xf numFmtId="0" fontId="83" fillId="81" borderId="59" xfId="0" applyFont="1" applyFill="1" applyBorder="1" applyAlignment="1">
      <alignment horizontal="center" vertical="center"/>
    </xf>
    <xf numFmtId="0" fontId="94" fillId="81" borderId="59" xfId="0" applyFont="1" applyFill="1" applyBorder="1" applyAlignment="1">
      <alignment horizontal="left" vertical="center"/>
    </xf>
    <xf numFmtId="0" fontId="83" fillId="81" borderId="59" xfId="0" applyFont="1" applyFill="1" applyBorder="1" applyAlignment="1">
      <alignment horizontal="center"/>
    </xf>
    <xf numFmtId="0" fontId="90" fillId="81" borderId="66" xfId="0" applyFont="1" applyFill="1" applyBorder="1" applyAlignment="1">
      <alignment horizontal="center" vertical="center"/>
    </xf>
    <xf numFmtId="181" fontId="79" fillId="81" borderId="0" xfId="1" applyNumberFormat="1" applyFont="1" applyFill="1" applyBorder="1" applyAlignment="1">
      <alignment horizontal="center" vertical="center"/>
    </xf>
    <xf numFmtId="181" fontId="79" fillId="81" borderId="69" xfId="1" applyNumberFormat="1" applyFont="1" applyFill="1" applyBorder="1" applyAlignment="1">
      <alignment horizontal="center" vertical="center"/>
    </xf>
    <xf numFmtId="179" fontId="79" fillId="81" borderId="0" xfId="1" applyNumberFormat="1" applyFont="1" applyFill="1" applyBorder="1" applyAlignment="1">
      <alignment horizontal="center" vertical="center"/>
    </xf>
    <xf numFmtId="0" fontId="99" fillId="81" borderId="70" xfId="0" applyFont="1" applyFill="1" applyBorder="1"/>
    <xf numFmtId="0" fontId="83" fillId="81" borderId="69" xfId="0" applyFont="1" applyFill="1" applyBorder="1" applyAlignment="1">
      <alignment horizontal="center" vertical="center"/>
    </xf>
    <xf numFmtId="0" fontId="99" fillId="81" borderId="74" xfId="0" applyFont="1" applyFill="1" applyBorder="1"/>
    <xf numFmtId="0" fontId="94" fillId="81" borderId="59" xfId="0" applyFont="1" applyFill="1" applyBorder="1" applyAlignment="1">
      <alignment horizontal="center" vertical="center"/>
    </xf>
    <xf numFmtId="0" fontId="94" fillId="81" borderId="66" xfId="0" applyFont="1" applyFill="1" applyBorder="1" applyAlignment="1">
      <alignment horizontal="center" vertical="center"/>
    </xf>
    <xf numFmtId="0" fontId="94" fillId="81" borderId="51" xfId="0" applyFont="1" applyFill="1" applyBorder="1"/>
    <xf numFmtId="0" fontId="83" fillId="81" borderId="84" xfId="0" applyFont="1" applyFill="1" applyBorder="1"/>
    <xf numFmtId="0" fontId="83" fillId="81" borderId="84" xfId="0" applyFont="1" applyFill="1" applyBorder="1" applyAlignment="1">
      <alignment horizontal="center" vertical="center"/>
    </xf>
    <xf numFmtId="1" fontId="83" fillId="81" borderId="84" xfId="1" applyNumberFormat="1" applyFont="1" applyFill="1" applyBorder="1" applyAlignment="1">
      <alignment horizontal="center" vertical="center"/>
    </xf>
    <xf numFmtId="1" fontId="83" fillId="81" borderId="50" xfId="1" applyNumberFormat="1" applyFont="1" applyFill="1" applyBorder="1" applyAlignment="1">
      <alignment horizontal="center" vertical="center"/>
    </xf>
    <xf numFmtId="1" fontId="83" fillId="81" borderId="0" xfId="1" applyNumberFormat="1" applyFont="1" applyFill="1" applyBorder="1" applyAlignment="1">
      <alignment horizontal="center" vertical="center"/>
    </xf>
    <xf numFmtId="1" fontId="83" fillId="81" borderId="69" xfId="1" applyNumberFormat="1" applyFont="1" applyFill="1" applyBorder="1" applyAlignment="1">
      <alignment horizontal="center" vertical="center"/>
    </xf>
    <xf numFmtId="0" fontId="94" fillId="81" borderId="65" xfId="0" applyFont="1" applyFill="1" applyBorder="1"/>
    <xf numFmtId="0" fontId="83" fillId="81" borderId="78" xfId="0" applyFont="1" applyFill="1" applyBorder="1"/>
    <xf numFmtId="0" fontId="83" fillId="81" borderId="78" xfId="0" applyFont="1" applyFill="1" applyBorder="1" applyAlignment="1">
      <alignment horizontal="center" vertical="center"/>
    </xf>
    <xf numFmtId="1" fontId="83" fillId="81" borderId="78" xfId="1" applyNumberFormat="1" applyFont="1" applyFill="1" applyBorder="1" applyAlignment="1">
      <alignment horizontal="center" vertical="center"/>
    </xf>
    <xf numFmtId="1" fontId="83" fillId="81" borderId="64" xfId="1" applyNumberFormat="1" applyFont="1" applyFill="1" applyBorder="1" applyAlignment="1">
      <alignment horizontal="center" vertical="center"/>
    </xf>
    <xf numFmtId="0" fontId="129" fillId="82" borderId="45" xfId="0" applyFont="1" applyFill="1" applyBorder="1"/>
    <xf numFmtId="0" fontId="83" fillId="82" borderId="62" xfId="0" applyFont="1" applyFill="1" applyBorder="1"/>
    <xf numFmtId="0" fontId="83" fillId="82" borderId="62" xfId="0" applyFont="1" applyFill="1" applyBorder="1" applyAlignment="1">
      <alignment horizontal="center" vertical="center"/>
    </xf>
    <xf numFmtId="0" fontId="83" fillId="82" borderId="62" xfId="0" applyFont="1" applyFill="1" applyBorder="1" applyAlignment="1">
      <alignment horizontal="center"/>
    </xf>
    <xf numFmtId="0" fontId="83" fillId="82" borderId="122" xfId="0" applyFont="1" applyFill="1" applyBorder="1" applyAlignment="1">
      <alignment horizontal="center" vertical="center"/>
    </xf>
    <xf numFmtId="0" fontId="83" fillId="82" borderId="119" xfId="0" applyFont="1" applyFill="1" applyBorder="1" applyAlignment="1">
      <alignment horizontal="center" vertical="center"/>
    </xf>
    <xf numFmtId="0" fontId="94" fillId="82" borderId="70" xfId="0" applyFont="1" applyFill="1" applyBorder="1"/>
    <xf numFmtId="0" fontId="94" fillId="82" borderId="0" xfId="0" applyFont="1" applyFill="1"/>
    <xf numFmtId="0" fontId="94" fillId="82" borderId="0" xfId="0" applyFont="1" applyFill="1" applyAlignment="1">
      <alignment horizontal="center" vertical="center"/>
    </xf>
    <xf numFmtId="0" fontId="94" fillId="82" borderId="25" xfId="0" applyFont="1" applyFill="1" applyBorder="1" applyAlignment="1">
      <alignment horizontal="center" vertical="center"/>
    </xf>
    <xf numFmtId="0" fontId="94" fillId="82" borderId="24" xfId="0" applyFont="1" applyFill="1" applyBorder="1" applyAlignment="1">
      <alignment horizontal="center" vertical="center"/>
    </xf>
    <xf numFmtId="0" fontId="94" fillId="82" borderId="24" xfId="0" applyFont="1" applyFill="1" applyBorder="1" applyAlignment="1">
      <alignment horizontal="center"/>
    </xf>
    <xf numFmtId="0" fontId="94" fillId="82" borderId="23" xfId="0" applyFont="1" applyFill="1" applyBorder="1" applyAlignment="1">
      <alignment horizontal="center" vertical="center"/>
    </xf>
    <xf numFmtId="0" fontId="94" fillId="82" borderId="115" xfId="0" applyFont="1" applyFill="1" applyBorder="1" applyAlignment="1">
      <alignment horizontal="center" vertical="center"/>
    </xf>
    <xf numFmtId="0" fontId="83" fillId="82" borderId="0" xfId="0" applyFont="1" applyFill="1"/>
    <xf numFmtId="178" fontId="83" fillId="82" borderId="0" xfId="1" applyNumberFormat="1" applyFont="1" applyFill="1" applyBorder="1" applyAlignment="1">
      <alignment horizontal="center" vertical="center"/>
    </xf>
    <xf numFmtId="178" fontId="83" fillId="82" borderId="91" xfId="1" applyNumberFormat="1" applyFont="1" applyFill="1" applyBorder="1" applyAlignment="1">
      <alignment horizontal="center" vertical="center"/>
    </xf>
    <xf numFmtId="178" fontId="83" fillId="82" borderId="0" xfId="1" applyNumberFormat="1" applyFont="1" applyFill="1" applyBorder="1" applyAlignment="1">
      <alignment horizontal="center"/>
    </xf>
    <xf numFmtId="178" fontId="83" fillId="82" borderId="75" xfId="1" applyNumberFormat="1" applyFont="1" applyFill="1" applyBorder="1" applyAlignment="1">
      <alignment horizontal="center" vertical="center"/>
    </xf>
    <xf numFmtId="178" fontId="83" fillId="82" borderId="116" xfId="1" applyNumberFormat="1" applyFont="1" applyFill="1" applyBorder="1" applyAlignment="1">
      <alignment horizontal="center" vertical="center"/>
    </xf>
    <xf numFmtId="0" fontId="94" fillId="82" borderId="65" xfId="0" applyFont="1" applyFill="1" applyBorder="1"/>
    <xf numFmtId="0" fontId="83" fillId="82" borderId="78" xfId="0" applyFont="1" applyFill="1" applyBorder="1"/>
    <xf numFmtId="178" fontId="83" fillId="82" borderId="78" xfId="1" applyNumberFormat="1" applyFont="1" applyFill="1" applyBorder="1" applyAlignment="1">
      <alignment horizontal="center" vertical="center"/>
    </xf>
    <xf numFmtId="178" fontId="83" fillId="82" borderId="117" xfId="1" applyNumberFormat="1" applyFont="1" applyFill="1" applyBorder="1" applyAlignment="1">
      <alignment horizontal="center" vertical="center"/>
    </xf>
    <xf numFmtId="178" fontId="83" fillId="82" borderId="78" xfId="1" applyNumberFormat="1" applyFont="1" applyFill="1" applyBorder="1" applyAlignment="1">
      <alignment horizontal="center"/>
    </xf>
    <xf numFmtId="178" fontId="83" fillId="82" borderId="77" xfId="1" applyNumberFormat="1" applyFont="1" applyFill="1" applyBorder="1" applyAlignment="1">
      <alignment horizontal="center" vertical="center"/>
    </xf>
    <xf numFmtId="178" fontId="83" fillId="82" borderId="118" xfId="1" applyNumberFormat="1" applyFont="1" applyFill="1" applyBorder="1" applyAlignment="1">
      <alignment horizontal="center" vertical="center"/>
    </xf>
    <xf numFmtId="0" fontId="129" fillId="83" borderId="45" xfId="0" applyFont="1" applyFill="1" applyBorder="1"/>
    <xf numFmtId="0" fontId="83" fillId="83" borderId="62" xfId="0" applyFont="1" applyFill="1" applyBorder="1"/>
    <xf numFmtId="0" fontId="83" fillId="83" borderId="62" xfId="0" applyFont="1" applyFill="1" applyBorder="1" applyAlignment="1">
      <alignment horizontal="center" vertical="center"/>
    </xf>
    <xf numFmtId="0" fontId="83" fillId="83" borderId="62" xfId="0" applyFont="1" applyFill="1" applyBorder="1" applyAlignment="1">
      <alignment horizontal="center"/>
    </xf>
    <xf numFmtId="0" fontId="83" fillId="83" borderId="44" xfId="0" applyFont="1" applyFill="1" applyBorder="1" applyAlignment="1">
      <alignment horizontal="center" vertical="center"/>
    </xf>
    <xf numFmtId="0" fontId="83" fillId="83" borderId="70" xfId="0" applyFont="1" applyFill="1" applyBorder="1"/>
    <xf numFmtId="0" fontId="83" fillId="83" borderId="0" xfId="0" applyFont="1" applyFill="1"/>
    <xf numFmtId="0" fontId="83" fillId="83" borderId="0" xfId="0" applyFont="1" applyFill="1" applyAlignment="1">
      <alignment horizontal="center" vertical="center"/>
    </xf>
    <xf numFmtId="1" fontId="94" fillId="83" borderId="25" xfId="0" applyNumberFormat="1" applyFont="1" applyFill="1" applyBorder="1" applyAlignment="1">
      <alignment horizontal="center" vertical="center"/>
    </xf>
    <xf numFmtId="1" fontId="94" fillId="83" borderId="24" xfId="0" applyNumberFormat="1" applyFont="1" applyFill="1" applyBorder="1" applyAlignment="1">
      <alignment horizontal="center" vertical="center"/>
    </xf>
    <xf numFmtId="1" fontId="94" fillId="83" borderId="40" xfId="0" applyNumberFormat="1" applyFont="1" applyFill="1" applyBorder="1" applyAlignment="1">
      <alignment horizontal="center" vertical="center"/>
    </xf>
    <xf numFmtId="1" fontId="83" fillId="83" borderId="0" xfId="0" applyNumberFormat="1" applyFont="1" applyFill="1" applyAlignment="1">
      <alignment horizontal="center" vertical="center"/>
    </xf>
    <xf numFmtId="1" fontId="83" fillId="83" borderId="49" xfId="0" applyNumberFormat="1" applyFont="1" applyFill="1" applyBorder="1" applyAlignment="1">
      <alignment horizontal="center" vertical="center"/>
    </xf>
    <xf numFmtId="1" fontId="83" fillId="83" borderId="69" xfId="0" applyNumberFormat="1" applyFont="1" applyFill="1" applyBorder="1" applyAlignment="1">
      <alignment horizontal="center" vertical="center"/>
    </xf>
    <xf numFmtId="174" fontId="83" fillId="0" borderId="0" xfId="0" applyNumberFormat="1" applyFont="1" applyAlignment="1">
      <alignment horizontal="center" vertical="center"/>
    </xf>
    <xf numFmtId="0" fontId="83" fillId="83" borderId="70" xfId="0" applyFont="1" applyFill="1" applyBorder="1" applyAlignment="1">
      <alignment vertical="center"/>
    </xf>
    <xf numFmtId="0" fontId="83" fillId="83" borderId="0" xfId="0" applyFont="1" applyFill="1" applyAlignment="1">
      <alignment vertical="center"/>
    </xf>
    <xf numFmtId="164" fontId="83" fillId="83" borderId="0" xfId="0" applyNumberFormat="1" applyFont="1" applyFill="1" applyAlignment="1">
      <alignment horizontal="center" vertical="center"/>
    </xf>
    <xf numFmtId="164" fontId="83" fillId="83" borderId="52" xfId="0" applyNumberFormat="1" applyFont="1" applyFill="1" applyBorder="1" applyAlignment="1">
      <alignment horizontal="center" vertical="center"/>
    </xf>
    <xf numFmtId="164" fontId="83" fillId="83" borderId="69" xfId="0" applyNumberFormat="1" applyFont="1" applyFill="1" applyBorder="1" applyAlignment="1">
      <alignment horizontal="center" vertical="center"/>
    </xf>
    <xf numFmtId="0" fontId="83" fillId="83" borderId="65" xfId="0" applyFont="1" applyFill="1" applyBorder="1" applyAlignment="1">
      <alignment vertical="center" wrapText="1"/>
    </xf>
    <xf numFmtId="0" fontId="83" fillId="83" borderId="78" xfId="0" applyFont="1" applyFill="1" applyBorder="1" applyAlignment="1">
      <alignment vertical="center" wrapText="1"/>
    </xf>
    <xf numFmtId="0" fontId="83" fillId="83" borderId="78" xfId="0" applyFont="1" applyFill="1" applyBorder="1" applyAlignment="1">
      <alignment horizontal="center" vertical="center" wrapText="1"/>
    </xf>
    <xf numFmtId="2" fontId="83" fillId="83" borderId="47" xfId="0" applyNumberFormat="1" applyFont="1" applyFill="1" applyBorder="1" applyAlignment="1">
      <alignment horizontal="center" vertical="center"/>
    </xf>
    <xf numFmtId="2" fontId="83" fillId="83" borderId="78" xfId="0" applyNumberFormat="1" applyFont="1" applyFill="1" applyBorder="1" applyAlignment="1">
      <alignment horizontal="center" vertical="center"/>
    </xf>
    <xf numFmtId="2" fontId="83" fillId="83" borderId="64" xfId="0" applyNumberFormat="1" applyFont="1" applyFill="1" applyBorder="1" applyAlignment="1">
      <alignment horizontal="center" vertical="center"/>
    </xf>
    <xf numFmtId="1" fontId="83" fillId="0" borderId="0" xfId="1" applyNumberFormat="1" applyFont="1" applyFill="1" applyBorder="1" applyAlignment="1">
      <alignment horizontal="center" vertical="center"/>
    </xf>
    <xf numFmtId="0" fontId="129" fillId="0" borderId="45" xfId="0" applyFont="1" applyBorder="1"/>
    <xf numFmtId="0" fontId="83" fillId="0" borderId="62" xfId="0" applyFont="1" applyBorder="1"/>
    <xf numFmtId="0" fontId="83" fillId="0" borderId="62" xfId="0" applyFont="1" applyBorder="1" applyAlignment="1">
      <alignment horizontal="center" vertical="center"/>
    </xf>
    <xf numFmtId="0" fontId="83" fillId="0" borderId="62" xfId="0" applyFont="1" applyBorder="1" applyAlignment="1">
      <alignment horizontal="center"/>
    </xf>
    <xf numFmtId="0" fontId="90" fillId="0" borderId="122" xfId="0" applyFont="1" applyBorder="1" applyAlignment="1">
      <alignment horizontal="center" vertical="center"/>
    </xf>
    <xf numFmtId="0" fontId="83" fillId="0" borderId="70" xfId="0" applyFont="1" applyBorder="1"/>
    <xf numFmtId="1" fontId="94" fillId="0" borderId="67" xfId="0" applyNumberFormat="1" applyFont="1" applyBorder="1" applyAlignment="1">
      <alignment horizontal="center" vertical="center"/>
    </xf>
    <xf numFmtId="1" fontId="94" fillId="0" borderId="59" xfId="0" applyNumberFormat="1" applyFont="1" applyBorder="1" applyAlignment="1">
      <alignment horizontal="center" vertical="center"/>
    </xf>
    <xf numFmtId="1" fontId="94" fillId="0" borderId="40" xfId="0" applyNumberFormat="1" applyFont="1" applyBorder="1" applyAlignment="1">
      <alignment horizontal="center" vertical="center"/>
    </xf>
    <xf numFmtId="0" fontId="94" fillId="0" borderId="70" xfId="0" applyFont="1" applyBorder="1"/>
    <xf numFmtId="164" fontId="83" fillId="0" borderId="91" xfId="0" applyNumberFormat="1" applyFont="1" applyBorder="1" applyAlignment="1">
      <alignment horizontal="center" vertical="center"/>
    </xf>
    <xf numFmtId="164" fontId="83" fillId="0" borderId="72" xfId="0" applyNumberFormat="1" applyFont="1" applyBorder="1" applyAlignment="1">
      <alignment horizontal="center" vertical="center"/>
    </xf>
    <xf numFmtId="164" fontId="83" fillId="0" borderId="69" xfId="0" applyNumberFormat="1" applyFont="1" applyBorder="1" applyAlignment="1">
      <alignment horizontal="center" vertical="center"/>
    </xf>
    <xf numFmtId="164" fontId="83" fillId="0" borderId="92" xfId="0" applyNumberFormat="1" applyFont="1" applyBorder="1" applyAlignment="1">
      <alignment horizontal="center" vertical="center"/>
    </xf>
    <xf numFmtId="164" fontId="83" fillId="0" borderId="93" xfId="0" applyNumberFormat="1" applyFont="1" applyBorder="1" applyAlignment="1">
      <alignment horizontal="center" vertical="center"/>
    </xf>
    <xf numFmtId="164" fontId="83" fillId="0" borderId="50" xfId="0" applyNumberFormat="1" applyFont="1" applyBorder="1" applyAlignment="1">
      <alignment horizontal="center" vertical="center"/>
    </xf>
    <xf numFmtId="0" fontId="83" fillId="0" borderId="65" xfId="0" applyFont="1" applyBorder="1"/>
    <xf numFmtId="0" fontId="83" fillId="0" borderId="78" xfId="0" applyFont="1" applyBorder="1"/>
    <xf numFmtId="0" fontId="83" fillId="0" borderId="78" xfId="0" applyFont="1" applyBorder="1" applyAlignment="1">
      <alignment horizontal="center" vertical="center"/>
    </xf>
    <xf numFmtId="0" fontId="83" fillId="0" borderId="78" xfId="0" applyFont="1" applyBorder="1" applyAlignment="1">
      <alignment horizontal="center"/>
    </xf>
    <xf numFmtId="0" fontId="90" fillId="0" borderId="77" xfId="0" applyFont="1" applyBorder="1" applyAlignment="1">
      <alignment horizontal="center" vertical="center"/>
    </xf>
    <xf numFmtId="1" fontId="94" fillId="0" borderId="25" xfId="0" applyNumberFormat="1" applyFont="1" applyBorder="1" applyAlignment="1">
      <alignment horizontal="center" vertical="center"/>
    </xf>
    <xf numFmtId="1" fontId="94" fillId="0" borderId="24" xfId="0" applyNumberFormat="1" applyFont="1" applyBorder="1" applyAlignment="1">
      <alignment horizontal="center" vertical="center"/>
    </xf>
    <xf numFmtId="164" fontId="83" fillId="0" borderId="67" xfId="0" applyNumberFormat="1" applyFont="1" applyBorder="1" applyAlignment="1">
      <alignment horizontal="center" vertical="center"/>
    </xf>
    <xf numFmtId="164" fontId="83" fillId="0" borderId="66" xfId="0" applyNumberFormat="1" applyFont="1" applyBorder="1" applyAlignment="1">
      <alignment horizontal="center" vertical="center"/>
    </xf>
    <xf numFmtId="0" fontId="136" fillId="34" borderId="0" xfId="0" applyFont="1" applyFill="1"/>
    <xf numFmtId="0" fontId="138" fillId="45" borderId="0" xfId="83" applyFont="1" applyFill="1" applyAlignment="1">
      <alignment vertical="center"/>
    </xf>
    <xf numFmtId="0" fontId="139" fillId="34" borderId="0" xfId="0" applyFont="1" applyFill="1"/>
    <xf numFmtId="2" fontId="0" fillId="57" borderId="0" xfId="0" applyNumberFormat="1" applyFill="1"/>
    <xf numFmtId="0" fontId="16" fillId="57" borderId="0" xfId="0" applyFont="1" applyFill="1" applyAlignment="1">
      <alignment horizontal="right" wrapText="1"/>
    </xf>
    <xf numFmtId="165" fontId="30" fillId="67" borderId="0" xfId="0" applyNumberFormat="1" applyFont="1" applyFill="1"/>
    <xf numFmtId="0" fontId="114" fillId="0" borderId="0" xfId="64" applyFont="1"/>
    <xf numFmtId="0" fontId="69" fillId="0" borderId="0" xfId="64"/>
    <xf numFmtId="0" fontId="69" fillId="0" borderId="0" xfId="64" applyAlignment="1">
      <alignment horizontal="center" vertical="center"/>
    </xf>
    <xf numFmtId="0" fontId="115" fillId="0" borderId="0" xfId="64" applyFont="1" applyAlignment="1">
      <alignment vertical="center"/>
    </xf>
    <xf numFmtId="0" fontId="69" fillId="0" borderId="0" xfId="64" applyAlignment="1">
      <alignment vertical="center"/>
    </xf>
    <xf numFmtId="0" fontId="116" fillId="59" borderId="79" xfId="64" applyFont="1" applyFill="1" applyBorder="1" applyAlignment="1">
      <alignment horizontal="left" vertical="center" indent="1"/>
    </xf>
    <xf numFmtId="0" fontId="119" fillId="61" borderId="24" xfId="64" applyFont="1" applyFill="1" applyBorder="1" applyAlignment="1">
      <alignment vertical="center"/>
    </xf>
    <xf numFmtId="0" fontId="119" fillId="61" borderId="24" xfId="64" applyFont="1" applyFill="1" applyBorder="1" applyAlignment="1">
      <alignment horizontal="center" vertical="center"/>
    </xf>
    <xf numFmtId="0" fontId="120" fillId="61" borderId="24" xfId="64" applyFont="1" applyFill="1" applyBorder="1" applyAlignment="1">
      <alignment horizontal="right" vertical="center"/>
    </xf>
    <xf numFmtId="0" fontId="75" fillId="61" borderId="0" xfId="64" applyFont="1" applyFill="1" applyAlignment="1">
      <alignment vertical="center"/>
    </xf>
    <xf numFmtId="0" fontId="117" fillId="0" borderId="0" xfId="64" applyFont="1" applyAlignment="1">
      <alignment vertical="center"/>
    </xf>
    <xf numFmtId="0" fontId="119" fillId="61" borderId="83" xfId="64" applyFont="1" applyFill="1" applyBorder="1" applyAlignment="1">
      <alignment vertical="center"/>
    </xf>
    <xf numFmtId="0" fontId="119" fillId="61" borderId="83" xfId="64" applyFont="1" applyFill="1" applyBorder="1" applyAlignment="1">
      <alignment horizontal="center" vertical="center"/>
    </xf>
    <xf numFmtId="0" fontId="119" fillId="61" borderId="0" xfId="64" applyFont="1" applyFill="1" applyAlignment="1">
      <alignment horizontal="center" vertical="center"/>
    </xf>
    <xf numFmtId="0" fontId="119" fillId="61" borderId="0" xfId="64" applyFont="1" applyFill="1" applyAlignment="1">
      <alignment horizontal="right" vertical="center"/>
    </xf>
    <xf numFmtId="0" fontId="119" fillId="61" borderId="0" xfId="64" applyFont="1" applyFill="1" applyAlignment="1">
      <alignment vertical="center"/>
    </xf>
    <xf numFmtId="0" fontId="121" fillId="61" borderId="0" xfId="64" applyFont="1" applyFill="1" applyAlignment="1">
      <alignment vertical="center"/>
    </xf>
    <xf numFmtId="0" fontId="121" fillId="61" borderId="0" xfId="64" applyFont="1" applyFill="1" applyAlignment="1">
      <alignment horizontal="left" vertical="center"/>
    </xf>
    <xf numFmtId="0" fontId="116" fillId="54" borderId="0" xfId="64" applyFont="1" applyFill="1" applyAlignment="1">
      <alignment horizontal="left" vertical="center" indent="1"/>
    </xf>
    <xf numFmtId="0" fontId="119" fillId="0" borderId="0" xfId="64" applyFont="1" applyAlignment="1">
      <alignment vertical="center"/>
    </xf>
    <xf numFmtId="0" fontId="119" fillId="0" borderId="0" xfId="64" applyFont="1" applyAlignment="1">
      <alignment horizontal="right" vertical="center"/>
    </xf>
    <xf numFmtId="0" fontId="121" fillId="61" borderId="0" xfId="64" applyFont="1" applyFill="1" applyAlignment="1">
      <alignment horizontal="right" vertical="center"/>
    </xf>
    <xf numFmtId="0" fontId="119" fillId="61" borderId="24" xfId="64" applyFont="1" applyFill="1" applyBorder="1" applyAlignment="1">
      <alignment horizontal="right" vertical="center"/>
    </xf>
    <xf numFmtId="174" fontId="121" fillId="61" borderId="0" xfId="64" applyNumberFormat="1" applyFont="1" applyFill="1" applyAlignment="1">
      <alignment horizontal="center" vertical="center"/>
    </xf>
    <xf numFmtId="2" fontId="121" fillId="61" borderId="0" xfId="64" applyNumberFormat="1" applyFont="1" applyFill="1" applyAlignment="1">
      <alignment horizontal="center" vertical="center"/>
    </xf>
    <xf numFmtId="0" fontId="121" fillId="61" borderId="0" xfId="64" applyFont="1" applyFill="1" applyAlignment="1">
      <alignment horizontal="center" vertical="center"/>
    </xf>
    <xf numFmtId="0" fontId="121" fillId="61" borderId="84" xfId="64" applyFont="1" applyFill="1" applyBorder="1" applyAlignment="1">
      <alignment horizontal="center" vertical="center"/>
    </xf>
    <xf numFmtId="11" fontId="121" fillId="61" borderId="0" xfId="64" applyNumberFormat="1" applyFont="1" applyFill="1" applyAlignment="1">
      <alignment horizontal="center" vertical="center"/>
    </xf>
    <xf numFmtId="166" fontId="121" fillId="61" borderId="0" xfId="64" applyNumberFormat="1" applyFont="1" applyFill="1" applyAlignment="1">
      <alignment horizontal="center" vertical="center"/>
    </xf>
    <xf numFmtId="0" fontId="119" fillId="0" borderId="0" xfId="64" applyFont="1" applyAlignment="1">
      <alignment horizontal="center" vertical="center"/>
    </xf>
    <xf numFmtId="0" fontId="119" fillId="61" borderId="38" xfId="64" applyFont="1" applyFill="1" applyBorder="1" applyAlignment="1">
      <alignment horizontal="center" vertical="center"/>
    </xf>
    <xf numFmtId="180" fontId="69" fillId="0" borderId="0" xfId="64" applyNumberFormat="1" applyAlignment="1">
      <alignment horizontal="center" vertical="center"/>
    </xf>
    <xf numFmtId="0" fontId="121" fillId="60" borderId="0" xfId="64" applyFont="1" applyFill="1" applyAlignment="1">
      <alignment vertical="center"/>
    </xf>
    <xf numFmtId="0" fontId="116" fillId="40" borderId="79" xfId="64" applyFont="1" applyFill="1" applyBorder="1" applyAlignment="1">
      <alignment horizontal="left" vertical="center" indent="1"/>
    </xf>
    <xf numFmtId="0" fontId="116" fillId="40" borderId="80" xfId="64" applyFont="1" applyFill="1" applyBorder="1" applyAlignment="1">
      <alignment vertical="center"/>
    </xf>
    <xf numFmtId="0" fontId="116" fillId="62" borderId="79" xfId="64" applyFont="1" applyFill="1" applyBorder="1" applyAlignment="1">
      <alignment horizontal="left" vertical="center" indent="1"/>
    </xf>
    <xf numFmtId="0" fontId="69" fillId="62" borderId="80" xfId="64" applyFill="1" applyBorder="1"/>
    <xf numFmtId="0" fontId="69" fillId="62" borderId="80" xfId="64" applyFill="1" applyBorder="1" applyAlignment="1">
      <alignment horizontal="center" vertical="center"/>
    </xf>
    <xf numFmtId="0" fontId="69" fillId="63" borderId="82" xfId="64" applyFill="1" applyBorder="1"/>
    <xf numFmtId="0" fontId="117" fillId="63" borderId="0" xfId="64" applyFont="1" applyFill="1"/>
    <xf numFmtId="0" fontId="69" fillId="63" borderId="0" xfId="64" applyFill="1"/>
    <xf numFmtId="0" fontId="69" fillId="63" borderId="0" xfId="64" applyFill="1" applyAlignment="1">
      <alignment horizontal="center" vertical="center"/>
    </xf>
    <xf numFmtId="0" fontId="118" fillId="63" borderId="82" xfId="64" applyFont="1" applyFill="1" applyBorder="1"/>
    <xf numFmtId="0" fontId="124" fillId="63" borderId="82" xfId="64" applyFont="1" applyFill="1" applyBorder="1"/>
    <xf numFmtId="0" fontId="128" fillId="63" borderId="0" xfId="64" applyFont="1" applyFill="1"/>
    <xf numFmtId="0" fontId="113" fillId="0" borderId="0" xfId="64" applyFont="1"/>
    <xf numFmtId="0" fontId="121" fillId="0" borderId="0" xfId="64" applyFont="1"/>
    <xf numFmtId="0" fontId="121" fillId="0" borderId="0" xfId="64" applyFont="1" applyAlignment="1">
      <alignment horizontal="center" vertical="center"/>
    </xf>
    <xf numFmtId="0" fontId="121" fillId="0" borderId="0" xfId="64" applyFont="1" applyAlignment="1">
      <alignment vertical="center"/>
    </xf>
    <xf numFmtId="0" fontId="144" fillId="0" borderId="0" xfId="65" applyFont="1" applyAlignment="1" applyProtection="1">
      <alignment vertical="center"/>
    </xf>
    <xf numFmtId="0" fontId="145" fillId="0" borderId="0" xfId="64" applyFont="1"/>
    <xf numFmtId="0" fontId="116" fillId="59" borderId="0" xfId="64" applyFont="1" applyFill="1" applyAlignment="1">
      <alignment horizontal="left" vertical="center" indent="1"/>
    </xf>
    <xf numFmtId="0" fontId="121" fillId="59" borderId="80" xfId="64" applyFont="1" applyFill="1" applyBorder="1"/>
    <xf numFmtId="0" fontId="121" fillId="59" borderId="80" xfId="64" applyFont="1" applyFill="1" applyBorder="1" applyAlignment="1">
      <alignment horizontal="center" vertical="center"/>
    </xf>
    <xf numFmtId="0" fontId="121" fillId="60" borderId="0" xfId="64" applyFont="1" applyFill="1"/>
    <xf numFmtId="0" fontId="121" fillId="60" borderId="0" xfId="64" applyFont="1" applyFill="1" applyAlignment="1">
      <alignment horizontal="center" vertical="center"/>
    </xf>
    <xf numFmtId="0" fontId="121" fillId="60" borderId="0" xfId="64" applyFont="1" applyFill="1" applyAlignment="1">
      <alignment horizontal="right"/>
    </xf>
    <xf numFmtId="0" fontId="115" fillId="60" borderId="0" xfId="64" applyFont="1" applyFill="1"/>
    <xf numFmtId="0" fontId="119" fillId="60" borderId="83" xfId="64" applyFont="1" applyFill="1" applyBorder="1" applyAlignment="1">
      <alignment vertical="center"/>
    </xf>
    <xf numFmtId="0" fontId="119" fillId="60" borderId="83" xfId="64" applyFont="1" applyFill="1" applyBorder="1" applyAlignment="1">
      <alignment horizontal="center" vertical="center"/>
    </xf>
    <xf numFmtId="0" fontId="119" fillId="60" borderId="0" xfId="64" applyFont="1" applyFill="1" applyAlignment="1">
      <alignment horizontal="center"/>
    </xf>
    <xf numFmtId="0" fontId="121" fillId="60" borderId="84" xfId="64" applyFont="1" applyFill="1" applyBorder="1"/>
    <xf numFmtId="0" fontId="119" fillId="60" borderId="84" xfId="64" applyFont="1" applyFill="1" applyBorder="1" applyAlignment="1">
      <alignment horizontal="center"/>
    </xf>
    <xf numFmtId="0" fontId="69" fillId="60" borderId="86" xfId="64" applyFill="1" applyBorder="1" applyAlignment="1">
      <alignment wrapText="1"/>
    </xf>
    <xf numFmtId="0" fontId="69" fillId="60" borderId="86" xfId="64" applyFill="1" applyBorder="1" applyAlignment="1">
      <alignment horizontal="center"/>
    </xf>
    <xf numFmtId="0" fontId="145" fillId="0" borderId="0" xfId="64" applyFont="1" applyAlignment="1">
      <alignment vertical="center"/>
    </xf>
    <xf numFmtId="0" fontId="121" fillId="54" borderId="80" xfId="64" applyFont="1" applyFill="1" applyBorder="1" applyAlignment="1">
      <alignment vertical="center"/>
    </xf>
    <xf numFmtId="0" fontId="121" fillId="54" borderId="80" xfId="64" applyFont="1" applyFill="1" applyBorder="1" applyAlignment="1">
      <alignment horizontal="center" vertical="center"/>
    </xf>
    <xf numFmtId="0" fontId="121" fillId="61" borderId="0" xfId="64" applyFont="1" applyFill="1"/>
    <xf numFmtId="0" fontId="122" fillId="61" borderId="0" xfId="64" applyFont="1" applyFill="1"/>
    <xf numFmtId="0" fontId="116" fillId="61" borderId="0" xfId="64" applyFont="1" applyFill="1"/>
    <xf numFmtId="0" fontId="119" fillId="61" borderId="0" xfId="64" applyFont="1" applyFill="1"/>
    <xf numFmtId="0" fontId="121" fillId="61" borderId="0" xfId="64" applyFont="1" applyFill="1" applyAlignment="1">
      <alignment horizontal="right"/>
    </xf>
    <xf numFmtId="9" fontId="121" fillId="61" borderId="0" xfId="64" applyNumberFormat="1" applyFont="1" applyFill="1" applyAlignment="1">
      <alignment vertical="center"/>
    </xf>
    <xf numFmtId="10" fontId="121" fillId="61" borderId="0" xfId="66" applyNumberFormat="1" applyFont="1" applyFill="1" applyBorder="1" applyAlignment="1">
      <alignment horizontal="center" vertical="center"/>
    </xf>
    <xf numFmtId="192" fontId="121" fillId="61" borderId="0" xfId="64" applyNumberFormat="1" applyFont="1" applyFill="1" applyAlignment="1">
      <alignment vertical="center"/>
    </xf>
    <xf numFmtId="0" fontId="121" fillId="61" borderId="25" xfId="64" applyFont="1" applyFill="1" applyBorder="1" applyAlignment="1">
      <alignment vertical="center"/>
    </xf>
    <xf numFmtId="9" fontId="121" fillId="61" borderId="24" xfId="64" applyNumberFormat="1" applyFont="1" applyFill="1" applyBorder="1" applyAlignment="1">
      <alignment vertical="center"/>
    </xf>
    <xf numFmtId="10" fontId="121" fillId="49" borderId="24" xfId="66" applyNumberFormat="1" applyFont="1" applyFill="1" applyBorder="1" applyAlignment="1">
      <alignment horizontal="center" vertical="center"/>
    </xf>
    <xf numFmtId="166" fontId="121" fillId="61" borderId="24" xfId="64" applyNumberFormat="1" applyFont="1" applyFill="1" applyBorder="1" applyAlignment="1">
      <alignment horizontal="center" vertical="center"/>
    </xf>
    <xf numFmtId="166" fontId="121" fillId="61" borderId="26" xfId="64" applyNumberFormat="1" applyFont="1" applyFill="1" applyBorder="1" applyAlignment="1">
      <alignment horizontal="center" vertical="center"/>
    </xf>
    <xf numFmtId="0" fontId="74" fillId="61" borderId="0" xfId="64" applyFont="1" applyFill="1"/>
    <xf numFmtId="0" fontId="74" fillId="61" borderId="24" xfId="64" applyFont="1" applyFill="1" applyBorder="1" applyAlignment="1">
      <alignment vertical="center"/>
    </xf>
    <xf numFmtId="9" fontId="74" fillId="61" borderId="24" xfId="64" applyNumberFormat="1" applyFont="1" applyFill="1" applyBorder="1" applyAlignment="1">
      <alignment vertical="center"/>
    </xf>
    <xf numFmtId="166" fontId="119" fillId="61" borderId="24" xfId="67" applyNumberFormat="1" applyFont="1" applyFill="1" applyBorder="1" applyAlignment="1">
      <alignment horizontal="right" vertical="center"/>
    </xf>
    <xf numFmtId="166" fontId="74" fillId="61" borderId="24" xfId="67" applyNumberFormat="1" applyFont="1" applyFill="1" applyBorder="1" applyAlignment="1">
      <alignment horizontal="center" vertical="center"/>
    </xf>
    <xf numFmtId="0" fontId="74" fillId="0" borderId="0" xfId="64" applyFont="1"/>
    <xf numFmtId="2" fontId="122" fillId="61" borderId="0" xfId="64" applyNumberFormat="1" applyFont="1" applyFill="1"/>
    <xf numFmtId="2" fontId="122" fillId="61" borderId="0" xfId="64" applyNumberFormat="1" applyFont="1" applyFill="1" applyAlignment="1">
      <alignment horizontal="right"/>
    </xf>
    <xf numFmtId="174" fontId="121" fillId="61" borderId="24" xfId="64" applyNumberFormat="1" applyFont="1" applyFill="1" applyBorder="1" applyAlignment="1">
      <alignment horizontal="center" vertical="center"/>
    </xf>
    <xf numFmtId="166" fontId="120" fillId="61" borderId="24" xfId="67" applyNumberFormat="1" applyFont="1" applyFill="1" applyBorder="1" applyAlignment="1">
      <alignment horizontal="right" vertical="center"/>
    </xf>
    <xf numFmtId="174" fontId="74" fillId="61" borderId="24" xfId="67" applyNumberFormat="1" applyFont="1" applyFill="1" applyBorder="1" applyAlignment="1">
      <alignment horizontal="center" vertical="center"/>
    </xf>
    <xf numFmtId="164" fontId="121" fillId="61" borderId="24" xfId="64" applyNumberFormat="1" applyFont="1" applyFill="1" applyBorder="1" applyAlignment="1">
      <alignment horizontal="center" vertical="center"/>
    </xf>
    <xf numFmtId="2" fontId="121" fillId="61" borderId="24" xfId="64" applyNumberFormat="1" applyFont="1" applyFill="1" applyBorder="1" applyAlignment="1">
      <alignment horizontal="center" vertical="center"/>
    </xf>
    <xf numFmtId="164" fontId="121" fillId="61" borderId="26" xfId="64" applyNumberFormat="1" applyFont="1" applyFill="1" applyBorder="1" applyAlignment="1">
      <alignment horizontal="center" vertical="center"/>
    </xf>
    <xf numFmtId="0" fontId="121" fillId="61" borderId="24" xfId="64" applyFont="1" applyFill="1" applyBorder="1" applyAlignment="1">
      <alignment vertical="center"/>
    </xf>
    <xf numFmtId="2" fontId="120" fillId="61" borderId="24" xfId="67" applyNumberFormat="1" applyFont="1" applyFill="1" applyBorder="1" applyAlignment="1">
      <alignment horizontal="right" vertical="center"/>
    </xf>
    <xf numFmtId="2" fontId="121" fillId="61" borderId="0" xfId="64" applyNumberFormat="1" applyFont="1" applyFill="1"/>
    <xf numFmtId="178" fontId="75" fillId="61" borderId="0" xfId="66" applyFont="1" applyFill="1" applyBorder="1" applyAlignment="1">
      <alignment horizontal="center" vertical="center"/>
    </xf>
    <xf numFmtId="164" fontId="121" fillId="61" borderId="0" xfId="64" applyNumberFormat="1" applyFont="1" applyFill="1" applyAlignment="1">
      <alignment horizontal="center" vertical="center"/>
    </xf>
    <xf numFmtId="181" fontId="75" fillId="61" borderId="0" xfId="66" applyNumberFormat="1" applyFont="1" applyFill="1" applyBorder="1" applyAlignment="1">
      <alignment horizontal="center" vertical="center"/>
    </xf>
    <xf numFmtId="178" fontId="75" fillId="61" borderId="24" xfId="66" applyFont="1" applyFill="1" applyBorder="1" applyAlignment="1">
      <alignment horizontal="center" vertical="center"/>
    </xf>
    <xf numFmtId="11" fontId="121" fillId="49" borderId="24" xfId="64" applyNumberFormat="1" applyFont="1" applyFill="1" applyBorder="1" applyAlignment="1">
      <alignment horizontal="center" vertical="center"/>
    </xf>
    <xf numFmtId="11" fontId="74" fillId="61" borderId="24" xfId="67" applyNumberFormat="1" applyFont="1" applyFill="1" applyBorder="1" applyAlignment="1">
      <alignment horizontal="center" vertical="center"/>
    </xf>
    <xf numFmtId="0" fontId="122" fillId="0" borderId="0" xfId="64" applyFont="1"/>
    <xf numFmtId="0" fontId="122" fillId="54" borderId="80" xfId="64" applyFont="1" applyFill="1" applyBorder="1" applyAlignment="1">
      <alignment vertical="center"/>
    </xf>
    <xf numFmtId="164" fontId="122" fillId="61" borderId="0" xfId="64" applyNumberFormat="1" applyFont="1" applyFill="1"/>
    <xf numFmtId="0" fontId="121" fillId="45" borderId="0" xfId="64" applyFont="1" applyFill="1"/>
    <xf numFmtId="0" fontId="119" fillId="61" borderId="110" xfId="64" applyFont="1" applyFill="1" applyBorder="1" applyAlignment="1">
      <alignment horizontal="right" vertical="center"/>
    </xf>
    <xf numFmtId="0" fontId="75" fillId="61" borderId="0" xfId="64" applyFont="1" applyFill="1" applyAlignment="1">
      <alignment horizontal="left" vertical="center"/>
    </xf>
    <xf numFmtId="9" fontId="121" fillId="61" borderId="0" xfId="64" applyNumberFormat="1" applyFont="1" applyFill="1" applyAlignment="1">
      <alignment horizontal="center" vertical="center"/>
    </xf>
    <xf numFmtId="179" fontId="146" fillId="61" borderId="0" xfId="66" applyNumberFormat="1" applyFont="1" applyFill="1" applyBorder="1"/>
    <xf numFmtId="164" fontId="143" fillId="61" borderId="0" xfId="66" applyNumberFormat="1" applyFont="1" applyFill="1" applyBorder="1" applyAlignment="1">
      <alignment horizontal="center" vertical="center"/>
    </xf>
    <xf numFmtId="164" fontId="146" fillId="61" borderId="0" xfId="66" applyNumberFormat="1" applyFont="1" applyFill="1" applyBorder="1" applyAlignment="1">
      <alignment horizontal="center" vertical="center"/>
    </xf>
    <xf numFmtId="164" fontId="146" fillId="61" borderId="0" xfId="64" applyNumberFormat="1" applyFont="1" applyFill="1" applyAlignment="1">
      <alignment horizontal="center" vertical="center"/>
    </xf>
    <xf numFmtId="0" fontId="75" fillId="61" borderId="0" xfId="64" applyFont="1" applyFill="1" applyAlignment="1">
      <alignment horizontal="left"/>
    </xf>
    <xf numFmtId="164" fontId="143" fillId="61" borderId="0" xfId="67" applyNumberFormat="1" applyFont="1" applyFill="1" applyBorder="1" applyAlignment="1">
      <alignment horizontal="center" vertical="center"/>
    </xf>
    <xf numFmtId="164" fontId="146" fillId="61" borderId="0" xfId="67" applyNumberFormat="1" applyFont="1" applyFill="1" applyBorder="1" applyAlignment="1">
      <alignment horizontal="center" vertical="center"/>
    </xf>
    <xf numFmtId="0" fontId="75" fillId="61" borderId="0" xfId="64" applyFont="1" applyFill="1" applyAlignment="1">
      <alignment horizontal="left" vertical="center" wrapText="1"/>
    </xf>
    <xf numFmtId="0" fontId="119" fillId="61" borderId="84" xfId="64" applyFont="1" applyFill="1" applyBorder="1"/>
    <xf numFmtId="0" fontId="75" fillId="61" borderId="84" xfId="64" applyFont="1" applyFill="1" applyBorder="1" applyAlignment="1">
      <alignment horizontal="left" vertical="center" wrapText="1"/>
    </xf>
    <xf numFmtId="179" fontId="146" fillId="61" borderId="84" xfId="66" applyNumberFormat="1" applyFont="1" applyFill="1" applyBorder="1"/>
    <xf numFmtId="1" fontId="146" fillId="61" borderId="84" xfId="64" applyNumberFormat="1" applyFont="1" applyFill="1" applyBorder="1" applyAlignment="1">
      <alignment horizontal="center"/>
    </xf>
    <xf numFmtId="1" fontId="146" fillId="61" borderId="84" xfId="64" applyNumberFormat="1" applyFont="1" applyFill="1" applyBorder="1" applyAlignment="1">
      <alignment horizontal="center" vertical="center"/>
    </xf>
    <xf numFmtId="2" fontId="146" fillId="63" borderId="84" xfId="64" applyNumberFormat="1" applyFont="1" applyFill="1" applyBorder="1" applyAlignment="1">
      <alignment horizontal="center" vertical="center"/>
    </xf>
    <xf numFmtId="0" fontId="147" fillId="61" borderId="0" xfId="64" applyFont="1" applyFill="1"/>
    <xf numFmtId="0" fontId="121" fillId="63" borderId="0" xfId="64" applyFont="1" applyFill="1" applyAlignment="1">
      <alignment horizontal="center" vertical="center"/>
    </xf>
    <xf numFmtId="0" fontId="147" fillId="45" borderId="0" xfId="64" applyFont="1" applyFill="1"/>
    <xf numFmtId="0" fontId="121" fillId="45" borderId="0" xfId="64" applyFont="1" applyFill="1" applyAlignment="1">
      <alignment horizontal="center" vertical="center"/>
    </xf>
    <xf numFmtId="0" fontId="122" fillId="45" borderId="0" xfId="64" applyFont="1" applyFill="1"/>
    <xf numFmtId="0" fontId="148" fillId="0" borderId="0" xfId="70" applyNumberFormat="1" applyFont="1" applyBorder="1"/>
    <xf numFmtId="0" fontId="115" fillId="61" borderId="0" xfId="64" applyFont="1" applyFill="1"/>
    <xf numFmtId="0" fontId="143" fillId="61" borderId="0" xfId="64" applyFont="1" applyFill="1" applyAlignment="1">
      <alignment horizontal="left" vertical="center"/>
    </xf>
    <xf numFmtId="164" fontId="143" fillId="61" borderId="0" xfId="66" applyNumberFormat="1" applyFont="1" applyFill="1" applyBorder="1"/>
    <xf numFmtId="1" fontId="143" fillId="61" borderId="0" xfId="66" applyNumberFormat="1" applyFont="1" applyFill="1" applyBorder="1" applyAlignment="1">
      <alignment horizontal="center" vertical="center"/>
    </xf>
    <xf numFmtId="0" fontId="143" fillId="61" borderId="0" xfId="64" applyFont="1" applyFill="1" applyAlignment="1">
      <alignment horizontal="left"/>
    </xf>
    <xf numFmtId="0" fontId="143" fillId="61" borderId="0" xfId="64" applyFont="1" applyFill="1" applyAlignment="1">
      <alignment horizontal="left" vertical="center" wrapText="1"/>
    </xf>
    <xf numFmtId="0" fontId="121" fillId="61" borderId="0" xfId="64" applyFont="1" applyFill="1" applyAlignment="1">
      <alignment horizontal="center"/>
    </xf>
    <xf numFmtId="0" fontId="143" fillId="61" borderId="84" xfId="64" applyFont="1" applyFill="1" applyBorder="1" applyAlignment="1">
      <alignment horizontal="left" vertical="center" wrapText="1"/>
    </xf>
    <xf numFmtId="2" fontId="121" fillId="61" borderId="84" xfId="64" applyNumberFormat="1" applyFont="1" applyFill="1" applyBorder="1" applyAlignment="1">
      <alignment vertical="center"/>
    </xf>
    <xf numFmtId="11" fontId="143" fillId="61" borderId="84" xfId="66" applyNumberFormat="1" applyFont="1" applyFill="1" applyBorder="1" applyAlignment="1">
      <alignment horizontal="center" vertical="center"/>
    </xf>
    <xf numFmtId="1" fontId="121" fillId="61" borderId="0" xfId="64" applyNumberFormat="1" applyFont="1" applyFill="1" applyAlignment="1">
      <alignment horizontal="center" vertical="center"/>
    </xf>
    <xf numFmtId="0" fontId="121" fillId="61" borderId="24" xfId="64" applyFont="1" applyFill="1" applyBorder="1"/>
    <xf numFmtId="0" fontId="121" fillId="61" borderId="24" xfId="64" applyFont="1" applyFill="1" applyBorder="1" applyAlignment="1">
      <alignment horizontal="center" vertical="center"/>
    </xf>
    <xf numFmtId="181" fontId="121" fillId="61" borderId="24" xfId="66" applyNumberFormat="1" applyFont="1" applyFill="1" applyBorder="1" applyAlignment="1">
      <alignment horizontal="center" vertical="center"/>
    </xf>
    <xf numFmtId="0" fontId="121" fillId="45" borderId="73" xfId="64" applyFont="1" applyFill="1" applyBorder="1"/>
    <xf numFmtId="0" fontId="121" fillId="61" borderId="25" xfId="64" applyFont="1" applyFill="1" applyBorder="1"/>
    <xf numFmtId="164" fontId="121" fillId="45" borderId="93" xfId="64" applyNumberFormat="1" applyFont="1" applyFill="1" applyBorder="1"/>
    <xf numFmtId="164" fontId="121" fillId="45" borderId="0" xfId="64" applyNumberFormat="1" applyFont="1" applyFill="1"/>
    <xf numFmtId="0" fontId="143" fillId="61" borderId="91" xfId="64" applyFont="1" applyFill="1" applyBorder="1" applyAlignment="1">
      <alignment horizontal="left" vertical="center"/>
    </xf>
    <xf numFmtId="164" fontId="121" fillId="49" borderId="0" xfId="64" applyNumberFormat="1" applyFont="1" applyFill="1" applyAlignment="1">
      <alignment horizontal="center" vertical="center"/>
    </xf>
    <xf numFmtId="164" fontId="121" fillId="49" borderId="52" xfId="64" applyNumberFormat="1" applyFont="1" applyFill="1" applyBorder="1" applyAlignment="1">
      <alignment horizontal="center" vertical="center"/>
    </xf>
    <xf numFmtId="0" fontId="143" fillId="61" borderId="91" xfId="64" applyFont="1" applyFill="1" applyBorder="1" applyAlignment="1">
      <alignment horizontal="left"/>
    </xf>
    <xf numFmtId="0" fontId="143" fillId="61" borderId="91" xfId="64" applyFont="1" applyFill="1" applyBorder="1" applyAlignment="1">
      <alignment horizontal="left" vertical="center" wrapText="1"/>
    </xf>
    <xf numFmtId="0" fontId="143" fillId="61" borderId="92" xfId="64" applyFont="1" applyFill="1" applyBorder="1" applyAlignment="1">
      <alignment horizontal="left" vertical="center" wrapText="1"/>
    </xf>
    <xf numFmtId="164" fontId="121" fillId="49" borderId="84" xfId="64" applyNumberFormat="1" applyFont="1" applyFill="1" applyBorder="1" applyAlignment="1">
      <alignment horizontal="center" vertical="center"/>
    </xf>
    <xf numFmtId="164" fontId="121" fillId="49" borderId="48" xfId="64" applyNumberFormat="1" applyFont="1" applyFill="1" applyBorder="1" applyAlignment="1">
      <alignment horizontal="center" vertical="center"/>
    </xf>
    <xf numFmtId="164" fontId="121" fillId="61" borderId="52" xfId="64" applyNumberFormat="1" applyFont="1" applyFill="1" applyBorder="1" applyAlignment="1">
      <alignment horizontal="center" vertical="center"/>
    </xf>
    <xf numFmtId="164" fontId="121" fillId="61" borderId="84" xfId="64" applyNumberFormat="1" applyFont="1" applyFill="1" applyBorder="1" applyAlignment="1">
      <alignment horizontal="center" vertical="center"/>
    </xf>
    <xf numFmtId="164" fontId="121" fillId="61" borderId="48" xfId="64" applyNumberFormat="1" applyFont="1" applyFill="1" applyBorder="1" applyAlignment="1">
      <alignment horizontal="center" vertical="center"/>
    </xf>
    <xf numFmtId="164" fontId="119" fillId="61" borderId="0" xfId="64" applyNumberFormat="1" applyFont="1" applyFill="1" applyAlignment="1">
      <alignment horizontal="right" vertical="center"/>
    </xf>
    <xf numFmtId="164" fontId="119" fillId="61" borderId="0" xfId="64" applyNumberFormat="1" applyFont="1" applyFill="1" applyAlignment="1">
      <alignment horizontal="center" vertical="center"/>
    </xf>
    <xf numFmtId="0" fontId="121" fillId="35" borderId="0" xfId="64" applyFont="1" applyFill="1"/>
    <xf numFmtId="0" fontId="119" fillId="86" borderId="24" xfId="64" applyFont="1" applyFill="1" applyBorder="1" applyAlignment="1">
      <alignment horizontal="left" vertical="center"/>
    </xf>
    <xf numFmtId="0" fontId="121" fillId="86" borderId="24" xfId="64" applyFont="1" applyFill="1" applyBorder="1" applyAlignment="1">
      <alignment vertical="center"/>
    </xf>
    <xf numFmtId="10" fontId="119" fillId="61" borderId="24" xfId="64" applyNumberFormat="1" applyFont="1" applyFill="1" applyBorder="1" applyAlignment="1">
      <alignment horizontal="center" vertical="center"/>
    </xf>
    <xf numFmtId="2" fontId="121" fillId="61" borderId="24" xfId="64" applyNumberFormat="1" applyFont="1" applyFill="1" applyBorder="1" applyAlignment="1">
      <alignment horizontal="right" vertical="center"/>
    </xf>
    <xf numFmtId="10" fontId="121" fillId="61" borderId="0" xfId="64" applyNumberFormat="1" applyFont="1" applyFill="1" applyAlignment="1">
      <alignment vertical="center"/>
    </xf>
    <xf numFmtId="2" fontId="122" fillId="61" borderId="0" xfId="64" applyNumberFormat="1" applyFont="1" applyFill="1" applyAlignment="1">
      <alignment horizontal="right" vertical="center"/>
    </xf>
    <xf numFmtId="164" fontId="121" fillId="59" borderId="0" xfId="64" applyNumberFormat="1" applyFont="1" applyFill="1" applyAlignment="1">
      <alignment horizontal="center" vertical="center"/>
    </xf>
    <xf numFmtId="2" fontId="121" fillId="59" borderId="0" xfId="64" applyNumberFormat="1" applyFont="1" applyFill="1" applyAlignment="1">
      <alignment horizontal="center" vertical="center"/>
    </xf>
    <xf numFmtId="39" fontId="122" fillId="61" borderId="24" xfId="67" applyNumberFormat="1" applyFont="1" applyFill="1" applyBorder="1" applyAlignment="1">
      <alignment vertical="center"/>
    </xf>
    <xf numFmtId="39" fontId="75" fillId="61" borderId="24" xfId="67" applyNumberFormat="1" applyFont="1" applyFill="1" applyBorder="1" applyAlignment="1">
      <alignment horizontal="center" vertical="center"/>
    </xf>
    <xf numFmtId="164" fontId="75" fillId="61" borderId="24" xfId="67" applyNumberFormat="1" applyFont="1" applyFill="1" applyBorder="1" applyAlignment="1">
      <alignment horizontal="center" vertical="center"/>
    </xf>
    <xf numFmtId="2" fontId="149" fillId="61" borderId="0" xfId="67" applyNumberFormat="1" applyFont="1" applyFill="1" applyBorder="1" applyAlignment="1">
      <alignment vertical="center"/>
    </xf>
    <xf numFmtId="2" fontId="150" fillId="61" borderId="0" xfId="67" applyNumberFormat="1" applyFont="1" applyFill="1" applyBorder="1" applyAlignment="1">
      <alignment horizontal="center" vertical="center"/>
    </xf>
    <xf numFmtId="2" fontId="121" fillId="61" borderId="0" xfId="67" applyNumberFormat="1" applyFont="1" applyFill="1" applyBorder="1" applyAlignment="1">
      <alignment vertical="center"/>
    </xf>
    <xf numFmtId="178" fontId="151" fillId="61" borderId="0" xfId="66" applyFont="1" applyFill="1" applyBorder="1"/>
    <xf numFmtId="179" fontId="143" fillId="61" borderId="0" xfId="66" applyNumberFormat="1" applyFont="1" applyFill="1" applyBorder="1" applyAlignment="1">
      <alignment horizontal="center" vertical="center"/>
    </xf>
    <xf numFmtId="179" fontId="143" fillId="86" borderId="0" xfId="66" applyNumberFormat="1" applyFont="1" applyFill="1" applyBorder="1" applyAlignment="1">
      <alignment horizontal="center" vertical="center"/>
    </xf>
    <xf numFmtId="178" fontId="143" fillId="61" borderId="0" xfId="66" applyFont="1" applyFill="1" applyBorder="1" applyAlignment="1">
      <alignment horizontal="center" vertical="center"/>
    </xf>
    <xf numFmtId="178" fontId="151" fillId="61" borderId="24" xfId="66" applyFont="1" applyFill="1" applyBorder="1"/>
    <xf numFmtId="179" fontId="143" fillId="61" borderId="24" xfId="66" applyNumberFormat="1" applyFont="1" applyFill="1" applyBorder="1" applyAlignment="1">
      <alignment horizontal="center" vertical="center"/>
    </xf>
    <xf numFmtId="181" fontId="143" fillId="61" borderId="24" xfId="66" applyNumberFormat="1" applyFont="1" applyFill="1" applyBorder="1" applyAlignment="1">
      <alignment horizontal="center" vertical="center"/>
    </xf>
    <xf numFmtId="181" fontId="121" fillId="61" borderId="0" xfId="67" applyNumberFormat="1" applyFont="1" applyFill="1" applyBorder="1" applyAlignment="1">
      <alignment horizontal="center" vertical="center"/>
    </xf>
    <xf numFmtId="181" fontId="150" fillId="61" borderId="0" xfId="67" applyNumberFormat="1" applyFont="1" applyFill="1" applyBorder="1" applyAlignment="1">
      <alignment horizontal="center" vertical="center"/>
    </xf>
    <xf numFmtId="178" fontId="143" fillId="61" borderId="24" xfId="66" applyFont="1" applyFill="1" applyBorder="1" applyAlignment="1">
      <alignment horizontal="center" vertical="center"/>
    </xf>
    <xf numFmtId="0" fontId="121" fillId="61" borderId="59" xfId="64" applyFont="1" applyFill="1" applyBorder="1" applyAlignment="1">
      <alignment vertical="center"/>
    </xf>
    <xf numFmtId="0" fontId="119" fillId="61" borderId="59" xfId="64" applyFont="1" applyFill="1" applyBorder="1" applyAlignment="1">
      <alignment vertical="center"/>
    </xf>
    <xf numFmtId="9" fontId="121" fillId="61" borderId="59" xfId="64" applyNumberFormat="1" applyFont="1" applyFill="1" applyBorder="1" applyAlignment="1">
      <alignment vertical="center"/>
    </xf>
    <xf numFmtId="178" fontId="151" fillId="61" borderId="59" xfId="66" applyFont="1" applyFill="1" applyBorder="1"/>
    <xf numFmtId="179" fontId="143" fillId="61" borderId="59" xfId="66" applyNumberFormat="1" applyFont="1" applyFill="1" applyBorder="1" applyAlignment="1">
      <alignment horizontal="center" vertical="center"/>
    </xf>
    <xf numFmtId="178" fontId="143" fillId="61" borderId="59" xfId="66" applyFont="1" applyFill="1" applyBorder="1" applyAlignment="1">
      <alignment horizontal="center" vertical="center"/>
    </xf>
    <xf numFmtId="0" fontId="119" fillId="45" borderId="0" xfId="64" applyFont="1" applyFill="1" applyAlignment="1">
      <alignment horizontal="right" vertical="center"/>
    </xf>
    <xf numFmtId="0" fontId="121" fillId="45" borderId="0" xfId="64" applyFont="1" applyFill="1" applyAlignment="1">
      <alignment vertical="center"/>
    </xf>
    <xf numFmtId="10" fontId="121" fillId="45" borderId="0" xfId="64" applyNumberFormat="1" applyFont="1" applyFill="1" applyAlignment="1">
      <alignment vertical="center"/>
    </xf>
    <xf numFmtId="2" fontId="149" fillId="45" borderId="0" xfId="67" applyNumberFormat="1" applyFont="1" applyFill="1" applyBorder="1" applyAlignment="1">
      <alignment vertical="center"/>
    </xf>
    <xf numFmtId="2" fontId="121" fillId="45" borderId="0" xfId="67" applyNumberFormat="1" applyFont="1" applyFill="1" applyBorder="1" applyAlignment="1">
      <alignment horizontal="center" vertical="center"/>
    </xf>
    <xf numFmtId="2" fontId="150" fillId="45" borderId="0" xfId="67" applyNumberFormat="1" applyFont="1" applyFill="1" applyBorder="1" applyAlignment="1">
      <alignment horizontal="center" vertical="center"/>
    </xf>
    <xf numFmtId="2" fontId="121" fillId="45" borderId="0" xfId="67" applyNumberFormat="1" applyFont="1" applyFill="1" applyBorder="1" applyAlignment="1">
      <alignment vertical="center"/>
    </xf>
    <xf numFmtId="0" fontId="142" fillId="61" borderId="0" xfId="70" applyNumberFormat="1" applyFont="1" applyFill="1" applyBorder="1"/>
    <xf numFmtId="178" fontId="119" fillId="61" borderId="0" xfId="66" applyFont="1" applyFill="1" applyBorder="1" applyAlignment="1">
      <alignment vertical="center"/>
    </xf>
    <xf numFmtId="178" fontId="119" fillId="61" borderId="0" xfId="66" applyFont="1" applyFill="1" applyBorder="1" applyAlignment="1">
      <alignment horizontal="center" vertical="center"/>
    </xf>
    <xf numFmtId="177" fontId="121" fillId="61" borderId="0" xfId="67" applyNumberFormat="1" applyFont="1" applyFill="1" applyBorder="1" applyAlignment="1">
      <alignment horizontal="center" vertical="center"/>
    </xf>
    <xf numFmtId="177" fontId="121" fillId="61" borderId="0" xfId="67" applyNumberFormat="1" applyFont="1" applyFill="1" applyBorder="1" applyAlignment="1">
      <alignment horizontal="right" vertical="center"/>
    </xf>
    <xf numFmtId="0" fontId="148" fillId="0" borderId="0" xfId="70" applyNumberFormat="1" applyFont="1"/>
    <xf numFmtId="0" fontId="148" fillId="61" borderId="0" xfId="70" applyNumberFormat="1" applyFont="1" applyFill="1"/>
    <xf numFmtId="0" fontId="148" fillId="61" borderId="0" xfId="70" applyNumberFormat="1" applyFont="1" applyFill="1" applyAlignment="1">
      <alignment horizontal="center" vertical="center"/>
    </xf>
    <xf numFmtId="0" fontId="152" fillId="61" borderId="0" xfId="64" applyFont="1" applyFill="1"/>
    <xf numFmtId="181" fontId="121" fillId="61" borderId="0" xfId="66" applyNumberFormat="1" applyFont="1" applyFill="1" applyAlignment="1">
      <alignment horizontal="center" vertical="center"/>
    </xf>
    <xf numFmtId="181" fontId="143" fillId="61" borderId="0" xfId="66" applyNumberFormat="1" applyFont="1" applyFill="1" applyBorder="1" applyAlignment="1">
      <alignment horizontal="center" vertical="center"/>
    </xf>
    <xf numFmtId="0" fontId="121" fillId="61" borderId="84" xfId="64" applyFont="1" applyFill="1" applyBorder="1" applyAlignment="1">
      <alignment vertical="center"/>
    </xf>
    <xf numFmtId="178" fontId="122" fillId="61" borderId="84" xfId="66" applyFont="1" applyFill="1" applyBorder="1" applyAlignment="1">
      <alignment vertical="center"/>
    </xf>
    <xf numFmtId="178" fontId="75" fillId="61" borderId="84" xfId="66" applyFont="1" applyFill="1" applyBorder="1" applyAlignment="1">
      <alignment horizontal="center" vertical="center"/>
    </xf>
    <xf numFmtId="181" fontId="121" fillId="61" borderId="84" xfId="66" applyNumberFormat="1" applyFont="1" applyFill="1" applyBorder="1" applyAlignment="1">
      <alignment horizontal="center" vertical="center"/>
    </xf>
    <xf numFmtId="0" fontId="75" fillId="61" borderId="0" xfId="64" applyFont="1" applyFill="1"/>
    <xf numFmtId="184" fontId="122" fillId="61" borderId="0" xfId="67" applyNumberFormat="1" applyFont="1" applyFill="1" applyBorder="1" applyAlignment="1">
      <alignment vertical="center"/>
    </xf>
    <xf numFmtId="184" fontId="75" fillId="61" borderId="0" xfId="67" applyNumberFormat="1" applyFont="1" applyFill="1" applyBorder="1" applyAlignment="1">
      <alignment horizontal="center" vertical="center"/>
    </xf>
    <xf numFmtId="181" fontId="143" fillId="61" borderId="84" xfId="66" applyNumberFormat="1" applyFont="1" applyFill="1" applyBorder="1" applyAlignment="1">
      <alignment horizontal="center" vertical="center"/>
    </xf>
    <xf numFmtId="178" fontId="143" fillId="61" borderId="84" xfId="66" applyFont="1" applyFill="1" applyBorder="1" applyAlignment="1">
      <alignment horizontal="center" vertical="center"/>
    </xf>
    <xf numFmtId="178" fontId="122" fillId="61" borderId="0" xfId="66" applyFont="1" applyFill="1" applyBorder="1" applyAlignment="1">
      <alignment vertical="center"/>
    </xf>
    <xf numFmtId="178" fontId="143" fillId="49" borderId="0" xfId="66" applyFont="1" applyFill="1" applyBorder="1" applyAlignment="1">
      <alignment horizontal="center" vertical="center"/>
    </xf>
    <xf numFmtId="181" fontId="143" fillId="49" borderId="0" xfId="66" applyNumberFormat="1" applyFont="1" applyFill="1" applyBorder="1" applyAlignment="1">
      <alignment horizontal="center" vertical="center"/>
    </xf>
    <xf numFmtId="178" fontId="151" fillId="61" borderId="84" xfId="66" applyFont="1" applyFill="1" applyBorder="1"/>
    <xf numFmtId="0" fontId="146" fillId="61" borderId="0" xfId="64" applyFont="1" applyFill="1"/>
    <xf numFmtId="0" fontId="74" fillId="61" borderId="24" xfId="64" applyFont="1" applyFill="1" applyBorder="1" applyAlignment="1">
      <alignment horizontal="right" vertical="center"/>
    </xf>
    <xf numFmtId="0" fontId="74" fillId="61" borderId="24" xfId="64" applyFont="1" applyFill="1" applyBorder="1" applyAlignment="1">
      <alignment horizontal="center" vertical="center"/>
    </xf>
    <xf numFmtId="178" fontId="143" fillId="61" borderId="0" xfId="66" applyFont="1" applyFill="1" applyBorder="1"/>
    <xf numFmtId="179" fontId="75" fillId="61" borderId="84" xfId="66" applyNumberFormat="1" applyFont="1" applyFill="1" applyBorder="1" applyAlignment="1">
      <alignment vertical="center"/>
    </xf>
    <xf numFmtId="179" fontId="75" fillId="61" borderId="84" xfId="66" applyNumberFormat="1" applyFont="1" applyFill="1" applyBorder="1" applyAlignment="1">
      <alignment horizontal="center" vertical="center"/>
    </xf>
    <xf numFmtId="178" fontId="75" fillId="61" borderId="0" xfId="66" applyFont="1" applyFill="1" applyBorder="1" applyAlignment="1">
      <alignment vertical="center"/>
    </xf>
    <xf numFmtId="0" fontId="120" fillId="61" borderId="24" xfId="64" applyFont="1" applyFill="1" applyBorder="1" applyAlignment="1">
      <alignment horizontal="center" vertical="center"/>
    </xf>
    <xf numFmtId="178" fontId="151" fillId="61" borderId="0" xfId="66" applyFont="1" applyFill="1" applyBorder="1" applyAlignment="1">
      <alignment horizontal="center" vertical="center"/>
    </xf>
    <xf numFmtId="178" fontId="122" fillId="61" borderId="84" xfId="66" applyFont="1" applyFill="1" applyBorder="1" applyAlignment="1">
      <alignment horizontal="center" vertical="center"/>
    </xf>
    <xf numFmtId="178" fontId="122" fillId="61" borderId="0" xfId="66" applyFont="1" applyFill="1" applyBorder="1" applyAlignment="1">
      <alignment horizontal="center" vertical="center"/>
    </xf>
    <xf numFmtId="181" fontId="143" fillId="61" borderId="59" xfId="66" applyNumberFormat="1" applyFont="1" applyFill="1" applyBorder="1" applyAlignment="1">
      <alignment horizontal="center" vertical="center"/>
    </xf>
    <xf numFmtId="0" fontId="141" fillId="61" borderId="0" xfId="70" applyNumberFormat="1" applyFont="1" applyFill="1" applyBorder="1"/>
    <xf numFmtId="178" fontId="121" fillId="61" borderId="84" xfId="66" applyFont="1" applyFill="1" applyBorder="1" applyAlignment="1">
      <alignment horizontal="center" vertical="center"/>
    </xf>
    <xf numFmtId="178" fontId="75" fillId="61" borderId="84" xfId="66" applyFont="1" applyFill="1" applyBorder="1" applyAlignment="1">
      <alignment vertical="center"/>
    </xf>
    <xf numFmtId="181" fontId="75" fillId="61" borderId="84" xfId="66" applyNumberFormat="1" applyFont="1" applyFill="1" applyBorder="1" applyAlignment="1">
      <alignment horizontal="center" vertical="center"/>
    </xf>
    <xf numFmtId="0" fontId="75" fillId="61" borderId="0" xfId="64" applyFont="1" applyFill="1" applyAlignment="1">
      <alignment horizontal="center" vertical="center"/>
    </xf>
    <xf numFmtId="184" fontId="75" fillId="61" borderId="0" xfId="67" applyNumberFormat="1" applyFont="1" applyFill="1" applyBorder="1" applyAlignment="1">
      <alignment vertical="center"/>
    </xf>
    <xf numFmtId="0" fontId="148" fillId="61" borderId="0" xfId="70" applyNumberFormat="1" applyFont="1" applyFill="1" applyBorder="1"/>
    <xf numFmtId="0" fontId="122" fillId="61" borderId="0" xfId="64" applyFont="1" applyFill="1" applyAlignment="1">
      <alignment horizontal="right"/>
    </xf>
    <xf numFmtId="187" fontId="121" fillId="61" borderId="0" xfId="67" applyNumberFormat="1" applyFont="1" applyFill="1" applyBorder="1" applyAlignment="1">
      <alignment horizontal="center" vertical="center"/>
    </xf>
    <xf numFmtId="0" fontId="121" fillId="61" borderId="0" xfId="64" applyFont="1" applyFill="1" applyAlignment="1">
      <alignment horizontal="left" vertical="top"/>
    </xf>
    <xf numFmtId="178" fontId="153" fillId="61" borderId="0" xfId="66" applyFont="1" applyFill="1" applyBorder="1"/>
    <xf numFmtId="0" fontId="121" fillId="61" borderId="84" xfId="64" applyFont="1" applyFill="1" applyBorder="1" applyAlignment="1">
      <alignment horizontal="left" vertical="top"/>
    </xf>
    <xf numFmtId="179" fontId="143" fillId="61" borderId="84" xfId="66" applyNumberFormat="1" applyFont="1" applyFill="1" applyBorder="1" applyAlignment="1">
      <alignment horizontal="center" vertical="center"/>
    </xf>
    <xf numFmtId="0" fontId="119" fillId="49" borderId="24" xfId="64" applyFont="1" applyFill="1" applyBorder="1" applyAlignment="1">
      <alignment vertical="center"/>
    </xf>
    <xf numFmtId="0" fontId="120" fillId="49" borderId="24" xfId="64" applyFont="1" applyFill="1" applyBorder="1" applyAlignment="1">
      <alignment horizontal="right" vertical="center"/>
    </xf>
    <xf numFmtId="0" fontId="119" fillId="49" borderId="24" xfId="64" applyFont="1" applyFill="1" applyBorder="1" applyAlignment="1">
      <alignment horizontal="center" vertical="center"/>
    </xf>
    <xf numFmtId="0" fontId="121" fillId="49" borderId="0" xfId="64" applyFont="1" applyFill="1" applyAlignment="1">
      <alignment vertical="center"/>
    </xf>
    <xf numFmtId="0" fontId="121" fillId="49" borderId="0" xfId="64" applyFont="1" applyFill="1" applyAlignment="1">
      <alignment horizontal="left" vertical="top"/>
    </xf>
    <xf numFmtId="9" fontId="121" fillId="49" borderId="0" xfId="64" applyNumberFormat="1" applyFont="1" applyFill="1" applyAlignment="1">
      <alignment vertical="center"/>
    </xf>
    <xf numFmtId="178" fontId="151" fillId="49" borderId="0" xfId="66" applyFont="1" applyFill="1" applyBorder="1"/>
    <xf numFmtId="0" fontId="121" fillId="49" borderId="84" xfId="64" applyFont="1" applyFill="1" applyBorder="1" applyAlignment="1">
      <alignment vertical="center"/>
    </xf>
    <xf numFmtId="0" fontId="121" fillId="49" borderId="84" xfId="64" applyFont="1" applyFill="1" applyBorder="1" applyAlignment="1">
      <alignment horizontal="left" vertical="top"/>
    </xf>
    <xf numFmtId="178" fontId="122" fillId="49" borderId="84" xfId="66" applyFont="1" applyFill="1" applyBorder="1" applyAlignment="1">
      <alignment vertical="center"/>
    </xf>
    <xf numFmtId="178" fontId="75" fillId="49" borderId="84" xfId="66" applyFont="1" applyFill="1" applyBorder="1" applyAlignment="1">
      <alignment horizontal="center" vertical="center"/>
    </xf>
    <xf numFmtId="0" fontId="121" fillId="0" borderId="0" xfId="64" applyFont="1" applyAlignment="1">
      <alignment horizontal="left" indent="1"/>
    </xf>
    <xf numFmtId="178" fontId="121" fillId="0" borderId="0" xfId="66" applyFont="1" applyAlignment="1">
      <alignment horizontal="center" vertical="center"/>
    </xf>
    <xf numFmtId="0" fontId="154" fillId="0" borderId="0" xfId="64" applyFont="1"/>
    <xf numFmtId="0" fontId="147" fillId="0" borderId="0" xfId="64" applyFont="1"/>
    <xf numFmtId="0" fontId="119" fillId="0" borderId="0" xfId="64" applyFont="1"/>
    <xf numFmtId="0" fontId="119" fillId="0" borderId="0" xfId="64" applyFont="1" applyAlignment="1">
      <alignment horizontal="right"/>
    </xf>
    <xf numFmtId="0" fontId="119" fillId="59" borderId="0" xfId="64" applyFont="1" applyFill="1"/>
    <xf numFmtId="0" fontId="121" fillId="59" borderId="0" xfId="64" applyFont="1" applyFill="1"/>
    <xf numFmtId="0" fontId="119" fillId="59" borderId="0" xfId="64" applyFont="1" applyFill="1" applyAlignment="1">
      <alignment horizontal="center"/>
    </xf>
    <xf numFmtId="0" fontId="155" fillId="59" borderId="0" xfId="64" applyFont="1" applyFill="1" applyAlignment="1">
      <alignment horizontal="center"/>
    </xf>
    <xf numFmtId="0" fontId="119" fillId="59" borderId="0" xfId="64" applyFont="1" applyFill="1" applyAlignment="1">
      <alignment horizontal="center" vertical="center"/>
    </xf>
    <xf numFmtId="0" fontId="123" fillId="0" borderId="0" xfId="64" applyFont="1"/>
    <xf numFmtId="0" fontId="156" fillId="0" borderId="0" xfId="64" applyFont="1" applyAlignment="1">
      <alignment horizontal="center"/>
    </xf>
    <xf numFmtId="0" fontId="121" fillId="0" borderId="0" xfId="64" applyFont="1" applyAlignment="1">
      <alignment horizontal="left"/>
    </xf>
    <xf numFmtId="10" fontId="121" fillId="0" borderId="0" xfId="66" applyNumberFormat="1" applyFont="1" applyBorder="1" applyAlignment="1">
      <alignment horizontal="center"/>
    </xf>
    <xf numFmtId="180" fontId="157" fillId="0" borderId="0" xfId="67" applyFont="1" applyBorder="1" applyAlignment="1">
      <alignment horizontal="center"/>
    </xf>
    <xf numFmtId="180" fontId="121" fillId="0" borderId="0" xfId="67" applyFont="1" applyBorder="1" applyAlignment="1">
      <alignment horizontal="center" vertical="center"/>
    </xf>
    <xf numFmtId="180" fontId="119" fillId="0" borderId="0" xfId="67" applyFont="1" applyBorder="1" applyAlignment="1">
      <alignment vertical="center"/>
    </xf>
    <xf numFmtId="180" fontId="119" fillId="0" borderId="0" xfId="67" applyFont="1" applyBorder="1" applyAlignment="1">
      <alignment horizontal="center" vertical="center"/>
    </xf>
    <xf numFmtId="180" fontId="156" fillId="0" borderId="0" xfId="67" applyFont="1" applyBorder="1" applyAlignment="1">
      <alignment vertical="center"/>
    </xf>
    <xf numFmtId="0" fontId="158" fillId="87" borderId="0" xfId="64" applyFont="1" applyFill="1" applyAlignment="1">
      <alignment vertical="center"/>
    </xf>
    <xf numFmtId="0" fontId="159" fillId="87" borderId="0" xfId="64" applyFont="1" applyFill="1" applyAlignment="1">
      <alignment vertical="center"/>
    </xf>
    <xf numFmtId="0" fontId="159" fillId="87" borderId="0" xfId="64" applyFont="1" applyFill="1" applyAlignment="1">
      <alignment horizontal="right" vertical="center"/>
    </xf>
    <xf numFmtId="180" fontId="159" fillId="87" borderId="0" xfId="67" applyFont="1" applyFill="1" applyBorder="1" applyAlignment="1">
      <alignment vertical="center"/>
    </xf>
    <xf numFmtId="180" fontId="159" fillId="87" borderId="0" xfId="67" applyFont="1" applyFill="1" applyBorder="1" applyAlignment="1">
      <alignment horizontal="center" vertical="center"/>
    </xf>
    <xf numFmtId="0" fontId="156" fillId="88" borderId="0" xfId="64" applyFont="1" applyFill="1" applyAlignment="1">
      <alignment vertical="center"/>
    </xf>
    <xf numFmtId="0" fontId="157" fillId="88" borderId="0" xfId="64" applyFont="1" applyFill="1" applyAlignment="1">
      <alignment vertical="center"/>
    </xf>
    <xf numFmtId="0" fontId="119" fillId="40" borderId="0" xfId="64" applyFont="1" applyFill="1" applyAlignment="1">
      <alignment horizontal="center" vertical="center"/>
    </xf>
    <xf numFmtId="186" fontId="119" fillId="40" borderId="0" xfId="67" applyNumberFormat="1" applyFont="1" applyFill="1" applyBorder="1" applyAlignment="1">
      <alignment horizontal="center" vertical="center"/>
    </xf>
    <xf numFmtId="184" fontId="119" fillId="40" borderId="0" xfId="67" applyNumberFormat="1" applyFont="1" applyFill="1" applyBorder="1" applyAlignment="1">
      <alignment horizontal="center" vertical="center"/>
    </xf>
    <xf numFmtId="186" fontId="126" fillId="40" borderId="0" xfId="67" applyNumberFormat="1" applyFont="1" applyFill="1" applyBorder="1" applyAlignment="1">
      <alignment horizontal="center" vertical="center"/>
    </xf>
    <xf numFmtId="180" fontId="160" fillId="40" borderId="0" xfId="67" applyFont="1" applyFill="1" applyBorder="1" applyAlignment="1">
      <alignment horizontal="center" vertical="center"/>
    </xf>
    <xf numFmtId="187" fontId="119" fillId="40" borderId="0" xfId="67" applyNumberFormat="1" applyFont="1" applyFill="1" applyBorder="1" applyAlignment="1">
      <alignment horizontal="center" vertical="center"/>
    </xf>
    <xf numFmtId="180" fontId="126" fillId="40" borderId="0" xfId="67" applyFont="1" applyFill="1" applyBorder="1" applyAlignment="1">
      <alignment horizontal="center" vertical="center"/>
    </xf>
    <xf numFmtId="193" fontId="119" fillId="40" borderId="0" xfId="67" applyNumberFormat="1" applyFont="1" applyFill="1" applyBorder="1" applyAlignment="1">
      <alignment horizontal="center" vertical="center"/>
    </xf>
    <xf numFmtId="0" fontId="156" fillId="0" borderId="0" xfId="64" applyFont="1" applyAlignment="1">
      <alignment vertical="center"/>
    </xf>
    <xf numFmtId="0" fontId="157" fillId="0" borderId="0" xfId="64" applyFont="1" applyAlignment="1">
      <alignment vertical="center"/>
    </xf>
    <xf numFmtId="180" fontId="126" fillId="0" borderId="0" xfId="67" applyFont="1" applyFill="1" applyBorder="1" applyAlignment="1">
      <alignment horizontal="center" vertical="center"/>
    </xf>
    <xf numFmtId="193" fontId="119" fillId="0" borderId="0" xfId="67" applyNumberFormat="1" applyFont="1" applyFill="1" applyBorder="1" applyAlignment="1">
      <alignment horizontal="center" vertical="center"/>
    </xf>
    <xf numFmtId="178" fontId="119" fillId="40" borderId="0" xfId="66" applyFont="1" applyFill="1" applyBorder="1" applyAlignment="1">
      <alignment horizontal="center" vertical="center"/>
    </xf>
    <xf numFmtId="0" fontId="74" fillId="37" borderId="0" xfId="64" applyFont="1" applyFill="1" applyAlignment="1">
      <alignment vertical="center"/>
    </xf>
    <xf numFmtId="0" fontId="156" fillId="37" borderId="0" xfId="64" applyFont="1" applyFill="1" applyAlignment="1">
      <alignment vertical="center"/>
    </xf>
    <xf numFmtId="0" fontId="157" fillId="37" borderId="0" xfId="64" applyFont="1" applyFill="1" applyAlignment="1">
      <alignment vertical="center"/>
    </xf>
    <xf numFmtId="180" fontId="119" fillId="0" borderId="0" xfId="67" applyFont="1" applyFill="1" applyBorder="1" applyAlignment="1">
      <alignment horizontal="center" vertical="center"/>
    </xf>
    <xf numFmtId="0" fontId="156" fillId="37" borderId="84" xfId="64" applyFont="1" applyFill="1" applyBorder="1" applyAlignment="1">
      <alignment vertical="center"/>
    </xf>
    <xf numFmtId="0" fontId="157" fillId="37" borderId="84" xfId="64" applyFont="1" applyFill="1" applyBorder="1" applyAlignment="1">
      <alignment vertical="center"/>
    </xf>
    <xf numFmtId="0" fontId="119" fillId="0" borderId="84" xfId="64" applyFont="1" applyBorder="1" applyAlignment="1">
      <alignment horizontal="center" vertical="center"/>
    </xf>
    <xf numFmtId="180" fontId="126" fillId="0" borderId="84" xfId="67" applyFont="1" applyFill="1" applyBorder="1" applyAlignment="1">
      <alignment horizontal="center" vertical="center"/>
    </xf>
    <xf numFmtId="193" fontId="119" fillId="0" borderId="84" xfId="67" applyNumberFormat="1" applyFont="1" applyFill="1" applyBorder="1" applyAlignment="1">
      <alignment horizontal="center" vertical="center"/>
    </xf>
    <xf numFmtId="180" fontId="119" fillId="0" borderId="84" xfId="67" applyFont="1" applyFill="1" applyBorder="1" applyAlignment="1">
      <alignment horizontal="center" vertical="center"/>
    </xf>
    <xf numFmtId="182" fontId="119" fillId="0" borderId="0" xfId="67" applyNumberFormat="1" applyFont="1" applyFill="1" applyBorder="1" applyAlignment="1">
      <alignment horizontal="center" vertical="center"/>
    </xf>
    <xf numFmtId="180" fontId="119" fillId="0" borderId="0" xfId="67" applyFont="1" applyFill="1" applyBorder="1" applyAlignment="1">
      <alignment vertical="center"/>
    </xf>
    <xf numFmtId="180" fontId="156" fillId="0" borderId="0" xfId="67" applyFont="1" applyBorder="1"/>
    <xf numFmtId="0" fontId="121" fillId="0" borderId="0" xfId="64" applyFont="1" applyAlignment="1">
      <alignment horizontal="right"/>
    </xf>
    <xf numFmtId="0" fontId="121" fillId="0" borderId="0" xfId="64" applyFont="1" applyAlignment="1">
      <alignment horizontal="center"/>
    </xf>
    <xf numFmtId="178" fontId="121" fillId="0" borderId="0" xfId="66" applyFont="1" applyBorder="1" applyAlignment="1">
      <alignment horizontal="center" vertical="center"/>
    </xf>
    <xf numFmtId="0" fontId="152" fillId="0" borderId="0" xfId="64" applyFont="1"/>
    <xf numFmtId="180" fontId="119" fillId="0" borderId="0" xfId="67" applyFont="1" applyBorder="1" applyAlignment="1">
      <alignment horizontal="left" vertical="center"/>
    </xf>
    <xf numFmtId="11" fontId="121" fillId="0" borderId="0" xfId="67" applyNumberFormat="1" applyFont="1" applyBorder="1" applyAlignment="1">
      <alignment horizontal="center" vertical="center"/>
    </xf>
    <xf numFmtId="2" fontId="121" fillId="0" borderId="0" xfId="64" applyNumberFormat="1" applyFont="1" applyAlignment="1">
      <alignment horizontal="center" vertical="center"/>
    </xf>
    <xf numFmtId="2" fontId="119" fillId="0" borderId="0" xfId="67" applyNumberFormat="1" applyFont="1" applyBorder="1" applyAlignment="1">
      <alignment horizontal="center" vertical="center"/>
    </xf>
    <xf numFmtId="184" fontId="121" fillId="0" borderId="0" xfId="67" applyNumberFormat="1" applyFont="1" applyBorder="1" applyAlignment="1">
      <alignment horizontal="center" vertical="center"/>
    </xf>
    <xf numFmtId="184" fontId="119" fillId="0" borderId="0" xfId="67" applyNumberFormat="1" applyFont="1" applyBorder="1" applyAlignment="1">
      <alignment horizontal="center" vertical="center"/>
    </xf>
    <xf numFmtId="184" fontId="121" fillId="0" borderId="0" xfId="67" applyNumberFormat="1" applyFont="1" applyBorder="1" applyAlignment="1">
      <alignment horizontal="left" vertical="center"/>
    </xf>
    <xf numFmtId="180" fontId="121" fillId="0" borderId="0" xfId="67" applyFont="1" applyBorder="1" applyAlignment="1">
      <alignment horizontal="center"/>
    </xf>
    <xf numFmtId="0" fontId="156" fillId="89" borderId="0" xfId="64" applyFont="1" applyFill="1" applyAlignment="1">
      <alignment vertical="center"/>
    </xf>
    <xf numFmtId="0" fontId="157" fillId="89" borderId="0" xfId="64" applyFont="1" applyFill="1" applyAlignment="1">
      <alignment vertical="center"/>
    </xf>
    <xf numFmtId="180" fontId="119" fillId="40" borderId="0" xfId="67" applyFont="1" applyFill="1" applyBorder="1" applyAlignment="1">
      <alignment horizontal="center" vertical="center"/>
    </xf>
    <xf numFmtId="180" fontId="163" fillId="40" borderId="0" xfId="67" applyFont="1" applyFill="1" applyBorder="1" applyAlignment="1">
      <alignment horizontal="center" vertical="center"/>
    </xf>
    <xf numFmtId="179" fontId="74" fillId="40" borderId="0" xfId="66" applyNumberFormat="1" applyFont="1" applyFill="1" applyBorder="1" applyAlignment="1">
      <alignment horizontal="center" vertical="center"/>
    </xf>
    <xf numFmtId="180" fontId="74" fillId="40" borderId="0" xfId="67" applyFont="1" applyFill="1" applyBorder="1" applyAlignment="1">
      <alignment horizontal="center" vertical="center"/>
    </xf>
    <xf numFmtId="182" fontId="119" fillId="40" borderId="0" xfId="67" applyNumberFormat="1" applyFont="1" applyFill="1" applyBorder="1" applyAlignment="1">
      <alignment horizontal="center" vertical="center"/>
    </xf>
    <xf numFmtId="180" fontId="121" fillId="0" borderId="0" xfId="67" applyFont="1" applyBorder="1"/>
    <xf numFmtId="0" fontId="119" fillId="0" borderId="0" xfId="64" applyFont="1" applyAlignment="1">
      <alignment horizontal="center"/>
    </xf>
    <xf numFmtId="180" fontId="157" fillId="0" borderId="0" xfId="67" applyFont="1" applyBorder="1" applyAlignment="1">
      <alignment horizontal="center" vertical="center"/>
    </xf>
    <xf numFmtId="0" fontId="119" fillId="90" borderId="0" xfId="64" applyFont="1" applyFill="1"/>
    <xf numFmtId="0" fontId="121" fillId="90" borderId="0" xfId="64" applyFont="1" applyFill="1"/>
    <xf numFmtId="0" fontId="119" fillId="90" borderId="0" xfId="64" applyFont="1" applyFill="1" applyAlignment="1">
      <alignment horizontal="center"/>
    </xf>
    <xf numFmtId="0" fontId="164" fillId="90" borderId="0" xfId="64" applyFont="1" applyFill="1" applyAlignment="1">
      <alignment horizontal="center"/>
    </xf>
    <xf numFmtId="0" fontId="119" fillId="90" borderId="0" xfId="64" applyFont="1" applyFill="1" applyAlignment="1">
      <alignment horizontal="center" vertical="center"/>
    </xf>
    <xf numFmtId="184" fontId="159" fillId="87" borderId="0" xfId="67" applyNumberFormat="1" applyFont="1" applyFill="1" applyBorder="1" applyAlignment="1">
      <alignment horizontal="center" vertical="center"/>
    </xf>
    <xf numFmtId="180" fontId="121" fillId="40" borderId="0" xfId="67" applyFont="1" applyFill="1" applyBorder="1" applyAlignment="1">
      <alignment horizontal="center" vertical="center"/>
    </xf>
    <xf numFmtId="0" fontId="119" fillId="40" borderId="0" xfId="64" applyFont="1" applyFill="1" applyAlignment="1">
      <alignment horizontal="right" vertical="center"/>
    </xf>
    <xf numFmtId="0" fontId="119" fillId="0" borderId="84" xfId="64" applyFont="1" applyBorder="1" applyAlignment="1">
      <alignment horizontal="right" vertical="center"/>
    </xf>
    <xf numFmtId="180" fontId="119" fillId="0" borderId="84" xfId="67" applyFont="1" applyFill="1" applyBorder="1" applyAlignment="1">
      <alignment vertical="center"/>
    </xf>
    <xf numFmtId="180" fontId="119" fillId="0" borderId="0" xfId="67" applyFont="1" applyBorder="1"/>
    <xf numFmtId="187" fontId="121" fillId="0" borderId="0" xfId="67" applyNumberFormat="1" applyFont="1" applyBorder="1" applyAlignment="1">
      <alignment horizontal="center" vertical="center"/>
    </xf>
    <xf numFmtId="180" fontId="157" fillId="0" borderId="0" xfId="67" applyFont="1" applyBorder="1"/>
    <xf numFmtId="180" fontId="75" fillId="0" borderId="0" xfId="67" applyFont="1" applyBorder="1"/>
    <xf numFmtId="180" fontId="156" fillId="0" borderId="0" xfId="67" applyFont="1" applyBorder="1" applyAlignment="1">
      <alignment horizontal="right"/>
    </xf>
    <xf numFmtId="180" fontId="74" fillId="0" borderId="0" xfId="67" applyFont="1" applyBorder="1" applyAlignment="1">
      <alignment horizontal="right"/>
    </xf>
    <xf numFmtId="0" fontId="74" fillId="0" borderId="0" xfId="64" applyFont="1" applyAlignment="1">
      <alignment horizontal="center"/>
    </xf>
    <xf numFmtId="186" fontId="163" fillId="40" borderId="0" xfId="67" applyNumberFormat="1" applyFont="1" applyFill="1" applyBorder="1" applyAlignment="1">
      <alignment horizontal="center" vertical="center"/>
    </xf>
    <xf numFmtId="180" fontId="163" fillId="0" borderId="0" xfId="67" applyFont="1" applyFill="1" applyBorder="1" applyAlignment="1">
      <alignment vertical="center"/>
    </xf>
    <xf numFmtId="180" fontId="75" fillId="0" borderId="0" xfId="67" applyFont="1" applyBorder="1" applyAlignment="1">
      <alignment horizontal="center"/>
    </xf>
    <xf numFmtId="0" fontId="146" fillId="0" borderId="0" xfId="64" applyFont="1"/>
    <xf numFmtId="0" fontId="119" fillId="0" borderId="0" xfId="64" applyFont="1" applyAlignment="1">
      <alignment horizontal="left"/>
    </xf>
    <xf numFmtId="181" fontId="121" fillId="0" borderId="0" xfId="66" applyNumberFormat="1" applyFont="1" applyBorder="1" applyAlignment="1">
      <alignment horizontal="center" vertical="center"/>
    </xf>
    <xf numFmtId="2" fontId="119" fillId="0" borderId="0" xfId="64" applyNumberFormat="1" applyFont="1" applyAlignment="1">
      <alignment horizontal="right" vertical="center"/>
    </xf>
    <xf numFmtId="164" fontId="121" fillId="0" borderId="0" xfId="66" applyNumberFormat="1" applyFont="1" applyBorder="1" applyAlignment="1">
      <alignment horizontal="center" vertical="center"/>
    </xf>
    <xf numFmtId="184" fontId="119" fillId="0" borderId="0" xfId="67" applyNumberFormat="1" applyFont="1" applyBorder="1" applyAlignment="1">
      <alignment vertical="center"/>
    </xf>
    <xf numFmtId="181" fontId="119" fillId="0" borderId="0" xfId="66" applyNumberFormat="1" applyFont="1" applyBorder="1" applyAlignment="1">
      <alignment horizontal="center" vertical="center"/>
    </xf>
    <xf numFmtId="2" fontId="119" fillId="40" borderId="0" xfId="67" applyNumberFormat="1" applyFont="1" applyFill="1" applyBorder="1" applyAlignment="1">
      <alignment horizontal="center" vertical="center"/>
    </xf>
    <xf numFmtId="0" fontId="119" fillId="37" borderId="0" xfId="64" applyFont="1" applyFill="1"/>
    <xf numFmtId="0" fontId="121" fillId="37" borderId="0" xfId="64" applyFont="1" applyFill="1"/>
    <xf numFmtId="0" fontId="74" fillId="37" borderId="0" xfId="64" applyFont="1" applyFill="1"/>
    <xf numFmtId="182" fontId="119" fillId="0" borderId="0" xfId="67" applyNumberFormat="1" applyFont="1" applyBorder="1" applyAlignment="1">
      <alignment horizontal="center" vertical="center"/>
    </xf>
    <xf numFmtId="0" fontId="121" fillId="37" borderId="84" xfId="64" applyFont="1" applyFill="1" applyBorder="1"/>
    <xf numFmtId="0" fontId="119" fillId="37" borderId="84" xfId="64" applyFont="1" applyFill="1" applyBorder="1"/>
    <xf numFmtId="0" fontId="119" fillId="0" borderId="84" xfId="64" applyFont="1" applyBorder="1" applyAlignment="1">
      <alignment horizontal="right"/>
    </xf>
    <xf numFmtId="180" fontId="119" fillId="0" borderId="84" xfId="67" applyFont="1" applyBorder="1"/>
    <xf numFmtId="180" fontId="119" fillId="0" borderId="84" xfId="67" applyFont="1" applyBorder="1" applyAlignment="1">
      <alignment horizontal="center" vertical="center"/>
    </xf>
    <xf numFmtId="182" fontId="119" fillId="0" borderId="84" xfId="67" applyNumberFormat="1" applyFont="1" applyBorder="1" applyAlignment="1">
      <alignment horizontal="center" vertical="center"/>
    </xf>
    <xf numFmtId="184" fontId="75" fillId="0" borderId="0" xfId="67" applyNumberFormat="1" applyFont="1" applyBorder="1" applyAlignment="1">
      <alignment horizontal="center"/>
    </xf>
    <xf numFmtId="180" fontId="75" fillId="0" borderId="0" xfId="67" applyFont="1" applyBorder="1" applyAlignment="1">
      <alignment horizontal="center" vertical="center"/>
    </xf>
    <xf numFmtId="0" fontId="115" fillId="45" borderId="0" xfId="64" applyFont="1" applyFill="1"/>
    <xf numFmtId="0" fontId="157" fillId="45" borderId="0" xfId="64" applyFont="1" applyFill="1"/>
    <xf numFmtId="0" fontId="156" fillId="37" borderId="84" xfId="64" applyFont="1" applyFill="1" applyBorder="1"/>
    <xf numFmtId="0" fontId="157" fillId="0" borderId="0" xfId="64" applyFont="1"/>
    <xf numFmtId="180" fontId="119" fillId="0" borderId="0" xfId="67" applyFont="1" applyBorder="1" applyAlignment="1">
      <alignment horizontal="center"/>
    </xf>
    <xf numFmtId="180" fontId="156" fillId="0" borderId="0" xfId="67" applyFont="1" applyBorder="1" applyAlignment="1">
      <alignment horizontal="center"/>
    </xf>
    <xf numFmtId="184" fontId="157" fillId="0" borderId="0" xfId="67" applyNumberFormat="1" applyFont="1" applyBorder="1" applyAlignment="1">
      <alignment horizontal="center"/>
    </xf>
    <xf numFmtId="184" fontId="121" fillId="45" borderId="0" xfId="67" applyNumberFormat="1" applyFont="1" applyFill="1" applyBorder="1" applyAlignment="1">
      <alignment horizontal="center" vertical="center"/>
    </xf>
    <xf numFmtId="187" fontId="157" fillId="0" borderId="0" xfId="67" applyNumberFormat="1" applyFont="1" applyBorder="1" applyAlignment="1">
      <alignment horizontal="center"/>
    </xf>
    <xf numFmtId="182" fontId="121" fillId="0" borderId="0" xfId="67" applyNumberFormat="1" applyFont="1" applyBorder="1" applyAlignment="1">
      <alignment horizontal="center" vertical="center"/>
    </xf>
    <xf numFmtId="193" fontId="121" fillId="0" borderId="0" xfId="67" applyNumberFormat="1" applyFont="1" applyBorder="1" applyAlignment="1">
      <alignment horizontal="center" vertical="center"/>
    </xf>
    <xf numFmtId="193" fontId="75" fillId="0" borderId="0" xfId="67" applyNumberFormat="1" applyFont="1" applyBorder="1" applyAlignment="1">
      <alignment horizontal="center"/>
    </xf>
    <xf numFmtId="11" fontId="119" fillId="40" borderId="0" xfId="67" applyNumberFormat="1" applyFont="1" applyFill="1" applyBorder="1" applyAlignment="1">
      <alignment horizontal="center" vertical="center"/>
    </xf>
    <xf numFmtId="187" fontId="119" fillId="0" borderId="0" xfId="67" applyNumberFormat="1" applyFont="1" applyBorder="1"/>
    <xf numFmtId="187" fontId="119" fillId="0" borderId="0" xfId="67" applyNumberFormat="1" applyFont="1" applyBorder="1" applyAlignment="1">
      <alignment horizontal="center" vertical="center"/>
    </xf>
    <xf numFmtId="0" fontId="119" fillId="91" borderId="0" xfId="64" applyFont="1" applyFill="1"/>
    <xf numFmtId="0" fontId="121" fillId="91" borderId="0" xfId="64" applyFont="1" applyFill="1"/>
    <xf numFmtId="0" fontId="156" fillId="91" borderId="0" xfId="64" applyFont="1" applyFill="1"/>
    <xf numFmtId="187" fontId="156" fillId="0" borderId="0" xfId="67" applyNumberFormat="1" applyFont="1" applyBorder="1"/>
    <xf numFmtId="180" fontId="121" fillId="0" borderId="0" xfId="67" applyFont="1"/>
    <xf numFmtId="180" fontId="121" fillId="0" borderId="0" xfId="67" applyFont="1" applyAlignment="1">
      <alignment horizontal="center" vertical="center"/>
    </xf>
    <xf numFmtId="180" fontId="157" fillId="0" borderId="0" xfId="67" applyFont="1"/>
    <xf numFmtId="0" fontId="125" fillId="0" borderId="0" xfId="64" applyFont="1" applyAlignment="1">
      <alignment horizontal="center" vertical="center"/>
    </xf>
    <xf numFmtId="193" fontId="74" fillId="40" borderId="0" xfId="67" applyNumberFormat="1" applyFont="1" applyFill="1" applyBorder="1" applyAlignment="1">
      <alignment horizontal="center" vertical="center"/>
    </xf>
    <xf numFmtId="37" fontId="121" fillId="45" borderId="0" xfId="64" applyNumberFormat="1" applyFont="1" applyFill="1"/>
    <xf numFmtId="37" fontId="121" fillId="45" borderId="0" xfId="64" applyNumberFormat="1" applyFont="1" applyFill="1" applyAlignment="1">
      <alignment horizontal="center" vertical="center"/>
    </xf>
    <xf numFmtId="193" fontId="163" fillId="40" borderId="0" xfId="67" applyNumberFormat="1" applyFont="1" applyFill="1" applyBorder="1" applyAlignment="1">
      <alignment horizontal="center" vertical="center"/>
    </xf>
    <xf numFmtId="0" fontId="119" fillId="0" borderId="84" xfId="64" applyFont="1" applyBorder="1"/>
    <xf numFmtId="0" fontId="121" fillId="45" borderId="84" xfId="64" applyFont="1" applyFill="1" applyBorder="1"/>
    <xf numFmtId="0" fontId="121" fillId="45" borderId="84" xfId="64" applyFont="1" applyFill="1" applyBorder="1" applyAlignment="1">
      <alignment horizontal="center" vertical="center"/>
    </xf>
    <xf numFmtId="0" fontId="74" fillId="0" borderId="84" xfId="64" applyFont="1" applyBorder="1" applyAlignment="1">
      <alignment horizontal="center"/>
    </xf>
    <xf numFmtId="0" fontId="119" fillId="45" borderId="0" xfId="64" applyFont="1" applyFill="1"/>
    <xf numFmtId="2" fontId="119" fillId="0" borderId="0" xfId="64" applyNumberFormat="1" applyFont="1" applyAlignment="1">
      <alignment horizontal="center" vertical="center"/>
    </xf>
    <xf numFmtId="2" fontId="119" fillId="45" borderId="0" xfId="64" applyNumberFormat="1" applyFont="1" applyFill="1" applyAlignment="1">
      <alignment horizontal="center" vertical="center"/>
    </xf>
    <xf numFmtId="0" fontId="119" fillId="0" borderId="24" xfId="64" applyFont="1" applyBorder="1"/>
    <xf numFmtId="0" fontId="121" fillId="45" borderId="24" xfId="64" applyFont="1" applyFill="1" applyBorder="1"/>
    <xf numFmtId="0" fontId="119" fillId="45" borderId="24" xfId="64" applyFont="1" applyFill="1" applyBorder="1"/>
    <xf numFmtId="0" fontId="121" fillId="45" borderId="24" xfId="64" applyFont="1" applyFill="1" applyBorder="1" applyAlignment="1">
      <alignment horizontal="center" vertical="center"/>
    </xf>
    <xf numFmtId="2" fontId="119" fillId="0" borderId="24" xfId="64" applyNumberFormat="1" applyFont="1" applyBorder="1" applyAlignment="1">
      <alignment horizontal="center" vertical="center"/>
    </xf>
    <xf numFmtId="2" fontId="119" fillId="45" borderId="24" xfId="64" applyNumberFormat="1" applyFont="1" applyFill="1" applyBorder="1" applyAlignment="1">
      <alignment horizontal="center" vertical="center"/>
    </xf>
    <xf numFmtId="0" fontId="119" fillId="45" borderId="84" xfId="64" applyFont="1" applyFill="1" applyBorder="1"/>
    <xf numFmtId="164" fontId="119" fillId="45" borderId="0" xfId="64" applyNumberFormat="1" applyFont="1" applyFill="1" applyAlignment="1">
      <alignment horizontal="center" vertical="center"/>
    </xf>
    <xf numFmtId="39" fontId="121" fillId="45" borderId="0" xfId="64" applyNumberFormat="1" applyFont="1" applyFill="1" applyAlignment="1">
      <alignment horizontal="center" vertical="center"/>
    </xf>
    <xf numFmtId="0" fontId="121" fillId="60" borderId="82" xfId="64" applyFont="1" applyFill="1" applyBorder="1"/>
    <xf numFmtId="0" fontId="119" fillId="60" borderId="0" xfId="64" applyFont="1" applyFill="1"/>
    <xf numFmtId="184" fontId="121" fillId="60" borderId="0" xfId="67" applyNumberFormat="1" applyFont="1" applyFill="1" applyBorder="1" applyAlignment="1">
      <alignment vertical="center"/>
    </xf>
    <xf numFmtId="0" fontId="115" fillId="60" borderId="82" xfId="64" applyFont="1" applyFill="1" applyBorder="1"/>
    <xf numFmtId="0" fontId="116" fillId="0" borderId="79" xfId="64" applyFont="1" applyBorder="1" applyAlignment="1">
      <alignment horizontal="left" vertical="center" indent="1"/>
    </xf>
    <xf numFmtId="0" fontId="121" fillId="40" borderId="80" xfId="64" applyFont="1" applyFill="1" applyBorder="1"/>
    <xf numFmtId="0" fontId="121" fillId="40" borderId="80" xfId="64" applyFont="1" applyFill="1" applyBorder="1" applyAlignment="1">
      <alignment horizontal="center" vertical="center"/>
    </xf>
    <xf numFmtId="0" fontId="121" fillId="77" borderId="82" xfId="64" applyFont="1" applyFill="1" applyBorder="1"/>
    <xf numFmtId="0" fontId="121" fillId="77" borderId="89" xfId="64" applyFont="1" applyFill="1" applyBorder="1"/>
    <xf numFmtId="0" fontId="121" fillId="77" borderId="89" xfId="64" applyFont="1" applyFill="1" applyBorder="1" applyAlignment="1">
      <alignment horizontal="center" vertical="center"/>
    </xf>
    <xf numFmtId="0" fontId="119" fillId="77" borderId="0" xfId="64" applyFont="1" applyFill="1"/>
    <xf numFmtId="0" fontId="121" fillId="77" borderId="0" xfId="64" applyFont="1" applyFill="1"/>
    <xf numFmtId="0" fontId="121" fillId="77" borderId="0" xfId="64" applyFont="1" applyFill="1" applyAlignment="1">
      <alignment horizontal="right"/>
    </xf>
    <xf numFmtId="0" fontId="121" fillId="77" borderId="0" xfId="64" applyFont="1" applyFill="1" applyAlignment="1">
      <alignment horizontal="center" vertical="center"/>
    </xf>
    <xf numFmtId="0" fontId="115" fillId="77" borderId="82" xfId="64" applyFont="1" applyFill="1" applyBorder="1"/>
    <xf numFmtId="0" fontId="121" fillId="77" borderId="0" xfId="64" applyFont="1" applyFill="1" applyAlignment="1">
      <alignment vertical="center"/>
    </xf>
    <xf numFmtId="0" fontId="115" fillId="77" borderId="0" xfId="64" applyFont="1" applyFill="1"/>
    <xf numFmtId="180" fontId="121" fillId="77" borderId="0" xfId="64" applyNumberFormat="1" applyFont="1" applyFill="1" applyAlignment="1">
      <alignment vertical="center"/>
    </xf>
    <xf numFmtId="180" fontId="121" fillId="77" borderId="0" xfId="64" applyNumberFormat="1" applyFont="1" applyFill="1" applyAlignment="1">
      <alignment horizontal="center" vertical="center"/>
    </xf>
    <xf numFmtId="0" fontId="69" fillId="62" borderId="82" xfId="64" applyFill="1" applyBorder="1"/>
    <xf numFmtId="0" fontId="121" fillId="62" borderId="0" xfId="64" applyFont="1" applyFill="1"/>
    <xf numFmtId="0" fontId="121" fillId="62" borderId="0" xfId="64" applyFont="1" applyFill="1" applyAlignment="1">
      <alignment horizontal="center" vertical="center"/>
    </xf>
    <xf numFmtId="0" fontId="117" fillId="63" borderId="0" xfId="64" applyFont="1" applyFill="1" applyAlignment="1">
      <alignment horizontal="right"/>
    </xf>
    <xf numFmtId="0" fontId="74" fillId="63" borderId="112" xfId="64" applyFont="1" applyFill="1" applyBorder="1" applyAlignment="1">
      <alignment horizontal="center" vertical="center"/>
    </xf>
    <xf numFmtId="0" fontId="124" fillId="63" borderId="85" xfId="64" applyFont="1" applyFill="1" applyBorder="1"/>
    <xf numFmtId="0" fontId="121" fillId="63" borderId="0" xfId="64" applyFont="1" applyFill="1"/>
    <xf numFmtId="0" fontId="167" fillId="0" borderId="0" xfId="64" applyFont="1"/>
    <xf numFmtId="0" fontId="117" fillId="62" borderId="0" xfId="64" applyFont="1" applyFill="1"/>
    <xf numFmtId="0" fontId="69" fillId="62" borderId="0" xfId="64" applyFill="1"/>
    <xf numFmtId="0" fontId="128" fillId="62" borderId="0" xfId="64" applyFont="1" applyFill="1"/>
    <xf numFmtId="0" fontId="69" fillId="62" borderId="0" xfId="64" applyFill="1" applyAlignment="1">
      <alignment horizontal="center" vertical="center"/>
    </xf>
    <xf numFmtId="0" fontId="117" fillId="62" borderId="0" xfId="64" applyFont="1" applyFill="1" applyAlignment="1">
      <alignment horizontal="right"/>
    </xf>
    <xf numFmtId="188" fontId="121" fillId="0" borderId="0" xfId="64" applyNumberFormat="1" applyFont="1" applyAlignment="1">
      <alignment horizontal="center" vertical="center"/>
    </xf>
    <xf numFmtId="188" fontId="121" fillId="0" borderId="0" xfId="64" applyNumberFormat="1" applyFont="1"/>
    <xf numFmtId="37" fontId="121" fillId="0" borderId="0" xfId="64" applyNumberFormat="1" applyFont="1" applyAlignment="1">
      <alignment horizontal="center" vertical="center"/>
    </xf>
    <xf numFmtId="180" fontId="121" fillId="0" borderId="0" xfId="64" applyNumberFormat="1" applyFont="1" applyAlignment="1">
      <alignment horizontal="center" vertical="center"/>
    </xf>
    <xf numFmtId="1" fontId="121" fillId="0" borderId="0" xfId="64" applyNumberFormat="1" applyFont="1" applyAlignment="1">
      <alignment horizontal="center" vertical="center"/>
    </xf>
    <xf numFmtId="1" fontId="121" fillId="0" borderId="0" xfId="64" applyNumberFormat="1" applyFont="1"/>
    <xf numFmtId="0" fontId="69" fillId="0" borderId="80" xfId="64" applyBorder="1" applyAlignment="1">
      <alignment vertical="center"/>
    </xf>
    <xf numFmtId="0" fontId="69" fillId="0" borderId="0" xfId="64" applyAlignment="1">
      <alignment horizontal="right" vertical="center"/>
    </xf>
    <xf numFmtId="0" fontId="117" fillId="0" borderId="0" xfId="64" applyFont="1" applyAlignment="1">
      <alignment horizontal="right" vertical="center"/>
    </xf>
    <xf numFmtId="0" fontId="69" fillId="35" borderId="0" xfId="64" applyFill="1" applyAlignment="1">
      <alignment vertical="center"/>
    </xf>
    <xf numFmtId="188" fontId="69" fillId="0" borderId="0" xfId="64" applyNumberFormat="1" applyAlignment="1">
      <alignment horizontal="center" vertical="center"/>
    </xf>
    <xf numFmtId="0" fontId="74" fillId="60" borderId="127" xfId="64" applyFont="1" applyFill="1" applyBorder="1" applyAlignment="1">
      <alignment vertical="center"/>
    </xf>
    <xf numFmtId="0" fontId="74" fillId="60" borderId="128" xfId="64" applyFont="1" applyFill="1" applyBorder="1" applyAlignment="1">
      <alignment vertical="center"/>
    </xf>
    <xf numFmtId="0" fontId="125" fillId="60" borderId="128" xfId="64" applyFont="1" applyFill="1" applyBorder="1" applyAlignment="1">
      <alignment horizontal="center" vertical="center"/>
    </xf>
    <xf numFmtId="0" fontId="74" fillId="60" borderId="128" xfId="64" applyFont="1" applyFill="1" applyBorder="1" applyAlignment="1">
      <alignment horizontal="center" vertical="center"/>
    </xf>
    <xf numFmtId="0" fontId="74" fillId="60" borderId="138" xfId="64" applyFont="1" applyFill="1" applyBorder="1" applyAlignment="1">
      <alignment horizontal="center" vertical="center"/>
    </xf>
    <xf numFmtId="0" fontId="121" fillId="60" borderId="139" xfId="64" applyFont="1" applyFill="1" applyBorder="1" applyAlignment="1">
      <alignment vertical="center"/>
    </xf>
    <xf numFmtId="0" fontId="121" fillId="60" borderId="59" xfId="64" applyFont="1" applyFill="1" applyBorder="1" applyAlignment="1">
      <alignment vertical="center"/>
    </xf>
    <xf numFmtId="180" fontId="165" fillId="60" borderId="59" xfId="67" applyFont="1" applyFill="1" applyBorder="1" applyAlignment="1">
      <alignment vertical="center"/>
    </xf>
    <xf numFmtId="180" fontId="121" fillId="60" borderId="59" xfId="67" applyFont="1" applyFill="1" applyBorder="1" applyAlignment="1">
      <alignment horizontal="center" vertical="center"/>
    </xf>
    <xf numFmtId="188" fontId="121" fillId="60" borderId="59" xfId="67" applyNumberFormat="1" applyFont="1" applyFill="1" applyBorder="1" applyAlignment="1">
      <alignment horizontal="center" vertical="center"/>
    </xf>
    <xf numFmtId="188" fontId="121" fillId="60" borderId="140" xfId="67" applyNumberFormat="1" applyFont="1" applyFill="1" applyBorder="1" applyAlignment="1">
      <alignment horizontal="center" vertical="center"/>
    </xf>
    <xf numFmtId="0" fontId="121" fillId="60" borderId="113" xfId="64" applyFont="1" applyFill="1" applyBorder="1" applyAlignment="1">
      <alignment vertical="center"/>
    </xf>
    <xf numFmtId="0" fontId="121" fillId="60" borderId="114" xfId="64" applyFont="1" applyFill="1" applyBorder="1" applyAlignment="1">
      <alignment vertical="center"/>
    </xf>
    <xf numFmtId="180" fontId="165" fillId="60" borderId="114" xfId="67" applyFont="1" applyFill="1" applyBorder="1" applyAlignment="1">
      <alignment vertical="center"/>
    </xf>
    <xf numFmtId="180" fontId="121" fillId="60" borderId="114" xfId="67" applyFont="1" applyFill="1" applyBorder="1" applyAlignment="1">
      <alignment horizontal="center" vertical="center"/>
    </xf>
    <xf numFmtId="180" fontId="121" fillId="60" borderId="126" xfId="67" applyFont="1" applyFill="1" applyBorder="1" applyAlignment="1">
      <alignment horizontal="center" vertical="center"/>
    </xf>
    <xf numFmtId="0" fontId="119" fillId="60" borderId="129" xfId="64" applyFont="1" applyFill="1" applyBorder="1" applyAlignment="1">
      <alignment vertical="center"/>
    </xf>
    <xf numFmtId="0" fontId="119" fillId="60" borderId="130" xfId="64" applyFont="1" applyFill="1" applyBorder="1" applyAlignment="1">
      <alignment vertical="center"/>
    </xf>
    <xf numFmtId="180" fontId="125" fillId="60" borderId="130" xfId="64" applyNumberFormat="1" applyFont="1" applyFill="1" applyBorder="1" applyAlignment="1">
      <alignment vertical="center"/>
    </xf>
    <xf numFmtId="180" fontId="119" fillId="60" borderId="130" xfId="64" applyNumberFormat="1" applyFont="1" applyFill="1" applyBorder="1" applyAlignment="1">
      <alignment horizontal="center" vertical="center"/>
    </xf>
    <xf numFmtId="2" fontId="119" fillId="60" borderId="130" xfId="64" applyNumberFormat="1" applyFont="1" applyFill="1" applyBorder="1" applyAlignment="1">
      <alignment horizontal="center" vertical="center"/>
    </xf>
    <xf numFmtId="2" fontId="119" fillId="60" borderId="131" xfId="64" applyNumberFormat="1" applyFont="1" applyFill="1" applyBorder="1" applyAlignment="1">
      <alignment horizontal="center" vertical="center"/>
    </xf>
    <xf numFmtId="0" fontId="74" fillId="77" borderId="141" xfId="64" applyFont="1" applyFill="1" applyBorder="1" applyAlignment="1">
      <alignment vertical="center"/>
    </xf>
    <xf numFmtId="0" fontId="74" fillId="77" borderId="106" xfId="64" applyFont="1" applyFill="1" applyBorder="1" applyAlignment="1">
      <alignment vertical="center"/>
    </xf>
    <xf numFmtId="0" fontId="126" fillId="77" borderId="106" xfId="64" applyFont="1" applyFill="1" applyBorder="1" applyAlignment="1">
      <alignment horizontal="center" vertical="center"/>
    </xf>
    <xf numFmtId="0" fontId="74" fillId="77" borderId="106" xfId="64" applyFont="1" applyFill="1" applyBorder="1" applyAlignment="1">
      <alignment horizontal="center" vertical="center"/>
    </xf>
    <xf numFmtId="0" fontId="74" fillId="77" borderId="142" xfId="64" applyFont="1" applyFill="1" applyBorder="1" applyAlignment="1">
      <alignment horizontal="center" vertical="center"/>
    </xf>
    <xf numFmtId="0" fontId="121" fillId="77" borderId="139" xfId="64" applyFont="1" applyFill="1" applyBorder="1" applyAlignment="1">
      <alignment vertical="center"/>
    </xf>
    <xf numFmtId="0" fontId="121" fillId="77" borderId="59" xfId="64" applyFont="1" applyFill="1" applyBorder="1" applyAlignment="1">
      <alignment vertical="center"/>
    </xf>
    <xf numFmtId="0" fontId="121" fillId="77" borderId="114" xfId="64" applyFont="1" applyFill="1" applyBorder="1" applyAlignment="1">
      <alignment vertical="center"/>
    </xf>
    <xf numFmtId="180" fontId="121" fillId="77" borderId="59" xfId="67" applyFont="1" applyFill="1" applyBorder="1" applyAlignment="1">
      <alignment vertical="center"/>
    </xf>
    <xf numFmtId="180" fontId="121" fillId="77" borderId="59" xfId="67" applyFont="1" applyFill="1" applyBorder="1" applyAlignment="1">
      <alignment horizontal="center" vertical="center"/>
    </xf>
    <xf numFmtId="180" fontId="75" fillId="77" borderId="140" xfId="67" applyFont="1" applyFill="1" applyBorder="1" applyAlignment="1">
      <alignment horizontal="center" vertical="center"/>
    </xf>
    <xf numFmtId="0" fontId="121" fillId="77" borderId="113" xfId="64" applyFont="1" applyFill="1" applyBorder="1" applyAlignment="1">
      <alignment vertical="center"/>
    </xf>
    <xf numFmtId="180" fontId="121" fillId="77" borderId="114" xfId="67" applyFont="1" applyFill="1" applyBorder="1" applyAlignment="1">
      <alignment vertical="center"/>
    </xf>
    <xf numFmtId="180" fontId="121" fillId="77" borderId="114" xfId="67" applyFont="1" applyFill="1" applyBorder="1" applyAlignment="1">
      <alignment horizontal="center" vertical="center"/>
    </xf>
    <xf numFmtId="187" fontId="121" fillId="77" borderId="114" xfId="67" applyNumberFormat="1" applyFont="1" applyFill="1" applyBorder="1" applyAlignment="1">
      <alignment horizontal="center" vertical="center"/>
    </xf>
    <xf numFmtId="187" fontId="75" fillId="77" borderId="126" xfId="67" applyNumberFormat="1" applyFont="1" applyFill="1" applyBorder="1" applyAlignment="1">
      <alignment horizontal="center" vertical="center"/>
    </xf>
    <xf numFmtId="0" fontId="121" fillId="77" borderId="114" xfId="64" applyFont="1" applyFill="1" applyBorder="1" applyAlignment="1">
      <alignment horizontal="left" vertical="center"/>
    </xf>
    <xf numFmtId="180" fontId="75" fillId="77" borderId="126" xfId="67" applyFont="1" applyFill="1" applyBorder="1" applyAlignment="1">
      <alignment horizontal="center" vertical="center"/>
    </xf>
    <xf numFmtId="0" fontId="119" fillId="77" borderId="132" xfId="64" applyFont="1" applyFill="1" applyBorder="1" applyAlignment="1">
      <alignment vertical="center"/>
    </xf>
    <xf numFmtId="0" fontId="119" fillId="77" borderId="133" xfId="64" applyFont="1" applyFill="1" applyBorder="1" applyAlignment="1">
      <alignment vertical="center"/>
    </xf>
    <xf numFmtId="180" fontId="119" fillId="77" borderId="133" xfId="64" applyNumberFormat="1" applyFont="1" applyFill="1" applyBorder="1" applyAlignment="1">
      <alignment vertical="center"/>
    </xf>
    <xf numFmtId="180" fontId="119" fillId="77" borderId="133" xfId="64" applyNumberFormat="1" applyFont="1" applyFill="1" applyBorder="1" applyAlignment="1">
      <alignment horizontal="center" vertical="center"/>
    </xf>
    <xf numFmtId="180" fontId="74" fillId="77" borderId="134" xfId="64" applyNumberFormat="1" applyFont="1" applyFill="1" applyBorder="1" applyAlignment="1">
      <alignment horizontal="center" vertical="center"/>
    </xf>
    <xf numFmtId="0" fontId="74" fillId="63" borderId="127" xfId="64" applyFont="1" applyFill="1" applyBorder="1" applyAlignment="1">
      <alignment vertical="center"/>
    </xf>
    <xf numFmtId="0" fontId="74" fillId="63" borderId="128" xfId="64" applyFont="1" applyFill="1" applyBorder="1" applyAlignment="1">
      <alignment vertical="center"/>
    </xf>
    <xf numFmtId="0" fontId="166" fillId="63" borderId="128" xfId="64" applyFont="1" applyFill="1" applyBorder="1" applyAlignment="1">
      <alignment horizontal="center" vertical="center"/>
    </xf>
    <xf numFmtId="0" fontId="74" fillId="63" borderId="128" xfId="64" applyFont="1" applyFill="1" applyBorder="1" applyAlignment="1">
      <alignment horizontal="center" vertical="center"/>
    </xf>
    <xf numFmtId="0" fontId="74" fillId="63" borderId="138" xfId="64" applyFont="1" applyFill="1" applyBorder="1" applyAlignment="1">
      <alignment horizontal="center" vertical="center"/>
    </xf>
    <xf numFmtId="0" fontId="69" fillId="63" borderId="113" xfId="64" applyFill="1" applyBorder="1" applyAlignment="1">
      <alignment vertical="center"/>
    </xf>
    <xf numFmtId="0" fontId="69" fillId="63" borderId="114" xfId="64" applyFill="1" applyBorder="1" applyAlignment="1">
      <alignment vertical="center"/>
    </xf>
    <xf numFmtId="180" fontId="128" fillId="63" borderId="114" xfId="67" applyFont="1" applyFill="1" applyBorder="1" applyAlignment="1">
      <alignment vertical="center"/>
    </xf>
    <xf numFmtId="180" fontId="0" fillId="63" borderId="114" xfId="67" applyFont="1" applyFill="1" applyBorder="1" applyAlignment="1">
      <alignment horizontal="center" vertical="center"/>
    </xf>
    <xf numFmtId="182" fontId="0" fillId="63" borderId="114" xfId="67" applyNumberFormat="1" applyFont="1" applyFill="1" applyBorder="1" applyAlignment="1">
      <alignment horizontal="center" vertical="center"/>
    </xf>
    <xf numFmtId="182" fontId="0" fillId="63" borderId="126" xfId="67" applyNumberFormat="1" applyFont="1" applyFill="1" applyBorder="1" applyAlignment="1">
      <alignment horizontal="center" vertical="center"/>
    </xf>
    <xf numFmtId="180" fontId="128" fillId="63" borderId="126" xfId="67" applyFont="1" applyFill="1" applyBorder="1" applyAlignment="1">
      <alignment vertical="center"/>
    </xf>
    <xf numFmtId="0" fontId="69" fillId="63" borderId="135" xfId="64" applyFill="1" applyBorder="1" applyAlignment="1">
      <alignment vertical="center"/>
    </xf>
    <xf numFmtId="0" fontId="69" fillId="63" borderId="136" xfId="64" applyFill="1" applyBorder="1" applyAlignment="1">
      <alignment vertical="center"/>
    </xf>
    <xf numFmtId="180" fontId="128" fillId="63" borderId="136" xfId="67" applyFont="1" applyFill="1" applyBorder="1" applyAlignment="1">
      <alignment vertical="center"/>
    </xf>
    <xf numFmtId="180" fontId="0" fillId="63" borderId="136" xfId="67" applyFont="1" applyFill="1" applyBorder="1" applyAlignment="1">
      <alignment horizontal="center" vertical="center"/>
    </xf>
    <xf numFmtId="180" fontId="128" fillId="63" borderId="137" xfId="67" applyFont="1" applyFill="1" applyBorder="1" applyAlignment="1">
      <alignment vertical="center"/>
    </xf>
    <xf numFmtId="180" fontId="0" fillId="63" borderId="126" xfId="67" applyFont="1" applyFill="1" applyBorder="1" applyAlignment="1">
      <alignment horizontal="center" vertical="center"/>
    </xf>
    <xf numFmtId="180" fontId="72" fillId="63" borderId="128" xfId="67" applyFont="1" applyFill="1" applyBorder="1" applyAlignment="1">
      <alignment vertical="center"/>
    </xf>
    <xf numFmtId="180" fontId="72" fillId="63" borderId="128" xfId="67" applyFont="1" applyFill="1" applyBorder="1" applyAlignment="1">
      <alignment horizontal="center" vertical="center"/>
    </xf>
    <xf numFmtId="180" fontId="72" fillId="63" borderId="138" xfId="67" applyFont="1" applyFill="1" applyBorder="1" applyAlignment="1">
      <alignment horizontal="center" vertical="center"/>
    </xf>
    <xf numFmtId="180" fontId="128" fillId="63" borderId="126" xfId="67" applyFont="1" applyFill="1" applyBorder="1" applyAlignment="1">
      <alignment horizontal="center" vertical="center"/>
    </xf>
    <xf numFmtId="180" fontId="128" fillId="63" borderId="137" xfId="67" applyFont="1" applyFill="1" applyBorder="1" applyAlignment="1">
      <alignment horizontal="center" vertical="center"/>
    </xf>
    <xf numFmtId="0" fontId="156" fillId="92" borderId="128" xfId="64" applyFont="1" applyFill="1" applyBorder="1" applyAlignment="1">
      <alignment horizontal="center" vertical="center"/>
    </xf>
    <xf numFmtId="0" fontId="74" fillId="92" borderId="138" xfId="64" applyFont="1" applyFill="1" applyBorder="1" applyAlignment="1">
      <alignment horizontal="center"/>
    </xf>
    <xf numFmtId="0" fontId="117" fillId="63" borderId="135" xfId="64" applyFont="1" applyFill="1" applyBorder="1" applyAlignment="1">
      <alignment vertical="center"/>
    </xf>
    <xf numFmtId="0" fontId="117" fillId="63" borderId="136" xfId="64" applyFont="1" applyFill="1" applyBorder="1" applyAlignment="1">
      <alignment vertical="center"/>
    </xf>
    <xf numFmtId="180" fontId="127" fillId="63" borderId="136" xfId="64" applyNumberFormat="1" applyFont="1" applyFill="1" applyBorder="1" applyAlignment="1">
      <alignment vertical="center"/>
    </xf>
    <xf numFmtId="180" fontId="117" fillId="63" borderId="136" xfId="64" applyNumberFormat="1" applyFont="1" applyFill="1" applyBorder="1" applyAlignment="1">
      <alignment horizontal="center" vertical="center"/>
    </xf>
    <xf numFmtId="180" fontId="117" fillId="63" borderId="137" xfId="64" applyNumberFormat="1" applyFont="1" applyFill="1" applyBorder="1" applyAlignment="1">
      <alignment horizontal="center" vertical="center"/>
    </xf>
    <xf numFmtId="49" fontId="132" fillId="0" borderId="25" xfId="0" applyNumberFormat="1" applyFont="1" applyBorder="1" applyAlignment="1">
      <alignment horizontal="center" vertical="center" wrapText="1"/>
    </xf>
    <xf numFmtId="0" fontId="0" fillId="35" borderId="0" xfId="0" applyFill="1"/>
    <xf numFmtId="49" fontId="134" fillId="0" borderId="84" xfId="0" applyNumberFormat="1" applyFont="1" applyBorder="1" applyAlignment="1">
      <alignment horizontal="left" vertical="center" wrapText="1"/>
    </xf>
    <xf numFmtId="49" fontId="134" fillId="0" borderId="93" xfId="0" applyNumberFormat="1" applyFont="1" applyBorder="1" applyAlignment="1">
      <alignment horizontal="left" vertical="center" wrapText="1"/>
    </xf>
    <xf numFmtId="49" fontId="0" fillId="0" borderId="0" xfId="0" applyNumberFormat="1"/>
    <xf numFmtId="0" fontId="168" fillId="0" borderId="0" xfId="8" applyFont="1" applyFill="1"/>
    <xf numFmtId="1" fontId="168" fillId="0" borderId="0" xfId="8" applyNumberFormat="1" applyFont="1" applyFill="1"/>
    <xf numFmtId="0" fontId="16" fillId="40" borderId="0" xfId="0" applyFont="1" applyFill="1"/>
    <xf numFmtId="0" fontId="139" fillId="40" borderId="0" xfId="8" applyFont="1" applyFill="1" applyAlignment="1">
      <alignment horizontal="left" wrapText="1"/>
    </xf>
    <xf numFmtId="2" fontId="16" fillId="0" borderId="0" xfId="0" applyNumberFormat="1" applyFont="1" applyAlignment="1">
      <alignment horizontal="left" wrapText="1"/>
    </xf>
    <xf numFmtId="1" fontId="168" fillId="0" borderId="0" xfId="8" quotePrefix="1" applyNumberFormat="1" applyFont="1" applyFill="1"/>
    <xf numFmtId="0" fontId="0" fillId="35" borderId="0" xfId="0" applyFill="1" applyAlignment="1">
      <alignment horizontal="left"/>
    </xf>
    <xf numFmtId="165" fontId="0" fillId="0" borderId="0" xfId="1" applyNumberFormat="1" applyFont="1" applyAlignment="1">
      <alignment horizontal="left"/>
    </xf>
    <xf numFmtId="0" fontId="16" fillId="38" borderId="0" xfId="0" applyFont="1" applyFill="1" applyAlignment="1">
      <alignment horizontal="center"/>
    </xf>
    <xf numFmtId="164" fontId="0" fillId="0" borderId="0" xfId="1" applyNumberFormat="1" applyFont="1" applyAlignment="1">
      <alignment horizontal="center"/>
    </xf>
    <xf numFmtId="9" fontId="0" fillId="0" borderId="0" xfId="1" applyFont="1" applyBorder="1" applyAlignment="1">
      <alignment horizontal="center"/>
    </xf>
    <xf numFmtId="0" fontId="69" fillId="0" borderId="0" xfId="64" applyAlignment="1">
      <alignment horizontal="center" vertical="center" wrapText="1"/>
    </xf>
    <xf numFmtId="0" fontId="69" fillId="0" borderId="0" xfId="64" applyAlignment="1">
      <alignment horizontal="center"/>
    </xf>
    <xf numFmtId="0" fontId="69" fillId="35" borderId="0" xfId="64" applyFill="1" applyAlignment="1">
      <alignment horizontal="center" vertical="center"/>
    </xf>
    <xf numFmtId="0" fontId="130" fillId="0" borderId="0" xfId="64" applyFont="1" applyAlignment="1">
      <alignment horizontal="left" vertical="center"/>
    </xf>
    <xf numFmtId="0" fontId="69" fillId="35" borderId="0" xfId="64" applyFill="1" applyAlignment="1">
      <alignment horizontal="center"/>
    </xf>
    <xf numFmtId="0" fontId="116" fillId="0" borderId="0" xfId="64" applyFont="1" applyAlignment="1">
      <alignment horizontal="center" vertical="center"/>
    </xf>
    <xf numFmtId="0" fontId="69" fillId="0" borderId="0" xfId="64" applyAlignment="1">
      <alignment wrapText="1"/>
    </xf>
    <xf numFmtId="0" fontId="121" fillId="0" borderId="0" xfId="64" applyFont="1" applyAlignment="1">
      <alignment horizontal="center" vertical="center" wrapText="1"/>
    </xf>
    <xf numFmtId="0" fontId="115" fillId="0" borderId="0" xfId="64" applyFont="1" applyAlignment="1">
      <alignment horizontal="left" vertical="center"/>
    </xf>
    <xf numFmtId="0" fontId="119" fillId="0" borderId="0" xfId="64" applyFont="1" applyAlignment="1">
      <alignment horizontal="center" vertical="center" wrapText="1"/>
    </xf>
    <xf numFmtId="0" fontId="69" fillId="0" borderId="0" xfId="64" applyAlignment="1">
      <alignment horizontal="center" wrapText="1"/>
    </xf>
    <xf numFmtId="0" fontId="131" fillId="0" borderId="0" xfId="64" applyFont="1" applyAlignment="1">
      <alignment horizontal="center" vertical="center" wrapText="1"/>
    </xf>
    <xf numFmtId="0" fontId="171" fillId="93" borderId="143" xfId="64" applyFont="1" applyFill="1" applyBorder="1" applyAlignment="1">
      <alignment horizontal="center" vertical="center" wrapText="1"/>
    </xf>
    <xf numFmtId="0" fontId="172" fillId="93" borderId="143" xfId="64" applyFont="1" applyFill="1" applyBorder="1" applyAlignment="1">
      <alignment horizontal="center" vertical="center" wrapText="1"/>
    </xf>
    <xf numFmtId="0" fontId="171" fillId="38" borderId="143" xfId="64" applyFont="1" applyFill="1" applyBorder="1" applyAlignment="1">
      <alignment horizontal="center" vertical="center" wrapText="1"/>
    </xf>
    <xf numFmtId="0" fontId="171" fillId="35" borderId="143" xfId="64" applyFont="1" applyFill="1" applyBorder="1" applyAlignment="1">
      <alignment horizontal="center" vertical="center" wrapText="1"/>
    </xf>
    <xf numFmtId="0" fontId="172" fillId="38" borderId="143" xfId="64" applyFont="1" applyFill="1" applyBorder="1" applyAlignment="1">
      <alignment horizontal="center" vertical="center" wrapText="1"/>
    </xf>
    <xf numFmtId="0" fontId="171" fillId="94" borderId="143" xfId="64" applyFont="1" applyFill="1" applyBorder="1" applyAlignment="1">
      <alignment horizontal="center" vertical="center" wrapText="1"/>
    </xf>
    <xf numFmtId="0" fontId="172" fillId="94" borderId="143" xfId="64" applyFont="1" applyFill="1" applyBorder="1" applyAlignment="1">
      <alignment horizontal="center" vertical="center" wrapText="1"/>
    </xf>
    <xf numFmtId="0" fontId="172" fillId="40" borderId="143" xfId="64" applyFont="1" applyFill="1" applyBorder="1" applyAlignment="1">
      <alignment horizontal="center" vertical="center" wrapText="1"/>
    </xf>
    <xf numFmtId="0" fontId="172" fillId="0" borderId="0" xfId="64" applyFont="1" applyAlignment="1">
      <alignment horizontal="center" vertical="center" wrapText="1"/>
    </xf>
    <xf numFmtId="0" fontId="117" fillId="0" borderId="0" xfId="64" applyFont="1" applyAlignment="1">
      <alignment horizontal="center" vertical="center"/>
    </xf>
    <xf numFmtId="0" fontId="121" fillId="0" borderId="0" xfId="64" applyFont="1" applyAlignment="1">
      <alignment horizontal="left" vertical="center"/>
    </xf>
    <xf numFmtId="0" fontId="171" fillId="93" borderId="144" xfId="64" applyFont="1" applyFill="1" applyBorder="1" applyAlignment="1">
      <alignment horizontal="center" vertical="center" wrapText="1"/>
    </xf>
    <xf numFmtId="0" fontId="171" fillId="38" borderId="144" xfId="64" applyFont="1" applyFill="1" applyBorder="1" applyAlignment="1">
      <alignment horizontal="center" vertical="center" wrapText="1"/>
    </xf>
    <xf numFmtId="0" fontId="171" fillId="35" borderId="144" xfId="64" applyFont="1" applyFill="1" applyBorder="1" applyAlignment="1">
      <alignment horizontal="center" vertical="center" wrapText="1"/>
    </xf>
    <xf numFmtId="0" fontId="171" fillId="94" borderId="144" xfId="64" applyFont="1" applyFill="1" applyBorder="1" applyAlignment="1">
      <alignment horizontal="center" vertical="center" wrapText="1"/>
    </xf>
    <xf numFmtId="0" fontId="171" fillId="40" borderId="144" xfId="64" applyFont="1" applyFill="1" applyBorder="1" applyAlignment="1">
      <alignment horizontal="center" vertical="center" wrapText="1"/>
    </xf>
    <xf numFmtId="0" fontId="171" fillId="0" borderId="0" xfId="64" applyFont="1" applyAlignment="1">
      <alignment horizontal="center" vertical="center" wrapText="1"/>
    </xf>
    <xf numFmtId="0" fontId="131" fillId="42" borderId="85" xfId="64" applyFont="1" applyFill="1" applyBorder="1" applyAlignment="1">
      <alignment horizontal="center" vertical="center"/>
    </xf>
    <xf numFmtId="0" fontId="131" fillId="42" borderId="86" xfId="64" applyFont="1" applyFill="1" applyBorder="1" applyAlignment="1">
      <alignment horizontal="center" vertical="center"/>
    </xf>
    <xf numFmtId="0" fontId="131" fillId="42" borderId="87" xfId="64" applyFont="1" applyFill="1" applyBorder="1" applyAlignment="1">
      <alignment horizontal="center" vertical="center"/>
    </xf>
    <xf numFmtId="180" fontId="70" fillId="61" borderId="143" xfId="67" applyFont="1" applyFill="1" applyBorder="1" applyAlignment="1">
      <alignment horizontal="center" vertical="center"/>
    </xf>
    <xf numFmtId="180" fontId="75" fillId="61" borderId="143" xfId="67" applyFont="1" applyFill="1" applyBorder="1" applyAlignment="1">
      <alignment horizontal="center" vertical="center" wrapText="1"/>
    </xf>
    <xf numFmtId="180" fontId="128" fillId="61" borderId="143" xfId="67" applyFont="1" applyFill="1" applyBorder="1" applyAlignment="1">
      <alignment horizontal="center" vertical="center"/>
    </xf>
    <xf numFmtId="180" fontId="128" fillId="84" borderId="143" xfId="67" applyFont="1" applyFill="1" applyBorder="1" applyAlignment="1">
      <alignment horizontal="center" vertical="center"/>
    </xf>
    <xf numFmtId="180" fontId="128" fillId="35" borderId="143" xfId="67" applyFont="1" applyFill="1" applyBorder="1" applyAlignment="1">
      <alignment horizontal="center" vertical="center"/>
    </xf>
    <xf numFmtId="180" fontId="128" fillId="60" borderId="143" xfId="67" applyFont="1" applyFill="1" applyBorder="1" applyAlignment="1">
      <alignment horizontal="center" vertical="center"/>
    </xf>
    <xf numFmtId="180" fontId="128" fillId="77" borderId="143" xfId="67" applyFont="1" applyFill="1" applyBorder="1" applyAlignment="1">
      <alignment horizontal="center" vertical="center"/>
    </xf>
    <xf numFmtId="180" fontId="128" fillId="0" borderId="0" xfId="67" applyFont="1" applyFill="1" applyBorder="1" applyAlignment="1">
      <alignment horizontal="center" vertical="center"/>
    </xf>
    <xf numFmtId="0" fontId="69" fillId="42" borderId="145" xfId="64" applyFill="1" applyBorder="1" applyAlignment="1">
      <alignment horizontal="center" vertical="center"/>
    </xf>
    <xf numFmtId="0" fontId="116" fillId="0" borderId="0" xfId="64" applyFont="1" applyAlignment="1">
      <alignment vertical="center"/>
    </xf>
    <xf numFmtId="0" fontId="118" fillId="0" borderId="0" xfId="64" applyFont="1" applyAlignment="1">
      <alignment vertical="center"/>
    </xf>
    <xf numFmtId="180" fontId="142" fillId="61" borderId="143" xfId="67" applyFont="1" applyFill="1" applyBorder="1" applyAlignment="1">
      <alignment horizontal="center" vertical="center"/>
    </xf>
    <xf numFmtId="180" fontId="142" fillId="84" borderId="143" xfId="67" applyFont="1" applyFill="1" applyBorder="1" applyAlignment="1">
      <alignment horizontal="center" vertical="center"/>
    </xf>
    <xf numFmtId="180" fontId="142" fillId="35" borderId="143" xfId="67" applyFont="1" applyFill="1" applyBorder="1" applyAlignment="1">
      <alignment horizontal="center" vertical="center"/>
    </xf>
    <xf numFmtId="180" fontId="142" fillId="60" borderId="143" xfId="67" applyFont="1" applyFill="1" applyBorder="1" applyAlignment="1">
      <alignment horizontal="center" vertical="center"/>
    </xf>
    <xf numFmtId="180" fontId="142" fillId="77" borderId="143" xfId="67" applyFont="1" applyFill="1" applyBorder="1" applyAlignment="1">
      <alignment horizontal="center" vertical="center"/>
    </xf>
    <xf numFmtId="180" fontId="142" fillId="0" borderId="0" xfId="67" applyFont="1" applyFill="1" applyBorder="1" applyAlignment="1">
      <alignment horizontal="center" vertical="center"/>
    </xf>
    <xf numFmtId="0" fontId="69" fillId="85" borderId="146" xfId="64" applyFill="1" applyBorder="1" applyAlignment="1">
      <alignment horizontal="center"/>
    </xf>
    <xf numFmtId="180" fontId="70" fillId="84" borderId="143" xfId="67" applyFont="1" applyFill="1" applyBorder="1" applyAlignment="1">
      <alignment horizontal="center" vertical="center"/>
    </xf>
    <xf numFmtId="180" fontId="70" fillId="35" borderId="143" xfId="67" applyFont="1" applyFill="1" applyBorder="1" applyAlignment="1">
      <alignment horizontal="center" vertical="center"/>
    </xf>
    <xf numFmtId="180" fontId="70" fillId="60" borderId="143" xfId="67" applyFont="1" applyFill="1" applyBorder="1" applyAlignment="1">
      <alignment horizontal="center" vertical="center"/>
    </xf>
    <xf numFmtId="180" fontId="70" fillId="77" borderId="143" xfId="67" applyFont="1" applyFill="1" applyBorder="1" applyAlignment="1">
      <alignment horizontal="center" vertical="center"/>
    </xf>
    <xf numFmtId="180" fontId="70" fillId="0" borderId="0" xfId="67" applyFont="1" applyFill="1" applyBorder="1" applyAlignment="1">
      <alignment horizontal="center" vertical="center"/>
    </xf>
    <xf numFmtId="0" fontId="69" fillId="85" borderId="143" xfId="64" applyFill="1" applyBorder="1" applyAlignment="1">
      <alignment horizontal="center"/>
    </xf>
    <xf numFmtId="0" fontId="88" fillId="0" borderId="0" xfId="70" applyNumberFormat="1" applyAlignment="1">
      <alignment vertical="center"/>
    </xf>
    <xf numFmtId="0" fontId="88" fillId="0" borderId="0" xfId="70" applyNumberFormat="1" applyFill="1" applyBorder="1" applyAlignment="1">
      <alignment horizontal="right" vertical="center"/>
    </xf>
    <xf numFmtId="0" fontId="88" fillId="0" borderId="111" xfId="70" applyNumberFormat="1" applyFill="1" applyBorder="1" applyAlignment="1">
      <alignment vertical="center"/>
    </xf>
    <xf numFmtId="0" fontId="88" fillId="0" borderId="86" xfId="70" applyNumberFormat="1" applyFill="1" applyBorder="1" applyAlignment="1">
      <alignment vertical="center"/>
    </xf>
    <xf numFmtId="180" fontId="88" fillId="61" borderId="143" xfId="67" applyFont="1" applyFill="1" applyBorder="1" applyAlignment="1">
      <alignment horizontal="center" vertical="center"/>
    </xf>
    <xf numFmtId="180" fontId="88" fillId="84" borderId="143" xfId="67" applyFont="1" applyFill="1" applyBorder="1" applyAlignment="1">
      <alignment horizontal="center" vertical="center"/>
    </xf>
    <xf numFmtId="180" fontId="88" fillId="35" borderId="143" xfId="67" applyFont="1" applyFill="1" applyBorder="1" applyAlignment="1">
      <alignment horizontal="center" vertical="center"/>
    </xf>
    <xf numFmtId="180" fontId="173" fillId="60" borderId="143" xfId="67" applyFont="1" applyFill="1" applyBorder="1" applyAlignment="1">
      <alignment horizontal="center" vertical="center"/>
    </xf>
    <xf numFmtId="180" fontId="88" fillId="60" borderId="143" xfId="70" applyNumberFormat="1" applyFill="1" applyBorder="1" applyAlignment="1">
      <alignment horizontal="center" vertical="center"/>
    </xf>
    <xf numFmtId="180" fontId="173" fillId="77" borderId="143" xfId="67" applyFont="1" applyFill="1" applyBorder="1" applyAlignment="1">
      <alignment horizontal="center" vertical="center"/>
    </xf>
    <xf numFmtId="180" fontId="88" fillId="77" borderId="143" xfId="67" applyFont="1" applyFill="1" applyBorder="1" applyAlignment="1">
      <alignment horizontal="center" vertical="center"/>
    </xf>
    <xf numFmtId="180" fontId="88" fillId="0" borderId="0" xfId="70" applyNumberFormat="1" applyFill="1" applyBorder="1" applyAlignment="1">
      <alignment horizontal="center" vertical="center"/>
    </xf>
    <xf numFmtId="180" fontId="0" fillId="0" borderId="0" xfId="67" applyFont="1" applyAlignment="1">
      <alignment horizontal="center" vertical="center"/>
    </xf>
    <xf numFmtId="180" fontId="88" fillId="85" borderId="143" xfId="67" applyFont="1" applyFill="1" applyBorder="1" applyAlignment="1">
      <alignment horizontal="center" vertical="center"/>
    </xf>
    <xf numFmtId="180" fontId="0" fillId="85" borderId="143" xfId="67" applyFont="1" applyFill="1" applyBorder="1" applyAlignment="1">
      <alignment horizontal="center" vertical="center"/>
    </xf>
    <xf numFmtId="180" fontId="88" fillId="61" borderId="147" xfId="67" applyFont="1" applyFill="1" applyBorder="1" applyAlignment="1">
      <alignment horizontal="center" vertical="center"/>
    </xf>
    <xf numFmtId="180" fontId="88" fillId="84" borderId="147" xfId="67" applyFont="1" applyFill="1" applyBorder="1" applyAlignment="1">
      <alignment horizontal="center" vertical="center"/>
    </xf>
    <xf numFmtId="180" fontId="88" fillId="35" borderId="147" xfId="67" applyFont="1" applyFill="1" applyBorder="1" applyAlignment="1">
      <alignment horizontal="center" vertical="center"/>
    </xf>
    <xf numFmtId="180" fontId="173" fillId="60" borderId="147" xfId="67" applyFont="1" applyFill="1" applyBorder="1" applyAlignment="1">
      <alignment horizontal="center" vertical="center"/>
    </xf>
    <xf numFmtId="180" fontId="88" fillId="60" borderId="147" xfId="70" applyNumberFormat="1" applyFill="1" applyBorder="1" applyAlignment="1">
      <alignment horizontal="center" vertical="center"/>
    </xf>
    <xf numFmtId="180" fontId="173" fillId="77" borderId="147" xfId="67" applyFont="1" applyFill="1" applyBorder="1" applyAlignment="1">
      <alignment horizontal="center" vertical="center"/>
    </xf>
    <xf numFmtId="180" fontId="88" fillId="77" borderId="147" xfId="67" applyFont="1" applyFill="1" applyBorder="1" applyAlignment="1">
      <alignment horizontal="center" vertical="center"/>
    </xf>
    <xf numFmtId="180" fontId="88" fillId="85" borderId="147" xfId="67" applyFont="1" applyFill="1" applyBorder="1" applyAlignment="1">
      <alignment horizontal="center" vertical="center"/>
    </xf>
    <xf numFmtId="180" fontId="0" fillId="85" borderId="147" xfId="67" applyFont="1" applyFill="1" applyBorder="1" applyAlignment="1">
      <alignment horizontal="center" vertical="center"/>
    </xf>
    <xf numFmtId="0" fontId="174" fillId="0" borderId="0" xfId="64" applyFont="1" applyAlignment="1">
      <alignment horizontal="right" vertical="center"/>
    </xf>
    <xf numFmtId="0" fontId="117" fillId="0" borderId="148" xfId="64" applyFont="1" applyBorder="1" applyAlignment="1">
      <alignment vertical="center"/>
    </xf>
    <xf numFmtId="0" fontId="69" fillId="0" borderId="148" xfId="64" applyBorder="1" applyAlignment="1">
      <alignment vertical="center"/>
    </xf>
    <xf numFmtId="180" fontId="72" fillId="61" borderId="149" xfId="67" applyFont="1" applyFill="1" applyBorder="1" applyAlignment="1">
      <alignment horizontal="center" vertical="center"/>
    </xf>
    <xf numFmtId="180" fontId="72" fillId="84" borderId="149" xfId="67" applyFont="1" applyFill="1" applyBorder="1" applyAlignment="1">
      <alignment horizontal="center" vertical="center"/>
    </xf>
    <xf numFmtId="180" fontId="72" fillId="60" borderId="149" xfId="67" applyFont="1" applyFill="1" applyBorder="1" applyAlignment="1">
      <alignment horizontal="center" vertical="center"/>
    </xf>
    <xf numFmtId="180" fontId="72" fillId="77" borderId="149" xfId="67" applyFont="1" applyFill="1" applyBorder="1" applyAlignment="1">
      <alignment horizontal="center" vertical="center"/>
    </xf>
    <xf numFmtId="180" fontId="72" fillId="0" borderId="0" xfId="67" applyFont="1" applyFill="1" applyBorder="1" applyAlignment="1">
      <alignment horizontal="center" vertical="center"/>
    </xf>
    <xf numFmtId="182" fontId="117" fillId="85" borderId="150" xfId="67" applyNumberFormat="1" applyFont="1" applyFill="1" applyBorder="1" applyAlignment="1">
      <alignment horizontal="center" vertical="center"/>
    </xf>
    <xf numFmtId="180" fontId="117" fillId="85" borderId="150" xfId="67" applyFont="1" applyFill="1" applyBorder="1" applyAlignment="1">
      <alignment horizontal="center" vertical="center"/>
    </xf>
    <xf numFmtId="180" fontId="117" fillId="0" borderId="0" xfId="64" applyNumberFormat="1" applyFont="1" applyAlignment="1">
      <alignment horizontal="center" vertical="center"/>
    </xf>
    <xf numFmtId="180" fontId="70" fillId="61" borderId="143" xfId="67" applyFont="1" applyFill="1" applyBorder="1" applyAlignment="1">
      <alignment horizontal="center" vertical="center" wrapText="1"/>
    </xf>
    <xf numFmtId="180" fontId="173" fillId="61" borderId="147" xfId="67" applyFont="1" applyFill="1" applyBorder="1" applyAlignment="1">
      <alignment horizontal="center" vertical="center"/>
    </xf>
    <xf numFmtId="180" fontId="173" fillId="84" borderId="147" xfId="67" applyFont="1" applyFill="1" applyBorder="1" applyAlignment="1">
      <alignment horizontal="center" vertical="center"/>
    </xf>
    <xf numFmtId="180" fontId="173" fillId="35" borderId="147" xfId="67" applyFont="1" applyFill="1" applyBorder="1" applyAlignment="1">
      <alignment horizontal="center" vertical="center"/>
    </xf>
    <xf numFmtId="180" fontId="69" fillId="0" borderId="80" xfId="64" applyNumberFormat="1" applyBorder="1" applyAlignment="1">
      <alignment horizontal="center" vertical="center"/>
    </xf>
    <xf numFmtId="0" fontId="175" fillId="0" borderId="80" xfId="70" applyNumberFormat="1" applyFont="1" applyBorder="1" applyAlignment="1">
      <alignment vertical="center"/>
    </xf>
    <xf numFmtId="0" fontId="175" fillId="0" borderId="80" xfId="70" applyNumberFormat="1" applyFont="1" applyFill="1" applyBorder="1" applyAlignment="1">
      <alignment horizontal="right" vertical="center"/>
    </xf>
    <xf numFmtId="0" fontId="175" fillId="0" borderId="80" xfId="70" applyNumberFormat="1" applyFont="1" applyFill="1" applyBorder="1" applyAlignment="1">
      <alignment vertical="center"/>
    </xf>
    <xf numFmtId="0" fontId="69" fillId="0" borderId="80" xfId="64" applyBorder="1" applyAlignment="1">
      <alignment horizontal="center" vertical="center"/>
    </xf>
    <xf numFmtId="180" fontId="175" fillId="0" borderId="80" xfId="70" applyNumberFormat="1" applyFont="1" applyFill="1" applyBorder="1" applyAlignment="1">
      <alignment horizontal="center" vertical="center"/>
    </xf>
    <xf numFmtId="0" fontId="175" fillId="0" borderId="80" xfId="70" applyNumberFormat="1" applyFont="1" applyBorder="1" applyAlignment="1">
      <alignment horizontal="center" vertical="center"/>
    </xf>
    <xf numFmtId="0" fontId="69" fillId="0" borderId="111" xfId="64" applyBorder="1" applyAlignment="1">
      <alignment vertical="center"/>
    </xf>
    <xf numFmtId="0" fontId="176" fillId="0" borderId="0" xfId="70" applyNumberFormat="1" applyFont="1" applyFill="1" applyBorder="1" applyAlignment="1">
      <alignment horizontal="right" vertical="center"/>
    </xf>
    <xf numFmtId="0" fontId="88" fillId="0" borderId="0" xfId="70" applyNumberFormat="1" applyFill="1" applyBorder="1" applyAlignment="1">
      <alignment horizontal="center" vertical="center"/>
    </xf>
    <xf numFmtId="0" fontId="88" fillId="0" borderId="0" xfId="70" applyNumberFormat="1" applyFill="1" applyBorder="1" applyAlignment="1">
      <alignment vertical="center"/>
    </xf>
    <xf numFmtId="180" fontId="173" fillId="61" borderId="143" xfId="67" applyFont="1" applyFill="1" applyBorder="1" applyAlignment="1">
      <alignment horizontal="center" vertical="center"/>
    </xf>
    <xf numFmtId="180" fontId="173" fillId="84" borderId="143" xfId="67" applyFont="1" applyFill="1" applyBorder="1" applyAlignment="1">
      <alignment horizontal="center" vertical="center"/>
    </xf>
    <xf numFmtId="180" fontId="173" fillId="35" borderId="143" xfId="67" applyFont="1" applyFill="1" applyBorder="1" applyAlignment="1">
      <alignment horizontal="center" vertical="center"/>
    </xf>
    <xf numFmtId="0" fontId="175" fillId="0" borderId="0" xfId="70" applyNumberFormat="1" applyFont="1" applyAlignment="1">
      <alignment vertical="center"/>
    </xf>
    <xf numFmtId="0" fontId="177" fillId="0" borderId="0" xfId="70" applyNumberFormat="1" applyFont="1" applyAlignment="1">
      <alignment vertical="center"/>
    </xf>
    <xf numFmtId="180" fontId="175" fillId="0" borderId="0" xfId="70" applyNumberFormat="1" applyFont="1" applyFill="1" applyBorder="1" applyAlignment="1">
      <alignment horizontal="center" vertical="center"/>
    </xf>
    <xf numFmtId="180" fontId="173" fillId="61" borderId="143" xfId="70" applyNumberFormat="1" applyFont="1" applyFill="1" applyBorder="1" applyAlignment="1">
      <alignment horizontal="center" vertical="center"/>
    </xf>
    <xf numFmtId="180" fontId="173" fillId="61" borderId="143" xfId="70" applyNumberFormat="1" applyFont="1" applyFill="1" applyBorder="1" applyAlignment="1">
      <alignment horizontal="center" vertical="center" wrapText="1"/>
    </xf>
    <xf numFmtId="180" fontId="173" fillId="84" borderId="143" xfId="70" applyNumberFormat="1" applyFont="1" applyFill="1" applyBorder="1" applyAlignment="1">
      <alignment horizontal="center" vertical="center"/>
    </xf>
    <xf numFmtId="180" fontId="173" fillId="35" borderId="143" xfId="70" applyNumberFormat="1" applyFont="1" applyFill="1" applyBorder="1" applyAlignment="1">
      <alignment horizontal="center" vertical="center"/>
    </xf>
    <xf numFmtId="0" fontId="88" fillId="0" borderId="0" xfId="70" applyNumberFormat="1" applyAlignment="1">
      <alignment horizontal="center" vertical="center"/>
    </xf>
    <xf numFmtId="180" fontId="173" fillId="60" borderId="143" xfId="70" applyNumberFormat="1" applyFont="1" applyFill="1" applyBorder="1" applyAlignment="1">
      <alignment horizontal="center" vertical="center"/>
    </xf>
    <xf numFmtId="180" fontId="173" fillId="77" borderId="143" xfId="70" applyNumberFormat="1" applyFont="1" applyFill="1" applyBorder="1" applyAlignment="1">
      <alignment horizontal="center" vertical="center"/>
    </xf>
    <xf numFmtId="180" fontId="88" fillId="85" borderId="143" xfId="70" applyNumberFormat="1" applyFill="1" applyBorder="1" applyAlignment="1">
      <alignment horizontal="center" vertical="center"/>
    </xf>
    <xf numFmtId="180" fontId="88" fillId="0" borderId="0" xfId="70" applyNumberFormat="1" applyAlignment="1">
      <alignment horizontal="center" vertical="center"/>
    </xf>
    <xf numFmtId="180" fontId="173" fillId="61" borderId="0" xfId="70" applyNumberFormat="1" applyFont="1" applyFill="1" applyBorder="1" applyAlignment="1">
      <alignment horizontal="center" vertical="center"/>
    </xf>
    <xf numFmtId="180" fontId="173" fillId="61" borderId="146" xfId="67" applyFont="1" applyFill="1" applyBorder="1" applyAlignment="1">
      <alignment horizontal="center" vertical="center"/>
    </xf>
    <xf numFmtId="180" fontId="173" fillId="84" borderId="146" xfId="67" applyFont="1" applyFill="1" applyBorder="1" applyAlignment="1">
      <alignment horizontal="center" vertical="center"/>
    </xf>
    <xf numFmtId="180" fontId="173" fillId="35" borderId="146" xfId="67" applyFont="1" applyFill="1" applyBorder="1" applyAlignment="1">
      <alignment horizontal="center" vertical="center"/>
    </xf>
    <xf numFmtId="180" fontId="173" fillId="60" borderId="146" xfId="67" applyFont="1" applyFill="1" applyBorder="1" applyAlignment="1">
      <alignment horizontal="center" vertical="center"/>
    </xf>
    <xf numFmtId="180" fontId="173" fillId="77" borderId="146" xfId="67" applyFont="1" applyFill="1" applyBorder="1" applyAlignment="1">
      <alignment horizontal="center" vertical="center"/>
    </xf>
    <xf numFmtId="0" fontId="175" fillId="0" borderId="89" xfId="70" applyNumberFormat="1" applyFont="1" applyFill="1" applyBorder="1" applyAlignment="1">
      <alignment vertical="center"/>
    </xf>
    <xf numFmtId="2" fontId="69" fillId="0" borderId="0" xfId="64" applyNumberFormat="1" applyAlignment="1">
      <alignment horizontal="center" vertical="center"/>
    </xf>
    <xf numFmtId="188" fontId="69" fillId="35" borderId="0" xfId="64" applyNumberFormat="1" applyFill="1" applyAlignment="1">
      <alignment horizontal="center" vertical="center"/>
    </xf>
    <xf numFmtId="0" fontId="175" fillId="0" borderId="0" xfId="70" applyNumberFormat="1" applyFont="1" applyBorder="1" applyAlignment="1">
      <alignment vertical="center"/>
    </xf>
    <xf numFmtId="0" fontId="175" fillId="0" borderId="0" xfId="70" applyNumberFormat="1" applyFont="1" applyFill="1" applyBorder="1" applyAlignment="1">
      <alignment horizontal="right" vertical="center"/>
    </xf>
    <xf numFmtId="0" fontId="175" fillId="0" borderId="0" xfId="70" applyNumberFormat="1" applyFont="1" applyFill="1" applyBorder="1" applyAlignment="1">
      <alignment vertical="center"/>
    </xf>
    <xf numFmtId="180" fontId="88" fillId="84" borderId="143" xfId="70" applyNumberFormat="1" applyFill="1" applyBorder="1" applyAlignment="1">
      <alignment horizontal="center" vertical="center"/>
    </xf>
    <xf numFmtId="0" fontId="175" fillId="35" borderId="0" xfId="70" applyNumberFormat="1" applyFont="1" applyFill="1" applyBorder="1" applyAlignment="1">
      <alignment vertical="center"/>
    </xf>
    <xf numFmtId="0" fontId="175" fillId="35" borderId="0" xfId="70" applyNumberFormat="1" applyFont="1" applyFill="1" applyBorder="1" applyAlignment="1">
      <alignment horizontal="right" vertical="center"/>
    </xf>
    <xf numFmtId="0" fontId="88" fillId="35" borderId="111" xfId="70" applyNumberFormat="1" applyFill="1" applyBorder="1" applyAlignment="1">
      <alignment vertical="center"/>
    </xf>
    <xf numFmtId="0" fontId="69" fillId="35" borderId="0" xfId="64" applyFill="1"/>
    <xf numFmtId="180" fontId="88" fillId="35" borderId="143" xfId="70" applyNumberFormat="1" applyFill="1" applyBorder="1" applyAlignment="1">
      <alignment horizontal="center" vertical="center"/>
    </xf>
    <xf numFmtId="180" fontId="70" fillId="35" borderId="0" xfId="67" applyFont="1" applyFill="1" applyBorder="1" applyAlignment="1">
      <alignment horizontal="center" vertical="center"/>
    </xf>
    <xf numFmtId="180" fontId="88" fillId="35" borderId="0" xfId="70" applyNumberFormat="1" applyFill="1" applyBorder="1" applyAlignment="1">
      <alignment horizontal="center" vertical="center"/>
    </xf>
    <xf numFmtId="180" fontId="0" fillId="35" borderId="0" xfId="67" applyFont="1" applyFill="1" applyAlignment="1">
      <alignment horizontal="center" vertical="center"/>
    </xf>
    <xf numFmtId="0" fontId="88" fillId="35" borderId="0" xfId="70" applyNumberFormat="1" applyFill="1" applyAlignment="1">
      <alignment horizontal="center" vertical="center"/>
    </xf>
    <xf numFmtId="180" fontId="69" fillId="35" borderId="0" xfId="64" applyNumberFormat="1" applyFill="1" applyAlignment="1">
      <alignment horizontal="center" vertical="center"/>
    </xf>
    <xf numFmtId="0" fontId="118" fillId="35" borderId="0" xfId="64" applyFont="1" applyFill="1" applyAlignment="1">
      <alignment vertical="center"/>
    </xf>
    <xf numFmtId="0" fontId="117" fillId="35" borderId="0" xfId="64" applyFont="1" applyFill="1" applyAlignment="1">
      <alignment horizontal="right" vertical="center"/>
    </xf>
    <xf numFmtId="0" fontId="117" fillId="35" borderId="0" xfId="64" applyFont="1" applyFill="1" applyAlignment="1">
      <alignment vertical="center"/>
    </xf>
    <xf numFmtId="180" fontId="0" fillId="35" borderId="143" xfId="67" applyFont="1" applyFill="1" applyBorder="1" applyAlignment="1">
      <alignment horizontal="center" vertical="center"/>
    </xf>
    <xf numFmtId="180" fontId="70" fillId="60" borderId="150" xfId="67" applyFont="1" applyFill="1" applyBorder="1" applyAlignment="1">
      <alignment horizontal="center" vertical="center"/>
    </xf>
    <xf numFmtId="180" fontId="141" fillId="84" borderId="143" xfId="67" applyFont="1" applyFill="1" applyBorder="1" applyAlignment="1">
      <alignment horizontal="center" vertical="center"/>
    </xf>
    <xf numFmtId="180" fontId="141" fillId="35" borderId="143" xfId="67" applyFont="1" applyFill="1" applyBorder="1" applyAlignment="1">
      <alignment horizontal="center" vertical="center"/>
    </xf>
    <xf numFmtId="180" fontId="141" fillId="60" borderId="143" xfId="67" applyFont="1" applyFill="1" applyBorder="1" applyAlignment="1">
      <alignment horizontal="center" vertical="center"/>
    </xf>
    <xf numFmtId="180" fontId="141" fillId="77" borderId="143" xfId="67" applyFont="1" applyFill="1" applyBorder="1" applyAlignment="1">
      <alignment horizontal="center" vertical="center"/>
    </xf>
    <xf numFmtId="0" fontId="175" fillId="0" borderId="0" xfId="70" applyNumberFormat="1" applyFont="1" applyFill="1" applyBorder="1" applyAlignment="1">
      <alignment horizontal="center" vertical="center"/>
    </xf>
    <xf numFmtId="180" fontId="175" fillId="61" borderId="143" xfId="70" applyNumberFormat="1" applyFont="1" applyFill="1" applyBorder="1" applyAlignment="1">
      <alignment horizontal="center" vertical="center"/>
    </xf>
    <xf numFmtId="180" fontId="175" fillId="61" borderId="143" xfId="70" applyNumberFormat="1" applyFont="1" applyFill="1" applyBorder="1" applyAlignment="1">
      <alignment horizontal="center" vertical="center" wrapText="1"/>
    </xf>
    <xf numFmtId="180" fontId="175" fillId="84" borderId="143" xfId="70" applyNumberFormat="1" applyFont="1" applyFill="1" applyBorder="1" applyAlignment="1">
      <alignment horizontal="center" vertical="center"/>
    </xf>
    <xf numFmtId="180" fontId="175" fillId="35" borderId="143" xfId="70" applyNumberFormat="1" applyFont="1" applyFill="1" applyBorder="1" applyAlignment="1">
      <alignment horizontal="center" vertical="center"/>
    </xf>
    <xf numFmtId="180" fontId="175" fillId="60" borderId="143" xfId="70" applyNumberFormat="1" applyFont="1" applyFill="1" applyBorder="1" applyAlignment="1">
      <alignment horizontal="center" vertical="center"/>
    </xf>
    <xf numFmtId="180" fontId="175" fillId="77" borderId="143" xfId="70" applyNumberFormat="1" applyFont="1" applyFill="1" applyBorder="1" applyAlignment="1">
      <alignment horizontal="center" vertical="center"/>
    </xf>
    <xf numFmtId="0" fontId="175" fillId="0" borderId="0" xfId="70" applyNumberFormat="1" applyFont="1" applyAlignment="1">
      <alignment horizontal="center" vertical="center"/>
    </xf>
    <xf numFmtId="180" fontId="175" fillId="85" borderId="143" xfId="67" applyFont="1" applyFill="1" applyBorder="1" applyAlignment="1">
      <alignment horizontal="center" vertical="center"/>
    </xf>
    <xf numFmtId="180" fontId="175" fillId="61" borderId="145" xfId="70" applyNumberFormat="1" applyFont="1" applyFill="1" applyBorder="1" applyAlignment="1">
      <alignment horizontal="center" vertical="center"/>
    </xf>
    <xf numFmtId="180" fontId="175" fillId="61" borderId="145" xfId="70" applyNumberFormat="1" applyFont="1" applyFill="1" applyBorder="1" applyAlignment="1">
      <alignment horizontal="center" vertical="center" wrapText="1"/>
    </xf>
    <xf numFmtId="180" fontId="175" fillId="84" borderId="145" xfId="70" applyNumberFormat="1" applyFont="1" applyFill="1" applyBorder="1" applyAlignment="1">
      <alignment horizontal="center" vertical="center"/>
    </xf>
    <xf numFmtId="180" fontId="175" fillId="35" borderId="145" xfId="70" applyNumberFormat="1" applyFont="1" applyFill="1" applyBorder="1" applyAlignment="1">
      <alignment horizontal="center" vertical="center"/>
    </xf>
    <xf numFmtId="180" fontId="175" fillId="60" borderId="145" xfId="70" applyNumberFormat="1" applyFont="1" applyFill="1" applyBorder="1" applyAlignment="1">
      <alignment horizontal="center" vertical="center"/>
    </xf>
    <xf numFmtId="180" fontId="175" fillId="77" borderId="145" xfId="70" applyNumberFormat="1" applyFont="1" applyFill="1" applyBorder="1" applyAlignment="1">
      <alignment horizontal="center" vertical="center"/>
    </xf>
    <xf numFmtId="180" fontId="175" fillId="0" borderId="80" xfId="70" applyNumberFormat="1" applyFont="1" applyBorder="1" applyAlignment="1">
      <alignment horizontal="center" vertical="center"/>
    </xf>
    <xf numFmtId="180" fontId="175" fillId="85" borderId="145" xfId="70" applyNumberFormat="1" applyFont="1" applyFill="1" applyBorder="1" applyAlignment="1">
      <alignment horizontal="center" vertical="center"/>
    </xf>
    <xf numFmtId="0" fontId="70" fillId="0" borderId="0" xfId="70" applyNumberFormat="1" applyFont="1" applyAlignment="1">
      <alignment vertical="center"/>
    </xf>
    <xf numFmtId="180" fontId="88" fillId="61" borderId="143" xfId="70" applyNumberFormat="1" applyFill="1" applyBorder="1" applyAlignment="1">
      <alignment horizontal="center" vertical="center"/>
    </xf>
    <xf numFmtId="180" fontId="88" fillId="61" borderId="143" xfId="70" applyNumberFormat="1" applyFill="1" applyBorder="1" applyAlignment="1">
      <alignment horizontal="center" vertical="center" wrapText="1"/>
    </xf>
    <xf numFmtId="180" fontId="88" fillId="77" borderId="143" xfId="70" applyNumberFormat="1" applyFill="1" applyBorder="1" applyAlignment="1">
      <alignment horizontal="center" vertical="center"/>
    </xf>
    <xf numFmtId="180" fontId="88" fillId="61" borderId="147" xfId="70" applyNumberFormat="1" applyFill="1" applyBorder="1" applyAlignment="1">
      <alignment horizontal="center" vertical="center"/>
    </xf>
    <xf numFmtId="180" fontId="88" fillId="61" borderId="147" xfId="70" applyNumberFormat="1" applyFill="1" applyBorder="1" applyAlignment="1">
      <alignment horizontal="center" vertical="center" wrapText="1"/>
    </xf>
    <xf numFmtId="180" fontId="88" fillId="84" borderId="147" xfId="70" applyNumberFormat="1" applyFill="1" applyBorder="1" applyAlignment="1">
      <alignment horizontal="center" vertical="center"/>
    </xf>
    <xf numFmtId="180" fontId="88" fillId="35" borderId="147" xfId="70" applyNumberFormat="1" applyFill="1" applyBorder="1" applyAlignment="1">
      <alignment horizontal="center" vertical="center"/>
    </xf>
    <xf numFmtId="180" fontId="88" fillId="77" borderId="147" xfId="70" applyNumberFormat="1" applyFill="1" applyBorder="1" applyAlignment="1">
      <alignment horizontal="center" vertical="center"/>
    </xf>
    <xf numFmtId="180" fontId="72" fillId="35" borderId="149" xfId="67" applyFont="1" applyFill="1" applyBorder="1" applyAlignment="1">
      <alignment horizontal="center" vertical="center"/>
    </xf>
    <xf numFmtId="182" fontId="72" fillId="60" borderId="149" xfId="67" applyNumberFormat="1" applyFont="1" applyFill="1" applyBorder="1" applyAlignment="1">
      <alignment horizontal="center" vertical="center"/>
    </xf>
    <xf numFmtId="0" fontId="115" fillId="0" borderId="151" xfId="64" applyFont="1" applyBorder="1" applyAlignment="1">
      <alignment vertical="center"/>
    </xf>
    <xf numFmtId="180" fontId="142" fillId="61" borderId="152" xfId="67" applyFont="1" applyFill="1" applyBorder="1" applyAlignment="1">
      <alignment horizontal="center" vertical="center"/>
    </xf>
    <xf numFmtId="180" fontId="142" fillId="84" borderId="152" xfId="67" applyFont="1" applyFill="1" applyBorder="1" applyAlignment="1">
      <alignment horizontal="center" vertical="center"/>
    </xf>
    <xf numFmtId="180" fontId="142" fillId="35" borderId="152" xfId="67" applyFont="1" applyFill="1" applyBorder="1" applyAlignment="1">
      <alignment horizontal="center" vertical="center"/>
    </xf>
    <xf numFmtId="180" fontId="142" fillId="60" borderId="152" xfId="67" applyFont="1" applyFill="1" applyBorder="1" applyAlignment="1">
      <alignment horizontal="center" vertical="center"/>
    </xf>
    <xf numFmtId="182" fontId="142" fillId="60" borderId="152" xfId="67" applyNumberFormat="1" applyFont="1" applyFill="1" applyBorder="1" applyAlignment="1">
      <alignment horizontal="center" vertical="center"/>
    </xf>
    <xf numFmtId="180" fontId="142" fillId="77" borderId="152" xfId="67" applyFont="1" applyFill="1" applyBorder="1" applyAlignment="1">
      <alignment horizontal="center" vertical="center"/>
    </xf>
    <xf numFmtId="182" fontId="115" fillId="85" borderId="153" xfId="67" applyNumberFormat="1" applyFont="1" applyFill="1" applyBorder="1" applyAlignment="1">
      <alignment horizontal="center" vertical="center"/>
    </xf>
    <xf numFmtId="180" fontId="115" fillId="85" borderId="153" xfId="67" applyFont="1" applyFill="1" applyBorder="1" applyAlignment="1">
      <alignment horizontal="center" vertical="center"/>
    </xf>
    <xf numFmtId="180" fontId="70" fillId="61" borderId="144" xfId="67" applyFont="1" applyFill="1" applyBorder="1" applyAlignment="1">
      <alignment horizontal="center" vertical="center"/>
    </xf>
    <xf numFmtId="180" fontId="70" fillId="61" borderId="144" xfId="67" applyFont="1" applyFill="1" applyBorder="1" applyAlignment="1">
      <alignment horizontal="center" vertical="center" wrapText="1"/>
    </xf>
    <xf numFmtId="180" fontId="70" fillId="84" borderId="144" xfId="67" applyFont="1" applyFill="1" applyBorder="1" applyAlignment="1">
      <alignment horizontal="center" vertical="center"/>
    </xf>
    <xf numFmtId="180" fontId="70" fillId="35" borderId="144" xfId="67" applyFont="1" applyFill="1" applyBorder="1" applyAlignment="1">
      <alignment horizontal="center" vertical="center"/>
    </xf>
    <xf numFmtId="180" fontId="70" fillId="60" borderId="144" xfId="67" applyFont="1" applyFill="1" applyBorder="1" applyAlignment="1">
      <alignment horizontal="center" vertical="center"/>
    </xf>
    <xf numFmtId="180" fontId="70" fillId="77" borderId="144" xfId="67" applyFont="1" applyFill="1" applyBorder="1" applyAlignment="1">
      <alignment horizontal="center" vertical="center"/>
    </xf>
    <xf numFmtId="0" fontId="69" fillId="85" borderId="144" xfId="64" applyFill="1" applyBorder="1" applyAlignment="1">
      <alignment horizontal="center" vertical="center"/>
    </xf>
    <xf numFmtId="180" fontId="70" fillId="0" borderId="0" xfId="67" applyFont="1" applyFill="1" applyBorder="1" applyAlignment="1">
      <alignment horizontal="center" vertical="center" wrapText="1"/>
    </xf>
    <xf numFmtId="180" fontId="69" fillId="0" borderId="0" xfId="64" applyNumberFormat="1" applyAlignment="1">
      <alignment horizontal="center"/>
    </xf>
    <xf numFmtId="0" fontId="69" fillId="0" borderId="0" xfId="64" applyAlignment="1">
      <alignment horizontal="left" vertical="center"/>
    </xf>
    <xf numFmtId="0" fontId="118" fillId="0" borderId="0" xfId="64" applyFont="1"/>
    <xf numFmtId="164" fontId="0" fillId="0" borderId="0" xfId="0" quotePrefix="1" applyNumberFormat="1"/>
    <xf numFmtId="10" fontId="0" fillId="34" borderId="0" xfId="0" applyNumberFormat="1" applyFill="1"/>
    <xf numFmtId="2" fontId="0" fillId="86" borderId="0" xfId="0" applyNumberFormat="1" applyFill="1"/>
    <xf numFmtId="0" fontId="16" fillId="0" borderId="0" xfId="0" applyFont="1" applyAlignment="1">
      <alignment horizontal="left" wrapText="1"/>
    </xf>
    <xf numFmtId="165" fontId="0" fillId="0" borderId="0" xfId="1" applyNumberFormat="1" applyFont="1" applyFill="1"/>
    <xf numFmtId="164" fontId="168" fillId="0" borderId="0" xfId="8" applyNumberFormat="1" applyFont="1" applyFill="1"/>
    <xf numFmtId="164" fontId="168" fillId="0" borderId="0" xfId="0" applyNumberFormat="1" applyFont="1"/>
    <xf numFmtId="9" fontId="0" fillId="0" borderId="0" xfId="1" applyFont="1" applyFill="1"/>
    <xf numFmtId="0" fontId="16" fillId="33" borderId="154" xfId="0" applyFont="1" applyFill="1" applyBorder="1" applyAlignment="1">
      <alignment horizontal="center"/>
    </xf>
    <xf numFmtId="0" fontId="0" fillId="0" borderId="154" xfId="0" applyBorder="1" applyAlignment="1">
      <alignment horizontal="center"/>
    </xf>
    <xf numFmtId="0" fontId="168" fillId="0" borderId="154" xfId="9" applyFont="1" applyFill="1" applyBorder="1" applyAlignment="1">
      <alignment horizontal="center"/>
    </xf>
    <xf numFmtId="0" fontId="16" fillId="35" borderId="155" xfId="0" applyFont="1" applyFill="1" applyBorder="1" applyAlignment="1">
      <alignment horizontal="center"/>
    </xf>
    <xf numFmtId="0" fontId="0" fillId="0" borderId="155" xfId="0" applyBorder="1"/>
    <xf numFmtId="2" fontId="0" fillId="0" borderId="155" xfId="0" applyNumberFormat="1" applyBorder="1"/>
    <xf numFmtId="165" fontId="0" fillId="0" borderId="155" xfId="1" applyNumberFormat="1" applyFont="1" applyBorder="1"/>
    <xf numFmtId="0" fontId="0" fillId="0" borderId="155" xfId="1" applyNumberFormat="1" applyFont="1" applyBorder="1"/>
    <xf numFmtId="1" fontId="0" fillId="0" borderId="155" xfId="1" applyNumberFormat="1" applyFont="1" applyBorder="1"/>
    <xf numFmtId="164" fontId="0" fillId="0" borderId="155" xfId="1" applyNumberFormat="1" applyFont="1" applyBorder="1"/>
    <xf numFmtId="10" fontId="0" fillId="0" borderId="155" xfId="1" applyNumberFormat="1" applyFont="1" applyBorder="1"/>
    <xf numFmtId="165" fontId="0" fillId="0" borderId="0" xfId="1" applyNumberFormat="1" applyFont="1" applyFill="1" applyBorder="1"/>
    <xf numFmtId="9" fontId="168" fillId="0" borderId="0" xfId="8" applyNumberFormat="1" applyFont="1" applyFill="1" applyBorder="1"/>
    <xf numFmtId="1" fontId="0" fillId="0" borderId="0" xfId="0" applyNumberFormat="1" applyAlignment="1">
      <alignment horizontal="center"/>
    </xf>
    <xf numFmtId="1" fontId="16" fillId="34" borderId="0" xfId="0" applyNumberFormat="1" applyFont="1" applyFill="1" applyAlignment="1">
      <alignment horizontal="center"/>
    </xf>
    <xf numFmtId="0" fontId="16" fillId="36" borderId="0" xfId="0" applyFont="1" applyFill="1" applyAlignment="1">
      <alignment horizontal="right"/>
    </xf>
    <xf numFmtId="165" fontId="25" fillId="0" borderId="11" xfId="47" applyNumberFormat="1" applyFont="1">
      <alignment wrapText="1"/>
    </xf>
    <xf numFmtId="4" fontId="25" fillId="0" borderId="11" xfId="47" applyNumberFormat="1" applyFont="1">
      <alignment wrapText="1"/>
    </xf>
    <xf numFmtId="0" fontId="178" fillId="0" borderId="0" xfId="45" applyFont="1"/>
    <xf numFmtId="3" fontId="23" fillId="0" borderId="12" xfId="48" applyNumberFormat="1" applyFont="1">
      <alignment wrapText="1"/>
    </xf>
    <xf numFmtId="14" fontId="0" fillId="34" borderId="0" xfId="0" applyNumberFormat="1" applyFill="1"/>
    <xf numFmtId="0" fontId="0" fillId="34" borderId="0" xfId="0" applyFill="1" applyAlignment="1">
      <alignment horizontal="center"/>
    </xf>
    <xf numFmtId="14" fontId="0" fillId="55" borderId="0" xfId="0" applyNumberFormat="1" applyFill="1"/>
    <xf numFmtId="0" fontId="13" fillId="95" borderId="0" xfId="0" applyFont="1" applyFill="1"/>
    <xf numFmtId="0" fontId="16" fillId="42" borderId="0" xfId="0" applyFont="1" applyFill="1"/>
    <xf numFmtId="0" fontId="0" fillId="86" borderId="0" xfId="0" applyFill="1"/>
    <xf numFmtId="0" fontId="17" fillId="56" borderId="0" xfId="0" applyFont="1" applyFill="1"/>
    <xf numFmtId="0" fontId="17" fillId="96" borderId="0" xfId="0" applyFont="1" applyFill="1"/>
    <xf numFmtId="2" fontId="17" fillId="96" borderId="0" xfId="0" applyNumberFormat="1" applyFont="1" applyFill="1"/>
    <xf numFmtId="9" fontId="0" fillId="0" borderId="0" xfId="0" applyNumberFormat="1" applyAlignment="1">
      <alignment horizontal="center"/>
    </xf>
    <xf numFmtId="9" fontId="0" fillId="35" borderId="0" xfId="0" applyNumberFormat="1" applyFill="1" applyAlignment="1">
      <alignment horizontal="center"/>
    </xf>
    <xf numFmtId="0" fontId="17" fillId="97" borderId="0" xfId="0" applyFont="1" applyFill="1"/>
    <xf numFmtId="2" fontId="17" fillId="97" borderId="0" xfId="0" applyNumberFormat="1" applyFont="1" applyFill="1"/>
    <xf numFmtId="0" fontId="16" fillId="0" borderId="0" xfId="0" applyFont="1" applyAlignment="1">
      <alignment horizontal="center" wrapText="1"/>
    </xf>
    <xf numFmtId="2" fontId="0" fillId="0" borderId="0" xfId="0" applyNumberFormat="1" applyAlignment="1">
      <alignment horizontal="center"/>
    </xf>
    <xf numFmtId="2" fontId="0" fillId="33" borderId="0" xfId="0" applyNumberFormat="1" applyFill="1" applyAlignment="1">
      <alignment horizontal="center"/>
    </xf>
    <xf numFmtId="174" fontId="0" fillId="0" borderId="0" xfId="0" applyNumberFormat="1" applyAlignment="1">
      <alignment horizontal="center"/>
    </xf>
    <xf numFmtId="165" fontId="0" fillId="0" borderId="0" xfId="1" applyNumberFormat="1" applyFont="1" applyAlignment="1">
      <alignment horizontal="center"/>
    </xf>
    <xf numFmtId="1" fontId="0" fillId="33" borderId="0" xfId="0" applyNumberFormat="1" applyFill="1" applyAlignment="1">
      <alignment horizontal="center"/>
    </xf>
    <xf numFmtId="164" fontId="0" fillId="0" borderId="0" xfId="0" applyNumberFormat="1" applyAlignment="1">
      <alignment horizontal="center"/>
    </xf>
    <xf numFmtId="164" fontId="0" fillId="55" borderId="0" xfId="0" applyNumberFormat="1" applyFill="1"/>
    <xf numFmtId="1" fontId="0" fillId="0" borderId="0" xfId="1" applyNumberFormat="1" applyFont="1"/>
    <xf numFmtId="199" fontId="0" fillId="0" borderId="0" xfId="0" applyNumberFormat="1" applyAlignment="1">
      <alignment horizontal="center"/>
    </xf>
    <xf numFmtId="6" fontId="0" fillId="0" borderId="0" xfId="0" applyNumberFormat="1" applyAlignment="1">
      <alignment horizontal="center"/>
    </xf>
    <xf numFmtId="2" fontId="0" fillId="0" borderId="155" xfId="1" applyNumberFormat="1" applyFont="1" applyBorder="1"/>
    <xf numFmtId="2" fontId="168" fillId="0" borderId="0" xfId="0" applyNumberFormat="1" applyFont="1"/>
    <xf numFmtId="0" fontId="0" fillId="0" borderId="38" xfId="0" applyBorder="1"/>
    <xf numFmtId="43" fontId="0" fillId="0" borderId="38" xfId="0" applyNumberFormat="1" applyBorder="1"/>
    <xf numFmtId="0" fontId="180" fillId="98" borderId="24" xfId="0" applyFont="1" applyFill="1" applyBorder="1" applyAlignment="1">
      <alignment horizontal="left" vertical="center"/>
    </xf>
    <xf numFmtId="0" fontId="180" fillId="98" borderId="25" xfId="0" applyFont="1" applyFill="1" applyBorder="1" applyAlignment="1">
      <alignment horizontal="left" vertical="center"/>
    </xf>
    <xf numFmtId="43" fontId="0" fillId="0" borderId="38" xfId="63" applyFont="1" applyBorder="1"/>
    <xf numFmtId="0" fontId="180" fillId="98" borderId="38" xfId="0" applyFont="1" applyFill="1" applyBorder="1" applyAlignment="1">
      <alignment horizontal="left" vertical="center"/>
    </xf>
    <xf numFmtId="9" fontId="0" fillId="0" borderId="38" xfId="1" applyFont="1" applyBorder="1"/>
    <xf numFmtId="0" fontId="0" fillId="0" borderId="38" xfId="1" applyNumberFormat="1" applyFont="1" applyBorder="1"/>
    <xf numFmtId="9" fontId="0" fillId="0" borderId="38" xfId="0" applyNumberFormat="1" applyBorder="1"/>
    <xf numFmtId="0" fontId="16" fillId="0" borderId="38" xfId="0" applyFont="1" applyBorder="1"/>
    <xf numFmtId="43" fontId="0" fillId="0" borderId="0" xfId="0" applyNumberFormat="1"/>
    <xf numFmtId="0" fontId="0" fillId="0" borderId="38" xfId="0" applyBorder="1" applyAlignment="1">
      <alignment horizontal="left"/>
    </xf>
    <xf numFmtId="171" fontId="0" fillId="0" borderId="38" xfId="63" applyNumberFormat="1" applyFont="1" applyBorder="1"/>
    <xf numFmtId="0" fontId="0" fillId="0" borderId="38" xfId="0" applyBorder="1" applyAlignment="1">
      <alignment horizontal="left" indent="2"/>
    </xf>
    <xf numFmtId="0" fontId="0" fillId="0" borderId="38" xfId="0" applyBorder="1" applyAlignment="1">
      <alignment horizontal="left" indent="1"/>
    </xf>
    <xf numFmtId="43" fontId="181" fillId="0" borderId="38" xfId="0" applyNumberFormat="1" applyFont="1" applyBorder="1"/>
    <xf numFmtId="0" fontId="14" fillId="0" borderId="38" xfId="0" applyFont="1" applyBorder="1"/>
    <xf numFmtId="171" fontId="14" fillId="0" borderId="38" xfId="63" applyNumberFormat="1" applyFont="1" applyBorder="1"/>
    <xf numFmtId="43" fontId="14" fillId="0" borderId="38" xfId="0" applyNumberFormat="1" applyFont="1" applyBorder="1"/>
    <xf numFmtId="10" fontId="0" fillId="0" borderId="0" xfId="1" applyNumberFormat="1" applyFont="1"/>
    <xf numFmtId="165" fontId="0" fillId="34" borderId="0" xfId="1" applyNumberFormat="1" applyFont="1" applyFill="1"/>
    <xf numFmtId="200" fontId="0" fillId="0" borderId="0" xfId="0" applyNumberFormat="1"/>
    <xf numFmtId="43" fontId="0" fillId="34" borderId="38" xfId="63" applyFont="1" applyFill="1" applyBorder="1"/>
    <xf numFmtId="43" fontId="0" fillId="34" borderId="38" xfId="0" applyNumberFormat="1" applyFill="1" applyBorder="1"/>
    <xf numFmtId="0" fontId="0" fillId="35" borderId="38" xfId="0" applyFill="1" applyBorder="1"/>
    <xf numFmtId="0" fontId="0" fillId="0" borderId="70" xfId="0" applyBorder="1"/>
    <xf numFmtId="3" fontId="0" fillId="0" borderId="0" xfId="0" applyNumberFormat="1"/>
    <xf numFmtId="3" fontId="0" fillId="0" borderId="75" xfId="0" applyNumberFormat="1" applyBorder="1"/>
    <xf numFmtId="0" fontId="0" fillId="0" borderId="75" xfId="0" applyBorder="1"/>
    <xf numFmtId="9" fontId="0" fillId="0" borderId="65" xfId="0" applyNumberFormat="1" applyBorder="1"/>
    <xf numFmtId="9" fontId="0" fillId="0" borderId="78" xfId="0" applyNumberFormat="1" applyBorder="1"/>
    <xf numFmtId="9" fontId="0" fillId="0" borderId="77" xfId="0" applyNumberFormat="1" applyBorder="1"/>
    <xf numFmtId="0" fontId="0" fillId="0" borderId="116" xfId="0" applyBorder="1"/>
    <xf numFmtId="9" fontId="0" fillId="0" borderId="118" xfId="0" applyNumberFormat="1" applyBorder="1"/>
    <xf numFmtId="0" fontId="0" fillId="0" borderId="118" xfId="0" applyBorder="1"/>
    <xf numFmtId="0" fontId="16" fillId="0" borderId="119" xfId="0" applyFont="1" applyBorder="1"/>
    <xf numFmtId="0" fontId="16" fillId="0" borderId="116" xfId="0" applyFont="1" applyBorder="1"/>
    <xf numFmtId="0" fontId="16" fillId="0" borderId="70" xfId="0" applyFont="1" applyBorder="1" applyAlignment="1">
      <alignment horizontal="right"/>
    </xf>
    <xf numFmtId="0" fontId="16" fillId="0" borderId="75" xfId="0" applyFont="1" applyBorder="1" applyAlignment="1">
      <alignment horizontal="right"/>
    </xf>
    <xf numFmtId="0" fontId="16" fillId="0" borderId="116" xfId="0" applyFont="1" applyBorder="1" applyAlignment="1">
      <alignment horizontal="right"/>
    </xf>
    <xf numFmtId="0" fontId="16" fillId="0" borderId="119" xfId="0" applyFont="1" applyBorder="1" applyAlignment="1">
      <alignment horizontal="center"/>
    </xf>
    <xf numFmtId="0" fontId="19" fillId="35" borderId="0" xfId="0" applyFont="1" applyFill="1"/>
    <xf numFmtId="0" fontId="16" fillId="79" borderId="0" xfId="0" applyFont="1" applyFill="1"/>
    <xf numFmtId="1" fontId="0" fillId="34" borderId="0" xfId="0" applyNumberFormat="1" applyFill="1"/>
    <xf numFmtId="0" fontId="0" fillId="0" borderId="0" xfId="0" applyAlignment="1">
      <alignment horizontal="left" indent="1"/>
    </xf>
    <xf numFmtId="165" fontId="16" fillId="33" borderId="0" xfId="1" applyNumberFormat="1" applyFont="1" applyFill="1" applyAlignment="1">
      <alignment horizontal="center"/>
    </xf>
    <xf numFmtId="0" fontId="185" fillId="99" borderId="24" xfId="83" applyFont="1" applyFill="1" applyBorder="1" applyAlignment="1">
      <alignment horizontal="left" vertical="center"/>
    </xf>
    <xf numFmtId="1" fontId="186" fillId="99" borderId="24" xfId="83" applyNumberFormat="1" applyFont="1" applyFill="1" applyBorder="1" applyAlignment="1">
      <alignment horizontal="center" vertical="center"/>
    </xf>
    <xf numFmtId="0" fontId="186" fillId="99" borderId="24" xfId="83" applyFont="1" applyFill="1" applyBorder="1" applyAlignment="1">
      <alignment horizontal="center" vertical="center" shrinkToFit="1"/>
    </xf>
    <xf numFmtId="0" fontId="187" fillId="45" borderId="59" xfId="83" applyFont="1" applyFill="1" applyBorder="1" applyAlignment="1">
      <alignment vertical="center" shrinkToFit="1"/>
    </xf>
    <xf numFmtId="0" fontId="187" fillId="45" borderId="84" xfId="83" applyFont="1" applyFill="1" applyBorder="1" applyAlignment="1">
      <alignment vertical="center" shrinkToFit="1"/>
    </xf>
    <xf numFmtId="0" fontId="138" fillId="45" borderId="0" xfId="83" applyFont="1" applyFill="1" applyAlignment="1">
      <alignment vertical="center" shrinkToFit="1"/>
    </xf>
    <xf numFmtId="0" fontId="188" fillId="45" borderId="0" xfId="83" applyFont="1" applyFill="1" applyAlignment="1">
      <alignment horizontal="left" vertical="center" indent="3"/>
    </xf>
    <xf numFmtId="0" fontId="188" fillId="45" borderId="0" xfId="83" applyFont="1" applyFill="1" applyAlignment="1">
      <alignment vertical="center" shrinkToFit="1"/>
    </xf>
    <xf numFmtId="0" fontId="188" fillId="45" borderId="84" xfId="83" applyFont="1" applyFill="1" applyBorder="1" applyAlignment="1">
      <alignment vertical="center" shrinkToFit="1"/>
    </xf>
    <xf numFmtId="0" fontId="189" fillId="102" borderId="24" xfId="84" applyFont="1" applyFill="1" applyBorder="1"/>
    <xf numFmtId="0" fontId="190" fillId="102" borderId="24" xfId="84" applyFont="1" applyFill="1" applyBorder="1"/>
    <xf numFmtId="0" fontId="191" fillId="0" borderId="0" xfId="84" applyFont="1"/>
    <xf numFmtId="198" fontId="192" fillId="60" borderId="24" xfId="84" applyNumberFormat="1" applyFont="1" applyFill="1" applyBorder="1"/>
    <xf numFmtId="197" fontId="192" fillId="60" borderId="24" xfId="84" applyNumberFormat="1" applyFont="1" applyFill="1" applyBorder="1"/>
    <xf numFmtId="198" fontId="193" fillId="60" borderId="124" xfId="84" applyNumberFormat="1" applyFont="1" applyFill="1" applyBorder="1" applyAlignment="1">
      <alignment indent="1"/>
    </xf>
    <xf numFmtId="198" fontId="193" fillId="60" borderId="124" xfId="84" applyNumberFormat="1" applyFont="1" applyFill="1" applyBorder="1"/>
    <xf numFmtId="197" fontId="193" fillId="60" borderId="124" xfId="84" applyNumberFormat="1" applyFont="1" applyFill="1" applyBorder="1"/>
    <xf numFmtId="198" fontId="194" fillId="0" borderId="123" xfId="84" applyNumberFormat="1" applyFont="1" applyBorder="1" applyAlignment="1">
      <alignment horizontal="left" indent="2"/>
    </xf>
    <xf numFmtId="198" fontId="194" fillId="0" borderId="123" xfId="84" applyNumberFormat="1" applyFont="1" applyBorder="1"/>
    <xf numFmtId="197" fontId="194" fillId="0" borderId="123" xfId="84" applyNumberFormat="1" applyFont="1" applyBorder="1"/>
    <xf numFmtId="198" fontId="64" fillId="0" borderId="0" xfId="84" applyNumberFormat="1" applyFont="1" applyAlignment="1">
      <alignment horizontal="left" indent="3"/>
    </xf>
    <xf numFmtId="198" fontId="64" fillId="0" borderId="0" xfId="84" applyNumberFormat="1" applyFont="1"/>
    <xf numFmtId="197" fontId="64" fillId="0" borderId="0" xfId="84" applyNumberFormat="1" applyFont="1"/>
    <xf numFmtId="198" fontId="193" fillId="60" borderId="123" xfId="84" applyNumberFormat="1" applyFont="1" applyFill="1" applyBorder="1" applyAlignment="1">
      <alignment indent="1"/>
    </xf>
    <xf numFmtId="198" fontId="193" fillId="60" borderId="123" xfId="84" applyNumberFormat="1" applyFont="1" applyFill="1" applyBorder="1"/>
    <xf numFmtId="197" fontId="193" fillId="60" borderId="123" xfId="84" applyNumberFormat="1" applyFont="1" applyFill="1" applyBorder="1"/>
    <xf numFmtId="198" fontId="64" fillId="0" borderId="0" xfId="84" applyNumberFormat="1" applyFont="1" applyAlignment="1">
      <alignment indent="2"/>
    </xf>
    <xf numFmtId="198" fontId="193" fillId="60" borderId="125" xfId="84" applyNumberFormat="1" applyFont="1" applyFill="1" applyBorder="1" applyAlignment="1">
      <alignment indent="1"/>
    </xf>
    <xf numFmtId="198" fontId="193" fillId="60" borderId="125" xfId="84" applyNumberFormat="1" applyFont="1" applyFill="1" applyBorder="1"/>
    <xf numFmtId="197" fontId="193" fillId="60" borderId="125" xfId="84" applyNumberFormat="1" applyFont="1" applyFill="1" applyBorder="1"/>
    <xf numFmtId="0" fontId="195" fillId="100" borderId="24" xfId="83" applyFont="1" applyFill="1" applyBorder="1" applyAlignment="1">
      <alignment horizontal="left" vertical="center"/>
    </xf>
    <xf numFmtId="0" fontId="196" fillId="100" borderId="24" xfId="83" applyFont="1" applyFill="1" applyBorder="1" applyAlignment="1">
      <alignment vertical="center"/>
    </xf>
    <xf numFmtId="0" fontId="196" fillId="100" borderId="24" xfId="83" applyFont="1" applyFill="1" applyBorder="1" applyAlignment="1">
      <alignment vertical="center" shrinkToFit="1"/>
    </xf>
    <xf numFmtId="0" fontId="197" fillId="101" borderId="24" xfId="83" applyFont="1" applyFill="1" applyBorder="1" applyAlignment="1">
      <alignment horizontal="left" vertical="center" indent="1"/>
    </xf>
    <xf numFmtId="167" fontId="198" fillId="101" borderId="24" xfId="83" applyNumberFormat="1" applyFont="1" applyFill="1" applyBorder="1" applyAlignment="1">
      <alignment vertical="center"/>
    </xf>
    <xf numFmtId="0" fontId="198" fillId="101" borderId="24" xfId="83" applyFont="1" applyFill="1" applyBorder="1" applyAlignment="1">
      <alignment vertical="center" shrinkToFit="1"/>
    </xf>
    <xf numFmtId="0" fontId="199" fillId="45" borderId="0" xfId="83" applyFont="1" applyFill="1" applyAlignment="1">
      <alignment horizontal="left" vertical="center" indent="2"/>
    </xf>
    <xf numFmtId="167" fontId="199" fillId="45" borderId="0" xfId="83" applyNumberFormat="1" applyFont="1" applyFill="1" applyAlignment="1">
      <alignment vertical="center"/>
    </xf>
    <xf numFmtId="0" fontId="199" fillId="45" borderId="0" xfId="83" applyFont="1" applyFill="1" applyAlignment="1">
      <alignment vertical="center" shrinkToFit="1"/>
    </xf>
    <xf numFmtId="0" fontId="199" fillId="45" borderId="24" xfId="83" applyFont="1" applyFill="1" applyBorder="1" applyAlignment="1">
      <alignment horizontal="left" vertical="center" indent="2"/>
    </xf>
    <xf numFmtId="167" fontId="199" fillId="45" borderId="24" xfId="83" applyNumberFormat="1" applyFont="1" applyFill="1" applyBorder="1" applyAlignment="1">
      <alignment vertical="center"/>
    </xf>
    <xf numFmtId="0" fontId="199" fillId="45" borderId="24" xfId="83" applyFont="1" applyFill="1" applyBorder="1" applyAlignment="1">
      <alignment vertical="center" shrinkToFit="1"/>
    </xf>
    <xf numFmtId="0" fontId="200" fillId="45" borderId="0" xfId="83" applyFont="1" applyFill="1" applyAlignment="1">
      <alignment horizontal="left" vertical="center" indent="3"/>
    </xf>
    <xf numFmtId="167" fontId="200" fillId="45" borderId="0" xfId="83" applyNumberFormat="1" applyFont="1" applyFill="1" applyAlignment="1">
      <alignment vertical="center"/>
    </xf>
    <xf numFmtId="0" fontId="200" fillId="45" borderId="0" xfId="83" applyFont="1" applyFill="1" applyAlignment="1">
      <alignment vertical="center" shrinkToFit="1"/>
    </xf>
    <xf numFmtId="0" fontId="200" fillId="45" borderId="84" xfId="83" applyFont="1" applyFill="1" applyBorder="1" applyAlignment="1">
      <alignment horizontal="left" vertical="center" indent="3"/>
    </xf>
    <xf numFmtId="167" fontId="200" fillId="45" borderId="84" xfId="83" applyNumberFormat="1" applyFont="1" applyFill="1" applyBorder="1" applyAlignment="1">
      <alignment vertical="center"/>
    </xf>
    <xf numFmtId="0" fontId="200" fillId="45" borderId="84" xfId="83" applyFont="1" applyFill="1" applyBorder="1" applyAlignment="1">
      <alignment vertical="center" shrinkToFit="1"/>
    </xf>
    <xf numFmtId="0" fontId="201" fillId="45" borderId="24" xfId="83" applyFont="1" applyFill="1" applyBorder="1" applyAlignment="1">
      <alignment horizontal="left" vertical="center" indent="2"/>
    </xf>
    <xf numFmtId="167" fontId="201" fillId="45" borderId="24" xfId="83" applyNumberFormat="1" applyFont="1" applyFill="1" applyBorder="1" applyAlignment="1">
      <alignment vertical="center"/>
    </xf>
    <xf numFmtId="0" fontId="201" fillId="45" borderId="24" xfId="83" applyFont="1" applyFill="1" applyBorder="1" applyAlignment="1">
      <alignment vertical="center" shrinkToFit="1"/>
    </xf>
    <xf numFmtId="0" fontId="202" fillId="45" borderId="0" xfId="83" applyFont="1" applyFill="1" applyAlignment="1">
      <alignment horizontal="left" vertical="center" indent="3"/>
    </xf>
    <xf numFmtId="167" fontId="202" fillId="45" borderId="0" xfId="83" applyNumberFormat="1" applyFont="1" applyFill="1" applyAlignment="1">
      <alignment vertical="center"/>
    </xf>
    <xf numFmtId="0" fontId="202" fillId="45" borderId="0" xfId="83" applyFont="1" applyFill="1" applyAlignment="1">
      <alignment vertical="center" shrinkToFit="1"/>
    </xf>
    <xf numFmtId="167" fontId="188" fillId="45" borderId="0" xfId="83" applyNumberFormat="1" applyFont="1" applyFill="1" applyAlignment="1">
      <alignment vertical="center"/>
    </xf>
    <xf numFmtId="0" fontId="188" fillId="45" borderId="84" xfId="83" applyFont="1" applyFill="1" applyBorder="1" applyAlignment="1">
      <alignment horizontal="left" vertical="center" indent="3"/>
    </xf>
    <xf numFmtId="167" fontId="188" fillId="45" borderId="84" xfId="83" applyNumberFormat="1" applyFont="1" applyFill="1" applyBorder="1" applyAlignment="1">
      <alignment vertical="center"/>
    </xf>
    <xf numFmtId="0" fontId="187" fillId="45" borderId="24" xfId="83" applyFont="1" applyFill="1" applyBorder="1" applyAlignment="1">
      <alignment horizontal="left" vertical="center" indent="2"/>
    </xf>
    <xf numFmtId="167" fontId="187" fillId="45" borderId="24" xfId="83" applyNumberFormat="1" applyFont="1" applyFill="1" applyBorder="1" applyAlignment="1">
      <alignment vertical="center"/>
    </xf>
    <xf numFmtId="0" fontId="187" fillId="45" borderId="24" xfId="83" applyFont="1" applyFill="1" applyBorder="1" applyAlignment="1">
      <alignment vertical="center" shrinkToFit="1"/>
    </xf>
    <xf numFmtId="0" fontId="187" fillId="45" borderId="59" xfId="83" applyFont="1" applyFill="1" applyBorder="1" applyAlignment="1">
      <alignment horizontal="left" vertical="center" indent="3"/>
    </xf>
    <xf numFmtId="167" fontId="187" fillId="45" borderId="59" xfId="83" applyNumberFormat="1" applyFont="1" applyFill="1" applyBorder="1" applyAlignment="1">
      <alignment vertical="center"/>
    </xf>
    <xf numFmtId="0" fontId="187" fillId="45" borderId="0" xfId="83" applyFont="1" applyFill="1" applyAlignment="1">
      <alignment horizontal="left" vertical="center" indent="3"/>
    </xf>
    <xf numFmtId="167" fontId="187" fillId="45" borderId="0" xfId="83" applyNumberFormat="1" applyFont="1" applyFill="1" applyAlignment="1">
      <alignment vertical="center"/>
    </xf>
    <xf numFmtId="0" fontId="187" fillId="45" borderId="0" xfId="83" applyFont="1" applyFill="1" applyAlignment="1">
      <alignment vertical="center" shrinkToFit="1"/>
    </xf>
    <xf numFmtId="0" fontId="187" fillId="45" borderId="84" xfId="83" applyFont="1" applyFill="1" applyBorder="1" applyAlignment="1">
      <alignment horizontal="left" vertical="center" indent="3"/>
    </xf>
    <xf numFmtId="167" fontId="187" fillId="45" borderId="84" xfId="83" applyNumberFormat="1" applyFont="1" applyFill="1" applyBorder="1" applyAlignment="1">
      <alignment vertical="center"/>
    </xf>
    <xf numFmtId="0" fontId="203" fillId="101" borderId="24" xfId="83" applyFont="1" applyFill="1" applyBorder="1" applyAlignment="1">
      <alignment horizontal="left" vertical="center" indent="1"/>
    </xf>
    <xf numFmtId="201" fontId="203" fillId="101" borderId="24" xfId="88" applyNumberFormat="1" applyFont="1" applyFill="1" applyBorder="1" applyAlignment="1">
      <alignment vertical="center"/>
    </xf>
    <xf numFmtId="0" fontId="203" fillId="101" borderId="24" xfId="88" applyNumberFormat="1" applyFont="1" applyFill="1" applyBorder="1" applyAlignment="1">
      <alignment vertical="center" shrinkToFit="1"/>
    </xf>
    <xf numFmtId="201" fontId="199" fillId="45" borderId="0" xfId="83" applyNumberFormat="1" applyFont="1" applyFill="1" applyAlignment="1">
      <alignment vertical="center"/>
    </xf>
    <xf numFmtId="0" fontId="201" fillId="45" borderId="59" xfId="83" applyFont="1" applyFill="1" applyBorder="1" applyAlignment="1">
      <alignment horizontal="left" vertical="center" indent="2"/>
    </xf>
    <xf numFmtId="201" fontId="201" fillId="45" borderId="59" xfId="83" applyNumberFormat="1" applyFont="1" applyFill="1" applyBorder="1" applyAlignment="1">
      <alignment vertical="center"/>
    </xf>
    <xf numFmtId="0" fontId="201" fillId="45" borderId="59" xfId="83" applyFont="1" applyFill="1" applyBorder="1" applyAlignment="1">
      <alignment vertical="center" shrinkToFit="1"/>
    </xf>
    <xf numFmtId="0" fontId="201" fillId="45" borderId="84" xfId="83" applyFont="1" applyFill="1" applyBorder="1" applyAlignment="1">
      <alignment horizontal="left" vertical="center" indent="2"/>
    </xf>
    <xf numFmtId="201" fontId="201" fillId="45" borderId="84" xfId="83" applyNumberFormat="1" applyFont="1" applyFill="1" applyBorder="1" applyAlignment="1">
      <alignment vertical="center"/>
    </xf>
    <xf numFmtId="0" fontId="201" fillId="45" borderId="84" xfId="83" applyFont="1" applyFill="1" applyBorder="1" applyAlignment="1">
      <alignment vertical="center" shrinkToFit="1"/>
    </xf>
    <xf numFmtId="201" fontId="187" fillId="45" borderId="24" xfId="83" applyNumberFormat="1" applyFont="1" applyFill="1" applyBorder="1" applyAlignment="1">
      <alignment vertical="center"/>
    </xf>
    <xf numFmtId="0" fontId="139" fillId="0" borderId="0" xfId="0" applyFont="1"/>
    <xf numFmtId="2" fontId="0" fillId="0" borderId="0" xfId="0" applyNumberFormat="1" applyAlignment="1">
      <alignment horizontal="left" wrapText="1"/>
    </xf>
    <xf numFmtId="0" fontId="16" fillId="58" borderId="0" xfId="0" applyFont="1" applyFill="1"/>
    <xf numFmtId="0" fontId="0" fillId="58" borderId="0" xfId="0" applyFill="1"/>
    <xf numFmtId="0" fontId="16" fillId="33" borderId="0" xfId="0" applyFont="1" applyFill="1" applyAlignment="1">
      <alignment horizontal="center"/>
    </xf>
    <xf numFmtId="0" fontId="35" fillId="44" borderId="68" xfId="57" applyFont="1" applyFill="1" applyBorder="1" applyAlignment="1">
      <alignment horizontal="left" vertical="center"/>
    </xf>
    <xf numFmtId="0" fontId="35" fillId="44" borderId="71" xfId="57" applyFont="1" applyFill="1" applyBorder="1" applyAlignment="1">
      <alignment horizontal="left" vertical="center"/>
    </xf>
    <xf numFmtId="0" fontId="35" fillId="44" borderId="53" xfId="57" applyFont="1" applyFill="1" applyBorder="1" applyAlignment="1">
      <alignment horizontal="left" vertical="center"/>
    </xf>
    <xf numFmtId="0" fontId="35" fillId="44" borderId="60" xfId="57" applyFont="1" applyFill="1" applyBorder="1" applyAlignment="1">
      <alignment horizontal="left" vertical="center"/>
    </xf>
    <xf numFmtId="0" fontId="35" fillId="44" borderId="37" xfId="57" applyFont="1" applyFill="1" applyBorder="1" applyAlignment="1">
      <alignment horizontal="left" vertical="center"/>
    </xf>
    <xf numFmtId="0" fontId="35" fillId="44" borderId="74" xfId="57" applyFont="1" applyFill="1" applyBorder="1" applyAlignment="1">
      <alignment horizontal="left" vertical="center"/>
    </xf>
    <xf numFmtId="0" fontId="35" fillId="44" borderId="51" xfId="57" applyFont="1" applyFill="1" applyBorder="1" applyAlignment="1">
      <alignment horizontal="left" vertical="center"/>
    </xf>
    <xf numFmtId="0" fontId="36" fillId="44" borderId="0" xfId="57" applyFont="1" applyFill="1" applyAlignment="1">
      <alignment horizontal="left" wrapText="1"/>
    </xf>
    <xf numFmtId="0" fontId="35" fillId="44" borderId="49" xfId="57" applyFont="1" applyFill="1" applyBorder="1" applyAlignment="1">
      <alignment horizontal="left" vertical="center"/>
    </xf>
    <xf numFmtId="0" fontId="35" fillId="44" borderId="48" xfId="57" applyFont="1" applyFill="1" applyBorder="1" applyAlignment="1">
      <alignment horizontal="left" vertical="center"/>
    </xf>
    <xf numFmtId="0" fontId="36" fillId="0" borderId="0" xfId="57" applyFont="1" applyAlignment="1">
      <alignment horizontal="left" vertical="top" wrapText="1"/>
    </xf>
    <xf numFmtId="0" fontId="35" fillId="44" borderId="76" xfId="57" applyFont="1" applyFill="1" applyBorder="1" applyAlignment="1">
      <alignment horizontal="left" vertical="center"/>
    </xf>
    <xf numFmtId="0" fontId="35" fillId="44" borderId="52" xfId="57" applyFont="1" applyFill="1" applyBorder="1" applyAlignment="1">
      <alignment horizontal="left" vertical="center"/>
    </xf>
    <xf numFmtId="0" fontId="36" fillId="44" borderId="0" xfId="57" applyFont="1" applyFill="1" applyAlignment="1">
      <alignment horizontal="left" vertical="top" wrapText="1"/>
    </xf>
    <xf numFmtId="0" fontId="63" fillId="53" borderId="25" xfId="57" applyFont="1" applyFill="1" applyBorder="1" applyAlignment="1">
      <alignment horizontal="center" vertical="center"/>
    </xf>
    <xf numFmtId="0" fontId="63" fillId="53" borderId="24" xfId="57" applyFont="1" applyFill="1" applyBorder="1" applyAlignment="1">
      <alignment horizontal="center" vertical="center"/>
    </xf>
    <xf numFmtId="0" fontId="63" fillId="53" borderId="26" xfId="57" applyFont="1" applyFill="1" applyBorder="1" applyAlignment="1">
      <alignment horizontal="center" vertical="center"/>
    </xf>
    <xf numFmtId="0" fontId="35" fillId="44" borderId="45" xfId="57" applyFont="1" applyFill="1" applyBorder="1" applyAlignment="1">
      <alignment horizontal="left" vertical="center"/>
    </xf>
    <xf numFmtId="0" fontId="35" fillId="44" borderId="70" xfId="57" applyFont="1" applyFill="1" applyBorder="1" applyAlignment="1">
      <alignment horizontal="left" vertical="center"/>
    </xf>
    <xf numFmtId="0" fontId="35" fillId="44" borderId="0" xfId="57" applyFont="1" applyFill="1" applyAlignment="1">
      <alignment horizontal="left" wrapText="1"/>
    </xf>
    <xf numFmtId="0" fontId="36" fillId="45" borderId="0" xfId="57" applyFont="1" applyFill="1" applyAlignment="1">
      <alignment horizontal="left" vertical="top" wrapText="1"/>
    </xf>
    <xf numFmtId="0" fontId="35" fillId="44" borderId="59" xfId="57" applyFont="1" applyFill="1" applyBorder="1" applyAlignment="1">
      <alignment horizontal="left" vertical="center" wrapText="1"/>
    </xf>
    <xf numFmtId="0" fontId="36" fillId="0" borderId="0" xfId="57" applyFont="1" applyAlignment="1">
      <alignment horizontal="left" vertical="center" wrapText="1"/>
    </xf>
    <xf numFmtId="0" fontId="35" fillId="0" borderId="59" xfId="57" applyFont="1" applyBorder="1" applyAlignment="1">
      <alignment horizontal="left" vertical="center" wrapText="1"/>
    </xf>
    <xf numFmtId="2" fontId="39" fillId="42" borderId="58" xfId="59" applyNumberFormat="1" applyFont="1" applyFill="1" applyBorder="1" applyAlignment="1">
      <alignment horizontal="center" vertical="center"/>
    </xf>
    <xf numFmtId="2" fontId="39" fillId="42" borderId="34" xfId="59" applyNumberFormat="1" applyFont="1" applyFill="1" applyBorder="1" applyAlignment="1">
      <alignment horizontal="center" vertical="center"/>
    </xf>
    <xf numFmtId="2" fontId="39" fillId="42" borderId="33" xfId="59" applyNumberFormat="1" applyFont="1" applyFill="1" applyBorder="1" applyAlignment="1">
      <alignment horizontal="center" vertical="center"/>
    </xf>
    <xf numFmtId="0" fontId="37" fillId="0" borderId="0" xfId="57" applyFont="1" applyAlignment="1">
      <alignment horizontal="left" vertical="top" wrapText="1"/>
    </xf>
    <xf numFmtId="0" fontId="37" fillId="44" borderId="0" xfId="57" applyFont="1" applyFill="1" applyAlignment="1">
      <alignment horizontal="left" vertical="top" wrapText="1"/>
    </xf>
    <xf numFmtId="0" fontId="40" fillId="49" borderId="25" xfId="57" applyFont="1" applyFill="1" applyBorder="1" applyAlignment="1">
      <alignment horizontal="center"/>
    </xf>
    <xf numFmtId="0" fontId="40" fillId="49" borderId="24" xfId="57" applyFont="1" applyFill="1" applyBorder="1" applyAlignment="1">
      <alignment horizontal="center"/>
    </xf>
    <xf numFmtId="0" fontId="40" fillId="49" borderId="26" xfId="57" applyFont="1" applyFill="1" applyBorder="1" applyAlignment="1">
      <alignment horizontal="center"/>
    </xf>
    <xf numFmtId="0" fontId="35" fillId="0" borderId="59" xfId="57" applyFont="1" applyBorder="1" applyAlignment="1">
      <alignment horizontal="left" wrapText="1"/>
    </xf>
    <xf numFmtId="0" fontId="39" fillId="33" borderId="43" xfId="57" applyFont="1" applyFill="1" applyBorder="1" applyAlignment="1">
      <alignment horizontal="center"/>
    </xf>
    <xf numFmtId="0" fontId="39" fillId="33" borderId="29" xfId="57" applyFont="1" applyFill="1" applyBorder="1" applyAlignment="1">
      <alignment horizontal="center"/>
    </xf>
    <xf numFmtId="0" fontId="39" fillId="33" borderId="28" xfId="57" applyFont="1" applyFill="1" applyBorder="1" applyAlignment="1">
      <alignment horizontal="center"/>
    </xf>
    <xf numFmtId="0" fontId="35" fillId="44" borderId="0" xfId="57" applyFont="1" applyFill="1" applyAlignment="1">
      <alignment horizontal="left" vertical="center" wrapText="1"/>
    </xf>
    <xf numFmtId="0" fontId="26" fillId="44" borderId="0" xfId="57" applyFont="1" applyFill="1" applyAlignment="1">
      <alignment horizontal="left" wrapText="1"/>
    </xf>
    <xf numFmtId="0" fontId="16" fillId="58" borderId="0" xfId="0" applyFont="1" applyFill="1" applyAlignment="1">
      <alignment horizontal="center"/>
    </xf>
    <xf numFmtId="0" fontId="31" fillId="0" borderId="0" xfId="52" applyAlignment="1">
      <alignment wrapText="1"/>
    </xf>
    <xf numFmtId="49" fontId="31" fillId="0" borderId="0" xfId="52" applyNumberFormat="1" applyAlignment="1" applyProtection="1">
      <alignment wrapText="1"/>
    </xf>
    <xf numFmtId="49" fontId="31" fillId="0" borderId="14" xfId="53" applyNumberFormat="1">
      <alignment vertical="top" wrapText="1"/>
    </xf>
    <xf numFmtId="49" fontId="31" fillId="0" borderId="0" xfId="52" applyNumberFormat="1" applyAlignment="1">
      <alignment wrapText="1"/>
    </xf>
    <xf numFmtId="0" fontId="0" fillId="0" borderId="0" xfId="0" applyAlignment="1">
      <alignment wrapText="1"/>
    </xf>
    <xf numFmtId="0" fontId="16" fillId="0" borderId="45" xfId="0" applyFont="1" applyBorder="1" applyAlignment="1">
      <alignment horizontal="center"/>
    </xf>
    <xf numFmtId="0" fontId="16" fillId="0" borderId="122" xfId="0" applyFont="1" applyBorder="1" applyAlignment="1">
      <alignment horizontal="center"/>
    </xf>
    <xf numFmtId="0" fontId="16" fillId="0" borderId="62" xfId="0" applyFont="1" applyBorder="1" applyAlignment="1">
      <alignment horizontal="center"/>
    </xf>
    <xf numFmtId="0" fontId="22" fillId="0" borderId="0" xfId="45"/>
    <xf numFmtId="0" fontId="23" fillId="0" borderId="10" xfId="46" applyFont="1">
      <alignment wrapText="1"/>
    </xf>
    <xf numFmtId="0" fontId="22" fillId="0" borderId="10" xfId="45" applyBorder="1"/>
    <xf numFmtId="0" fontId="179" fillId="0" borderId="10" xfId="46" applyFont="1">
      <alignment wrapText="1"/>
    </xf>
    <xf numFmtId="0" fontId="23" fillId="0" borderId="12" xfId="48" applyFont="1">
      <alignment wrapText="1"/>
    </xf>
    <xf numFmtId="4" fontId="23" fillId="0" borderId="12" xfId="48" applyNumberFormat="1" applyFont="1" applyAlignment="1">
      <alignment horizontal="right" wrapText="1"/>
    </xf>
    <xf numFmtId="165" fontId="23" fillId="0" borderId="12" xfId="48" applyNumberFormat="1" applyFont="1" applyAlignment="1">
      <alignment horizontal="right" wrapText="1"/>
    </xf>
    <xf numFmtId="0" fontId="23" fillId="0" borderId="0" xfId="45" applyFont="1"/>
    <xf numFmtId="3" fontId="23" fillId="0" borderId="12" xfId="48" applyNumberFormat="1" applyFont="1" applyAlignment="1">
      <alignment horizontal="right" wrapText="1"/>
    </xf>
    <xf numFmtId="0" fontId="25" fillId="0" borderId="11" xfId="47" applyFont="1">
      <alignment wrapText="1"/>
    </xf>
    <xf numFmtId="3" fontId="25" fillId="0" borderId="11" xfId="47" applyNumberFormat="1" applyFont="1" applyAlignment="1">
      <alignment horizontal="right" wrapText="1"/>
    </xf>
    <xf numFmtId="165" fontId="25" fillId="0" borderId="11" xfId="47" applyNumberFormat="1" applyFont="1" applyAlignment="1">
      <alignment horizontal="right" wrapText="1"/>
    </xf>
    <xf numFmtId="0" fontId="94" fillId="0" borderId="0" xfId="0" applyFont="1" applyAlignment="1">
      <alignment horizontal="center" wrapText="1"/>
    </xf>
    <xf numFmtId="0" fontId="69" fillId="42" borderId="88" xfId="64" applyFill="1" applyBorder="1" applyAlignment="1">
      <alignment horizontal="center" vertical="center" wrapText="1"/>
    </xf>
    <xf numFmtId="0" fontId="69" fillId="42" borderId="89" xfId="64" applyFill="1" applyBorder="1" applyAlignment="1">
      <alignment horizontal="center" vertical="center" wrapText="1"/>
    </xf>
    <xf numFmtId="0" fontId="69" fillId="42" borderId="90" xfId="64" applyFill="1" applyBorder="1" applyAlignment="1">
      <alignment horizontal="center" vertical="center" wrapText="1"/>
    </xf>
    <xf numFmtId="0" fontId="169" fillId="54" borderId="79" xfId="64" applyFont="1" applyFill="1" applyBorder="1" applyAlignment="1">
      <alignment horizontal="center" vertical="center"/>
    </xf>
    <xf numFmtId="0" fontId="169" fillId="54" borderId="80" xfId="64" applyFont="1" applyFill="1" applyBorder="1" applyAlignment="1">
      <alignment horizontal="center" vertical="center"/>
    </xf>
    <xf numFmtId="0" fontId="169" fillId="54" borderId="81" xfId="64" applyFont="1" applyFill="1" applyBorder="1" applyAlignment="1">
      <alignment horizontal="center" vertical="center"/>
    </xf>
    <xf numFmtId="0" fontId="130" fillId="39" borderId="79" xfId="64" applyFont="1" applyFill="1" applyBorder="1" applyAlignment="1">
      <alignment horizontal="center" vertical="center"/>
    </xf>
    <xf numFmtId="0" fontId="130" fillId="39" borderId="80" xfId="64" applyFont="1" applyFill="1" applyBorder="1" applyAlignment="1">
      <alignment horizontal="center" vertical="center"/>
    </xf>
    <xf numFmtId="0" fontId="130" fillId="39" borderId="81" xfId="64" applyFont="1" applyFill="1" applyBorder="1" applyAlignment="1">
      <alignment horizontal="center" vertical="center"/>
    </xf>
    <xf numFmtId="0" fontId="130" fillId="59" borderId="80" xfId="64" applyFont="1" applyFill="1" applyBorder="1" applyAlignment="1">
      <alignment horizontal="center" vertical="center" wrapText="1"/>
    </xf>
    <xf numFmtId="0" fontId="130" fillId="59" borderId="81" xfId="64" applyFont="1" applyFill="1" applyBorder="1" applyAlignment="1">
      <alignment horizontal="center" vertical="center" wrapText="1"/>
    </xf>
    <xf numFmtId="0" fontId="130" fillId="57" borderId="79" xfId="64" applyFont="1" applyFill="1" applyBorder="1" applyAlignment="1">
      <alignment horizontal="center" vertical="center" wrapText="1"/>
    </xf>
    <xf numFmtId="0" fontId="130" fillId="57" borderId="80" xfId="64" applyFont="1" applyFill="1" applyBorder="1" applyAlignment="1">
      <alignment horizontal="center" vertical="center" wrapText="1"/>
    </xf>
    <xf numFmtId="0" fontId="130" fillId="57" borderId="81" xfId="64" applyFont="1" applyFill="1" applyBorder="1" applyAlignment="1">
      <alignment horizontal="center" vertical="center" wrapText="1"/>
    </xf>
    <xf numFmtId="0" fontId="130" fillId="33" borderId="85" xfId="64" applyFont="1" applyFill="1" applyBorder="1" applyAlignment="1">
      <alignment horizontal="center" vertical="center"/>
    </xf>
    <xf numFmtId="0" fontId="130" fillId="33" borderId="86" xfId="64" applyFont="1" applyFill="1" applyBorder="1" applyAlignment="1">
      <alignment horizontal="center" vertical="center"/>
    </xf>
    <xf numFmtId="0" fontId="156" fillId="89" borderId="0" xfId="64" applyFont="1" applyFill="1" applyAlignment="1">
      <alignment horizontal="left" vertical="center"/>
    </xf>
    <xf numFmtId="0" fontId="119" fillId="61" borderId="0" xfId="64" applyFont="1" applyFill="1" applyAlignment="1">
      <alignment horizontal="left"/>
    </xf>
    <xf numFmtId="0" fontId="152" fillId="61" borderId="0" xfId="64" applyFont="1" applyFill="1" applyAlignment="1">
      <alignment horizontal="left"/>
    </xf>
    <xf numFmtId="49" fontId="132" fillId="0" borderId="59" xfId="0" applyNumberFormat="1" applyFont="1" applyBorder="1" applyAlignment="1">
      <alignment horizontal="center" vertical="center" wrapText="1"/>
    </xf>
    <xf numFmtId="0" fontId="132" fillId="0" borderId="92" xfId="0" applyFont="1" applyBorder="1" applyAlignment="1">
      <alignment horizontal="center" vertical="center"/>
    </xf>
    <xf numFmtId="49" fontId="132" fillId="0" borderId="49" xfId="0" applyNumberFormat="1" applyFont="1" applyBorder="1" applyAlignment="1">
      <alignment horizontal="center" vertical="center" wrapText="1"/>
    </xf>
    <xf numFmtId="0" fontId="132" fillId="0" borderId="48" xfId="0" applyFont="1" applyBorder="1" applyAlignment="1">
      <alignment horizontal="center" vertical="center"/>
    </xf>
    <xf numFmtId="0" fontId="132" fillId="0" borderId="84" xfId="0" applyFont="1" applyBorder="1" applyAlignment="1">
      <alignment horizontal="center" vertical="center"/>
    </xf>
    <xf numFmtId="49" fontId="132" fillId="0" borderId="73" xfId="0" applyNumberFormat="1" applyFont="1" applyBorder="1" applyAlignment="1">
      <alignment horizontal="center" vertical="center" wrapText="1"/>
    </xf>
    <xf numFmtId="0" fontId="132" fillId="0" borderId="93" xfId="0" applyFont="1" applyBorder="1" applyAlignment="1">
      <alignment horizontal="center" vertical="center"/>
    </xf>
    <xf numFmtId="49" fontId="132" fillId="0" borderId="25" xfId="0" applyNumberFormat="1" applyFont="1" applyBorder="1" applyAlignment="1">
      <alignment horizontal="center" vertical="center" wrapText="1"/>
    </xf>
    <xf numFmtId="0" fontId="132" fillId="0" borderId="26" xfId="0" applyFont="1" applyBorder="1" applyAlignment="1">
      <alignment horizontal="center" vertical="center"/>
    </xf>
    <xf numFmtId="49" fontId="132" fillId="35" borderId="59" xfId="0" applyNumberFormat="1" applyFont="1" applyFill="1" applyBorder="1" applyAlignment="1">
      <alignment horizontal="center" vertical="center" wrapText="1"/>
    </xf>
    <xf numFmtId="0" fontId="132" fillId="35" borderId="92" xfId="0" applyFont="1" applyFill="1" applyBorder="1" applyAlignment="1">
      <alignment horizontal="center" vertical="center"/>
    </xf>
    <xf numFmtId="49" fontId="132" fillId="54" borderId="49" xfId="0" applyNumberFormat="1" applyFont="1" applyFill="1" applyBorder="1" applyAlignment="1">
      <alignment horizontal="center" vertical="center" wrapText="1"/>
    </xf>
    <xf numFmtId="0" fontId="132" fillId="54" borderId="48" xfId="0" applyFont="1" applyFill="1" applyBorder="1" applyAlignment="1">
      <alignment horizontal="center" vertical="center"/>
    </xf>
    <xf numFmtId="49" fontId="132" fillId="35" borderId="49" xfId="0" applyNumberFormat="1" applyFont="1" applyFill="1" applyBorder="1" applyAlignment="1">
      <alignment horizontal="center" vertical="center" wrapText="1"/>
    </xf>
    <xf numFmtId="0" fontId="132" fillId="35" borderId="48" xfId="0" applyFont="1" applyFill="1" applyBorder="1" applyAlignment="1">
      <alignment horizontal="center" vertical="center"/>
    </xf>
    <xf numFmtId="0" fontId="180" fillId="98" borderId="25" xfId="0" applyFont="1" applyFill="1" applyBorder="1" applyAlignment="1">
      <alignment horizontal="left" vertical="center"/>
    </xf>
    <xf numFmtId="0" fontId="180" fillId="98" borderId="24" xfId="0" applyFont="1" applyFill="1" applyBorder="1" applyAlignment="1">
      <alignment horizontal="left" vertical="center"/>
    </xf>
    <xf numFmtId="0" fontId="16" fillId="0" borderId="38" xfId="0" applyFont="1" applyBorder="1" applyAlignment="1">
      <alignment horizontal="left"/>
    </xf>
    <xf numFmtId="0" fontId="180" fillId="98" borderId="26" xfId="0" applyFont="1" applyFill="1" applyBorder="1" applyAlignment="1">
      <alignment horizontal="left" vertical="center"/>
    </xf>
    <xf numFmtId="0" fontId="184" fillId="35" borderId="38" xfId="0" applyFont="1" applyFill="1" applyBorder="1" applyAlignment="1">
      <alignment horizontal="left" vertical="center"/>
    </xf>
    <xf numFmtId="0" fontId="184" fillId="35" borderId="25" xfId="0" applyFont="1" applyFill="1" applyBorder="1" applyAlignment="1">
      <alignment horizontal="left" vertical="center"/>
    </xf>
  </cellXfs>
  <cellStyles count="89">
    <cellStyle name="20% - Accent1" xfId="20" builtinId="30" customBuiltin="1"/>
    <cellStyle name="20% - Accent1 5" xfId="71" xr:uid="{2A56E3D7-FFE7-459E-8047-656F82B789FD}"/>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20% - Accent6 3 2" xfId="69" xr:uid="{77E30990-A8F7-46DA-A256-AA4ECC7E65EB}"/>
    <cellStyle name="20% - Accent6 4 2" xfId="68" xr:uid="{680FD049-24D6-42CF-8A4D-5CB6C5D0E422}"/>
    <cellStyle name="20% - Accent6 5" xfId="80" xr:uid="{EDD520B2-D8E0-47FF-9B36-8B357EDEC4DE}"/>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Body: normal cell" xfId="48" xr:uid="{1A6A18E6-BADE-4946-A9B3-D420574F42C8}"/>
    <cellStyle name="Body: normal cell 2" xfId="54" xr:uid="{49E73D66-B593-4BE1-9D75-77724725DD7D}"/>
    <cellStyle name="Calculation" xfId="12" builtinId="22" customBuiltin="1"/>
    <cellStyle name="Check Cell" xfId="14" builtinId="23" customBuiltin="1"/>
    <cellStyle name="Comma" xfId="63" builtinId="3"/>
    <cellStyle name="Comma 2" xfId="58" xr:uid="{43D8F49E-10A9-4E3A-9342-4643F81A2758}"/>
    <cellStyle name="Comma 2 2" xfId="62" xr:uid="{630E5EA2-B357-4076-85B3-3C8F0997FF78}"/>
    <cellStyle name="Comma 2 4" xfId="78" xr:uid="{2179A22F-E69C-45B4-A94E-44EAC641472B}"/>
    <cellStyle name="Comma 3" xfId="67" xr:uid="{2B097CD3-D1E4-4D29-84F7-DCEB7929F4E8}"/>
    <cellStyle name="Comma 4 2" xfId="76" xr:uid="{0316A002-A866-4FB9-AD13-6F31DECFA61D}"/>
    <cellStyle name="Excel Built-in Normal" xfId="72" xr:uid="{6B2F086A-28A2-4B68-AE8E-464599CC8497}"/>
    <cellStyle name="Explanatory Text" xfId="17" builtinId="53" customBuiltin="1"/>
    <cellStyle name="Font: Calibri, 9pt regular" xfId="50" xr:uid="{023A939E-2F2F-49F4-B803-9E2862FA8FF8}"/>
    <cellStyle name="Font: Calibri, 9pt regular 2" xfId="52" xr:uid="{0CBC3832-7F68-4F6F-80F8-0621475B67C4}"/>
    <cellStyle name="Footnotes: top row" xfId="46" xr:uid="{4309F80D-10FB-44E5-B3C8-C06400A71073}"/>
    <cellStyle name="Footnotes: top row 2" xfId="53" xr:uid="{522939D7-FB55-404D-A96F-14A719AE586A}"/>
    <cellStyle name="Good" xfId="7" builtinId="26" customBuiltin="1"/>
    <cellStyle name="Header: bottom row" xfId="49" xr:uid="{92FBA849-1828-4DA7-9335-2F6AC758A61F}"/>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Hyperlink 2" xfId="60" xr:uid="{5969784E-BD94-4232-9653-9EA93E1D74C5}"/>
    <cellStyle name="Hyperlink 3" xfId="65" xr:uid="{DDC7C01A-12D8-4421-8F48-2D3E8C4649D4}"/>
    <cellStyle name="Input" xfId="10" builtinId="20" customBuiltin="1"/>
    <cellStyle name="Linked Cell" xfId="13" builtinId="24" customBuiltin="1"/>
    <cellStyle name="Neutral" xfId="9" builtinId="28" customBuiltin="1"/>
    <cellStyle name="Normal" xfId="0" builtinId="0"/>
    <cellStyle name="Normal - Style1 2" xfId="82" xr:uid="{043E32CE-8759-44D8-933F-BCF90700C3E1}"/>
    <cellStyle name="Normal 128" xfId="59" xr:uid="{8E78FF0E-7EA2-4531-89D0-FF495B78D5C8}"/>
    <cellStyle name="Normal 15" xfId="81" xr:uid="{CDC5F4CB-F6CC-4470-BCEF-7C64D8470BB8}"/>
    <cellStyle name="Normal 18" xfId="73" xr:uid="{67D50E8C-E0BA-42A1-A1C3-FA430A17FA31}"/>
    <cellStyle name="Normal 2" xfId="45" xr:uid="{D185C562-2153-4266-8A9F-A44FC6B6A136}"/>
    <cellStyle name="Normal 2 2" xfId="83" xr:uid="{4FB58D3D-EA42-4CA1-B1FF-FAC9339F0437}"/>
    <cellStyle name="Normal 2 2 2" xfId="85" xr:uid="{F0EB7959-B822-4473-AEB0-A75553B1074D}"/>
    <cellStyle name="Normal 2 3" xfId="84" xr:uid="{88AB32CF-DB20-49BE-8B34-63302EB8492F}"/>
    <cellStyle name="Normal 2 4" xfId="86" xr:uid="{F1571017-7813-467E-91D8-63FA8D5DAD24}"/>
    <cellStyle name="Normal 3" xfId="44" xr:uid="{4AA954EE-7FB6-436D-AC43-2F69813EFB1D}"/>
    <cellStyle name="Normal 4" xfId="57" xr:uid="{E36486C8-9BE7-44DD-90B6-559CAEAB1532}"/>
    <cellStyle name="Normal 5" xfId="64" xr:uid="{A48F118E-6D57-4AEE-9B10-7EA6F8D99DAA}"/>
    <cellStyle name="Normal 8 2 2" xfId="75" xr:uid="{E60D1B43-2CCA-4A39-91D6-DC6A847D45AC}"/>
    <cellStyle name="Normal 8 3 2 2 2" xfId="74" xr:uid="{1F6065B7-B3B6-4639-BF38-6109E6AFF0CC}"/>
    <cellStyle name="Note" xfId="16" builtinId="10" customBuiltin="1"/>
    <cellStyle name="ofwhich" xfId="70" xr:uid="{3719565B-DEFD-45EF-A5AA-85DFEACB275F}"/>
    <cellStyle name="Output" xfId="11" builtinId="21" customBuiltin="1"/>
    <cellStyle name="Parent row" xfId="47" xr:uid="{573BE034-6B04-40C3-AF9F-550499D07874}"/>
    <cellStyle name="Parent row 2" xfId="55" xr:uid="{0558C9A1-5193-4E74-8589-5F4464A8EDC2}"/>
    <cellStyle name="Percent" xfId="1" builtinId="5"/>
    <cellStyle name="Percent 11" xfId="79" xr:uid="{8AC2CEDF-6F0E-40E8-B2BD-DD6B43E92F82}"/>
    <cellStyle name="Percent 2" xfId="61" xr:uid="{3C2A41F4-B85D-4B14-B25E-771CFBDC35B9}"/>
    <cellStyle name="Percent 2 2" xfId="87" xr:uid="{6A51FFCF-2751-4794-97BF-1D4AB1ACCDD4}"/>
    <cellStyle name="Percent 3" xfId="66" xr:uid="{8D64D642-9DA7-4174-85B2-20FAC25E8E7F}"/>
    <cellStyle name="Percent 3 4" xfId="77" xr:uid="{050FD034-E22E-4EA1-9F97-75C2FBF76DD8}"/>
    <cellStyle name="Percent 4" xfId="88" xr:uid="{AD02AB65-C3E9-4684-A6A2-85C4E4F0D466}"/>
    <cellStyle name="Table title" xfId="51" xr:uid="{E72F65B1-98CD-4756-A0B4-49CCDD9D3C30}"/>
    <cellStyle name="Table title 2" xfId="56" xr:uid="{4367EAFB-6B41-414B-8D4D-8EF456E38FF5}"/>
    <cellStyle name="Title" xfId="2" builtinId="15" customBuiltin="1"/>
    <cellStyle name="Total" xfId="18" builtinId="25" customBuiltin="1"/>
    <cellStyle name="Warning Text" xfId="15" builtinId="11" customBuiltin="1"/>
  </cellStyles>
  <dxfs count="8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C7CE"/>
        </patternFill>
      </fill>
    </dxf>
    <dxf>
      <font>
        <color rgb="FFFF0000"/>
      </font>
      <fill>
        <patternFill patternType="none">
          <bgColor auto="1"/>
        </patternFill>
      </fill>
    </dxf>
    <dxf>
      <font>
        <color rgb="FFFF0000"/>
      </font>
      <fill>
        <patternFill>
          <bgColor rgb="FFFFFF00"/>
        </patternFill>
      </fill>
    </dxf>
    <dxf>
      <font>
        <color rgb="FF9C0006"/>
      </font>
    </dxf>
    <dxf>
      <font>
        <color rgb="FFFF0000"/>
      </font>
      <fill>
        <patternFill>
          <bgColor rgb="FFFFFF00"/>
        </patternFill>
      </fill>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CE6F1"/>
          <bgColor rgb="FFDCE6F1"/>
        </patternFill>
      </fill>
    </dxf>
    <dxf>
      <fill>
        <patternFill patternType="solid">
          <fgColor rgb="FFDCE6F1"/>
          <bgColor rgb="FFDCE6F1"/>
        </patternFill>
      </fill>
    </dxf>
    <dxf>
      <font>
        <b/>
        <color rgb="FF000000"/>
      </font>
    </dxf>
    <dxf>
      <font>
        <b/>
        <color rgb="FF000000"/>
      </font>
    </dxf>
    <dxf>
      <font>
        <b/>
        <color rgb="FF000000"/>
      </font>
      <border>
        <top style="double">
          <color rgb="FF4F81BD"/>
        </top>
      </border>
    </dxf>
    <dxf>
      <font>
        <b/>
        <color rgb="FFFFFFFF"/>
      </font>
      <fill>
        <patternFill patternType="solid">
          <fgColor rgb="FF4F81BD"/>
          <bgColor rgb="FF4F81BD"/>
        </patternFill>
      </fill>
    </dxf>
    <dxf>
      <font>
        <color rgb="FF000000"/>
      </font>
      <border>
        <left style="thin">
          <color rgb="FF95B3D7"/>
        </left>
        <right style="thin">
          <color rgb="FF95B3D7"/>
        </right>
        <top style="thin">
          <color rgb="FF95B3D7"/>
        </top>
        <bottom style="thin">
          <color rgb="FF95B3D7"/>
        </bottom>
        <horizontal style="thin">
          <color rgb="FF95B3D7"/>
        </horizontal>
      </border>
    </dxf>
    <dxf>
      <fill>
        <patternFill patternType="solid">
          <fgColor rgb="FFDCE6F1"/>
          <bgColor rgb="FFDCE6F1"/>
        </patternFill>
      </fill>
    </dxf>
    <dxf>
      <fill>
        <patternFill patternType="solid">
          <fgColor rgb="FFDCE6F1"/>
          <bgColor rgb="FFDCE6F1"/>
        </patternFill>
      </fill>
    </dxf>
    <dxf>
      <font>
        <b/>
        <color rgb="FF000000"/>
      </font>
    </dxf>
    <dxf>
      <font>
        <b/>
        <color rgb="FF000000"/>
      </font>
    </dxf>
    <dxf>
      <font>
        <b/>
        <color rgb="FF000000"/>
      </font>
      <border>
        <top style="double">
          <color rgb="FF4F81BD"/>
        </top>
      </border>
    </dxf>
    <dxf>
      <font>
        <b/>
        <color rgb="FFFFFFFF"/>
      </font>
      <fill>
        <patternFill patternType="solid">
          <fgColor rgb="FF4F81BD"/>
          <bgColor rgb="FF4F81BD"/>
        </patternFill>
      </fill>
    </dxf>
    <dxf>
      <font>
        <color rgb="FF000000"/>
      </font>
      <border>
        <left style="thin">
          <color rgb="FF95B3D7"/>
        </left>
        <right style="thin">
          <color rgb="FF95B3D7"/>
        </right>
        <top style="thin">
          <color rgb="FF95B3D7"/>
        </top>
        <bottom style="thin">
          <color rgb="FF95B3D7"/>
        </bottom>
        <horizontal style="thin">
          <color rgb="FF95B3D7"/>
        </horizontal>
      </border>
    </dxf>
    <dxf>
      <fill>
        <patternFill patternType="solid">
          <fgColor rgb="FFDCE6F1"/>
          <bgColor rgb="FFDCE6F1"/>
        </patternFill>
      </fill>
    </dxf>
    <dxf>
      <fill>
        <patternFill patternType="solid">
          <fgColor rgb="FFDCE6F1"/>
          <bgColor rgb="FFDCE6F1"/>
        </patternFill>
      </fill>
    </dxf>
    <dxf>
      <font>
        <b/>
        <color rgb="FF000000"/>
      </font>
    </dxf>
    <dxf>
      <font>
        <b/>
        <color rgb="FF000000"/>
      </font>
    </dxf>
    <dxf>
      <font>
        <b/>
        <color rgb="FF000000"/>
      </font>
      <border>
        <top style="double">
          <color rgb="FF4F81BD"/>
        </top>
      </border>
    </dxf>
    <dxf>
      <font>
        <b/>
        <color rgb="FFFFFFFF"/>
      </font>
      <fill>
        <patternFill patternType="solid">
          <fgColor rgb="FF4F81BD"/>
          <bgColor rgb="FF4F81BD"/>
        </patternFill>
      </fill>
    </dxf>
    <dxf>
      <font>
        <color rgb="FF000000"/>
      </font>
      <border>
        <left style="thin">
          <color rgb="FF95B3D7"/>
        </left>
        <right style="thin">
          <color rgb="FF95B3D7"/>
        </right>
        <top style="thin">
          <color rgb="FF95B3D7"/>
        </top>
        <bottom style="thin">
          <color rgb="FF95B3D7"/>
        </bottom>
        <horizontal style="thin">
          <color rgb="FF95B3D7"/>
        </horizontal>
      </border>
    </dxf>
    <dxf>
      <fill>
        <patternFill patternType="solid">
          <fgColor rgb="FFDCE6F1"/>
          <bgColor rgb="FFDCE6F1"/>
        </patternFill>
      </fill>
    </dxf>
    <dxf>
      <fill>
        <patternFill patternType="solid">
          <fgColor rgb="FFDCE6F1"/>
          <bgColor rgb="FFDCE6F1"/>
        </patternFill>
      </fill>
    </dxf>
    <dxf>
      <font>
        <b/>
        <color rgb="FF000000"/>
      </font>
    </dxf>
    <dxf>
      <font>
        <b/>
        <color rgb="FF000000"/>
      </font>
    </dxf>
    <dxf>
      <font>
        <b/>
        <color rgb="FF000000"/>
      </font>
      <border>
        <top style="double">
          <color rgb="FF4F81BD"/>
        </top>
      </border>
    </dxf>
    <dxf>
      <font>
        <b/>
        <color rgb="FFFFFFFF"/>
      </font>
      <fill>
        <patternFill patternType="solid">
          <fgColor rgb="FF4F81BD"/>
          <bgColor rgb="FF4F81BD"/>
        </patternFill>
      </fill>
    </dxf>
    <dxf>
      <font>
        <color rgb="FF000000"/>
      </font>
      <border>
        <left style="thin">
          <color rgb="FF95B3D7"/>
        </left>
        <right style="thin">
          <color rgb="FF95B3D7"/>
        </right>
        <top style="thin">
          <color rgb="FF95B3D7"/>
        </top>
        <bottom style="thin">
          <color rgb="FF95B3D7"/>
        </bottom>
        <horizontal style="thin">
          <color rgb="FF95B3D7"/>
        </horizontal>
      </border>
    </dxf>
    <dxf>
      <fill>
        <patternFill>
          <bgColor theme="4" tint="0.79998168889431442"/>
        </patternFill>
      </fill>
    </dxf>
    <dxf>
      <font>
        <b/>
        <i val="0"/>
      </font>
      <border>
        <top style="thin">
          <color auto="1"/>
        </top>
      </border>
    </dxf>
    <dxf>
      <font>
        <b/>
        <i val="0"/>
      </font>
      <fill>
        <patternFill patternType="none">
          <bgColor auto="1"/>
        </patternFill>
      </fill>
      <border>
        <bottom style="thin">
          <color theme="0" tint="-0.34998626667073579"/>
        </bottom>
      </border>
    </dxf>
    <dxf>
      <border>
        <top style="thin">
          <color theme="1" tint="4.9989318521683403E-2"/>
        </top>
        <bottom style="thin">
          <color theme="1" tint="4.9989318521683403E-2"/>
        </bottom>
      </border>
    </dxf>
    <dxf>
      <fill>
        <patternFill>
          <bgColor theme="4" tint="0.79998168889431442"/>
        </patternFill>
      </fill>
    </dxf>
    <dxf>
      <font>
        <b/>
        <i val="0"/>
      </font>
      <border>
        <top style="thin">
          <color auto="1"/>
        </top>
      </border>
    </dxf>
    <dxf>
      <font>
        <b/>
        <i val="0"/>
      </font>
      <fill>
        <patternFill patternType="none">
          <bgColor auto="1"/>
        </patternFill>
      </fill>
      <border>
        <bottom style="thin">
          <color theme="0" tint="-0.34998626667073579"/>
        </bottom>
      </border>
    </dxf>
    <dxf>
      <border>
        <top style="thin">
          <color theme="1" tint="4.9989318521683403E-2"/>
        </top>
        <bottom style="thin">
          <color theme="1" tint="4.9989318521683403E-2"/>
        </bottom>
      </border>
    </dxf>
    <dxf>
      <fill>
        <patternFill>
          <bgColor theme="4" tint="0.79998168889431442"/>
        </patternFill>
      </fill>
    </dxf>
    <dxf>
      <font>
        <b/>
        <i val="0"/>
      </font>
      <border>
        <top style="thin">
          <color auto="1"/>
        </top>
      </border>
    </dxf>
    <dxf>
      <font>
        <b/>
        <i val="0"/>
      </font>
      <fill>
        <patternFill patternType="none">
          <bgColor auto="1"/>
        </patternFill>
      </fill>
      <border>
        <bottom style="thin">
          <color theme="0" tint="-0.34998626667073579"/>
        </bottom>
      </border>
    </dxf>
    <dxf>
      <border>
        <top style="thin">
          <color theme="1" tint="4.9989318521683403E-2"/>
        </top>
        <bottom style="thin">
          <color theme="1" tint="4.9989318521683403E-2"/>
        </bottom>
      </border>
    </dxf>
    <dxf>
      <fill>
        <patternFill>
          <bgColor rgb="FFDCE6F1"/>
        </patternFill>
      </fill>
    </dxf>
    <dxf>
      <font>
        <b/>
        <i val="0"/>
      </font>
      <border>
        <top style="thin">
          <color auto="1"/>
        </top>
      </border>
    </dxf>
    <dxf>
      <font>
        <b/>
        <i val="0"/>
      </font>
      <fill>
        <patternFill patternType="none">
          <bgColor auto="1"/>
        </patternFill>
      </fill>
      <border>
        <bottom style="thin">
          <color rgb="FFA6A6A6"/>
        </bottom>
      </border>
    </dxf>
    <dxf>
      <border>
        <top style="thin">
          <color rgb="FF0D0D0D"/>
        </top>
        <bottom style="thin">
          <color rgb="FF0D0D0D"/>
        </bottom>
      </border>
    </dxf>
    <dxf>
      <fill>
        <patternFill>
          <bgColor theme="4" tint="0.79998168889431442"/>
        </patternFill>
      </fill>
    </dxf>
    <dxf>
      <font>
        <b/>
        <i val="0"/>
      </font>
      <border>
        <top style="thin">
          <color auto="1"/>
        </top>
      </border>
    </dxf>
    <dxf>
      <font>
        <b/>
        <i val="0"/>
      </font>
      <fill>
        <patternFill patternType="none">
          <bgColor auto="1"/>
        </patternFill>
      </fill>
      <border>
        <bottom style="thin">
          <color theme="0" tint="-0.34998626667073579"/>
        </bottom>
      </border>
    </dxf>
    <dxf>
      <border>
        <top style="thin">
          <color theme="1" tint="4.9989318521683403E-2"/>
        </top>
        <bottom style="thin">
          <color theme="1" tint="4.9989318521683403E-2"/>
        </bottom>
      </border>
    </dxf>
    <dxf>
      <fill>
        <patternFill>
          <bgColor theme="4" tint="0.79998168889431442"/>
        </patternFill>
      </fill>
    </dxf>
    <dxf>
      <font>
        <b/>
        <i val="0"/>
      </font>
      <border>
        <top style="thin">
          <color auto="1"/>
        </top>
      </border>
    </dxf>
    <dxf>
      <font>
        <b/>
        <i val="0"/>
      </font>
      <fill>
        <patternFill patternType="none">
          <bgColor auto="1"/>
        </patternFill>
      </fill>
      <border>
        <bottom style="thin">
          <color theme="0" tint="-0.34998626667073579"/>
        </bottom>
      </border>
    </dxf>
    <dxf>
      <border>
        <top style="thin">
          <color theme="1" tint="4.9989318521683403E-2"/>
        </top>
        <bottom style="thin">
          <color theme="1" tint="4.9989318521683403E-2"/>
        </bottom>
      </border>
    </dxf>
    <dxf>
      <fill>
        <patternFill>
          <bgColor rgb="FFDCE6F1"/>
        </patternFill>
      </fill>
    </dxf>
    <dxf>
      <font>
        <b/>
        <i val="0"/>
      </font>
      <border>
        <top style="thin">
          <color auto="1"/>
        </top>
      </border>
    </dxf>
    <dxf>
      <font>
        <b/>
        <i val="0"/>
      </font>
      <fill>
        <patternFill patternType="none">
          <bgColor auto="1"/>
        </patternFill>
      </fill>
      <border>
        <bottom style="thin">
          <color rgb="FFA6A6A6"/>
        </bottom>
      </border>
    </dxf>
    <dxf>
      <border>
        <top style="thin">
          <color rgb="FF0D0D0D"/>
        </top>
        <bottom style="thin">
          <color rgb="FF0D0D0D"/>
        </bottom>
      </border>
    </dxf>
    <dxf>
      <fill>
        <patternFill>
          <bgColor theme="4" tint="0.79998168889431442"/>
        </patternFill>
      </fill>
    </dxf>
    <dxf>
      <font>
        <b/>
        <i val="0"/>
      </font>
      <border>
        <top style="thin">
          <color auto="1"/>
        </top>
      </border>
    </dxf>
    <dxf>
      <font>
        <b/>
        <i val="0"/>
      </font>
      <fill>
        <patternFill patternType="none">
          <bgColor auto="1"/>
        </patternFill>
      </fill>
      <border>
        <bottom style="thin">
          <color theme="0" tint="-0.34998626667073579"/>
        </bottom>
      </border>
    </dxf>
    <dxf>
      <border>
        <top style="thin">
          <color theme="1" tint="4.9989318521683403E-2"/>
        </top>
        <bottom style="thin">
          <color theme="1" tint="4.9989318521683403E-2"/>
        </bottom>
      </border>
    </dxf>
  </dxfs>
  <tableStyles count="12" defaultTableStyle="TableStyleMedium2" defaultPivotStyle="PivotStyleLight16">
    <tableStyle name="EnergyCalcTables" pivot="0" count="4" xr9:uid="{7AB19CC7-DFDD-41B0-BE86-DC4B1EBBF87F}">
      <tableStyleElement type="wholeTable" dxfId="85"/>
      <tableStyleElement type="headerRow" dxfId="84"/>
      <tableStyleElement type="totalRow" dxfId="83"/>
      <tableStyleElement type="secondRowStripe" dxfId="82"/>
    </tableStyle>
    <tableStyle name="EnergyCalcTables 2" pivot="0" count="4" xr9:uid="{697E7F44-09DD-4E21-B2DC-971E3BE9BAF9}">
      <tableStyleElement type="wholeTable" dxfId="81"/>
      <tableStyleElement type="headerRow" dxfId="80"/>
      <tableStyleElement type="totalRow" dxfId="79"/>
      <tableStyleElement type="secondRowStripe" dxfId="78"/>
    </tableStyle>
    <tableStyle name="EnergyCalcTables 3" pivot="0" count="4" xr9:uid="{4079DD40-58E5-4400-84AE-79943D74812D}">
      <tableStyleElement type="wholeTable" dxfId="77"/>
      <tableStyleElement type="headerRow" dxfId="76"/>
      <tableStyleElement type="totalRow" dxfId="75"/>
      <tableStyleElement type="secondRowStripe" dxfId="74"/>
    </tableStyle>
    <tableStyle name="EnergyCalcTables 4" pivot="0" count="4" xr9:uid="{55282079-A46B-4040-9825-98C8E90035A2}">
      <tableStyleElement type="wholeTable" dxfId="73"/>
      <tableStyleElement type="headerRow" dxfId="72"/>
      <tableStyleElement type="totalRow" dxfId="71"/>
      <tableStyleElement type="secondRowStripe" dxfId="70"/>
    </tableStyle>
    <tableStyle name="EnergyCalcTables 5" pivot="0" count="4" xr9:uid="{04BD68E8-3749-4934-BAF0-50727B37AB3C}">
      <tableStyleElement type="wholeTable" dxfId="69"/>
      <tableStyleElement type="headerRow" dxfId="68"/>
      <tableStyleElement type="totalRow" dxfId="67"/>
      <tableStyleElement type="secondRowStripe" dxfId="66"/>
    </tableStyle>
    <tableStyle name="EnergyCalcTables 6" pivot="0" count="4" xr9:uid="{9C73A9F7-4044-4B08-9E2B-0D49DC6A6E73}">
      <tableStyleElement type="wholeTable" dxfId="65"/>
      <tableStyleElement type="headerRow" dxfId="64"/>
      <tableStyleElement type="totalRow" dxfId="63"/>
      <tableStyleElement type="secondRowStripe" dxfId="62"/>
    </tableStyle>
    <tableStyle name="EnergyCalcTables 7" pivot="0" count="4" xr9:uid="{E325CC12-D3D2-400F-817F-17393C93AE48}">
      <tableStyleElement type="wholeTable" dxfId="61"/>
      <tableStyleElement type="headerRow" dxfId="60"/>
      <tableStyleElement type="totalRow" dxfId="59"/>
      <tableStyleElement type="secondRowStripe" dxfId="58"/>
    </tableStyle>
    <tableStyle name="EnergyCalcTables 8" pivot="0" count="4" xr9:uid="{508035D2-4165-4F7D-AF31-35BE9B3FCC5A}">
      <tableStyleElement type="wholeTable" dxfId="57"/>
      <tableStyleElement type="headerRow" dxfId="56"/>
      <tableStyleElement type="totalRow" dxfId="55"/>
      <tableStyleElement type="secondRowStripe" dxfId="54"/>
    </tableStyle>
    <tableStyle name="TableStyleMedium2 2" pivot="0" count="7" xr9:uid="{ED640375-87EB-4734-8C0E-AC4223496D08}">
      <tableStyleElement type="wholeTable" dxfId="53"/>
      <tableStyleElement type="headerRow" dxfId="52"/>
      <tableStyleElement type="totalRow" dxfId="51"/>
      <tableStyleElement type="firstColumn" dxfId="50"/>
      <tableStyleElement type="lastColumn" dxfId="49"/>
      <tableStyleElement type="firstRowStripe" dxfId="48"/>
      <tableStyleElement type="firstColumnStripe" dxfId="47"/>
    </tableStyle>
    <tableStyle name="TableStyleMedium2 3" pivot="0" count="7" xr9:uid="{B1382472-4BE7-4F7E-A1A7-68E9162174BB}">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Medium2 4" pivot="0" count="7" xr9:uid="{8E3A0BD3-E993-44AA-800D-5266B2F04DB9}">
      <tableStyleElement type="wholeTable" dxfId="39"/>
      <tableStyleElement type="headerRow" dxfId="38"/>
      <tableStyleElement type="totalRow" dxfId="37"/>
      <tableStyleElement type="firstColumn" dxfId="36"/>
      <tableStyleElement type="lastColumn" dxfId="35"/>
      <tableStyleElement type="firstRowStripe" dxfId="34"/>
      <tableStyleElement type="firstColumnStripe" dxfId="33"/>
    </tableStyle>
    <tableStyle name="TableStyleMedium2 5" pivot="0" count="7" xr9:uid="{872C31E4-4136-4C94-A080-E570F28806BD}">
      <tableStyleElement type="wholeTable" dxfId="32"/>
      <tableStyleElement type="headerRow" dxfId="31"/>
      <tableStyleElement type="totalRow" dxfId="30"/>
      <tableStyleElement type="firstColumn" dxfId="29"/>
      <tableStyleElement type="lastColumn" dxfId="28"/>
      <tableStyleElement type="firstRowStripe" dxfId="27"/>
      <tableStyleElement type="firstColumnStripe" dxfId="26"/>
    </tableStyle>
  </tableStyles>
  <colors>
    <mruColors>
      <color rgb="FFFF99FF"/>
      <color rgb="FFFF79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2.xml"/><Relationship Id="rId89" Type="http://schemas.microsoft.com/office/2017/10/relationships/person" Target="persons/perso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Industry Sector </a:t>
            </a:r>
            <a:r>
              <a:rPr lang="en-US" sz="2000" baseline="0"/>
              <a:t>Feedstock Use</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9771608039591189E-2"/>
          <c:y val="0.16485237162663918"/>
          <c:w val="0.88572128667311856"/>
          <c:h val="0.709512587334585"/>
        </c:manualLayout>
      </c:layout>
      <c:barChart>
        <c:barDir val="col"/>
        <c:grouping val="stacked"/>
        <c:varyColors val="0"/>
        <c:ser>
          <c:idx val="0"/>
          <c:order val="0"/>
          <c:tx>
            <c:strRef>
              <c:f>'Output Graphs'!$A$47</c:f>
              <c:strCache>
                <c:ptCount val="1"/>
                <c:pt idx="0">
                  <c:v>Green hydrogen</c:v>
                </c:pt>
              </c:strCache>
            </c:strRef>
          </c:tx>
          <c:spPr>
            <a:solidFill>
              <a:srgbClr val="92D050"/>
            </a:solidFill>
            <a:ln>
              <a:noFill/>
            </a:ln>
            <a:effectLst/>
          </c:spPr>
          <c:invertIfNegative val="0"/>
          <c:cat>
            <c:strRef>
              <c:f>'Output Graphs'!$B$46:$H$46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Graphs'!$B$47:$H$47</c:f>
              <c:numCache>
                <c:formatCode>0.00</c:formatCode>
                <c:ptCount val="7"/>
                <c:pt idx="0">
                  <c:v>0</c:v>
                </c:pt>
                <c:pt idx="1">
                  <c:v>3.0748606290542</c:v>
                </c:pt>
                <c:pt idx="2">
                  <c:v>5.9633722119815555</c:v>
                </c:pt>
                <c:pt idx="3">
                  <c:v>0.29817321823368143</c:v>
                </c:pt>
                <c:pt idx="4">
                  <c:v>0</c:v>
                </c:pt>
                <c:pt idx="5">
                  <c:v>1.9716399951818344</c:v>
                </c:pt>
                <c:pt idx="6">
                  <c:v>0</c:v>
                </c:pt>
              </c:numCache>
            </c:numRef>
          </c:val>
          <c:extLst>
            <c:ext xmlns:c16="http://schemas.microsoft.com/office/drawing/2014/chart" uri="{C3380CC4-5D6E-409C-BE32-E72D297353CC}">
              <c16:uniqueId val="{00000000-C09B-43FF-8346-1E20016FFDFA}"/>
            </c:ext>
          </c:extLst>
        </c:ser>
        <c:ser>
          <c:idx val="1"/>
          <c:order val="1"/>
          <c:tx>
            <c:strRef>
              <c:f>'Output Graphs'!$A$48</c:f>
              <c:strCache>
                <c:ptCount val="1"/>
                <c:pt idx="0">
                  <c:v>Blue hydrogen</c:v>
                </c:pt>
              </c:strCache>
            </c:strRef>
          </c:tx>
          <c:spPr>
            <a:solidFill>
              <a:srgbClr val="00B0F0"/>
            </a:solidFill>
            <a:ln>
              <a:noFill/>
            </a:ln>
            <a:effectLst/>
          </c:spPr>
          <c:invertIfNegative val="0"/>
          <c:cat>
            <c:strRef>
              <c:f>'Output Graphs'!$B$46:$H$46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Graphs'!$B$48:$H$48</c:f>
              <c:numCache>
                <c:formatCode>0.00</c:formatCode>
                <c:ptCount val="7"/>
                <c:pt idx="0">
                  <c:v>0</c:v>
                </c:pt>
                <c:pt idx="1">
                  <c:v>0</c:v>
                </c:pt>
                <c:pt idx="2">
                  <c:v>0</c:v>
                </c:pt>
                <c:pt idx="3">
                  <c:v>0</c:v>
                </c:pt>
                <c:pt idx="4">
                  <c:v>5.5906556891894539</c:v>
                </c:pt>
                <c:pt idx="5">
                  <c:v>1.8449163774325199</c:v>
                </c:pt>
                <c:pt idx="6">
                  <c:v>0</c:v>
                </c:pt>
              </c:numCache>
            </c:numRef>
          </c:val>
          <c:extLst>
            <c:ext xmlns:c16="http://schemas.microsoft.com/office/drawing/2014/chart" uri="{C3380CC4-5D6E-409C-BE32-E72D297353CC}">
              <c16:uniqueId val="{00000001-C09B-43FF-8346-1E20016FFDFA}"/>
            </c:ext>
          </c:extLst>
        </c:ser>
        <c:ser>
          <c:idx val="5"/>
          <c:order val="2"/>
          <c:tx>
            <c:strRef>
              <c:f>'Output Graphs'!$A$49</c:f>
              <c:strCache>
                <c:ptCount val="1"/>
                <c:pt idx="0">
                  <c:v>Bioenergy</c:v>
                </c:pt>
              </c:strCache>
            </c:strRef>
          </c:tx>
          <c:spPr>
            <a:solidFill>
              <a:schemeClr val="accent6">
                <a:lumMod val="50000"/>
              </a:schemeClr>
            </a:solidFill>
            <a:ln>
              <a:noFill/>
            </a:ln>
            <a:effectLst/>
          </c:spPr>
          <c:invertIfNegative val="0"/>
          <c:cat>
            <c:strRef>
              <c:f>'Output Graphs'!$B$46:$H$46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Graphs'!$B$49:$H$49</c:f>
              <c:numCache>
                <c:formatCode>0.00</c:formatCode>
                <c:ptCount val="7"/>
                <c:pt idx="0">
                  <c:v>0</c:v>
                </c:pt>
                <c:pt idx="1">
                  <c:v>2.5157950601352543</c:v>
                </c:pt>
                <c:pt idx="2">
                  <c:v>0</c:v>
                </c:pt>
                <c:pt idx="3">
                  <c:v>5.5906556891894539</c:v>
                </c:pt>
                <c:pt idx="4">
                  <c:v>0</c:v>
                </c:pt>
                <c:pt idx="5">
                  <c:v>1.9008229343244145</c:v>
                </c:pt>
                <c:pt idx="6">
                  <c:v>0</c:v>
                </c:pt>
              </c:numCache>
            </c:numRef>
          </c:val>
          <c:extLst>
            <c:ext xmlns:c16="http://schemas.microsoft.com/office/drawing/2014/chart" uri="{C3380CC4-5D6E-409C-BE32-E72D297353CC}">
              <c16:uniqueId val="{00000000-1E93-4732-A337-F4D82673ABD4}"/>
            </c:ext>
          </c:extLst>
        </c:ser>
        <c:ser>
          <c:idx val="3"/>
          <c:order val="3"/>
          <c:tx>
            <c:strRef>
              <c:f>'Output Graphs'!$A$50</c:f>
              <c:strCache>
                <c:ptCount val="1"/>
                <c:pt idx="0">
                  <c:v>Fossil fuels with CCS</c:v>
                </c:pt>
              </c:strCache>
            </c:strRef>
          </c:tx>
          <c:spPr>
            <a:solidFill>
              <a:schemeClr val="accent4"/>
            </a:solidFill>
            <a:ln>
              <a:noFill/>
            </a:ln>
            <a:effectLst/>
          </c:spPr>
          <c:invertIfNegative val="0"/>
          <c:val>
            <c:numRef>
              <c:f>'Output Graphs'!$B$50:$H$50</c:f>
              <c:numCache>
                <c:formatCode>0.00</c:formatCode>
                <c:ptCount val="7"/>
                <c:pt idx="0">
                  <c:v>0</c:v>
                </c:pt>
                <c:pt idx="1">
                  <c:v>0</c:v>
                </c:pt>
                <c:pt idx="2">
                  <c:v>0</c:v>
                </c:pt>
                <c:pt idx="3">
                  <c:v>0</c:v>
                </c:pt>
                <c:pt idx="4">
                  <c:v>0.49324674160546789</c:v>
                </c:pt>
                <c:pt idx="5">
                  <c:v>0</c:v>
                </c:pt>
                <c:pt idx="6">
                  <c:v>0</c:v>
                </c:pt>
              </c:numCache>
            </c:numRef>
          </c:val>
          <c:extLst>
            <c:ext xmlns:c16="http://schemas.microsoft.com/office/drawing/2014/chart" uri="{C3380CC4-5D6E-409C-BE32-E72D297353CC}">
              <c16:uniqueId val="{00000000-1B81-4C78-B8F9-061703A7C7D9}"/>
            </c:ext>
          </c:extLst>
        </c:ser>
        <c:ser>
          <c:idx val="2"/>
          <c:order val="4"/>
          <c:tx>
            <c:strRef>
              <c:f>'Output Graphs'!$A$51</c:f>
              <c:strCache>
                <c:ptCount val="1"/>
                <c:pt idx="0">
                  <c:v>Fossil fuels without CCS</c:v>
                </c:pt>
              </c:strCache>
            </c:strRef>
          </c:tx>
          <c:spPr>
            <a:solidFill>
              <a:schemeClr val="accent4">
                <a:lumMod val="50000"/>
              </a:schemeClr>
            </a:solidFill>
            <a:ln>
              <a:noFill/>
            </a:ln>
            <a:effectLst/>
          </c:spPr>
          <c:invertIfNegative val="0"/>
          <c:cat>
            <c:strRef>
              <c:f>'Output Graphs'!$B$46:$H$46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Graphs'!$B$51:$H$51</c:f>
              <c:numCache>
                <c:formatCode>0.00</c:formatCode>
                <c:ptCount val="7"/>
                <c:pt idx="0">
                  <c:v>6.0016946405273437</c:v>
                </c:pt>
                <c:pt idx="1">
                  <c:v>0</c:v>
                </c:pt>
                <c:pt idx="2">
                  <c:v>0</c:v>
                </c:pt>
                <c:pt idx="3">
                  <c:v>0</c:v>
                </c:pt>
                <c:pt idx="4">
                  <c:v>0</c:v>
                </c:pt>
                <c:pt idx="5">
                  <c:v>0</c:v>
                </c:pt>
                <c:pt idx="6">
                  <c:v>6.0016946405273437</c:v>
                </c:pt>
              </c:numCache>
            </c:numRef>
          </c:val>
          <c:extLst>
            <c:ext xmlns:c16="http://schemas.microsoft.com/office/drawing/2014/chart" uri="{C3380CC4-5D6E-409C-BE32-E72D297353CC}">
              <c16:uniqueId val="{00000000-EC3C-42EF-941B-387F40C66DA7}"/>
            </c:ext>
          </c:extLst>
        </c:ser>
        <c:dLbls>
          <c:showLegendKey val="0"/>
          <c:showVal val="0"/>
          <c:showCatName val="0"/>
          <c:showSerName val="0"/>
          <c:showPercent val="0"/>
          <c:showBubbleSize val="0"/>
        </c:dLbls>
        <c:gapWidth val="150"/>
        <c:overlap val="100"/>
        <c:axId val="416330160"/>
        <c:axId val="422286048"/>
      </c:barChart>
      <c:catAx>
        <c:axId val="41633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2286048"/>
        <c:crosses val="autoZero"/>
        <c:auto val="1"/>
        <c:lblAlgn val="ctr"/>
        <c:lblOffset val="100"/>
        <c:noMultiLvlLbl val="0"/>
      </c:catAx>
      <c:valAx>
        <c:axId val="422286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Exajoules (EJ)</a:t>
                </a:r>
              </a:p>
            </c:rich>
          </c:tx>
          <c:layout>
            <c:manualLayout>
              <c:xMode val="edge"/>
              <c:yMode val="edge"/>
              <c:x val="9.3316419475081552E-3"/>
              <c:y val="0.43415639692191776"/>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16330160"/>
        <c:crosses val="autoZero"/>
        <c:crossBetween val="between"/>
      </c:valAx>
      <c:spPr>
        <a:noFill/>
        <a:ln>
          <a:noFill/>
        </a:ln>
        <a:effectLst/>
      </c:spPr>
    </c:plotArea>
    <c:legend>
      <c:legendPos val="t"/>
      <c:layout>
        <c:manualLayout>
          <c:xMode val="edge"/>
          <c:yMode val="edge"/>
          <c:x val="2.3476473243169007E-2"/>
          <c:y val="8.7206447569784698E-2"/>
          <c:w val="0.95642064432007035"/>
          <c:h val="5.2088704432906592E-2"/>
        </c:manualLayout>
      </c:layout>
      <c:overlay val="0"/>
      <c:spPr>
        <a:solidFill>
          <a:schemeClr val="bg1"/>
        </a:solid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Capacity Used to Generate Electricity for</a:t>
            </a:r>
            <a:r>
              <a:rPr lang="en-US" sz="2000" baseline="0"/>
              <a:t> Industry</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86679124782071"/>
          <c:y val="0.23375717886749303"/>
          <c:w val="0.85996432108777054"/>
          <c:h val="0.65382396507367269"/>
        </c:manualLayout>
      </c:layout>
      <c:barChart>
        <c:barDir val="col"/>
        <c:grouping val="stacked"/>
        <c:varyColors val="0"/>
        <c:ser>
          <c:idx val="0"/>
          <c:order val="0"/>
          <c:tx>
            <c:strRef>
              <c:f>'Output Graphs'!$A$424</c:f>
              <c:strCache>
                <c:ptCount val="1"/>
                <c:pt idx="0">
                  <c:v>Capacity serving rest of economy</c:v>
                </c:pt>
              </c:strCache>
            </c:strRef>
          </c:tx>
          <c:spPr>
            <a:solidFill>
              <a:schemeClr val="bg1">
                <a:lumMod val="75000"/>
              </a:schemeClr>
            </a:solidFill>
            <a:ln>
              <a:noFill/>
            </a:ln>
            <a:effectLst/>
          </c:spPr>
          <c:invertIfNegative val="0"/>
          <c:cat>
            <c:strRef>
              <c:f>'Output Graphs'!$B$423:$H$423</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Graphs'!$B$424:$H$424</c:f>
              <c:numCache>
                <c:formatCode>0</c:formatCode>
                <c:ptCount val="7"/>
                <c:pt idx="0">
                  <c:v>815.29742571569807</c:v>
                </c:pt>
                <c:pt idx="1">
                  <c:v>815.29742571569807</c:v>
                </c:pt>
                <c:pt idx="2">
                  <c:v>815.29742571569807</c:v>
                </c:pt>
                <c:pt idx="3">
                  <c:v>815.29742571569807</c:v>
                </c:pt>
                <c:pt idx="4">
                  <c:v>815.29742571569807</c:v>
                </c:pt>
                <c:pt idx="5">
                  <c:v>815.29742571569807</c:v>
                </c:pt>
                <c:pt idx="6">
                  <c:v>815.29742571569807</c:v>
                </c:pt>
              </c:numCache>
            </c:numRef>
          </c:val>
          <c:extLst>
            <c:ext xmlns:c16="http://schemas.microsoft.com/office/drawing/2014/chart" uri="{C3380CC4-5D6E-409C-BE32-E72D297353CC}">
              <c16:uniqueId val="{00000000-5ECD-4908-81C7-484C2A1782B5}"/>
            </c:ext>
          </c:extLst>
        </c:ser>
        <c:ser>
          <c:idx val="1"/>
          <c:order val="1"/>
          <c:tx>
            <c:strRef>
              <c:f>'Output Graphs'!$A$425</c:f>
              <c:strCache>
                <c:ptCount val="1"/>
                <c:pt idx="0">
                  <c:v>Unabated sources</c:v>
                </c:pt>
              </c:strCache>
            </c:strRef>
          </c:tx>
          <c:spPr>
            <a:solidFill>
              <a:schemeClr val="accent4">
                <a:lumMod val="50000"/>
              </a:schemeClr>
            </a:solidFill>
            <a:ln>
              <a:noFill/>
            </a:ln>
            <a:effectLst/>
          </c:spPr>
          <c:invertIfNegative val="0"/>
          <c:cat>
            <c:strRef>
              <c:f>'Output Graphs'!$B$423:$H$423</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Graphs'!$B$425:$H$425</c:f>
              <c:numCache>
                <c:formatCode>0</c:formatCode>
                <c:ptCount val="7"/>
                <c:pt idx="0">
                  <c:v>183.3899702367371</c:v>
                </c:pt>
                <c:pt idx="1">
                  <c:v>0</c:v>
                </c:pt>
                <c:pt idx="2">
                  <c:v>0</c:v>
                </c:pt>
                <c:pt idx="3">
                  <c:v>0</c:v>
                </c:pt>
                <c:pt idx="4">
                  <c:v>0</c:v>
                </c:pt>
                <c:pt idx="5">
                  <c:v>0</c:v>
                </c:pt>
                <c:pt idx="6">
                  <c:v>0</c:v>
                </c:pt>
              </c:numCache>
            </c:numRef>
          </c:val>
          <c:extLst>
            <c:ext xmlns:c16="http://schemas.microsoft.com/office/drawing/2014/chart" uri="{C3380CC4-5D6E-409C-BE32-E72D297353CC}">
              <c16:uniqueId val="{00000001-5ECD-4908-81C7-484C2A1782B5}"/>
            </c:ext>
          </c:extLst>
        </c:ser>
        <c:ser>
          <c:idx val="2"/>
          <c:order val="2"/>
          <c:tx>
            <c:strRef>
              <c:f>'Output Graphs'!$A$426</c:f>
              <c:strCache>
                <c:ptCount val="1"/>
                <c:pt idx="0">
                  <c:v>Fossil fuels with CCS</c:v>
                </c:pt>
              </c:strCache>
            </c:strRef>
          </c:tx>
          <c:spPr>
            <a:solidFill>
              <a:srgbClr val="FFC000"/>
            </a:solidFill>
            <a:ln>
              <a:noFill/>
            </a:ln>
            <a:effectLst/>
          </c:spPr>
          <c:invertIfNegative val="0"/>
          <c:cat>
            <c:strRef>
              <c:f>'Output Graphs'!$B$423:$H$423</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Graphs'!$B$426:$H$426</c:f>
              <c:numCache>
                <c:formatCode>0</c:formatCode>
                <c:ptCount val="7"/>
                <c:pt idx="0">
                  <c:v>0</c:v>
                </c:pt>
                <c:pt idx="1">
                  <c:v>100.44119902790851</c:v>
                </c:pt>
                <c:pt idx="2">
                  <c:v>177.22692139224324</c:v>
                </c:pt>
                <c:pt idx="3">
                  <c:v>31.162796641389328</c:v>
                </c:pt>
                <c:pt idx="4">
                  <c:v>33.007589880248979</c:v>
                </c:pt>
                <c:pt idx="5">
                  <c:v>86.163557552102191</c:v>
                </c:pt>
                <c:pt idx="6">
                  <c:v>20.444910267624604</c:v>
                </c:pt>
              </c:numCache>
            </c:numRef>
          </c:val>
          <c:extLst>
            <c:ext xmlns:c16="http://schemas.microsoft.com/office/drawing/2014/chart" uri="{C3380CC4-5D6E-409C-BE32-E72D297353CC}">
              <c16:uniqueId val="{00000002-5ECD-4908-81C7-484C2A1782B5}"/>
            </c:ext>
          </c:extLst>
        </c:ser>
        <c:ser>
          <c:idx val="3"/>
          <c:order val="3"/>
          <c:tx>
            <c:strRef>
              <c:f>'Output Graphs'!$A$427</c:f>
              <c:strCache>
                <c:ptCount val="1"/>
                <c:pt idx="0">
                  <c:v>Nuclear</c:v>
                </c:pt>
              </c:strCache>
            </c:strRef>
          </c:tx>
          <c:spPr>
            <a:solidFill>
              <a:srgbClr val="7030A0"/>
            </a:solidFill>
            <a:ln>
              <a:noFill/>
            </a:ln>
            <a:effectLst/>
          </c:spPr>
          <c:invertIfNegative val="0"/>
          <c:cat>
            <c:strRef>
              <c:f>'Output Graphs'!$B$423:$H$423</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Graphs'!$B$427:$H$427</c:f>
              <c:numCache>
                <c:formatCode>0</c:formatCode>
                <c:ptCount val="7"/>
                <c:pt idx="0">
                  <c:v>24.725506698470184</c:v>
                </c:pt>
                <c:pt idx="1">
                  <c:v>70.22187724245552</c:v>
                </c:pt>
                <c:pt idx="2">
                  <c:v>123.90540175258563</c:v>
                </c:pt>
                <c:pt idx="3">
                  <c:v>21.78697687265964</c:v>
                </c:pt>
                <c:pt idx="4">
                  <c:v>23.076734916277964</c:v>
                </c:pt>
                <c:pt idx="5">
                  <c:v>60.23988980374245</c:v>
                </c:pt>
                <c:pt idx="6">
                  <c:v>14.293735966326294</c:v>
                </c:pt>
              </c:numCache>
            </c:numRef>
          </c:val>
          <c:extLst>
            <c:ext xmlns:c16="http://schemas.microsoft.com/office/drawing/2014/chart" uri="{C3380CC4-5D6E-409C-BE32-E72D297353CC}">
              <c16:uniqueId val="{00000003-5ECD-4908-81C7-484C2A1782B5}"/>
            </c:ext>
          </c:extLst>
        </c:ser>
        <c:ser>
          <c:idx val="4"/>
          <c:order val="4"/>
          <c:tx>
            <c:strRef>
              <c:f>'Output Graphs'!$A$428</c:f>
              <c:strCache>
                <c:ptCount val="1"/>
                <c:pt idx="0">
                  <c:v>Biomass</c:v>
                </c:pt>
              </c:strCache>
            </c:strRef>
          </c:tx>
          <c:spPr>
            <a:solidFill>
              <a:srgbClr val="92D050"/>
            </a:solidFill>
            <a:ln>
              <a:noFill/>
            </a:ln>
            <a:effectLst/>
          </c:spPr>
          <c:invertIfNegative val="0"/>
          <c:cat>
            <c:strRef>
              <c:f>'Output Graphs'!$B$423:$H$423</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Graphs'!$B$428:$H$428</c:f>
              <c:numCache>
                <c:formatCode>0</c:formatCode>
                <c:ptCount val="7"/>
                <c:pt idx="0">
                  <c:v>0.69845949449828848</c:v>
                </c:pt>
                <c:pt idx="1">
                  <c:v>94.309614203530387</c:v>
                </c:pt>
                <c:pt idx="2">
                  <c:v>166.40783607469353</c:v>
                </c:pt>
                <c:pt idx="3">
                  <c:v>29.260416613862656</c:v>
                </c:pt>
                <c:pt idx="4">
                  <c:v>30.992591660815179</c:v>
                </c:pt>
                <c:pt idx="5">
                  <c:v>80.903572934095962</c:v>
                </c:pt>
                <c:pt idx="6">
                  <c:v>19.196819815240545</c:v>
                </c:pt>
              </c:numCache>
            </c:numRef>
          </c:val>
          <c:extLst>
            <c:ext xmlns:c16="http://schemas.microsoft.com/office/drawing/2014/chart" uri="{C3380CC4-5D6E-409C-BE32-E72D297353CC}">
              <c16:uniqueId val="{00000004-5ECD-4908-81C7-484C2A1782B5}"/>
            </c:ext>
          </c:extLst>
        </c:ser>
        <c:ser>
          <c:idx val="5"/>
          <c:order val="5"/>
          <c:tx>
            <c:strRef>
              <c:f>'Output Graphs'!$A$429</c:f>
              <c:strCache>
                <c:ptCount val="1"/>
                <c:pt idx="0">
                  <c:v>Hydroelectric capacity</c:v>
                </c:pt>
              </c:strCache>
            </c:strRef>
          </c:tx>
          <c:spPr>
            <a:solidFill>
              <a:srgbClr val="002060"/>
            </a:solidFill>
            <a:ln>
              <a:noFill/>
            </a:ln>
            <a:effectLst/>
          </c:spPr>
          <c:invertIfNegative val="0"/>
          <c:cat>
            <c:strRef>
              <c:f>'Output Graphs'!$B$423:$H$423</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Graphs'!$B$429:$H$429</c:f>
              <c:numCache>
                <c:formatCode>0</c:formatCode>
                <c:ptCount val="7"/>
                <c:pt idx="0">
                  <c:v>20.667876223154536</c:v>
                </c:pt>
                <c:pt idx="1">
                  <c:v>28.966524362512903</c:v>
                </c:pt>
                <c:pt idx="2">
                  <c:v>51.110978222941576</c:v>
                </c:pt>
                <c:pt idx="3">
                  <c:v>8.9871279599720992</c:v>
                </c:pt>
                <c:pt idx="4">
                  <c:v>9.5191531529646625</c:v>
                </c:pt>
                <c:pt idx="5">
                  <c:v>24.848954544043757</c:v>
                </c:pt>
                <c:pt idx="6">
                  <c:v>5.896166086109595</c:v>
                </c:pt>
              </c:numCache>
            </c:numRef>
          </c:val>
          <c:extLst>
            <c:ext xmlns:c16="http://schemas.microsoft.com/office/drawing/2014/chart" uri="{C3380CC4-5D6E-409C-BE32-E72D297353CC}">
              <c16:uniqueId val="{00000005-5ECD-4908-81C7-484C2A1782B5}"/>
            </c:ext>
          </c:extLst>
        </c:ser>
        <c:ser>
          <c:idx val="6"/>
          <c:order val="6"/>
          <c:tx>
            <c:strRef>
              <c:f>'Output Graphs'!$A$430</c:f>
              <c:strCache>
                <c:ptCount val="1"/>
                <c:pt idx="0">
                  <c:v>Geothermal</c:v>
                </c:pt>
              </c:strCache>
            </c:strRef>
          </c:tx>
          <c:spPr>
            <a:solidFill>
              <a:srgbClr val="C00000"/>
            </a:solidFill>
            <a:ln>
              <a:noFill/>
            </a:ln>
            <a:effectLst/>
          </c:spPr>
          <c:invertIfNegative val="0"/>
          <c:cat>
            <c:strRef>
              <c:f>'Output Graphs'!$B$423:$H$423</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Graphs'!$B$430:$H$430</c:f>
              <c:numCache>
                <c:formatCode>0</c:formatCode>
                <c:ptCount val="7"/>
                <c:pt idx="0">
                  <c:v>0.66279667161904909</c:v>
                </c:pt>
                <c:pt idx="1">
                  <c:v>25.612505752116672</c:v>
                </c:pt>
                <c:pt idx="2">
                  <c:v>45.192864955022024</c:v>
                </c:pt>
                <c:pt idx="3">
                  <c:v>7.9465131435542764</c:v>
                </c:pt>
                <c:pt idx="4">
                  <c:v>8.4169354194634884</c:v>
                </c:pt>
                <c:pt idx="5">
                  <c:v>21.971707175786058</c:v>
                </c:pt>
                <c:pt idx="6">
                  <c:v>5.2134521182442723</c:v>
                </c:pt>
              </c:numCache>
            </c:numRef>
          </c:val>
          <c:extLst>
            <c:ext xmlns:c16="http://schemas.microsoft.com/office/drawing/2014/chart" uri="{C3380CC4-5D6E-409C-BE32-E72D297353CC}">
              <c16:uniqueId val="{00000006-5ECD-4908-81C7-484C2A1782B5}"/>
            </c:ext>
          </c:extLst>
        </c:ser>
        <c:ser>
          <c:idx val="7"/>
          <c:order val="7"/>
          <c:tx>
            <c:strRef>
              <c:f>'Output Graphs'!$A$431</c:f>
              <c:strCache>
                <c:ptCount val="1"/>
                <c:pt idx="0">
                  <c:v>Solar photovoltaic</c:v>
                </c:pt>
              </c:strCache>
            </c:strRef>
          </c:tx>
          <c:spPr>
            <a:solidFill>
              <a:srgbClr val="FFFF00"/>
            </a:solidFill>
            <a:ln>
              <a:noFill/>
            </a:ln>
            <a:effectLst/>
          </c:spPr>
          <c:invertIfNegative val="0"/>
          <c:cat>
            <c:strRef>
              <c:f>'Output Graphs'!$B$423:$H$423</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Graphs'!$B$431:$H$431</c:f>
              <c:numCache>
                <c:formatCode>0</c:formatCode>
                <c:ptCount val="7"/>
                <c:pt idx="0">
                  <c:v>19.947352898968177</c:v>
                </c:pt>
                <c:pt idx="1">
                  <c:v>788.07710006512832</c:v>
                </c:pt>
                <c:pt idx="2">
                  <c:v>1390.549690923755</c:v>
                </c:pt>
                <c:pt idx="3">
                  <c:v>244.50809672474696</c:v>
                </c:pt>
                <c:pt idx="4">
                  <c:v>258.98262829118426</c:v>
                </c:pt>
                <c:pt idx="5">
                  <c:v>676.05252848572491</c:v>
                </c:pt>
                <c:pt idx="6">
                  <c:v>160.41391133059304</c:v>
                </c:pt>
              </c:numCache>
            </c:numRef>
          </c:val>
          <c:extLst>
            <c:ext xmlns:c16="http://schemas.microsoft.com/office/drawing/2014/chart" uri="{C3380CC4-5D6E-409C-BE32-E72D297353CC}">
              <c16:uniqueId val="{00000007-5ECD-4908-81C7-484C2A1782B5}"/>
            </c:ext>
          </c:extLst>
        </c:ser>
        <c:ser>
          <c:idx val="8"/>
          <c:order val="8"/>
          <c:tx>
            <c:strRef>
              <c:f>'Output Graphs'!$A$432</c:f>
              <c:strCache>
                <c:ptCount val="1"/>
                <c:pt idx="0">
                  <c:v>Onshore wind</c:v>
                </c:pt>
              </c:strCache>
            </c:strRef>
          </c:tx>
          <c:spPr>
            <a:solidFill>
              <a:srgbClr val="00B0F0"/>
            </a:solidFill>
            <a:ln>
              <a:noFill/>
            </a:ln>
            <a:effectLst/>
          </c:spPr>
          <c:invertIfNegative val="0"/>
          <c:cat>
            <c:strRef>
              <c:f>'Output Graphs'!$B$423:$H$423</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Graphs'!$B$432:$H$432</c:f>
              <c:numCache>
                <c:formatCode>0</c:formatCode>
                <c:ptCount val="7"/>
                <c:pt idx="0">
                  <c:v>37.558019601873276</c:v>
                </c:pt>
                <c:pt idx="1">
                  <c:v>478.26792067834572</c:v>
                </c:pt>
                <c:pt idx="2">
                  <c:v>843.89624977436722</c:v>
                </c:pt>
                <c:pt idx="3">
                  <c:v>148.38697761919533</c:v>
                </c:pt>
                <c:pt idx="4">
                  <c:v>157.17127564600128</c:v>
                </c:pt>
                <c:pt idx="5">
                  <c:v>410.28249271738099</c:v>
                </c:pt>
                <c:pt idx="6">
                  <c:v>97.351931446330426</c:v>
                </c:pt>
              </c:numCache>
            </c:numRef>
          </c:val>
          <c:extLst>
            <c:ext xmlns:c16="http://schemas.microsoft.com/office/drawing/2014/chart" uri="{C3380CC4-5D6E-409C-BE32-E72D297353CC}">
              <c16:uniqueId val="{00000008-5ECD-4908-81C7-484C2A1782B5}"/>
            </c:ext>
          </c:extLst>
        </c:ser>
        <c:ser>
          <c:idx val="9"/>
          <c:order val="9"/>
          <c:tx>
            <c:strRef>
              <c:f>'Output Graphs'!$A$433</c:f>
              <c:strCache>
                <c:ptCount val="1"/>
                <c:pt idx="0">
                  <c:v>Offshore wind</c:v>
                </c:pt>
              </c:strCache>
            </c:strRef>
          </c:tx>
          <c:spPr>
            <a:solidFill>
              <a:srgbClr val="0070C0"/>
            </a:solidFill>
            <a:ln>
              <a:noFill/>
            </a:ln>
            <a:effectLst/>
          </c:spPr>
          <c:invertIfNegative val="0"/>
          <c:cat>
            <c:strRef>
              <c:f>'Output Graphs'!$B$423:$H$423</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Graphs'!$B$433:$H$433</c:f>
              <c:numCache>
                <c:formatCode>0</c:formatCode>
                <c:ptCount val="7"/>
                <c:pt idx="0">
                  <c:v>0.12052745898134326</c:v>
                </c:pt>
                <c:pt idx="1">
                  <c:v>64.498026413547606</c:v>
                </c:pt>
                <c:pt idx="2">
                  <c:v>113.80575667931325</c:v>
                </c:pt>
                <c:pt idx="3">
                  <c:v>20.011100030156566</c:v>
                </c:pt>
                <c:pt idx="4">
                  <c:v>21.195728690497855</c:v>
                </c:pt>
                <c:pt idx="5">
                  <c:v>55.329680098069602</c:v>
                </c:pt>
                <c:pt idx="6">
                  <c:v>13.128640191735085</c:v>
                </c:pt>
              </c:numCache>
            </c:numRef>
          </c:val>
          <c:extLst>
            <c:ext xmlns:c16="http://schemas.microsoft.com/office/drawing/2014/chart" uri="{C3380CC4-5D6E-409C-BE32-E72D297353CC}">
              <c16:uniqueId val="{00000009-5ECD-4908-81C7-484C2A1782B5}"/>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Electricity Generation Capacity (GW)</a:t>
                </a:r>
              </a:p>
            </c:rich>
          </c:tx>
          <c:layout>
            <c:manualLayout>
              <c:xMode val="edge"/>
              <c:yMode val="edge"/>
              <c:x val="1.3214411936852565E-2"/>
              <c:y val="0.29600725033133235"/>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ayout>
        <c:manualLayout>
          <c:xMode val="edge"/>
          <c:yMode val="edge"/>
          <c:x val="9.0280863914831283E-2"/>
          <c:y val="6.2959772355188279E-2"/>
          <c:w val="0.89449102386136337"/>
          <c:h val="0.1502258257321795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Industry Sector Non-Feedstock Energy </a:t>
            </a:r>
            <a:r>
              <a:rPr lang="en-US" sz="2000" baseline="0"/>
              <a:t>Use</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0390283302598809E-2"/>
          <c:y val="0.18335661068392348"/>
          <c:w val="0.8951026264998535"/>
          <c:h val="0.69100834827730062"/>
        </c:manualLayout>
      </c:layout>
      <c:barChart>
        <c:barDir val="col"/>
        <c:grouping val="stacked"/>
        <c:varyColors val="0"/>
        <c:ser>
          <c:idx val="0"/>
          <c:order val="0"/>
          <c:tx>
            <c:strRef>
              <c:f>'Output Graphs'!$A$3</c:f>
              <c:strCache>
                <c:ptCount val="1"/>
                <c:pt idx="0">
                  <c:v>Electricity (direct use)</c:v>
                </c:pt>
              </c:strCache>
            </c:strRef>
          </c:tx>
          <c:spPr>
            <a:solidFill>
              <a:srgbClr val="FFFF00"/>
            </a:solidFill>
            <a:ln>
              <a:noFill/>
            </a:ln>
            <a:effectLst/>
          </c:spPr>
          <c:invertIfNegative val="0"/>
          <c:cat>
            <c:strRef>
              <c:f>'Output Graphs'!$B$2:$H$2</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Graphs'!$B$3:$H$3</c:f>
              <c:numCache>
                <c:formatCode>0.00</c:formatCode>
                <c:ptCount val="7"/>
                <c:pt idx="0">
                  <c:v>3.6496440259232461</c:v>
                </c:pt>
                <c:pt idx="1">
                  <c:v>13.53721385278452</c:v>
                </c:pt>
                <c:pt idx="2">
                  <c:v>6.2015340918730608</c:v>
                </c:pt>
                <c:pt idx="3">
                  <c:v>5.1369442888214465</c:v>
                </c:pt>
                <c:pt idx="4">
                  <c:v>5.8922221540555402</c:v>
                </c:pt>
                <c:pt idx="5">
                  <c:v>7.3689886927598698</c:v>
                </c:pt>
                <c:pt idx="6">
                  <c:v>3.6496440259232461</c:v>
                </c:pt>
              </c:numCache>
            </c:numRef>
          </c:val>
          <c:extLst>
            <c:ext xmlns:c16="http://schemas.microsoft.com/office/drawing/2014/chart" uri="{C3380CC4-5D6E-409C-BE32-E72D297353CC}">
              <c16:uniqueId val="{00000000-7B02-4FC4-8F48-9E8346E95145}"/>
            </c:ext>
          </c:extLst>
        </c:ser>
        <c:ser>
          <c:idx val="1"/>
          <c:order val="1"/>
          <c:tx>
            <c:strRef>
              <c:f>'Output Graphs'!$A$4</c:f>
              <c:strCache>
                <c:ptCount val="1"/>
                <c:pt idx="0">
                  <c:v>Green hydrogen</c:v>
                </c:pt>
              </c:strCache>
            </c:strRef>
          </c:tx>
          <c:spPr>
            <a:solidFill>
              <a:srgbClr val="92D050"/>
            </a:solidFill>
            <a:ln>
              <a:noFill/>
            </a:ln>
            <a:effectLst/>
          </c:spPr>
          <c:invertIfNegative val="0"/>
          <c:cat>
            <c:strRef>
              <c:f>'Output Graphs'!$B$2:$H$2</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Graphs'!$B$4:$H$4</c:f>
              <c:numCache>
                <c:formatCode>0.00</c:formatCode>
                <c:ptCount val="7"/>
                <c:pt idx="0">
                  <c:v>0</c:v>
                </c:pt>
                <c:pt idx="1">
                  <c:v>0</c:v>
                </c:pt>
                <c:pt idx="2">
                  <c:v>11.841438473827356</c:v>
                </c:pt>
                <c:pt idx="3">
                  <c:v>0</c:v>
                </c:pt>
                <c:pt idx="4">
                  <c:v>0</c:v>
                </c:pt>
                <c:pt idx="5">
                  <c:v>3.6368757106353398</c:v>
                </c:pt>
                <c:pt idx="6">
                  <c:v>0</c:v>
                </c:pt>
              </c:numCache>
            </c:numRef>
          </c:val>
          <c:extLst>
            <c:ext xmlns:c16="http://schemas.microsoft.com/office/drawing/2014/chart" uri="{C3380CC4-5D6E-409C-BE32-E72D297353CC}">
              <c16:uniqueId val="{00000001-7B02-4FC4-8F48-9E8346E95145}"/>
            </c:ext>
          </c:extLst>
        </c:ser>
        <c:ser>
          <c:idx val="2"/>
          <c:order val="2"/>
          <c:tx>
            <c:strRef>
              <c:f>'Output Graphs'!$A$5</c:f>
              <c:strCache>
                <c:ptCount val="1"/>
                <c:pt idx="0">
                  <c:v>Bioenergy</c:v>
                </c:pt>
              </c:strCache>
            </c:strRef>
          </c:tx>
          <c:spPr>
            <a:solidFill>
              <a:schemeClr val="accent6">
                <a:lumMod val="50000"/>
              </a:schemeClr>
            </a:solidFill>
            <a:ln>
              <a:noFill/>
            </a:ln>
            <a:effectLst/>
          </c:spPr>
          <c:invertIfNegative val="0"/>
          <c:cat>
            <c:strRef>
              <c:f>'Output Graphs'!$B$2:$H$2</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Graphs'!$B$5:$H$5</c:f>
              <c:numCache>
                <c:formatCode>0.00</c:formatCode>
                <c:ptCount val="7"/>
                <c:pt idx="0">
                  <c:v>1.2294838162586879</c:v>
                </c:pt>
                <c:pt idx="1">
                  <c:v>1.3583966402096561</c:v>
                </c:pt>
                <c:pt idx="2">
                  <c:v>1.6480182766661706</c:v>
                </c:pt>
                <c:pt idx="3">
                  <c:v>13.757535637371687</c:v>
                </c:pt>
                <c:pt idx="4">
                  <c:v>1.6480182766661706</c:v>
                </c:pt>
                <c:pt idx="5">
                  <c:v>5.030901812558195</c:v>
                </c:pt>
                <c:pt idx="6">
                  <c:v>1.2294838162586879</c:v>
                </c:pt>
              </c:numCache>
            </c:numRef>
          </c:val>
          <c:extLst>
            <c:ext xmlns:c16="http://schemas.microsoft.com/office/drawing/2014/chart" uri="{C3380CC4-5D6E-409C-BE32-E72D297353CC}">
              <c16:uniqueId val="{00000005-6CDF-4B53-A6BA-5E83BFA8B80C}"/>
            </c:ext>
          </c:extLst>
        </c:ser>
        <c:ser>
          <c:idx val="3"/>
          <c:order val="3"/>
          <c:tx>
            <c:strRef>
              <c:f>'Output Graphs'!$A$6</c:f>
              <c:strCache>
                <c:ptCount val="1"/>
                <c:pt idx="0">
                  <c:v>Purchased heat (steam)</c:v>
                </c:pt>
              </c:strCache>
            </c:strRef>
          </c:tx>
          <c:spPr>
            <a:solidFill>
              <a:srgbClr val="C00000"/>
            </a:solidFill>
            <a:ln>
              <a:noFill/>
            </a:ln>
            <a:effectLst/>
          </c:spPr>
          <c:invertIfNegative val="0"/>
          <c:cat>
            <c:strRef>
              <c:f>'Output Graphs'!$B$2:$H$2</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Graphs'!$B$6:$H$6</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6-6CDF-4B53-A6BA-5E83BFA8B80C}"/>
            </c:ext>
          </c:extLst>
        </c:ser>
        <c:ser>
          <c:idx val="4"/>
          <c:order val="4"/>
          <c:tx>
            <c:strRef>
              <c:f>'Output Graphs'!$A$7</c:f>
              <c:strCache>
                <c:ptCount val="1"/>
                <c:pt idx="0">
                  <c:v>Fossil fuels with CCS</c:v>
                </c:pt>
              </c:strCache>
            </c:strRef>
          </c:tx>
          <c:spPr>
            <a:solidFill>
              <a:srgbClr val="FFC000"/>
            </a:solidFill>
            <a:ln>
              <a:noFill/>
            </a:ln>
            <a:effectLst/>
          </c:spPr>
          <c:invertIfNegative val="0"/>
          <c:cat>
            <c:strRef>
              <c:f>'Output Graphs'!$B$2:$H$2</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Graphs'!$B$7:$H$7</c:f>
              <c:numCache>
                <c:formatCode>0.00</c:formatCode>
                <c:ptCount val="7"/>
                <c:pt idx="0">
                  <c:v>0</c:v>
                </c:pt>
                <c:pt idx="1">
                  <c:v>0</c:v>
                </c:pt>
                <c:pt idx="2">
                  <c:v>0</c:v>
                </c:pt>
                <c:pt idx="3">
                  <c:v>0</c:v>
                </c:pt>
                <c:pt idx="4">
                  <c:v>15.033662185335599</c:v>
                </c:pt>
                <c:pt idx="5">
                  <c:v>4.3642508527624075</c:v>
                </c:pt>
                <c:pt idx="6">
                  <c:v>0</c:v>
                </c:pt>
              </c:numCache>
            </c:numRef>
          </c:val>
          <c:extLst>
            <c:ext xmlns:c16="http://schemas.microsoft.com/office/drawing/2014/chart" uri="{C3380CC4-5D6E-409C-BE32-E72D297353CC}">
              <c16:uniqueId val="{00000007-6CDF-4B53-A6BA-5E83BFA8B80C}"/>
            </c:ext>
          </c:extLst>
        </c:ser>
        <c:ser>
          <c:idx val="5"/>
          <c:order val="5"/>
          <c:tx>
            <c:strRef>
              <c:f>'Output Graphs'!$A$8</c:f>
              <c:strCache>
                <c:ptCount val="1"/>
                <c:pt idx="0">
                  <c:v>Fossil fuels without CCS</c:v>
                </c:pt>
              </c:strCache>
            </c:strRef>
          </c:tx>
          <c:spPr>
            <a:solidFill>
              <a:schemeClr val="accent4">
                <a:lumMod val="50000"/>
              </a:schemeClr>
            </a:solidFill>
            <a:ln>
              <a:noFill/>
            </a:ln>
            <a:effectLst/>
          </c:spPr>
          <c:invertIfNegative val="0"/>
          <c:cat>
            <c:strRef>
              <c:f>'Output Graphs'!$B$2:$H$2</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Graphs'!$B$8:$H$8</c:f>
              <c:numCache>
                <c:formatCode>0.00</c:formatCode>
                <c:ptCount val="7"/>
                <c:pt idx="0">
                  <c:v>15.913442060430881</c:v>
                </c:pt>
                <c:pt idx="1">
                  <c:v>0</c:v>
                </c:pt>
                <c:pt idx="2">
                  <c:v>0</c:v>
                </c:pt>
                <c:pt idx="3">
                  <c:v>0</c:v>
                </c:pt>
                <c:pt idx="4">
                  <c:v>0</c:v>
                </c:pt>
                <c:pt idx="5">
                  <c:v>0</c:v>
                </c:pt>
                <c:pt idx="6">
                  <c:v>15.913442060430881</c:v>
                </c:pt>
              </c:numCache>
            </c:numRef>
          </c:val>
          <c:extLst>
            <c:ext xmlns:c16="http://schemas.microsoft.com/office/drawing/2014/chart" uri="{C3380CC4-5D6E-409C-BE32-E72D297353CC}">
              <c16:uniqueId val="{00000008-6CDF-4B53-A6BA-5E83BFA8B80C}"/>
            </c:ext>
          </c:extLst>
        </c:ser>
        <c:dLbls>
          <c:showLegendKey val="0"/>
          <c:showVal val="0"/>
          <c:showCatName val="0"/>
          <c:showSerName val="0"/>
          <c:showPercent val="0"/>
          <c:showBubbleSize val="0"/>
        </c:dLbls>
        <c:gapWidth val="150"/>
        <c:overlap val="100"/>
        <c:axId val="416330160"/>
        <c:axId val="422286048"/>
      </c:barChart>
      <c:catAx>
        <c:axId val="41633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2286048"/>
        <c:crosses val="autoZero"/>
        <c:auto val="1"/>
        <c:lblAlgn val="ctr"/>
        <c:lblOffset val="100"/>
        <c:noMultiLvlLbl val="0"/>
      </c:catAx>
      <c:valAx>
        <c:axId val="422286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Exajoules (EJ)</a:t>
                </a:r>
              </a:p>
            </c:rich>
          </c:tx>
          <c:layout>
            <c:manualLayout>
              <c:xMode val="edge"/>
              <c:yMode val="edge"/>
              <c:x val="1.2012012012012012E-2"/>
              <c:y val="0.3992039543473011"/>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16330160"/>
        <c:crosses val="autoZero"/>
        <c:crossBetween val="between"/>
      </c:valAx>
      <c:spPr>
        <a:noFill/>
        <a:ln>
          <a:noFill/>
        </a:ln>
        <a:effectLst/>
      </c:spPr>
    </c:plotArea>
    <c:legend>
      <c:legendPos val="t"/>
      <c:layout>
        <c:manualLayout>
          <c:xMode val="edge"/>
          <c:yMode val="edge"/>
          <c:x val="0.14210206043647855"/>
          <c:y val="7.8982341322102773E-2"/>
          <c:w val="0.7716959192699987"/>
          <c:h val="0.10109336902293246"/>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Industry Sector </a:t>
            </a:r>
            <a:r>
              <a:rPr lang="en-US" sz="2000" baseline="0"/>
              <a:t>Feedstock Use</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9771608039591189E-2"/>
          <c:y val="0.16485237162663918"/>
          <c:w val="0.88572128667311856"/>
          <c:h val="0.709512587334585"/>
        </c:manualLayout>
      </c:layout>
      <c:barChart>
        <c:barDir val="col"/>
        <c:grouping val="stacked"/>
        <c:varyColors val="0"/>
        <c:ser>
          <c:idx val="0"/>
          <c:order val="0"/>
          <c:tx>
            <c:strRef>
              <c:f>'Output Graphs excl. Custom'!$A$47</c:f>
              <c:strCache>
                <c:ptCount val="1"/>
                <c:pt idx="0">
                  <c:v>Green hydrogen</c:v>
                </c:pt>
              </c:strCache>
            </c:strRef>
          </c:tx>
          <c:spPr>
            <a:solidFill>
              <a:srgbClr val="92D050"/>
            </a:solidFill>
            <a:ln>
              <a:noFill/>
            </a:ln>
            <a:effectLst/>
          </c:spPr>
          <c:invertIfNegative val="0"/>
          <c:cat>
            <c:strRef>
              <c:f>'Output Graphs excl. Custom'!$B$46:$G$46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Custom'!$B$47:$G$47</c:f>
              <c:numCache>
                <c:formatCode>0.00</c:formatCode>
                <c:ptCount val="6"/>
                <c:pt idx="0">
                  <c:v>0</c:v>
                </c:pt>
                <c:pt idx="1">
                  <c:v>3.0748606290542</c:v>
                </c:pt>
                <c:pt idx="2">
                  <c:v>5.9633722119815555</c:v>
                </c:pt>
                <c:pt idx="3">
                  <c:v>0.29817321823368143</c:v>
                </c:pt>
                <c:pt idx="4">
                  <c:v>0</c:v>
                </c:pt>
                <c:pt idx="5">
                  <c:v>1.9716399951818344</c:v>
                </c:pt>
              </c:numCache>
            </c:numRef>
          </c:val>
          <c:extLst>
            <c:ext xmlns:c16="http://schemas.microsoft.com/office/drawing/2014/chart" uri="{C3380CC4-5D6E-409C-BE32-E72D297353CC}">
              <c16:uniqueId val="{00000000-AD4D-4B17-98E2-04F51A7A4BC7}"/>
            </c:ext>
          </c:extLst>
        </c:ser>
        <c:ser>
          <c:idx val="1"/>
          <c:order val="1"/>
          <c:tx>
            <c:strRef>
              <c:f>'Output Graphs excl. Custom'!$A$48</c:f>
              <c:strCache>
                <c:ptCount val="1"/>
                <c:pt idx="0">
                  <c:v>Blue hydrogen</c:v>
                </c:pt>
              </c:strCache>
            </c:strRef>
          </c:tx>
          <c:spPr>
            <a:solidFill>
              <a:srgbClr val="00B0F0"/>
            </a:solidFill>
            <a:ln>
              <a:noFill/>
            </a:ln>
            <a:effectLst/>
          </c:spPr>
          <c:invertIfNegative val="0"/>
          <c:cat>
            <c:strRef>
              <c:f>'Output Graphs excl. Custom'!$B$46:$G$46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Custom'!$B$48:$G$48</c:f>
              <c:numCache>
                <c:formatCode>0.00</c:formatCode>
                <c:ptCount val="6"/>
                <c:pt idx="0">
                  <c:v>0</c:v>
                </c:pt>
                <c:pt idx="1">
                  <c:v>0</c:v>
                </c:pt>
                <c:pt idx="2">
                  <c:v>0</c:v>
                </c:pt>
                <c:pt idx="3">
                  <c:v>0</c:v>
                </c:pt>
                <c:pt idx="4">
                  <c:v>5.5906556891894539</c:v>
                </c:pt>
                <c:pt idx="5">
                  <c:v>1.8449163774325199</c:v>
                </c:pt>
              </c:numCache>
            </c:numRef>
          </c:val>
          <c:extLst>
            <c:ext xmlns:c16="http://schemas.microsoft.com/office/drawing/2014/chart" uri="{C3380CC4-5D6E-409C-BE32-E72D297353CC}">
              <c16:uniqueId val="{00000001-AD4D-4B17-98E2-04F51A7A4BC7}"/>
            </c:ext>
          </c:extLst>
        </c:ser>
        <c:ser>
          <c:idx val="5"/>
          <c:order val="2"/>
          <c:tx>
            <c:strRef>
              <c:f>'Output Graphs excl. Custom'!$A$49</c:f>
              <c:strCache>
                <c:ptCount val="1"/>
                <c:pt idx="0">
                  <c:v>Bioenergy</c:v>
                </c:pt>
              </c:strCache>
            </c:strRef>
          </c:tx>
          <c:spPr>
            <a:solidFill>
              <a:schemeClr val="accent6">
                <a:lumMod val="50000"/>
              </a:schemeClr>
            </a:solidFill>
            <a:ln>
              <a:noFill/>
            </a:ln>
            <a:effectLst/>
          </c:spPr>
          <c:invertIfNegative val="0"/>
          <c:cat>
            <c:strRef>
              <c:f>'Output Graphs excl. Custom'!$B$46:$G$46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Custom'!$B$49:$G$49</c:f>
              <c:numCache>
                <c:formatCode>0.00</c:formatCode>
                <c:ptCount val="6"/>
                <c:pt idx="0">
                  <c:v>0</c:v>
                </c:pt>
                <c:pt idx="1">
                  <c:v>2.5157950601352543</c:v>
                </c:pt>
                <c:pt idx="2">
                  <c:v>0</c:v>
                </c:pt>
                <c:pt idx="3">
                  <c:v>5.5906556891894539</c:v>
                </c:pt>
                <c:pt idx="4">
                  <c:v>0</c:v>
                </c:pt>
                <c:pt idx="5">
                  <c:v>1.9008229343244145</c:v>
                </c:pt>
              </c:numCache>
            </c:numRef>
          </c:val>
          <c:extLst>
            <c:ext xmlns:c16="http://schemas.microsoft.com/office/drawing/2014/chart" uri="{C3380CC4-5D6E-409C-BE32-E72D297353CC}">
              <c16:uniqueId val="{00000002-AD4D-4B17-98E2-04F51A7A4BC7}"/>
            </c:ext>
          </c:extLst>
        </c:ser>
        <c:ser>
          <c:idx val="3"/>
          <c:order val="3"/>
          <c:tx>
            <c:strRef>
              <c:f>'Output Graphs excl. Custom'!$A$50</c:f>
              <c:strCache>
                <c:ptCount val="1"/>
                <c:pt idx="0">
                  <c:v>Fossil fuels with CCS</c:v>
                </c:pt>
              </c:strCache>
            </c:strRef>
          </c:tx>
          <c:spPr>
            <a:solidFill>
              <a:schemeClr val="accent4"/>
            </a:solidFill>
            <a:ln>
              <a:noFill/>
            </a:ln>
            <a:effectLst/>
          </c:spPr>
          <c:invertIfNegative val="0"/>
          <c:cat>
            <c:strRef>
              <c:f>'Output Graphs excl. Custom'!$B$46:$G$46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Custom'!$B$50:$G$50</c:f>
              <c:numCache>
                <c:formatCode>0.00</c:formatCode>
                <c:ptCount val="6"/>
                <c:pt idx="0">
                  <c:v>0</c:v>
                </c:pt>
                <c:pt idx="1">
                  <c:v>0</c:v>
                </c:pt>
                <c:pt idx="2">
                  <c:v>0</c:v>
                </c:pt>
                <c:pt idx="3">
                  <c:v>0</c:v>
                </c:pt>
                <c:pt idx="4">
                  <c:v>0.49324674160546789</c:v>
                </c:pt>
                <c:pt idx="5">
                  <c:v>0</c:v>
                </c:pt>
              </c:numCache>
            </c:numRef>
          </c:val>
          <c:extLst>
            <c:ext xmlns:c16="http://schemas.microsoft.com/office/drawing/2014/chart" uri="{C3380CC4-5D6E-409C-BE32-E72D297353CC}">
              <c16:uniqueId val="{00000003-AD4D-4B17-98E2-04F51A7A4BC7}"/>
            </c:ext>
          </c:extLst>
        </c:ser>
        <c:ser>
          <c:idx val="2"/>
          <c:order val="4"/>
          <c:tx>
            <c:strRef>
              <c:f>'Output Graphs excl. Custom'!$A$51</c:f>
              <c:strCache>
                <c:ptCount val="1"/>
                <c:pt idx="0">
                  <c:v>Fossil fuels without CCS</c:v>
                </c:pt>
              </c:strCache>
            </c:strRef>
          </c:tx>
          <c:spPr>
            <a:solidFill>
              <a:schemeClr val="accent4">
                <a:lumMod val="50000"/>
              </a:schemeClr>
            </a:solidFill>
            <a:ln>
              <a:noFill/>
            </a:ln>
            <a:effectLst/>
          </c:spPr>
          <c:invertIfNegative val="0"/>
          <c:cat>
            <c:strRef>
              <c:f>'Output Graphs excl. Custom'!$B$46:$G$46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Custom'!$B$51:$G$51</c:f>
              <c:numCache>
                <c:formatCode>0.00</c:formatCode>
                <c:ptCount val="6"/>
                <c:pt idx="0">
                  <c:v>6.0016946405273437</c:v>
                </c:pt>
                <c:pt idx="1">
                  <c:v>0</c:v>
                </c:pt>
                <c:pt idx="2">
                  <c:v>0</c:v>
                </c:pt>
                <c:pt idx="3">
                  <c:v>0</c:v>
                </c:pt>
                <c:pt idx="4">
                  <c:v>0</c:v>
                </c:pt>
                <c:pt idx="5">
                  <c:v>0</c:v>
                </c:pt>
              </c:numCache>
            </c:numRef>
          </c:val>
          <c:extLst>
            <c:ext xmlns:c16="http://schemas.microsoft.com/office/drawing/2014/chart" uri="{C3380CC4-5D6E-409C-BE32-E72D297353CC}">
              <c16:uniqueId val="{00000004-AD4D-4B17-98E2-04F51A7A4BC7}"/>
            </c:ext>
          </c:extLst>
        </c:ser>
        <c:dLbls>
          <c:showLegendKey val="0"/>
          <c:showVal val="0"/>
          <c:showCatName val="0"/>
          <c:showSerName val="0"/>
          <c:showPercent val="0"/>
          <c:showBubbleSize val="0"/>
        </c:dLbls>
        <c:gapWidth val="150"/>
        <c:overlap val="100"/>
        <c:axId val="416330160"/>
        <c:axId val="422286048"/>
      </c:barChart>
      <c:catAx>
        <c:axId val="41633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2286048"/>
        <c:crosses val="autoZero"/>
        <c:auto val="1"/>
        <c:lblAlgn val="ctr"/>
        <c:lblOffset val="100"/>
        <c:noMultiLvlLbl val="0"/>
      </c:catAx>
      <c:valAx>
        <c:axId val="422286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Exajoules (EJ)</a:t>
                </a:r>
              </a:p>
            </c:rich>
          </c:tx>
          <c:layout>
            <c:manualLayout>
              <c:xMode val="edge"/>
              <c:yMode val="edge"/>
              <c:x val="9.3316419475081552E-3"/>
              <c:y val="0.43415639692191776"/>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16330160"/>
        <c:crosses val="autoZero"/>
        <c:crossBetween val="between"/>
      </c:valAx>
      <c:spPr>
        <a:noFill/>
        <a:ln>
          <a:noFill/>
        </a:ln>
        <a:effectLst/>
      </c:spPr>
    </c:plotArea>
    <c:legend>
      <c:legendPos val="t"/>
      <c:layout>
        <c:manualLayout>
          <c:xMode val="edge"/>
          <c:yMode val="edge"/>
          <c:x val="2.3476473243169007E-2"/>
          <c:y val="8.7206447569784698E-2"/>
          <c:w val="0.95642064432007035"/>
          <c:h val="5.2088704432906592E-2"/>
        </c:manualLayout>
      </c:layout>
      <c:overlay val="0"/>
      <c:spPr>
        <a:solidFill>
          <a:schemeClr val="bg1"/>
        </a:solid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Electricity Demand</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3839880188943852E-2"/>
          <c:y val="0.17952138310916138"/>
          <c:w val="0.89783726776424522"/>
          <c:h val="0.70918401532069042"/>
        </c:manualLayout>
      </c:layout>
      <c:barChart>
        <c:barDir val="col"/>
        <c:grouping val="stacked"/>
        <c:varyColors val="0"/>
        <c:ser>
          <c:idx val="0"/>
          <c:order val="0"/>
          <c:tx>
            <c:strRef>
              <c:f>'Output Graphs excl. Custom'!$A$95</c:f>
              <c:strCache>
                <c:ptCount val="1"/>
                <c:pt idx="0">
                  <c:v>Electricity use by rest of economy</c:v>
                </c:pt>
              </c:strCache>
            </c:strRef>
          </c:tx>
          <c:spPr>
            <a:solidFill>
              <a:schemeClr val="bg1">
                <a:lumMod val="75000"/>
              </a:schemeClr>
            </a:solidFill>
            <a:ln>
              <a:noFill/>
            </a:ln>
            <a:effectLst/>
          </c:spPr>
          <c:invertIfNegative val="0"/>
          <c:cat>
            <c:strRef>
              <c:f>'Output Graphs excl. Custom'!$B$94:$G$94</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Custom'!$B$95:$G$95</c:f>
              <c:numCache>
                <c:formatCode>0.00</c:formatCode>
                <c:ptCount val="6"/>
                <c:pt idx="0">
                  <c:v>2.8723003796055107</c:v>
                </c:pt>
                <c:pt idx="1">
                  <c:v>2.8723003796055107</c:v>
                </c:pt>
                <c:pt idx="2">
                  <c:v>2.8723003796055107</c:v>
                </c:pt>
                <c:pt idx="3">
                  <c:v>2.8723003796055107</c:v>
                </c:pt>
                <c:pt idx="4">
                  <c:v>2.8723003796055107</c:v>
                </c:pt>
                <c:pt idx="5">
                  <c:v>2.8723003796055107</c:v>
                </c:pt>
              </c:numCache>
            </c:numRef>
          </c:val>
          <c:extLst>
            <c:ext xmlns:c16="http://schemas.microsoft.com/office/drawing/2014/chart" uri="{C3380CC4-5D6E-409C-BE32-E72D297353CC}">
              <c16:uniqueId val="{00000000-0C29-4DD6-9E38-2320E3CBE6B7}"/>
            </c:ext>
          </c:extLst>
        </c:ser>
        <c:ser>
          <c:idx val="1"/>
          <c:order val="1"/>
          <c:tx>
            <c:strRef>
              <c:f>'Output Graphs excl. Custom'!$A$96</c:f>
              <c:strCache>
                <c:ptCount val="1"/>
                <c:pt idx="0">
                  <c:v>Direct electricity use by industry</c:v>
                </c:pt>
              </c:strCache>
            </c:strRef>
          </c:tx>
          <c:spPr>
            <a:solidFill>
              <a:srgbClr val="FFFF00"/>
            </a:solidFill>
            <a:ln>
              <a:noFill/>
            </a:ln>
            <a:effectLst/>
          </c:spPr>
          <c:invertIfNegative val="0"/>
          <c:cat>
            <c:strRef>
              <c:f>'Output Graphs excl. Custom'!$B$94:$G$94</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Custom'!$B$96:$G$96</c:f>
              <c:numCache>
                <c:formatCode>0.00</c:formatCode>
                <c:ptCount val="6"/>
                <c:pt idx="0">
                  <c:v>1.0138181686652377</c:v>
                </c:pt>
                <c:pt idx="1">
                  <c:v>3.7604416374793908</c:v>
                </c:pt>
                <c:pt idx="2">
                  <c:v>1.7226962112687996</c:v>
                </c:pt>
                <c:pt idx="3">
                  <c:v>1.4269686069207441</c:v>
                </c:pt>
                <c:pt idx="4">
                  <c:v>1.6367738418220623</c:v>
                </c:pt>
                <c:pt idx="5">
                  <c:v>2.0469981642987145</c:v>
                </c:pt>
              </c:numCache>
            </c:numRef>
          </c:val>
          <c:extLst>
            <c:ext xmlns:c16="http://schemas.microsoft.com/office/drawing/2014/chart" uri="{C3380CC4-5D6E-409C-BE32-E72D297353CC}">
              <c16:uniqueId val="{00000001-0C29-4DD6-9E38-2320E3CBE6B7}"/>
            </c:ext>
          </c:extLst>
        </c:ser>
        <c:ser>
          <c:idx val="2"/>
          <c:order val="2"/>
          <c:tx>
            <c:strRef>
              <c:f>'Output Graphs excl. Custom'!$A$97</c:f>
              <c:strCache>
                <c:ptCount val="1"/>
                <c:pt idx="0">
                  <c:v>Electricity for green hydrogen for industry</c:v>
                </c:pt>
              </c:strCache>
            </c:strRef>
          </c:tx>
          <c:spPr>
            <a:solidFill>
              <a:srgbClr val="92D050"/>
            </a:solidFill>
            <a:ln>
              <a:noFill/>
            </a:ln>
            <a:effectLst/>
          </c:spPr>
          <c:invertIfNegative val="0"/>
          <c:cat>
            <c:strRef>
              <c:f>'Output Graphs excl. Custom'!$B$94:$G$94</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Custom'!$B$97:$G$97</c:f>
              <c:numCache>
                <c:formatCode>0.00</c:formatCode>
                <c:ptCount val="6"/>
                <c:pt idx="0">
                  <c:v>0</c:v>
                </c:pt>
                <c:pt idx="1">
                  <c:v>1.2202166840328168</c:v>
                </c:pt>
                <c:pt idx="2">
                  <c:v>7.0655973313341525</c:v>
                </c:pt>
                <c:pt idx="3">
                  <c:v>0.11832599246373285</c:v>
                </c:pt>
                <c:pt idx="4">
                  <c:v>0</c:v>
                </c:pt>
                <c:pt idx="5">
                  <c:v>2.225663294210261</c:v>
                </c:pt>
              </c:numCache>
            </c:numRef>
          </c:val>
          <c:extLst>
            <c:ext xmlns:c16="http://schemas.microsoft.com/office/drawing/2014/chart" uri="{C3380CC4-5D6E-409C-BE32-E72D297353CC}">
              <c16:uniqueId val="{00000002-0C29-4DD6-9E38-2320E3CBE6B7}"/>
            </c:ext>
          </c:extLst>
        </c:ser>
        <c:dLbls>
          <c:showLegendKey val="0"/>
          <c:showVal val="0"/>
          <c:showCatName val="0"/>
          <c:showSerName val="0"/>
          <c:showPercent val="0"/>
          <c:showBubbleSize val="0"/>
        </c:dLbls>
        <c:gapWidth val="150"/>
        <c:overlap val="100"/>
        <c:axId val="424241824"/>
        <c:axId val="495836656"/>
      </c:barChart>
      <c:lineChart>
        <c:grouping val="standard"/>
        <c:varyColors val="0"/>
        <c:ser>
          <c:idx val="3"/>
          <c:order val="3"/>
          <c:tx>
            <c:strRef>
              <c:f>'Output Graphs excl. Custom'!$A$98</c:f>
              <c:strCache>
                <c:ptCount val="1"/>
                <c:pt idx="0">
                  <c:v>Total</c:v>
                </c:pt>
              </c:strCache>
            </c:strRef>
          </c:tx>
          <c:spPr>
            <a:ln w="28575" cap="rnd">
              <a:no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9FEC-4818-B764-B077B7340C42}"/>
                </c:ext>
              </c:extLst>
            </c:dLbl>
            <c:dLbl>
              <c:idx val="1"/>
              <c:tx>
                <c:rich>
                  <a:bodyPr/>
                  <a:lstStyle/>
                  <a:p>
                    <a:fld id="{B85CAD43-3E3B-8245-85AC-44CCFE14498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FEC-4818-B764-B077B7340C42}"/>
                </c:ext>
              </c:extLst>
            </c:dLbl>
            <c:dLbl>
              <c:idx val="2"/>
              <c:tx>
                <c:rich>
                  <a:bodyPr/>
                  <a:lstStyle/>
                  <a:p>
                    <a:fld id="{25BD9052-1A8F-ED49-A949-9F42B86CEAC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FEC-4818-B764-B077B7340C42}"/>
                </c:ext>
              </c:extLst>
            </c:dLbl>
            <c:dLbl>
              <c:idx val="3"/>
              <c:tx>
                <c:rich>
                  <a:bodyPr/>
                  <a:lstStyle/>
                  <a:p>
                    <a:fld id="{65ECC8E7-3972-4A41-B93D-CA6393ED36B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FEC-4818-B764-B077B7340C42}"/>
                </c:ext>
              </c:extLst>
            </c:dLbl>
            <c:dLbl>
              <c:idx val="4"/>
              <c:tx>
                <c:rich>
                  <a:bodyPr/>
                  <a:lstStyle/>
                  <a:p>
                    <a:fld id="{D3AE1142-F412-6D4E-9874-80D8B5A7C11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FEC-4818-B764-B077B7340C42}"/>
                </c:ext>
              </c:extLst>
            </c:dLbl>
            <c:dLbl>
              <c:idx val="5"/>
              <c:tx>
                <c:rich>
                  <a:bodyPr/>
                  <a:lstStyle/>
                  <a:p>
                    <a:fld id="{57B23242-018B-0A41-B5D4-F44B1148F81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FEC-4818-B764-B077B7340C42}"/>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C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'Output Graphs excl. Custom'!$B$94:$G$94</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Custom'!$B$98:$G$98</c:f>
              <c:numCache>
                <c:formatCode>0.00</c:formatCode>
                <c:ptCount val="6"/>
                <c:pt idx="0">
                  <c:v>3.8861185482707485</c:v>
                </c:pt>
                <c:pt idx="1">
                  <c:v>7.8529587011177178</c:v>
                </c:pt>
                <c:pt idx="2">
                  <c:v>11.660593922208463</c:v>
                </c:pt>
                <c:pt idx="3">
                  <c:v>4.417594978989988</c:v>
                </c:pt>
                <c:pt idx="4">
                  <c:v>4.5090742214275732</c:v>
                </c:pt>
                <c:pt idx="5">
                  <c:v>7.1449618381144866</c:v>
                </c:pt>
              </c:numCache>
            </c:numRef>
          </c:val>
          <c:smooth val="0"/>
          <c:extLst>
            <c:ext xmlns:c15="http://schemas.microsoft.com/office/drawing/2012/chart" uri="{02D57815-91ED-43cb-92C2-25804820EDAC}">
              <c15:datalabelsRange>
                <c15:f>'Output Graphs excl. Custom'!$B$99:$H$99</c15:f>
                <c15:dlblRangeCache>
                  <c:ptCount val="7"/>
                  <c:pt idx="1">
                    <c:v>2.4%</c:v>
                  </c:pt>
                  <c:pt idx="2">
                    <c:v>3.7%</c:v>
                  </c:pt>
                  <c:pt idx="3">
                    <c:v>0.4%</c:v>
                  </c:pt>
                  <c:pt idx="4">
                    <c:v>0.5%</c:v>
                  </c:pt>
                  <c:pt idx="5">
                    <c:v>2.1%</c:v>
                  </c:pt>
                  <c:pt idx="6">
                    <c:v>0.0%</c:v>
                  </c:pt>
                </c15:dlblRangeCache>
              </c15:datalabelsRange>
            </c:ext>
            <c:ext xmlns:c16="http://schemas.microsoft.com/office/drawing/2014/chart" uri="{C3380CC4-5D6E-409C-BE32-E72D297353CC}">
              <c16:uniqueId val="{00000000-9FEC-4818-B764-B077B7340C42}"/>
            </c:ext>
          </c:extLst>
        </c:ser>
        <c:dLbls>
          <c:showLegendKey val="0"/>
          <c:showVal val="0"/>
          <c:showCatName val="0"/>
          <c:showSerName val="0"/>
          <c:showPercent val="0"/>
          <c:showBubbleSize val="0"/>
        </c:dLbls>
        <c:marker val="1"/>
        <c:smooth val="0"/>
        <c:axId val="424241824"/>
        <c:axId val="495836656"/>
      </c:line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Petawatt-hours (PWh)</a:t>
                </a:r>
              </a:p>
            </c:rich>
          </c:tx>
          <c:layout>
            <c:manualLayout>
              <c:xMode val="edge"/>
              <c:yMode val="edge"/>
              <c:x val="9.1375769370470664E-3"/>
              <c:y val="0.37038108896311983"/>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egendEntry>
        <c:idx val="3"/>
        <c:delete val="1"/>
      </c:legendEntry>
      <c:layout>
        <c:manualLayout>
          <c:xMode val="edge"/>
          <c:yMode val="edge"/>
          <c:x val="0.11088497485881658"/>
          <c:y val="7.4985917977610797E-2"/>
          <c:w val="0.82930364972989079"/>
          <c:h val="9.821580518715344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Industry</a:t>
            </a:r>
            <a:r>
              <a:rPr lang="en-US" sz="2000" baseline="0"/>
              <a:t> Sector </a:t>
            </a:r>
            <a:r>
              <a:rPr lang="en-US" sz="2000"/>
              <a:t>Hydrogen Demand</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5709844990882587E-2"/>
          <c:y val="0.16354138716042843"/>
          <c:w val="0.88195771181418947"/>
          <c:h val="0.71144779958533721"/>
        </c:manualLayout>
      </c:layout>
      <c:barChart>
        <c:barDir val="col"/>
        <c:grouping val="stacked"/>
        <c:varyColors val="0"/>
        <c:ser>
          <c:idx val="0"/>
          <c:order val="0"/>
          <c:tx>
            <c:strRef>
              <c:f>'Output Graphs excl. Custom'!$A$136</c:f>
              <c:strCache>
                <c:ptCount val="1"/>
                <c:pt idx="0">
                  <c:v>Hydrogen from fossil fuels without CCS</c:v>
                </c:pt>
              </c:strCache>
            </c:strRef>
          </c:tx>
          <c:spPr>
            <a:solidFill>
              <a:schemeClr val="accent4">
                <a:lumMod val="50000"/>
              </a:schemeClr>
            </a:solidFill>
            <a:ln>
              <a:noFill/>
            </a:ln>
            <a:effectLst/>
          </c:spPr>
          <c:invertIfNegative val="0"/>
          <c:cat>
            <c:strRef>
              <c:f>'Output Graphs excl. Custom'!$B$135:$G$135</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Custom'!$B$136:$G$136</c:f>
              <c:numCache>
                <c:formatCode>0.00</c:formatCode>
                <c:ptCount val="6"/>
                <c:pt idx="0" formatCode="General">
                  <c:v>10</c:v>
                </c:pt>
                <c:pt idx="1">
                  <c:v>0</c:v>
                </c:pt>
                <c:pt idx="2">
                  <c:v>0</c:v>
                </c:pt>
                <c:pt idx="3">
                  <c:v>0</c:v>
                </c:pt>
                <c:pt idx="4">
                  <c:v>0</c:v>
                </c:pt>
                <c:pt idx="5">
                  <c:v>0</c:v>
                </c:pt>
              </c:numCache>
            </c:numRef>
          </c:val>
          <c:extLst>
            <c:ext xmlns:c16="http://schemas.microsoft.com/office/drawing/2014/chart" uri="{C3380CC4-5D6E-409C-BE32-E72D297353CC}">
              <c16:uniqueId val="{00000000-1A98-44AE-BE3C-CC8A22B14E1D}"/>
            </c:ext>
          </c:extLst>
        </c:ser>
        <c:ser>
          <c:idx val="1"/>
          <c:order val="1"/>
          <c:tx>
            <c:strRef>
              <c:f>'Output Graphs excl. Custom'!$A$137</c:f>
              <c:strCache>
                <c:ptCount val="1"/>
                <c:pt idx="0">
                  <c:v>Green hydrogen</c:v>
                </c:pt>
              </c:strCache>
            </c:strRef>
          </c:tx>
          <c:spPr>
            <a:solidFill>
              <a:srgbClr val="92D050"/>
            </a:solidFill>
            <a:ln>
              <a:noFill/>
            </a:ln>
            <a:effectLst/>
          </c:spPr>
          <c:invertIfNegative val="0"/>
          <c:cat>
            <c:strRef>
              <c:f>'Output Graphs excl. Custom'!$B$135:$G$135</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Custom'!$B$137:$G$137</c:f>
              <c:numCache>
                <c:formatCode>0.00</c:formatCode>
                <c:ptCount val="6"/>
                <c:pt idx="0" formatCode="General">
                  <c:v>0</c:v>
                </c:pt>
                <c:pt idx="1">
                  <c:v>25.772027734927502</c:v>
                </c:pt>
                <c:pt idx="2">
                  <c:v>149.23150352702129</c:v>
                </c:pt>
                <c:pt idx="3">
                  <c:v>2.4991469133658657</c:v>
                </c:pt>
                <c:pt idx="4">
                  <c:v>0</c:v>
                </c:pt>
                <c:pt idx="5">
                  <c:v>47.007926458948738</c:v>
                </c:pt>
              </c:numCache>
            </c:numRef>
          </c:val>
          <c:extLst>
            <c:ext xmlns:c16="http://schemas.microsoft.com/office/drawing/2014/chart" uri="{C3380CC4-5D6E-409C-BE32-E72D297353CC}">
              <c16:uniqueId val="{00000001-1A98-44AE-BE3C-CC8A22B14E1D}"/>
            </c:ext>
          </c:extLst>
        </c:ser>
        <c:ser>
          <c:idx val="2"/>
          <c:order val="2"/>
          <c:tx>
            <c:strRef>
              <c:f>'Output Graphs excl. Custom'!$A$138</c:f>
              <c:strCache>
                <c:ptCount val="1"/>
                <c:pt idx="0">
                  <c:v>Blue hydrogen</c:v>
                </c:pt>
              </c:strCache>
            </c:strRef>
          </c:tx>
          <c:spPr>
            <a:solidFill>
              <a:srgbClr val="00B0F0"/>
            </a:solidFill>
            <a:ln>
              <a:noFill/>
            </a:ln>
            <a:effectLst/>
          </c:spPr>
          <c:invertIfNegative val="0"/>
          <c:cat>
            <c:strRef>
              <c:f>'Output Graphs excl. Custom'!$B$135:$G$135</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Custom'!$B$138:$G$138</c:f>
              <c:numCache>
                <c:formatCode>0.00</c:formatCode>
                <c:ptCount val="6"/>
                <c:pt idx="0" formatCode="General">
                  <c:v>0</c:v>
                </c:pt>
                <c:pt idx="1">
                  <c:v>0</c:v>
                </c:pt>
                <c:pt idx="2">
                  <c:v>0</c:v>
                </c:pt>
                <c:pt idx="3">
                  <c:v>0</c:v>
                </c:pt>
                <c:pt idx="4">
                  <c:v>46.858232245322725</c:v>
                </c:pt>
                <c:pt idx="5">
                  <c:v>15.4632166409565</c:v>
                </c:pt>
              </c:numCache>
            </c:numRef>
          </c:val>
          <c:extLst>
            <c:ext xmlns:c16="http://schemas.microsoft.com/office/drawing/2014/chart" uri="{C3380CC4-5D6E-409C-BE32-E72D297353CC}">
              <c16:uniqueId val="{00000002-1A98-44AE-BE3C-CC8A22B14E1D}"/>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Million Metric Tons of</a:t>
                </a:r>
                <a:r>
                  <a:rPr lang="en-US" sz="1800" baseline="0"/>
                  <a:t> Hydrogen</a:t>
                </a:r>
                <a:r>
                  <a:rPr lang="en-US" sz="1800"/>
                  <a:t> (MMT</a:t>
                </a:r>
                <a:r>
                  <a:rPr lang="en-US" sz="1800" baseline="0"/>
                  <a:t> H</a:t>
                </a:r>
                <a:r>
                  <a:rPr lang="en-US" sz="1800" baseline="-25000"/>
                  <a:t>2</a:t>
                </a:r>
                <a:r>
                  <a:rPr lang="en-US" sz="1800" baseline="0"/>
                  <a:t>)</a:t>
                </a:r>
                <a:endParaRPr lang="en-US" sz="1800"/>
              </a:p>
            </c:rich>
          </c:tx>
          <c:layout>
            <c:manualLayout>
              <c:xMode val="edge"/>
              <c:yMode val="edge"/>
              <c:x val="5.1868443885581175E-3"/>
              <c:y val="0.21300349264179677"/>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ayout>
        <c:manualLayout>
          <c:xMode val="edge"/>
          <c:yMode val="edge"/>
          <c:x val="0.12714984259618381"/>
          <c:y val="8.2975958557632998E-2"/>
          <c:w val="0.80301979316508343"/>
          <c:h val="6.129943387305758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Hydrogen Electrolyzer Capacity</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892424869091563"/>
          <c:y val="0.11000217366070572"/>
          <c:w val="0.87353482065100863"/>
          <c:h val="0.77297702494110498"/>
        </c:manualLayout>
      </c:layout>
      <c:barChart>
        <c:barDir val="col"/>
        <c:grouping val="stacked"/>
        <c:varyColors val="0"/>
        <c:ser>
          <c:idx val="0"/>
          <c:order val="0"/>
          <c:tx>
            <c:strRef>
              <c:f>'Output Graphs excl. Custom'!$A$179</c:f>
              <c:strCache>
                <c:ptCount val="1"/>
                <c:pt idx="0">
                  <c:v>Hydrogen electrolyzer capacity</c:v>
                </c:pt>
              </c:strCache>
            </c:strRef>
          </c:tx>
          <c:spPr>
            <a:solidFill>
              <a:srgbClr val="7030A0"/>
            </a:solidFill>
            <a:ln>
              <a:noFill/>
            </a:ln>
            <a:effectLst/>
          </c:spPr>
          <c:invertIfNegative val="0"/>
          <c:cat>
            <c:strRef>
              <c:f>'Output Graphs excl. Custom'!$B$178:$G$178</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Custom'!$B$179:$G$179</c:f>
              <c:numCache>
                <c:formatCode>0</c:formatCode>
                <c:ptCount val="6"/>
                <c:pt idx="0" formatCode="0.000">
                  <c:v>6.7080000000000001E-2</c:v>
                </c:pt>
                <c:pt idx="1">
                  <c:v>278.58828402575728</c:v>
                </c:pt>
                <c:pt idx="2">
                  <c:v>1613.1500756470668</c:v>
                </c:pt>
                <c:pt idx="3">
                  <c:v>27.015066772541747</c:v>
                </c:pt>
                <c:pt idx="4">
                  <c:v>0</c:v>
                </c:pt>
                <c:pt idx="5">
                  <c:v>508.14230461421488</c:v>
                </c:pt>
              </c:numCache>
            </c:numRef>
          </c:val>
          <c:extLst>
            <c:ext xmlns:c16="http://schemas.microsoft.com/office/drawing/2014/chart" uri="{C3380CC4-5D6E-409C-BE32-E72D297353CC}">
              <c16:uniqueId val="{00000000-A375-44A3-B628-3814F3D5B29E}"/>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Gigawatts</a:t>
                </a:r>
                <a:r>
                  <a:rPr lang="en-US" sz="1800" baseline="0"/>
                  <a:t> (GW)</a:t>
                </a:r>
                <a:endParaRPr lang="en-US" sz="1800"/>
              </a:p>
            </c:rich>
          </c:tx>
          <c:layout>
            <c:manualLayout>
              <c:xMode val="edge"/>
              <c:yMode val="edge"/>
              <c:x val="1.1892963330029732E-2"/>
              <c:y val="0.39802313375505355"/>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Bioenergy Land Requirements for Industry</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4145584678093003E-2"/>
          <c:y val="0.15069255661751282"/>
          <c:w val="0.88325439527369831"/>
          <c:h val="0.73117605722181556"/>
        </c:manualLayout>
      </c:layout>
      <c:barChart>
        <c:barDir val="col"/>
        <c:grouping val="stacked"/>
        <c:varyColors val="0"/>
        <c:ser>
          <c:idx val="0"/>
          <c:order val="0"/>
          <c:tx>
            <c:strRef>
              <c:f>'Output Graphs excl. Custom'!$A$217</c:f>
              <c:strCache>
                <c:ptCount val="1"/>
                <c:pt idx="0">
                  <c:v>Land for bioenergy use by rest of economy</c:v>
                </c:pt>
              </c:strCache>
            </c:strRef>
          </c:tx>
          <c:spPr>
            <a:solidFill>
              <a:schemeClr val="bg1">
                <a:lumMod val="75000"/>
              </a:schemeClr>
            </a:solidFill>
            <a:ln>
              <a:noFill/>
            </a:ln>
            <a:effectLst/>
          </c:spPr>
          <c:invertIfNegative val="0"/>
          <c:cat>
            <c:strRef>
              <c:f>'Output Graphs excl. Custom'!$B$216:$G$216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Custom'!$B$217:$G$217</c:f>
              <c:numCache>
                <c:formatCode>0.00</c:formatCode>
                <c:ptCount val="6"/>
                <c:pt idx="0">
                  <c:v>12.429124994735524</c:v>
                </c:pt>
                <c:pt idx="1">
                  <c:v>12.429124994735524</c:v>
                </c:pt>
                <c:pt idx="2">
                  <c:v>12.429124994735524</c:v>
                </c:pt>
                <c:pt idx="3">
                  <c:v>12.429124994735524</c:v>
                </c:pt>
                <c:pt idx="4">
                  <c:v>12.429124994735524</c:v>
                </c:pt>
                <c:pt idx="5">
                  <c:v>12.429124994735524</c:v>
                </c:pt>
              </c:numCache>
            </c:numRef>
          </c:val>
          <c:extLst>
            <c:ext xmlns:c16="http://schemas.microsoft.com/office/drawing/2014/chart" uri="{C3380CC4-5D6E-409C-BE32-E72D297353CC}">
              <c16:uniqueId val="{00000000-A9D9-4BED-A11A-2C08F33E6FA2}"/>
            </c:ext>
          </c:extLst>
        </c:ser>
        <c:ser>
          <c:idx val="1"/>
          <c:order val="1"/>
          <c:tx>
            <c:strRef>
              <c:f>'Output Graphs excl. Custom'!$A$218</c:f>
              <c:strCache>
                <c:ptCount val="1"/>
                <c:pt idx="0">
                  <c:v>Land for bioenergy use by industry</c:v>
                </c:pt>
              </c:strCache>
            </c:strRef>
          </c:tx>
          <c:spPr>
            <a:solidFill>
              <a:schemeClr val="accent6">
                <a:lumMod val="50000"/>
              </a:schemeClr>
            </a:solidFill>
            <a:ln>
              <a:noFill/>
            </a:ln>
            <a:effectLst/>
          </c:spPr>
          <c:invertIfNegative val="0"/>
          <c:cat>
            <c:strRef>
              <c:f>'Output Graphs excl. Custom'!$B$216:$G$216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Custom'!$B$218:$G$218</c:f>
              <c:numCache>
                <c:formatCode>0.00</c:formatCode>
                <c:ptCount val="6"/>
                <c:pt idx="0">
                  <c:v>4.7540040895335931</c:v>
                </c:pt>
                <c:pt idx="1">
                  <c:v>14.980207908000322</c:v>
                </c:pt>
                <c:pt idx="2">
                  <c:v>6.3723373364425262</c:v>
                </c:pt>
                <c:pt idx="3">
                  <c:v>74.813006462703086</c:v>
                </c:pt>
                <c:pt idx="4">
                  <c:v>6.3723373364425262</c:v>
                </c:pt>
                <c:pt idx="5">
                  <c:v>26.802669021279424</c:v>
                </c:pt>
              </c:numCache>
            </c:numRef>
          </c:val>
          <c:extLst>
            <c:ext xmlns:c16="http://schemas.microsoft.com/office/drawing/2014/chart" uri="{C3380CC4-5D6E-409C-BE32-E72D297353CC}">
              <c16:uniqueId val="{00000001-A9D9-4BED-A11A-2C08F33E6FA2}"/>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Million Hectares (M</a:t>
                </a:r>
                <a:r>
                  <a:rPr lang="en-US" sz="1800" baseline="0"/>
                  <a:t> ha)</a:t>
                </a:r>
                <a:endParaRPr lang="en-US" sz="1800"/>
              </a:p>
            </c:rich>
          </c:tx>
          <c:layout>
            <c:manualLayout>
              <c:xMode val="edge"/>
              <c:yMode val="edge"/>
              <c:x val="9.207161017146295E-3"/>
              <c:y val="0.34448388455627765"/>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50" b="0" i="0" u="none" strike="noStrike" kern="1200" spc="0" baseline="0">
                <a:solidFill>
                  <a:sysClr val="windowText" lastClr="000000"/>
                </a:solidFill>
                <a:latin typeface="+mn-lt"/>
                <a:ea typeface="+mn-ea"/>
                <a:cs typeface="+mn-cs"/>
              </a:defRPr>
            </a:pPr>
            <a:r>
              <a:rPr lang="en-US" sz="1950"/>
              <a:t>Bioenergy Land Requirements for Industry as a Share of Agricultural Land</a:t>
            </a:r>
          </a:p>
        </c:rich>
      </c:tx>
      <c:overlay val="0"/>
      <c:spPr>
        <a:noFill/>
        <a:ln>
          <a:noFill/>
        </a:ln>
        <a:effectLst/>
      </c:spPr>
      <c:txPr>
        <a:bodyPr rot="0" spcFirstLastPara="1" vertOverflow="ellipsis" vert="horz" wrap="square" anchor="ctr" anchorCtr="1"/>
        <a:lstStyle/>
        <a:p>
          <a:pPr>
            <a:defRPr sz="195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229439060424199"/>
          <c:y val="0.1473531198322475"/>
          <c:w val="0.86058448141755228"/>
          <c:h val="0.72952991992057803"/>
        </c:manualLayout>
      </c:layout>
      <c:barChart>
        <c:barDir val="col"/>
        <c:grouping val="stacked"/>
        <c:varyColors val="0"/>
        <c:ser>
          <c:idx val="0"/>
          <c:order val="0"/>
          <c:tx>
            <c:strRef>
              <c:f>'Output Graphs excl. Custom'!$A$220</c:f>
              <c:strCache>
                <c:ptCount val="1"/>
                <c:pt idx="0">
                  <c:v>Land for bioenergy use by rest of economy</c:v>
                </c:pt>
              </c:strCache>
            </c:strRef>
          </c:tx>
          <c:spPr>
            <a:solidFill>
              <a:schemeClr val="bg1">
                <a:lumMod val="75000"/>
              </a:schemeClr>
            </a:solidFill>
            <a:ln>
              <a:noFill/>
            </a:ln>
            <a:effectLst/>
          </c:spPr>
          <c:invertIfNegative val="0"/>
          <c:cat>
            <c:strRef>
              <c:f>'Output Graphs excl. Custom'!$B$216:$G$216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Custom'!$B$220:$G$220</c:f>
              <c:numCache>
                <c:formatCode>0.0%</c:formatCode>
                <c:ptCount val="6"/>
                <c:pt idx="0">
                  <c:v>3.062791493205988E-2</c:v>
                </c:pt>
                <c:pt idx="1">
                  <c:v>3.062791493205988E-2</c:v>
                </c:pt>
                <c:pt idx="2">
                  <c:v>3.062791493205988E-2</c:v>
                </c:pt>
                <c:pt idx="3">
                  <c:v>3.062791493205988E-2</c:v>
                </c:pt>
                <c:pt idx="4">
                  <c:v>3.062791493205988E-2</c:v>
                </c:pt>
                <c:pt idx="5">
                  <c:v>3.062791493205988E-2</c:v>
                </c:pt>
              </c:numCache>
            </c:numRef>
          </c:val>
          <c:extLst>
            <c:ext xmlns:c16="http://schemas.microsoft.com/office/drawing/2014/chart" uri="{C3380CC4-5D6E-409C-BE32-E72D297353CC}">
              <c16:uniqueId val="{00000000-1759-48FE-BF86-FD50011DECD4}"/>
            </c:ext>
          </c:extLst>
        </c:ser>
        <c:ser>
          <c:idx val="1"/>
          <c:order val="1"/>
          <c:tx>
            <c:strRef>
              <c:f>'Output Graphs excl. Custom'!$A$221</c:f>
              <c:strCache>
                <c:ptCount val="1"/>
                <c:pt idx="0">
                  <c:v>Land for bioenergy use by industry</c:v>
                </c:pt>
              </c:strCache>
            </c:strRef>
          </c:tx>
          <c:spPr>
            <a:solidFill>
              <a:schemeClr val="accent6">
                <a:lumMod val="50000"/>
              </a:schemeClr>
            </a:solidFill>
            <a:ln>
              <a:noFill/>
            </a:ln>
            <a:effectLst/>
          </c:spPr>
          <c:invertIfNegative val="0"/>
          <c:cat>
            <c:strRef>
              <c:f>'Output Graphs excl. Custom'!$B$216:$G$216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Custom'!$B$221:$G$221</c:f>
              <c:numCache>
                <c:formatCode>0.0%</c:formatCode>
                <c:ptCount val="6"/>
                <c:pt idx="0">
                  <c:v>1.1714841785127448E-2</c:v>
                </c:pt>
                <c:pt idx="1">
                  <c:v>3.6914306812839928E-2</c:v>
                </c:pt>
                <c:pt idx="2">
                  <c:v>1.5702747051109186E-2</c:v>
                </c:pt>
                <c:pt idx="3">
                  <c:v>0.18435460249388808</c:v>
                </c:pt>
                <c:pt idx="4">
                  <c:v>1.5702747051109186E-2</c:v>
                </c:pt>
                <c:pt idx="5">
                  <c:v>6.6047277429715057E-2</c:v>
                </c:pt>
              </c:numCache>
            </c:numRef>
          </c:val>
          <c:extLst>
            <c:ext xmlns:c16="http://schemas.microsoft.com/office/drawing/2014/chart" uri="{C3380CC4-5D6E-409C-BE32-E72D297353CC}">
              <c16:uniqueId val="{00000001-1759-48FE-BF86-FD50011DECD4}"/>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Fraction of Agricultural Land (%)</a:t>
                </a:r>
              </a:p>
            </c:rich>
          </c:tx>
          <c:layout>
            <c:manualLayout>
              <c:xMode val="edge"/>
              <c:yMode val="edge"/>
              <c:x val="6.5362561844967988E-3"/>
              <c:y val="0.27457125250356323"/>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CO</a:t>
            </a:r>
            <a:r>
              <a:rPr lang="en-US" sz="2000" baseline="-25000"/>
              <a:t>2</a:t>
            </a:r>
            <a:r>
              <a:rPr lang="en-US" sz="2000"/>
              <a:t> Emissions from</a:t>
            </a:r>
            <a:r>
              <a:rPr lang="en-US" sz="2000" baseline="0"/>
              <a:t> Industry</a:t>
            </a:r>
            <a:endParaRPr lang="en-US" sz="2000"/>
          </a:p>
        </c:rich>
      </c:tx>
      <c:layout>
        <c:manualLayout>
          <c:xMode val="edge"/>
          <c:yMode val="edge"/>
          <c:x val="0.34169993583727282"/>
          <c:y val="1.9975029640112878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6031757377762"/>
          <c:y val="0.1623227530686836"/>
          <c:w val="0.8617681293540882"/>
          <c:h val="0.718658942569116"/>
        </c:manualLayout>
      </c:layout>
      <c:barChart>
        <c:barDir val="col"/>
        <c:grouping val="stacked"/>
        <c:varyColors val="0"/>
        <c:ser>
          <c:idx val="0"/>
          <c:order val="0"/>
          <c:tx>
            <c:strRef>
              <c:f>'Output Graphs excl. Custom'!$A$297</c:f>
              <c:strCache>
                <c:ptCount val="1"/>
                <c:pt idx="0">
                  <c:v>CO₂ from fossil fuel combustion</c:v>
                </c:pt>
              </c:strCache>
            </c:strRef>
          </c:tx>
          <c:spPr>
            <a:solidFill>
              <a:schemeClr val="accent4">
                <a:lumMod val="50000"/>
              </a:schemeClr>
            </a:solidFill>
            <a:ln>
              <a:noFill/>
            </a:ln>
            <a:effectLst/>
          </c:spPr>
          <c:invertIfNegative val="0"/>
          <c:cat>
            <c:strRef>
              <c:f>'Output Graphs excl. Custom'!$B$296:$G$296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Custom'!$B$297:$G$297</c:f>
              <c:numCache>
                <c:formatCode>0.0</c:formatCode>
                <c:ptCount val="6"/>
                <c:pt idx="0" formatCode="0">
                  <c:v>775.6</c:v>
                </c:pt>
                <c:pt idx="1">
                  <c:v>0</c:v>
                </c:pt>
                <c:pt idx="2">
                  <c:v>0</c:v>
                </c:pt>
                <c:pt idx="3">
                  <c:v>0</c:v>
                </c:pt>
                <c:pt idx="4">
                  <c:v>73.272069905852732</c:v>
                </c:pt>
                <c:pt idx="5">
                  <c:v>21.270778179531519</c:v>
                </c:pt>
              </c:numCache>
            </c:numRef>
          </c:val>
          <c:extLst>
            <c:ext xmlns:c16="http://schemas.microsoft.com/office/drawing/2014/chart" uri="{C3380CC4-5D6E-409C-BE32-E72D297353CC}">
              <c16:uniqueId val="{00000000-2A7F-4808-A041-58496FABB593}"/>
            </c:ext>
          </c:extLst>
        </c:ser>
        <c:ser>
          <c:idx val="1"/>
          <c:order val="1"/>
          <c:tx>
            <c:strRef>
              <c:f>'Output Graphs excl. Custom'!$A$298</c:f>
              <c:strCache>
                <c:ptCount val="1"/>
                <c:pt idx="0">
                  <c:v>CO₂ from hydrogen production</c:v>
                </c:pt>
              </c:strCache>
            </c:strRef>
          </c:tx>
          <c:spPr>
            <a:solidFill>
              <a:srgbClr val="FFC000"/>
            </a:solidFill>
            <a:ln>
              <a:noFill/>
            </a:ln>
            <a:effectLst/>
          </c:spPr>
          <c:invertIfNegative val="0"/>
          <c:cat>
            <c:strRef>
              <c:f>'Output Graphs excl. Custom'!$B$296:$G$296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Custom'!$B$298:$G$298</c:f>
              <c:numCache>
                <c:formatCode>0.0</c:formatCode>
                <c:ptCount val="6"/>
                <c:pt idx="0" formatCode="0">
                  <c:v>120</c:v>
                </c:pt>
                <c:pt idx="1">
                  <c:v>0</c:v>
                </c:pt>
                <c:pt idx="2">
                  <c:v>0</c:v>
                </c:pt>
                <c:pt idx="3">
                  <c:v>0</c:v>
                </c:pt>
                <c:pt idx="4">
                  <c:v>56.229878694387253</c:v>
                </c:pt>
                <c:pt idx="5">
                  <c:v>18.555859969147797</c:v>
                </c:pt>
              </c:numCache>
            </c:numRef>
          </c:val>
          <c:extLst>
            <c:ext xmlns:c16="http://schemas.microsoft.com/office/drawing/2014/chart" uri="{C3380CC4-5D6E-409C-BE32-E72D297353CC}">
              <c16:uniqueId val="{00000001-2A7F-4808-A041-58496FABB593}"/>
            </c:ext>
          </c:extLst>
        </c:ser>
        <c:ser>
          <c:idx val="2"/>
          <c:order val="2"/>
          <c:tx>
            <c:strRef>
              <c:f>'Output Graphs excl. Custom'!$A$299</c:f>
              <c:strCache>
                <c:ptCount val="1"/>
                <c:pt idx="0">
                  <c:v>CO₂ process emissions</c:v>
                </c:pt>
              </c:strCache>
            </c:strRef>
          </c:tx>
          <c:spPr>
            <a:solidFill>
              <a:schemeClr val="tx2">
                <a:lumMod val="60000"/>
                <a:lumOff val="40000"/>
              </a:schemeClr>
            </a:solidFill>
            <a:ln>
              <a:noFill/>
            </a:ln>
            <a:effectLst/>
          </c:spPr>
          <c:invertIfNegative val="0"/>
          <c:cat>
            <c:strRef>
              <c:f>'Output Graphs excl. Custom'!$B$296:$G$296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Custom'!$B$299:$G$299</c:f>
              <c:numCache>
                <c:formatCode>0.0</c:formatCode>
                <c:ptCount val="6"/>
                <c:pt idx="0" formatCode="0">
                  <c:v>167.32538354986394</c:v>
                </c:pt>
                <c:pt idx="1">
                  <c:v>6.8413910865068104</c:v>
                </c:pt>
                <c:pt idx="2">
                  <c:v>6.8413910865068104</c:v>
                </c:pt>
                <c:pt idx="3">
                  <c:v>6.8413910865068104</c:v>
                </c:pt>
                <c:pt idx="4">
                  <c:v>11.794125921474787</c:v>
                </c:pt>
                <c:pt idx="5">
                  <c:v>6.8413910865068104</c:v>
                </c:pt>
              </c:numCache>
            </c:numRef>
          </c:val>
          <c:extLst>
            <c:ext xmlns:c16="http://schemas.microsoft.com/office/drawing/2014/chart" uri="{C3380CC4-5D6E-409C-BE32-E72D297353CC}">
              <c16:uniqueId val="{00000002-2A7F-4808-A041-58496FABB593}"/>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Million Metric Tons CO</a:t>
                </a:r>
                <a:r>
                  <a:rPr lang="en-US" sz="1800" baseline="-25000"/>
                  <a:t>2</a:t>
                </a:r>
                <a:r>
                  <a:rPr lang="en-US" sz="1800"/>
                  <a:t> (MMT CO</a:t>
                </a:r>
                <a:r>
                  <a:rPr lang="en-US" sz="1800" baseline="-25000"/>
                  <a:t>2</a:t>
                </a:r>
                <a:r>
                  <a:rPr lang="en-US" sz="1800"/>
                  <a:t>)</a:t>
                </a:r>
              </a:p>
            </c:rich>
          </c:tx>
          <c:layout>
            <c:manualLayout>
              <c:xMode val="edge"/>
              <c:yMode val="edge"/>
              <c:x val="6.5247731736639983E-3"/>
              <c:y val="0.24358306104903824"/>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ayout>
        <c:manualLayout>
          <c:xMode val="edge"/>
          <c:yMode val="edge"/>
          <c:x val="8.5057803553777622E-2"/>
          <c:y val="8.3161081470124437E-2"/>
          <c:w val="0.89999993655630139"/>
          <c:h val="5.060602981658518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Mass of CO</a:t>
            </a:r>
            <a:r>
              <a:rPr lang="en-US" sz="2000" baseline="-25000"/>
              <a:t>2</a:t>
            </a:r>
            <a:r>
              <a:rPr lang="en-US" sz="2000"/>
              <a:t> Stored</a:t>
            </a:r>
            <a:r>
              <a:rPr lang="en-US" sz="2000" baseline="0"/>
              <a:t> Underground from Industrial CCS</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2316092578737"/>
          <c:y val="0.15069255661751282"/>
          <c:w val="0.87385415393386878"/>
          <c:h val="0.72293924965277312"/>
        </c:manualLayout>
      </c:layout>
      <c:barChart>
        <c:barDir val="col"/>
        <c:grouping val="stacked"/>
        <c:varyColors val="0"/>
        <c:ser>
          <c:idx val="0"/>
          <c:order val="0"/>
          <c:tx>
            <c:strRef>
              <c:f>'Output Graphs excl. Custom'!$A$341</c:f>
              <c:strCache>
                <c:ptCount val="1"/>
                <c:pt idx="0">
                  <c:v>CO₂ from fossil fuel combustion</c:v>
                </c:pt>
              </c:strCache>
            </c:strRef>
          </c:tx>
          <c:spPr>
            <a:solidFill>
              <a:schemeClr val="accent4">
                <a:lumMod val="50000"/>
              </a:schemeClr>
            </a:solidFill>
            <a:ln>
              <a:noFill/>
            </a:ln>
            <a:effectLst/>
          </c:spPr>
          <c:invertIfNegative val="0"/>
          <c:cat>
            <c:strRef>
              <c:f>'Output Graphs excl. Custom'!$B$339:$G$339</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Custom'!$B$341:$G$341</c:f>
              <c:numCache>
                <c:formatCode>0.0</c:formatCode>
                <c:ptCount val="6"/>
                <c:pt idx="0" formatCode="General">
                  <c:v>0</c:v>
                </c:pt>
                <c:pt idx="1">
                  <c:v>0</c:v>
                </c:pt>
                <c:pt idx="2">
                  <c:v>0</c:v>
                </c:pt>
                <c:pt idx="3">
                  <c:v>0</c:v>
                </c:pt>
                <c:pt idx="4">
                  <c:v>659.44862915267481</c:v>
                </c:pt>
                <c:pt idx="5">
                  <c:v>191.43700361578371</c:v>
                </c:pt>
              </c:numCache>
            </c:numRef>
          </c:val>
          <c:extLst>
            <c:ext xmlns:c16="http://schemas.microsoft.com/office/drawing/2014/chart" uri="{C3380CC4-5D6E-409C-BE32-E72D297353CC}">
              <c16:uniqueId val="{00000000-A52D-43B6-AAD3-2CDC05C55248}"/>
            </c:ext>
          </c:extLst>
        </c:ser>
        <c:ser>
          <c:idx val="1"/>
          <c:order val="1"/>
          <c:tx>
            <c:strRef>
              <c:f>'Output Graphs excl. Custom'!$A$342</c:f>
              <c:strCache>
                <c:ptCount val="1"/>
                <c:pt idx="0">
                  <c:v>CO₂ from hydrogen production</c:v>
                </c:pt>
              </c:strCache>
            </c:strRef>
          </c:tx>
          <c:spPr>
            <a:solidFill>
              <a:srgbClr val="FFC000"/>
            </a:solidFill>
            <a:ln>
              <a:noFill/>
            </a:ln>
            <a:effectLst/>
          </c:spPr>
          <c:invertIfNegative val="0"/>
          <c:cat>
            <c:strRef>
              <c:f>'Output Graphs excl. Custom'!$B$339:$G$339</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Custom'!$B$342:$G$342</c:f>
              <c:numCache>
                <c:formatCode>0.0</c:formatCode>
                <c:ptCount val="6"/>
                <c:pt idx="0" formatCode="General">
                  <c:v>0</c:v>
                </c:pt>
                <c:pt idx="1">
                  <c:v>0</c:v>
                </c:pt>
                <c:pt idx="2">
                  <c:v>0</c:v>
                </c:pt>
                <c:pt idx="3">
                  <c:v>0</c:v>
                </c:pt>
                <c:pt idx="4">
                  <c:v>506.0689082494855</c:v>
                </c:pt>
                <c:pt idx="5">
                  <c:v>167.00273972233018</c:v>
                </c:pt>
              </c:numCache>
            </c:numRef>
          </c:val>
          <c:extLst>
            <c:ext xmlns:c16="http://schemas.microsoft.com/office/drawing/2014/chart" uri="{C3380CC4-5D6E-409C-BE32-E72D297353CC}">
              <c16:uniqueId val="{00000001-A52D-43B6-AAD3-2CDC05C55248}"/>
            </c:ext>
          </c:extLst>
        </c:ser>
        <c:ser>
          <c:idx val="2"/>
          <c:order val="2"/>
          <c:tx>
            <c:strRef>
              <c:f>'Output Graphs excl. Custom'!$A$343</c:f>
              <c:strCache>
                <c:ptCount val="1"/>
                <c:pt idx="0">
                  <c:v>CO₂ process emissions</c:v>
                </c:pt>
              </c:strCache>
            </c:strRef>
          </c:tx>
          <c:spPr>
            <a:solidFill>
              <a:schemeClr val="tx2">
                <a:lumMod val="60000"/>
                <a:lumOff val="40000"/>
              </a:schemeClr>
            </a:solidFill>
            <a:ln>
              <a:noFill/>
            </a:ln>
            <a:effectLst/>
          </c:spPr>
          <c:invertIfNegative val="0"/>
          <c:cat>
            <c:strRef>
              <c:f>'Output Graphs excl. Custom'!$B$339:$G$339</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Custom'!$B$343:$G$343</c:f>
              <c:numCache>
                <c:formatCode>0.0</c:formatCode>
                <c:ptCount val="6"/>
                <c:pt idx="0" formatCode="General">
                  <c:v>0</c:v>
                </c:pt>
                <c:pt idx="1">
                  <c:v>61.572519778561336</c:v>
                </c:pt>
                <c:pt idx="2">
                  <c:v>61.572519778561336</c:v>
                </c:pt>
                <c:pt idx="3">
                  <c:v>61.572519778561336</c:v>
                </c:pt>
                <c:pt idx="4">
                  <c:v>106.14713329327313</c:v>
                </c:pt>
                <c:pt idx="5">
                  <c:v>61.572519778561336</c:v>
                </c:pt>
              </c:numCache>
            </c:numRef>
          </c:val>
          <c:extLst>
            <c:ext xmlns:c16="http://schemas.microsoft.com/office/drawing/2014/chart" uri="{C3380CC4-5D6E-409C-BE32-E72D297353CC}">
              <c16:uniqueId val="{00000002-A52D-43B6-AAD3-2CDC05C55248}"/>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Million Metric Tons CO</a:t>
                </a:r>
                <a:r>
                  <a:rPr lang="en-US" sz="1800" baseline="-25000"/>
                  <a:t>2</a:t>
                </a:r>
                <a:r>
                  <a:rPr lang="en-US" sz="1800"/>
                  <a:t> (MMT CO</a:t>
                </a:r>
                <a:r>
                  <a:rPr lang="en-US" sz="1800" baseline="-25000"/>
                  <a:t>2</a:t>
                </a:r>
                <a:r>
                  <a:rPr lang="en-US" sz="1800"/>
                  <a:t>)</a:t>
                </a:r>
              </a:p>
            </c:rich>
          </c:tx>
          <c:layout>
            <c:manualLayout>
              <c:xMode val="edge"/>
              <c:yMode val="edge"/>
              <c:x val="5.1768362598506321E-3"/>
              <c:y val="0.24358299183550775"/>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ayout>
        <c:manualLayout>
          <c:xMode val="edge"/>
          <c:yMode val="edge"/>
          <c:x val="0.10123000955302223"/>
          <c:y val="8.1163523654392639E-2"/>
          <c:w val="0.87201141474486021"/>
          <c:h val="5.216915030195682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Electricity Demand</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3839880188943852E-2"/>
          <c:y val="0.17952138310916138"/>
          <c:w val="0.89783726776424522"/>
          <c:h val="0.70918401532069042"/>
        </c:manualLayout>
      </c:layout>
      <c:barChart>
        <c:barDir val="col"/>
        <c:grouping val="stacked"/>
        <c:varyColors val="0"/>
        <c:ser>
          <c:idx val="0"/>
          <c:order val="0"/>
          <c:tx>
            <c:strRef>
              <c:f>'Output Graphs'!$A$95</c:f>
              <c:strCache>
                <c:ptCount val="1"/>
                <c:pt idx="0">
                  <c:v>Electricity use by rest of economy</c:v>
                </c:pt>
              </c:strCache>
            </c:strRef>
          </c:tx>
          <c:spPr>
            <a:solidFill>
              <a:schemeClr val="bg1">
                <a:lumMod val="75000"/>
              </a:schemeClr>
            </a:solidFill>
            <a:ln>
              <a:noFill/>
            </a:ln>
            <a:effectLst/>
          </c:spPr>
          <c:invertIfNegative val="0"/>
          <c:cat>
            <c:strRef>
              <c:f>'Output Graphs'!$B$94:$H$94</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Graphs'!$B$95:$H$95</c:f>
              <c:numCache>
                <c:formatCode>0.00</c:formatCode>
                <c:ptCount val="7"/>
                <c:pt idx="0">
                  <c:v>2.8723003796055107</c:v>
                </c:pt>
                <c:pt idx="1">
                  <c:v>2.8723003796055107</c:v>
                </c:pt>
                <c:pt idx="2">
                  <c:v>2.8723003796055107</c:v>
                </c:pt>
                <c:pt idx="3">
                  <c:v>2.8723003796055107</c:v>
                </c:pt>
                <c:pt idx="4">
                  <c:v>2.8723003796055107</c:v>
                </c:pt>
                <c:pt idx="5">
                  <c:v>2.8723003796055107</c:v>
                </c:pt>
                <c:pt idx="6">
                  <c:v>2.8723003796055107</c:v>
                </c:pt>
              </c:numCache>
            </c:numRef>
          </c:val>
          <c:extLst>
            <c:ext xmlns:c16="http://schemas.microsoft.com/office/drawing/2014/chart" uri="{C3380CC4-5D6E-409C-BE32-E72D297353CC}">
              <c16:uniqueId val="{00000000-9AAB-4891-8B0E-D7AA98014954}"/>
            </c:ext>
          </c:extLst>
        </c:ser>
        <c:ser>
          <c:idx val="1"/>
          <c:order val="1"/>
          <c:tx>
            <c:strRef>
              <c:f>'Output Graphs'!$A$96</c:f>
              <c:strCache>
                <c:ptCount val="1"/>
                <c:pt idx="0">
                  <c:v>Direct electricity use by industry</c:v>
                </c:pt>
              </c:strCache>
            </c:strRef>
          </c:tx>
          <c:spPr>
            <a:solidFill>
              <a:srgbClr val="FFFF00"/>
            </a:solidFill>
            <a:ln>
              <a:noFill/>
            </a:ln>
            <a:effectLst/>
          </c:spPr>
          <c:invertIfNegative val="0"/>
          <c:cat>
            <c:strRef>
              <c:f>'Output Graphs'!$B$94:$H$94</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Graphs'!$B$96:$H$96</c:f>
              <c:numCache>
                <c:formatCode>0.00</c:formatCode>
                <c:ptCount val="7"/>
                <c:pt idx="0">
                  <c:v>1.0138181686652377</c:v>
                </c:pt>
                <c:pt idx="1">
                  <c:v>3.7604416374793908</c:v>
                </c:pt>
                <c:pt idx="2">
                  <c:v>1.7226962112687996</c:v>
                </c:pt>
                <c:pt idx="3">
                  <c:v>1.4269686069207441</c:v>
                </c:pt>
                <c:pt idx="4">
                  <c:v>1.6367738418220623</c:v>
                </c:pt>
                <c:pt idx="5">
                  <c:v>2.0469981642987145</c:v>
                </c:pt>
                <c:pt idx="6">
                  <c:v>1.0138181686652377</c:v>
                </c:pt>
              </c:numCache>
            </c:numRef>
          </c:val>
          <c:extLst>
            <c:ext xmlns:c16="http://schemas.microsoft.com/office/drawing/2014/chart" uri="{C3380CC4-5D6E-409C-BE32-E72D297353CC}">
              <c16:uniqueId val="{00000001-9AAB-4891-8B0E-D7AA98014954}"/>
            </c:ext>
          </c:extLst>
        </c:ser>
        <c:ser>
          <c:idx val="2"/>
          <c:order val="2"/>
          <c:tx>
            <c:strRef>
              <c:f>'Output Graphs'!$A$97</c:f>
              <c:strCache>
                <c:ptCount val="1"/>
                <c:pt idx="0">
                  <c:v>Electricity for green hydrogen for industry</c:v>
                </c:pt>
              </c:strCache>
            </c:strRef>
          </c:tx>
          <c:spPr>
            <a:solidFill>
              <a:srgbClr val="92D050"/>
            </a:solidFill>
            <a:ln>
              <a:noFill/>
            </a:ln>
            <a:effectLst/>
          </c:spPr>
          <c:invertIfNegative val="0"/>
          <c:cat>
            <c:strRef>
              <c:f>'Output Graphs'!$B$94:$H$94</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Graphs'!$B$97:$H$97</c:f>
              <c:numCache>
                <c:formatCode>0.00</c:formatCode>
                <c:ptCount val="7"/>
                <c:pt idx="0">
                  <c:v>0</c:v>
                </c:pt>
                <c:pt idx="1">
                  <c:v>1.2202166840328168</c:v>
                </c:pt>
                <c:pt idx="2">
                  <c:v>7.0655973313341525</c:v>
                </c:pt>
                <c:pt idx="3">
                  <c:v>0.11832599246373285</c:v>
                </c:pt>
                <c:pt idx="4">
                  <c:v>0</c:v>
                </c:pt>
                <c:pt idx="5">
                  <c:v>2.225663294210261</c:v>
                </c:pt>
                <c:pt idx="6">
                  <c:v>0</c:v>
                </c:pt>
              </c:numCache>
            </c:numRef>
          </c:val>
          <c:extLst>
            <c:ext xmlns:c16="http://schemas.microsoft.com/office/drawing/2014/chart" uri="{C3380CC4-5D6E-409C-BE32-E72D297353CC}">
              <c16:uniqueId val="{00000002-9AAB-4891-8B0E-D7AA98014954}"/>
            </c:ext>
          </c:extLst>
        </c:ser>
        <c:dLbls>
          <c:showLegendKey val="0"/>
          <c:showVal val="0"/>
          <c:showCatName val="0"/>
          <c:showSerName val="0"/>
          <c:showPercent val="0"/>
          <c:showBubbleSize val="0"/>
        </c:dLbls>
        <c:gapWidth val="150"/>
        <c:overlap val="100"/>
        <c:axId val="424241824"/>
        <c:axId val="495836656"/>
      </c:barChart>
      <c:lineChart>
        <c:grouping val="standard"/>
        <c:varyColors val="0"/>
        <c:ser>
          <c:idx val="3"/>
          <c:order val="3"/>
          <c:tx>
            <c:strRef>
              <c:f>'Output Graphs'!$A$98</c:f>
              <c:strCache>
                <c:ptCount val="1"/>
                <c:pt idx="0">
                  <c:v>Total</c:v>
                </c:pt>
              </c:strCache>
            </c:strRef>
          </c:tx>
          <c:spPr>
            <a:ln w="28575" cap="rnd">
              <a:no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4C4C-4650-ACC3-F6F58DC3E1F4}"/>
                </c:ext>
              </c:extLst>
            </c:dLbl>
            <c:dLbl>
              <c:idx val="1"/>
              <c:tx>
                <c:rich>
                  <a:bodyPr/>
                  <a:lstStyle/>
                  <a:p>
                    <a:fld id="{2E4DCABA-7E50-2A47-AC3A-C759C51316C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C4C-4650-ACC3-F6F58DC3E1F4}"/>
                </c:ext>
              </c:extLst>
            </c:dLbl>
            <c:dLbl>
              <c:idx val="2"/>
              <c:tx>
                <c:rich>
                  <a:bodyPr/>
                  <a:lstStyle/>
                  <a:p>
                    <a:fld id="{989C0752-ED33-2B47-8E26-30C42B4DE07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C4C-4650-ACC3-F6F58DC3E1F4}"/>
                </c:ext>
              </c:extLst>
            </c:dLbl>
            <c:dLbl>
              <c:idx val="3"/>
              <c:tx>
                <c:rich>
                  <a:bodyPr/>
                  <a:lstStyle/>
                  <a:p>
                    <a:fld id="{5FE13588-DF0D-AA4A-BC97-CAAF465A725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C4C-4650-ACC3-F6F58DC3E1F4}"/>
                </c:ext>
              </c:extLst>
            </c:dLbl>
            <c:dLbl>
              <c:idx val="4"/>
              <c:tx>
                <c:rich>
                  <a:bodyPr/>
                  <a:lstStyle/>
                  <a:p>
                    <a:fld id="{797ADCC6-AB3F-2942-81AC-BCE4C982DF5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C4C-4650-ACC3-F6F58DC3E1F4}"/>
                </c:ext>
              </c:extLst>
            </c:dLbl>
            <c:dLbl>
              <c:idx val="5"/>
              <c:tx>
                <c:rich>
                  <a:bodyPr/>
                  <a:lstStyle/>
                  <a:p>
                    <a:fld id="{80F093EA-C938-EC4C-B637-93BCCFB3B22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C4C-4650-ACC3-F6F58DC3E1F4}"/>
                </c:ext>
              </c:extLst>
            </c:dLbl>
            <c:dLbl>
              <c:idx val="6"/>
              <c:tx>
                <c:rich>
                  <a:bodyPr/>
                  <a:lstStyle/>
                  <a:p>
                    <a:fld id="{33B14801-61D9-2C46-9884-DAF502EE65C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C4C-4650-ACC3-F6F58DC3E1F4}"/>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C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'Output Graphs'!$B$94:$H$94</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Graphs'!$B$98:$H$98</c:f>
              <c:numCache>
                <c:formatCode>0.00</c:formatCode>
                <c:ptCount val="7"/>
                <c:pt idx="0">
                  <c:v>3.8861185482707485</c:v>
                </c:pt>
                <c:pt idx="1">
                  <c:v>7.8529587011177178</c:v>
                </c:pt>
                <c:pt idx="2">
                  <c:v>11.660593922208463</c:v>
                </c:pt>
                <c:pt idx="3">
                  <c:v>4.417594978989988</c:v>
                </c:pt>
                <c:pt idx="4">
                  <c:v>4.5090742214275732</c:v>
                </c:pt>
                <c:pt idx="5">
                  <c:v>7.1449618381144866</c:v>
                </c:pt>
                <c:pt idx="6">
                  <c:v>3.8861185482707485</c:v>
                </c:pt>
              </c:numCache>
            </c:numRef>
          </c:val>
          <c:smooth val="0"/>
          <c:extLst>
            <c:ext xmlns:c15="http://schemas.microsoft.com/office/drawing/2012/chart" uri="{02D57815-91ED-43cb-92C2-25804820EDAC}">
              <c15:datalabelsRange>
                <c15:f>'Output Graphs'!$B$99:$H$99</c15:f>
                <c15:dlblRangeCache>
                  <c:ptCount val="7"/>
                  <c:pt idx="1">
                    <c:v>2.4%</c:v>
                  </c:pt>
                  <c:pt idx="2">
                    <c:v>3.7%</c:v>
                  </c:pt>
                  <c:pt idx="3">
                    <c:v>0.4%</c:v>
                  </c:pt>
                  <c:pt idx="4">
                    <c:v>0.5%</c:v>
                  </c:pt>
                  <c:pt idx="5">
                    <c:v>2.1%</c:v>
                  </c:pt>
                  <c:pt idx="6">
                    <c:v>0.0%</c:v>
                  </c:pt>
                </c15:dlblRangeCache>
              </c15:datalabelsRange>
            </c:ext>
            <c:ext xmlns:c16="http://schemas.microsoft.com/office/drawing/2014/chart" uri="{C3380CC4-5D6E-409C-BE32-E72D297353CC}">
              <c16:uniqueId val="{00000000-4C4C-4650-ACC3-F6F58DC3E1F4}"/>
            </c:ext>
          </c:extLst>
        </c:ser>
        <c:dLbls>
          <c:showLegendKey val="0"/>
          <c:showVal val="0"/>
          <c:showCatName val="0"/>
          <c:showSerName val="0"/>
          <c:showPercent val="0"/>
          <c:showBubbleSize val="0"/>
        </c:dLbls>
        <c:marker val="1"/>
        <c:smooth val="0"/>
        <c:axId val="424241824"/>
        <c:axId val="495836656"/>
      </c:line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Petawatt-hours (PWh)</a:t>
                </a:r>
              </a:p>
            </c:rich>
          </c:tx>
          <c:layout>
            <c:manualLayout>
              <c:xMode val="edge"/>
              <c:yMode val="edge"/>
              <c:x val="6.4682004839485161E-3"/>
              <c:y val="0.36838358599910853"/>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egendEntry>
        <c:idx val="3"/>
        <c:delete val="1"/>
      </c:legendEntry>
      <c:layout>
        <c:manualLayout>
          <c:xMode val="edge"/>
          <c:yMode val="edge"/>
          <c:x val="0.11088497485881658"/>
          <c:y val="7.4985917977610797E-2"/>
          <c:w val="0.82396265339856645"/>
          <c:h val="9.821580518715344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Volume of CO</a:t>
            </a:r>
            <a:r>
              <a:rPr lang="en-US" sz="2000" baseline="-25000"/>
              <a:t>2</a:t>
            </a:r>
            <a:r>
              <a:rPr lang="en-US" sz="2000"/>
              <a:t> Stored</a:t>
            </a:r>
            <a:r>
              <a:rPr lang="en-US" sz="2000" baseline="0"/>
              <a:t> Underground from Industrial CCS as a Fraction of</a:t>
            </a:r>
          </a:p>
          <a:p>
            <a:pPr>
              <a:defRPr sz="2000"/>
            </a:pPr>
            <a:r>
              <a:rPr lang="en-US" sz="2000" baseline="0"/>
              <a:t>Global Oil Production and Estimated Associated Capital Expenses</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618932788584235"/>
          <c:y val="0.18158056904612785"/>
          <c:w val="0.83979144757863533"/>
          <c:h val="0.68131994995861866"/>
        </c:manualLayout>
      </c:layout>
      <c:barChart>
        <c:barDir val="col"/>
        <c:grouping val="stacked"/>
        <c:varyColors val="0"/>
        <c:ser>
          <c:idx val="0"/>
          <c:order val="0"/>
          <c:tx>
            <c:strRef>
              <c:f>'Output Graphs excl. Custom'!$A$345</c:f>
              <c:strCache>
                <c:ptCount val="1"/>
                <c:pt idx="0">
                  <c:v>CO₂ from fossil fuel combustion</c:v>
                </c:pt>
              </c:strCache>
            </c:strRef>
          </c:tx>
          <c:spPr>
            <a:solidFill>
              <a:schemeClr val="accent4">
                <a:lumMod val="50000"/>
              </a:schemeClr>
            </a:solidFill>
            <a:ln>
              <a:noFill/>
            </a:ln>
            <a:effectLst/>
          </c:spPr>
          <c:invertIfNegative val="0"/>
          <c:cat>
            <c:strRef>
              <c:f>'Output Graphs excl. Custom'!$B$339:$G$339</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Custom'!$B$345:$G$345</c:f>
              <c:numCache>
                <c:formatCode>0%</c:formatCode>
                <c:ptCount val="6"/>
                <c:pt idx="0" formatCode="General">
                  <c:v>0</c:v>
                </c:pt>
                <c:pt idx="1">
                  <c:v>0</c:v>
                </c:pt>
                <c:pt idx="2">
                  <c:v>0</c:v>
                </c:pt>
                <c:pt idx="3">
                  <c:v>0</c:v>
                </c:pt>
                <c:pt idx="4">
                  <c:v>0.2156070371624349</c:v>
                </c:pt>
                <c:pt idx="5">
                  <c:v>6.2590417703783693E-2</c:v>
                </c:pt>
              </c:numCache>
            </c:numRef>
          </c:val>
          <c:extLst>
            <c:ext xmlns:c16="http://schemas.microsoft.com/office/drawing/2014/chart" uri="{C3380CC4-5D6E-409C-BE32-E72D297353CC}">
              <c16:uniqueId val="{00000000-15F7-4A43-87CA-F3DDF2BBE85F}"/>
            </c:ext>
          </c:extLst>
        </c:ser>
        <c:ser>
          <c:idx val="1"/>
          <c:order val="1"/>
          <c:tx>
            <c:strRef>
              <c:f>'Output Graphs excl. Custom'!$A$346</c:f>
              <c:strCache>
                <c:ptCount val="1"/>
                <c:pt idx="0">
                  <c:v>CO₂ from hydrogen production</c:v>
                </c:pt>
              </c:strCache>
            </c:strRef>
          </c:tx>
          <c:spPr>
            <a:solidFill>
              <a:srgbClr val="FFC000"/>
            </a:solidFill>
            <a:ln>
              <a:noFill/>
            </a:ln>
            <a:effectLst/>
          </c:spPr>
          <c:invertIfNegative val="0"/>
          <c:cat>
            <c:strRef>
              <c:f>'Output Graphs excl. Custom'!$B$339:$G$339</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Custom'!$B$346:$G$346</c:f>
              <c:numCache>
                <c:formatCode>0%</c:formatCode>
                <c:ptCount val="6"/>
                <c:pt idx="0" formatCode="General">
                  <c:v>0</c:v>
                </c:pt>
                <c:pt idx="1">
                  <c:v>0</c:v>
                </c:pt>
                <c:pt idx="2">
                  <c:v>0</c:v>
                </c:pt>
                <c:pt idx="3">
                  <c:v>0</c:v>
                </c:pt>
                <c:pt idx="4">
                  <c:v>0.16545946580842491</c:v>
                </c:pt>
                <c:pt idx="5">
                  <c:v>5.4601623716780207E-2</c:v>
                </c:pt>
              </c:numCache>
            </c:numRef>
          </c:val>
          <c:extLst>
            <c:ext xmlns:c16="http://schemas.microsoft.com/office/drawing/2014/chart" uri="{C3380CC4-5D6E-409C-BE32-E72D297353CC}">
              <c16:uniqueId val="{00000001-15F7-4A43-87CA-F3DDF2BBE85F}"/>
            </c:ext>
          </c:extLst>
        </c:ser>
        <c:ser>
          <c:idx val="3"/>
          <c:order val="2"/>
          <c:tx>
            <c:strRef>
              <c:f>'Output Graphs excl. Custom'!$A$347</c:f>
              <c:strCache>
                <c:ptCount val="1"/>
                <c:pt idx="0">
                  <c:v>CO₂ process emissions</c:v>
                </c:pt>
              </c:strCache>
            </c:strRef>
          </c:tx>
          <c:spPr>
            <a:solidFill>
              <a:schemeClr val="tx2">
                <a:lumMod val="60000"/>
                <a:lumOff val="40000"/>
              </a:schemeClr>
            </a:solidFill>
            <a:ln>
              <a:noFill/>
            </a:ln>
            <a:effectLst/>
          </c:spPr>
          <c:invertIfNegative val="0"/>
          <c:cat>
            <c:strRef>
              <c:f>'Output Graphs excl. Custom'!$B$339:$G$339</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Custom'!$B$347:$G$347</c:f>
              <c:numCache>
                <c:formatCode>0%</c:formatCode>
                <c:ptCount val="6"/>
                <c:pt idx="0" formatCode="General">
                  <c:v>0</c:v>
                </c:pt>
                <c:pt idx="1">
                  <c:v>2.0131164086486426E-2</c:v>
                </c:pt>
                <c:pt idx="2">
                  <c:v>2.0131164086486426E-2</c:v>
                </c:pt>
                <c:pt idx="3">
                  <c:v>2.0131164086486426E-2</c:v>
                </c:pt>
                <c:pt idx="4">
                  <c:v>3.4704854784602356E-2</c:v>
                </c:pt>
                <c:pt idx="5">
                  <c:v>2.0131164086486426E-2</c:v>
                </c:pt>
              </c:numCache>
            </c:numRef>
          </c:val>
          <c:extLst>
            <c:ext xmlns:c16="http://schemas.microsoft.com/office/drawing/2014/chart" uri="{C3380CC4-5D6E-409C-BE32-E72D297353CC}">
              <c16:uniqueId val="{00000002-15F7-4A43-87CA-F3DDF2BBE85F}"/>
            </c:ext>
          </c:extLst>
        </c:ser>
        <c:dLbls>
          <c:showLegendKey val="0"/>
          <c:showVal val="0"/>
          <c:showCatName val="0"/>
          <c:showSerName val="0"/>
          <c:showPercent val="0"/>
          <c:showBubbleSize val="0"/>
        </c:dLbls>
        <c:gapWidth val="150"/>
        <c:overlap val="100"/>
        <c:axId val="424241824"/>
        <c:axId val="495836656"/>
      </c:barChart>
      <c:lineChart>
        <c:grouping val="standard"/>
        <c:varyColors val="0"/>
        <c:ser>
          <c:idx val="2"/>
          <c:order val="3"/>
          <c:tx>
            <c:strRef>
              <c:f>'Output Graphs excl. Custom'!$A$348</c:f>
              <c:strCache>
                <c:ptCount val="1"/>
                <c:pt idx="0">
                  <c:v>Total</c:v>
                </c:pt>
              </c:strCache>
            </c:strRef>
          </c:tx>
          <c:spPr>
            <a:ln w="28575" cap="rnd">
              <a:noFill/>
              <a:round/>
            </a:ln>
            <a:effectLst/>
          </c:spPr>
          <c:marker>
            <c:symbol val="none"/>
          </c:marker>
          <c:dLbls>
            <c:dLbl>
              <c:idx val="0"/>
              <c:tx>
                <c:rich>
                  <a:bodyPr/>
                  <a:lstStyle/>
                  <a:p>
                    <a:fld id="{559743F2-E2ED-3947-9B6C-4792ECC51F6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5F7-4A43-87CA-F3DDF2BBE85F}"/>
                </c:ext>
              </c:extLst>
            </c:dLbl>
            <c:dLbl>
              <c:idx val="1"/>
              <c:tx>
                <c:rich>
                  <a:bodyPr/>
                  <a:lstStyle/>
                  <a:p>
                    <a:fld id="{D8BBBD8F-B9F6-114C-807E-53E79A64F94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5F7-4A43-87CA-F3DDF2BBE85F}"/>
                </c:ext>
              </c:extLst>
            </c:dLbl>
            <c:dLbl>
              <c:idx val="2"/>
              <c:tx>
                <c:rich>
                  <a:bodyPr/>
                  <a:lstStyle/>
                  <a:p>
                    <a:fld id="{0153DBD2-E79C-2C42-90A6-22B15CA93EB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5F7-4A43-87CA-F3DDF2BBE85F}"/>
                </c:ext>
              </c:extLst>
            </c:dLbl>
            <c:dLbl>
              <c:idx val="3"/>
              <c:tx>
                <c:rich>
                  <a:bodyPr/>
                  <a:lstStyle/>
                  <a:p>
                    <a:fld id="{6168F055-FC0F-5546-A9E3-4A9F2FF3478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5F7-4A43-87CA-F3DDF2BBE85F}"/>
                </c:ext>
              </c:extLst>
            </c:dLbl>
            <c:dLbl>
              <c:idx val="4"/>
              <c:tx>
                <c:rich>
                  <a:bodyPr/>
                  <a:lstStyle/>
                  <a:p>
                    <a:fld id="{42597E48-F125-FA41-B5F0-7D13CE25045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5F7-4A43-87CA-F3DDF2BBE85F}"/>
                </c:ext>
              </c:extLst>
            </c:dLbl>
            <c:dLbl>
              <c:idx val="5"/>
              <c:tx>
                <c:rich>
                  <a:bodyPr/>
                  <a:lstStyle/>
                  <a:p>
                    <a:fld id="{B031933F-B902-FE46-992D-1B2C2551495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5F7-4A43-87CA-F3DDF2BBE85F}"/>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C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'Output Graphs excl. Custom'!$B$339:$G$339</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Custom'!$B$348:$G$348</c:f>
              <c:numCache>
                <c:formatCode>0%</c:formatCode>
                <c:ptCount val="6"/>
                <c:pt idx="0" formatCode="General">
                  <c:v>0</c:v>
                </c:pt>
                <c:pt idx="1">
                  <c:v>2.0131164086486426E-2</c:v>
                </c:pt>
                <c:pt idx="2">
                  <c:v>2.0131164086486426E-2</c:v>
                </c:pt>
                <c:pt idx="3">
                  <c:v>2.0131164086486426E-2</c:v>
                </c:pt>
                <c:pt idx="4">
                  <c:v>0.41577135775546215</c:v>
                </c:pt>
                <c:pt idx="5">
                  <c:v>0.13732320550705032</c:v>
                </c:pt>
              </c:numCache>
            </c:numRef>
          </c:val>
          <c:smooth val="0"/>
          <c:extLst>
            <c:ext xmlns:c15="http://schemas.microsoft.com/office/drawing/2012/chart" uri="{02D57815-91ED-43cb-92C2-25804820EDAC}">
              <c15:datalabelsRange>
                <c15:f>'Output Graphs excl. Custom'!$B$349:$H$349</c15:f>
                <c15:dlblRangeCache>
                  <c:ptCount val="7"/>
                  <c:pt idx="0">
                    <c:v>$0 </c:v>
                  </c:pt>
                  <c:pt idx="1">
                    <c:v>$0.2</c:v>
                  </c:pt>
                  <c:pt idx="2">
                    <c:v>$0.2</c:v>
                  </c:pt>
                  <c:pt idx="3">
                    <c:v>$0.2</c:v>
                  </c:pt>
                  <c:pt idx="4">
                    <c:v>$3.3</c:v>
                  </c:pt>
                  <c:pt idx="5">
                    <c:v>$1.1</c:v>
                  </c:pt>
                  <c:pt idx="6">
                    <c:v>$0.0</c:v>
                  </c:pt>
                </c15:dlblRangeCache>
              </c15:datalabelsRange>
            </c:ext>
            <c:ext xmlns:c16="http://schemas.microsoft.com/office/drawing/2014/chart" uri="{C3380CC4-5D6E-409C-BE32-E72D297353CC}">
              <c16:uniqueId val="{0000000A-15F7-4A43-87CA-F3DDF2BBE85F}"/>
            </c:ext>
          </c:extLst>
        </c:ser>
        <c:dLbls>
          <c:showLegendKey val="0"/>
          <c:showVal val="0"/>
          <c:showCatName val="0"/>
          <c:showSerName val="0"/>
          <c:showPercent val="0"/>
          <c:showBubbleSize val="0"/>
        </c:dLbls>
        <c:marker val="1"/>
        <c:smooth val="0"/>
        <c:axId val="424241824"/>
        <c:axId val="495836656"/>
      </c:line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Fraction</a:t>
                </a:r>
                <a:r>
                  <a:rPr lang="en-US" sz="1800" baseline="0"/>
                  <a:t> of Global Oil Production by Volume</a:t>
                </a:r>
                <a:endParaRPr lang="en-US" sz="1800"/>
              </a:p>
            </c:rich>
          </c:tx>
          <c:layout>
            <c:manualLayout>
              <c:xMode val="edge"/>
              <c:yMode val="edge"/>
              <c:x val="1.2064982164450885E-2"/>
              <c:y val="0.21082086676529399"/>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egendEntry>
        <c:idx val="3"/>
        <c:delete val="1"/>
      </c:legendEntry>
      <c:layout>
        <c:manualLayout>
          <c:xMode val="edge"/>
          <c:yMode val="edge"/>
          <c:x val="0.10757959022720696"/>
          <c:y val="0.12332551843066102"/>
          <c:w val="0.84188041438184225"/>
          <c:h val="5.060602981658518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Capacity Used to Generate Electricity for</a:t>
            </a:r>
            <a:r>
              <a:rPr lang="en-US" sz="2000" baseline="0"/>
              <a:t> Industry</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86679124782071"/>
          <c:y val="0.23375717886749303"/>
          <c:w val="0.85996432108777054"/>
          <c:h val="0.65382396507367269"/>
        </c:manualLayout>
      </c:layout>
      <c:barChart>
        <c:barDir val="col"/>
        <c:grouping val="stacked"/>
        <c:varyColors val="0"/>
        <c:ser>
          <c:idx val="0"/>
          <c:order val="0"/>
          <c:tx>
            <c:strRef>
              <c:f>'Output Graphs excl. Custom'!$A$424</c:f>
              <c:strCache>
                <c:ptCount val="1"/>
                <c:pt idx="0">
                  <c:v>Capacity serving rest of economy</c:v>
                </c:pt>
              </c:strCache>
            </c:strRef>
          </c:tx>
          <c:spPr>
            <a:solidFill>
              <a:schemeClr val="bg1">
                <a:lumMod val="75000"/>
              </a:schemeClr>
            </a:solidFill>
            <a:ln>
              <a:noFill/>
            </a:ln>
            <a:effectLst/>
          </c:spPr>
          <c:invertIfNegative val="0"/>
          <c:cat>
            <c:strRef>
              <c:f>'Output Graphs excl. Custom'!$B$423:$G$423</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Custom'!$B$424:$G$424</c:f>
              <c:numCache>
                <c:formatCode>0</c:formatCode>
                <c:ptCount val="6"/>
                <c:pt idx="0">
                  <c:v>815.29742571569807</c:v>
                </c:pt>
                <c:pt idx="1">
                  <c:v>815.29742571569807</c:v>
                </c:pt>
                <c:pt idx="2">
                  <c:v>815.29742571569807</c:v>
                </c:pt>
                <c:pt idx="3">
                  <c:v>815.29742571569807</c:v>
                </c:pt>
                <c:pt idx="4">
                  <c:v>815.29742571569807</c:v>
                </c:pt>
                <c:pt idx="5">
                  <c:v>815.29742571569807</c:v>
                </c:pt>
              </c:numCache>
            </c:numRef>
          </c:val>
          <c:extLst>
            <c:ext xmlns:c16="http://schemas.microsoft.com/office/drawing/2014/chart" uri="{C3380CC4-5D6E-409C-BE32-E72D297353CC}">
              <c16:uniqueId val="{00000000-C9E9-4A72-B1B1-42C2CDC56455}"/>
            </c:ext>
          </c:extLst>
        </c:ser>
        <c:ser>
          <c:idx val="1"/>
          <c:order val="1"/>
          <c:tx>
            <c:strRef>
              <c:f>'Output Graphs excl. Custom'!$A$425</c:f>
              <c:strCache>
                <c:ptCount val="1"/>
                <c:pt idx="0">
                  <c:v>Unabated sources</c:v>
                </c:pt>
              </c:strCache>
            </c:strRef>
          </c:tx>
          <c:spPr>
            <a:solidFill>
              <a:schemeClr val="accent4">
                <a:lumMod val="50000"/>
              </a:schemeClr>
            </a:solidFill>
            <a:ln>
              <a:noFill/>
            </a:ln>
            <a:effectLst/>
          </c:spPr>
          <c:invertIfNegative val="0"/>
          <c:cat>
            <c:strRef>
              <c:f>'Output Graphs excl. Custom'!$B$423:$G$423</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Custom'!$B$425:$G$425</c:f>
              <c:numCache>
                <c:formatCode>0</c:formatCode>
                <c:ptCount val="6"/>
                <c:pt idx="0">
                  <c:v>183.3899702367371</c:v>
                </c:pt>
                <c:pt idx="1">
                  <c:v>0</c:v>
                </c:pt>
                <c:pt idx="2">
                  <c:v>0</c:v>
                </c:pt>
                <c:pt idx="3">
                  <c:v>0</c:v>
                </c:pt>
                <c:pt idx="4">
                  <c:v>0</c:v>
                </c:pt>
                <c:pt idx="5">
                  <c:v>0</c:v>
                </c:pt>
              </c:numCache>
            </c:numRef>
          </c:val>
          <c:extLst>
            <c:ext xmlns:c16="http://schemas.microsoft.com/office/drawing/2014/chart" uri="{C3380CC4-5D6E-409C-BE32-E72D297353CC}">
              <c16:uniqueId val="{00000001-C9E9-4A72-B1B1-42C2CDC56455}"/>
            </c:ext>
          </c:extLst>
        </c:ser>
        <c:ser>
          <c:idx val="2"/>
          <c:order val="2"/>
          <c:tx>
            <c:strRef>
              <c:f>'Output Graphs excl. Custom'!$A$426</c:f>
              <c:strCache>
                <c:ptCount val="1"/>
                <c:pt idx="0">
                  <c:v>Fossil fuels with CCS</c:v>
                </c:pt>
              </c:strCache>
            </c:strRef>
          </c:tx>
          <c:spPr>
            <a:solidFill>
              <a:srgbClr val="FFC000"/>
            </a:solidFill>
            <a:ln>
              <a:noFill/>
            </a:ln>
            <a:effectLst/>
          </c:spPr>
          <c:invertIfNegative val="0"/>
          <c:cat>
            <c:strRef>
              <c:f>'Output Graphs excl. Custom'!$B$423:$G$423</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Custom'!$B$426:$G$426</c:f>
              <c:numCache>
                <c:formatCode>0</c:formatCode>
                <c:ptCount val="6"/>
                <c:pt idx="0">
                  <c:v>0</c:v>
                </c:pt>
                <c:pt idx="1">
                  <c:v>100.44119902790851</c:v>
                </c:pt>
                <c:pt idx="2">
                  <c:v>177.22692139224324</c:v>
                </c:pt>
                <c:pt idx="3">
                  <c:v>31.162796641389328</c:v>
                </c:pt>
                <c:pt idx="4">
                  <c:v>33.007589880248979</c:v>
                </c:pt>
                <c:pt idx="5">
                  <c:v>86.163557552102191</c:v>
                </c:pt>
              </c:numCache>
            </c:numRef>
          </c:val>
          <c:extLst>
            <c:ext xmlns:c16="http://schemas.microsoft.com/office/drawing/2014/chart" uri="{C3380CC4-5D6E-409C-BE32-E72D297353CC}">
              <c16:uniqueId val="{00000002-C9E9-4A72-B1B1-42C2CDC56455}"/>
            </c:ext>
          </c:extLst>
        </c:ser>
        <c:ser>
          <c:idx val="3"/>
          <c:order val="3"/>
          <c:tx>
            <c:strRef>
              <c:f>'Output Graphs excl. Custom'!$A$427</c:f>
              <c:strCache>
                <c:ptCount val="1"/>
                <c:pt idx="0">
                  <c:v>Nuclear</c:v>
                </c:pt>
              </c:strCache>
            </c:strRef>
          </c:tx>
          <c:spPr>
            <a:solidFill>
              <a:srgbClr val="7030A0"/>
            </a:solidFill>
            <a:ln>
              <a:noFill/>
            </a:ln>
            <a:effectLst/>
          </c:spPr>
          <c:invertIfNegative val="0"/>
          <c:cat>
            <c:strRef>
              <c:f>'Output Graphs excl. Custom'!$B$423:$G$423</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Custom'!$B$427:$G$427</c:f>
              <c:numCache>
                <c:formatCode>0</c:formatCode>
                <c:ptCount val="6"/>
                <c:pt idx="0">
                  <c:v>24.725506698470184</c:v>
                </c:pt>
                <c:pt idx="1">
                  <c:v>70.22187724245552</c:v>
                </c:pt>
                <c:pt idx="2">
                  <c:v>123.90540175258563</c:v>
                </c:pt>
                <c:pt idx="3">
                  <c:v>21.78697687265964</c:v>
                </c:pt>
                <c:pt idx="4">
                  <c:v>23.076734916277964</c:v>
                </c:pt>
                <c:pt idx="5">
                  <c:v>60.23988980374245</c:v>
                </c:pt>
              </c:numCache>
            </c:numRef>
          </c:val>
          <c:extLst>
            <c:ext xmlns:c16="http://schemas.microsoft.com/office/drawing/2014/chart" uri="{C3380CC4-5D6E-409C-BE32-E72D297353CC}">
              <c16:uniqueId val="{00000003-C9E9-4A72-B1B1-42C2CDC56455}"/>
            </c:ext>
          </c:extLst>
        </c:ser>
        <c:ser>
          <c:idx val="4"/>
          <c:order val="4"/>
          <c:tx>
            <c:strRef>
              <c:f>'Output Graphs excl. Custom'!$A$428</c:f>
              <c:strCache>
                <c:ptCount val="1"/>
                <c:pt idx="0">
                  <c:v>Biomass</c:v>
                </c:pt>
              </c:strCache>
            </c:strRef>
          </c:tx>
          <c:spPr>
            <a:solidFill>
              <a:srgbClr val="92D050"/>
            </a:solidFill>
            <a:ln>
              <a:noFill/>
            </a:ln>
            <a:effectLst/>
          </c:spPr>
          <c:invertIfNegative val="0"/>
          <c:cat>
            <c:strRef>
              <c:f>'Output Graphs excl. Custom'!$B$423:$G$423</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Custom'!$B$428:$G$428</c:f>
              <c:numCache>
                <c:formatCode>0</c:formatCode>
                <c:ptCount val="6"/>
                <c:pt idx="0">
                  <c:v>0.69845949449828848</c:v>
                </c:pt>
                <c:pt idx="1">
                  <c:v>94.309614203530387</c:v>
                </c:pt>
                <c:pt idx="2">
                  <c:v>166.40783607469353</c:v>
                </c:pt>
                <c:pt idx="3">
                  <c:v>29.260416613862656</c:v>
                </c:pt>
                <c:pt idx="4">
                  <c:v>30.992591660815179</c:v>
                </c:pt>
                <c:pt idx="5">
                  <c:v>80.903572934095962</c:v>
                </c:pt>
              </c:numCache>
            </c:numRef>
          </c:val>
          <c:extLst>
            <c:ext xmlns:c16="http://schemas.microsoft.com/office/drawing/2014/chart" uri="{C3380CC4-5D6E-409C-BE32-E72D297353CC}">
              <c16:uniqueId val="{00000004-C9E9-4A72-B1B1-42C2CDC56455}"/>
            </c:ext>
          </c:extLst>
        </c:ser>
        <c:ser>
          <c:idx val="5"/>
          <c:order val="5"/>
          <c:tx>
            <c:strRef>
              <c:f>'Output Graphs excl. Custom'!$A$429</c:f>
              <c:strCache>
                <c:ptCount val="1"/>
                <c:pt idx="0">
                  <c:v>Hydroelectric capacity</c:v>
                </c:pt>
              </c:strCache>
            </c:strRef>
          </c:tx>
          <c:spPr>
            <a:solidFill>
              <a:srgbClr val="002060"/>
            </a:solidFill>
            <a:ln>
              <a:noFill/>
            </a:ln>
            <a:effectLst/>
          </c:spPr>
          <c:invertIfNegative val="0"/>
          <c:cat>
            <c:strRef>
              <c:f>'Output Graphs excl. Custom'!$B$423:$G$423</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Custom'!$B$429:$G$429</c:f>
              <c:numCache>
                <c:formatCode>0</c:formatCode>
                <c:ptCount val="6"/>
                <c:pt idx="0">
                  <c:v>20.667876223154536</c:v>
                </c:pt>
                <c:pt idx="1">
                  <c:v>28.966524362512903</c:v>
                </c:pt>
                <c:pt idx="2">
                  <c:v>51.110978222941576</c:v>
                </c:pt>
                <c:pt idx="3">
                  <c:v>8.9871279599720992</c:v>
                </c:pt>
                <c:pt idx="4">
                  <c:v>9.5191531529646625</c:v>
                </c:pt>
                <c:pt idx="5">
                  <c:v>24.848954544043757</c:v>
                </c:pt>
              </c:numCache>
            </c:numRef>
          </c:val>
          <c:extLst>
            <c:ext xmlns:c16="http://schemas.microsoft.com/office/drawing/2014/chart" uri="{C3380CC4-5D6E-409C-BE32-E72D297353CC}">
              <c16:uniqueId val="{00000005-C9E9-4A72-B1B1-42C2CDC56455}"/>
            </c:ext>
          </c:extLst>
        </c:ser>
        <c:ser>
          <c:idx val="6"/>
          <c:order val="6"/>
          <c:tx>
            <c:strRef>
              <c:f>'Output Graphs excl. Custom'!$A$430</c:f>
              <c:strCache>
                <c:ptCount val="1"/>
                <c:pt idx="0">
                  <c:v>Geothermal</c:v>
                </c:pt>
              </c:strCache>
            </c:strRef>
          </c:tx>
          <c:spPr>
            <a:solidFill>
              <a:srgbClr val="C00000"/>
            </a:solidFill>
            <a:ln>
              <a:noFill/>
            </a:ln>
            <a:effectLst/>
          </c:spPr>
          <c:invertIfNegative val="0"/>
          <c:cat>
            <c:strRef>
              <c:f>'Output Graphs excl. Custom'!$B$423:$G$423</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Custom'!$B$430:$G$430</c:f>
              <c:numCache>
                <c:formatCode>0</c:formatCode>
                <c:ptCount val="6"/>
                <c:pt idx="0">
                  <c:v>0.66279667161904909</c:v>
                </c:pt>
                <c:pt idx="1">
                  <c:v>25.612505752116672</c:v>
                </c:pt>
                <c:pt idx="2">
                  <c:v>45.192864955022024</c:v>
                </c:pt>
                <c:pt idx="3">
                  <c:v>7.9465131435542764</c:v>
                </c:pt>
                <c:pt idx="4">
                  <c:v>8.4169354194634884</c:v>
                </c:pt>
                <c:pt idx="5">
                  <c:v>21.971707175786058</c:v>
                </c:pt>
              </c:numCache>
            </c:numRef>
          </c:val>
          <c:extLst>
            <c:ext xmlns:c16="http://schemas.microsoft.com/office/drawing/2014/chart" uri="{C3380CC4-5D6E-409C-BE32-E72D297353CC}">
              <c16:uniqueId val="{00000006-C9E9-4A72-B1B1-42C2CDC56455}"/>
            </c:ext>
          </c:extLst>
        </c:ser>
        <c:ser>
          <c:idx val="7"/>
          <c:order val="7"/>
          <c:tx>
            <c:strRef>
              <c:f>'Output Graphs excl. Custom'!$A$431</c:f>
              <c:strCache>
                <c:ptCount val="1"/>
                <c:pt idx="0">
                  <c:v>Solar photovoltaic</c:v>
                </c:pt>
              </c:strCache>
            </c:strRef>
          </c:tx>
          <c:spPr>
            <a:solidFill>
              <a:srgbClr val="FFFF00"/>
            </a:solidFill>
            <a:ln>
              <a:noFill/>
            </a:ln>
            <a:effectLst/>
          </c:spPr>
          <c:invertIfNegative val="0"/>
          <c:cat>
            <c:strRef>
              <c:f>'Output Graphs excl. Custom'!$B$423:$G$423</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Custom'!$B$431:$G$431</c:f>
              <c:numCache>
                <c:formatCode>0</c:formatCode>
                <c:ptCount val="6"/>
                <c:pt idx="0">
                  <c:v>19.947352898968177</c:v>
                </c:pt>
                <c:pt idx="1">
                  <c:v>788.07710006512832</c:v>
                </c:pt>
                <c:pt idx="2">
                  <c:v>1390.549690923755</c:v>
                </c:pt>
                <c:pt idx="3">
                  <c:v>244.50809672474696</c:v>
                </c:pt>
                <c:pt idx="4">
                  <c:v>258.98262829118426</c:v>
                </c:pt>
                <c:pt idx="5">
                  <c:v>676.05252848572491</c:v>
                </c:pt>
              </c:numCache>
            </c:numRef>
          </c:val>
          <c:extLst>
            <c:ext xmlns:c16="http://schemas.microsoft.com/office/drawing/2014/chart" uri="{C3380CC4-5D6E-409C-BE32-E72D297353CC}">
              <c16:uniqueId val="{00000007-C9E9-4A72-B1B1-42C2CDC56455}"/>
            </c:ext>
          </c:extLst>
        </c:ser>
        <c:ser>
          <c:idx val="8"/>
          <c:order val="8"/>
          <c:tx>
            <c:strRef>
              <c:f>'Output Graphs excl. Custom'!$A$432</c:f>
              <c:strCache>
                <c:ptCount val="1"/>
                <c:pt idx="0">
                  <c:v>Onshore wind</c:v>
                </c:pt>
              </c:strCache>
            </c:strRef>
          </c:tx>
          <c:spPr>
            <a:solidFill>
              <a:srgbClr val="00B0F0"/>
            </a:solidFill>
            <a:ln>
              <a:noFill/>
            </a:ln>
            <a:effectLst/>
          </c:spPr>
          <c:invertIfNegative val="0"/>
          <c:cat>
            <c:strRef>
              <c:f>'Output Graphs excl. Custom'!$B$423:$G$423</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Custom'!$B$432:$G$432</c:f>
              <c:numCache>
                <c:formatCode>0</c:formatCode>
                <c:ptCount val="6"/>
                <c:pt idx="0">
                  <c:v>37.558019601873276</c:v>
                </c:pt>
                <c:pt idx="1">
                  <c:v>478.26792067834572</c:v>
                </c:pt>
                <c:pt idx="2">
                  <c:v>843.89624977436722</c:v>
                </c:pt>
                <c:pt idx="3">
                  <c:v>148.38697761919533</c:v>
                </c:pt>
                <c:pt idx="4">
                  <c:v>157.17127564600128</c:v>
                </c:pt>
                <c:pt idx="5">
                  <c:v>410.28249271738099</c:v>
                </c:pt>
              </c:numCache>
            </c:numRef>
          </c:val>
          <c:extLst>
            <c:ext xmlns:c16="http://schemas.microsoft.com/office/drawing/2014/chart" uri="{C3380CC4-5D6E-409C-BE32-E72D297353CC}">
              <c16:uniqueId val="{00000008-C9E9-4A72-B1B1-42C2CDC56455}"/>
            </c:ext>
          </c:extLst>
        </c:ser>
        <c:ser>
          <c:idx val="9"/>
          <c:order val="9"/>
          <c:tx>
            <c:strRef>
              <c:f>'Output Graphs excl. Custom'!$A$433</c:f>
              <c:strCache>
                <c:ptCount val="1"/>
                <c:pt idx="0">
                  <c:v>Offshore wind</c:v>
                </c:pt>
              </c:strCache>
            </c:strRef>
          </c:tx>
          <c:spPr>
            <a:solidFill>
              <a:srgbClr val="0070C0"/>
            </a:solidFill>
            <a:ln>
              <a:noFill/>
            </a:ln>
            <a:effectLst/>
          </c:spPr>
          <c:invertIfNegative val="0"/>
          <c:cat>
            <c:strRef>
              <c:f>'Output Graphs excl. Custom'!$B$423:$G$423</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Custom'!$B$433:$G$433</c:f>
              <c:numCache>
                <c:formatCode>0</c:formatCode>
                <c:ptCount val="6"/>
                <c:pt idx="0">
                  <c:v>0.12052745898134326</c:v>
                </c:pt>
                <c:pt idx="1">
                  <c:v>64.498026413547606</c:v>
                </c:pt>
                <c:pt idx="2">
                  <c:v>113.80575667931325</c:v>
                </c:pt>
                <c:pt idx="3">
                  <c:v>20.011100030156566</c:v>
                </c:pt>
                <c:pt idx="4">
                  <c:v>21.195728690497855</c:v>
                </c:pt>
                <c:pt idx="5">
                  <c:v>55.329680098069602</c:v>
                </c:pt>
              </c:numCache>
            </c:numRef>
          </c:val>
          <c:extLst>
            <c:ext xmlns:c16="http://schemas.microsoft.com/office/drawing/2014/chart" uri="{C3380CC4-5D6E-409C-BE32-E72D297353CC}">
              <c16:uniqueId val="{00000009-C9E9-4A72-B1B1-42C2CDC56455}"/>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Electricity Generation Capacity (GW)</a:t>
                </a:r>
              </a:p>
            </c:rich>
          </c:tx>
          <c:layout>
            <c:manualLayout>
              <c:xMode val="edge"/>
              <c:yMode val="edge"/>
              <c:x val="1.3214411936852565E-2"/>
              <c:y val="0.29600725033133235"/>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ayout>
        <c:manualLayout>
          <c:xMode val="edge"/>
          <c:yMode val="edge"/>
          <c:x val="9.0280863914831283E-2"/>
          <c:y val="6.2959772355188279E-2"/>
          <c:w val="0.89449102386136337"/>
          <c:h val="0.1502258257321795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Industry Sector Non-Feedstock Energy </a:t>
            </a:r>
            <a:r>
              <a:rPr lang="en-US" sz="2000" baseline="0"/>
              <a:t>Use</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0390283302598809E-2"/>
          <c:y val="0.18335661068392348"/>
          <c:w val="0.8951026264998535"/>
          <c:h val="0.69100834827730062"/>
        </c:manualLayout>
      </c:layout>
      <c:barChart>
        <c:barDir val="col"/>
        <c:grouping val="stacked"/>
        <c:varyColors val="0"/>
        <c:ser>
          <c:idx val="0"/>
          <c:order val="0"/>
          <c:tx>
            <c:strRef>
              <c:f>'Output Graphs excl. Custom'!$A$3</c:f>
              <c:strCache>
                <c:ptCount val="1"/>
                <c:pt idx="0">
                  <c:v>Electricity (direct use)</c:v>
                </c:pt>
              </c:strCache>
            </c:strRef>
          </c:tx>
          <c:spPr>
            <a:solidFill>
              <a:srgbClr val="FFFF00"/>
            </a:solidFill>
            <a:ln>
              <a:noFill/>
            </a:ln>
            <a:effectLst/>
          </c:spPr>
          <c:invertIfNegative val="0"/>
          <c:cat>
            <c:strRef>
              <c:f>'Output Graphs excl. Custom'!$B$2:$G$2</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Custom'!$B$3:$G$3</c:f>
              <c:numCache>
                <c:formatCode>0.00</c:formatCode>
                <c:ptCount val="6"/>
                <c:pt idx="0">
                  <c:v>3.6496440259232461</c:v>
                </c:pt>
                <c:pt idx="1">
                  <c:v>13.53721385278452</c:v>
                </c:pt>
                <c:pt idx="2">
                  <c:v>6.2015340918730608</c:v>
                </c:pt>
                <c:pt idx="3">
                  <c:v>5.1369442888214465</c:v>
                </c:pt>
                <c:pt idx="4">
                  <c:v>5.8922221540555402</c:v>
                </c:pt>
                <c:pt idx="5">
                  <c:v>7.3689886927598698</c:v>
                </c:pt>
              </c:numCache>
            </c:numRef>
          </c:val>
          <c:extLst>
            <c:ext xmlns:c16="http://schemas.microsoft.com/office/drawing/2014/chart" uri="{C3380CC4-5D6E-409C-BE32-E72D297353CC}">
              <c16:uniqueId val="{00000000-AE0E-48C4-9CD9-460C8C3034BD}"/>
            </c:ext>
          </c:extLst>
        </c:ser>
        <c:ser>
          <c:idx val="1"/>
          <c:order val="1"/>
          <c:tx>
            <c:strRef>
              <c:f>'Output Graphs excl. Custom'!$A$4</c:f>
              <c:strCache>
                <c:ptCount val="1"/>
                <c:pt idx="0">
                  <c:v>Green hydrogen</c:v>
                </c:pt>
              </c:strCache>
            </c:strRef>
          </c:tx>
          <c:spPr>
            <a:solidFill>
              <a:srgbClr val="92D050"/>
            </a:solidFill>
            <a:ln>
              <a:noFill/>
            </a:ln>
            <a:effectLst/>
          </c:spPr>
          <c:invertIfNegative val="0"/>
          <c:cat>
            <c:strRef>
              <c:f>'Output Graphs excl. Custom'!$B$2:$G$2</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Custom'!$B$4:$G$4</c:f>
              <c:numCache>
                <c:formatCode>0.00</c:formatCode>
                <c:ptCount val="6"/>
                <c:pt idx="0">
                  <c:v>0</c:v>
                </c:pt>
                <c:pt idx="1">
                  <c:v>0</c:v>
                </c:pt>
                <c:pt idx="2">
                  <c:v>11.841438473827356</c:v>
                </c:pt>
                <c:pt idx="3">
                  <c:v>0</c:v>
                </c:pt>
                <c:pt idx="4">
                  <c:v>0</c:v>
                </c:pt>
                <c:pt idx="5">
                  <c:v>3.6368757106353398</c:v>
                </c:pt>
              </c:numCache>
            </c:numRef>
          </c:val>
          <c:extLst>
            <c:ext xmlns:c16="http://schemas.microsoft.com/office/drawing/2014/chart" uri="{C3380CC4-5D6E-409C-BE32-E72D297353CC}">
              <c16:uniqueId val="{00000001-AE0E-48C4-9CD9-460C8C3034BD}"/>
            </c:ext>
          </c:extLst>
        </c:ser>
        <c:ser>
          <c:idx val="2"/>
          <c:order val="2"/>
          <c:tx>
            <c:strRef>
              <c:f>'Output Graphs excl. Custom'!$A$5</c:f>
              <c:strCache>
                <c:ptCount val="1"/>
                <c:pt idx="0">
                  <c:v>Bioenergy</c:v>
                </c:pt>
              </c:strCache>
            </c:strRef>
          </c:tx>
          <c:spPr>
            <a:solidFill>
              <a:schemeClr val="accent6">
                <a:lumMod val="50000"/>
              </a:schemeClr>
            </a:solidFill>
            <a:ln>
              <a:noFill/>
            </a:ln>
            <a:effectLst/>
          </c:spPr>
          <c:invertIfNegative val="0"/>
          <c:cat>
            <c:strRef>
              <c:f>'Output Graphs excl. Custom'!$B$2:$G$2</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Custom'!$B$5:$G$5</c:f>
              <c:numCache>
                <c:formatCode>0.00</c:formatCode>
                <c:ptCount val="6"/>
                <c:pt idx="0">
                  <c:v>1.2294838162586879</c:v>
                </c:pt>
                <c:pt idx="1">
                  <c:v>1.3583966402096561</c:v>
                </c:pt>
                <c:pt idx="2">
                  <c:v>1.6480182766661706</c:v>
                </c:pt>
                <c:pt idx="3">
                  <c:v>13.757535637371687</c:v>
                </c:pt>
                <c:pt idx="4">
                  <c:v>1.6480182766661706</c:v>
                </c:pt>
                <c:pt idx="5">
                  <c:v>5.030901812558195</c:v>
                </c:pt>
              </c:numCache>
            </c:numRef>
          </c:val>
          <c:extLst>
            <c:ext xmlns:c16="http://schemas.microsoft.com/office/drawing/2014/chart" uri="{C3380CC4-5D6E-409C-BE32-E72D297353CC}">
              <c16:uniqueId val="{00000002-AE0E-48C4-9CD9-460C8C3034BD}"/>
            </c:ext>
          </c:extLst>
        </c:ser>
        <c:ser>
          <c:idx val="3"/>
          <c:order val="3"/>
          <c:tx>
            <c:strRef>
              <c:f>'Output Graphs excl. Custom'!$A$6</c:f>
              <c:strCache>
                <c:ptCount val="1"/>
                <c:pt idx="0">
                  <c:v>Purchased heat (steam)</c:v>
                </c:pt>
              </c:strCache>
            </c:strRef>
          </c:tx>
          <c:spPr>
            <a:solidFill>
              <a:srgbClr val="C00000"/>
            </a:solidFill>
            <a:ln>
              <a:noFill/>
            </a:ln>
            <a:effectLst/>
          </c:spPr>
          <c:invertIfNegative val="0"/>
          <c:cat>
            <c:strRef>
              <c:f>'Output Graphs excl. Custom'!$B$2:$G$2</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Custom'!$B$6:$G$6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AE0E-48C4-9CD9-460C8C3034BD}"/>
            </c:ext>
          </c:extLst>
        </c:ser>
        <c:ser>
          <c:idx val="4"/>
          <c:order val="4"/>
          <c:tx>
            <c:strRef>
              <c:f>'Output Graphs excl. Custom'!$A$7</c:f>
              <c:strCache>
                <c:ptCount val="1"/>
                <c:pt idx="0">
                  <c:v>Fossil fuels with CCS</c:v>
                </c:pt>
              </c:strCache>
            </c:strRef>
          </c:tx>
          <c:spPr>
            <a:solidFill>
              <a:srgbClr val="FFC000"/>
            </a:solidFill>
            <a:ln>
              <a:noFill/>
            </a:ln>
            <a:effectLst/>
          </c:spPr>
          <c:invertIfNegative val="0"/>
          <c:cat>
            <c:strRef>
              <c:f>'Output Graphs excl. Custom'!$B$2:$G$2</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Custom'!$B$7:$G$7</c:f>
              <c:numCache>
                <c:formatCode>0.00</c:formatCode>
                <c:ptCount val="6"/>
                <c:pt idx="0">
                  <c:v>0</c:v>
                </c:pt>
                <c:pt idx="1">
                  <c:v>0</c:v>
                </c:pt>
                <c:pt idx="2">
                  <c:v>0</c:v>
                </c:pt>
                <c:pt idx="3">
                  <c:v>0</c:v>
                </c:pt>
                <c:pt idx="4">
                  <c:v>15.033662185335599</c:v>
                </c:pt>
                <c:pt idx="5">
                  <c:v>4.3642508527624075</c:v>
                </c:pt>
              </c:numCache>
            </c:numRef>
          </c:val>
          <c:extLst>
            <c:ext xmlns:c16="http://schemas.microsoft.com/office/drawing/2014/chart" uri="{C3380CC4-5D6E-409C-BE32-E72D297353CC}">
              <c16:uniqueId val="{00000004-AE0E-48C4-9CD9-460C8C3034BD}"/>
            </c:ext>
          </c:extLst>
        </c:ser>
        <c:ser>
          <c:idx val="5"/>
          <c:order val="5"/>
          <c:tx>
            <c:strRef>
              <c:f>'Output Graphs excl. Custom'!$A$8</c:f>
              <c:strCache>
                <c:ptCount val="1"/>
                <c:pt idx="0">
                  <c:v>Fossil fuels without CCS</c:v>
                </c:pt>
              </c:strCache>
            </c:strRef>
          </c:tx>
          <c:spPr>
            <a:solidFill>
              <a:schemeClr val="accent4">
                <a:lumMod val="50000"/>
              </a:schemeClr>
            </a:solidFill>
            <a:ln>
              <a:noFill/>
            </a:ln>
            <a:effectLst/>
          </c:spPr>
          <c:invertIfNegative val="0"/>
          <c:cat>
            <c:strRef>
              <c:f>'Output Graphs excl. Custom'!$B$2:$G$2</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Custom'!$B$8:$G$8</c:f>
              <c:numCache>
                <c:formatCode>0.00</c:formatCode>
                <c:ptCount val="6"/>
                <c:pt idx="0">
                  <c:v>15.913442060430881</c:v>
                </c:pt>
                <c:pt idx="1">
                  <c:v>0</c:v>
                </c:pt>
                <c:pt idx="2">
                  <c:v>0</c:v>
                </c:pt>
                <c:pt idx="3">
                  <c:v>0</c:v>
                </c:pt>
                <c:pt idx="4">
                  <c:v>0</c:v>
                </c:pt>
                <c:pt idx="5">
                  <c:v>0</c:v>
                </c:pt>
              </c:numCache>
            </c:numRef>
          </c:val>
          <c:extLst>
            <c:ext xmlns:c16="http://schemas.microsoft.com/office/drawing/2014/chart" uri="{C3380CC4-5D6E-409C-BE32-E72D297353CC}">
              <c16:uniqueId val="{00000005-AE0E-48C4-9CD9-460C8C3034BD}"/>
            </c:ext>
          </c:extLst>
        </c:ser>
        <c:dLbls>
          <c:showLegendKey val="0"/>
          <c:showVal val="0"/>
          <c:showCatName val="0"/>
          <c:showSerName val="0"/>
          <c:showPercent val="0"/>
          <c:showBubbleSize val="0"/>
        </c:dLbls>
        <c:gapWidth val="150"/>
        <c:overlap val="100"/>
        <c:axId val="416330160"/>
        <c:axId val="422286048"/>
      </c:barChart>
      <c:catAx>
        <c:axId val="41633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2286048"/>
        <c:crosses val="autoZero"/>
        <c:auto val="1"/>
        <c:lblAlgn val="ctr"/>
        <c:lblOffset val="100"/>
        <c:noMultiLvlLbl val="0"/>
      </c:catAx>
      <c:valAx>
        <c:axId val="422286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Exajoules (EJ)</a:t>
                </a:r>
              </a:p>
            </c:rich>
          </c:tx>
          <c:layout>
            <c:manualLayout>
              <c:xMode val="edge"/>
              <c:yMode val="edge"/>
              <c:x val="1.2012012012012012E-2"/>
              <c:y val="0.3992039543473011"/>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16330160"/>
        <c:crosses val="autoZero"/>
        <c:crossBetween val="between"/>
      </c:valAx>
      <c:spPr>
        <a:noFill/>
        <a:ln>
          <a:noFill/>
        </a:ln>
        <a:effectLst/>
      </c:spPr>
    </c:plotArea>
    <c:legend>
      <c:legendPos val="t"/>
      <c:layout>
        <c:manualLayout>
          <c:xMode val="edge"/>
          <c:yMode val="edge"/>
          <c:x val="0.14210206043647855"/>
          <c:y val="7.8982341322102773E-2"/>
          <c:w val="0.7716959192699987"/>
          <c:h val="0.10109336902293246"/>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High Direct Electrification (linear growth assumption)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'Time Series Graphs'!$A$8</c:f>
              <c:strCache>
                <c:ptCount val="1"/>
                <c:pt idx="0">
                  <c:v>Electricity use by rest of economy</c:v>
                </c:pt>
              </c:strCache>
            </c:strRef>
          </c:tx>
          <c:spPr>
            <a:solidFill>
              <a:schemeClr val="bg1">
                <a:lumMod val="75000"/>
              </a:schemeClr>
            </a:solidFill>
            <a:ln>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Graphs'!$B$8:$AB$8</c:f>
              <c:numCache>
                <c:formatCode>0.00</c:formatCode>
                <c:ptCount val="27"/>
                <c:pt idx="0">
                  <c:v>2.8723003796055107</c:v>
                </c:pt>
                <c:pt idx="1">
                  <c:v>2.8723003796055107</c:v>
                </c:pt>
                <c:pt idx="2">
                  <c:v>2.8723003796055107</c:v>
                </c:pt>
                <c:pt idx="3">
                  <c:v>2.8723003796055107</c:v>
                </c:pt>
                <c:pt idx="4">
                  <c:v>2.8723003796055107</c:v>
                </c:pt>
                <c:pt idx="5">
                  <c:v>2.8723003796055107</c:v>
                </c:pt>
                <c:pt idx="6">
                  <c:v>2.8723003796055107</c:v>
                </c:pt>
                <c:pt idx="7">
                  <c:v>2.8723003796055107</c:v>
                </c:pt>
                <c:pt idx="8">
                  <c:v>2.8723003796055107</c:v>
                </c:pt>
                <c:pt idx="9">
                  <c:v>2.8723003796055107</c:v>
                </c:pt>
                <c:pt idx="10">
                  <c:v>2.8723003796055107</c:v>
                </c:pt>
                <c:pt idx="11">
                  <c:v>2.8723003796055107</c:v>
                </c:pt>
                <c:pt idx="12">
                  <c:v>2.8723003796055107</c:v>
                </c:pt>
                <c:pt idx="13">
                  <c:v>2.8723003796055107</c:v>
                </c:pt>
                <c:pt idx="14">
                  <c:v>2.8723003796055107</c:v>
                </c:pt>
                <c:pt idx="15">
                  <c:v>2.8723003796055107</c:v>
                </c:pt>
                <c:pt idx="16">
                  <c:v>2.8723003796055107</c:v>
                </c:pt>
                <c:pt idx="17">
                  <c:v>2.8723003796055107</c:v>
                </c:pt>
                <c:pt idx="18">
                  <c:v>2.8723003796055107</c:v>
                </c:pt>
                <c:pt idx="19">
                  <c:v>2.8723003796055107</c:v>
                </c:pt>
                <c:pt idx="20">
                  <c:v>2.8723003796055107</c:v>
                </c:pt>
                <c:pt idx="21">
                  <c:v>2.8723003796055107</c:v>
                </c:pt>
                <c:pt idx="22">
                  <c:v>2.8723003796055107</c:v>
                </c:pt>
                <c:pt idx="23">
                  <c:v>2.8723003796055107</c:v>
                </c:pt>
                <c:pt idx="24">
                  <c:v>2.8723003796055107</c:v>
                </c:pt>
                <c:pt idx="25">
                  <c:v>2.8723003796055107</c:v>
                </c:pt>
                <c:pt idx="26">
                  <c:v>2.8723003796055107</c:v>
                </c:pt>
              </c:numCache>
            </c:numRef>
          </c:val>
          <c:extLst>
            <c:ext xmlns:c16="http://schemas.microsoft.com/office/drawing/2014/chart" uri="{C3380CC4-5D6E-409C-BE32-E72D297353CC}">
              <c16:uniqueId val="{00000000-B878-47A1-B838-A220B5C33810}"/>
            </c:ext>
          </c:extLst>
        </c:ser>
        <c:ser>
          <c:idx val="1"/>
          <c:order val="1"/>
          <c:tx>
            <c:strRef>
              <c:f>'Time Series Graphs'!$A$9</c:f>
              <c:strCache>
                <c:ptCount val="1"/>
                <c:pt idx="0">
                  <c:v>Direct electricity use by industry</c:v>
                </c:pt>
              </c:strCache>
            </c:strRef>
          </c:tx>
          <c:spPr>
            <a:solidFill>
              <a:srgbClr val="FFFF00"/>
            </a:solidFill>
            <a:ln>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Graphs'!$B$9:$AB$9</c:f>
              <c:numCache>
                <c:formatCode>0.00</c:formatCode>
                <c:ptCount val="27"/>
                <c:pt idx="0">
                  <c:v>1.0138181686652377</c:v>
                </c:pt>
                <c:pt idx="1">
                  <c:v>1.1194575328503975</c:v>
                </c:pt>
                <c:pt idx="2">
                  <c:v>1.2250968970355571</c:v>
                </c:pt>
                <c:pt idx="3">
                  <c:v>1.330736261220717</c:v>
                </c:pt>
                <c:pt idx="4">
                  <c:v>1.4363756254058766</c:v>
                </c:pt>
                <c:pt idx="5">
                  <c:v>1.5420149895910362</c:v>
                </c:pt>
                <c:pt idx="6">
                  <c:v>1.6476543537761961</c:v>
                </c:pt>
                <c:pt idx="7">
                  <c:v>1.7532937179613559</c:v>
                </c:pt>
                <c:pt idx="8">
                  <c:v>1.8589330821465158</c:v>
                </c:pt>
                <c:pt idx="9">
                  <c:v>1.9645724463316754</c:v>
                </c:pt>
                <c:pt idx="10">
                  <c:v>2.070211810516835</c:v>
                </c:pt>
                <c:pt idx="11">
                  <c:v>2.1758511747019949</c:v>
                </c:pt>
                <c:pt idx="12">
                  <c:v>2.2814905388871543</c:v>
                </c:pt>
                <c:pt idx="13">
                  <c:v>2.3871299030723141</c:v>
                </c:pt>
                <c:pt idx="14">
                  <c:v>2.4927692672574739</c:v>
                </c:pt>
                <c:pt idx="15">
                  <c:v>2.5984086314426342</c:v>
                </c:pt>
                <c:pt idx="16">
                  <c:v>2.7040479956277936</c:v>
                </c:pt>
                <c:pt idx="17">
                  <c:v>2.809687359812953</c:v>
                </c:pt>
                <c:pt idx="18">
                  <c:v>2.9153267239981133</c:v>
                </c:pt>
                <c:pt idx="19">
                  <c:v>3.0209660881832727</c:v>
                </c:pt>
                <c:pt idx="20">
                  <c:v>3.1266054523684321</c:v>
                </c:pt>
                <c:pt idx="21">
                  <c:v>3.2322448165535924</c:v>
                </c:pt>
                <c:pt idx="22">
                  <c:v>3.3378841807387518</c:v>
                </c:pt>
                <c:pt idx="23">
                  <c:v>3.4435235449239121</c:v>
                </c:pt>
                <c:pt idx="24">
                  <c:v>3.5491629091090715</c:v>
                </c:pt>
                <c:pt idx="25">
                  <c:v>3.6548022732942309</c:v>
                </c:pt>
                <c:pt idx="26">
                  <c:v>3.7604416374793908</c:v>
                </c:pt>
              </c:numCache>
            </c:numRef>
          </c:val>
          <c:extLst>
            <c:ext xmlns:c16="http://schemas.microsoft.com/office/drawing/2014/chart" uri="{C3380CC4-5D6E-409C-BE32-E72D297353CC}">
              <c16:uniqueId val="{00000001-B878-47A1-B838-A220B5C33810}"/>
            </c:ext>
          </c:extLst>
        </c:ser>
        <c:ser>
          <c:idx val="2"/>
          <c:order val="2"/>
          <c:tx>
            <c:strRef>
              <c:f>'Time Series Graphs'!$A$10</c:f>
              <c:strCache>
                <c:ptCount val="1"/>
                <c:pt idx="0">
                  <c:v>Electricity for green hydrogen for industry</c:v>
                </c:pt>
              </c:strCache>
            </c:strRef>
          </c:tx>
          <c:spPr>
            <a:solidFill>
              <a:srgbClr val="92D050"/>
            </a:solidFill>
            <a:ln>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Graphs'!$B$10:$AB$10</c:f>
              <c:numCache>
                <c:formatCode>0.00</c:formatCode>
                <c:ptCount val="27"/>
                <c:pt idx="0">
                  <c:v>0</c:v>
                </c:pt>
                <c:pt idx="1">
                  <c:v>4.6931410924339105E-2</c:v>
                </c:pt>
                <c:pt idx="2">
                  <c:v>9.386282184867821E-2</c:v>
                </c:pt>
                <c:pt idx="3">
                  <c:v>0.14079423277301734</c:v>
                </c:pt>
                <c:pt idx="4">
                  <c:v>0.18772564369735642</c:v>
                </c:pt>
                <c:pt idx="5">
                  <c:v>0.23465705462169553</c:v>
                </c:pt>
                <c:pt idx="6">
                  <c:v>0.28158846554603467</c:v>
                </c:pt>
                <c:pt idx="7">
                  <c:v>0.32851987647037373</c:v>
                </c:pt>
                <c:pt idx="8">
                  <c:v>0.37545128739471284</c:v>
                </c:pt>
                <c:pt idx="9">
                  <c:v>0.42238269831905195</c:v>
                </c:pt>
                <c:pt idx="10">
                  <c:v>0.46931410924339106</c:v>
                </c:pt>
                <c:pt idx="11">
                  <c:v>0.51624552016773018</c:v>
                </c:pt>
                <c:pt idx="12">
                  <c:v>0.56317693109206934</c:v>
                </c:pt>
                <c:pt idx="13">
                  <c:v>0.6101083420164084</c:v>
                </c:pt>
                <c:pt idx="14">
                  <c:v>0.65703975294074746</c:v>
                </c:pt>
                <c:pt idx="15">
                  <c:v>0.70397116386508662</c:v>
                </c:pt>
                <c:pt idx="16">
                  <c:v>0.75090257478942568</c:v>
                </c:pt>
                <c:pt idx="17">
                  <c:v>0.79783398571376485</c:v>
                </c:pt>
                <c:pt idx="18">
                  <c:v>0.8447653966381039</c:v>
                </c:pt>
                <c:pt idx="19">
                  <c:v>0.89169680756244307</c:v>
                </c:pt>
                <c:pt idx="20">
                  <c:v>0.93862821848678213</c:v>
                </c:pt>
                <c:pt idx="21">
                  <c:v>0.9855596294111213</c:v>
                </c:pt>
                <c:pt idx="22">
                  <c:v>1.0324910403354604</c:v>
                </c:pt>
                <c:pt idx="23">
                  <c:v>1.0794224512597994</c:v>
                </c:pt>
                <c:pt idx="24">
                  <c:v>1.1263538621841387</c:v>
                </c:pt>
                <c:pt idx="25">
                  <c:v>1.1732852731084777</c:v>
                </c:pt>
                <c:pt idx="26">
                  <c:v>1.2202166840328168</c:v>
                </c:pt>
              </c:numCache>
            </c:numRef>
          </c:val>
          <c:extLst>
            <c:ext xmlns:c16="http://schemas.microsoft.com/office/drawing/2014/chart" uri="{C3380CC4-5D6E-409C-BE32-E72D297353CC}">
              <c16:uniqueId val="{00000002-B878-47A1-B838-A220B5C33810}"/>
            </c:ext>
          </c:extLst>
        </c:ser>
        <c:dLbls>
          <c:showLegendKey val="0"/>
          <c:showVal val="0"/>
          <c:showCatName val="0"/>
          <c:showSerName val="0"/>
          <c:showPercent val="0"/>
          <c:showBubbleSize val="0"/>
        </c:dLbls>
        <c:axId val="1376951120"/>
        <c:axId val="1376949680"/>
      </c:areaChart>
      <c:catAx>
        <c:axId val="13769511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376949680"/>
        <c:crosses val="autoZero"/>
        <c:auto val="1"/>
        <c:lblAlgn val="ctr"/>
        <c:lblOffset val="100"/>
        <c:noMultiLvlLbl val="0"/>
      </c:catAx>
      <c:valAx>
        <c:axId val="1376949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sz="1100"/>
                  <a:t>Petawatt-hours (PWh)</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3769511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High Direct Electrification (constant percentage growth assumption)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'Time Series Graphs'!$A$14</c:f>
              <c:strCache>
                <c:ptCount val="1"/>
                <c:pt idx="0">
                  <c:v>Electricity use by rest of economy</c:v>
                </c:pt>
              </c:strCache>
            </c:strRef>
          </c:tx>
          <c:spPr>
            <a:solidFill>
              <a:schemeClr val="bg1">
                <a:lumMod val="75000"/>
              </a:schemeClr>
            </a:solidFill>
            <a:ln w="25400">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Graphs'!$B$14:$AB$14</c:f>
              <c:numCache>
                <c:formatCode>0.00</c:formatCode>
                <c:ptCount val="27"/>
                <c:pt idx="0">
                  <c:v>2.8723003796055107</c:v>
                </c:pt>
                <c:pt idx="1">
                  <c:v>2.8723003796055107</c:v>
                </c:pt>
                <c:pt idx="2">
                  <c:v>2.8723003796055107</c:v>
                </c:pt>
                <c:pt idx="3">
                  <c:v>2.8723003796055107</c:v>
                </c:pt>
                <c:pt idx="4">
                  <c:v>2.8723003796055107</c:v>
                </c:pt>
                <c:pt idx="5">
                  <c:v>2.8723003796055107</c:v>
                </c:pt>
                <c:pt idx="6">
                  <c:v>2.8723003796055107</c:v>
                </c:pt>
                <c:pt idx="7">
                  <c:v>2.8723003796055107</c:v>
                </c:pt>
                <c:pt idx="8">
                  <c:v>2.8723003796055107</c:v>
                </c:pt>
                <c:pt idx="9">
                  <c:v>2.8723003796055107</c:v>
                </c:pt>
                <c:pt idx="10">
                  <c:v>2.8723003796055107</c:v>
                </c:pt>
                <c:pt idx="11">
                  <c:v>2.8723003796055107</c:v>
                </c:pt>
                <c:pt idx="12">
                  <c:v>2.8723003796055107</c:v>
                </c:pt>
                <c:pt idx="13">
                  <c:v>2.8723003796055107</c:v>
                </c:pt>
                <c:pt idx="14">
                  <c:v>2.8723003796055107</c:v>
                </c:pt>
                <c:pt idx="15">
                  <c:v>2.8723003796055107</c:v>
                </c:pt>
                <c:pt idx="16">
                  <c:v>2.8723003796055107</c:v>
                </c:pt>
                <c:pt idx="17">
                  <c:v>2.8723003796055107</c:v>
                </c:pt>
                <c:pt idx="18">
                  <c:v>2.8723003796055107</c:v>
                </c:pt>
                <c:pt idx="19">
                  <c:v>2.8723003796055107</c:v>
                </c:pt>
                <c:pt idx="20">
                  <c:v>2.8723003796055107</c:v>
                </c:pt>
                <c:pt idx="21">
                  <c:v>2.8723003796055107</c:v>
                </c:pt>
                <c:pt idx="22">
                  <c:v>2.8723003796055107</c:v>
                </c:pt>
                <c:pt idx="23">
                  <c:v>2.8723003796055107</c:v>
                </c:pt>
                <c:pt idx="24">
                  <c:v>2.8723003796055107</c:v>
                </c:pt>
                <c:pt idx="25">
                  <c:v>2.8723003796055107</c:v>
                </c:pt>
                <c:pt idx="26">
                  <c:v>2.8723003796055107</c:v>
                </c:pt>
              </c:numCache>
            </c:numRef>
          </c:val>
          <c:extLst>
            <c:ext xmlns:c16="http://schemas.microsoft.com/office/drawing/2014/chart" uri="{C3380CC4-5D6E-409C-BE32-E72D297353CC}">
              <c16:uniqueId val="{00000000-BC69-4D2B-BF13-96BC26A2605B}"/>
            </c:ext>
          </c:extLst>
        </c:ser>
        <c:ser>
          <c:idx val="1"/>
          <c:order val="1"/>
          <c:tx>
            <c:strRef>
              <c:f>'Time Series Graphs'!$A$15</c:f>
              <c:strCache>
                <c:ptCount val="1"/>
                <c:pt idx="0">
                  <c:v>Direct electricity use by industry</c:v>
                </c:pt>
              </c:strCache>
            </c:strRef>
          </c:tx>
          <c:spPr>
            <a:solidFill>
              <a:srgbClr val="FFFF00"/>
            </a:solidFill>
            <a:ln w="25400">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Graphs'!$B$15:$AB$15</c:f>
              <c:numCache>
                <c:formatCode>General</c:formatCode>
                <c:ptCount val="27"/>
                <c:pt idx="0" formatCode="0.00">
                  <c:v>1.0138181686652377</c:v>
                </c:pt>
                <c:pt idx="1">
                  <c:v>1.0662410721627582</c:v>
                </c:pt>
                <c:pt idx="2">
                  <c:v>1.1213746795084141</c:v>
                </c:pt>
                <c:pt idx="3">
                  <c:v>1.1793591568292616</c:v>
                </c:pt>
                <c:pt idx="4">
                  <c:v>1.2403419180168769</c:v>
                </c:pt>
                <c:pt idx="5">
                  <c:v>1.3044779994975775</c:v>
                </c:pt>
                <c:pt idx="6">
                  <c:v>1.3719304543814086</c:v>
                </c:pt>
                <c:pt idx="7">
                  <c:v>1.4428707669919378</c:v>
                </c:pt>
                <c:pt idx="8">
                  <c:v>1.5174792888307174</c:v>
                </c:pt>
                <c:pt idx="9">
                  <c:v>1.5959456970847663</c:v>
                </c:pt>
                <c:pt idx="10">
                  <c:v>1.6784694768427357</c:v>
                </c:pt>
                <c:pt idx="11">
                  <c:v>1.7652604282456938</c:v>
                </c:pt>
                <c:pt idx="12">
                  <c:v>1.8565391998618619</c:v>
                </c:pt>
                <c:pt idx="13">
                  <c:v>1.9525378496412971</c:v>
                </c:pt>
                <c:pt idx="14">
                  <c:v>2.0535004348766388</c:v>
                </c:pt>
                <c:pt idx="15">
                  <c:v>2.1596836326697737</c:v>
                </c:pt>
                <c:pt idx="16">
                  <c:v>2.2713573924818315</c:v>
                </c:pt>
                <c:pt idx="17">
                  <c:v>2.3888056224254917</c:v>
                </c:pt>
                <c:pt idx="18">
                  <c:v>2.5123269110443549</c:v>
                </c:pt>
                <c:pt idx="19">
                  <c:v>2.6422352864143672</c:v>
                </c:pt>
                <c:pt idx="20">
                  <c:v>2.7788610144971524</c:v>
                </c:pt>
                <c:pt idx="21">
                  <c:v>2.9225514387749092</c:v>
                </c:pt>
                <c:pt idx="22">
                  <c:v>3.0736718633014757</c:v>
                </c:pt>
                <c:pt idx="23">
                  <c:v>3.2326064814145417</c:v>
                </c:pt>
                <c:pt idx="24">
                  <c:v>3.3997593524700718</c:v>
                </c:pt>
                <c:pt idx="25">
                  <c:v>3.5755554290820917</c:v>
                </c:pt>
                <c:pt idx="26" formatCode="0.00">
                  <c:v>3.7604416374793908</c:v>
                </c:pt>
              </c:numCache>
            </c:numRef>
          </c:val>
          <c:extLst>
            <c:ext xmlns:c16="http://schemas.microsoft.com/office/drawing/2014/chart" uri="{C3380CC4-5D6E-409C-BE32-E72D297353CC}">
              <c16:uniqueId val="{00000001-BC69-4D2B-BF13-96BC26A2605B}"/>
            </c:ext>
          </c:extLst>
        </c:ser>
        <c:ser>
          <c:idx val="2"/>
          <c:order val="2"/>
          <c:tx>
            <c:strRef>
              <c:f>'Time Series Graphs'!$A$16</c:f>
              <c:strCache>
                <c:ptCount val="1"/>
                <c:pt idx="0">
                  <c:v>Electricity for green hydrogen for industry</c:v>
                </c:pt>
              </c:strCache>
            </c:strRef>
          </c:tx>
          <c:spPr>
            <a:solidFill>
              <a:srgbClr val="92D050"/>
            </a:solidFill>
            <a:ln w="25400">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Graphs'!$B$16:$AB$16</c:f>
              <c:numCache>
                <c:formatCode>0.00</c:formatCode>
                <c:ptCount val="27"/>
                <c:pt idx="0">
                  <c:v>0</c:v>
                </c:pt>
                <c:pt idx="1">
                  <c:v>5.4158817273378457E-2</c:v>
                </c:pt>
                <c:pt idx="2">
                  <c:v>0.10853006931659781</c:v>
                </c:pt>
                <c:pt idx="3">
                  <c:v>0.16305376077971268</c:v>
                </c:pt>
                <c:pt idx="4">
                  <c:v>0.21766484733330937</c:v>
                </c:pt>
                <c:pt idx="5">
                  <c:v>0.27229292120275073</c:v>
                </c:pt>
                <c:pt idx="6">
                  <c:v>0.32686187897757879</c:v>
                </c:pt>
                <c:pt idx="7">
                  <c:v>0.38128957073939862</c:v>
                </c:pt>
                <c:pt idx="8">
                  <c:v>0.43548742950098163</c:v>
                </c:pt>
                <c:pt idx="9">
                  <c:v>0.48936007989613284</c:v>
                </c:pt>
                <c:pt idx="10">
                  <c:v>0.54280492500384181</c:v>
                </c:pt>
                <c:pt idx="11">
                  <c:v>0.59571171013133295</c:v>
                </c:pt>
                <c:pt idx="12">
                  <c:v>0.64796206231861397</c:v>
                </c:pt>
                <c:pt idx="13">
                  <c:v>0.69942900426188803</c:v>
                </c:pt>
                <c:pt idx="14">
                  <c:v>0.74997644128452556</c:v>
                </c:pt>
                <c:pt idx="15">
                  <c:v>0.7994586199120679</c:v>
                </c:pt>
                <c:pt idx="16">
                  <c:v>0.84771955653171638</c:v>
                </c:pt>
                <c:pt idx="17">
                  <c:v>0.89459243453678905</c:v>
                </c:pt>
                <c:pt idx="18">
                  <c:v>0.93989896827246344</c:v>
                </c:pt>
                <c:pt idx="19">
                  <c:v>0.9834487320105918</c:v>
                </c:pt>
                <c:pt idx="20">
                  <c:v>1.0250384520882125</c:v>
                </c:pt>
                <c:pt idx="21">
                  <c:v>1.0644512602463436</c:v>
                </c:pt>
                <c:pt idx="22">
                  <c:v>1.1014559061025322</c:v>
                </c:pt>
                <c:pt idx="23">
                  <c:v>1.1358059265821154</c:v>
                </c:pt>
                <c:pt idx="24">
                  <c:v>1.1672387700189786</c:v>
                </c:pt>
                <c:pt idx="25">
                  <c:v>1.1954748725164794</c:v>
                </c:pt>
                <c:pt idx="26">
                  <c:v>1.2202166840328168</c:v>
                </c:pt>
              </c:numCache>
            </c:numRef>
          </c:val>
          <c:extLst>
            <c:ext xmlns:c16="http://schemas.microsoft.com/office/drawing/2014/chart" uri="{C3380CC4-5D6E-409C-BE32-E72D297353CC}">
              <c16:uniqueId val="{00000002-BC69-4D2B-BF13-96BC26A2605B}"/>
            </c:ext>
          </c:extLst>
        </c:ser>
        <c:dLbls>
          <c:showLegendKey val="0"/>
          <c:showVal val="0"/>
          <c:showCatName val="0"/>
          <c:showSerName val="0"/>
          <c:showPercent val="0"/>
          <c:showBubbleSize val="0"/>
        </c:dLbls>
        <c:axId val="1376951120"/>
        <c:axId val="1376949680"/>
      </c:areaChart>
      <c:catAx>
        <c:axId val="13769511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376949680"/>
        <c:crosses val="autoZero"/>
        <c:auto val="1"/>
        <c:lblAlgn val="ctr"/>
        <c:lblOffset val="100"/>
        <c:noMultiLvlLbl val="0"/>
      </c:catAx>
      <c:valAx>
        <c:axId val="1376949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sz="1100"/>
                  <a:t>Petawatt-hours</a:t>
                </a:r>
                <a:r>
                  <a:rPr lang="en-US" sz="1100" baseline="0"/>
                  <a:t> (PWh)</a:t>
                </a:r>
                <a:endParaRPr lang="en-US" sz="1100"/>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3769511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High Green Hydrogen (constant percentage growth assumption)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'Time Series Graphs'!$A$60</c:f>
              <c:strCache>
                <c:ptCount val="1"/>
                <c:pt idx="0">
                  <c:v>Electricity use by rest of economy</c:v>
                </c:pt>
              </c:strCache>
            </c:strRef>
          </c:tx>
          <c:spPr>
            <a:solidFill>
              <a:schemeClr val="bg1">
                <a:lumMod val="75000"/>
              </a:schemeClr>
            </a:solidFill>
            <a:ln w="25400">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Graphs'!$B$60:$AB$60</c:f>
              <c:numCache>
                <c:formatCode>0.00</c:formatCode>
                <c:ptCount val="27"/>
                <c:pt idx="0">
                  <c:v>2.8723003796055107</c:v>
                </c:pt>
                <c:pt idx="1">
                  <c:v>2.8723003796055107</c:v>
                </c:pt>
                <c:pt idx="2">
                  <c:v>2.8723003796055107</c:v>
                </c:pt>
                <c:pt idx="3">
                  <c:v>2.8723003796055107</c:v>
                </c:pt>
                <c:pt idx="4">
                  <c:v>2.8723003796055107</c:v>
                </c:pt>
                <c:pt idx="5">
                  <c:v>2.8723003796055107</c:v>
                </c:pt>
                <c:pt idx="6">
                  <c:v>2.8723003796055107</c:v>
                </c:pt>
                <c:pt idx="7">
                  <c:v>2.8723003796055107</c:v>
                </c:pt>
                <c:pt idx="8">
                  <c:v>2.8723003796055107</c:v>
                </c:pt>
                <c:pt idx="9">
                  <c:v>2.8723003796055107</c:v>
                </c:pt>
                <c:pt idx="10">
                  <c:v>2.8723003796055107</c:v>
                </c:pt>
                <c:pt idx="11">
                  <c:v>2.8723003796055107</c:v>
                </c:pt>
                <c:pt idx="12">
                  <c:v>2.8723003796055107</c:v>
                </c:pt>
                <c:pt idx="13">
                  <c:v>2.8723003796055107</c:v>
                </c:pt>
                <c:pt idx="14">
                  <c:v>2.8723003796055107</c:v>
                </c:pt>
                <c:pt idx="15">
                  <c:v>2.8723003796055107</c:v>
                </c:pt>
                <c:pt idx="16">
                  <c:v>2.8723003796055107</c:v>
                </c:pt>
                <c:pt idx="17">
                  <c:v>2.8723003796055107</c:v>
                </c:pt>
                <c:pt idx="18">
                  <c:v>2.8723003796055107</c:v>
                </c:pt>
                <c:pt idx="19">
                  <c:v>2.8723003796055107</c:v>
                </c:pt>
                <c:pt idx="20">
                  <c:v>2.8723003796055107</c:v>
                </c:pt>
                <c:pt idx="21">
                  <c:v>2.8723003796055107</c:v>
                </c:pt>
                <c:pt idx="22">
                  <c:v>2.8723003796055107</c:v>
                </c:pt>
                <c:pt idx="23">
                  <c:v>2.8723003796055107</c:v>
                </c:pt>
                <c:pt idx="24">
                  <c:v>2.8723003796055107</c:v>
                </c:pt>
                <c:pt idx="25">
                  <c:v>2.8723003796055107</c:v>
                </c:pt>
                <c:pt idx="26">
                  <c:v>2.8723003796055107</c:v>
                </c:pt>
              </c:numCache>
            </c:numRef>
          </c:val>
          <c:extLst>
            <c:ext xmlns:c16="http://schemas.microsoft.com/office/drawing/2014/chart" uri="{C3380CC4-5D6E-409C-BE32-E72D297353CC}">
              <c16:uniqueId val="{00000000-29B4-458E-AF47-603854067B2B}"/>
            </c:ext>
          </c:extLst>
        </c:ser>
        <c:ser>
          <c:idx val="1"/>
          <c:order val="1"/>
          <c:tx>
            <c:strRef>
              <c:f>'Time Series Graphs'!$A$61</c:f>
              <c:strCache>
                <c:ptCount val="1"/>
                <c:pt idx="0">
                  <c:v>Direct electricity use by industry</c:v>
                </c:pt>
              </c:strCache>
            </c:strRef>
          </c:tx>
          <c:spPr>
            <a:solidFill>
              <a:srgbClr val="FFFF00"/>
            </a:solidFill>
            <a:ln w="25400">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Graphs'!$B$61:$AB$61</c:f>
              <c:numCache>
                <c:formatCode>General</c:formatCode>
                <c:ptCount val="27"/>
                <c:pt idx="0" formatCode="0.00">
                  <c:v>1.0138181686652377</c:v>
                </c:pt>
                <c:pt idx="1">
                  <c:v>1.0347031862431582</c:v>
                </c:pt>
                <c:pt idx="2">
                  <c:v>1.0560184426673644</c:v>
                </c:pt>
                <c:pt idx="3">
                  <c:v>1.0777728010122667</c:v>
                </c:pt>
                <c:pt idx="4">
                  <c:v>1.0999753069347842</c:v>
                </c:pt>
                <c:pt idx="5">
                  <c:v>1.1226351924356102</c:v>
                </c:pt>
                <c:pt idx="6">
                  <c:v>1.1457618796979607</c:v>
                </c:pt>
                <c:pt idx="7">
                  <c:v>1.1693649850054022</c:v>
                </c:pt>
                <c:pt idx="8">
                  <c:v>1.1934543227403889</c:v>
                </c:pt>
                <c:pt idx="9">
                  <c:v>1.2180399094651702</c:v>
                </c:pt>
                <c:pt idx="10">
                  <c:v>1.2431319680867676</c:v>
                </c:pt>
                <c:pt idx="11">
                  <c:v>1.2687409321077507</c:v>
                </c:pt>
                <c:pt idx="12">
                  <c:v>1.2948774499645805</c:v>
                </c:pt>
                <c:pt idx="13">
                  <c:v>1.3215523894553254</c:v>
                </c:pt>
                <c:pt idx="14">
                  <c:v>1.3487768422585884</c:v>
                </c:pt>
                <c:pt idx="15">
                  <c:v>1.3765621285455263</c:v>
                </c:pt>
                <c:pt idx="16">
                  <c:v>1.4049198016868782</c:v>
                </c:pt>
                <c:pt idx="17">
                  <c:v>1.4338616530569612</c:v>
                </c:pt>
                <c:pt idx="18">
                  <c:v>1.4633997169366282</c:v>
                </c:pt>
                <c:pt idx="19">
                  <c:v>1.4935462755172302</c:v>
                </c:pt>
                <c:pt idx="20">
                  <c:v>1.5243138640076617</c:v>
                </c:pt>
                <c:pt idx="21">
                  <c:v>1.5557152758466124</c:v>
                </c:pt>
                <c:pt idx="22">
                  <c:v>1.5877635680221933</c:v>
                </c:pt>
                <c:pt idx="23">
                  <c:v>1.6204720665011496</c:v>
                </c:pt>
                <c:pt idx="24">
                  <c:v>1.653854371769917</c:v>
                </c:pt>
                <c:pt idx="25">
                  <c:v>1.6879243644898252</c:v>
                </c:pt>
                <c:pt idx="26" formatCode="0.00">
                  <c:v>1.7226962112687996</c:v>
                </c:pt>
              </c:numCache>
            </c:numRef>
          </c:val>
          <c:extLst>
            <c:ext xmlns:c16="http://schemas.microsoft.com/office/drawing/2014/chart" uri="{C3380CC4-5D6E-409C-BE32-E72D297353CC}">
              <c16:uniqueId val="{00000001-29B4-458E-AF47-603854067B2B}"/>
            </c:ext>
          </c:extLst>
        </c:ser>
        <c:ser>
          <c:idx val="2"/>
          <c:order val="2"/>
          <c:tx>
            <c:strRef>
              <c:f>'Time Series Graphs'!$A$62</c:f>
              <c:strCache>
                <c:ptCount val="1"/>
                <c:pt idx="0">
                  <c:v>Electricity for green hydrogen for industry</c:v>
                </c:pt>
              </c:strCache>
            </c:strRef>
          </c:tx>
          <c:spPr>
            <a:solidFill>
              <a:srgbClr val="92D050"/>
            </a:solidFill>
            <a:ln w="25400">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Graphs'!$B$62:$AB$62</c:f>
              <c:numCache>
                <c:formatCode>0.00</c:formatCode>
                <c:ptCount val="27"/>
                <c:pt idx="0">
                  <c:v>0</c:v>
                </c:pt>
                <c:pt idx="1">
                  <c:v>0.14686878075285659</c:v>
                </c:pt>
                <c:pt idx="2">
                  <c:v>0.30054882507497327</c:v>
                </c:pt>
                <c:pt idx="3">
                  <c:v>0.46134386702986596</c:v>
                </c:pt>
                <c:pt idx="4">
                  <c:v>0.62957095211746683</c:v>
                </c:pt>
                <c:pt idx="5">
                  <c:v>0.8055610160151403</c:v>
                </c:pt>
                <c:pt idx="6">
                  <c:v>0.98965948838635676</c:v>
                </c:pt>
                <c:pt idx="7">
                  <c:v>1.1822269228408624</c:v>
                </c:pt>
                <c:pt idx="8">
                  <c:v>1.3836396541770402</c:v>
                </c:pt>
                <c:pt idx="9">
                  <c:v>1.5942904840859731</c:v>
                </c:pt>
                <c:pt idx="10">
                  <c:v>1.8145893965476914</c:v>
                </c:pt>
                <c:pt idx="11">
                  <c:v>2.0449643042032468</c:v>
                </c:pt>
                <c:pt idx="12">
                  <c:v>2.2858618270416695</c:v>
                </c:pt>
                <c:pt idx="13">
                  <c:v>2.5377481047987764</c:v>
                </c:pt>
                <c:pt idx="14">
                  <c:v>2.8011096445250567</c:v>
                </c:pt>
                <c:pt idx="15">
                  <c:v>3.0764542048428911</c:v>
                </c:pt>
                <c:pt idx="16">
                  <c:v>3.3643117184789642</c:v>
                </c:pt>
                <c:pt idx="17">
                  <c:v>3.6652352547262659</c:v>
                </c:pt>
                <c:pt idx="18">
                  <c:v>3.9798020235615343</c:v>
                </c:pt>
                <c:pt idx="19">
                  <c:v>4.3086144232185148</c:v>
                </c:pt>
                <c:pt idx="20">
                  <c:v>4.652301133095218</c:v>
                </c:pt>
                <c:pt idx="21">
                  <c:v>5.0115182539544207</c:v>
                </c:pt>
                <c:pt idx="22">
                  <c:v>5.3869504974613527</c:v>
                </c:pt>
                <c:pt idx="23">
                  <c:v>5.7793124271907095</c:v>
                </c:pt>
                <c:pt idx="24">
                  <c:v>6.1893497533273027</c:v>
                </c:pt>
                <c:pt idx="25">
                  <c:v>6.6178406833806616</c:v>
                </c:pt>
                <c:pt idx="26">
                  <c:v>7.0655973313341525</c:v>
                </c:pt>
              </c:numCache>
            </c:numRef>
          </c:val>
          <c:extLst>
            <c:ext xmlns:c16="http://schemas.microsoft.com/office/drawing/2014/chart" uri="{C3380CC4-5D6E-409C-BE32-E72D297353CC}">
              <c16:uniqueId val="{00000002-29B4-458E-AF47-603854067B2B}"/>
            </c:ext>
          </c:extLst>
        </c:ser>
        <c:dLbls>
          <c:showLegendKey val="0"/>
          <c:showVal val="0"/>
          <c:showCatName val="0"/>
          <c:showSerName val="0"/>
          <c:showPercent val="0"/>
          <c:showBubbleSize val="0"/>
        </c:dLbls>
        <c:axId val="1376951120"/>
        <c:axId val="1376949680"/>
      </c:areaChart>
      <c:catAx>
        <c:axId val="13769511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376949680"/>
        <c:crosses val="autoZero"/>
        <c:auto val="1"/>
        <c:lblAlgn val="ctr"/>
        <c:lblOffset val="100"/>
        <c:noMultiLvlLbl val="0"/>
      </c:catAx>
      <c:valAx>
        <c:axId val="1376949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sz="1100"/>
                  <a:t>Petawatt-hours</a:t>
                </a:r>
                <a:r>
                  <a:rPr lang="en-US" sz="1100" baseline="0"/>
                  <a:t> (PWh)</a:t>
                </a:r>
                <a:endParaRPr lang="en-US" sz="1100"/>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3769511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High Direct Electrification (linear growth assumption)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'Time Series Graphs'!$A$54</c:f>
              <c:strCache>
                <c:ptCount val="1"/>
                <c:pt idx="0">
                  <c:v>Electricity use by rest of economy</c:v>
                </c:pt>
              </c:strCache>
            </c:strRef>
          </c:tx>
          <c:spPr>
            <a:solidFill>
              <a:schemeClr val="bg1">
                <a:lumMod val="75000"/>
              </a:schemeClr>
            </a:solidFill>
            <a:ln w="25400">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Graphs'!$B$54:$AB$54</c:f>
              <c:numCache>
                <c:formatCode>0.00</c:formatCode>
                <c:ptCount val="27"/>
                <c:pt idx="0">
                  <c:v>2.8723003796055107</c:v>
                </c:pt>
                <c:pt idx="1">
                  <c:v>2.8723003796055107</c:v>
                </c:pt>
                <c:pt idx="2">
                  <c:v>2.8723003796055107</c:v>
                </c:pt>
                <c:pt idx="3">
                  <c:v>2.8723003796055107</c:v>
                </c:pt>
                <c:pt idx="4">
                  <c:v>2.8723003796055107</c:v>
                </c:pt>
                <c:pt idx="5">
                  <c:v>2.8723003796055107</c:v>
                </c:pt>
                <c:pt idx="6">
                  <c:v>2.8723003796055107</c:v>
                </c:pt>
                <c:pt idx="7">
                  <c:v>2.8723003796055107</c:v>
                </c:pt>
                <c:pt idx="8">
                  <c:v>2.8723003796055107</c:v>
                </c:pt>
                <c:pt idx="9">
                  <c:v>2.8723003796055107</c:v>
                </c:pt>
                <c:pt idx="10">
                  <c:v>2.8723003796055107</c:v>
                </c:pt>
                <c:pt idx="11">
                  <c:v>2.8723003796055107</c:v>
                </c:pt>
                <c:pt idx="12">
                  <c:v>2.8723003796055107</c:v>
                </c:pt>
                <c:pt idx="13">
                  <c:v>2.8723003796055107</c:v>
                </c:pt>
                <c:pt idx="14">
                  <c:v>2.8723003796055107</c:v>
                </c:pt>
                <c:pt idx="15">
                  <c:v>2.8723003796055107</c:v>
                </c:pt>
                <c:pt idx="16">
                  <c:v>2.8723003796055107</c:v>
                </c:pt>
                <c:pt idx="17">
                  <c:v>2.8723003796055107</c:v>
                </c:pt>
                <c:pt idx="18">
                  <c:v>2.8723003796055107</c:v>
                </c:pt>
                <c:pt idx="19">
                  <c:v>2.8723003796055107</c:v>
                </c:pt>
                <c:pt idx="20">
                  <c:v>2.8723003796055107</c:v>
                </c:pt>
                <c:pt idx="21">
                  <c:v>2.8723003796055107</c:v>
                </c:pt>
                <c:pt idx="22">
                  <c:v>2.8723003796055107</c:v>
                </c:pt>
                <c:pt idx="23">
                  <c:v>2.8723003796055107</c:v>
                </c:pt>
                <c:pt idx="24">
                  <c:v>2.8723003796055107</c:v>
                </c:pt>
                <c:pt idx="25">
                  <c:v>2.8723003796055107</c:v>
                </c:pt>
                <c:pt idx="26">
                  <c:v>2.8723003796055107</c:v>
                </c:pt>
              </c:numCache>
            </c:numRef>
          </c:val>
          <c:extLst>
            <c:ext xmlns:c16="http://schemas.microsoft.com/office/drawing/2014/chart" uri="{C3380CC4-5D6E-409C-BE32-E72D297353CC}">
              <c16:uniqueId val="{00000000-BBE9-4475-9919-99320C863E9E}"/>
            </c:ext>
          </c:extLst>
        </c:ser>
        <c:ser>
          <c:idx val="1"/>
          <c:order val="1"/>
          <c:tx>
            <c:strRef>
              <c:f>'Time Series Graphs'!$A$55</c:f>
              <c:strCache>
                <c:ptCount val="1"/>
                <c:pt idx="0">
                  <c:v>Direct electricity use by industry</c:v>
                </c:pt>
              </c:strCache>
            </c:strRef>
          </c:tx>
          <c:spPr>
            <a:solidFill>
              <a:srgbClr val="FFFF00"/>
            </a:solidFill>
            <a:ln w="25400">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Graphs'!$B$55:$AB$55</c:f>
              <c:numCache>
                <c:formatCode>0.00</c:formatCode>
                <c:ptCount val="27"/>
                <c:pt idx="0">
                  <c:v>1.0138181686652377</c:v>
                </c:pt>
                <c:pt idx="1">
                  <c:v>1.0410827087653747</c:v>
                </c:pt>
                <c:pt idx="2">
                  <c:v>1.0683472488655117</c:v>
                </c:pt>
                <c:pt idx="3">
                  <c:v>1.0956117889656487</c:v>
                </c:pt>
                <c:pt idx="4">
                  <c:v>1.1228763290657857</c:v>
                </c:pt>
                <c:pt idx="5">
                  <c:v>1.1501408691659227</c:v>
                </c:pt>
                <c:pt idx="6">
                  <c:v>1.1774054092660595</c:v>
                </c:pt>
                <c:pt idx="7">
                  <c:v>1.2046699493661968</c:v>
                </c:pt>
                <c:pt idx="8">
                  <c:v>1.2319344894663335</c:v>
                </c:pt>
                <c:pt idx="9">
                  <c:v>1.2591990295664706</c:v>
                </c:pt>
                <c:pt idx="10">
                  <c:v>1.2864635696666076</c:v>
                </c:pt>
                <c:pt idx="11">
                  <c:v>1.3137281097667446</c:v>
                </c:pt>
                <c:pt idx="12">
                  <c:v>1.3409926498668816</c:v>
                </c:pt>
                <c:pt idx="13">
                  <c:v>1.3682571899670186</c:v>
                </c:pt>
                <c:pt idx="14">
                  <c:v>1.3955217300671556</c:v>
                </c:pt>
                <c:pt idx="15">
                  <c:v>1.4227862701672926</c:v>
                </c:pt>
                <c:pt idx="16">
                  <c:v>1.4500508102674297</c:v>
                </c:pt>
                <c:pt idx="17">
                  <c:v>1.4773153503675667</c:v>
                </c:pt>
                <c:pt idx="18">
                  <c:v>1.5045798904677037</c:v>
                </c:pt>
                <c:pt idx="19">
                  <c:v>1.5318444305678405</c:v>
                </c:pt>
                <c:pt idx="20">
                  <c:v>1.5591089706679777</c:v>
                </c:pt>
                <c:pt idx="21">
                  <c:v>1.5863735107681145</c:v>
                </c:pt>
                <c:pt idx="22">
                  <c:v>1.6136380508682517</c:v>
                </c:pt>
                <c:pt idx="23">
                  <c:v>1.6409025909683885</c:v>
                </c:pt>
                <c:pt idx="24">
                  <c:v>1.6681671310685255</c:v>
                </c:pt>
                <c:pt idx="25">
                  <c:v>1.6954316711686626</c:v>
                </c:pt>
                <c:pt idx="26">
                  <c:v>1.7226962112687996</c:v>
                </c:pt>
              </c:numCache>
            </c:numRef>
          </c:val>
          <c:extLst>
            <c:ext xmlns:c16="http://schemas.microsoft.com/office/drawing/2014/chart" uri="{C3380CC4-5D6E-409C-BE32-E72D297353CC}">
              <c16:uniqueId val="{00000001-BBE9-4475-9919-99320C863E9E}"/>
            </c:ext>
          </c:extLst>
        </c:ser>
        <c:ser>
          <c:idx val="2"/>
          <c:order val="2"/>
          <c:tx>
            <c:strRef>
              <c:f>'Time Series Graphs'!$A$56</c:f>
              <c:strCache>
                <c:ptCount val="1"/>
                <c:pt idx="0">
                  <c:v>Electricity for green hydrogen for industry</c:v>
                </c:pt>
              </c:strCache>
            </c:strRef>
          </c:tx>
          <c:spPr>
            <a:solidFill>
              <a:srgbClr val="92D050"/>
            </a:solidFill>
            <a:ln w="25400">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Graphs'!$B$56:$AB$56</c:f>
              <c:numCache>
                <c:formatCode>0.00</c:formatCode>
                <c:ptCount val="27"/>
                <c:pt idx="0">
                  <c:v>0</c:v>
                </c:pt>
                <c:pt idx="1">
                  <c:v>0.27175374351285203</c:v>
                </c:pt>
                <c:pt idx="2">
                  <c:v>0.54350748702570406</c:v>
                </c:pt>
                <c:pt idx="3">
                  <c:v>0.81526123053855604</c:v>
                </c:pt>
                <c:pt idx="4">
                  <c:v>1.0870149740514081</c:v>
                </c:pt>
                <c:pt idx="5">
                  <c:v>1.35876871756426</c:v>
                </c:pt>
                <c:pt idx="6">
                  <c:v>1.6305224610771121</c:v>
                </c:pt>
                <c:pt idx="7">
                  <c:v>1.9022762045899642</c:v>
                </c:pt>
                <c:pt idx="8">
                  <c:v>2.1740299481028162</c:v>
                </c:pt>
                <c:pt idx="9">
                  <c:v>2.4457836916156683</c:v>
                </c:pt>
                <c:pt idx="10">
                  <c:v>2.71753743512852</c:v>
                </c:pt>
                <c:pt idx="11">
                  <c:v>2.9892911786413725</c:v>
                </c:pt>
                <c:pt idx="12">
                  <c:v>3.2610449221542241</c:v>
                </c:pt>
                <c:pt idx="13">
                  <c:v>3.5327986656670762</c:v>
                </c:pt>
                <c:pt idx="14">
                  <c:v>3.8045524091799283</c:v>
                </c:pt>
                <c:pt idx="15">
                  <c:v>4.0763061526927808</c:v>
                </c:pt>
                <c:pt idx="16">
                  <c:v>4.3480598962056325</c:v>
                </c:pt>
                <c:pt idx="17">
                  <c:v>4.6198136397184841</c:v>
                </c:pt>
                <c:pt idx="18">
                  <c:v>4.8915673832313367</c:v>
                </c:pt>
                <c:pt idx="19">
                  <c:v>5.1633211267441883</c:v>
                </c:pt>
                <c:pt idx="20">
                  <c:v>5.4350748702570399</c:v>
                </c:pt>
                <c:pt idx="21">
                  <c:v>5.7068286137698925</c:v>
                </c:pt>
                <c:pt idx="22">
                  <c:v>5.978582357282745</c:v>
                </c:pt>
                <c:pt idx="23">
                  <c:v>6.2503361007955966</c:v>
                </c:pt>
                <c:pt idx="24">
                  <c:v>6.5220898443084483</c:v>
                </c:pt>
                <c:pt idx="25">
                  <c:v>6.7938435878212999</c:v>
                </c:pt>
                <c:pt idx="26">
                  <c:v>7.0655973313341525</c:v>
                </c:pt>
              </c:numCache>
            </c:numRef>
          </c:val>
          <c:extLst>
            <c:ext xmlns:c16="http://schemas.microsoft.com/office/drawing/2014/chart" uri="{C3380CC4-5D6E-409C-BE32-E72D297353CC}">
              <c16:uniqueId val="{00000002-BBE9-4475-9919-99320C863E9E}"/>
            </c:ext>
          </c:extLst>
        </c:ser>
        <c:dLbls>
          <c:showLegendKey val="0"/>
          <c:showVal val="0"/>
          <c:showCatName val="0"/>
          <c:showSerName val="0"/>
          <c:showPercent val="0"/>
          <c:showBubbleSize val="0"/>
        </c:dLbls>
        <c:axId val="1376951120"/>
        <c:axId val="1376949680"/>
      </c:areaChart>
      <c:catAx>
        <c:axId val="13769511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376949680"/>
        <c:crosses val="autoZero"/>
        <c:auto val="1"/>
        <c:lblAlgn val="ctr"/>
        <c:lblOffset val="100"/>
        <c:noMultiLvlLbl val="0"/>
      </c:catAx>
      <c:valAx>
        <c:axId val="1376949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sz="1100"/>
                  <a:t>Petawatt-hours (PWh)</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3769511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Industry</a:t>
            </a:r>
            <a:r>
              <a:rPr lang="en-US" sz="2000" baseline="0"/>
              <a:t> Sector </a:t>
            </a:r>
            <a:r>
              <a:rPr lang="en-US" sz="2000"/>
              <a:t>Hydrogen Demand</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5709844990882587E-2"/>
          <c:y val="0.16354138716042843"/>
          <c:w val="0.88195771181418947"/>
          <c:h val="0.71144779958533721"/>
        </c:manualLayout>
      </c:layout>
      <c:barChart>
        <c:barDir val="col"/>
        <c:grouping val="stacked"/>
        <c:varyColors val="0"/>
        <c:ser>
          <c:idx val="0"/>
          <c:order val="0"/>
          <c:tx>
            <c:strRef>
              <c:f>'Output Graphs'!$A$136</c:f>
              <c:strCache>
                <c:ptCount val="1"/>
                <c:pt idx="0">
                  <c:v>Hydrogen from fossil fuels without CCS</c:v>
                </c:pt>
              </c:strCache>
            </c:strRef>
          </c:tx>
          <c:spPr>
            <a:solidFill>
              <a:schemeClr val="accent4">
                <a:lumMod val="50000"/>
              </a:schemeClr>
            </a:solidFill>
            <a:ln>
              <a:noFill/>
            </a:ln>
            <a:effectLst/>
          </c:spPr>
          <c:invertIfNegative val="0"/>
          <c:cat>
            <c:strRef>
              <c:f>'Output Graphs'!$B$135:$H$135</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Graphs'!$B$136:$H$136</c:f>
              <c:numCache>
                <c:formatCode>0.00</c:formatCode>
                <c:ptCount val="7"/>
                <c:pt idx="0" formatCode="General">
                  <c:v>10</c:v>
                </c:pt>
                <c:pt idx="1">
                  <c:v>0</c:v>
                </c:pt>
                <c:pt idx="2">
                  <c:v>0</c:v>
                </c:pt>
                <c:pt idx="3">
                  <c:v>0</c:v>
                </c:pt>
                <c:pt idx="4">
                  <c:v>0</c:v>
                </c:pt>
                <c:pt idx="5">
                  <c:v>0</c:v>
                </c:pt>
                <c:pt idx="6">
                  <c:v>10</c:v>
                </c:pt>
              </c:numCache>
            </c:numRef>
          </c:val>
          <c:extLst>
            <c:ext xmlns:c16="http://schemas.microsoft.com/office/drawing/2014/chart" uri="{C3380CC4-5D6E-409C-BE32-E72D297353CC}">
              <c16:uniqueId val="{00000000-E4EE-49CF-9567-73DB718CFF1C}"/>
            </c:ext>
          </c:extLst>
        </c:ser>
        <c:ser>
          <c:idx val="1"/>
          <c:order val="1"/>
          <c:tx>
            <c:strRef>
              <c:f>'Output Graphs'!$A$137</c:f>
              <c:strCache>
                <c:ptCount val="1"/>
                <c:pt idx="0">
                  <c:v>Green hydrogen</c:v>
                </c:pt>
              </c:strCache>
            </c:strRef>
          </c:tx>
          <c:spPr>
            <a:solidFill>
              <a:srgbClr val="92D050"/>
            </a:solidFill>
            <a:ln>
              <a:noFill/>
            </a:ln>
            <a:effectLst/>
          </c:spPr>
          <c:invertIfNegative val="0"/>
          <c:cat>
            <c:strRef>
              <c:f>'Output Graphs'!$B$135:$H$135</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Graphs'!$B$137:$H$137</c:f>
              <c:numCache>
                <c:formatCode>0.00</c:formatCode>
                <c:ptCount val="7"/>
                <c:pt idx="0" formatCode="General">
                  <c:v>0</c:v>
                </c:pt>
                <c:pt idx="1">
                  <c:v>25.772027734927502</c:v>
                </c:pt>
                <c:pt idx="2">
                  <c:v>149.23150352702129</c:v>
                </c:pt>
                <c:pt idx="3">
                  <c:v>2.4991469133658657</c:v>
                </c:pt>
                <c:pt idx="4">
                  <c:v>0</c:v>
                </c:pt>
                <c:pt idx="5">
                  <c:v>47.007926458948738</c:v>
                </c:pt>
                <c:pt idx="6">
                  <c:v>0</c:v>
                </c:pt>
              </c:numCache>
            </c:numRef>
          </c:val>
          <c:extLst>
            <c:ext xmlns:c16="http://schemas.microsoft.com/office/drawing/2014/chart" uri="{C3380CC4-5D6E-409C-BE32-E72D297353CC}">
              <c16:uniqueId val="{00000001-E4EE-49CF-9567-73DB718CFF1C}"/>
            </c:ext>
          </c:extLst>
        </c:ser>
        <c:ser>
          <c:idx val="2"/>
          <c:order val="2"/>
          <c:tx>
            <c:strRef>
              <c:f>'Output Graphs'!$A$138</c:f>
              <c:strCache>
                <c:ptCount val="1"/>
                <c:pt idx="0">
                  <c:v>Blue hydrogen</c:v>
                </c:pt>
              </c:strCache>
            </c:strRef>
          </c:tx>
          <c:spPr>
            <a:solidFill>
              <a:srgbClr val="00B0F0"/>
            </a:solidFill>
            <a:ln>
              <a:noFill/>
            </a:ln>
            <a:effectLst/>
          </c:spPr>
          <c:invertIfNegative val="0"/>
          <c:cat>
            <c:strRef>
              <c:f>'Output Graphs'!$B$135:$H$135</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Graphs'!$B$138:$H$138</c:f>
              <c:numCache>
                <c:formatCode>0.00</c:formatCode>
                <c:ptCount val="7"/>
                <c:pt idx="0" formatCode="General">
                  <c:v>0</c:v>
                </c:pt>
                <c:pt idx="1">
                  <c:v>0</c:v>
                </c:pt>
                <c:pt idx="2">
                  <c:v>0</c:v>
                </c:pt>
                <c:pt idx="3">
                  <c:v>0</c:v>
                </c:pt>
                <c:pt idx="4">
                  <c:v>46.858232245322725</c:v>
                </c:pt>
                <c:pt idx="5">
                  <c:v>15.4632166409565</c:v>
                </c:pt>
                <c:pt idx="6">
                  <c:v>0</c:v>
                </c:pt>
              </c:numCache>
            </c:numRef>
          </c:val>
          <c:extLst>
            <c:ext xmlns:c16="http://schemas.microsoft.com/office/drawing/2014/chart" uri="{C3380CC4-5D6E-409C-BE32-E72D297353CC}">
              <c16:uniqueId val="{00000000-6042-447F-AB45-9EB7A57C4EEC}"/>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Million Metric Tons of</a:t>
                </a:r>
                <a:r>
                  <a:rPr lang="en-US" sz="1800" baseline="0"/>
                  <a:t> Hydrogen</a:t>
                </a:r>
                <a:r>
                  <a:rPr lang="en-US" sz="1800"/>
                  <a:t> (MMT</a:t>
                </a:r>
                <a:r>
                  <a:rPr lang="en-US" sz="1800" baseline="0"/>
                  <a:t> H</a:t>
                </a:r>
                <a:r>
                  <a:rPr lang="en-US" sz="1800" baseline="-25000"/>
                  <a:t>2</a:t>
                </a:r>
                <a:r>
                  <a:rPr lang="en-US" sz="1800" baseline="0"/>
                  <a:t>)</a:t>
                </a:r>
                <a:endParaRPr lang="en-US" sz="1800"/>
              </a:p>
            </c:rich>
          </c:tx>
          <c:layout>
            <c:manualLayout>
              <c:xMode val="edge"/>
              <c:yMode val="edge"/>
              <c:x val="3.8530289029819107E-3"/>
              <c:y val="0.21500099560580804"/>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ayout>
        <c:manualLayout>
          <c:xMode val="edge"/>
          <c:yMode val="edge"/>
          <c:x val="0.12714984259618381"/>
          <c:y val="8.2975958557632998E-2"/>
          <c:w val="0.80301979316508343"/>
          <c:h val="6.129943387305758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Hydrogen Electrolyzer Capacity</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892424869091563"/>
          <c:y val="0.11000217366070572"/>
          <c:w val="0.87353482065100863"/>
          <c:h val="0.77297702494110498"/>
        </c:manualLayout>
      </c:layout>
      <c:barChart>
        <c:barDir val="col"/>
        <c:grouping val="stacked"/>
        <c:varyColors val="0"/>
        <c:ser>
          <c:idx val="0"/>
          <c:order val="0"/>
          <c:tx>
            <c:strRef>
              <c:f>'Output Graphs'!$A$179</c:f>
              <c:strCache>
                <c:ptCount val="1"/>
                <c:pt idx="0">
                  <c:v>Hydrogen electrolyzer capacity</c:v>
                </c:pt>
              </c:strCache>
            </c:strRef>
          </c:tx>
          <c:spPr>
            <a:solidFill>
              <a:srgbClr val="7030A0"/>
            </a:solidFill>
            <a:ln>
              <a:noFill/>
            </a:ln>
            <a:effectLst/>
          </c:spPr>
          <c:invertIfNegative val="0"/>
          <c:cat>
            <c:strRef>
              <c:f>'Output Graphs'!$B$178:$H$178</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Graphs'!$B$179:$H$179</c:f>
              <c:numCache>
                <c:formatCode>0</c:formatCode>
                <c:ptCount val="7"/>
                <c:pt idx="0" formatCode="0.000">
                  <c:v>6.7080000000000001E-2</c:v>
                </c:pt>
                <c:pt idx="1">
                  <c:v>278.58828402575728</c:v>
                </c:pt>
                <c:pt idx="2">
                  <c:v>1613.1500756470668</c:v>
                </c:pt>
                <c:pt idx="3">
                  <c:v>27.015066772541747</c:v>
                </c:pt>
                <c:pt idx="4">
                  <c:v>0</c:v>
                </c:pt>
                <c:pt idx="5">
                  <c:v>508.14230461421488</c:v>
                </c:pt>
                <c:pt idx="6">
                  <c:v>0</c:v>
                </c:pt>
              </c:numCache>
            </c:numRef>
          </c:val>
          <c:extLst>
            <c:ext xmlns:c16="http://schemas.microsoft.com/office/drawing/2014/chart" uri="{C3380CC4-5D6E-409C-BE32-E72D297353CC}">
              <c16:uniqueId val="{00000000-A96C-4ED0-9858-85FB2FB4EE45}"/>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Gigawatts</a:t>
                </a:r>
                <a:r>
                  <a:rPr lang="en-US" sz="1800" baseline="0"/>
                  <a:t> (GW)</a:t>
                </a:r>
                <a:endParaRPr lang="en-US" sz="1800"/>
              </a:p>
            </c:rich>
          </c:tx>
          <c:layout>
            <c:manualLayout>
              <c:xMode val="edge"/>
              <c:yMode val="edge"/>
              <c:x val="1.1892963330029732E-2"/>
              <c:y val="0.39802313375505355"/>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Bioenergy Land Requirements for Industry</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4145584678093003E-2"/>
          <c:y val="0.15069255661751282"/>
          <c:w val="0.88325439527369831"/>
          <c:h val="0.73117605722181556"/>
        </c:manualLayout>
      </c:layout>
      <c:barChart>
        <c:barDir val="col"/>
        <c:grouping val="stacked"/>
        <c:varyColors val="0"/>
        <c:ser>
          <c:idx val="0"/>
          <c:order val="0"/>
          <c:tx>
            <c:strRef>
              <c:f>'Output Graphs'!$A$217</c:f>
              <c:strCache>
                <c:ptCount val="1"/>
                <c:pt idx="0">
                  <c:v>Land for bioenergy use by rest of economy</c:v>
                </c:pt>
              </c:strCache>
            </c:strRef>
          </c:tx>
          <c:spPr>
            <a:solidFill>
              <a:schemeClr val="bg1">
                <a:lumMod val="75000"/>
              </a:schemeClr>
            </a:solidFill>
            <a:ln>
              <a:noFill/>
            </a:ln>
            <a:effectLst/>
          </c:spPr>
          <c:invertIfNegative val="0"/>
          <c:cat>
            <c:strRef>
              <c:f>'Output Graphs'!$B$216:$H$216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Graphs'!$B$217:$H$217</c:f>
              <c:numCache>
                <c:formatCode>0.00</c:formatCode>
                <c:ptCount val="7"/>
                <c:pt idx="0">
                  <c:v>12.429124994735524</c:v>
                </c:pt>
                <c:pt idx="1">
                  <c:v>12.429124994735524</c:v>
                </c:pt>
                <c:pt idx="2">
                  <c:v>12.429124994735524</c:v>
                </c:pt>
                <c:pt idx="3">
                  <c:v>12.429124994735524</c:v>
                </c:pt>
                <c:pt idx="4">
                  <c:v>12.429124994735524</c:v>
                </c:pt>
                <c:pt idx="5">
                  <c:v>12.429124994735524</c:v>
                </c:pt>
                <c:pt idx="6">
                  <c:v>12.429124994735524</c:v>
                </c:pt>
              </c:numCache>
            </c:numRef>
          </c:val>
          <c:extLst>
            <c:ext xmlns:c16="http://schemas.microsoft.com/office/drawing/2014/chart" uri="{C3380CC4-5D6E-409C-BE32-E72D297353CC}">
              <c16:uniqueId val="{00000000-6F3A-4F4E-B1C2-313BB2585A33}"/>
            </c:ext>
          </c:extLst>
        </c:ser>
        <c:ser>
          <c:idx val="1"/>
          <c:order val="1"/>
          <c:tx>
            <c:strRef>
              <c:f>'Output Graphs'!$A$218</c:f>
              <c:strCache>
                <c:ptCount val="1"/>
                <c:pt idx="0">
                  <c:v>Land for bioenergy use by industry</c:v>
                </c:pt>
              </c:strCache>
            </c:strRef>
          </c:tx>
          <c:spPr>
            <a:solidFill>
              <a:schemeClr val="accent6">
                <a:lumMod val="50000"/>
              </a:schemeClr>
            </a:solidFill>
            <a:ln>
              <a:noFill/>
            </a:ln>
            <a:effectLst/>
          </c:spPr>
          <c:invertIfNegative val="0"/>
          <c:cat>
            <c:strRef>
              <c:f>'Output Graphs'!$B$216:$H$216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Graphs'!$B$218:$H$218</c:f>
              <c:numCache>
                <c:formatCode>0.00</c:formatCode>
                <c:ptCount val="7"/>
                <c:pt idx="0">
                  <c:v>4.7540040895335931</c:v>
                </c:pt>
                <c:pt idx="1">
                  <c:v>14.980207908000322</c:v>
                </c:pt>
                <c:pt idx="2">
                  <c:v>6.3723373364425262</c:v>
                </c:pt>
                <c:pt idx="3">
                  <c:v>74.813006462703086</c:v>
                </c:pt>
                <c:pt idx="4">
                  <c:v>6.3723373364425262</c:v>
                </c:pt>
                <c:pt idx="5">
                  <c:v>26.802669021279424</c:v>
                </c:pt>
                <c:pt idx="6">
                  <c:v>4.7540040895335931</c:v>
                </c:pt>
              </c:numCache>
            </c:numRef>
          </c:val>
          <c:extLst>
            <c:ext xmlns:c16="http://schemas.microsoft.com/office/drawing/2014/chart" uri="{C3380CC4-5D6E-409C-BE32-E72D297353CC}">
              <c16:uniqueId val="{00000000-0623-460C-8034-A1FBDE2FD3D3}"/>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Million Hectares (M</a:t>
                </a:r>
                <a:r>
                  <a:rPr lang="en-US" sz="1800" baseline="0"/>
                  <a:t> ha)</a:t>
                </a:r>
                <a:endParaRPr lang="en-US" sz="1800"/>
              </a:p>
            </c:rich>
          </c:tx>
          <c:layout>
            <c:manualLayout>
              <c:xMode val="edge"/>
              <c:yMode val="edge"/>
              <c:x val="9.207161017146295E-3"/>
              <c:y val="0.34448388455627765"/>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50" b="0" i="0" u="none" strike="noStrike" kern="1200" spc="0" baseline="0">
                <a:solidFill>
                  <a:sysClr val="windowText" lastClr="000000"/>
                </a:solidFill>
                <a:latin typeface="+mn-lt"/>
                <a:ea typeface="+mn-ea"/>
                <a:cs typeface="+mn-cs"/>
              </a:defRPr>
            </a:pPr>
            <a:r>
              <a:rPr lang="en-US" sz="1950"/>
              <a:t>Bioenergy Land Requirements for Industry as a Share of Agricultural Land</a:t>
            </a:r>
          </a:p>
        </c:rich>
      </c:tx>
      <c:overlay val="0"/>
      <c:spPr>
        <a:noFill/>
        <a:ln>
          <a:noFill/>
        </a:ln>
        <a:effectLst/>
      </c:spPr>
      <c:txPr>
        <a:bodyPr rot="0" spcFirstLastPara="1" vertOverflow="ellipsis" vert="horz" wrap="square" anchor="ctr" anchorCtr="1"/>
        <a:lstStyle/>
        <a:p>
          <a:pPr>
            <a:defRPr sz="195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229439060424199"/>
          <c:y val="0.1473531198322475"/>
          <c:w val="0.86058448141755228"/>
          <c:h val="0.72952991992057803"/>
        </c:manualLayout>
      </c:layout>
      <c:barChart>
        <c:barDir val="col"/>
        <c:grouping val="stacked"/>
        <c:varyColors val="0"/>
        <c:ser>
          <c:idx val="0"/>
          <c:order val="0"/>
          <c:tx>
            <c:strRef>
              <c:f>'Output Graphs'!$A$220</c:f>
              <c:strCache>
                <c:ptCount val="1"/>
                <c:pt idx="0">
                  <c:v>Land for bioenergy use by rest of economy</c:v>
                </c:pt>
              </c:strCache>
            </c:strRef>
          </c:tx>
          <c:spPr>
            <a:solidFill>
              <a:schemeClr val="bg1">
                <a:lumMod val="75000"/>
              </a:schemeClr>
            </a:solidFill>
            <a:ln>
              <a:noFill/>
            </a:ln>
            <a:effectLst/>
          </c:spPr>
          <c:invertIfNegative val="0"/>
          <c:cat>
            <c:strRef>
              <c:f>'Output Graphs'!$B$216:$H$216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Graphs'!$B$220:$H$220</c:f>
              <c:numCache>
                <c:formatCode>0.0%</c:formatCode>
                <c:ptCount val="7"/>
                <c:pt idx="0">
                  <c:v>3.062791493205988E-2</c:v>
                </c:pt>
                <c:pt idx="1">
                  <c:v>3.062791493205988E-2</c:v>
                </c:pt>
                <c:pt idx="2">
                  <c:v>3.062791493205988E-2</c:v>
                </c:pt>
                <c:pt idx="3">
                  <c:v>3.062791493205988E-2</c:v>
                </c:pt>
                <c:pt idx="4">
                  <c:v>3.062791493205988E-2</c:v>
                </c:pt>
                <c:pt idx="5">
                  <c:v>3.062791493205988E-2</c:v>
                </c:pt>
                <c:pt idx="6">
                  <c:v>3.062791493205988E-2</c:v>
                </c:pt>
              </c:numCache>
            </c:numRef>
          </c:val>
          <c:extLst>
            <c:ext xmlns:c16="http://schemas.microsoft.com/office/drawing/2014/chart" uri="{C3380CC4-5D6E-409C-BE32-E72D297353CC}">
              <c16:uniqueId val="{00000000-1552-45DE-A416-E3BB50F6932F}"/>
            </c:ext>
          </c:extLst>
        </c:ser>
        <c:ser>
          <c:idx val="1"/>
          <c:order val="1"/>
          <c:tx>
            <c:strRef>
              <c:f>'Output Graphs'!$A$221</c:f>
              <c:strCache>
                <c:ptCount val="1"/>
                <c:pt idx="0">
                  <c:v>Land for bioenergy use by industry</c:v>
                </c:pt>
              </c:strCache>
            </c:strRef>
          </c:tx>
          <c:spPr>
            <a:solidFill>
              <a:schemeClr val="accent6">
                <a:lumMod val="50000"/>
              </a:schemeClr>
            </a:solidFill>
            <a:ln>
              <a:noFill/>
            </a:ln>
            <a:effectLst/>
          </c:spPr>
          <c:invertIfNegative val="0"/>
          <c:cat>
            <c:strRef>
              <c:f>'Output Graphs'!$B$216:$H$216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Graphs'!$B$221:$H$221</c:f>
              <c:numCache>
                <c:formatCode>0.0%</c:formatCode>
                <c:ptCount val="7"/>
                <c:pt idx="0">
                  <c:v>1.1714841785127448E-2</c:v>
                </c:pt>
                <c:pt idx="1">
                  <c:v>3.6914306812839928E-2</c:v>
                </c:pt>
                <c:pt idx="2">
                  <c:v>1.5702747051109186E-2</c:v>
                </c:pt>
                <c:pt idx="3">
                  <c:v>0.18435460249388808</c:v>
                </c:pt>
                <c:pt idx="4">
                  <c:v>1.5702747051109186E-2</c:v>
                </c:pt>
                <c:pt idx="5">
                  <c:v>6.6047277429715057E-2</c:v>
                </c:pt>
                <c:pt idx="6">
                  <c:v>1.1714841785127448E-2</c:v>
                </c:pt>
              </c:numCache>
            </c:numRef>
          </c:val>
          <c:extLst>
            <c:ext xmlns:c16="http://schemas.microsoft.com/office/drawing/2014/chart" uri="{C3380CC4-5D6E-409C-BE32-E72D297353CC}">
              <c16:uniqueId val="{00000000-CDDF-4A00-AF55-C3EB3326B22C}"/>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Fraction of Agricultural Land (%)</a:t>
                </a:r>
              </a:p>
            </c:rich>
          </c:tx>
          <c:layout>
            <c:manualLayout>
              <c:xMode val="edge"/>
              <c:yMode val="edge"/>
              <c:x val="9.2127300536780938E-3"/>
              <c:y val="0.27457125250356323"/>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CO</a:t>
            </a:r>
            <a:r>
              <a:rPr lang="en-US" sz="2000" baseline="-25000"/>
              <a:t>2</a:t>
            </a:r>
            <a:r>
              <a:rPr lang="en-US" sz="2000"/>
              <a:t> Emissions from</a:t>
            </a:r>
            <a:r>
              <a:rPr lang="en-US" sz="2000" baseline="0"/>
              <a:t> Industry</a:t>
            </a:r>
            <a:endParaRPr lang="en-US" sz="2000"/>
          </a:p>
        </c:rich>
      </c:tx>
      <c:layout>
        <c:manualLayout>
          <c:xMode val="edge"/>
          <c:yMode val="edge"/>
          <c:x val="0.34169993583727282"/>
          <c:y val="1.9975029640112878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6031757377762"/>
          <c:y val="0.1623227530686836"/>
          <c:w val="0.8617681293540882"/>
          <c:h val="0.718658942569116"/>
        </c:manualLayout>
      </c:layout>
      <c:barChart>
        <c:barDir val="col"/>
        <c:grouping val="stacked"/>
        <c:varyColors val="0"/>
        <c:ser>
          <c:idx val="0"/>
          <c:order val="0"/>
          <c:tx>
            <c:strRef>
              <c:f>'Output Graphs'!$A$297</c:f>
              <c:strCache>
                <c:ptCount val="1"/>
                <c:pt idx="0">
                  <c:v>CO₂ from fossil fuel combustion</c:v>
                </c:pt>
              </c:strCache>
            </c:strRef>
          </c:tx>
          <c:spPr>
            <a:solidFill>
              <a:schemeClr val="accent4">
                <a:lumMod val="50000"/>
              </a:schemeClr>
            </a:solidFill>
            <a:ln>
              <a:noFill/>
            </a:ln>
            <a:effectLst/>
          </c:spPr>
          <c:invertIfNegative val="0"/>
          <c:cat>
            <c:strRef>
              <c:f>'Output Graphs'!$B$296:$H$296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Graphs'!$B$297:$H$297</c:f>
              <c:numCache>
                <c:formatCode>0.0</c:formatCode>
                <c:ptCount val="7"/>
                <c:pt idx="0">
                  <c:v>775.6</c:v>
                </c:pt>
                <c:pt idx="1">
                  <c:v>0</c:v>
                </c:pt>
                <c:pt idx="2">
                  <c:v>0</c:v>
                </c:pt>
                <c:pt idx="3">
                  <c:v>0</c:v>
                </c:pt>
                <c:pt idx="4">
                  <c:v>73.272069905852732</c:v>
                </c:pt>
                <c:pt idx="5">
                  <c:v>21.270778179531519</c:v>
                </c:pt>
                <c:pt idx="6">
                  <c:v>775.6</c:v>
                </c:pt>
              </c:numCache>
            </c:numRef>
          </c:val>
          <c:extLst>
            <c:ext xmlns:c16="http://schemas.microsoft.com/office/drawing/2014/chart" uri="{C3380CC4-5D6E-409C-BE32-E72D297353CC}">
              <c16:uniqueId val="{00000000-9DEC-4BD5-8E5D-F9F68883D3B5}"/>
            </c:ext>
          </c:extLst>
        </c:ser>
        <c:ser>
          <c:idx val="1"/>
          <c:order val="1"/>
          <c:tx>
            <c:strRef>
              <c:f>'Output Graphs'!$A$298</c:f>
              <c:strCache>
                <c:ptCount val="1"/>
                <c:pt idx="0">
                  <c:v>CO₂ from hydrogen production</c:v>
                </c:pt>
              </c:strCache>
            </c:strRef>
          </c:tx>
          <c:spPr>
            <a:solidFill>
              <a:srgbClr val="FFC000"/>
            </a:solidFill>
            <a:ln>
              <a:noFill/>
            </a:ln>
            <a:effectLst/>
          </c:spPr>
          <c:invertIfNegative val="0"/>
          <c:cat>
            <c:strRef>
              <c:f>'Output Graphs'!$B$296:$H$296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Graphs'!$B$298:$H$298</c:f>
              <c:numCache>
                <c:formatCode>0.0</c:formatCode>
                <c:ptCount val="7"/>
                <c:pt idx="0">
                  <c:v>120</c:v>
                </c:pt>
                <c:pt idx="1">
                  <c:v>0</c:v>
                </c:pt>
                <c:pt idx="2">
                  <c:v>0</c:v>
                </c:pt>
                <c:pt idx="3">
                  <c:v>0</c:v>
                </c:pt>
                <c:pt idx="4">
                  <c:v>56.229878694387253</c:v>
                </c:pt>
                <c:pt idx="5">
                  <c:v>18.555859969147797</c:v>
                </c:pt>
                <c:pt idx="6">
                  <c:v>120</c:v>
                </c:pt>
              </c:numCache>
            </c:numRef>
          </c:val>
          <c:extLst>
            <c:ext xmlns:c16="http://schemas.microsoft.com/office/drawing/2014/chart" uri="{C3380CC4-5D6E-409C-BE32-E72D297353CC}">
              <c16:uniqueId val="{00000000-E81C-4C00-87D8-AE79003FD6E2}"/>
            </c:ext>
          </c:extLst>
        </c:ser>
        <c:ser>
          <c:idx val="2"/>
          <c:order val="2"/>
          <c:tx>
            <c:strRef>
              <c:f>'Output Graphs'!$A$299</c:f>
              <c:strCache>
                <c:ptCount val="1"/>
                <c:pt idx="0">
                  <c:v>CO₂ process emissions</c:v>
                </c:pt>
              </c:strCache>
            </c:strRef>
          </c:tx>
          <c:spPr>
            <a:solidFill>
              <a:schemeClr val="tx2">
                <a:lumMod val="60000"/>
                <a:lumOff val="40000"/>
              </a:schemeClr>
            </a:solidFill>
            <a:ln>
              <a:noFill/>
            </a:ln>
            <a:effectLst/>
          </c:spPr>
          <c:invertIfNegative val="0"/>
          <c:cat>
            <c:strRef>
              <c:f>'Output Graphs'!$B$296:$H$296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Graphs'!$B$299:$H$299</c:f>
              <c:numCache>
                <c:formatCode>0.0</c:formatCode>
                <c:ptCount val="7"/>
                <c:pt idx="0">
                  <c:v>167.32538354986394</c:v>
                </c:pt>
                <c:pt idx="1">
                  <c:v>6.8413910865068104</c:v>
                </c:pt>
                <c:pt idx="2">
                  <c:v>6.8413910865068104</c:v>
                </c:pt>
                <c:pt idx="3">
                  <c:v>6.8413910865068104</c:v>
                </c:pt>
                <c:pt idx="4">
                  <c:v>11.794125921474787</c:v>
                </c:pt>
                <c:pt idx="5">
                  <c:v>6.8413910865068104</c:v>
                </c:pt>
                <c:pt idx="6">
                  <c:v>167.32538354986394</c:v>
                </c:pt>
              </c:numCache>
            </c:numRef>
          </c:val>
          <c:extLst>
            <c:ext xmlns:c16="http://schemas.microsoft.com/office/drawing/2014/chart" uri="{C3380CC4-5D6E-409C-BE32-E72D297353CC}">
              <c16:uniqueId val="{00000000-231C-4BD5-9171-0F10070E8872}"/>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Million Metric Tons CO</a:t>
                </a:r>
                <a:r>
                  <a:rPr lang="en-US" sz="1800" baseline="-25000"/>
                  <a:t>2</a:t>
                </a:r>
                <a:r>
                  <a:rPr lang="en-US" sz="1800"/>
                  <a:t> (MMT CO</a:t>
                </a:r>
                <a:r>
                  <a:rPr lang="en-US" sz="1800" baseline="-25000"/>
                  <a:t>2</a:t>
                </a:r>
                <a:r>
                  <a:rPr lang="en-US" sz="1800"/>
                  <a:t>)</a:t>
                </a:r>
              </a:p>
            </c:rich>
          </c:tx>
          <c:layout>
            <c:manualLayout>
              <c:xMode val="edge"/>
              <c:yMode val="edge"/>
              <c:x val="7.8650650113068869E-3"/>
              <c:y val="0.23958805512101564"/>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ayout>
        <c:manualLayout>
          <c:xMode val="edge"/>
          <c:yMode val="edge"/>
          <c:x val="8.5057803553777622E-2"/>
          <c:y val="8.3161081470124437E-2"/>
          <c:w val="0.89999993655630139"/>
          <c:h val="5.060602981658518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Mass of CO</a:t>
            </a:r>
            <a:r>
              <a:rPr lang="en-US" sz="2000" baseline="-25000"/>
              <a:t>2</a:t>
            </a:r>
            <a:r>
              <a:rPr lang="en-US" sz="2000"/>
              <a:t> Stored</a:t>
            </a:r>
            <a:r>
              <a:rPr lang="en-US" sz="2000" baseline="0"/>
              <a:t> Underground from Industrial CCS</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2316092578737"/>
          <c:y val="0.15069255661751282"/>
          <c:w val="0.87385415393386878"/>
          <c:h val="0.72293924965277312"/>
        </c:manualLayout>
      </c:layout>
      <c:barChart>
        <c:barDir val="col"/>
        <c:grouping val="stacked"/>
        <c:varyColors val="0"/>
        <c:ser>
          <c:idx val="0"/>
          <c:order val="0"/>
          <c:tx>
            <c:strRef>
              <c:f>'Output Graphs'!$A$341</c:f>
              <c:strCache>
                <c:ptCount val="1"/>
                <c:pt idx="0">
                  <c:v>CO₂ from fossil fuel combustion</c:v>
                </c:pt>
              </c:strCache>
            </c:strRef>
          </c:tx>
          <c:spPr>
            <a:solidFill>
              <a:schemeClr val="accent4">
                <a:lumMod val="50000"/>
              </a:schemeClr>
            </a:solidFill>
            <a:ln>
              <a:noFill/>
            </a:ln>
            <a:effectLst/>
          </c:spPr>
          <c:invertIfNegative val="0"/>
          <c:cat>
            <c:strRef>
              <c:f>'Output Graphs'!$B$339:$H$339</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Graphs'!$B$341:$H$341</c:f>
              <c:numCache>
                <c:formatCode>0.0</c:formatCode>
                <c:ptCount val="7"/>
                <c:pt idx="0" formatCode="General">
                  <c:v>0</c:v>
                </c:pt>
                <c:pt idx="1">
                  <c:v>0</c:v>
                </c:pt>
                <c:pt idx="2">
                  <c:v>0</c:v>
                </c:pt>
                <c:pt idx="3">
                  <c:v>0</c:v>
                </c:pt>
                <c:pt idx="4">
                  <c:v>659.44862915267481</c:v>
                </c:pt>
                <c:pt idx="5">
                  <c:v>191.43700361578371</c:v>
                </c:pt>
                <c:pt idx="6">
                  <c:v>0</c:v>
                </c:pt>
              </c:numCache>
            </c:numRef>
          </c:val>
          <c:extLst>
            <c:ext xmlns:c16="http://schemas.microsoft.com/office/drawing/2014/chart" uri="{C3380CC4-5D6E-409C-BE32-E72D297353CC}">
              <c16:uniqueId val="{00000000-3C32-47A5-A813-2321F1F5C2E0}"/>
            </c:ext>
          </c:extLst>
        </c:ser>
        <c:ser>
          <c:idx val="1"/>
          <c:order val="1"/>
          <c:tx>
            <c:strRef>
              <c:f>'Output Graphs'!$A$342</c:f>
              <c:strCache>
                <c:ptCount val="1"/>
                <c:pt idx="0">
                  <c:v>CO₂ from hydrogen production</c:v>
                </c:pt>
              </c:strCache>
            </c:strRef>
          </c:tx>
          <c:spPr>
            <a:solidFill>
              <a:srgbClr val="FFC000"/>
            </a:solidFill>
            <a:ln>
              <a:noFill/>
            </a:ln>
            <a:effectLst/>
          </c:spPr>
          <c:invertIfNegative val="0"/>
          <c:cat>
            <c:strRef>
              <c:f>'Output Graphs'!$B$339:$H$339</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Graphs'!$B$342:$H$342</c:f>
              <c:numCache>
                <c:formatCode>0.0</c:formatCode>
                <c:ptCount val="7"/>
                <c:pt idx="0" formatCode="General">
                  <c:v>0</c:v>
                </c:pt>
                <c:pt idx="1">
                  <c:v>0</c:v>
                </c:pt>
                <c:pt idx="2">
                  <c:v>0</c:v>
                </c:pt>
                <c:pt idx="3">
                  <c:v>0</c:v>
                </c:pt>
                <c:pt idx="4">
                  <c:v>506.0689082494855</c:v>
                </c:pt>
                <c:pt idx="5">
                  <c:v>167.00273972233018</c:v>
                </c:pt>
                <c:pt idx="6">
                  <c:v>0</c:v>
                </c:pt>
              </c:numCache>
            </c:numRef>
          </c:val>
          <c:extLst>
            <c:ext xmlns:c16="http://schemas.microsoft.com/office/drawing/2014/chart" uri="{C3380CC4-5D6E-409C-BE32-E72D297353CC}">
              <c16:uniqueId val="{00000000-4DEE-4D75-AA2D-76EC630CF929}"/>
            </c:ext>
          </c:extLst>
        </c:ser>
        <c:ser>
          <c:idx val="2"/>
          <c:order val="2"/>
          <c:tx>
            <c:strRef>
              <c:f>'Output Graphs'!$A$343</c:f>
              <c:strCache>
                <c:ptCount val="1"/>
                <c:pt idx="0">
                  <c:v>CO₂ process emissions</c:v>
                </c:pt>
              </c:strCache>
            </c:strRef>
          </c:tx>
          <c:spPr>
            <a:solidFill>
              <a:schemeClr val="tx2">
                <a:lumMod val="60000"/>
                <a:lumOff val="40000"/>
              </a:schemeClr>
            </a:solidFill>
            <a:ln>
              <a:noFill/>
            </a:ln>
            <a:effectLst/>
          </c:spPr>
          <c:invertIfNegative val="0"/>
          <c:cat>
            <c:strRef>
              <c:f>'Output Graphs'!$B$339:$H$339</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Graphs'!$B$343:$H$343</c:f>
              <c:numCache>
                <c:formatCode>0.0</c:formatCode>
                <c:ptCount val="7"/>
                <c:pt idx="0" formatCode="General">
                  <c:v>0</c:v>
                </c:pt>
                <c:pt idx="1">
                  <c:v>61.572519778561336</c:v>
                </c:pt>
                <c:pt idx="2">
                  <c:v>61.572519778561336</c:v>
                </c:pt>
                <c:pt idx="3">
                  <c:v>61.572519778561336</c:v>
                </c:pt>
                <c:pt idx="4">
                  <c:v>106.14713329327313</c:v>
                </c:pt>
                <c:pt idx="5">
                  <c:v>61.572519778561336</c:v>
                </c:pt>
                <c:pt idx="6">
                  <c:v>0</c:v>
                </c:pt>
              </c:numCache>
            </c:numRef>
          </c:val>
          <c:extLst>
            <c:ext xmlns:c16="http://schemas.microsoft.com/office/drawing/2014/chart" uri="{C3380CC4-5D6E-409C-BE32-E72D297353CC}">
              <c16:uniqueId val="{00000000-7035-4527-A541-6C744D21C164}"/>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Million Metric Tons CO</a:t>
                </a:r>
                <a:r>
                  <a:rPr lang="en-US" sz="1800" baseline="-25000"/>
                  <a:t>2</a:t>
                </a:r>
                <a:r>
                  <a:rPr lang="en-US" sz="1800"/>
                  <a:t> (MMT CO</a:t>
                </a:r>
                <a:r>
                  <a:rPr lang="en-US" sz="1800" baseline="-25000"/>
                  <a:t>2</a:t>
                </a:r>
                <a:r>
                  <a:rPr lang="en-US" sz="1800"/>
                  <a:t>)</a:t>
                </a:r>
              </a:p>
            </c:rich>
          </c:tx>
          <c:layout>
            <c:manualLayout>
              <c:xMode val="edge"/>
              <c:yMode val="edge"/>
              <c:x val="3.8418668077723987E-3"/>
              <c:y val="0.23740538615872589"/>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ayout>
        <c:manualLayout>
          <c:xMode val="edge"/>
          <c:yMode val="edge"/>
          <c:x val="9.9896750619312011E-2"/>
          <c:y val="8.1163523654392639E-2"/>
          <c:w val="0.86132023366687982"/>
          <c:h val="5.216915030195682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Volume of CO</a:t>
            </a:r>
            <a:r>
              <a:rPr lang="en-US" sz="2000" baseline="-25000"/>
              <a:t>2</a:t>
            </a:r>
            <a:r>
              <a:rPr lang="en-US" sz="2000"/>
              <a:t> Stored</a:t>
            </a:r>
            <a:r>
              <a:rPr lang="en-US" sz="2000" baseline="0"/>
              <a:t> Underground from Industrial CCS as a Fraction of</a:t>
            </a:r>
          </a:p>
          <a:p>
            <a:pPr>
              <a:defRPr sz="2000"/>
            </a:pPr>
            <a:r>
              <a:rPr lang="en-US" sz="2000" baseline="0"/>
              <a:t>Global Oil Production and Estimated Associated Capital Expenses</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618932788584235"/>
          <c:y val="0.18158056904612785"/>
          <c:w val="0.83979144757863533"/>
          <c:h val="0.68131994995861866"/>
        </c:manualLayout>
      </c:layout>
      <c:barChart>
        <c:barDir val="col"/>
        <c:grouping val="stacked"/>
        <c:varyColors val="0"/>
        <c:ser>
          <c:idx val="0"/>
          <c:order val="0"/>
          <c:tx>
            <c:strRef>
              <c:f>'Output Graphs'!$A$345</c:f>
              <c:strCache>
                <c:ptCount val="1"/>
                <c:pt idx="0">
                  <c:v>CO₂ from fossil fuel combustion</c:v>
                </c:pt>
              </c:strCache>
            </c:strRef>
          </c:tx>
          <c:spPr>
            <a:solidFill>
              <a:schemeClr val="accent4">
                <a:lumMod val="50000"/>
              </a:schemeClr>
            </a:solidFill>
            <a:ln>
              <a:noFill/>
            </a:ln>
            <a:effectLst/>
          </c:spPr>
          <c:invertIfNegative val="0"/>
          <c:cat>
            <c:strRef>
              <c:f>'Output Graphs'!$B$339:$H$339</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Graphs'!$B$345:$H$345</c:f>
              <c:numCache>
                <c:formatCode>0%</c:formatCode>
                <c:ptCount val="7"/>
                <c:pt idx="0" formatCode="General">
                  <c:v>0</c:v>
                </c:pt>
                <c:pt idx="1">
                  <c:v>0</c:v>
                </c:pt>
                <c:pt idx="2">
                  <c:v>0</c:v>
                </c:pt>
                <c:pt idx="3">
                  <c:v>0</c:v>
                </c:pt>
                <c:pt idx="4">
                  <c:v>0.2156070371624349</c:v>
                </c:pt>
                <c:pt idx="5">
                  <c:v>6.2590417703783693E-2</c:v>
                </c:pt>
                <c:pt idx="6">
                  <c:v>0</c:v>
                </c:pt>
              </c:numCache>
            </c:numRef>
          </c:val>
          <c:extLst>
            <c:ext xmlns:c16="http://schemas.microsoft.com/office/drawing/2014/chart" uri="{C3380CC4-5D6E-409C-BE32-E72D297353CC}">
              <c16:uniqueId val="{00000000-5B09-44F2-9941-26449168DDA7}"/>
            </c:ext>
          </c:extLst>
        </c:ser>
        <c:ser>
          <c:idx val="1"/>
          <c:order val="1"/>
          <c:tx>
            <c:strRef>
              <c:f>'Output Graphs'!$A$346</c:f>
              <c:strCache>
                <c:ptCount val="1"/>
                <c:pt idx="0">
                  <c:v>CO₂ from hydrogen production</c:v>
                </c:pt>
              </c:strCache>
            </c:strRef>
          </c:tx>
          <c:spPr>
            <a:solidFill>
              <a:srgbClr val="FFC000"/>
            </a:solidFill>
            <a:ln>
              <a:noFill/>
            </a:ln>
            <a:effectLst/>
          </c:spPr>
          <c:invertIfNegative val="0"/>
          <c:cat>
            <c:strRef>
              <c:f>'Output Graphs'!$B$339:$H$339</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Graphs'!$B$346:$H$346</c:f>
              <c:numCache>
                <c:formatCode>0%</c:formatCode>
                <c:ptCount val="7"/>
                <c:pt idx="0" formatCode="General">
                  <c:v>0</c:v>
                </c:pt>
                <c:pt idx="1">
                  <c:v>0</c:v>
                </c:pt>
                <c:pt idx="2">
                  <c:v>0</c:v>
                </c:pt>
                <c:pt idx="3">
                  <c:v>0</c:v>
                </c:pt>
                <c:pt idx="4">
                  <c:v>0.16545946580842491</c:v>
                </c:pt>
                <c:pt idx="5">
                  <c:v>5.4601623716780207E-2</c:v>
                </c:pt>
                <c:pt idx="6">
                  <c:v>0</c:v>
                </c:pt>
              </c:numCache>
            </c:numRef>
          </c:val>
          <c:extLst>
            <c:ext xmlns:c16="http://schemas.microsoft.com/office/drawing/2014/chart" uri="{C3380CC4-5D6E-409C-BE32-E72D297353CC}">
              <c16:uniqueId val="{00000000-1169-4B1E-827A-DC94E4ECBCD2}"/>
            </c:ext>
          </c:extLst>
        </c:ser>
        <c:ser>
          <c:idx val="3"/>
          <c:order val="2"/>
          <c:tx>
            <c:strRef>
              <c:f>'Output Graphs'!$A$347</c:f>
              <c:strCache>
                <c:ptCount val="1"/>
                <c:pt idx="0">
                  <c:v>CO₂ process emissions</c:v>
                </c:pt>
              </c:strCache>
            </c:strRef>
          </c:tx>
          <c:spPr>
            <a:solidFill>
              <a:schemeClr val="tx2">
                <a:lumMod val="60000"/>
                <a:lumOff val="40000"/>
              </a:schemeClr>
            </a:solidFill>
            <a:ln>
              <a:noFill/>
            </a:ln>
            <a:effectLst/>
          </c:spPr>
          <c:invertIfNegative val="0"/>
          <c:cat>
            <c:strRef>
              <c:f>'Output Graphs'!$B$339:$H$339</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Graphs'!$B$347:$H$347</c:f>
              <c:numCache>
                <c:formatCode>0%</c:formatCode>
                <c:ptCount val="7"/>
                <c:pt idx="0" formatCode="General">
                  <c:v>0</c:v>
                </c:pt>
                <c:pt idx="1">
                  <c:v>2.0131164086486426E-2</c:v>
                </c:pt>
                <c:pt idx="2">
                  <c:v>2.0131164086486426E-2</c:v>
                </c:pt>
                <c:pt idx="3">
                  <c:v>2.0131164086486426E-2</c:v>
                </c:pt>
                <c:pt idx="4">
                  <c:v>3.4704854784602356E-2</c:v>
                </c:pt>
                <c:pt idx="5">
                  <c:v>2.0131164086486426E-2</c:v>
                </c:pt>
                <c:pt idx="6">
                  <c:v>0</c:v>
                </c:pt>
              </c:numCache>
            </c:numRef>
          </c:val>
          <c:extLst>
            <c:ext xmlns:c16="http://schemas.microsoft.com/office/drawing/2014/chart" uri="{C3380CC4-5D6E-409C-BE32-E72D297353CC}">
              <c16:uniqueId val="{00000001-6B8E-4F20-A755-1514C6D5D9D9}"/>
            </c:ext>
          </c:extLst>
        </c:ser>
        <c:dLbls>
          <c:showLegendKey val="0"/>
          <c:showVal val="0"/>
          <c:showCatName val="0"/>
          <c:showSerName val="0"/>
          <c:showPercent val="0"/>
          <c:showBubbleSize val="0"/>
        </c:dLbls>
        <c:gapWidth val="150"/>
        <c:overlap val="100"/>
        <c:axId val="424241824"/>
        <c:axId val="495836656"/>
      </c:barChart>
      <c:lineChart>
        <c:grouping val="standard"/>
        <c:varyColors val="0"/>
        <c:ser>
          <c:idx val="2"/>
          <c:order val="3"/>
          <c:tx>
            <c:strRef>
              <c:f>'Output Graphs'!$A$348</c:f>
              <c:strCache>
                <c:ptCount val="1"/>
                <c:pt idx="0">
                  <c:v>Total</c:v>
                </c:pt>
              </c:strCache>
            </c:strRef>
          </c:tx>
          <c:spPr>
            <a:ln w="28575" cap="rnd">
              <a:noFill/>
              <a:round/>
            </a:ln>
            <a:effectLst/>
          </c:spPr>
          <c:marker>
            <c:symbol val="none"/>
          </c:marker>
          <c:dLbls>
            <c:dLbl>
              <c:idx val="0"/>
              <c:tx>
                <c:rich>
                  <a:bodyPr/>
                  <a:lstStyle/>
                  <a:p>
                    <a:fld id="{636C81B0-32CA-0048-B1ED-737B1F0303B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E58-4206-8294-FABAD6718DAF}"/>
                </c:ext>
              </c:extLst>
            </c:dLbl>
            <c:dLbl>
              <c:idx val="1"/>
              <c:tx>
                <c:rich>
                  <a:bodyPr/>
                  <a:lstStyle/>
                  <a:p>
                    <a:fld id="{A6A5D4D6-2B8A-BB49-AE34-EB663701EDC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E58-4206-8294-FABAD6718DAF}"/>
                </c:ext>
              </c:extLst>
            </c:dLbl>
            <c:dLbl>
              <c:idx val="2"/>
              <c:tx>
                <c:rich>
                  <a:bodyPr/>
                  <a:lstStyle/>
                  <a:p>
                    <a:fld id="{3B078C92-5C5F-A341-A8AF-32730612C3F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E58-4206-8294-FABAD6718DAF}"/>
                </c:ext>
              </c:extLst>
            </c:dLbl>
            <c:dLbl>
              <c:idx val="3"/>
              <c:tx>
                <c:rich>
                  <a:bodyPr/>
                  <a:lstStyle/>
                  <a:p>
                    <a:fld id="{3646A340-62EB-4D45-9DF7-B4EE601512C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E58-4206-8294-FABAD6718DAF}"/>
                </c:ext>
              </c:extLst>
            </c:dLbl>
            <c:dLbl>
              <c:idx val="4"/>
              <c:tx>
                <c:rich>
                  <a:bodyPr/>
                  <a:lstStyle/>
                  <a:p>
                    <a:fld id="{B2761338-EEC2-E345-9BA3-AA8717DE195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E58-4206-8294-FABAD6718DAF}"/>
                </c:ext>
              </c:extLst>
            </c:dLbl>
            <c:dLbl>
              <c:idx val="5"/>
              <c:tx>
                <c:rich>
                  <a:bodyPr/>
                  <a:lstStyle/>
                  <a:p>
                    <a:fld id="{7222661B-ED93-CA48-B170-20C20EAB1EF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E58-4206-8294-FABAD6718DAF}"/>
                </c:ext>
              </c:extLst>
            </c:dLbl>
            <c:dLbl>
              <c:idx val="6"/>
              <c:tx>
                <c:rich>
                  <a:bodyPr/>
                  <a:lstStyle/>
                  <a:p>
                    <a:fld id="{657CF393-4693-E04A-BA98-5CE419357CC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E58-4206-8294-FABAD6718DAF}"/>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C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'Output Graphs'!$B$339:$H$339</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Graphs'!$B$348:$H$348</c:f>
              <c:numCache>
                <c:formatCode>0%</c:formatCode>
                <c:ptCount val="7"/>
                <c:pt idx="0" formatCode="General">
                  <c:v>0</c:v>
                </c:pt>
                <c:pt idx="1">
                  <c:v>2.0131164086486426E-2</c:v>
                </c:pt>
                <c:pt idx="2">
                  <c:v>2.0131164086486426E-2</c:v>
                </c:pt>
                <c:pt idx="3">
                  <c:v>2.0131164086486426E-2</c:v>
                </c:pt>
                <c:pt idx="4">
                  <c:v>0.41577135775546215</c:v>
                </c:pt>
                <c:pt idx="5">
                  <c:v>0.13732320550705032</c:v>
                </c:pt>
                <c:pt idx="6">
                  <c:v>0</c:v>
                </c:pt>
              </c:numCache>
            </c:numRef>
          </c:val>
          <c:smooth val="0"/>
          <c:extLst>
            <c:ext xmlns:c15="http://schemas.microsoft.com/office/drawing/2012/chart" uri="{02D57815-91ED-43cb-92C2-25804820EDAC}">
              <c15:datalabelsRange>
                <c15:f>'Output Graphs'!$B$349:$H$349</c15:f>
                <c15:dlblRangeCache>
                  <c:ptCount val="7"/>
                  <c:pt idx="0">
                    <c:v>$0 </c:v>
                  </c:pt>
                  <c:pt idx="1">
                    <c:v>$0.2</c:v>
                  </c:pt>
                  <c:pt idx="2">
                    <c:v>$0.2</c:v>
                  </c:pt>
                  <c:pt idx="3">
                    <c:v>$0.2</c:v>
                  </c:pt>
                  <c:pt idx="4">
                    <c:v>$3.3</c:v>
                  </c:pt>
                  <c:pt idx="5">
                    <c:v>$1.1</c:v>
                  </c:pt>
                  <c:pt idx="6">
                    <c:v>$0.0</c:v>
                  </c:pt>
                </c15:dlblRangeCache>
              </c15:datalabelsRange>
            </c:ext>
            <c:ext xmlns:c16="http://schemas.microsoft.com/office/drawing/2014/chart" uri="{C3380CC4-5D6E-409C-BE32-E72D297353CC}">
              <c16:uniqueId val="{00000000-3E58-4206-8294-FABAD6718DAF}"/>
            </c:ext>
          </c:extLst>
        </c:ser>
        <c:dLbls>
          <c:showLegendKey val="0"/>
          <c:showVal val="0"/>
          <c:showCatName val="0"/>
          <c:showSerName val="0"/>
          <c:showPercent val="0"/>
          <c:showBubbleSize val="0"/>
        </c:dLbls>
        <c:marker val="1"/>
        <c:smooth val="0"/>
        <c:axId val="424241824"/>
        <c:axId val="495836656"/>
      </c:line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Fraction</a:t>
                </a:r>
                <a:r>
                  <a:rPr lang="en-US" sz="1800" baseline="0"/>
                  <a:t> of Global Oil Production by Volume</a:t>
                </a:r>
                <a:endParaRPr lang="en-US" sz="1800"/>
              </a:p>
            </c:rich>
          </c:tx>
          <c:layout>
            <c:manualLayout>
              <c:xMode val="edge"/>
              <c:yMode val="edge"/>
              <c:x val="1.2064982164450885E-2"/>
              <c:y val="0.21082086676529399"/>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egendEntry>
        <c:idx val="3"/>
        <c:delete val="1"/>
      </c:legendEntry>
      <c:layout>
        <c:manualLayout>
          <c:xMode val="edge"/>
          <c:yMode val="edge"/>
          <c:x val="0.10358959600891163"/>
          <c:y val="0.12332551843066102"/>
          <c:w val="0.86050215560218424"/>
          <c:h val="5.060602981658518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1714501</xdr:colOff>
      <xdr:row>58</xdr:row>
      <xdr:rowOff>4761</xdr:rowOff>
    </xdr:from>
    <xdr:to>
      <xdr:col>7</xdr:col>
      <xdr:colOff>85725</xdr:colOff>
      <xdr:row>90</xdr:row>
      <xdr:rowOff>85724</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1717861</xdr:colOff>
      <xdr:row>99</xdr:row>
      <xdr:rowOff>4762</xdr:rowOff>
    </xdr:from>
    <xdr:to>
      <xdr:col>7</xdr:col>
      <xdr:colOff>89086</xdr:colOff>
      <xdr:row>132</xdr:row>
      <xdr:rowOff>76200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1714500</xdr:colOff>
      <xdr:row>142</xdr:row>
      <xdr:rowOff>0</xdr:rowOff>
    </xdr:from>
    <xdr:to>
      <xdr:col>7</xdr:col>
      <xdr:colOff>66675</xdr:colOff>
      <xdr:row>175</xdr:row>
      <xdr:rowOff>71438</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1714500</xdr:colOff>
      <xdr:row>180</xdr:row>
      <xdr:rowOff>0</xdr:rowOff>
    </xdr:from>
    <xdr:to>
      <xdr:col>7</xdr:col>
      <xdr:colOff>66675</xdr:colOff>
      <xdr:row>213</xdr:row>
      <xdr:rowOff>71438</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1714500</xdr:colOff>
      <xdr:row>227</xdr:row>
      <xdr:rowOff>0</xdr:rowOff>
    </xdr:from>
    <xdr:to>
      <xdr:col>7</xdr:col>
      <xdr:colOff>66675</xdr:colOff>
      <xdr:row>259</xdr:row>
      <xdr:rowOff>71438</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1714500</xdr:colOff>
      <xdr:row>260</xdr:row>
      <xdr:rowOff>0</xdr:rowOff>
    </xdr:from>
    <xdr:to>
      <xdr:col>7</xdr:col>
      <xdr:colOff>66675</xdr:colOff>
      <xdr:row>293</xdr:row>
      <xdr:rowOff>71438</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1714500</xdr:colOff>
      <xdr:row>303</xdr:row>
      <xdr:rowOff>0</xdr:rowOff>
    </xdr:from>
    <xdr:to>
      <xdr:col>7</xdr:col>
      <xdr:colOff>66675</xdr:colOff>
      <xdr:row>336</xdr:row>
      <xdr:rowOff>71438</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1714500</xdr:colOff>
      <xdr:row>353</xdr:row>
      <xdr:rowOff>0</xdr:rowOff>
    </xdr:from>
    <xdr:to>
      <xdr:col>7</xdr:col>
      <xdr:colOff>66675</xdr:colOff>
      <xdr:row>385</xdr:row>
      <xdr:rowOff>71438</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1725706</xdr:colOff>
      <xdr:row>386</xdr:row>
      <xdr:rowOff>0</xdr:rowOff>
    </xdr:from>
    <xdr:to>
      <xdr:col>7</xdr:col>
      <xdr:colOff>134471</xdr:colOff>
      <xdr:row>419</xdr:row>
      <xdr:rowOff>71438</xdr:rowOff>
    </xdr:to>
    <xdr:graphicFrame macro="">
      <xdr:nvGraphicFramePr>
        <xdr:cNvPr id="12" name="Chart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1714499</xdr:colOff>
      <xdr:row>434</xdr:row>
      <xdr:rowOff>0</xdr:rowOff>
    </xdr:from>
    <xdr:to>
      <xdr:col>7</xdr:col>
      <xdr:colOff>235324</xdr:colOff>
      <xdr:row>474</xdr:row>
      <xdr:rowOff>76200</xdr:rowOff>
    </xdr:to>
    <xdr:graphicFrame macro="">
      <xdr:nvGraphicFramePr>
        <xdr:cNvPr id="14" name="Chart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1696428</xdr:colOff>
      <xdr:row>10</xdr:row>
      <xdr:rowOff>0</xdr:rowOff>
    </xdr:from>
    <xdr:to>
      <xdr:col>7</xdr:col>
      <xdr:colOff>84970</xdr:colOff>
      <xdr:row>42</xdr:row>
      <xdr:rowOff>80963</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3</xdr:col>
      <xdr:colOff>1436157</xdr:colOff>
      <xdr:row>0</xdr:row>
      <xdr:rowOff>22225</xdr:rowOff>
    </xdr:from>
    <xdr:ext cx="3408380" cy="909373"/>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4882" y="22225"/>
          <a:ext cx="3408380" cy="909373"/>
        </a:xfrm>
        <a:prstGeom prst="rect">
          <a:avLst/>
        </a:prstGeom>
        <a:ln w="3175">
          <a:noFill/>
        </a:ln>
      </xdr:spPr>
    </xdr:pic>
    <xdr:clientData/>
  </xdr:oneCellAnchor>
  <xdr:oneCellAnchor>
    <xdr:from>
      <xdr:col>2</xdr:col>
      <xdr:colOff>1816539</xdr:colOff>
      <xdr:row>358</xdr:row>
      <xdr:rowOff>84665</xdr:rowOff>
    </xdr:from>
    <xdr:ext cx="5917372" cy="5019676"/>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997514" y="58053815"/>
          <a:ext cx="5917372" cy="5019676"/>
        </a:xfrm>
        <a:prstGeom prst="rect">
          <a:avLst/>
        </a:prstGeom>
        <a:ln>
          <a:solidFill>
            <a:sysClr val="windowText" lastClr="000000"/>
          </a:solid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35</xdr:row>
      <xdr:rowOff>28575</xdr:rowOff>
    </xdr:from>
    <xdr:to>
      <xdr:col>4</xdr:col>
      <xdr:colOff>2001584</xdr:colOff>
      <xdr:row>67</xdr:row>
      <xdr:rowOff>161925</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6696075"/>
          <a:ext cx="10002584" cy="62293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1841</xdr:row>
          <xdr:rowOff>0</xdr:rowOff>
        </xdr:from>
        <xdr:to>
          <xdr:col>9</xdr:col>
          <xdr:colOff>266700</xdr:colOff>
          <xdr:row>1868</xdr:row>
          <xdr:rowOff>63500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1500-00000164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0</xdr:col>
      <xdr:colOff>90486</xdr:colOff>
      <xdr:row>33</xdr:row>
      <xdr:rowOff>57149</xdr:rowOff>
    </xdr:from>
    <xdr:ext cx="5900781" cy="2409843"/>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90486" y="6029324"/>
          <a:ext cx="5900781" cy="2409843"/>
        </a:xfrm>
        <a:prstGeom prst="rect">
          <a:avLst/>
        </a:prstGeom>
      </xdr:spPr>
    </xdr:pic>
    <xdr:clientData/>
  </xdr:oneCellAnchor>
  <xdr:oneCellAnchor>
    <xdr:from>
      <xdr:col>0</xdr:col>
      <xdr:colOff>128587</xdr:colOff>
      <xdr:row>45</xdr:row>
      <xdr:rowOff>9525</xdr:rowOff>
    </xdr:from>
    <xdr:ext cx="5843631" cy="7267628"/>
    <xdr:pic>
      <xdr:nvPicPr>
        <xdr:cNvPr id="3" name="Picture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128587" y="8153400"/>
          <a:ext cx="5843631" cy="7267628"/>
        </a:xfrm>
        <a:prstGeom prst="rect">
          <a:avLst/>
        </a:prstGeom>
      </xdr:spPr>
    </xdr:pic>
    <xdr:clientData/>
  </xdr:oneCellAnchor>
</xdr:wsDr>
</file>

<file path=xl/drawings/drawing2.xml><?xml version="1.0" encoding="utf-8"?>
<c:userShapes xmlns:c="http://schemas.openxmlformats.org/drawingml/2006/chart">
  <cdr:relSizeAnchor xmlns:cdr="http://schemas.openxmlformats.org/drawingml/2006/chartDrawing">
    <cdr:from>
      <cdr:x>0.53654</cdr:x>
      <cdr:y>0.12002</cdr:y>
    </cdr:from>
    <cdr:to>
      <cdr:x>0.85037</cdr:x>
      <cdr:y>0.18293</cdr:y>
    </cdr:to>
    <cdr:sp macro="" textlink="">
      <cdr:nvSpPr>
        <cdr:cNvPr id="2" name="TextBox 1">
          <a:extLst xmlns:a="http://schemas.openxmlformats.org/drawingml/2006/main">
            <a:ext uri="{FF2B5EF4-FFF2-40B4-BE49-F238E27FC236}">
              <a16:creationId xmlns:a16="http://schemas.microsoft.com/office/drawing/2014/main" id="{F5606515-703B-B42A-3F50-412FF3DE065A}"/>
            </a:ext>
          </a:extLst>
        </cdr:cNvPr>
        <cdr:cNvSpPr txBox="1"/>
      </cdr:nvSpPr>
      <cdr:spPr>
        <a:xfrm xmlns:a="http://schemas.openxmlformats.org/drawingml/2006/main">
          <a:off x="5258749" y="728256"/>
          <a:ext cx="3075928" cy="381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i="0">
              <a:solidFill>
                <a:srgbClr val="C00000"/>
              </a:solidFill>
            </a:rPr>
            <a:t>Annual growth rate over 30 years</a:t>
          </a:r>
        </a:p>
      </cdr:txBody>
    </cdr:sp>
  </cdr:relSizeAnchor>
</c:userShapes>
</file>

<file path=xl/drawings/drawing3.xml><?xml version="1.0" encoding="utf-8"?>
<c:userShapes xmlns:c="http://schemas.openxmlformats.org/drawingml/2006/chart">
  <cdr:relSizeAnchor xmlns:cdr="http://schemas.openxmlformats.org/drawingml/2006/chartDrawing">
    <cdr:from>
      <cdr:x>0.11543</cdr:x>
      <cdr:y>0.17625</cdr:y>
    </cdr:from>
    <cdr:to>
      <cdr:x>0.6172</cdr:x>
      <cdr:y>0.23794</cdr:y>
    </cdr:to>
    <cdr:sp macro="" textlink="">
      <cdr:nvSpPr>
        <cdr:cNvPr id="2" name="TextBox 1">
          <a:extLst xmlns:a="http://schemas.openxmlformats.org/drawingml/2006/main">
            <a:ext uri="{FF2B5EF4-FFF2-40B4-BE49-F238E27FC236}">
              <a16:creationId xmlns:a16="http://schemas.microsoft.com/office/drawing/2014/main" id="{0BC8D68C-7195-15B9-10A9-0EE25954D0AE}"/>
            </a:ext>
          </a:extLst>
        </cdr:cNvPr>
        <cdr:cNvSpPr txBox="1"/>
      </cdr:nvSpPr>
      <cdr:spPr>
        <a:xfrm xmlns:a="http://schemas.openxmlformats.org/drawingml/2006/main">
          <a:off x="1098176" y="1120588"/>
          <a:ext cx="4773707" cy="392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solidFill>
                <a:srgbClr val="C00000"/>
              </a:solidFill>
            </a:rPr>
            <a:t>Estimated capital cost of CCS equipment (trillion USD)</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1714501</xdr:colOff>
      <xdr:row>58</xdr:row>
      <xdr:rowOff>4761</xdr:rowOff>
    </xdr:from>
    <xdr:to>
      <xdr:col>7</xdr:col>
      <xdr:colOff>85725</xdr:colOff>
      <xdr:row>90</xdr:row>
      <xdr:rowOff>85724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1709578</xdr:colOff>
      <xdr:row>99</xdr:row>
      <xdr:rowOff>79306</xdr:rowOff>
    </xdr:from>
    <xdr:to>
      <xdr:col>7</xdr:col>
      <xdr:colOff>80803</xdr:colOff>
      <xdr:row>132</xdr:row>
      <xdr:rowOff>150744</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1714500</xdr:colOff>
      <xdr:row>142</xdr:row>
      <xdr:rowOff>0</xdr:rowOff>
    </xdr:from>
    <xdr:to>
      <xdr:col>7</xdr:col>
      <xdr:colOff>66675</xdr:colOff>
      <xdr:row>175</xdr:row>
      <xdr:rowOff>71438</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1714500</xdr:colOff>
      <xdr:row>180</xdr:row>
      <xdr:rowOff>0</xdr:rowOff>
    </xdr:from>
    <xdr:to>
      <xdr:col>7</xdr:col>
      <xdr:colOff>66675</xdr:colOff>
      <xdr:row>213</xdr:row>
      <xdr:rowOff>71438</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1714500</xdr:colOff>
      <xdr:row>227</xdr:row>
      <xdr:rowOff>0</xdr:rowOff>
    </xdr:from>
    <xdr:to>
      <xdr:col>7</xdr:col>
      <xdr:colOff>66675</xdr:colOff>
      <xdr:row>259</xdr:row>
      <xdr:rowOff>71438</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1714500</xdr:colOff>
      <xdr:row>260</xdr:row>
      <xdr:rowOff>0</xdr:rowOff>
    </xdr:from>
    <xdr:to>
      <xdr:col>7</xdr:col>
      <xdr:colOff>66675</xdr:colOff>
      <xdr:row>293</xdr:row>
      <xdr:rowOff>71438</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1714500</xdr:colOff>
      <xdr:row>303</xdr:row>
      <xdr:rowOff>0</xdr:rowOff>
    </xdr:from>
    <xdr:to>
      <xdr:col>7</xdr:col>
      <xdr:colOff>66675</xdr:colOff>
      <xdr:row>336</xdr:row>
      <xdr:rowOff>71438</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1714500</xdr:colOff>
      <xdr:row>353</xdr:row>
      <xdr:rowOff>0</xdr:rowOff>
    </xdr:from>
    <xdr:to>
      <xdr:col>7</xdr:col>
      <xdr:colOff>66675</xdr:colOff>
      <xdr:row>385</xdr:row>
      <xdr:rowOff>71438</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1725706</xdr:colOff>
      <xdr:row>386</xdr:row>
      <xdr:rowOff>0</xdr:rowOff>
    </xdr:from>
    <xdr:to>
      <xdr:col>7</xdr:col>
      <xdr:colOff>134471</xdr:colOff>
      <xdr:row>419</xdr:row>
      <xdr:rowOff>71438</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1714499</xdr:colOff>
      <xdr:row>434</xdr:row>
      <xdr:rowOff>0</xdr:rowOff>
    </xdr:from>
    <xdr:to>
      <xdr:col>7</xdr:col>
      <xdr:colOff>235324</xdr:colOff>
      <xdr:row>474</xdr:row>
      <xdr:rowOff>76200</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1696428</xdr:colOff>
      <xdr:row>10</xdr:row>
      <xdr:rowOff>0</xdr:rowOff>
    </xdr:from>
    <xdr:to>
      <xdr:col>7</xdr:col>
      <xdr:colOff>84970</xdr:colOff>
      <xdr:row>42</xdr:row>
      <xdr:rowOff>80963</xdr:rowOff>
    </xdr:to>
    <xdr:graphicFrame macro="">
      <xdr:nvGraphicFramePr>
        <xdr:cNvPr id="12" name="Chart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0.53915</cdr:x>
      <cdr:y>0.12002</cdr:y>
    </cdr:from>
    <cdr:to>
      <cdr:x>0.86088</cdr:x>
      <cdr:y>0.18293</cdr:y>
    </cdr:to>
    <cdr:sp macro="" textlink="">
      <cdr:nvSpPr>
        <cdr:cNvPr id="2" name="TextBox 1">
          <a:extLst xmlns:a="http://schemas.openxmlformats.org/drawingml/2006/main">
            <a:ext uri="{FF2B5EF4-FFF2-40B4-BE49-F238E27FC236}">
              <a16:creationId xmlns:a16="http://schemas.microsoft.com/office/drawing/2014/main" id="{F27992AC-D6A5-DE80-732F-E52E8E126EFF}"/>
            </a:ext>
          </a:extLst>
        </cdr:cNvPr>
        <cdr:cNvSpPr txBox="1"/>
      </cdr:nvSpPr>
      <cdr:spPr>
        <a:xfrm xmlns:a="http://schemas.openxmlformats.org/drawingml/2006/main">
          <a:off x="5128035" y="763080"/>
          <a:ext cx="3060103" cy="3999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i="0">
              <a:solidFill>
                <a:srgbClr val="C00000"/>
              </a:solidFill>
            </a:rPr>
            <a:t>Annual growth rate over 30 years</a:t>
          </a:r>
        </a:p>
      </cdr:txBody>
    </cdr:sp>
  </cdr:relSizeAnchor>
</c:userShapes>
</file>

<file path=xl/drawings/drawing6.xml><?xml version="1.0" encoding="utf-8"?>
<c:userShapes xmlns:c="http://schemas.openxmlformats.org/drawingml/2006/chart">
  <cdr:relSizeAnchor xmlns:cdr="http://schemas.openxmlformats.org/drawingml/2006/chartDrawing">
    <cdr:from>
      <cdr:x>0.11543</cdr:x>
      <cdr:y>0.17625</cdr:y>
    </cdr:from>
    <cdr:to>
      <cdr:x>0.6172</cdr:x>
      <cdr:y>0.23794</cdr:y>
    </cdr:to>
    <cdr:sp macro="" textlink="">
      <cdr:nvSpPr>
        <cdr:cNvPr id="2" name="TextBox 1">
          <a:extLst xmlns:a="http://schemas.openxmlformats.org/drawingml/2006/main">
            <a:ext uri="{FF2B5EF4-FFF2-40B4-BE49-F238E27FC236}">
              <a16:creationId xmlns:a16="http://schemas.microsoft.com/office/drawing/2014/main" id="{0BC8D68C-7195-15B9-10A9-0EE25954D0AE}"/>
            </a:ext>
          </a:extLst>
        </cdr:cNvPr>
        <cdr:cNvSpPr txBox="1"/>
      </cdr:nvSpPr>
      <cdr:spPr>
        <a:xfrm xmlns:a="http://schemas.openxmlformats.org/drawingml/2006/main">
          <a:off x="1098176" y="1120588"/>
          <a:ext cx="4773707" cy="392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solidFill>
                <a:srgbClr val="C00000"/>
              </a:solidFill>
            </a:rPr>
            <a:t>Estimated capital cost of CCS equipment (trillion USD)</a:t>
          </a:r>
        </a:p>
      </cdr:txBody>
    </cdr:sp>
  </cdr:relSizeAnchor>
</c:userShapes>
</file>

<file path=xl/drawings/drawing7.xml><?xml version="1.0" encoding="utf-8"?>
<xdr:wsDr xmlns:xdr="http://schemas.openxmlformats.org/drawingml/2006/spreadsheetDrawing" xmlns:a="http://schemas.openxmlformats.org/drawingml/2006/main">
  <xdr:twoCellAnchor>
    <xdr:from>
      <xdr:col>14</xdr:col>
      <xdr:colOff>609599</xdr:colOff>
      <xdr:row>23</xdr:row>
      <xdr:rowOff>0</xdr:rowOff>
    </xdr:from>
    <xdr:to>
      <xdr:col>27</xdr:col>
      <xdr:colOff>28575</xdr:colOff>
      <xdr:row>47</xdr:row>
      <xdr:rowOff>133350</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23</xdr:row>
      <xdr:rowOff>0</xdr:rowOff>
    </xdr:from>
    <xdr:to>
      <xdr:col>14</xdr:col>
      <xdr:colOff>28576</xdr:colOff>
      <xdr:row>47</xdr:row>
      <xdr:rowOff>133350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70</xdr:row>
      <xdr:rowOff>0</xdr:rowOff>
    </xdr:from>
    <xdr:to>
      <xdr:col>14</xdr:col>
      <xdr:colOff>28576</xdr:colOff>
      <xdr:row>94</xdr:row>
      <xdr:rowOff>133350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70</xdr:row>
      <xdr:rowOff>0</xdr:rowOff>
    </xdr:from>
    <xdr:to>
      <xdr:col>27</xdr:col>
      <xdr:colOff>28576</xdr:colOff>
      <xdr:row>94</xdr:row>
      <xdr:rowOff>133350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0.10765</cdr:x>
      <cdr:y>0.10593</cdr:y>
    </cdr:from>
    <cdr:to>
      <cdr:x>0.51232</cdr:x>
      <cdr:y>0.24696</cdr:y>
    </cdr:to>
    <cdr:sp macro="" textlink="'Time Series Graphs'!$B$21">
      <cdr:nvSpPr>
        <cdr:cNvPr id="3" name="TextBox 2">
          <a:extLst xmlns:a="http://schemas.openxmlformats.org/drawingml/2006/main">
            <a:ext uri="{FF2B5EF4-FFF2-40B4-BE49-F238E27FC236}">
              <a16:creationId xmlns:a16="http://schemas.microsoft.com/office/drawing/2014/main" id="{A31AB54B-531D-2C01-E4A8-7861A8FC5186}"/>
            </a:ext>
          </a:extLst>
        </cdr:cNvPr>
        <cdr:cNvSpPr txBox="1"/>
      </cdr:nvSpPr>
      <cdr:spPr>
        <a:xfrm xmlns:a="http://schemas.openxmlformats.org/drawingml/2006/main">
          <a:off x="790575" y="498458"/>
          <a:ext cx="2971800" cy="6635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0" i="0" u="none" strike="noStrike">
              <a:solidFill>
                <a:srgbClr val="C00000"/>
              </a:solidFill>
              <a:latin typeface="Calibri"/>
              <a:cs typeface="Calibri"/>
            </a:rPr>
            <a:t>Electricity demand annual</a:t>
          </a:r>
          <a:r>
            <a:rPr lang="en-US" sz="1600" b="0" i="0" u="none" strike="noStrike" baseline="0">
              <a:solidFill>
                <a:srgbClr val="C00000"/>
              </a:solidFill>
              <a:latin typeface="Calibri"/>
              <a:cs typeface="Calibri"/>
            </a:rPr>
            <a:t> percentage growth rate: </a:t>
          </a:r>
          <a:fld id="{2B3AA041-DF20-407E-8254-5B18C40EE6D0}" type="TxLink">
            <a:rPr lang="en-US" sz="1600" b="0" i="0" u="none" strike="noStrike">
              <a:solidFill>
                <a:srgbClr val="C00000"/>
              </a:solidFill>
              <a:latin typeface="Calibri"/>
              <a:cs typeface="Calibri"/>
            </a:rPr>
            <a:pPr/>
            <a:t>2.7%</a:t>
          </a:fld>
          <a:endParaRPr lang="en-US" sz="2400">
            <a:solidFill>
              <a:srgbClr val="C00000"/>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0.10938</cdr:x>
      <cdr:y>0.10391</cdr:y>
    </cdr:from>
    <cdr:to>
      <cdr:x>0.53567</cdr:x>
      <cdr:y>0.24089</cdr:y>
    </cdr:to>
    <cdr:sp macro="" textlink="'Time Series Graphs'!$B$68">
      <cdr:nvSpPr>
        <cdr:cNvPr id="2" name="TextBox 1">
          <a:extLst xmlns:a="http://schemas.openxmlformats.org/drawingml/2006/main">
            <a:ext uri="{FF2B5EF4-FFF2-40B4-BE49-F238E27FC236}">
              <a16:creationId xmlns:a16="http://schemas.microsoft.com/office/drawing/2014/main" id="{B80ADF4E-C3B9-8218-28C6-CADB1F192312}"/>
            </a:ext>
          </a:extLst>
        </cdr:cNvPr>
        <cdr:cNvSpPr txBox="1"/>
      </cdr:nvSpPr>
      <cdr:spPr>
        <a:xfrm xmlns:a="http://schemas.openxmlformats.org/drawingml/2006/main">
          <a:off x="803262" y="488932"/>
          <a:ext cx="3130563" cy="6445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0" i="0" u="none" strike="noStrike">
              <a:solidFill>
                <a:srgbClr val="C00000"/>
              </a:solidFill>
              <a:latin typeface="Calibri"/>
              <a:cs typeface="Calibri"/>
            </a:rPr>
            <a:t>Electricity</a:t>
          </a:r>
          <a:r>
            <a:rPr lang="en-US" sz="1600" b="0" i="0" u="none" strike="noStrike" baseline="0">
              <a:solidFill>
                <a:srgbClr val="C00000"/>
              </a:solidFill>
              <a:latin typeface="Calibri"/>
              <a:cs typeface="Calibri"/>
            </a:rPr>
            <a:t> demand a</a:t>
          </a:r>
          <a:r>
            <a:rPr lang="en-US" sz="1600" b="0" i="0" u="none" strike="noStrike">
              <a:solidFill>
                <a:srgbClr val="C00000"/>
              </a:solidFill>
              <a:latin typeface="Calibri"/>
              <a:cs typeface="Calibri"/>
            </a:rPr>
            <a:t>nnual percentage growth rate: </a:t>
          </a:r>
          <a:fld id="{288B4A10-4C01-450F-BF46-A5527B4B6688}" type="TxLink">
            <a:rPr lang="en-US" sz="1600" b="0" i="0" u="none" strike="noStrike">
              <a:solidFill>
                <a:srgbClr val="C00000"/>
              </a:solidFill>
              <a:latin typeface="Calibri"/>
              <a:cs typeface="Calibri"/>
            </a:rPr>
            <a:pPr/>
            <a:t>4.3%</a:t>
          </a:fld>
          <a:endParaRPr lang="en-US" sz="2400">
            <a:solidFill>
              <a:srgbClr val="C00000"/>
            </a:solidFill>
          </a:endParaRPr>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eff%20Rissman/Downloads/IESS2047_Version_3.0.xlsx" TargetMode="External"/><Relationship Id="rId1" Type="http://schemas.openxmlformats.org/officeDocument/2006/relationships/externalLinkPath" Target="https://energyinnovation-my.sharepoint.com/Users/Jeff%20Rissman/Downloads/IESS2047_Version_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aa8a89c3d47764d4/Work/Projects/IESS_Niti/EXCEL/Revised/Modified%20Excel%20Sheet-Coo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ex Page"/>
      <sheetName val="IESS V3 Main Sheet"/>
      <sheetName val="Data Update Sheet"/>
      <sheetName val="Target Year Input"/>
      <sheetName val="User-defined drivers"/>
      <sheetName val="Control"/>
      <sheetName val="IESS V3 Results"/>
      <sheetName val="Intermediate output"/>
      <sheetName val="My Story"/>
      <sheetName val="Unit Preferences"/>
      <sheetName val="Structure of the model"/>
      <sheetName val="Cost - Import + Production"/>
      <sheetName val="Cost - Power Sector and H2"/>
      <sheetName val="Sector-wise Energy Costs"/>
      <sheetName val="I.a"/>
      <sheetName val="I.b"/>
      <sheetName val="I.c"/>
      <sheetName val="II"/>
      <sheetName val="III"/>
      <sheetName val="IV.a"/>
      <sheetName val="IV.b"/>
      <sheetName val="IV.c.1"/>
      <sheetName val="IV.c.2"/>
      <sheetName val="IV.d"/>
      <sheetName val="IV.e"/>
      <sheetName val="V.a"/>
      <sheetName val="V.b"/>
      <sheetName val="V.c"/>
      <sheetName val="VI"/>
      <sheetName val="VII.a"/>
      <sheetName val="VII.b"/>
      <sheetName val="VII.C"/>
      <sheetName val="VIII"/>
      <sheetName val="GDP"/>
      <sheetName val="X.a"/>
      <sheetName val="X.b"/>
      <sheetName val="XI"/>
      <sheetName val="XII.a"/>
      <sheetName val="XII.b"/>
      <sheetName val="XIII.a"/>
      <sheetName val="XIV"/>
      <sheetName val="XV.a"/>
      <sheetName val="XV.b"/>
      <sheetName val="XV.b.o"/>
      <sheetName val="XV.c"/>
      <sheetName val="XVI"/>
      <sheetName val="XVII.a"/>
      <sheetName val="XVII.b"/>
      <sheetName val="Global assumptions"/>
      <sheetName val="Past Data"/>
      <sheetName val="2016-17 Static"/>
      <sheetName val="2017-18 Static"/>
      <sheetName val="2018-19 Static"/>
      <sheetName val="2019-20 Static"/>
      <sheetName val="2020-21 Static"/>
      <sheetName val="Base Year"/>
      <sheetName val="2022"/>
      <sheetName val="2027"/>
      <sheetName val="2032"/>
      <sheetName val="2037"/>
      <sheetName val="2042"/>
      <sheetName val="2047"/>
      <sheetName val="Target Year"/>
      <sheetName val="Grid_Balance_V2"/>
      <sheetName val="Grid balance"/>
      <sheetName val="Conversions"/>
      <sheetName val="Land Use"/>
      <sheetName val="Water Use"/>
      <sheetName val="CostAbsolute"/>
      <sheetName val="Flows"/>
      <sheetName val="IESS2047_Version_3.0"/>
    </sheetNames>
    <sheetDataSet>
      <sheetData sheetId="0"/>
      <sheetData sheetId="1">
        <row r="12">
          <cell r="E12">
            <v>2</v>
          </cell>
        </row>
      </sheetData>
      <sheetData sheetId="2" refreshError="1"/>
      <sheetData sheetId="3">
        <row r="3">
          <cell r="E3">
            <v>2020</v>
          </cell>
        </row>
        <row r="6">
          <cell r="E6">
            <v>2030</v>
          </cell>
        </row>
        <row r="10">
          <cell r="E10">
            <v>1</v>
          </cell>
        </row>
      </sheetData>
      <sheetData sheetId="4" refreshError="1"/>
      <sheetData sheetId="5">
        <row r="5">
          <cell r="E5">
            <v>1</v>
          </cell>
        </row>
        <row r="6">
          <cell r="E6">
            <v>0</v>
          </cell>
        </row>
        <row r="7">
          <cell r="E7">
            <v>2</v>
          </cell>
        </row>
        <row r="9">
          <cell r="E9">
            <v>3</v>
          </cell>
        </row>
        <row r="10">
          <cell r="E10">
            <v>3</v>
          </cell>
        </row>
        <row r="11">
          <cell r="E11">
            <v>3</v>
          </cell>
        </row>
        <row r="12">
          <cell r="E12">
            <v>3</v>
          </cell>
        </row>
        <row r="13">
          <cell r="E13">
            <v>3</v>
          </cell>
        </row>
        <row r="14">
          <cell r="E14">
            <v>2</v>
          </cell>
        </row>
        <row r="15">
          <cell r="E15">
            <v>3</v>
          </cell>
        </row>
        <row r="16">
          <cell r="E16">
            <v>2</v>
          </cell>
        </row>
        <row r="17">
          <cell r="E17">
            <v>2</v>
          </cell>
        </row>
        <row r="18">
          <cell r="E18">
            <v>2</v>
          </cell>
        </row>
        <row r="19">
          <cell r="E19">
            <v>2</v>
          </cell>
        </row>
        <row r="21">
          <cell r="E21">
            <v>2</v>
          </cell>
        </row>
        <row r="23">
          <cell r="E23">
            <v>3</v>
          </cell>
        </row>
        <row r="24">
          <cell r="E24">
            <v>2</v>
          </cell>
        </row>
        <row r="25">
          <cell r="E25">
            <v>3</v>
          </cell>
        </row>
        <row r="27">
          <cell r="E27">
            <v>3</v>
          </cell>
        </row>
        <row r="28">
          <cell r="E28">
            <v>2</v>
          </cell>
        </row>
        <row r="29">
          <cell r="E29">
            <v>3</v>
          </cell>
        </row>
        <row r="31">
          <cell r="E31">
            <v>3</v>
          </cell>
        </row>
        <row r="33">
          <cell r="E33">
            <v>2</v>
          </cell>
        </row>
        <row r="34">
          <cell r="E34">
            <v>3</v>
          </cell>
        </row>
        <row r="35">
          <cell r="E35">
            <v>3</v>
          </cell>
        </row>
        <row r="36">
          <cell r="E36">
            <v>3</v>
          </cell>
        </row>
        <row r="38">
          <cell r="E38">
            <v>2</v>
          </cell>
        </row>
        <row r="39">
          <cell r="E39">
            <v>3</v>
          </cell>
        </row>
        <row r="40">
          <cell r="E40">
            <v>2</v>
          </cell>
        </row>
        <row r="41">
          <cell r="E41">
            <v>3</v>
          </cell>
        </row>
        <row r="42">
          <cell r="E42">
            <v>3</v>
          </cell>
        </row>
        <row r="43">
          <cell r="E43">
            <v>2</v>
          </cell>
        </row>
        <row r="44">
          <cell r="E44">
            <v>2</v>
          </cell>
        </row>
        <row r="45">
          <cell r="E45">
            <v>2</v>
          </cell>
        </row>
        <row r="46">
          <cell r="E46">
            <v>3</v>
          </cell>
        </row>
        <row r="47">
          <cell r="E47">
            <v>3</v>
          </cell>
        </row>
        <row r="48">
          <cell r="E48">
            <v>3</v>
          </cell>
        </row>
        <row r="49">
          <cell r="E49">
            <v>3</v>
          </cell>
        </row>
        <row r="50">
          <cell r="E50">
            <v>2</v>
          </cell>
        </row>
        <row r="51">
          <cell r="E51">
            <v>4</v>
          </cell>
        </row>
        <row r="53">
          <cell r="E53">
            <v>2</v>
          </cell>
        </row>
        <row r="54">
          <cell r="E54">
            <v>3</v>
          </cell>
        </row>
        <row r="55">
          <cell r="E55">
            <v>2</v>
          </cell>
        </row>
        <row r="57">
          <cell r="E57">
            <v>3</v>
          </cell>
        </row>
        <row r="59">
          <cell r="E59">
            <v>2</v>
          </cell>
        </row>
        <row r="60">
          <cell r="E60">
            <v>2</v>
          </cell>
        </row>
        <row r="61">
          <cell r="E61">
            <v>2</v>
          </cell>
        </row>
        <row r="62">
          <cell r="E62">
            <v>2</v>
          </cell>
        </row>
      </sheetData>
      <sheetData sheetId="6" refreshError="1"/>
      <sheetData sheetId="7" refreshError="1"/>
      <sheetData sheetId="8" refreshError="1"/>
      <sheetData sheetId="9">
        <row r="3">
          <cell r="C3" t="str">
            <v>Mtoe</v>
          </cell>
          <cell r="F3">
            <v>4.1868E+16</v>
          </cell>
        </row>
        <row r="5">
          <cell r="C5" t="str">
            <v>GW</v>
          </cell>
          <cell r="F5">
            <v>999999999.99999988</v>
          </cell>
        </row>
        <row r="7">
          <cell r="C7" t="str">
            <v>M ha</v>
          </cell>
        </row>
        <row r="9">
          <cell r="C9" t="str">
            <v>INR Billion</v>
          </cell>
        </row>
        <row r="11">
          <cell r="C11" t="str">
            <v>MCM</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4">
          <cell r="B14" t="str">
            <v>Sr No.</v>
          </cell>
          <cell r="C14" t="str">
            <v>Year</v>
          </cell>
          <cell r="D14" t="str">
            <v>Capacity</v>
          </cell>
          <cell r="E14" t="str">
            <v>GW</v>
          </cell>
        </row>
        <row r="15">
          <cell r="B15">
            <v>1</v>
          </cell>
          <cell r="C15">
            <v>2011</v>
          </cell>
          <cell r="D15">
            <v>3</v>
          </cell>
          <cell r="E15">
            <v>3.0000000000000001E-3</v>
          </cell>
        </row>
        <row r="16">
          <cell r="B16">
            <v>2</v>
          </cell>
          <cell r="C16">
            <v>2012</v>
          </cell>
          <cell r="D16">
            <v>4</v>
          </cell>
          <cell r="E16">
            <v>4.0000000000000001E-3</v>
          </cell>
        </row>
        <row r="17">
          <cell r="B17">
            <v>3</v>
          </cell>
          <cell r="C17">
            <v>2013</v>
          </cell>
          <cell r="D17">
            <v>54</v>
          </cell>
          <cell r="E17">
            <v>5.3999999999999999E-2</v>
          </cell>
        </row>
        <row r="18">
          <cell r="B18">
            <v>4</v>
          </cell>
          <cell r="C18">
            <v>2014</v>
          </cell>
          <cell r="D18">
            <v>229</v>
          </cell>
          <cell r="E18">
            <v>0.22900000000000001</v>
          </cell>
        </row>
        <row r="19">
          <cell r="B19">
            <v>5</v>
          </cell>
          <cell r="C19">
            <v>2015</v>
          </cell>
          <cell r="D19">
            <v>229</v>
          </cell>
          <cell r="E19">
            <v>0.22900000000000001</v>
          </cell>
        </row>
        <row r="20">
          <cell r="B20">
            <v>6</v>
          </cell>
          <cell r="C20">
            <v>2016</v>
          </cell>
          <cell r="D20">
            <v>229</v>
          </cell>
          <cell r="E20">
            <v>0.22900000000000001</v>
          </cell>
        </row>
        <row r="21">
          <cell r="B21">
            <v>7</v>
          </cell>
          <cell r="C21">
            <v>2017</v>
          </cell>
          <cell r="D21">
            <v>229</v>
          </cell>
          <cell r="E21">
            <v>0.22900000000000001</v>
          </cell>
        </row>
        <row r="22">
          <cell r="B22">
            <v>8</v>
          </cell>
          <cell r="C22">
            <v>2018</v>
          </cell>
          <cell r="D22">
            <v>229</v>
          </cell>
          <cell r="E22">
            <v>0.22900000000000001</v>
          </cell>
        </row>
        <row r="23">
          <cell r="B23">
            <v>9</v>
          </cell>
          <cell r="C23">
            <v>2019</v>
          </cell>
          <cell r="D23">
            <v>229</v>
          </cell>
          <cell r="E23">
            <v>0.22900000000000001</v>
          </cell>
        </row>
        <row r="24">
          <cell r="B24">
            <v>10</v>
          </cell>
          <cell r="C24">
            <v>2020</v>
          </cell>
          <cell r="D24">
            <v>229</v>
          </cell>
          <cell r="E24">
            <v>0.22900000000000001</v>
          </cell>
        </row>
      </sheetData>
      <sheetData sheetId="21" refreshError="1"/>
      <sheetData sheetId="22" refreshError="1"/>
      <sheetData sheetId="23">
        <row r="13">
          <cell r="B13" t="str">
            <v>Sr No.</v>
          </cell>
          <cell r="C13" t="str">
            <v>Year</v>
          </cell>
          <cell r="D13" t="str">
            <v>Capacity</v>
          </cell>
          <cell r="E13" t="str">
            <v>Generation (Mtoe)</v>
          </cell>
          <cell r="F13" t="str">
            <v>PLF</v>
          </cell>
          <cell r="G13" t="str">
            <v>GW</v>
          </cell>
        </row>
        <row r="14">
          <cell r="B14">
            <v>1</v>
          </cell>
          <cell r="C14">
            <v>2009</v>
          </cell>
          <cell r="D14">
            <v>2160</v>
          </cell>
          <cell r="E14" t="str">
            <v>-</v>
          </cell>
          <cell r="F14" t="str">
            <v>-</v>
          </cell>
          <cell r="G14">
            <v>2.16</v>
          </cell>
        </row>
        <row r="15">
          <cell r="B15">
            <v>2</v>
          </cell>
          <cell r="C15">
            <v>2010</v>
          </cell>
          <cell r="D15">
            <v>2605</v>
          </cell>
          <cell r="E15" t="str">
            <v>-</v>
          </cell>
          <cell r="F15" t="str">
            <v>-</v>
          </cell>
          <cell r="G15">
            <v>2.605</v>
          </cell>
        </row>
        <row r="16">
          <cell r="B16">
            <v>3</v>
          </cell>
          <cell r="C16">
            <v>2011</v>
          </cell>
          <cell r="D16">
            <v>2913</v>
          </cell>
          <cell r="E16" t="str">
            <v>-</v>
          </cell>
          <cell r="F16" t="str">
            <v>-</v>
          </cell>
          <cell r="G16">
            <v>2.9130000000000003</v>
          </cell>
        </row>
        <row r="17">
          <cell r="B17">
            <v>4</v>
          </cell>
          <cell r="C17">
            <v>2012</v>
          </cell>
          <cell r="D17">
            <v>3411</v>
          </cell>
          <cell r="E17" t="str">
            <v>-</v>
          </cell>
          <cell r="F17" t="str">
            <v>-</v>
          </cell>
          <cell r="G17">
            <v>3.411</v>
          </cell>
        </row>
        <row r="18">
          <cell r="B18">
            <v>5</v>
          </cell>
          <cell r="C18">
            <v>2013</v>
          </cell>
          <cell r="D18">
            <v>3643</v>
          </cell>
          <cell r="E18" t="str">
            <v>-</v>
          </cell>
          <cell r="F18" t="str">
            <v>-</v>
          </cell>
          <cell r="G18">
            <v>3.6430000000000002</v>
          </cell>
        </row>
        <row r="19">
          <cell r="B19">
            <v>6</v>
          </cell>
          <cell r="C19">
            <v>2014</v>
          </cell>
          <cell r="D19">
            <v>3804</v>
          </cell>
          <cell r="E19" t="str">
            <v>-</v>
          </cell>
          <cell r="F19" t="str">
            <v>-</v>
          </cell>
          <cell r="G19">
            <v>3.8040000000000003</v>
          </cell>
        </row>
        <row r="20">
          <cell r="B20">
            <v>7</v>
          </cell>
          <cell r="C20">
            <v>2015</v>
          </cell>
          <cell r="D20">
            <v>4055</v>
          </cell>
          <cell r="E20" t="str">
            <v>-</v>
          </cell>
          <cell r="F20" t="str">
            <v>-</v>
          </cell>
          <cell r="G20">
            <v>4.0549999999999997</v>
          </cell>
        </row>
        <row r="21">
          <cell r="B21">
            <v>8</v>
          </cell>
          <cell r="C21">
            <v>2016</v>
          </cell>
          <cell r="D21">
            <v>4273</v>
          </cell>
          <cell r="E21">
            <v>0.71831470335339642</v>
          </cell>
          <cell r="F21">
            <v>0.22302837073583723</v>
          </cell>
          <cell r="G21">
            <v>4.2729999999999997</v>
          </cell>
        </row>
        <row r="22">
          <cell r="B22">
            <v>9</v>
          </cell>
          <cell r="C22">
            <v>2017</v>
          </cell>
          <cell r="D22">
            <v>4380</v>
          </cell>
          <cell r="E22">
            <v>0.68142734307824593</v>
          </cell>
          <cell r="F22">
            <v>0.20640665418590093</v>
          </cell>
          <cell r="G22">
            <v>4.38</v>
          </cell>
        </row>
        <row r="23">
          <cell r="B23">
            <v>10</v>
          </cell>
          <cell r="C23">
            <v>2018</v>
          </cell>
          <cell r="D23">
            <v>4486</v>
          </cell>
          <cell r="E23">
            <v>0.66130696474634565</v>
          </cell>
          <cell r="F23">
            <v>0.19557893449837452</v>
          </cell>
          <cell r="G23">
            <v>4.4859999999999998</v>
          </cell>
        </row>
        <row r="24">
          <cell r="B24">
            <v>11</v>
          </cell>
          <cell r="C24">
            <v>2019</v>
          </cell>
          <cell r="D24">
            <v>4593</v>
          </cell>
          <cell r="E24">
            <v>0.74823731728288911</v>
          </cell>
          <cell r="F24">
            <v>0.21613304257950094</v>
          </cell>
          <cell r="G24">
            <v>4.593</v>
          </cell>
        </row>
        <row r="25">
          <cell r="B25">
            <v>12</v>
          </cell>
          <cell r="C25">
            <v>2020</v>
          </cell>
          <cell r="D25">
            <v>4683</v>
          </cell>
          <cell r="E25">
            <v>0.80533104041272574</v>
          </cell>
          <cell r="F25">
            <v>0.22815423226100848</v>
          </cell>
          <cell r="G25">
            <v>4.6829999999999998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2">
          <cell r="B12" t="str">
            <v>Sr. No.</v>
          </cell>
          <cell r="C12" t="str">
            <v>Year</v>
          </cell>
          <cell r="D12" t="str">
            <v>Proven reserves: coal</v>
          </cell>
          <cell r="E12" t="str">
            <v>Proven reserves: Lignite</v>
          </cell>
          <cell r="F12" t="str">
            <v>Coal production</v>
          </cell>
          <cell r="G12" t="str">
            <v>Lignite production</v>
          </cell>
        </row>
        <row r="13">
          <cell r="B13">
            <v>1</v>
          </cell>
          <cell r="C13">
            <v>2010</v>
          </cell>
          <cell r="D13">
            <v>109798</v>
          </cell>
          <cell r="E13">
            <v>6146</v>
          </cell>
          <cell r="F13">
            <v>532.04200000000003</v>
          </cell>
          <cell r="G13">
            <v>34.070999999999998</v>
          </cell>
        </row>
        <row r="14">
          <cell r="B14">
            <v>2</v>
          </cell>
          <cell r="C14">
            <v>2011</v>
          </cell>
          <cell r="D14">
            <v>114002</v>
          </cell>
          <cell r="E14">
            <v>6146</v>
          </cell>
          <cell r="F14">
            <v>532.69399999999996</v>
          </cell>
          <cell r="G14">
            <v>37.732999999999997</v>
          </cell>
        </row>
        <row r="15">
          <cell r="B15">
            <v>3</v>
          </cell>
          <cell r="C15">
            <v>2012</v>
          </cell>
          <cell r="D15">
            <v>118144</v>
          </cell>
          <cell r="E15">
            <v>6181</v>
          </cell>
          <cell r="F15">
            <v>539.95000000000005</v>
          </cell>
          <cell r="G15">
            <v>42.332000000000001</v>
          </cell>
        </row>
        <row r="16">
          <cell r="B16">
            <v>4</v>
          </cell>
          <cell r="C16">
            <v>2013</v>
          </cell>
          <cell r="D16">
            <v>123181</v>
          </cell>
          <cell r="E16">
            <v>6181</v>
          </cell>
          <cell r="F16">
            <v>556.40200000000004</v>
          </cell>
          <cell r="G16">
            <v>46.453000000000003</v>
          </cell>
        </row>
        <row r="17">
          <cell r="B17">
            <v>5</v>
          </cell>
          <cell r="C17">
            <v>2014</v>
          </cell>
          <cell r="D17">
            <v>125908</v>
          </cell>
          <cell r="E17">
            <v>6181</v>
          </cell>
          <cell r="F17">
            <v>565.76499999999999</v>
          </cell>
          <cell r="G17">
            <v>44.271000000000001</v>
          </cell>
        </row>
        <row r="18">
          <cell r="B18">
            <v>6</v>
          </cell>
          <cell r="C18">
            <v>2015</v>
          </cell>
          <cell r="D18">
            <v>131132</v>
          </cell>
          <cell r="E18">
            <v>6182</v>
          </cell>
          <cell r="F18">
            <v>609.17899999999997</v>
          </cell>
          <cell r="G18">
            <v>48.27</v>
          </cell>
        </row>
        <row r="19">
          <cell r="B19">
            <v>7</v>
          </cell>
          <cell r="C19">
            <v>2016</v>
          </cell>
          <cell r="D19">
            <v>138087</v>
          </cell>
          <cell r="E19">
            <v>6182</v>
          </cell>
          <cell r="F19">
            <v>639.23</v>
          </cell>
          <cell r="G19">
            <v>43.841999999999999</v>
          </cell>
        </row>
        <row r="20">
          <cell r="B20">
            <v>8</v>
          </cell>
          <cell r="C20">
            <v>2017</v>
          </cell>
          <cell r="D20">
            <v>143057</v>
          </cell>
          <cell r="E20">
            <v>6541</v>
          </cell>
          <cell r="F20">
            <v>657.86800000000005</v>
          </cell>
          <cell r="G20">
            <v>45.23</v>
          </cell>
        </row>
        <row r="21">
          <cell r="B21">
            <v>9</v>
          </cell>
          <cell r="C21">
            <v>2018</v>
          </cell>
          <cell r="D21">
            <v>148787</v>
          </cell>
          <cell r="E21">
            <v>6541</v>
          </cell>
          <cell r="F21">
            <v>675.4</v>
          </cell>
          <cell r="G21">
            <v>46.643999999999998</v>
          </cell>
        </row>
        <row r="22">
          <cell r="B22">
            <v>10</v>
          </cell>
          <cell r="C22">
            <v>2019</v>
          </cell>
          <cell r="D22">
            <v>155615</v>
          </cell>
          <cell r="E22">
            <v>6788</v>
          </cell>
          <cell r="F22">
            <v>728.71799999999996</v>
          </cell>
          <cell r="G22">
            <v>44.283000000000001</v>
          </cell>
        </row>
        <row r="23">
          <cell r="B23">
            <v>11</v>
          </cell>
          <cell r="C23">
            <v>2020</v>
          </cell>
          <cell r="D23">
            <v>163461</v>
          </cell>
          <cell r="E23">
            <v>6788</v>
          </cell>
          <cell r="F23">
            <v>730.87400000000002</v>
          </cell>
          <cell r="G23">
            <v>42.095999999999997</v>
          </cell>
        </row>
        <row r="118">
          <cell r="D118">
            <v>1</v>
          </cell>
        </row>
      </sheetData>
      <sheetData sheetId="44" refreshError="1"/>
      <sheetData sheetId="45" refreshError="1"/>
      <sheetData sheetId="46" refreshError="1"/>
      <sheetData sheetId="47" refreshError="1"/>
      <sheetData sheetId="48">
        <row r="96">
          <cell r="C96">
            <v>21</v>
          </cell>
        </row>
        <row r="97">
          <cell r="C97">
            <v>310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6">
          <cell r="B6" t="str">
            <v>PJ</v>
          </cell>
          <cell r="E6">
            <v>1000000000000000</v>
          </cell>
          <cell r="F6">
            <v>2.3884589662749593E-2</v>
          </cell>
        </row>
        <row r="7">
          <cell r="B7" t="str">
            <v>TJ</v>
          </cell>
          <cell r="E7">
            <v>1000000000000</v>
          </cell>
          <cell r="F7">
            <v>2.3884589662749594E-5</v>
          </cell>
        </row>
        <row r="8">
          <cell r="B8" t="str">
            <v>GJ</v>
          </cell>
          <cell r="E8">
            <v>1000000000</v>
          </cell>
          <cell r="F8">
            <v>2.3884589662749594E-8</v>
          </cell>
        </row>
        <row r="9">
          <cell r="B9" t="str">
            <v>J</v>
          </cell>
          <cell r="E9">
            <v>1</v>
          </cell>
          <cell r="F9">
            <v>2.3884589662749593E-17</v>
          </cell>
        </row>
        <row r="10">
          <cell r="B10" t="str">
            <v>MJ</v>
          </cell>
          <cell r="E10">
            <v>1000000</v>
          </cell>
          <cell r="F10">
            <v>2.3884589662749594E-11</v>
          </cell>
        </row>
        <row r="11">
          <cell r="B11" t="str">
            <v>Wh</v>
          </cell>
          <cell r="E11">
            <v>3600</v>
          </cell>
        </row>
        <row r="12">
          <cell r="B12" t="str">
            <v>kWh</v>
          </cell>
          <cell r="E12">
            <v>3600000</v>
          </cell>
          <cell r="F12">
            <v>8.5984522785898532E-11</v>
          </cell>
        </row>
        <row r="13">
          <cell r="B13" t="str">
            <v>kWh/p/d (UK)</v>
          </cell>
          <cell r="E13">
            <v>7.8894E+16</v>
          </cell>
        </row>
        <row r="14">
          <cell r="B14" t="str">
            <v>TWh</v>
          </cell>
          <cell r="E14">
            <v>3600000000000000</v>
          </cell>
          <cell r="F14">
            <v>8.5984522785898534E-2</v>
          </cell>
        </row>
        <row r="15">
          <cell r="B15" t="str">
            <v>GWh</v>
          </cell>
          <cell r="E15">
            <v>3600000000000</v>
          </cell>
          <cell r="F15">
            <v>8.5984522785898537E-5</v>
          </cell>
        </row>
        <row r="16">
          <cell r="B16" t="str">
            <v>MWh</v>
          </cell>
          <cell r="E16">
            <v>3600000000</v>
          </cell>
          <cell r="F16">
            <v>8.5984522785898541E-8</v>
          </cell>
        </row>
        <row r="17">
          <cell r="B17" t="str">
            <v>boe</v>
          </cell>
          <cell r="E17">
            <v>6110000000</v>
          </cell>
          <cell r="F17">
            <v>1.4593484283940001E-7</v>
          </cell>
        </row>
        <row r="18">
          <cell r="B18" t="str">
            <v>Mboe</v>
          </cell>
          <cell r="E18">
            <v>6110000000000000</v>
          </cell>
        </row>
        <row r="19">
          <cell r="B19" t="str">
            <v>toe</v>
          </cell>
          <cell r="E19">
            <v>41868000000</v>
          </cell>
          <cell r="F19">
            <v>9.9999999999999995E-7</v>
          </cell>
        </row>
        <row r="20">
          <cell r="B20" t="str">
            <v>ktoe</v>
          </cell>
          <cell r="E20">
            <v>41868000000000</v>
          </cell>
        </row>
        <row r="21">
          <cell r="B21" t="str">
            <v>Mtoe</v>
          </cell>
          <cell r="E21">
            <v>4.1868E+16</v>
          </cell>
          <cell r="F21">
            <v>1</v>
          </cell>
        </row>
        <row r="22">
          <cell r="B22" t="str">
            <v>Kgce</v>
          </cell>
          <cell r="E22">
            <v>15862000</v>
          </cell>
          <cell r="F22">
            <v>3.7885736123053404E-10</v>
          </cell>
        </row>
        <row r="23">
          <cell r="B23" t="str">
            <v>Kgcce</v>
          </cell>
          <cell r="E23">
            <v>20465000</v>
          </cell>
        </row>
        <row r="24">
          <cell r="B24" t="str">
            <v>Mtle</v>
          </cell>
          <cell r="E24">
            <v>1.0550736E+16</v>
          </cell>
          <cell r="F24">
            <v>0.252</v>
          </cell>
        </row>
        <row r="25">
          <cell r="B25" t="str">
            <v>tce</v>
          </cell>
          <cell r="E25">
            <v>15862000000</v>
          </cell>
          <cell r="F25">
            <v>3.7885736123053405E-7</v>
          </cell>
        </row>
        <row r="26">
          <cell r="B26" t="str">
            <v>tcce</v>
          </cell>
          <cell r="E26">
            <v>20465000000</v>
          </cell>
        </row>
        <row r="27">
          <cell r="B27" t="str">
            <v>Mtce</v>
          </cell>
          <cell r="E27">
            <v>1.5862E+16</v>
          </cell>
          <cell r="F27">
            <v>0.37885736123053404</v>
          </cell>
        </row>
        <row r="28">
          <cell r="B28" t="str">
            <v>Mtcce</v>
          </cell>
          <cell r="E28">
            <v>2.0465E+16</v>
          </cell>
          <cell r="F28">
            <v>0.48879812744817042</v>
          </cell>
        </row>
        <row r="29">
          <cell r="B29" t="str">
            <v>Btce</v>
          </cell>
          <cell r="E29">
            <v>1.5862E+19</v>
          </cell>
        </row>
        <row r="30">
          <cell r="B30" t="str">
            <v>Btcce</v>
          </cell>
          <cell r="E30">
            <v>2.0465E+19</v>
          </cell>
        </row>
        <row r="31">
          <cell r="B31" t="str">
            <v>Tice</v>
          </cell>
          <cell r="E31">
            <v>19486000000</v>
          </cell>
          <cell r="F31">
            <v>4.6541511416833859E-7</v>
          </cell>
        </row>
        <row r="32">
          <cell r="B32" t="str">
            <v>Ticce</v>
          </cell>
          <cell r="E32">
            <v>26430000000</v>
          </cell>
          <cell r="F32">
            <v>6.3126970478647178E-7</v>
          </cell>
        </row>
        <row r="33">
          <cell r="B33" t="str">
            <v>Mtice</v>
          </cell>
          <cell r="E33">
            <v>1.9486E+16</v>
          </cell>
          <cell r="F33">
            <v>0.46541511416833858</v>
          </cell>
        </row>
        <row r="34">
          <cell r="B34" t="str">
            <v>Mticce</v>
          </cell>
          <cell r="E34">
            <v>2.643E+16</v>
          </cell>
          <cell r="F34">
            <v>0.63126970478647182</v>
          </cell>
        </row>
        <row r="35">
          <cell r="B35" t="str">
            <v>therm</v>
          </cell>
          <cell r="E35">
            <v>105506136.12882091</v>
          </cell>
        </row>
        <row r="36">
          <cell r="B36" t="str">
            <v>Btu</v>
          </cell>
          <cell r="E36">
            <v>1055.0613612882091</v>
          </cell>
        </row>
        <row r="37">
          <cell r="B37" t="str">
            <v>mmBtu</v>
          </cell>
          <cell r="E37">
            <v>1055000000</v>
          </cell>
          <cell r="F37">
            <v>2.5198242094200823E-8</v>
          </cell>
        </row>
        <row r="38">
          <cell r="B38" t="str">
            <v>calorie</v>
          </cell>
          <cell r="E38">
            <v>4.1840000000000002</v>
          </cell>
          <cell r="F38">
            <v>9.9933123148944303E-17</v>
          </cell>
        </row>
        <row r="39">
          <cell r="B39" t="str">
            <v>GW y</v>
          </cell>
          <cell r="E39">
            <v>3.1556879999999996E+16</v>
          </cell>
        </row>
        <row r="40">
          <cell r="B40" t="str">
            <v>KGLPGe</v>
          </cell>
          <cell r="E40">
            <v>47300000</v>
          </cell>
          <cell r="F40">
            <v>1.1297410910480558E-9</v>
          </cell>
        </row>
        <row r="41">
          <cell r="B41" t="str">
            <v>TLPGe</v>
          </cell>
          <cell r="E41">
            <v>47300000000</v>
          </cell>
        </row>
        <row r="42">
          <cell r="B42" t="str">
            <v>kgb</v>
          </cell>
          <cell r="E42">
            <v>10400000</v>
          </cell>
          <cell r="F42">
            <v>2.4839973249259579E-10</v>
          </cell>
        </row>
        <row r="43">
          <cell r="B43" t="str">
            <v>tbe</v>
          </cell>
          <cell r="E43">
            <v>10400000000</v>
          </cell>
        </row>
        <row r="44">
          <cell r="B44" t="str">
            <v>latfe</v>
          </cell>
          <cell r="E44">
            <v>32720000</v>
          </cell>
          <cell r="F44">
            <v>7.8150377376516669E-10</v>
          </cell>
        </row>
        <row r="45">
          <cell r="B45" t="str">
            <v>lde</v>
          </cell>
          <cell r="E45">
            <v>35780000</v>
          </cell>
          <cell r="F45">
            <v>8.5459061813318045E-10</v>
          </cell>
        </row>
        <row r="46">
          <cell r="B46" t="str">
            <v>mtde</v>
          </cell>
          <cell r="E46">
            <v>4.3004807692307696E+16</v>
          </cell>
          <cell r="F46">
            <v>1.0271521852562266</v>
          </cell>
        </row>
        <row r="47">
          <cell r="B47" t="str">
            <v>lpe</v>
          </cell>
          <cell r="E47">
            <v>33509999.999999996</v>
          </cell>
          <cell r="F47">
            <v>8.0037259959873882E-10</v>
          </cell>
        </row>
        <row r="48">
          <cell r="B48" t="str">
            <v>lke</v>
          </cell>
          <cell r="E48">
            <v>36125000</v>
          </cell>
          <cell r="F48">
            <v>8.6283080156682913E-10</v>
          </cell>
        </row>
        <row r="49">
          <cell r="B49" t="str">
            <v>scm b</v>
          </cell>
          <cell r="E49">
            <v>22500000</v>
          </cell>
          <cell r="F49">
            <v>5.3740326741186582E-10</v>
          </cell>
        </row>
        <row r="50">
          <cell r="B50" t="str">
            <v>mtbe</v>
          </cell>
          <cell r="E50">
            <v>5.6E+16</v>
          </cell>
        </row>
        <row r="51">
          <cell r="B51" t="str">
            <v>scm</v>
          </cell>
          <cell r="E51">
            <v>37620000</v>
          </cell>
          <cell r="F51">
            <v>8.9853826311263968E-10</v>
          </cell>
        </row>
        <row r="52">
          <cell r="B52" t="str">
            <v>mmscm</v>
          </cell>
          <cell r="E52">
            <v>37620000000000</v>
          </cell>
          <cell r="F52">
            <v>8.9853826311263969E-4</v>
          </cell>
        </row>
        <row r="53">
          <cell r="B53" t="str">
            <v>mtge</v>
          </cell>
          <cell r="E53">
            <v>49500000000000</v>
          </cell>
        </row>
        <row r="54">
          <cell r="B54" t="str">
            <v>lcng</v>
          </cell>
          <cell r="E54">
            <v>36000000</v>
          </cell>
          <cell r="F54">
            <v>8.598452278589854E-10</v>
          </cell>
        </row>
        <row r="55">
          <cell r="B55" t="str">
            <v>kcng</v>
          </cell>
          <cell r="E55">
            <v>50000000</v>
          </cell>
          <cell r="F55">
            <v>1.1942294831374796E-9</v>
          </cell>
        </row>
        <row r="56">
          <cell r="B56" t="str">
            <v>llpg</v>
          </cell>
          <cell r="E56">
            <v>25541000</v>
          </cell>
        </row>
        <row r="57">
          <cell r="B57" t="str">
            <v>kghe</v>
          </cell>
          <cell r="E57">
            <v>120100000</v>
          </cell>
          <cell r="F57">
            <v>2.8685392184962261E-9</v>
          </cell>
        </row>
        <row r="58">
          <cell r="B58" t="str">
            <v>m^3</v>
          </cell>
          <cell r="E58">
            <v>37620000</v>
          </cell>
          <cell r="F58">
            <v>8.9853826311263968E-10</v>
          </cell>
        </row>
        <row r="59">
          <cell r="B59" t="str">
            <v>bcm</v>
          </cell>
          <cell r="E59">
            <v>3.762E+16</v>
          </cell>
          <cell r="F59">
            <v>0.89853826311263973</v>
          </cell>
        </row>
        <row r="65">
          <cell r="B65" t="str">
            <v>GW</v>
          </cell>
          <cell r="E65">
            <v>1000000000</v>
          </cell>
          <cell r="F65">
            <v>1</v>
          </cell>
        </row>
        <row r="66">
          <cell r="B66" t="str">
            <v>MW</v>
          </cell>
          <cell r="E66">
            <v>1000000</v>
          </cell>
          <cell r="F66">
            <v>1E-3</v>
          </cell>
        </row>
        <row r="67">
          <cell r="B67" t="str">
            <v>kW</v>
          </cell>
          <cell r="E67">
            <v>1000</v>
          </cell>
          <cell r="F67">
            <v>9.9999999999999995E-7</v>
          </cell>
        </row>
        <row r="68">
          <cell r="B68" t="str">
            <v>W</v>
          </cell>
          <cell r="E68">
            <v>1</v>
          </cell>
          <cell r="F68">
            <v>1.0000000000000001E-9</v>
          </cell>
        </row>
        <row r="69">
          <cell r="B69" t="str">
            <v>mcm/d</v>
          </cell>
          <cell r="E69">
            <v>335648148.14814812</v>
          </cell>
        </row>
        <row r="70">
          <cell r="B70" t="str">
            <v>Mtoe/y</v>
          </cell>
          <cell r="E70">
            <v>1326716860.597764</v>
          </cell>
        </row>
        <row r="75">
          <cell r="F75">
            <v>31557600</v>
          </cell>
        </row>
        <row r="76">
          <cell r="F76">
            <v>86400</v>
          </cell>
        </row>
        <row r="77">
          <cell r="F77">
            <v>3600</v>
          </cell>
        </row>
        <row r="78">
          <cell r="F78">
            <v>60</v>
          </cell>
        </row>
        <row r="83">
          <cell r="B83" t="str">
            <v>ha</v>
          </cell>
          <cell r="E83">
            <v>10000</v>
          </cell>
          <cell r="F83">
            <v>9.9999999999999995E-7</v>
          </cell>
        </row>
        <row r="84">
          <cell r="B84" t="str">
            <v>M ha</v>
          </cell>
          <cell r="E84">
            <v>10000000000</v>
          </cell>
        </row>
        <row r="85">
          <cell r="B85" t="str">
            <v>acres</v>
          </cell>
          <cell r="E85">
            <v>4046.8564224000002</v>
          </cell>
          <cell r="F85">
            <v>4.0468564224000004E-7</v>
          </cell>
        </row>
        <row r="86">
          <cell r="B86" t="str">
            <v>km^2</v>
          </cell>
          <cell r="E86">
            <v>1000000</v>
          </cell>
          <cell r="F86">
            <v>1E-4</v>
          </cell>
        </row>
        <row r="87">
          <cell r="B87" t="str">
            <v>m^2</v>
          </cell>
          <cell r="E87">
            <v>1</v>
          </cell>
          <cell r="F87">
            <v>1E-10</v>
          </cell>
        </row>
        <row r="88">
          <cell r="B88" t="str">
            <v>Wales</v>
          </cell>
          <cell r="E88">
            <v>20700000000</v>
          </cell>
        </row>
        <row r="93">
          <cell r="E93">
            <v>1.3267168605977642</v>
          </cell>
        </row>
        <row r="106">
          <cell r="B106" t="str">
            <v>£trn</v>
          </cell>
          <cell r="F106">
            <v>1000000000000</v>
          </cell>
        </row>
        <row r="107">
          <cell r="B107" t="str">
            <v>£bn</v>
          </cell>
          <cell r="F107">
            <v>1000000000</v>
          </cell>
        </row>
        <row r="108">
          <cell r="B108" t="str">
            <v>£m</v>
          </cell>
          <cell r="E108">
            <v>8.3000000000000004E-2</v>
          </cell>
          <cell r="F108">
            <v>1000000</v>
          </cell>
        </row>
        <row r="109">
          <cell r="B109" t="str">
            <v>£k</v>
          </cell>
          <cell r="F109">
            <v>1000</v>
          </cell>
        </row>
        <row r="110">
          <cell r="B110" t="str">
            <v>Euro2002</v>
          </cell>
          <cell r="F110">
            <v>0.62893081761006286</v>
          </cell>
        </row>
        <row r="111">
          <cell r="B111" t="str">
            <v>$2009</v>
          </cell>
          <cell r="F111">
            <v>0.625</v>
          </cell>
        </row>
        <row r="112">
          <cell r="B112" t="str">
            <v>$2010</v>
          </cell>
          <cell r="F112">
            <v>0.64683053040103489</v>
          </cell>
        </row>
        <row r="113">
          <cell r="B113" t="str">
            <v>$2012</v>
          </cell>
          <cell r="E113">
            <v>4.8000000000000013E-8</v>
          </cell>
          <cell r="F113">
            <v>0.57831325301204828</v>
          </cell>
        </row>
        <row r="114">
          <cell r="B114" t="str">
            <v>$2014</v>
          </cell>
          <cell r="F114">
            <v>0.73662650602409641</v>
          </cell>
        </row>
        <row r="115">
          <cell r="B115" t="str">
            <v xml:space="preserve">INR </v>
          </cell>
          <cell r="E115">
            <v>1.0000000000000001E-9</v>
          </cell>
          <cell r="F115">
            <v>1.2048192771084338E-2</v>
          </cell>
        </row>
        <row r="116">
          <cell r="B116" t="str">
            <v>INR Cr</v>
          </cell>
          <cell r="E116">
            <v>0.01</v>
          </cell>
          <cell r="F116">
            <v>120481.92771084337</v>
          </cell>
        </row>
        <row r="117">
          <cell r="B117" t="str">
            <v>$mn</v>
          </cell>
          <cell r="E117">
            <v>6.0009000000000007E-2</v>
          </cell>
          <cell r="F117">
            <v>723000</v>
          </cell>
        </row>
        <row r="118">
          <cell r="B118" t="str">
            <v>$bn</v>
          </cell>
          <cell r="E118">
            <v>60.000000000000007</v>
          </cell>
          <cell r="F118">
            <v>722891566.26506031</v>
          </cell>
        </row>
        <row r="119">
          <cell r="B119" t="str">
            <v>$trn</v>
          </cell>
          <cell r="F119">
            <v>722891566265.0603</v>
          </cell>
        </row>
        <row r="120">
          <cell r="B120" t="str">
            <v>INR Trillion</v>
          </cell>
          <cell r="E120">
            <v>1000</v>
          </cell>
          <cell r="F120">
            <v>12048192771.084337</v>
          </cell>
        </row>
        <row r="121">
          <cell r="B121" t="str">
            <v>INR Billion</v>
          </cell>
          <cell r="E121">
            <v>1</v>
          </cell>
          <cell r="F121">
            <v>12048192.771084337</v>
          </cell>
        </row>
        <row r="122">
          <cell r="B122" t="str">
            <v>INR Million</v>
          </cell>
          <cell r="F122">
            <v>12048.192771084337</v>
          </cell>
        </row>
        <row r="123">
          <cell r="B123" t="str">
            <v>INR lac</v>
          </cell>
          <cell r="E123">
            <v>1E-4</v>
          </cell>
          <cell r="F123">
            <v>1204.8192771084337</v>
          </cell>
        </row>
        <row r="124">
          <cell r="B124" t="str">
            <v>£</v>
          </cell>
          <cell r="E124">
            <v>8.3000000000000002E-8</v>
          </cell>
          <cell r="F124">
            <v>1</v>
          </cell>
        </row>
        <row r="159">
          <cell r="B159" t="str">
            <v>MCM</v>
          </cell>
          <cell r="E159">
            <v>1000000000</v>
          </cell>
          <cell r="F159">
            <v>1</v>
          </cell>
        </row>
        <row r="160">
          <cell r="B160" t="str">
            <v>L</v>
          </cell>
          <cell r="E160">
            <v>1</v>
          </cell>
          <cell r="F160">
            <v>1.0000000000000001E-9</v>
          </cell>
        </row>
        <row r="161">
          <cell r="B161" t="str">
            <v>ML</v>
          </cell>
          <cell r="E161">
            <v>1000000</v>
          </cell>
        </row>
      </sheetData>
      <sheetData sheetId="66" refreshError="1"/>
      <sheetData sheetId="67" refreshError="1"/>
      <sheetData sheetId="68" refreshError="1"/>
      <sheetData sheetId="69" refreshError="1"/>
      <sheetData sheetId="7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ESS V3 Main Sheet"/>
      <sheetName val="My Story"/>
      <sheetName val="IESS V3 Results"/>
      <sheetName val="Charts"/>
      <sheetName val="Preferences"/>
      <sheetName val="Structure of the model"/>
      <sheetName val="XIII.a"/>
      <sheetName val="New Cooking "/>
      <sheetName val="Constants"/>
      <sheetName val="GDP"/>
      <sheetName val="I.a"/>
      <sheetName val="I.b"/>
      <sheetName val="I.c"/>
      <sheetName val="I.d"/>
      <sheetName val="I.e"/>
      <sheetName val="II"/>
      <sheetName val="III"/>
      <sheetName val="IV.a"/>
      <sheetName val="IV.b"/>
      <sheetName val="IV.c.1"/>
      <sheetName val="IV.c.2"/>
      <sheetName val="IV.d"/>
      <sheetName val="IV.e"/>
      <sheetName val="IV.f"/>
      <sheetName val="V.a"/>
      <sheetName val="V.b"/>
      <sheetName val="V.c"/>
      <sheetName val="V.d"/>
      <sheetName val="V.e"/>
      <sheetName val="VI"/>
      <sheetName val="VII.a"/>
      <sheetName val="VII.C"/>
      <sheetName val="VII.b"/>
      <sheetName val="VIII"/>
      <sheetName val="IX"/>
      <sheetName val="X.a"/>
      <sheetName val="X.b"/>
      <sheetName val="XI"/>
      <sheetName val="XII.a"/>
      <sheetName val="XII.b"/>
      <sheetName val="XIV"/>
      <sheetName val="XV.a"/>
      <sheetName val="XV.b"/>
      <sheetName val="XV.c"/>
      <sheetName val="XVI"/>
      <sheetName val="XVII.a"/>
      <sheetName val="XVII.b"/>
      <sheetName val="Control"/>
      <sheetName val="Intermediate output"/>
      <sheetName val="Global assumptions"/>
      <sheetName val="2017 Baseline"/>
      <sheetName val="2017-18"/>
      <sheetName val="Dispatch"/>
      <sheetName val="2012"/>
      <sheetName val="2017"/>
      <sheetName val="2022"/>
      <sheetName val="2027"/>
      <sheetName val="2032"/>
      <sheetName val="2037"/>
      <sheetName val="2042"/>
      <sheetName val="2047"/>
      <sheetName val="Conversions"/>
      <sheetName val="Land Use"/>
      <sheetName val="Water Use"/>
      <sheetName val="CostAbsolute"/>
      <sheetName val="Flows"/>
      <sheetName val="Modified Excel Sheet-Cook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persons/person.xml><?xml version="1.0" encoding="utf-8"?>
<personList xmlns="http://schemas.microsoft.com/office/spreadsheetml/2018/threadedcomments" xmlns:x="http://schemas.openxmlformats.org/spreadsheetml/2006/main">
  <person displayName="Jeffrey Rissman" id="{43C7E523-F137-412A-A1B7-935254B917C2}" userId="S::jeff@energyinnovation.org::f3f117cb-d7f5-455c-900f-329d977050a0"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4" dT="2023-04-17T21:52:50.48" personId="{43C7E523-F137-412A-A1B7-935254B917C2}" id="{A465F7CC-BCED-4957-B531-ABC5BB11D4CD}">
    <text>We assume the "Renewables" category is bioenergy and waste, though there may be an extremely small contribution of on-site solar PV or wind in some cases.  This category is dominated by refining (where the fuel is explicitly labeled as bioenergy) and by the paper, wood, and agriculture industries, all of which have lots of biogenic, combustible materials that they burn for energy.  Cement and lime has a small contribution and is known to burn waste.  Therefore, it seems clear the "Renewables" category is entirely or almost entirely bioenergy and waste.</text>
  </threadedComment>
</ThreadedComments>
</file>

<file path=xl/threadedComments/threadedComment2.xml><?xml version="1.0" encoding="utf-8"?>
<ThreadedComments xmlns="http://schemas.microsoft.com/office/spreadsheetml/2018/threadedcomments" xmlns:x="http://schemas.openxmlformats.org/spreadsheetml/2006/main">
  <threadedComment ref="D4" dT="2024-03-15T23:42:19.30" personId="{43C7E523-F137-412A-A1B7-935254B917C2}" id="{68DFEA27-398A-4173-B8C6-18AF3328E1AD}">
    <text>For Chinese bioenergy data, see the "China Bioenergy Data" tab.</text>
  </threadedComment>
</ThreadedComments>
</file>

<file path=xl/threadedComments/threadedComment3.xml><?xml version="1.0" encoding="utf-8"?>
<ThreadedComments xmlns="http://schemas.microsoft.com/office/spreadsheetml/2018/threadedcomments" xmlns:x="http://schemas.openxmlformats.org/spreadsheetml/2006/main">
  <threadedComment ref="D10" dT="2023-03-22T22:56:30.46" personId="{43C7E523-F137-412A-A1B7-935254B917C2}" id="{D0B9DBD7-EAB1-4541-951B-8127FC3E170E}">
    <text>Changed from 1% to 0% so figures add up to 100% (eliminating rounding error)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hyperlink" Target="https://www.epa.gov/egrid/download-data" TargetMode="External"/><Relationship Id="rId7" Type="http://schemas.openxmlformats.org/officeDocument/2006/relationships/printerSettings" Target="../printerSettings/printerSettings11.bin"/><Relationship Id="rId2" Type="http://schemas.openxmlformats.org/officeDocument/2006/relationships/hyperlink" Target="https://www.ecfr.gov/current/title-40/chapter-I/subchapter-C/part-98" TargetMode="External"/><Relationship Id="rId1" Type="http://schemas.openxmlformats.org/officeDocument/2006/relationships/hyperlink" Target="https://www.ecfr.gov/current/title-40/chapter-I/subchapter-C/part-98" TargetMode="External"/><Relationship Id="rId6" Type="http://schemas.openxmlformats.org/officeDocument/2006/relationships/hyperlink" Target="https://www.epa.gov/system/files/documents/2023-01/eGRID2021_technical_guide.pdf" TargetMode="External"/><Relationship Id="rId5" Type="http://schemas.openxmlformats.org/officeDocument/2006/relationships/hyperlink" Target="https://www.epa.gov/ghgemissions/inventory-us-greenhouse-gas-emissions-and-sinks" TargetMode="External"/><Relationship Id="rId4" Type="http://schemas.openxmlformats.org/officeDocument/2006/relationships/hyperlink" Target="https://www.epa.gov/ghgemissions/inventory-us-greenhouse-gas-emissions-and-sink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cell.com/joule/fulltext/S2542-4351(18)30225-3" TargetMode="External"/><Relationship Id="rId2" Type="http://schemas.openxmlformats.org/officeDocument/2006/relationships/hyperlink" Target="https://www.wri.org/insights/direct-air-capture-resource-considerations-and-costs-carbon-removal" TargetMode="External"/><Relationship Id="rId1" Type="http://schemas.openxmlformats.org/officeDocument/2006/relationships/hyperlink" Target="https://www.iea.org/reports/direct-air-capture" TargetMode="External"/><Relationship Id="rId4"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image" Target="../media/image4.emf"/><Relationship Id="rId4" Type="http://schemas.openxmlformats.org/officeDocument/2006/relationships/package" Target="../embeddings/Microsoft_Word_Document.docx"/></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drawing" Target="../drawings/drawing13.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FAA29-0F7C-44B0-B34C-992A06300436}">
  <sheetPr codeName="Sheet1">
    <tabColor rgb="FF92D050"/>
  </sheetPr>
  <dimension ref="A1:A114"/>
  <sheetViews>
    <sheetView tabSelected="1" zoomScale="130" zoomScaleNormal="130" workbookViewId="0"/>
  </sheetViews>
  <sheetFormatPr baseColWidth="10" defaultColWidth="8.83203125" defaultRowHeight="15"/>
  <cols>
    <col min="1" max="1" width="100" customWidth="1"/>
  </cols>
  <sheetData>
    <row r="1" spans="1:1">
      <c r="A1" s="1979" t="s">
        <v>5728</v>
      </c>
    </row>
    <row r="2" spans="1:1">
      <c r="A2" s="2126" t="s">
        <v>5969</v>
      </c>
    </row>
    <row r="3" spans="1:1">
      <c r="A3" s="3" t="s">
        <v>5970</v>
      </c>
    </row>
    <row r="5" spans="1:1">
      <c r="A5" t="s">
        <v>5729</v>
      </c>
    </row>
    <row r="6" spans="1:1">
      <c r="A6" t="s">
        <v>4748</v>
      </c>
    </row>
    <row r="7" spans="1:1">
      <c r="A7" t="s">
        <v>5562</v>
      </c>
    </row>
    <row r="8" spans="1:1">
      <c r="A8" t="s">
        <v>4749</v>
      </c>
    </row>
    <row r="10" spans="1:1">
      <c r="A10" s="453" t="s">
        <v>4923</v>
      </c>
    </row>
    <row r="11" spans="1:1">
      <c r="A11" s="453" t="s">
        <v>4924</v>
      </c>
    </row>
    <row r="13" spans="1:1">
      <c r="A13" s="20" t="s">
        <v>4951</v>
      </c>
    </row>
    <row r="14" spans="1:1">
      <c r="A14" s="20" t="s">
        <v>4952</v>
      </c>
    </row>
    <row r="16" spans="1:1">
      <c r="A16" s="1979" t="s">
        <v>5971</v>
      </c>
    </row>
    <row r="17" spans="1:1">
      <c r="A17" t="s">
        <v>5972</v>
      </c>
    </row>
    <row r="18" spans="1:1">
      <c r="A18" t="s">
        <v>6056</v>
      </c>
    </row>
    <row r="20" spans="1:1">
      <c r="A20" s="1979" t="s">
        <v>5455</v>
      </c>
    </row>
    <row r="22" spans="1:1">
      <c r="A22" s="4" t="s">
        <v>5456</v>
      </c>
    </row>
    <row r="23" spans="1:1">
      <c r="A23" t="s">
        <v>5458</v>
      </c>
    </row>
    <row r="24" spans="1:1">
      <c r="A24" t="s">
        <v>5924</v>
      </c>
    </row>
    <row r="26" spans="1:1">
      <c r="A26" s="453" t="s">
        <v>5457</v>
      </c>
    </row>
    <row r="27" spans="1:1">
      <c r="A27" t="s">
        <v>5730</v>
      </c>
    </row>
    <row r="28" spans="1:1">
      <c r="A28" t="s">
        <v>5471</v>
      </c>
    </row>
    <row r="29" spans="1:1">
      <c r="A29" t="s">
        <v>5474</v>
      </c>
    </row>
    <row r="30" spans="1:1">
      <c r="A30" t="s">
        <v>5459</v>
      </c>
    </row>
    <row r="31" spans="1:1">
      <c r="A31" t="s">
        <v>5925</v>
      </c>
    </row>
    <row r="32" spans="1:1">
      <c r="A32" t="s">
        <v>5465</v>
      </c>
    </row>
    <row r="33" spans="1:1">
      <c r="A33" t="s">
        <v>5466</v>
      </c>
    </row>
    <row r="34" spans="1:1">
      <c r="A34" s="3" t="s">
        <v>5460</v>
      </c>
    </row>
    <row r="35" spans="1:1">
      <c r="A35" s="3" t="s">
        <v>5926</v>
      </c>
    </row>
    <row r="36" spans="1:1">
      <c r="A36" t="s">
        <v>5472</v>
      </c>
    </row>
    <row r="37" spans="1:1">
      <c r="A37" t="s">
        <v>5473</v>
      </c>
    </row>
    <row r="39" spans="1:1">
      <c r="A39" s="8" t="s">
        <v>5461</v>
      </c>
    </row>
    <row r="40" spans="1:1">
      <c r="A40" t="s">
        <v>5462</v>
      </c>
    </row>
    <row r="41" spans="1:1">
      <c r="A41" t="s">
        <v>5463</v>
      </c>
    </row>
    <row r="43" spans="1:1">
      <c r="A43" s="24" t="s">
        <v>5464</v>
      </c>
    </row>
    <row r="44" spans="1:1">
      <c r="A44" t="s">
        <v>5467</v>
      </c>
    </row>
    <row r="45" spans="1:1">
      <c r="A45" t="s">
        <v>5468</v>
      </c>
    </row>
    <row r="47" spans="1:1">
      <c r="A47" s="1980" t="s">
        <v>5469</v>
      </c>
    </row>
    <row r="48" spans="1:1">
      <c r="A48" t="s">
        <v>5927</v>
      </c>
    </row>
    <row r="49" spans="1:1">
      <c r="A49" t="s">
        <v>5928</v>
      </c>
    </row>
    <row r="50" spans="1:1">
      <c r="A50" t="s">
        <v>5470</v>
      </c>
    </row>
    <row r="52" spans="1:1">
      <c r="A52" s="1979" t="s">
        <v>4934</v>
      </c>
    </row>
    <row r="54" spans="1:1">
      <c r="A54" t="s">
        <v>4925</v>
      </c>
    </row>
    <row r="55" spans="1:1">
      <c r="A55" t="s">
        <v>4926</v>
      </c>
    </row>
    <row r="56" spans="1:1">
      <c r="A56" t="s">
        <v>5929</v>
      </c>
    </row>
    <row r="57" spans="1:1">
      <c r="A57" t="s">
        <v>5930</v>
      </c>
    </row>
    <row r="58" spans="1:1">
      <c r="A58" t="s">
        <v>5582</v>
      </c>
    </row>
    <row r="59" spans="1:1">
      <c r="A59" t="s">
        <v>5583</v>
      </c>
    </row>
    <row r="61" spans="1:1">
      <c r="A61" t="s">
        <v>4927</v>
      </c>
    </row>
    <row r="62" spans="1:1">
      <c r="A62" t="s">
        <v>4928</v>
      </c>
    </row>
    <row r="63" spans="1:1">
      <c r="A63" t="s">
        <v>5931</v>
      </c>
    </row>
    <row r="64" spans="1:1">
      <c r="A64" t="s">
        <v>4929</v>
      </c>
    </row>
    <row r="66" spans="1:1">
      <c r="A66" t="s">
        <v>4933</v>
      </c>
    </row>
    <row r="67" spans="1:1">
      <c r="A67" t="s">
        <v>4930</v>
      </c>
    </row>
    <row r="68" spans="1:1">
      <c r="A68" t="s">
        <v>5932</v>
      </c>
    </row>
    <row r="69" spans="1:1">
      <c r="A69" t="s">
        <v>4931</v>
      </c>
    </row>
    <row r="70" spans="1:1">
      <c r="A70" t="s">
        <v>4932</v>
      </c>
    </row>
    <row r="72" spans="1:1">
      <c r="A72" t="s">
        <v>5476</v>
      </c>
    </row>
    <row r="73" spans="1:1">
      <c r="A73" t="s">
        <v>5477</v>
      </c>
    </row>
    <row r="74" spans="1:1">
      <c r="A74" t="s">
        <v>5478</v>
      </c>
    </row>
    <row r="75" spans="1:1">
      <c r="A75" t="s">
        <v>5896</v>
      </c>
    </row>
    <row r="76" spans="1:1">
      <c r="A76" t="s">
        <v>5479</v>
      </c>
    </row>
    <row r="77" spans="1:1">
      <c r="A77" t="s">
        <v>5480</v>
      </c>
    </row>
    <row r="79" spans="1:1">
      <c r="A79" s="1979" t="s">
        <v>4916</v>
      </c>
    </row>
    <row r="81" spans="1:1">
      <c r="A81" s="3" t="s">
        <v>5494</v>
      </c>
    </row>
    <row r="82" spans="1:1">
      <c r="A82" t="s">
        <v>4917</v>
      </c>
    </row>
    <row r="83" spans="1:1">
      <c r="A83" t="s">
        <v>5933</v>
      </c>
    </row>
    <row r="84" spans="1:1">
      <c r="A84" t="s">
        <v>4918</v>
      </c>
    </row>
    <row r="85" spans="1:1">
      <c r="A85" t="s">
        <v>4919</v>
      </c>
    </row>
    <row r="86" spans="1:1">
      <c r="A86" t="s">
        <v>4920</v>
      </c>
    </row>
    <row r="87" spans="1:1">
      <c r="A87" t="s">
        <v>4921</v>
      </c>
    </row>
    <row r="89" spans="1:1">
      <c r="A89" s="3" t="s">
        <v>5493</v>
      </c>
    </row>
    <row r="90" spans="1:1">
      <c r="A90" t="s">
        <v>5934</v>
      </c>
    </row>
    <row r="91" spans="1:1">
      <c r="A91" t="s">
        <v>5935</v>
      </c>
    </row>
    <row r="92" spans="1:1">
      <c r="A92" t="s">
        <v>4922</v>
      </c>
    </row>
    <row r="94" spans="1:1">
      <c r="A94" s="3" t="s">
        <v>5492</v>
      </c>
    </row>
    <row r="95" spans="1:1">
      <c r="A95" t="s">
        <v>5490</v>
      </c>
    </row>
    <row r="96" spans="1:1">
      <c r="A96" t="s">
        <v>5936</v>
      </c>
    </row>
    <row r="97" spans="1:1">
      <c r="A97" t="s">
        <v>5491</v>
      </c>
    </row>
    <row r="98" spans="1:1">
      <c r="A98" t="s">
        <v>5937</v>
      </c>
    </row>
    <row r="99" spans="1:1">
      <c r="A99" t="s">
        <v>5497</v>
      </c>
    </row>
    <row r="100" spans="1:1">
      <c r="A100" t="s">
        <v>5498</v>
      </c>
    </row>
    <row r="101" spans="1:1">
      <c r="A101" t="s">
        <v>5499</v>
      </c>
    </row>
    <row r="103" spans="1:1">
      <c r="A103" s="3" t="s">
        <v>5495</v>
      </c>
    </row>
    <row r="104" spans="1:1">
      <c r="A104" t="s">
        <v>5938</v>
      </c>
    </row>
    <row r="105" spans="1:1">
      <c r="A105" t="s">
        <v>5639</v>
      </c>
    </row>
    <row r="106" spans="1:1">
      <c r="A106" t="s">
        <v>5640</v>
      </c>
    </row>
    <row r="108" spans="1:1">
      <c r="A108" s="3" t="s">
        <v>5496</v>
      </c>
    </row>
    <row r="109" spans="1:1">
      <c r="A109" t="s">
        <v>5443</v>
      </c>
    </row>
    <row r="110" spans="1:1">
      <c r="A110" t="s">
        <v>5444</v>
      </c>
    </row>
    <row r="111" spans="1:1">
      <c r="A111" t="s">
        <v>5445</v>
      </c>
    </row>
    <row r="112" spans="1:1">
      <c r="A112" t="s">
        <v>5446</v>
      </c>
    </row>
    <row r="113" spans="1:1">
      <c r="A113" t="s">
        <v>5939</v>
      </c>
    </row>
    <row r="114" spans="1:1">
      <c r="A114" t="s">
        <v>5447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FFC000"/>
  </sheetPr>
  <dimension ref="A1:F33"/>
  <sheetViews>
    <sheetView workbookViewId="0"/>
  </sheetViews>
  <sheetFormatPr baseColWidth="10" defaultColWidth="8.83203125" defaultRowHeight="15"/>
  <cols>
    <col min="1" max="1" width="19.33203125" customWidth="1"/>
    <col min="3" max="3" width="18" customWidth="1"/>
    <col min="4" max="4" width="14.33203125" customWidth="1"/>
    <col min="5" max="5" width="11.83203125" bestFit="1" customWidth="1"/>
    <col min="10" max="10" width="11.83203125" bestFit="1" customWidth="1"/>
  </cols>
  <sheetData>
    <row r="1" spans="1:6">
      <c r="A1" s="1" t="s">
        <v>1051</v>
      </c>
      <c r="B1" s="2"/>
      <c r="C1" s="2"/>
      <c r="D1" s="2"/>
      <c r="E1" s="2"/>
      <c r="F1" s="2"/>
    </row>
    <row r="2" spans="1:6">
      <c r="A2" s="3" t="s">
        <v>420</v>
      </c>
      <c r="B2" t="s">
        <v>1052</v>
      </c>
      <c r="C2" s="3" t="s">
        <v>1053</v>
      </c>
      <c r="D2" t="s">
        <v>1054</v>
      </c>
      <c r="E2" s="4">
        <v>41.868000000000002</v>
      </c>
      <c r="F2" t="str">
        <f>_xlfn.CONCAT(C2," / ",A2)</f>
        <v>PJ / Mtoe</v>
      </c>
    </row>
    <row r="3" spans="1:6">
      <c r="A3" s="3" t="s">
        <v>420</v>
      </c>
      <c r="B3" t="s">
        <v>1052</v>
      </c>
      <c r="C3" s="3" t="s">
        <v>43</v>
      </c>
      <c r="D3" t="s">
        <v>1054</v>
      </c>
      <c r="E3" s="4">
        <v>4.1868000000000002E-2</v>
      </c>
      <c r="F3" t="str">
        <f t="shared" ref="F3:F8" si="0">_xlfn.CONCAT(C3," / ",A3)</f>
        <v>EJ / Mtoe</v>
      </c>
    </row>
    <row r="4" spans="1:6">
      <c r="A4" s="3" t="s">
        <v>437</v>
      </c>
      <c r="B4" t="s">
        <v>1052</v>
      </c>
      <c r="C4" s="3" t="s">
        <v>43</v>
      </c>
      <c r="D4" t="s">
        <v>1054</v>
      </c>
      <c r="E4" s="4">
        <f>E3*10^-3</f>
        <v>4.1868000000000006E-5</v>
      </c>
      <c r="F4" t="s">
        <v>1055</v>
      </c>
    </row>
    <row r="5" spans="1:6">
      <c r="A5" s="3" t="s">
        <v>1056</v>
      </c>
      <c r="B5" t="s">
        <v>1052</v>
      </c>
      <c r="C5" s="3" t="s">
        <v>1053</v>
      </c>
      <c r="D5" t="s">
        <v>1054</v>
      </c>
      <c r="E5" s="4">
        <v>1.0550599938764318</v>
      </c>
      <c r="F5" t="str">
        <f t="shared" si="0"/>
        <v>PJ / T btu</v>
      </c>
    </row>
    <row r="6" spans="1:6">
      <c r="A6" s="3" t="s">
        <v>1056</v>
      </c>
      <c r="B6" t="s">
        <v>1052</v>
      </c>
      <c r="C6" s="3" t="s">
        <v>43</v>
      </c>
      <c r="D6" t="s">
        <v>1054</v>
      </c>
      <c r="E6" s="4">
        <v>1.0550599938764318E-3</v>
      </c>
      <c r="F6" t="str">
        <f t="shared" si="0"/>
        <v>EJ / T btu</v>
      </c>
    </row>
    <row r="7" spans="1:6">
      <c r="A7" s="3" t="s">
        <v>1057</v>
      </c>
      <c r="B7" t="s">
        <v>1052</v>
      </c>
      <c r="C7" s="3" t="s">
        <v>1058</v>
      </c>
      <c r="D7" t="s">
        <v>1054</v>
      </c>
      <c r="E7" s="4">
        <f>E5</f>
        <v>1.0550599938764318</v>
      </c>
      <c r="F7" t="str">
        <f t="shared" si="0"/>
        <v>GJ / MM btu</v>
      </c>
    </row>
    <row r="8" spans="1:6">
      <c r="A8" s="3" t="s">
        <v>1059</v>
      </c>
      <c r="B8" t="s">
        <v>1052</v>
      </c>
      <c r="C8" s="3" t="s">
        <v>43</v>
      </c>
      <c r="D8" t="s">
        <v>1054</v>
      </c>
      <c r="E8" s="4">
        <f>E5</f>
        <v>1.0550599938764318</v>
      </c>
      <c r="F8" t="str">
        <f t="shared" si="0"/>
        <v>EJ / Q btu (quads)</v>
      </c>
    </row>
    <row r="9" spans="1:6">
      <c r="A9" s="3" t="s">
        <v>1060</v>
      </c>
      <c r="B9" t="s">
        <v>1052</v>
      </c>
      <c r="C9" s="3" t="s">
        <v>410</v>
      </c>
      <c r="D9" t="s">
        <v>1054</v>
      </c>
      <c r="E9" s="4">
        <f>1/277785.494</f>
        <v>3.5999000005378249E-6</v>
      </c>
      <c r="F9" t="s">
        <v>1061</v>
      </c>
    </row>
    <row r="10" spans="1:6">
      <c r="A10" s="3" t="s">
        <v>1062</v>
      </c>
      <c r="B10" t="s">
        <v>1052</v>
      </c>
      <c r="C10" s="3" t="s">
        <v>43</v>
      </c>
      <c r="D10" t="s">
        <v>1054</v>
      </c>
      <c r="E10" s="4">
        <f>1/277785.494</f>
        <v>3.5999000005378249E-6</v>
      </c>
      <c r="F10" t="s">
        <v>1063</v>
      </c>
    </row>
    <row r="11" spans="1:6">
      <c r="A11" s="3" t="s">
        <v>1062</v>
      </c>
      <c r="B11" t="s">
        <v>1052</v>
      </c>
      <c r="C11" s="3" t="s">
        <v>410</v>
      </c>
      <c r="D11" t="s">
        <v>1054</v>
      </c>
      <c r="E11" s="4">
        <f>E10*10^6</f>
        <v>3.5999000005378248</v>
      </c>
      <c r="F11" t="s">
        <v>1064</v>
      </c>
    </row>
    <row r="12" spans="1:6">
      <c r="A12" s="3" t="s">
        <v>1065</v>
      </c>
      <c r="B12" t="s">
        <v>1052</v>
      </c>
      <c r="C12" s="3" t="s">
        <v>43</v>
      </c>
      <c r="D12" t="s">
        <v>1054</v>
      </c>
      <c r="E12" s="475">
        <f>E10*10^3</f>
        <v>3.5999000005378251E-3</v>
      </c>
      <c r="F12" t="s">
        <v>1066</v>
      </c>
    </row>
    <row r="13" spans="1:6">
      <c r="A13" s="3" t="s">
        <v>52</v>
      </c>
      <c r="B13" t="s">
        <v>1052</v>
      </c>
      <c r="C13" s="3" t="s">
        <v>43</v>
      </c>
      <c r="D13" t="s">
        <v>1054</v>
      </c>
      <c r="E13" s="476">
        <f>E12*10^3</f>
        <v>3.5999000005378252</v>
      </c>
      <c r="F13" t="s">
        <v>1067</v>
      </c>
    </row>
    <row r="14" spans="1:6">
      <c r="A14" s="3" t="s">
        <v>1068</v>
      </c>
      <c r="B14" t="s">
        <v>1052</v>
      </c>
      <c r="C14" s="3" t="s">
        <v>1058</v>
      </c>
      <c r="D14" t="s">
        <v>1054</v>
      </c>
      <c r="E14" s="4">
        <f>E9*10^6</f>
        <v>3.5999000005378248</v>
      </c>
      <c r="F14" t="s">
        <v>1069</v>
      </c>
    </row>
    <row r="15" spans="1:6">
      <c r="A15" s="3" t="s">
        <v>1060</v>
      </c>
      <c r="B15" t="s">
        <v>1052</v>
      </c>
      <c r="C15" s="3" t="s">
        <v>1058</v>
      </c>
      <c r="D15" t="s">
        <v>1054</v>
      </c>
      <c r="E15" s="4">
        <v>3.5999000005378251E-3</v>
      </c>
      <c r="F15" t="s">
        <v>1070</v>
      </c>
    </row>
    <row r="16" spans="1:6">
      <c r="A16" s="3" t="s">
        <v>1071</v>
      </c>
      <c r="B16" t="s">
        <v>1052</v>
      </c>
      <c r="C16" s="3" t="s">
        <v>1062</v>
      </c>
      <c r="D16" t="s">
        <v>1054</v>
      </c>
      <c r="E16" s="4">
        <v>8.0999999999999996E-3</v>
      </c>
      <c r="F16" t="s">
        <v>1072</v>
      </c>
    </row>
    <row r="17" spans="1:6">
      <c r="A17" s="3" t="s">
        <v>1071</v>
      </c>
      <c r="B17" t="s">
        <v>1052</v>
      </c>
      <c r="C17" s="3" t="s">
        <v>1073</v>
      </c>
      <c r="D17" t="s">
        <v>1054</v>
      </c>
      <c r="E17" s="4">
        <v>27.78</v>
      </c>
      <c r="F17" t="s">
        <v>1074</v>
      </c>
    </row>
    <row r="18" spans="1:6">
      <c r="A18" s="3" t="s">
        <v>1071</v>
      </c>
      <c r="B18" t="s">
        <v>1075</v>
      </c>
      <c r="C18" s="3" t="s">
        <v>630</v>
      </c>
      <c r="D18" t="s">
        <v>1054</v>
      </c>
      <c r="E18" s="1189">
        <v>10207707.465</v>
      </c>
      <c r="F18" t="s">
        <v>1076</v>
      </c>
    </row>
    <row r="19" spans="1:6">
      <c r="A19" s="3" t="s">
        <v>1071</v>
      </c>
      <c r="B19" t="s">
        <v>1052</v>
      </c>
      <c r="C19" s="3" t="s">
        <v>4692</v>
      </c>
      <c r="D19" t="s">
        <v>1054</v>
      </c>
      <c r="E19" s="4">
        <v>241.45089999999999</v>
      </c>
      <c r="F19" t="s">
        <v>1077</v>
      </c>
    </row>
    <row r="20" spans="1:6">
      <c r="A20" s="3" t="s">
        <v>410</v>
      </c>
      <c r="B20" t="s">
        <v>1052</v>
      </c>
      <c r="C20" s="3" t="s">
        <v>43</v>
      </c>
      <c r="D20" t="s">
        <v>1054</v>
      </c>
      <c r="E20" s="1191">
        <v>9.9999999999999995E-7</v>
      </c>
      <c r="F20" t="s">
        <v>1078</v>
      </c>
    </row>
    <row r="21" spans="1:6">
      <c r="A21" s="3" t="s">
        <v>4283</v>
      </c>
      <c r="B21" t="s">
        <v>1052</v>
      </c>
      <c r="C21" s="3" t="s">
        <v>43</v>
      </c>
      <c r="D21" t="s">
        <v>1054</v>
      </c>
      <c r="E21" s="4">
        <f>2.9288*10^-8*1000000</f>
        <v>2.9288000000000002E-2</v>
      </c>
      <c r="F21" t="str">
        <f t="shared" ref="F21" si="1">_xlfn.CONCAT(C21," / ",A21)</f>
        <v>EJ / Mtce</v>
      </c>
    </row>
    <row r="23" spans="1:6">
      <c r="A23" s="3" t="s">
        <v>1079</v>
      </c>
      <c r="B23" t="s">
        <v>1052</v>
      </c>
      <c r="C23" s="3" t="s">
        <v>1080</v>
      </c>
      <c r="D23" t="s">
        <v>1054</v>
      </c>
      <c r="E23" s="4">
        <v>0.453592</v>
      </c>
      <c r="F23" t="s">
        <v>1081</v>
      </c>
    </row>
    <row r="25" spans="1:6">
      <c r="A25" s="3" t="s">
        <v>1056</v>
      </c>
      <c r="B25" t="s">
        <v>1052</v>
      </c>
      <c r="C25" s="3" t="s">
        <v>1065</v>
      </c>
      <c r="D25" t="s">
        <v>1054</v>
      </c>
      <c r="E25" s="4">
        <f>E6/E12</f>
        <v>0.29308036159860157</v>
      </c>
      <c r="F25" t="s">
        <v>1082</v>
      </c>
    </row>
    <row r="27" spans="1:6" ht="17">
      <c r="A27" s="3" t="s">
        <v>1083</v>
      </c>
      <c r="B27" t="s">
        <v>1052</v>
      </c>
      <c r="C27" s="3" t="s">
        <v>1084</v>
      </c>
      <c r="D27" t="s">
        <v>1054</v>
      </c>
      <c r="E27" s="4">
        <v>1E-4</v>
      </c>
      <c r="F27" t="s">
        <v>1085</v>
      </c>
    </row>
    <row r="28" spans="1:6">
      <c r="E28" s="3"/>
    </row>
    <row r="29" spans="1:6">
      <c r="A29" s="3" t="s">
        <v>1086</v>
      </c>
      <c r="B29" t="s">
        <v>1075</v>
      </c>
      <c r="C29" s="3" t="s">
        <v>121</v>
      </c>
      <c r="D29" t="s">
        <v>1054</v>
      </c>
      <c r="E29" s="4">
        <v>1E-3</v>
      </c>
      <c r="F29" t="s">
        <v>1087</v>
      </c>
    </row>
    <row r="30" spans="1:6">
      <c r="A30" s="3" t="s">
        <v>1088</v>
      </c>
      <c r="B30" t="s">
        <v>1075</v>
      </c>
      <c r="C30" s="3" t="s">
        <v>1089</v>
      </c>
      <c r="D30" t="s">
        <v>1054</v>
      </c>
      <c r="E30" s="4">
        <v>1.1020000000000001</v>
      </c>
      <c r="F30" t="s">
        <v>1090</v>
      </c>
    </row>
    <row r="31" spans="1:6">
      <c r="A31" s="3" t="s">
        <v>1080</v>
      </c>
      <c r="B31" t="s">
        <v>1075</v>
      </c>
      <c r="C31" s="3" t="s">
        <v>121</v>
      </c>
      <c r="D31" t="s">
        <v>1054</v>
      </c>
      <c r="E31" s="4">
        <f>10^-9</f>
        <v>1.0000000000000001E-9</v>
      </c>
      <c r="F31" t="s">
        <v>1091</v>
      </c>
    </row>
    <row r="33" spans="1:6" ht="17">
      <c r="A33" s="3" t="s">
        <v>4964</v>
      </c>
      <c r="B33" t="s">
        <v>1052</v>
      </c>
      <c r="C33" s="3" t="s">
        <v>4965</v>
      </c>
      <c r="D33" t="s">
        <v>1054</v>
      </c>
      <c r="E33" s="23">
        <v>100</v>
      </c>
      <c r="F33" t="s">
        <v>4966</v>
      </c>
    </row>
  </sheetData>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EF14-ADEF-4815-A9AC-F29FA2C8F3C3}">
  <sheetPr codeName="Sheet9">
    <tabColor theme="4" tint="0.59999389629810485"/>
  </sheetPr>
  <dimension ref="A1:H42"/>
  <sheetViews>
    <sheetView workbookViewId="0"/>
  </sheetViews>
  <sheetFormatPr baseColWidth="10" defaultColWidth="8.83203125" defaultRowHeight="15"/>
  <cols>
    <col min="1" max="1" width="27.33203125" customWidth="1"/>
    <col min="2" max="2" width="14.33203125" customWidth="1"/>
    <col min="3" max="3" width="21.5" customWidth="1"/>
    <col min="4" max="4" width="27.6640625" customWidth="1"/>
    <col min="5" max="5" width="30" customWidth="1"/>
    <col min="6" max="6" width="18.6640625" customWidth="1"/>
    <col min="7" max="7" width="18.33203125" customWidth="1"/>
    <col min="8" max="8" width="65.5" customWidth="1"/>
  </cols>
  <sheetData>
    <row r="1" spans="1:8">
      <c r="A1" s="460" t="s">
        <v>404</v>
      </c>
      <c r="B1" s="460">
        <v>2022</v>
      </c>
    </row>
    <row r="2" spans="1:8">
      <c r="D2" s="2043" t="s">
        <v>5966</v>
      </c>
    </row>
    <row r="3" spans="1:8">
      <c r="A3" s="55" t="s">
        <v>405</v>
      </c>
      <c r="B3" s="56"/>
      <c r="C3" s="56"/>
      <c r="D3" s="56"/>
      <c r="E3" s="56"/>
      <c r="F3" s="56"/>
      <c r="G3" s="56"/>
      <c r="H3" s="56"/>
    </row>
    <row r="4" spans="1:8" s="5" customFormat="1" ht="32">
      <c r="A4" s="57" t="s">
        <v>406</v>
      </c>
      <c r="B4" s="58" t="s">
        <v>2030</v>
      </c>
      <c r="C4" s="58" t="s">
        <v>407</v>
      </c>
      <c r="D4" s="58" t="s">
        <v>408</v>
      </c>
      <c r="E4" s="58" t="s">
        <v>409</v>
      </c>
      <c r="F4" s="893" t="s">
        <v>5500</v>
      </c>
      <c r="G4" s="57" t="s">
        <v>41</v>
      </c>
      <c r="H4" s="57" t="s">
        <v>62</v>
      </c>
    </row>
    <row r="5" spans="1:8">
      <c r="A5" t="s">
        <v>2031</v>
      </c>
      <c r="B5">
        <v>24</v>
      </c>
      <c r="C5" s="11">
        <f>'AEO T24'!C34-SUM('AEO T24'!C32:C33)</f>
        <v>3351.7839659999995</v>
      </c>
      <c r="D5" s="11">
        <f>'AEO T24'!C32</f>
        <v>918.07605000000001</v>
      </c>
      <c r="E5" s="11">
        <f>'AEO T24'!C33</f>
        <v>187.222992</v>
      </c>
      <c r="F5" s="11">
        <v>0</v>
      </c>
      <c r="G5" t="s">
        <v>445</v>
      </c>
      <c r="H5" t="s">
        <v>2032</v>
      </c>
    </row>
    <row r="6" spans="1:8">
      <c r="A6" t="s">
        <v>507</v>
      </c>
      <c r="B6">
        <v>25</v>
      </c>
      <c r="C6" s="11">
        <f>'AEO T25'!C27-SUM('AEO T25'!C25:C26)</f>
        <v>781.69850899999983</v>
      </c>
      <c r="D6" s="11">
        <f>'AEO T25'!C25</f>
        <v>43.634070999999999</v>
      </c>
      <c r="E6" s="11">
        <f>'AEO T25'!C26</f>
        <v>300.32415800000001</v>
      </c>
      <c r="F6" s="11">
        <v>0</v>
      </c>
      <c r="G6" t="s">
        <v>445</v>
      </c>
    </row>
    <row r="7" spans="1:8">
      <c r="A7" t="s">
        <v>2033</v>
      </c>
      <c r="B7">
        <v>26</v>
      </c>
      <c r="C7" s="11">
        <f>'AEO T26'!C28-SUM('AEO T26'!C26:C27)</f>
        <v>645.95100400000001</v>
      </c>
      <c r="D7" s="11">
        <f>'AEO T26'!C26</f>
        <v>908.72906499999999</v>
      </c>
      <c r="E7" s="11">
        <f>'AEO T26'!C27</f>
        <v>196.46006800000001</v>
      </c>
      <c r="F7" s="11">
        <v>0</v>
      </c>
      <c r="G7" t="s">
        <v>445</v>
      </c>
    </row>
    <row r="8" spans="1:8">
      <c r="A8" t="s">
        <v>444</v>
      </c>
      <c r="B8">
        <v>27</v>
      </c>
      <c r="C8" s="11">
        <f>'AEO T27'!C29-'AEO T27'!C28</f>
        <v>2646.5021970000003</v>
      </c>
      <c r="D8" s="11">
        <v>0</v>
      </c>
      <c r="E8" s="11">
        <f>SUM('AEO T27'!C27:C28)</f>
        <v>393.11437599999999</v>
      </c>
      <c r="F8" s="11">
        <v>0</v>
      </c>
      <c r="G8" t="s">
        <v>445</v>
      </c>
    </row>
    <row r="9" spans="1:8">
      <c r="A9" t="s">
        <v>502</v>
      </c>
      <c r="B9">
        <v>28</v>
      </c>
      <c r="C9" s="11">
        <f>'AEO T28'!C25-'AEO T28'!C24</f>
        <v>104.14090700000001</v>
      </c>
      <c r="D9" s="11">
        <v>0</v>
      </c>
      <c r="E9" s="11">
        <f>'AEO T28'!C24</f>
        <v>51.022025999999997</v>
      </c>
      <c r="F9" s="11">
        <v>0</v>
      </c>
      <c r="G9" t="s">
        <v>445</v>
      </c>
    </row>
    <row r="10" spans="1:8">
      <c r="A10" t="s">
        <v>2034</v>
      </c>
      <c r="B10">
        <v>29</v>
      </c>
      <c r="C10" s="11">
        <f>'AEO T29'!C30-SUM('AEO T29'!C28:C29)</f>
        <v>306.75961699999999</v>
      </c>
      <c r="D10" s="11">
        <f>'AEO T29'!C28</f>
        <v>47.745392000000002</v>
      </c>
      <c r="E10" s="11">
        <f>'AEO T29'!C29</f>
        <v>52.381343999999999</v>
      </c>
      <c r="F10" s="11">
        <v>0</v>
      </c>
      <c r="G10" t="s">
        <v>445</v>
      </c>
    </row>
    <row r="11" spans="1:8">
      <c r="A11" t="s">
        <v>423</v>
      </c>
      <c r="B11">
        <v>30</v>
      </c>
      <c r="C11" s="11">
        <f>'AEO T30'!C30-SUM('AEO T30'!C24:C25,'AEO T30'!C28:C29)</f>
        <v>422.01977599999998</v>
      </c>
      <c r="D11" s="11">
        <v>0</v>
      </c>
      <c r="E11" s="11">
        <f>SUM('AEO T30'!C28:C29)</f>
        <v>212.36544799999999</v>
      </c>
      <c r="F11" s="11">
        <v>0</v>
      </c>
      <c r="G11" t="s">
        <v>445</v>
      </c>
    </row>
    <row r="12" spans="1:8">
      <c r="A12" t="s">
        <v>422</v>
      </c>
      <c r="B12">
        <v>31</v>
      </c>
      <c r="C12" s="11">
        <f>'AEO T31'!C28-SUM('AEO T31'!C26:C27)</f>
        <v>102.50147200000001</v>
      </c>
      <c r="D12" s="11">
        <v>0</v>
      </c>
      <c r="E12" s="11">
        <f>'AEO T31'!C27</f>
        <v>87.397773999999998</v>
      </c>
      <c r="F12" s="11">
        <v>0</v>
      </c>
      <c r="G12" t="s">
        <v>445</v>
      </c>
    </row>
    <row r="13" spans="1:8">
      <c r="A13" t="s">
        <v>2035</v>
      </c>
      <c r="B13">
        <v>32</v>
      </c>
      <c r="C13" s="11">
        <f>SUM('AEO T32'!C27,'AEO T32'!C39,'AEO T32'!C51,'AEO T32'!C63,'AEO T32'!C76)-SUM('AEO T32'!C26,'AEO T32'!C38,'AEO T32'!C50,'AEO T32'!C62,'AEO T32'!C75)</f>
        <v>364.78467399999994</v>
      </c>
      <c r="D13" s="11">
        <v>0</v>
      </c>
      <c r="E13" s="11">
        <f>SUM('AEO T32'!C26,'AEO T32'!C38,'AEO T32'!C50,'AEO T32'!C62,'AEO T32'!C75)</f>
        <v>504.46406600000006</v>
      </c>
      <c r="F13" s="11">
        <v>0</v>
      </c>
      <c r="G13" t="s">
        <v>445</v>
      </c>
    </row>
    <row r="14" spans="1:8">
      <c r="A14" t="s">
        <v>2036</v>
      </c>
      <c r="B14">
        <v>33</v>
      </c>
      <c r="C14" s="11">
        <f>'AEO T33'!C26-SUM('AEO T33'!C24:C25)</f>
        <v>63.134873000000027</v>
      </c>
      <c r="D14" s="11">
        <f>'AEO T33'!C24</f>
        <v>297.19873000000001</v>
      </c>
      <c r="E14" s="11">
        <f>'AEO T33'!C25</f>
        <v>65.763626000000002</v>
      </c>
      <c r="F14" s="11">
        <v>0</v>
      </c>
      <c r="G14" t="s">
        <v>445</v>
      </c>
    </row>
    <row r="15" spans="1:8">
      <c r="A15" t="s">
        <v>555</v>
      </c>
      <c r="B15">
        <v>33</v>
      </c>
      <c r="C15" s="11">
        <f>'AEO T33'!C38-'AEO T33'!C37</f>
        <v>81.277420000000006</v>
      </c>
      <c r="D15" s="11">
        <v>0</v>
      </c>
      <c r="E15" s="11">
        <f>'AEO T33'!C37</f>
        <v>158.30687</v>
      </c>
      <c r="F15" s="11">
        <v>0</v>
      </c>
      <c r="G15" t="s">
        <v>445</v>
      </c>
    </row>
    <row r="16" spans="1:8">
      <c r="A16" t="s">
        <v>427</v>
      </c>
      <c r="B16">
        <v>33</v>
      </c>
      <c r="C16" s="11">
        <f>'AEO T33'!C52-SUM('AEO T33'!C50:C51)</f>
        <v>825.9968070000001</v>
      </c>
      <c r="D16" s="11">
        <f>'AEO T33'!C50</f>
        <v>22.498187999999999</v>
      </c>
      <c r="E16" s="11">
        <f>'AEO T33'!C51</f>
        <v>481.16271999999998</v>
      </c>
      <c r="F16" s="11">
        <v>0</v>
      </c>
      <c r="G16" t="s">
        <v>445</v>
      </c>
    </row>
    <row r="17" spans="1:8">
      <c r="A17" s="100" t="s">
        <v>428</v>
      </c>
      <c r="B17">
        <v>34</v>
      </c>
      <c r="C17" s="11">
        <f>'AEO T34'!C27-SUM('AEO T34'!C25:C26)</f>
        <v>767.5989679999999</v>
      </c>
      <c r="D17" s="11">
        <f>'AEO T34'!C25</f>
        <v>174.98010300000001</v>
      </c>
      <c r="E17" s="11">
        <f>'AEO T34'!C26</f>
        <v>249.03689600000001</v>
      </c>
      <c r="F17" s="11">
        <v>0</v>
      </c>
      <c r="G17" t="s">
        <v>445</v>
      </c>
      <c r="H17" t="s">
        <v>411</v>
      </c>
    </row>
    <row r="18" spans="1:8">
      <c r="A18" s="100" t="s">
        <v>438</v>
      </c>
      <c r="B18">
        <v>34</v>
      </c>
      <c r="C18" s="11">
        <f>'AEO T34'!C38-'AEO T34'!C37</f>
        <v>1680.6784970000001</v>
      </c>
      <c r="D18" s="11">
        <v>0</v>
      </c>
      <c r="E18" s="11">
        <f>'AEO T34'!C37</f>
        <v>260.33200099999999</v>
      </c>
      <c r="F18" s="11">
        <v>0</v>
      </c>
      <c r="G18" t="s">
        <v>445</v>
      </c>
      <c r="H18" t="s">
        <v>411</v>
      </c>
    </row>
    <row r="19" spans="1:8">
      <c r="A19" s="100" t="s">
        <v>432</v>
      </c>
      <c r="B19">
        <v>34</v>
      </c>
      <c r="C19" s="11">
        <f>'AEO T34'!C52-SUM('AEO T34'!C49:C51)</f>
        <v>2938.1449379999999</v>
      </c>
      <c r="D19" s="11">
        <f>'AEO T34'!C49</f>
        <v>5.9800620000000002</v>
      </c>
      <c r="E19" s="11">
        <f>SUM('AEO T34'!C50:C51)</f>
        <v>259.82714800000002</v>
      </c>
      <c r="F19" s="11">
        <v>0</v>
      </c>
      <c r="G19" t="s">
        <v>445</v>
      </c>
      <c r="H19" t="s">
        <v>411</v>
      </c>
    </row>
    <row r="21" spans="1:8">
      <c r="A21" s="55" t="s">
        <v>412</v>
      </c>
      <c r="B21" s="56"/>
      <c r="C21" s="56"/>
      <c r="D21" s="56"/>
      <c r="E21" s="56"/>
      <c r="F21" s="56"/>
      <c r="G21" s="56"/>
    </row>
    <row r="22" spans="1:8" s="5" customFormat="1" ht="16">
      <c r="A22" s="57" t="s">
        <v>413</v>
      </c>
      <c r="B22" s="58" t="s">
        <v>2030</v>
      </c>
      <c r="C22" s="58" t="s">
        <v>414</v>
      </c>
      <c r="D22" s="57" t="s">
        <v>4163</v>
      </c>
      <c r="G22" s="57" t="s">
        <v>41</v>
      </c>
    </row>
    <row r="23" spans="1:8" ht="16">
      <c r="A23" t="s">
        <v>446</v>
      </c>
      <c r="B23">
        <v>27</v>
      </c>
      <c r="C23" s="11">
        <f>'AEO T27'!C31</f>
        <v>3668.5</v>
      </c>
      <c r="D23" s="96" t="s">
        <v>2037</v>
      </c>
      <c r="G23" t="s">
        <v>445</v>
      </c>
      <c r="H23" t="s">
        <v>2038</v>
      </c>
    </row>
    <row r="24" spans="1:8" ht="16">
      <c r="A24" t="s">
        <v>446</v>
      </c>
      <c r="B24">
        <v>27</v>
      </c>
      <c r="C24" s="11">
        <f>'AEO T27'!C33</f>
        <v>524.29827899999998</v>
      </c>
      <c r="D24" s="96" t="s">
        <v>447</v>
      </c>
      <c r="G24" t="s">
        <v>445</v>
      </c>
    </row>
    <row r="25" spans="1:8" ht="16">
      <c r="A25" t="s">
        <v>446</v>
      </c>
      <c r="B25">
        <v>27</v>
      </c>
      <c r="C25" s="11">
        <f>'AEO T27'!C34</f>
        <v>1106.1000979999999</v>
      </c>
      <c r="D25" s="96" t="s">
        <v>448</v>
      </c>
      <c r="G25" t="s">
        <v>445</v>
      </c>
    </row>
    <row r="26" spans="1:8" ht="16">
      <c r="A26" t="s">
        <v>449</v>
      </c>
      <c r="B26">
        <v>30</v>
      </c>
      <c r="C26" s="11">
        <f>SUM('AEO T30'!C24:C25)</f>
        <v>389.58822600000002</v>
      </c>
      <c r="D26" s="96" t="s">
        <v>450</v>
      </c>
      <c r="G26" t="s">
        <v>445</v>
      </c>
    </row>
    <row r="28" spans="1:8">
      <c r="A28" s="55" t="s">
        <v>2039</v>
      </c>
      <c r="B28" s="56"/>
      <c r="C28" s="56"/>
      <c r="D28" s="56"/>
      <c r="E28" s="56"/>
      <c r="F28" s="56"/>
      <c r="G28" s="56"/>
    </row>
    <row r="29" spans="1:8" ht="32">
      <c r="B29" s="58" t="s">
        <v>2030</v>
      </c>
      <c r="C29" s="58" t="s">
        <v>407</v>
      </c>
      <c r="D29" s="58" t="s">
        <v>408</v>
      </c>
      <c r="E29" s="58" t="s">
        <v>409</v>
      </c>
      <c r="F29" s="893" t="s">
        <v>5500</v>
      </c>
      <c r="G29" s="57" t="s">
        <v>41</v>
      </c>
    </row>
    <row r="30" spans="1:8">
      <c r="A30" t="s">
        <v>2040</v>
      </c>
      <c r="B30" s="27" t="s">
        <v>2041</v>
      </c>
      <c r="C30" s="11">
        <f>SUM(C5:C19,C23:C26)</f>
        <v>20771.460227999996</v>
      </c>
      <c r="D30" s="11">
        <f>SUM(D5:D19)</f>
        <v>2418.8416609999999</v>
      </c>
      <c r="E30" s="11">
        <f>SUM(E5:E19)</f>
        <v>3459.181513</v>
      </c>
      <c r="F30" s="11">
        <v>0</v>
      </c>
      <c r="G30" t="s">
        <v>2042</v>
      </c>
    </row>
    <row r="31" spans="1:8">
      <c r="A31" t="s">
        <v>2040</v>
      </c>
      <c r="B31">
        <v>6</v>
      </c>
      <c r="C31" s="11">
        <f>('AEO T6'!C124-SUM('AEO T6'!C121:C123))*1000</f>
        <v>20704.566999999995</v>
      </c>
      <c r="D31" s="11">
        <f>SUM('AEO T6'!C121:C122)*1000</f>
        <v>2418.848</v>
      </c>
      <c r="E31" s="11">
        <f>'AEO T6'!C123*1000</f>
        <v>3459.1750000000002</v>
      </c>
      <c r="F31" s="11">
        <v>0</v>
      </c>
      <c r="G31" t="s">
        <v>2042</v>
      </c>
    </row>
    <row r="32" spans="1:8">
      <c r="C32" s="99">
        <f>(C30-C31)/C31</f>
        <v>3.2308440934795128E-3</v>
      </c>
    </row>
    <row r="33" spans="1:8">
      <c r="C33" s="20" t="s">
        <v>2043</v>
      </c>
    </row>
    <row r="34" spans="1:8">
      <c r="C34" s="20" t="s">
        <v>5967</v>
      </c>
    </row>
    <row r="35" spans="1:8">
      <c r="C35" s="98" t="s">
        <v>2044</v>
      </c>
    </row>
    <row r="37" spans="1:8">
      <c r="A37" s="55" t="s">
        <v>415</v>
      </c>
      <c r="B37" s="56"/>
      <c r="C37" s="56"/>
      <c r="D37" s="56"/>
      <c r="E37" s="56"/>
      <c r="F37" s="56"/>
      <c r="G37" s="56"/>
    </row>
    <row r="38" spans="1:8" ht="32">
      <c r="C38" s="58" t="s">
        <v>407</v>
      </c>
      <c r="D38" s="58" t="s">
        <v>408</v>
      </c>
      <c r="E38" s="58" t="s">
        <v>409</v>
      </c>
      <c r="F38" s="893" t="s">
        <v>5500</v>
      </c>
    </row>
    <row r="39" spans="1:8">
      <c r="A39" t="s">
        <v>2045</v>
      </c>
      <c r="B39">
        <v>2</v>
      </c>
      <c r="E39" s="474">
        <f>'AEO T2'!C112-'AEO T2'!C60</f>
        <v>9.8003850000000003</v>
      </c>
      <c r="F39" s="474">
        <v>0</v>
      </c>
      <c r="G39" t="s">
        <v>2042</v>
      </c>
    </row>
    <row r="40" spans="1:8">
      <c r="A40" t="s">
        <v>5289</v>
      </c>
      <c r="B40">
        <v>4</v>
      </c>
      <c r="D40" s="474">
        <f>'AEO T4'!C74</f>
        <v>0.53893199999999997</v>
      </c>
      <c r="G40" t="s">
        <v>2042</v>
      </c>
    </row>
    <row r="41" spans="1:8">
      <c r="A41" t="s">
        <v>5290</v>
      </c>
      <c r="B41">
        <v>5</v>
      </c>
      <c r="D41" s="474">
        <f>'AEO T5'!C57</f>
        <v>0.120805</v>
      </c>
      <c r="G41" t="s">
        <v>2042</v>
      </c>
    </row>
    <row r="42" spans="1:8">
      <c r="A42" t="s">
        <v>5291</v>
      </c>
      <c r="B42">
        <v>11</v>
      </c>
      <c r="D42" s="455">
        <f>'AEO T11'!C33*365/'Region-Independent Data'!$B$61/10^3</f>
        <v>7.2759720443136569E-2</v>
      </c>
      <c r="G42" t="s">
        <v>2042</v>
      </c>
      <c r="H42" t="s">
        <v>5433</v>
      </c>
    </row>
  </sheetData>
  <pageMargins left="0.7" right="0.7" top="0.75" bottom="0.75" header="0.3" footer="0.3"/>
  <pageSetup orientation="portrait" horizontalDpi="0" verticalDpi="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D7278-53E1-4FD3-9134-91FAAF486C11}">
  <sheetPr codeName="Sheet10">
    <tabColor theme="4" tint="0.59999389629810485"/>
  </sheetPr>
  <dimension ref="A1:H55"/>
  <sheetViews>
    <sheetView workbookViewId="0"/>
  </sheetViews>
  <sheetFormatPr baseColWidth="10" defaultColWidth="8.83203125" defaultRowHeight="15"/>
  <cols>
    <col min="1" max="1" width="54.83203125" customWidth="1"/>
    <col min="2" max="2" width="33.1640625" customWidth="1"/>
    <col min="3" max="3" width="21.5" customWidth="1"/>
    <col min="4" max="4" width="28.1640625" customWidth="1"/>
    <col min="5" max="5" width="30" customWidth="1"/>
    <col min="6" max="6" width="23.1640625" customWidth="1"/>
    <col min="7" max="7" width="18.33203125" customWidth="1"/>
    <col min="8" max="8" width="65.5" customWidth="1"/>
  </cols>
  <sheetData>
    <row r="1" spans="1:8">
      <c r="A1" s="460" t="s">
        <v>404</v>
      </c>
      <c r="B1" s="460">
        <v>2021</v>
      </c>
    </row>
    <row r="3" spans="1:8">
      <c r="A3" s="890" t="s">
        <v>405</v>
      </c>
      <c r="B3" s="891"/>
      <c r="C3" s="891"/>
      <c r="D3" s="891"/>
      <c r="E3" s="891"/>
      <c r="F3" s="891"/>
      <c r="G3" s="891"/>
      <c r="H3" s="891"/>
    </row>
    <row r="4" spans="1:8" s="5" customFormat="1" ht="32">
      <c r="A4" s="892" t="s">
        <v>406</v>
      </c>
      <c r="B4" s="1740" t="s">
        <v>439</v>
      </c>
      <c r="C4" s="893" t="s">
        <v>407</v>
      </c>
      <c r="D4" s="893" t="s">
        <v>4698</v>
      </c>
      <c r="E4" s="893" t="s">
        <v>409</v>
      </c>
      <c r="F4" s="893" t="s">
        <v>5500</v>
      </c>
      <c r="G4" s="892" t="s">
        <v>41</v>
      </c>
      <c r="H4" s="892" t="s">
        <v>62</v>
      </c>
    </row>
    <row r="5" spans="1:8">
      <c r="A5" t="str">
        <f>'CESY EC 4-3'!B17</f>
        <v xml:space="preserve">  Processing of Food from Agricultural Products</v>
      </c>
      <c r="B5" s="455" t="s">
        <v>440</v>
      </c>
      <c r="C5" s="11">
        <f>'CESY EC 4-3'!C17-SUM('CESY EC 4-3'!AF17:AH17)</f>
        <v>2516.2000000000003</v>
      </c>
      <c r="D5" s="11">
        <v>0</v>
      </c>
      <c r="E5" s="11">
        <f>'CESY EC 4-3'!AG17</f>
        <v>1134.54</v>
      </c>
      <c r="F5" s="11">
        <f>'CESY EC 4-3'!AF17</f>
        <v>428.27</v>
      </c>
      <c r="G5" s="455" t="s">
        <v>441</v>
      </c>
      <c r="H5" s="455"/>
    </row>
    <row r="6" spans="1:8">
      <c r="A6" t="str">
        <f>'CESY EC 4-3'!B18</f>
        <v xml:space="preserve">  Manufacture of Foods</v>
      </c>
      <c r="B6" s="455" t="s">
        <v>440</v>
      </c>
      <c r="C6" s="11">
        <f>'CESY EC 4-3'!C18-SUM('CESY EC 4-3'!AF18:AH18)</f>
        <v>1333.9900000000002</v>
      </c>
      <c r="D6" s="11">
        <v>0</v>
      </c>
      <c r="E6" s="11">
        <f>'CESY EC 4-3'!AG18</f>
        <v>454.21</v>
      </c>
      <c r="F6" s="11">
        <f>'CESY EC 4-3'!AF18</f>
        <v>458.54</v>
      </c>
      <c r="G6" s="455" t="s">
        <v>441</v>
      </c>
      <c r="H6" s="455"/>
    </row>
    <row r="7" spans="1:8">
      <c r="A7" t="str">
        <f>'CESY EC 4-3'!B19</f>
        <v xml:space="preserve">  Manufacture of Liquor,Beverages and Refined Tea</v>
      </c>
      <c r="B7" s="455" t="s">
        <v>440</v>
      </c>
      <c r="C7" s="11">
        <f>'CESY EC 4-3'!C19-SUM('CESY EC 4-3'!AF19:AH19)</f>
        <v>760.64</v>
      </c>
      <c r="D7" s="11">
        <v>0</v>
      </c>
      <c r="E7" s="11">
        <f>'CESY EC 4-3'!AG19</f>
        <v>244.75</v>
      </c>
      <c r="F7" s="11">
        <f>'CESY EC 4-3'!AF19</f>
        <v>234.77</v>
      </c>
      <c r="G7" s="455" t="s">
        <v>441</v>
      </c>
      <c r="H7" s="455"/>
    </row>
    <row r="8" spans="1:8">
      <c r="A8" t="str">
        <f>'CESY EC 4-3'!B20</f>
        <v xml:space="preserve">  Manufacture of Tobacco</v>
      </c>
      <c r="B8" s="455" t="s">
        <v>440</v>
      </c>
      <c r="C8" s="11">
        <f>'CESY EC 4-3'!C20-SUM('CESY EC 4-3'!AF20:AH20)</f>
        <v>109.38999999999999</v>
      </c>
      <c r="D8" s="11">
        <v>0</v>
      </c>
      <c r="E8" s="11">
        <f>'CESY EC 4-3'!AG20</f>
        <v>65.239999999999995</v>
      </c>
      <c r="F8" s="11">
        <f>'CESY EC 4-3'!AF20</f>
        <v>10.14</v>
      </c>
      <c r="G8" s="455" t="s">
        <v>441</v>
      </c>
      <c r="H8" s="455"/>
    </row>
    <row r="9" spans="1:8">
      <c r="A9" t="str">
        <f>'CESY EC 4-3'!B21</f>
        <v xml:space="preserve">  Manufacture of Textile</v>
      </c>
      <c r="B9" s="455" t="s">
        <v>440</v>
      </c>
      <c r="C9" s="11">
        <f>'CESY EC 4-3'!C21-SUM('CESY EC 4-3'!AF21:AH21)</f>
        <v>4284.46</v>
      </c>
      <c r="D9" s="11">
        <v>0</v>
      </c>
      <c r="E9" s="11">
        <f>'CESY EC 4-3'!AG21</f>
        <v>2322.65</v>
      </c>
      <c r="F9" s="11">
        <f>'CESY EC 4-3'!AF21</f>
        <v>1235.1199999999999</v>
      </c>
      <c r="G9" s="455" t="s">
        <v>441</v>
      </c>
      <c r="H9" s="455"/>
    </row>
    <row r="10" spans="1:8">
      <c r="A10" t="str">
        <f>'CESY EC 4-3'!B22</f>
        <v xml:space="preserve">  Manufacture of Textile,Wearing Apparel and Accessories</v>
      </c>
      <c r="B10" s="455" t="s">
        <v>440</v>
      </c>
      <c r="C10" s="11">
        <f>'CESY EC 4-3'!C22-SUM('CESY EC 4-3'!AF22:AH22)</f>
        <v>654.48</v>
      </c>
      <c r="D10" s="11">
        <v>0</v>
      </c>
      <c r="E10" s="11">
        <f>'CESY EC 4-3'!AG22</f>
        <v>317.08999999999997</v>
      </c>
      <c r="F10" s="11">
        <f>'CESY EC 4-3'!AF22</f>
        <v>11.36</v>
      </c>
      <c r="G10" s="455" t="s">
        <v>441</v>
      </c>
      <c r="H10" s="455"/>
    </row>
    <row r="11" spans="1:8">
      <c r="A11" t="str">
        <f>'CESY EC 4-3'!B23</f>
        <v xml:space="preserve">  Manufacture of Leather,Fur,Feather and Related Products and Footwear</v>
      </c>
      <c r="B11" s="455" t="s">
        <v>440</v>
      </c>
      <c r="C11" s="11">
        <f>'CESY EC 4-3'!C23-SUM('CESY EC 4-3'!AF23:AH23)</f>
        <v>321.26000000000005</v>
      </c>
      <c r="D11" s="11">
        <v>0</v>
      </c>
      <c r="E11" s="11">
        <f>'CESY EC 4-3'!AG23</f>
        <v>199.18</v>
      </c>
      <c r="F11" s="11">
        <f>'CESY EC 4-3'!AF23</f>
        <v>7.79</v>
      </c>
      <c r="G11" s="455" t="s">
        <v>441</v>
      </c>
      <c r="H11" s="455"/>
    </row>
    <row r="12" spans="1:8">
      <c r="A12" t="str">
        <f>'CESY EC 4-3'!B24</f>
        <v xml:space="preserve">  Processing of Timber,Manufacture of Wood,Bamboo,Rattan,Palm,
  Palm,and Straw Products</v>
      </c>
      <c r="B12" s="455" t="s">
        <v>440</v>
      </c>
      <c r="C12" s="11">
        <f>'CESY EC 4-3'!C24-SUM('CESY EC 4-3'!AF24:AH24)</f>
        <v>645.06000000000006</v>
      </c>
      <c r="D12" s="11">
        <v>0</v>
      </c>
      <c r="E12" s="11">
        <f>'CESY EC 4-3'!AG24</f>
        <v>406.53</v>
      </c>
      <c r="F12" s="11">
        <f>'CESY EC 4-3'!AF24</f>
        <v>32.53</v>
      </c>
      <c r="G12" s="455" t="s">
        <v>441</v>
      </c>
      <c r="H12" s="455"/>
    </row>
    <row r="13" spans="1:8">
      <c r="A13" t="str">
        <f>'CESY EC 4-3'!B25</f>
        <v xml:space="preserve">  Manufacture of Furniture</v>
      </c>
      <c r="B13" s="455" t="s">
        <v>440</v>
      </c>
      <c r="C13" s="11">
        <f>'CESY EC 4-3'!C25-SUM('CESY EC 4-3'!AF25:AH25)</f>
        <v>278.92999999999995</v>
      </c>
      <c r="D13" s="11">
        <v>0</v>
      </c>
      <c r="E13" s="11">
        <f>'CESY EC 4-3'!AG25</f>
        <v>174.77</v>
      </c>
      <c r="F13" s="11">
        <f>'CESY EC 4-3'!AF25</f>
        <v>2.1800000000000002</v>
      </c>
      <c r="G13" s="455" t="s">
        <v>441</v>
      </c>
      <c r="H13" s="455"/>
    </row>
    <row r="14" spans="1:8">
      <c r="A14" t="str">
        <f>'CESY EC 4-3'!B26</f>
        <v xml:space="preserve">  Manufacture of Paper and Paper Products</v>
      </c>
      <c r="B14" s="455" t="s">
        <v>440</v>
      </c>
      <c r="C14" s="11">
        <f>'CESY EC 4-3'!C26-SUM('CESY EC 4-3'!AF26:AH26)</f>
        <v>2089.4599999999996</v>
      </c>
      <c r="D14" s="11">
        <v>0</v>
      </c>
      <c r="E14" s="11">
        <f>'CESY EC 4-3'!AG26</f>
        <v>1043.9000000000001</v>
      </c>
      <c r="F14" s="11">
        <f>'CESY EC 4-3'!AF26</f>
        <v>1015.86</v>
      </c>
      <c r="G14" s="455" t="s">
        <v>441</v>
      </c>
      <c r="H14" s="455"/>
    </row>
    <row r="15" spans="1:8">
      <c r="A15" t="str">
        <f>'CESY EC 4-3'!B27</f>
        <v xml:space="preserve">  Printing and Reproduction of Recording Media</v>
      </c>
      <c r="B15" s="455" t="s">
        <v>440</v>
      </c>
      <c r="C15" s="11">
        <f>'CESY EC 4-3'!C27-SUM('CESY EC 4-3'!AF27:AH27)</f>
        <v>334.52</v>
      </c>
      <c r="D15" s="11">
        <v>0</v>
      </c>
      <c r="E15" s="11">
        <f>'CESY EC 4-3'!AG27</f>
        <v>181.87</v>
      </c>
      <c r="F15" s="11">
        <f>'CESY EC 4-3'!AF27</f>
        <v>30.5</v>
      </c>
      <c r="G15" s="455" t="s">
        <v>441</v>
      </c>
      <c r="H15" s="455"/>
    </row>
    <row r="16" spans="1:8">
      <c r="A16" t="str">
        <f>'CESY EC 4-3'!B28</f>
        <v xml:space="preserve">  Manufacture of Articles for Culture,Education,Arts and Crafts,
  Sport and Entertainment Activities</v>
      </c>
      <c r="B16" s="455" t="s">
        <v>440</v>
      </c>
      <c r="C16" s="11">
        <f>'CESY EC 4-3'!C28-SUM('CESY EC 4-3'!AF28:AH28)</f>
        <v>415.52</v>
      </c>
      <c r="D16" s="11">
        <v>0</v>
      </c>
      <c r="E16" s="11">
        <f>'CESY EC 4-3'!AG28</f>
        <v>122.42</v>
      </c>
      <c r="F16" s="11">
        <f>'CESY EC 4-3'!AF28</f>
        <v>5.82</v>
      </c>
      <c r="G16" s="455" t="s">
        <v>441</v>
      </c>
      <c r="H16" s="455"/>
    </row>
    <row r="17" spans="1:8">
      <c r="A17" t="str">
        <f>'CESY EC 4-3'!B29</f>
        <v xml:space="preserve">  Processing of Petroleum,Coal and Other Fuels</v>
      </c>
      <c r="B17" s="455" t="s">
        <v>440</v>
      </c>
      <c r="C17" s="11">
        <f>'CESY EC 4-3'!C29-SUM('CESY EC 4-3'!AF29:AH29)</f>
        <v>24200.449999999997</v>
      </c>
      <c r="D17" s="11">
        <v>0</v>
      </c>
      <c r="E17" s="11">
        <f>'CESY EC 4-3'!AG29</f>
        <v>1756.03</v>
      </c>
      <c r="F17" s="11">
        <f>'CESY EC 4-3'!AF29</f>
        <v>2596.02</v>
      </c>
      <c r="G17" s="455" t="s">
        <v>441</v>
      </c>
      <c r="H17" s="455"/>
    </row>
    <row r="18" spans="1:8">
      <c r="A18" t="str">
        <f>'CESY EC 4-3'!B30</f>
        <v xml:space="preserve">  Manufacture of Raw Chemical Materials and Chemical Products</v>
      </c>
      <c r="B18" s="455" t="s">
        <v>440</v>
      </c>
      <c r="C18" s="11">
        <f>'CESY EC 4-3'!C30-SUM('CESY EC 4-3'!AF30:AH30)</f>
        <v>42679.29</v>
      </c>
      <c r="D18" s="11">
        <v>0</v>
      </c>
      <c r="E18" s="11">
        <f>'CESY EC 4-3'!AG30</f>
        <v>7538.24</v>
      </c>
      <c r="F18" s="11">
        <f>'CESY EC 4-3'!AF30</f>
        <v>7593.36</v>
      </c>
      <c r="G18" s="455" t="s">
        <v>441</v>
      </c>
      <c r="H18" s="455"/>
    </row>
    <row r="19" spans="1:8">
      <c r="A19" t="str">
        <f>'CESY EC 4-3'!B31</f>
        <v xml:space="preserve">  Manufacture of Medicines</v>
      </c>
      <c r="B19" s="455" t="s">
        <v>440</v>
      </c>
      <c r="C19" s="11">
        <f>'CESY EC 4-3'!C31-SUM('CESY EC 4-3'!AF31:AH31)</f>
        <v>1327.61</v>
      </c>
      <c r="D19" s="11">
        <v>0</v>
      </c>
      <c r="E19" s="11">
        <f>'CESY EC 4-3'!AG31</f>
        <v>599.21</v>
      </c>
      <c r="F19" s="11">
        <f>'CESY EC 4-3'!AF31</f>
        <v>429.57</v>
      </c>
      <c r="G19" s="455" t="s">
        <v>441</v>
      </c>
      <c r="H19" s="455"/>
    </row>
    <row r="20" spans="1:8">
      <c r="A20" t="str">
        <f>'CESY EC 4-3'!B32</f>
        <v xml:space="preserve">  Manufacture of Chemical Fibers</v>
      </c>
      <c r="B20" s="455" t="s">
        <v>440</v>
      </c>
      <c r="C20" s="11">
        <f>'CESY EC 4-3'!C32-SUM('CESY EC 4-3'!AF32:AH32)</f>
        <v>1555.63</v>
      </c>
      <c r="D20" s="11">
        <v>0</v>
      </c>
      <c r="E20" s="11">
        <f>'CESY EC 4-3'!AG32</f>
        <v>629.45000000000005</v>
      </c>
      <c r="F20" s="11">
        <f>'CESY EC 4-3'!AF32</f>
        <v>519.5</v>
      </c>
      <c r="G20" s="455" t="s">
        <v>441</v>
      </c>
      <c r="H20" s="455"/>
    </row>
    <row r="21" spans="1:8">
      <c r="A21" t="str">
        <f>'CESY EC 4-3'!B33</f>
        <v xml:space="preserve">  Manufacture of Rubber and Plastics Products</v>
      </c>
      <c r="B21" s="455" t="s">
        <v>440</v>
      </c>
      <c r="C21" s="11">
        <f>'CESY EC 4-3'!C33-SUM('CESY EC 4-3'!AF33:AH33)</f>
        <v>3355.8100000000004</v>
      </c>
      <c r="D21" s="11">
        <v>0</v>
      </c>
      <c r="E21" s="11">
        <f>'CESY EC 4-3'!AG33</f>
        <v>2034.97</v>
      </c>
      <c r="F21" s="11">
        <f>'CESY EC 4-3'!AF33</f>
        <v>134.36000000000001</v>
      </c>
      <c r="G21" s="455" t="s">
        <v>441</v>
      </c>
      <c r="H21" s="455"/>
    </row>
    <row r="22" spans="1:8">
      <c r="A22" t="str">
        <f>'CESY EC 4-3'!B34</f>
        <v xml:space="preserve">  Manufacture of Non-metallic Mineral Products</v>
      </c>
      <c r="B22" s="455" t="s">
        <v>440</v>
      </c>
      <c r="C22" s="11">
        <f>'CESY EC 4-3'!C34-SUM('CESY EC 4-3'!AF34:AH34)</f>
        <v>31733.239999999998</v>
      </c>
      <c r="D22" s="11">
        <v>0</v>
      </c>
      <c r="E22" s="11">
        <f>'CESY EC 4-3'!AG34</f>
        <v>5102.91</v>
      </c>
      <c r="F22" s="11">
        <f>'CESY EC 4-3'!AF34</f>
        <v>195.78</v>
      </c>
      <c r="G22" s="455" t="s">
        <v>441</v>
      </c>
      <c r="H22" s="455"/>
    </row>
    <row r="23" spans="1:8">
      <c r="A23" t="str">
        <f>'CESY EC 4-3'!B35</f>
        <v xml:space="preserve">  Smelting and Pressing of Ferrous Metals</v>
      </c>
      <c r="B23" s="455" t="s">
        <v>440</v>
      </c>
      <c r="C23" s="11">
        <f>'CESY EC 4-3'!C35-SUM('CESY EC 4-3'!AF35:AH35)-$C$47</f>
        <v>36882.55999999999</v>
      </c>
      <c r="D23" s="11">
        <v>0</v>
      </c>
      <c r="E23" s="11">
        <f>'CESY EC 4-3'!AG35</f>
        <v>8747.86</v>
      </c>
      <c r="F23" s="11">
        <f>'CESY EC 4-3'!AF35</f>
        <v>608.44000000000005</v>
      </c>
      <c r="G23" s="455" t="s">
        <v>441</v>
      </c>
      <c r="H23" s="455" t="s">
        <v>4915</v>
      </c>
    </row>
    <row r="24" spans="1:8">
      <c r="A24" t="str">
        <f>'CESY EC 4-3'!B36</f>
        <v xml:space="preserve">  Smelting and Pressing of Non-ferrous Metals</v>
      </c>
      <c r="B24" s="455" t="s">
        <v>440</v>
      </c>
      <c r="C24" s="11">
        <f>'CESY EC 4-3'!C36-SUM('CESY EC 4-3'!AF36:AH36)</f>
        <v>16254.760000000002</v>
      </c>
      <c r="D24" s="11">
        <v>0</v>
      </c>
      <c r="E24" s="11">
        <f>'CESY EC 4-3'!AG36</f>
        <v>9144.32</v>
      </c>
      <c r="F24" s="11">
        <f>'CESY EC 4-3'!AF36</f>
        <v>882.3</v>
      </c>
      <c r="G24" s="455" t="s">
        <v>441</v>
      </c>
      <c r="H24" s="455"/>
    </row>
    <row r="25" spans="1:8">
      <c r="A25" t="str">
        <f>'CESY EC 4-3'!B37</f>
        <v xml:space="preserve">  Manufacture of Metal Products</v>
      </c>
      <c r="B25" s="455" t="s">
        <v>440</v>
      </c>
      <c r="C25" s="11">
        <f>'CESY EC 4-3'!C37-SUM('CESY EC 4-3'!AF37:AH37)</f>
        <v>4867.4599999999991</v>
      </c>
      <c r="D25" s="11">
        <v>0</v>
      </c>
      <c r="E25" s="11">
        <f>'CESY EC 4-3'!AG37</f>
        <v>2133.0700000000002</v>
      </c>
      <c r="F25" s="11">
        <f>'CESY EC 4-3'!AF37</f>
        <v>27.06</v>
      </c>
      <c r="G25" s="455" t="s">
        <v>441</v>
      </c>
      <c r="H25" s="455"/>
    </row>
    <row r="26" spans="1:8">
      <c r="A26" t="str">
        <f>'CESY EC 4-3'!B38</f>
        <v xml:space="preserve">  Manufacture of General Purpose Machinery</v>
      </c>
      <c r="B26" s="455" t="s">
        <v>440</v>
      </c>
      <c r="C26" s="11">
        <f>'CESY EC 4-3'!C38-SUM('CESY EC 4-3'!AF38:AH38)</f>
        <v>2787.5900000000006</v>
      </c>
      <c r="D26" s="11">
        <v>0</v>
      </c>
      <c r="E26" s="11">
        <f>'CESY EC 4-3'!AG38</f>
        <v>1538</v>
      </c>
      <c r="F26" s="11">
        <f>'CESY EC 4-3'!AF38</f>
        <v>15.06</v>
      </c>
      <c r="G26" s="455" t="s">
        <v>441</v>
      </c>
      <c r="H26" s="455"/>
    </row>
    <row r="27" spans="1:8">
      <c r="A27" t="str">
        <f>'CESY EC 4-3'!B39</f>
        <v xml:space="preserve">  Manufacture of Special Purpose Machinery</v>
      </c>
      <c r="B27" s="455" t="s">
        <v>440</v>
      </c>
      <c r="C27" s="11">
        <f>'CESY EC 4-3'!C39-SUM('CESY EC 4-3'!AF39:AH39)</f>
        <v>1265.9099999999999</v>
      </c>
      <c r="D27" s="11">
        <v>0</v>
      </c>
      <c r="E27" s="11">
        <f>'CESY EC 4-3'!AG39</f>
        <v>685.15</v>
      </c>
      <c r="F27" s="11">
        <f>'CESY EC 4-3'!AF39</f>
        <v>34.909999999999997</v>
      </c>
      <c r="G27" s="455" t="s">
        <v>441</v>
      </c>
      <c r="H27" s="455"/>
    </row>
    <row r="28" spans="1:8">
      <c r="A28" t="str">
        <f>'CESY EC 4-3'!B40</f>
        <v xml:space="preserve">  Manufacture of Automobiles</v>
      </c>
      <c r="B28" s="455" t="s">
        <v>440</v>
      </c>
      <c r="C28" s="11">
        <f>'CESY EC 4-3'!C40-SUM('CESY EC 4-3'!AF40:AH40)</f>
        <v>2878.3999999999996</v>
      </c>
      <c r="D28" s="11">
        <v>0</v>
      </c>
      <c r="E28" s="11">
        <f>'CESY EC 4-3'!AG40</f>
        <v>1665.55</v>
      </c>
      <c r="F28" s="11">
        <f>'CESY EC 4-3'!AF40</f>
        <v>90.25</v>
      </c>
      <c r="G28" s="455" t="s">
        <v>441</v>
      </c>
      <c r="H28" s="455"/>
    </row>
    <row r="29" spans="1:8">
      <c r="A29" t="str">
        <f>'CESY EC 4-3'!B41</f>
        <v xml:space="preserve">  Manufacture of Railway,Ship,Aerospace and Other Transport Equipments</v>
      </c>
      <c r="B29" s="455" t="s">
        <v>440</v>
      </c>
      <c r="C29" s="11">
        <f>'CESY EC 4-3'!C41-SUM('CESY EC 4-3'!AF41:AH41)</f>
        <v>679.22</v>
      </c>
      <c r="D29" s="11">
        <v>0</v>
      </c>
      <c r="E29" s="11">
        <f>'CESY EC 4-3'!AG41</f>
        <v>209.5</v>
      </c>
      <c r="F29" s="11">
        <f>'CESY EC 4-3'!AF41</f>
        <v>20.2</v>
      </c>
      <c r="G29" s="455" t="s">
        <v>441</v>
      </c>
      <c r="H29" s="455"/>
    </row>
    <row r="30" spans="1:8">
      <c r="A30" t="str">
        <f>'CESY EC 4-3'!B42</f>
        <v xml:space="preserve">  Manufacture of Electrical Machinery and Apparatus</v>
      </c>
      <c r="B30" s="455" t="s">
        <v>440</v>
      </c>
      <c r="C30" s="11">
        <f>'CESY EC 4-3'!C42-SUM('CESY EC 4-3'!AF42:AH42)</f>
        <v>2404.11</v>
      </c>
      <c r="D30" s="11">
        <v>0</v>
      </c>
      <c r="E30" s="11">
        <f>'CESY EC 4-3'!AG42</f>
        <v>1438.55</v>
      </c>
      <c r="F30" s="11">
        <f>'CESY EC 4-3'!AF42</f>
        <v>62.5</v>
      </c>
      <c r="G30" s="455" t="s">
        <v>441</v>
      </c>
      <c r="H30" s="455"/>
    </row>
    <row r="31" spans="1:8">
      <c r="A31" t="str">
        <f>'CESY EC 4-3'!B43</f>
        <v xml:space="preserve">  Manufacture of Computers,Communication and Other Electronic Equipment</v>
      </c>
      <c r="B31" s="455" t="s">
        <v>440</v>
      </c>
      <c r="C31" s="11">
        <f>'CESY EC 4-3'!C43-SUM('CESY EC 4-3'!AF43:AH43)</f>
        <v>3611.5800000000004</v>
      </c>
      <c r="D31" s="11">
        <v>0</v>
      </c>
      <c r="E31" s="11">
        <f>'CESY EC 4-3'!AG43</f>
        <v>2310.52</v>
      </c>
      <c r="F31" s="11">
        <f>'CESY EC 4-3'!AF43</f>
        <v>77.19</v>
      </c>
      <c r="G31" s="455" t="s">
        <v>441</v>
      </c>
      <c r="H31" s="455"/>
    </row>
    <row r="32" spans="1:8">
      <c r="A32" t="str">
        <f>'CESY EC 4-3'!B44</f>
        <v xml:space="preserve">  Manufacture of Measuring Instruments and Machinery</v>
      </c>
      <c r="B32" s="455" t="s">
        <v>440</v>
      </c>
      <c r="C32" s="11">
        <f>'CESY EC 4-3'!C44-SUM('CESY EC 4-3'!AF44:AH44)</f>
        <v>175.63</v>
      </c>
      <c r="D32" s="11">
        <v>0</v>
      </c>
      <c r="E32" s="11">
        <f>'CESY EC 4-3'!AG44</f>
        <v>110.43</v>
      </c>
      <c r="F32" s="11">
        <f>'CESY EC 4-3'!AF44</f>
        <v>2.25</v>
      </c>
      <c r="G32" s="455" t="s">
        <v>441</v>
      </c>
      <c r="H32" s="455"/>
    </row>
    <row r="33" spans="1:8">
      <c r="A33" t="str">
        <f>'CESY EC 4-3'!B45</f>
        <v xml:space="preserve">  Other Manufacture</v>
      </c>
      <c r="B33" s="455" t="s">
        <v>440</v>
      </c>
      <c r="C33" s="11">
        <f>'CESY EC 4-3'!C45-SUM('CESY EC 4-3'!AF45:AH45)</f>
        <v>1343.52</v>
      </c>
      <c r="D33" s="11">
        <v>0</v>
      </c>
      <c r="E33" s="11">
        <f>'CESY EC 4-3'!AG45</f>
        <v>912.39</v>
      </c>
      <c r="F33" s="11">
        <f>'CESY EC 4-3'!AF45</f>
        <v>3.79</v>
      </c>
      <c r="G33" s="455" t="s">
        <v>441</v>
      </c>
      <c r="H33" s="455"/>
    </row>
    <row r="34" spans="1:8">
      <c r="A34" t="str">
        <f>'CESY EC 4-3'!B46</f>
        <v xml:space="preserve">  Utilization of Waste Resources</v>
      </c>
      <c r="B34" s="455" t="s">
        <v>440</v>
      </c>
      <c r="C34" s="11">
        <f>'CESY EC 4-3'!C46-SUM('CESY EC 4-3'!AF46:AH46)</f>
        <v>613.46</v>
      </c>
      <c r="D34" s="11">
        <v>0</v>
      </c>
      <c r="E34" s="11">
        <f>'CESY EC 4-3'!AG46</f>
        <v>103.98</v>
      </c>
      <c r="F34" s="11">
        <f>'CESY EC 4-3'!AF46</f>
        <v>5.81</v>
      </c>
      <c r="G34" s="455" t="s">
        <v>441</v>
      </c>
      <c r="H34" s="455"/>
    </row>
    <row r="35" spans="1:8">
      <c r="A35" t="str">
        <f>'CESY EC 4-3'!B47</f>
        <v xml:space="preserve">  Repair Service of Metal Products,Machinery and Equipment</v>
      </c>
      <c r="B35" s="455" t="s">
        <v>440</v>
      </c>
      <c r="C35" s="11">
        <f>'CESY EC 4-3'!C47-SUM('CESY EC 4-3'!AF47:AH47)</f>
        <v>49.11</v>
      </c>
      <c r="D35" s="11">
        <v>0</v>
      </c>
      <c r="E35" s="11">
        <f>'CESY EC 4-3'!AG47</f>
        <v>19.71</v>
      </c>
      <c r="F35" s="11">
        <f>'CESY EC 4-3'!AF47</f>
        <v>0.73</v>
      </c>
      <c r="G35" s="455" t="s">
        <v>441</v>
      </c>
      <c r="H35" s="455"/>
    </row>
    <row r="36" spans="1:8">
      <c r="A36" s="894" t="s">
        <v>428</v>
      </c>
      <c r="B36" s="455" t="s">
        <v>442</v>
      </c>
      <c r="C36" s="11">
        <f>('CESY NEBS 5-2'!C31)-SUM('CESY NEBS 5-2'!AH31:AJ31)</f>
        <v>6984.91</v>
      </c>
      <c r="D36" s="11">
        <v>0</v>
      </c>
      <c r="E36" s="11">
        <f>'CESY NEBS 5-2'!AI31</f>
        <v>1962.15</v>
      </c>
      <c r="F36" s="11">
        <f>'CESY NEBS 5-2'!AH31</f>
        <v>4.8</v>
      </c>
      <c r="G36" s="455" t="s">
        <v>441</v>
      </c>
      <c r="H36" s="455" t="s">
        <v>411</v>
      </c>
    </row>
    <row r="37" spans="1:8">
      <c r="A37" s="894" t="s">
        <v>438</v>
      </c>
      <c r="B37" s="455" t="s">
        <v>442</v>
      </c>
      <c r="C37" s="11">
        <f>('CESY NEBS 5-2'!C34)-SUM('CESY NEBS 5-2'!AH34:AJ34)</f>
        <v>8120.51</v>
      </c>
      <c r="D37" s="11">
        <v>0</v>
      </c>
      <c r="E37" s="11">
        <f>'CESY NEBS 5-2'!AI34</f>
        <v>1392.33</v>
      </c>
      <c r="F37" s="11">
        <f>'CESY NEBS 5-2'!AH34</f>
        <v>68.78</v>
      </c>
      <c r="G37" s="455" t="s">
        <v>441</v>
      </c>
      <c r="H37" s="455" t="s">
        <v>411</v>
      </c>
    </row>
    <row r="38" spans="1:8">
      <c r="A38" s="894" t="s">
        <v>432</v>
      </c>
      <c r="B38" s="455" t="s">
        <v>440</v>
      </c>
      <c r="C38" s="11">
        <f>'CESY EC 4-3'!C8-SUM('CESY EC 4-3'!AF8:AH8)</f>
        <v>9973.8799999999992</v>
      </c>
      <c r="D38" s="11">
        <v>0</v>
      </c>
      <c r="E38" s="11">
        <f>'CESY EC 4-3'!AG8</f>
        <v>3463.94</v>
      </c>
      <c r="F38" s="11">
        <f>'CESY EC 4-3'!AF8</f>
        <v>188.36</v>
      </c>
      <c r="G38" s="455" t="s">
        <v>441</v>
      </c>
      <c r="H38" s="455" t="s">
        <v>411</v>
      </c>
    </row>
    <row r="40" spans="1:8">
      <c r="A40" s="55" t="s">
        <v>412</v>
      </c>
      <c r="B40" s="56"/>
      <c r="C40" s="56"/>
      <c r="D40" s="56"/>
      <c r="E40" s="56"/>
      <c r="F40" s="56"/>
      <c r="G40" s="56"/>
    </row>
    <row r="41" spans="1:8" s="5" customFormat="1" ht="16">
      <c r="A41" s="57" t="s">
        <v>413</v>
      </c>
      <c r="B41" s="1740" t="s">
        <v>4693</v>
      </c>
      <c r="C41" s="58" t="s">
        <v>414</v>
      </c>
      <c r="D41" s="57" t="s">
        <v>4163</v>
      </c>
      <c r="G41" s="57" t="s">
        <v>41</v>
      </c>
    </row>
    <row r="42" spans="1:8">
      <c r="A42" s="1736" t="s">
        <v>446</v>
      </c>
      <c r="B42" s="1736" t="s">
        <v>4694</v>
      </c>
      <c r="C42" s="1737">
        <f>'EPS China Non-Energy Fuel Use'!E3/10^12</f>
        <v>1077.6400000000001</v>
      </c>
      <c r="D42" s="1738" t="s">
        <v>141</v>
      </c>
      <c r="E42" s="1736"/>
      <c r="F42" s="1736"/>
      <c r="G42" s="1736" t="s">
        <v>445</v>
      </c>
    </row>
    <row r="43" spans="1:8">
      <c r="A43" s="1736" t="s">
        <v>446</v>
      </c>
      <c r="B43" s="1736" t="s">
        <v>4694</v>
      </c>
      <c r="C43" s="1737">
        <f>'EPS China Non-Energy Fuel Use'!E4/10^12</f>
        <v>422.32100000000003</v>
      </c>
      <c r="D43" s="1738" t="s">
        <v>1098</v>
      </c>
      <c r="E43" s="1736"/>
      <c r="F43" s="1736"/>
      <c r="G43" s="1736" t="s">
        <v>445</v>
      </c>
    </row>
    <row r="44" spans="1:8">
      <c r="A44" s="1736" t="s">
        <v>446</v>
      </c>
      <c r="B44" s="1736" t="s">
        <v>4694</v>
      </c>
      <c r="C44" s="1737">
        <f>'EPS China Non-Energy Fuel Use'!E10/10^12</f>
        <v>2497.16</v>
      </c>
      <c r="D44" s="1738" t="s">
        <v>4695</v>
      </c>
      <c r="E44" s="1736"/>
      <c r="F44" s="1736"/>
      <c r="G44" s="1736" t="s">
        <v>445</v>
      </c>
    </row>
    <row r="45" spans="1:8">
      <c r="A45" s="1736" t="s">
        <v>446</v>
      </c>
      <c r="B45" s="1736" t="s">
        <v>4694</v>
      </c>
      <c r="C45" s="1737">
        <f>SUM('EPS China Non-Energy Fuel Use'!E6,'EPS China Non-Energy Fuel Use'!D9)/10^12</f>
        <v>677.9</v>
      </c>
      <c r="D45" s="1738" t="s">
        <v>4696</v>
      </c>
      <c r="E45" s="1736"/>
      <c r="F45" s="1736"/>
      <c r="G45" s="1736" t="s">
        <v>445</v>
      </c>
    </row>
    <row r="46" spans="1:8">
      <c r="A46" s="1736"/>
      <c r="B46" s="1736"/>
      <c r="C46" s="1737"/>
      <c r="D46" s="3"/>
      <c r="E46" s="1736"/>
      <c r="F46" s="1736"/>
      <c r="G46" s="1736"/>
    </row>
    <row r="47" spans="1:8" ht="16">
      <c r="A47" s="1736" t="s">
        <v>449</v>
      </c>
      <c r="B47" s="455" t="s">
        <v>440</v>
      </c>
      <c r="C47" s="1741">
        <f>'CESY EC 4-3'!I35</f>
        <v>38097.99</v>
      </c>
      <c r="D47" s="1739" t="s">
        <v>4697</v>
      </c>
      <c r="E47" s="1736"/>
      <c r="F47" s="1736"/>
      <c r="G47" s="455" t="s">
        <v>441</v>
      </c>
    </row>
    <row r="49" spans="1:8">
      <c r="A49" s="55" t="s">
        <v>415</v>
      </c>
      <c r="B49" s="56"/>
      <c r="C49" s="56"/>
      <c r="D49" s="56"/>
      <c r="E49" s="56"/>
      <c r="F49" s="56"/>
      <c r="G49" s="56"/>
    </row>
    <row r="50" spans="1:8" ht="32">
      <c r="B50" s="1740" t="s">
        <v>439</v>
      </c>
      <c r="C50" s="58" t="s">
        <v>407</v>
      </c>
      <c r="D50" s="58" t="s">
        <v>408</v>
      </c>
      <c r="E50" s="58" t="s">
        <v>409</v>
      </c>
      <c r="F50" s="893" t="s">
        <v>5500</v>
      </c>
    </row>
    <row r="51" spans="1:8">
      <c r="A51" s="455" t="s">
        <v>443</v>
      </c>
      <c r="B51" s="455" t="s">
        <v>440</v>
      </c>
      <c r="C51" s="455">
        <f>'CESY EC 4-3'!C48-'CESY EC 4-3'!AG48</f>
        <v>13456.56</v>
      </c>
      <c r="D51" s="455">
        <v>0</v>
      </c>
      <c r="E51" s="455">
        <f>'CESY EC 4-3'!AG48</f>
        <v>8776.1</v>
      </c>
      <c r="F51" s="455">
        <f>'CESY EC 4-3'!AF48</f>
        <v>506.59</v>
      </c>
      <c r="G51" s="455" t="s">
        <v>441</v>
      </c>
      <c r="H51" s="455"/>
    </row>
    <row r="52" spans="1:8">
      <c r="A52" t="s">
        <v>416</v>
      </c>
      <c r="B52" t="s">
        <v>442</v>
      </c>
      <c r="C52" s="455">
        <f>('CESY NEBS 5-2'!C38)-('CESY NEBS 5-2'!AI38)</f>
        <v>52390.599999999991</v>
      </c>
      <c r="D52" s="455">
        <v>0</v>
      </c>
      <c r="E52" s="455">
        <f>'CESY NEBS 5-2'!AI38</f>
        <v>15090.77</v>
      </c>
      <c r="F52" s="455">
        <f>'CESY NEBS 5-2'!AH38</f>
        <v>5388.42</v>
      </c>
      <c r="G52" s="455" t="s">
        <v>441</v>
      </c>
    </row>
    <row r="53" spans="1:8">
      <c r="A53" t="s">
        <v>451</v>
      </c>
      <c r="B53" t="s">
        <v>442</v>
      </c>
      <c r="C53" s="455">
        <f>('CESY NEBS 5-2'!C35)-('CESY NEBS 5-2'!AI35)</f>
        <v>41263.740000000005</v>
      </c>
      <c r="D53" s="455">
        <v>0</v>
      </c>
      <c r="E53" s="455">
        <f>'CESY NEBS 5-2'!AI35</f>
        <v>2449.42</v>
      </c>
      <c r="F53" s="455">
        <f>'CESY NEBS 5-2'!AH35</f>
        <v>141.36000000000001</v>
      </c>
      <c r="G53" s="455" t="s">
        <v>441</v>
      </c>
    </row>
    <row r="54" spans="1:8">
      <c r="A54" t="s">
        <v>452</v>
      </c>
      <c r="B54" t="s">
        <v>442</v>
      </c>
      <c r="C54" s="455">
        <f>('CESY NEBS 5-2'!C36)-('CESY NEBS 5-2'!AI36)</f>
        <v>10141.91</v>
      </c>
      <c r="D54" s="455">
        <v>0</v>
      </c>
      <c r="E54" s="455">
        <f>'CESY NEBS 5-2'!AI36</f>
        <v>4755.7299999999996</v>
      </c>
      <c r="F54" s="455">
        <f>'CESY NEBS 5-2'!AH36</f>
        <v>403.94</v>
      </c>
      <c r="G54" s="455" t="s">
        <v>441</v>
      </c>
    </row>
    <row r="55" spans="1:8">
      <c r="A55" t="s">
        <v>453</v>
      </c>
      <c r="B55" t="s">
        <v>442</v>
      </c>
      <c r="C55" s="455">
        <f>('CESY NEBS 5-2'!C37)-('CESY NEBS 5-2'!AI37)</f>
        <v>22290.17</v>
      </c>
      <c r="D55" s="455">
        <v>0</v>
      </c>
      <c r="E55" s="455">
        <f>'CESY NEBS 5-2'!AI37</f>
        <v>9471.7000000000007</v>
      </c>
      <c r="F55" s="455">
        <f>'CESY NEBS 5-2'!AH37</f>
        <v>754.07</v>
      </c>
      <c r="G55" s="455" t="s">
        <v>441</v>
      </c>
    </row>
  </sheetData>
  <pageMargins left="0.7" right="0.7" top="0.75" bottom="0.75" header="0.3" footer="0.3"/>
  <pageSetup orientation="portrait" horizontalDpi="0" verticalDpi="0" r:id="rId1"/>
  <ignoredErrors>
    <ignoredError sqref="C38 C5:C35" formulaRange="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8959F-6E07-4A4F-9154-FD9BF271707A}">
  <sheetPr codeName="Sheet11">
    <tabColor theme="4" tint="0.59999389629810485"/>
  </sheetPr>
  <dimension ref="A1:H33"/>
  <sheetViews>
    <sheetView workbookViewId="0"/>
  </sheetViews>
  <sheetFormatPr baseColWidth="10" defaultColWidth="8.83203125" defaultRowHeight="15"/>
  <cols>
    <col min="1" max="1" width="27.33203125" customWidth="1"/>
    <col min="2" max="2" width="19" customWidth="1"/>
    <col min="3" max="3" width="21.5" customWidth="1"/>
    <col min="4" max="4" width="27.6640625" customWidth="1"/>
    <col min="5" max="5" width="30" customWidth="1"/>
    <col min="6" max="6" width="20.33203125" customWidth="1"/>
    <col min="7" max="7" width="18.33203125" customWidth="1"/>
    <col min="8" max="8" width="65.5" customWidth="1"/>
  </cols>
  <sheetData>
    <row r="1" spans="1:8">
      <c r="A1" s="460" t="s">
        <v>404</v>
      </c>
      <c r="B1" s="460">
        <v>2021</v>
      </c>
    </row>
    <row r="3" spans="1:8">
      <c r="A3" s="890" t="s">
        <v>405</v>
      </c>
      <c r="B3" s="891"/>
      <c r="C3" s="891"/>
      <c r="D3" s="891"/>
      <c r="E3" s="891"/>
      <c r="F3" s="891"/>
      <c r="G3" s="891"/>
      <c r="H3" s="891"/>
    </row>
    <row r="4" spans="1:8" s="5" customFormat="1" ht="32">
      <c r="A4" s="892" t="s">
        <v>406</v>
      </c>
      <c r="B4" s="893" t="s">
        <v>5862</v>
      </c>
      <c r="C4" s="893" t="s">
        <v>407</v>
      </c>
      <c r="D4" s="893" t="s">
        <v>4911</v>
      </c>
      <c r="E4" s="893" t="s">
        <v>409</v>
      </c>
      <c r="F4" s="893" t="s">
        <v>5500</v>
      </c>
      <c r="G4" s="892" t="s">
        <v>41</v>
      </c>
      <c r="H4" s="892" t="s">
        <v>62</v>
      </c>
    </row>
    <row r="5" spans="1:8">
      <c r="A5" s="455" t="str" cm="1">
        <f t="array" aca="1" ref="A5" ca="1">INDIRECT(_xlfn.CONCAT("'JRC-IDEES ",B5,"'!A1"))</f>
        <v>Iron &amp; steel</v>
      </c>
      <c r="B5" s="455" t="s">
        <v>5737</v>
      </c>
      <c r="C5" s="470" cm="1">
        <f t="array" aca="1" ref="C5" ca="1">INDIRECT(_xlfn.CONCAT("'JRC-IDEES ",B5,"'!X3"))+INDIRECT(_xlfn.CONCAT("'JRC-IDEES ",B5,"'!X17"))+INDIRECT(_xlfn.CONCAT("'JRC-IDEES ",B5,"'!X26"))+INDIRECT(_xlfn.CONCAT("'JRC-IDEES ",B5,"'!X51"))+INDIRECT(_xlfn.CONCAT("'JRC-IDEES ",B5,"'!X71"))-'JRC-IDEES FC_IND_IS_E'!X13</f>
        <v>13522.104457437661</v>
      </c>
      <c r="D5" s="455" cm="1">
        <f t="array" aca="1" ref="D5" ca="1">INDIRECT(_xlfn.CONCAT("'JRC-IDEES ",B5,"'!X52"))</f>
        <v>47.186050571725225</v>
      </c>
      <c r="E5" s="455" cm="1">
        <f t="array" aca="1" ref="E5" ca="1">INDIRECT(_xlfn.CONCAT("'JRC-IDEES ",B5,"'!X76"))</f>
        <v>9037.2053224419615</v>
      </c>
      <c r="F5" s="455" cm="1">
        <f t="array" aca="1" ref="F5" ca="1">INDIRECT(_xlfn.CONCAT("'JRC-IDEES ",B5,"'!X75"))</f>
        <v>423.619690455718</v>
      </c>
      <c r="G5" s="455" t="s">
        <v>437</v>
      </c>
      <c r="H5" s="470" t="s">
        <v>4915</v>
      </c>
    </row>
    <row r="6" spans="1:8">
      <c r="A6" s="455" t="str" cm="1">
        <f t="array" aca="1" ref="A6" ca="1">INDIRECT(_xlfn.CONCAT("'JRC-IDEES ",B6,"'!A1"))</f>
        <v>Non-ferrous metals</v>
      </c>
      <c r="B6" s="455" t="s">
        <v>5842</v>
      </c>
      <c r="C6" s="455" cm="1">
        <f t="array" aca="1" ref="C6" ca="1">INDIRECT(_xlfn.CONCAT("'JRC-IDEES ",B6,"'!X3"))+INDIRECT(_xlfn.CONCAT("'JRC-IDEES ",B6,"'!X17"))+INDIRECT(_xlfn.CONCAT("'JRC-IDEES ",B6,"'!X26"))+INDIRECT(_xlfn.CONCAT("'JRC-IDEES ",B6,"'!X51"))+INDIRECT(_xlfn.CONCAT("'JRC-IDEES ",B6,"'!X71"))</f>
        <v>4226.146617368875</v>
      </c>
      <c r="D6" s="455" cm="1">
        <f t="array" aca="1" ref="D6" ca="1">INDIRECT(_xlfn.CONCAT("'JRC-IDEES ",B6,"'!X52"))</f>
        <v>19.874415918552181</v>
      </c>
      <c r="E6" s="455" cm="1">
        <f t="array" aca="1" ref="E6" ca="1">INDIRECT(_xlfn.CONCAT("'JRC-IDEES ",B6,"'!X76"))</f>
        <v>5111.765270851246</v>
      </c>
      <c r="F6" s="455" cm="1">
        <f t="array" aca="1" ref="F6" ca="1">INDIRECT(_xlfn.CONCAT("'JRC-IDEES ",B6,"'!X75"))</f>
        <v>139.4652622527945</v>
      </c>
      <c r="G6" s="455" t="s">
        <v>437</v>
      </c>
      <c r="H6" s="455"/>
    </row>
    <row r="7" spans="1:8">
      <c r="A7" s="455" t="str" cm="1">
        <f t="array" aca="1" ref="A7" ca="1">INDIRECT(_xlfn.CONCAT("'JRC-IDEES ",B7,"'!A1"))</f>
        <v>Chemical &amp; petrochemical</v>
      </c>
      <c r="B7" s="455" t="s">
        <v>5844</v>
      </c>
      <c r="C7" s="455" cm="1">
        <f t="array" aca="1" ref="C7" ca="1">INDIRECT(_xlfn.CONCAT("'JRC-IDEES ",B7,"'!X3"))+INDIRECT(_xlfn.CONCAT("'JRC-IDEES ",B7,"'!X17"))+INDIRECT(_xlfn.CONCAT("'JRC-IDEES ",B7,"'!X26"))+INDIRECT(_xlfn.CONCAT("'JRC-IDEES ",B7,"'!X51"))+INDIRECT(_xlfn.CONCAT("'JRC-IDEES ",B7,"'!X71"))</f>
        <v>29755.8339638865</v>
      </c>
      <c r="D7" s="455" cm="1">
        <f t="array" aca="1" ref="D7" ca="1">INDIRECT(_xlfn.CONCAT("'JRC-IDEES ",B7,"'!X52"))</f>
        <v>478.50929787338981</v>
      </c>
      <c r="E7" s="455" cm="1">
        <f t="array" aca="1" ref="E7" ca="1">INDIRECT(_xlfn.CONCAT("'JRC-IDEES ",B7,"'!X76"))</f>
        <v>14295.423645743764</v>
      </c>
      <c r="F7" s="455" cm="1">
        <f t="array" aca="1" ref="F7" ca="1">INDIRECT(_xlfn.CONCAT("'JRC-IDEES ",B7,"'!X75"))</f>
        <v>7232.430266552019</v>
      </c>
      <c r="G7" s="455" t="s">
        <v>437</v>
      </c>
      <c r="H7" s="455"/>
    </row>
    <row r="8" spans="1:8">
      <c r="A8" s="455" t="str" cm="1">
        <f t="array" aca="1" ref="A8" ca="1">INDIRECT(_xlfn.CONCAT("'JRC-IDEES ",B8,"'!A1"))</f>
        <v>Non-metallic minerals</v>
      </c>
      <c r="B8" s="455" t="s">
        <v>5846</v>
      </c>
      <c r="C8" s="455" cm="1">
        <f t="array" aca="1" ref="C8" ca="1">INDIRECT(_xlfn.CONCAT("'JRC-IDEES ",B8,"'!X3"))+INDIRECT(_xlfn.CONCAT("'JRC-IDEES ",B8,"'!X17"))+INDIRECT(_xlfn.CONCAT("'JRC-IDEES ",B8,"'!X26"))+INDIRECT(_xlfn.CONCAT("'JRC-IDEES ",B8,"'!X51"))+INDIRECT(_xlfn.CONCAT("'JRC-IDEES ",B8,"'!X71"))</f>
        <v>26419.928890799656</v>
      </c>
      <c r="D8" s="455" cm="1">
        <f t="array" aca="1" ref="D8" ca="1">INDIRECT(_xlfn.CONCAT("'JRC-IDEES ",B8,"'!X52"))</f>
        <v>1985.8683623674788</v>
      </c>
      <c r="E8" s="455" cm="1">
        <f t="array" aca="1" ref="E8" ca="1">INDIRECT(_xlfn.CONCAT("'JRC-IDEES ",B8,"'!X76"))</f>
        <v>5707.8884780739454</v>
      </c>
      <c r="F8" s="455" cm="1">
        <f t="array" aca="1" ref="F8" ca="1">INDIRECT(_xlfn.CONCAT("'JRC-IDEES ",B8,"'!X75"))</f>
        <v>246.85451418744617</v>
      </c>
      <c r="G8" s="455" t="s">
        <v>437</v>
      </c>
      <c r="H8" s="455"/>
    </row>
    <row r="9" spans="1:8">
      <c r="A9" s="455" t="str" cm="1">
        <f t="array" aca="1" ref="A9" ca="1">INDIRECT(_xlfn.CONCAT("'JRC-IDEES ",B9,"'!A1"))</f>
        <v>Paper, pulp &amp; printing</v>
      </c>
      <c r="B9" s="455" t="s">
        <v>5848</v>
      </c>
      <c r="C9" s="455" cm="1">
        <f t="array" aca="1" ref="C9" ca="1">INDIRECT(_xlfn.CONCAT("'JRC-IDEES ",B9,"'!X3"))+INDIRECT(_xlfn.CONCAT("'JRC-IDEES ",B9,"'!X17"))+INDIRECT(_xlfn.CONCAT("'JRC-IDEES ",B9,"'!X26"))+INDIRECT(_xlfn.CONCAT("'JRC-IDEES ",B9,"'!X51"))+INDIRECT(_xlfn.CONCAT("'JRC-IDEES ",B9,"'!X71"))</f>
        <v>9100.750988822012</v>
      </c>
      <c r="D9" s="455" cm="1">
        <f t="array" aca="1" ref="D9" ca="1">INDIRECT(_xlfn.CONCAT("'JRC-IDEES ",B9,"'!X52"))</f>
        <v>12832.948157429331</v>
      </c>
      <c r="E9" s="455" cm="1">
        <f t="array" aca="1" ref="E9" ca="1">INDIRECT(_xlfn.CONCAT("'JRC-IDEES ",B9,"'!X76"))</f>
        <v>8607.4308684436801</v>
      </c>
      <c r="F9" s="455" cm="1">
        <f t="array" aca="1" ref="F9" ca="1">INDIRECT(_xlfn.CONCAT("'JRC-IDEES ",B9,"'!X75"))</f>
        <v>2287.8486672398967</v>
      </c>
      <c r="G9" s="455" t="s">
        <v>437</v>
      </c>
      <c r="H9" s="455"/>
    </row>
    <row r="10" spans="1:8">
      <c r="A10" s="455" t="str" cm="1">
        <f t="array" aca="1" ref="A10" ca="1">INDIRECT(_xlfn.CONCAT("'JRC-IDEES ",B10,"'!A1"))</f>
        <v>Food, beverages &amp; tobacco</v>
      </c>
      <c r="B10" s="455" t="s">
        <v>5850</v>
      </c>
      <c r="C10" s="455" cm="1">
        <f t="array" aca="1" ref="C10" ca="1">INDIRECT(_xlfn.CONCAT("'JRC-IDEES ",B10,"'!X3"))+INDIRECT(_xlfn.CONCAT("'JRC-IDEES ",B10,"'!X17"))+INDIRECT(_xlfn.CONCAT("'JRC-IDEES ",B10,"'!X26"))+INDIRECT(_xlfn.CONCAT("'JRC-IDEES ",B10,"'!X51"))+INDIRECT(_xlfn.CONCAT("'JRC-IDEES ",B10,"'!X71"))</f>
        <v>16199.030524505588</v>
      </c>
      <c r="D10" s="455" cm="1">
        <f t="array" aca="1" ref="D10" ca="1">INDIRECT(_xlfn.CONCAT("'JRC-IDEES ",B10,"'!X52"))</f>
        <v>1374.7080710955042</v>
      </c>
      <c r="E10" s="455" cm="1">
        <f t="array" aca="1" ref="E10" ca="1">INDIRECT(_xlfn.CONCAT("'JRC-IDEES ",B10,"'!X76"))</f>
        <v>9704.5861564918341</v>
      </c>
      <c r="F10" s="455" cm="1">
        <f t="array" aca="1" ref="F10" ca="1">INDIRECT(_xlfn.CONCAT("'JRC-IDEES ",B10,"'!X75"))</f>
        <v>1578.0651762682714</v>
      </c>
      <c r="G10" s="455" t="s">
        <v>437</v>
      </c>
      <c r="H10" s="455"/>
    </row>
    <row r="11" spans="1:8">
      <c r="A11" s="455" t="str" cm="1">
        <f t="array" aca="1" ref="A11" ca="1">INDIRECT(_xlfn.CONCAT("'JRC-IDEES ",B11,"'!A1"))</f>
        <v>Transport equipment</v>
      </c>
      <c r="B11" s="455" t="s">
        <v>5852</v>
      </c>
      <c r="C11" s="455" cm="1">
        <f t="array" aca="1" ref="C11" ca="1">INDIRECT(_xlfn.CONCAT("'JRC-IDEES ",B11,"'!X3"))+INDIRECT(_xlfn.CONCAT("'JRC-IDEES ",B11,"'!X17"))+INDIRECT(_xlfn.CONCAT("'JRC-IDEES ",B11,"'!X26"))+INDIRECT(_xlfn.CONCAT("'JRC-IDEES ",B11,"'!X51"))+INDIRECT(_xlfn.CONCAT("'JRC-IDEES ",B11,"'!X71"))</f>
        <v>2569.0138435081685</v>
      </c>
      <c r="D11" s="455" cm="1">
        <f t="array" aca="1" ref="D11" ca="1">INDIRECT(_xlfn.CONCAT("'JRC-IDEES ",B11,"'!X52"))</f>
        <v>41.920092839747717</v>
      </c>
      <c r="E11" s="455" cm="1">
        <f t="array" aca="1" ref="E11" ca="1">INDIRECT(_xlfn.CONCAT("'JRC-IDEES ",B11,"'!X76"))</f>
        <v>3915.8177987962158</v>
      </c>
      <c r="F11" s="455" cm="1">
        <f t="array" aca="1" ref="F11" ca="1">INDIRECT(_xlfn.CONCAT("'JRC-IDEES ",B11,"'!X75"))</f>
        <v>574.60558899398109</v>
      </c>
      <c r="G11" s="455" t="s">
        <v>437</v>
      </c>
      <c r="H11" s="455"/>
    </row>
    <row r="12" spans="1:8">
      <c r="A12" s="455" t="str" cm="1">
        <f t="array" aca="1" ref="A12" ca="1">INDIRECT(_xlfn.CONCAT("'JRC-IDEES ",B12,"'!A1"))</f>
        <v>Machinery</v>
      </c>
      <c r="B12" s="455" t="s">
        <v>5854</v>
      </c>
      <c r="C12" s="455" cm="1">
        <f t="array" aca="1" ref="C12" ca="1">INDIRECT(_xlfn.CONCAT("'JRC-IDEES ",B12,"'!X3"))+INDIRECT(_xlfn.CONCAT("'JRC-IDEES ",B12,"'!X17"))+INDIRECT(_xlfn.CONCAT("'JRC-IDEES ",B12,"'!X26"))+INDIRECT(_xlfn.CONCAT("'JRC-IDEES ",B12,"'!X51"))+INDIRECT(_xlfn.CONCAT("'JRC-IDEES ",B12,"'!X71"))</f>
        <v>6982.3555460017196</v>
      </c>
      <c r="D12" s="455" cm="1">
        <f t="array" aca="1" ref="D12" ca="1">INDIRECT(_xlfn.CONCAT("'JRC-IDEES ",B12,"'!X52"))</f>
        <v>154.71325113555056</v>
      </c>
      <c r="E12" s="455" cm="1">
        <f t="array" aca="1" ref="E12" ca="1">INDIRECT(_xlfn.CONCAT("'JRC-IDEES ",B12,"'!X76"))</f>
        <v>9396.4006018916589</v>
      </c>
      <c r="F12" s="455" cm="1">
        <f t="array" aca="1" ref="F12" ca="1">INDIRECT(_xlfn.CONCAT("'JRC-IDEES ",B12,"'!X75"))</f>
        <v>666.85038693035256</v>
      </c>
      <c r="G12" s="455" t="s">
        <v>437</v>
      </c>
      <c r="H12" s="455"/>
    </row>
    <row r="13" spans="1:8">
      <c r="A13" s="455" t="str" cm="1">
        <f t="array" aca="1" ref="A13" ca="1">INDIRECT(_xlfn.CONCAT("'JRC-IDEES ",B13,"'!A1"))</f>
        <v>Textile &amp; leather</v>
      </c>
      <c r="B13" s="455" t="s">
        <v>5856</v>
      </c>
      <c r="C13" s="455" cm="1">
        <f t="array" aca="1" ref="C13" ca="1">INDIRECT(_xlfn.CONCAT("'JRC-IDEES ",B13,"'!X3"))+INDIRECT(_xlfn.CONCAT("'JRC-IDEES ",B13,"'!X17"))+INDIRECT(_xlfn.CONCAT("'JRC-IDEES ",B13,"'!X26"))+INDIRECT(_xlfn.CONCAT("'JRC-IDEES ",B13,"'!X51"))+INDIRECT(_xlfn.CONCAT("'JRC-IDEES ",B13,"'!X71"))</f>
        <v>1851.4803095442824</v>
      </c>
      <c r="D13" s="455" cm="1">
        <f t="array" aca="1" ref="D13" ca="1">INDIRECT(_xlfn.CONCAT("'JRC-IDEES ",B13,"'!X52"))</f>
        <v>31.70369475260155</v>
      </c>
      <c r="E13" s="455" cm="1">
        <f t="array" aca="1" ref="E13" ca="1">INDIRECT(_xlfn.CONCAT("'JRC-IDEES ",B13,"'!X76"))</f>
        <v>1373.4834909716251</v>
      </c>
      <c r="F13" s="455" cm="1">
        <f t="array" aca="1" ref="F13" ca="1">INDIRECT(_xlfn.CONCAT("'JRC-IDEES ",B13,"'!X75"))</f>
        <v>128.6525365434222</v>
      </c>
      <c r="G13" s="455" t="s">
        <v>437</v>
      </c>
      <c r="H13" s="455"/>
    </row>
    <row r="14" spans="1:8">
      <c r="A14" s="455" t="str" cm="1">
        <f t="array" aca="1" ref="A14" ca="1">INDIRECT(_xlfn.CONCAT("'JRC-IDEES ",B14,"'!A1"))</f>
        <v>Wood &amp; wood products</v>
      </c>
      <c r="B14" s="455" t="s">
        <v>5858</v>
      </c>
      <c r="C14" s="455" cm="1">
        <f t="array" aca="1" ref="C14" ca="1">INDIRECT(_xlfn.CONCAT("'JRC-IDEES ",B14,"'!X3"))+INDIRECT(_xlfn.CONCAT("'JRC-IDEES ",B14,"'!X17"))+INDIRECT(_xlfn.CONCAT("'JRC-IDEES ",B14,"'!X26"))+INDIRECT(_xlfn.CONCAT("'JRC-IDEES ",B14,"'!X51"))+INDIRECT(_xlfn.CONCAT("'JRC-IDEES ",B14,"'!X71"))</f>
        <v>853.763026655202</v>
      </c>
      <c r="D14" s="455" cm="1">
        <f t="array" aca="1" ref="D14" ca="1">INDIRECT(_xlfn.CONCAT("'JRC-IDEES ",B14,"'!X52"))</f>
        <v>5301.5601975693271</v>
      </c>
      <c r="E14" s="455" cm="1">
        <f t="array" aca="1" ref="E14" ca="1">INDIRECT(_xlfn.CONCAT("'JRC-IDEES ",B14,"'!X76"))</f>
        <v>2429.0694754944102</v>
      </c>
      <c r="F14" s="455" cm="1">
        <f t="array" aca="1" ref="F14" ca="1">INDIRECT(_xlfn.CONCAT("'JRC-IDEES ",B14,"'!X75"))</f>
        <v>771.59054170249351</v>
      </c>
      <c r="G14" s="455" t="s">
        <v>437</v>
      </c>
      <c r="H14" s="455"/>
    </row>
    <row r="15" spans="1:8">
      <c r="A15" s="455" t="str" cm="1">
        <f t="array" aca="1" ref="A15" ca="1">INDIRECT(_xlfn.CONCAT("'JRC-IDEES ",B15,"'!A1"))</f>
        <v>Not elsewhere specified (industry)</v>
      </c>
      <c r="B15" s="455" t="s">
        <v>5866</v>
      </c>
      <c r="C15" s="455" cm="1">
        <f t="array" aca="1" ref="C15" ca="1">INDIRECT(_xlfn.CONCAT("'JRC-IDEES ",B15,"'!X3"))+INDIRECT(_xlfn.CONCAT("'JRC-IDEES ",B15,"'!X17"))+INDIRECT(_xlfn.CONCAT("'JRC-IDEES ",B15,"'!X26"))+INDIRECT(_xlfn.CONCAT("'JRC-IDEES ",B15,"'!X51"))+INDIRECT(_xlfn.CONCAT("'JRC-IDEES ",B15,"'!X71"))</f>
        <v>5216.0944969905404</v>
      </c>
      <c r="D15" s="455" cm="1">
        <f t="array" aca="1" ref="D15" ca="1">INDIRECT(_xlfn.CONCAT("'JRC-IDEES ",B15,"'!X52"))</f>
        <v>642.34883258481193</v>
      </c>
      <c r="E15" s="455" cm="1">
        <f t="array" aca="1" ref="E15" ca="1">INDIRECT(_xlfn.CONCAT("'JRC-IDEES ",B15,"'!X76"))</f>
        <v>6951.2807394668944</v>
      </c>
      <c r="F15" s="455" cm="1">
        <f t="array" aca="1" ref="F15" ca="1">INDIRECT(_xlfn.CONCAT("'JRC-IDEES ",B15,"'!X75"))</f>
        <v>588.25133276010308</v>
      </c>
      <c r="G15" s="455" t="s">
        <v>437</v>
      </c>
      <c r="H15" s="455"/>
    </row>
    <row r="16" spans="1:8">
      <c r="A16" s="894" t="str" cm="1">
        <f t="array" aca="1" ref="A16" ca="1">INDIRECT(_xlfn.CONCAT("'JRC-IDEES ",B16,"'!A1"))</f>
        <v>Mining &amp; quarrying</v>
      </c>
      <c r="B16" s="455" t="s">
        <v>5860</v>
      </c>
      <c r="C16" s="455" cm="1">
        <f t="array" aca="1" ref="C16" ca="1">INDIRECT(_xlfn.CONCAT("'JRC-IDEES ",B16,"'!X3"))+INDIRECT(_xlfn.CONCAT("'JRC-IDEES ",B16,"'!X17"))+INDIRECT(_xlfn.CONCAT("'JRC-IDEES ",B16,"'!X26"))+INDIRECT(_xlfn.CONCAT("'JRC-IDEES ",B16,"'!X51"))+INDIRECT(_xlfn.CONCAT("'JRC-IDEES ",B16,"'!X71"))</f>
        <v>1781.207480653482</v>
      </c>
      <c r="D16" s="455" cm="1">
        <f t="array" aca="1" ref="D16" ca="1">INDIRECT(_xlfn.CONCAT("'JRC-IDEES ",B16,"'!X52"))</f>
        <v>87.750768375983341</v>
      </c>
      <c r="E16" s="455" cm="1">
        <f t="array" aca="1" ref="E16" ca="1">INDIRECT(_xlfn.CONCAT("'JRC-IDEES ",B16,"'!X76"))</f>
        <v>1671.3165950128978</v>
      </c>
      <c r="F16" s="455" cm="1">
        <f t="array" aca="1" ref="F16" ca="1">INDIRECT(_xlfn.CONCAT("'JRC-IDEES ",B16,"'!X75"))</f>
        <v>160.40068787618227</v>
      </c>
      <c r="G16" s="455" t="s">
        <v>437</v>
      </c>
      <c r="H16" t="s">
        <v>411</v>
      </c>
    </row>
    <row r="17" spans="1:8">
      <c r="A17" s="894" t="str" cm="1">
        <f t="array" aca="1" ref="A17" ca="1">INDIRECT(_xlfn.CONCAT("'JRC-IDEES ",B17,"'!A1"))</f>
        <v>Agriculture, forestry and fishing</v>
      </c>
      <c r="B17" s="455" t="s">
        <v>5864</v>
      </c>
      <c r="C17" s="455" cm="1">
        <f t="array" aca="1" ref="C17" ca="1">INDIRECT(_xlfn.CONCAT("'JRC-IDEES ",B17,"'!X3"))+INDIRECT(_xlfn.CONCAT("'JRC-IDEES ",B17,"'!X17"))+INDIRECT(_xlfn.CONCAT("'JRC-IDEES ",B17,"'!X26"))+INDIRECT(_xlfn.CONCAT("'JRC-IDEES ",B17,"'!X51"))+INDIRECT(_xlfn.CONCAT("'JRC-IDEES ",B17,"'!X71"))</f>
        <v>22094.450988822005</v>
      </c>
      <c r="D17" s="455" cm="1">
        <f t="array" aca="1" ref="D17" ca="1">INDIRECT(_xlfn.CONCAT("'JRC-IDEES ",B17,"'!X52"))</f>
        <v>3396.2447979363706</v>
      </c>
      <c r="E17" s="455" cm="1">
        <f t="array" aca="1" ref="E17" ca="1">INDIRECT(_xlfn.CONCAT("'JRC-IDEES ",B17,"'!X76"))</f>
        <v>4621.4423043852112</v>
      </c>
      <c r="F17" s="455" cm="1">
        <f t="array" aca="1" ref="F17" ca="1">INDIRECT(_xlfn.CONCAT("'JRC-IDEES ",B17,"'!X75"))</f>
        <v>271.73069647463456</v>
      </c>
      <c r="G17" s="455" t="s">
        <v>437</v>
      </c>
      <c r="H17" t="s">
        <v>411</v>
      </c>
    </row>
    <row r="18" spans="1:8">
      <c r="A18" s="894" t="s">
        <v>438</v>
      </c>
      <c r="B18" s="455" t="s">
        <v>5861</v>
      </c>
      <c r="C18" s="455" cm="1">
        <f t="array" aca="1" ref="C18" ca="1">INDIRECT(_xlfn.CONCAT("'JRC-IDEES ",B18,"'!X3"))+INDIRECT(_xlfn.CONCAT("'JRC-IDEES ",B18,"'!X17"))+INDIRECT(_xlfn.CONCAT("'JRC-IDEES ",B18,"'!X26"))+INDIRECT(_xlfn.CONCAT("'JRC-IDEES ",B18,"'!X51"))+INDIRECT(_xlfn.CONCAT("'JRC-IDEES ",B18,"'!X71"))</f>
        <v>5804.8179707652625</v>
      </c>
      <c r="D18" s="455" cm="1">
        <f t="array" aca="1" ref="D18" ca="1">INDIRECT(_xlfn.CONCAT("'JRC-IDEES ",B18,"'!X52"))</f>
        <v>254.23081952382762</v>
      </c>
      <c r="E18" s="455" cm="1">
        <f t="array" aca="1" ref="E18" ca="1">INDIRECT(_xlfn.CONCAT("'JRC-IDEES ",B18,"'!X76"))</f>
        <v>1732.2291487532245</v>
      </c>
      <c r="F18" s="455" cm="1">
        <f t="array" aca="1" ref="F18" ca="1">INDIRECT(_xlfn.CONCAT("'JRC-IDEES ",B18,"'!X75"))</f>
        <v>32.20808254514187</v>
      </c>
      <c r="G18" s="455" t="s">
        <v>437</v>
      </c>
      <c r="H18" t="s">
        <v>411</v>
      </c>
    </row>
    <row r="19" spans="1:8">
      <c r="A19" s="455"/>
    </row>
    <row r="20" spans="1:8">
      <c r="A20" s="55" t="s">
        <v>412</v>
      </c>
      <c r="B20" s="56"/>
      <c r="C20" s="56"/>
      <c r="D20" s="56"/>
      <c r="E20" s="56"/>
      <c r="F20" s="56"/>
      <c r="G20" s="56"/>
    </row>
    <row r="21" spans="1:8" s="5" customFormat="1" ht="16">
      <c r="A21" s="57" t="s">
        <v>413</v>
      </c>
      <c r="B21" s="893" t="s">
        <v>5862</v>
      </c>
      <c r="C21" s="58" t="s">
        <v>414</v>
      </c>
      <c r="D21" s="57" t="s">
        <v>4163</v>
      </c>
      <c r="G21" s="57" t="s">
        <v>41</v>
      </c>
    </row>
    <row r="22" spans="1:8" ht="16">
      <c r="A22" s="455" t="str" cm="1">
        <f t="array" aca="1" ref="A22" ca="1">INDIRECT(_xlfn.CONCAT("'JRC-IDEES ",B22,"'!A1"))</f>
        <v>Non-energy use in chemical industry</v>
      </c>
      <c r="B22" s="455" t="s">
        <v>5870</v>
      </c>
      <c r="C22" s="455" cm="1">
        <f t="array" aca="1" ref="C22" ca="1">INDIRECT(_xlfn.CONCAT("'JRC-IDEES ",B22,"'!X3"))</f>
        <v>625.85026314312381</v>
      </c>
      <c r="D22" s="96" t="s">
        <v>1255</v>
      </c>
      <c r="G22" t="s">
        <v>437</v>
      </c>
    </row>
    <row r="23" spans="1:8" ht="16">
      <c r="A23" s="455" t="str" cm="1">
        <f t="array" aca="1" ref="A23" ca="1">INDIRECT(_xlfn.CONCAT("'JRC-IDEES ",B23,"'!A1"))</f>
        <v>Non-energy use in chemical industry</v>
      </c>
      <c r="B23" s="455" t="s">
        <v>5870</v>
      </c>
      <c r="C23" s="455" cm="1">
        <f t="array" aca="1" ref="C23" ca="1">INDIRECT(_xlfn.CONCAT("'JRC-IDEES ",B23,"'!X34"))+INDIRECT(_xlfn.CONCAT("'JRC-IDEES ",B23,"'!X35"))+INDIRECT(_xlfn.CONCAT("'JRC-IDEES ",B23,"'!X36"))</f>
        <v>10934.782748370561</v>
      </c>
      <c r="D23" s="96" t="s">
        <v>4913</v>
      </c>
      <c r="G23" t="s">
        <v>437</v>
      </c>
    </row>
    <row r="24" spans="1:8" ht="16">
      <c r="A24" s="455" t="str" cm="1">
        <f t="array" aca="1" ref="A24" ca="1">INDIRECT(_xlfn.CONCAT("'JRC-IDEES ",B24,"'!A1"))</f>
        <v>Non-energy use in chemical industry</v>
      </c>
      <c r="B24" s="455" t="s">
        <v>5870</v>
      </c>
      <c r="C24" s="455" cm="1">
        <f t="array" aca="1" ref="C24" ca="1">INDIRECT(_xlfn.CONCAT("'JRC-IDEES ",B24,"'!X26"))-C23</f>
        <v>46522.905842829452</v>
      </c>
      <c r="D24" s="96" t="s">
        <v>4912</v>
      </c>
      <c r="G24" t="s">
        <v>437</v>
      </c>
    </row>
    <row r="25" spans="1:8" ht="16">
      <c r="A25" s="455" t="str" cm="1">
        <f t="array" aca="1" ref="A25" ca="1">INDIRECT(_xlfn.CONCAT("'JRC-IDEES ",B25,"'!A1"))</f>
        <v>Non-energy use in chemical industry</v>
      </c>
      <c r="B25" s="455" t="s">
        <v>5870</v>
      </c>
      <c r="C25" s="455" cm="1">
        <f t="array" aca="1" ref="C25" ca="1">INDIRECT(_xlfn.CONCAT("'JRC-IDEES ",B25,"'!X51"))</f>
        <v>13948.360882018256</v>
      </c>
      <c r="D25" s="96" t="s">
        <v>448</v>
      </c>
      <c r="G25" t="s">
        <v>437</v>
      </c>
    </row>
    <row r="26" spans="1:8">
      <c r="C26" s="455"/>
      <c r="D26" s="1951"/>
    </row>
    <row r="27" spans="1:8" ht="16">
      <c r="A27" s="455" t="str" cm="1">
        <f t="array" aca="1" ref="A27" ca="1">INDIRECT(_xlfn.CONCAT("'JRC-IDEES ",B27,"'!A1"))</f>
        <v>Iron &amp; steel</v>
      </c>
      <c r="B27" s="455" t="s">
        <v>5737</v>
      </c>
      <c r="C27" s="901" cm="1">
        <f t="array" aca="1" ref="C27" ca="1">INDIRECT(_xlfn.CONCAT("'JRC-IDEES ",B5,"'!X13"))</f>
        <v>1224.0095442824972</v>
      </c>
      <c r="D27" s="96" t="s">
        <v>4914</v>
      </c>
      <c r="G27" t="s">
        <v>437</v>
      </c>
    </row>
    <row r="28" spans="1:8">
      <c r="C28" s="455"/>
    </row>
    <row r="30" spans="1:8">
      <c r="A30" s="55" t="s">
        <v>415</v>
      </c>
      <c r="B30" s="56"/>
      <c r="C30" s="56"/>
      <c r="D30" s="56"/>
      <c r="E30" s="56"/>
      <c r="F30" s="56"/>
      <c r="G30" s="56"/>
    </row>
    <row r="31" spans="1:8" ht="32">
      <c r="B31" s="893" t="s">
        <v>5862</v>
      </c>
      <c r="C31" s="58" t="s">
        <v>407</v>
      </c>
      <c r="D31" s="58" t="s">
        <v>408</v>
      </c>
      <c r="E31" s="58" t="s">
        <v>409</v>
      </c>
      <c r="F31" s="893" t="s">
        <v>5500</v>
      </c>
    </row>
    <row r="32" spans="1:8">
      <c r="A32" s="455" t="str" cm="1">
        <f t="array" aca="1" ref="A32" ca="1">INDIRECT(_xlfn.CONCAT("'JRC-IDEES ",B32,"'!A1"))</f>
        <v>Transport sector</v>
      </c>
      <c r="B32" t="s">
        <v>5872</v>
      </c>
      <c r="C32" s="455" cm="1">
        <f t="array" aca="1" ref="C32" ca="1">INDIRECT(_xlfn.CONCAT("'JRC-IDEES ",B32,"'!X3"))+INDIRECT(_xlfn.CONCAT("'JRC-IDEES ",B32,"'!X17"))+INDIRECT(_xlfn.CONCAT("'JRC-IDEES ",B32,"'!X26"))+INDIRECT(_xlfn.CONCAT("'JRC-IDEES ",B32,"'!X51"))+INDIRECT(_xlfn.CONCAT("'JRC-IDEES ",B32,"'!X71"))</f>
        <v>250177.07446259671</v>
      </c>
      <c r="D32" s="455" cm="1">
        <f t="array" aca="1" ref="D32" ca="1">INDIRECT(_xlfn.CONCAT("'JRC-IDEES ",B32,"'!X52"))</f>
        <v>16679.663370593287</v>
      </c>
      <c r="E32" s="455" cm="1">
        <f t="array" aca="1" ref="E32" ca="1">INDIRECT(_xlfn.CONCAT("'JRC-IDEES ",B32,"'!X76"))</f>
        <v>5008.0002367559955</v>
      </c>
      <c r="F32" s="455" cm="1">
        <f t="array" aca="1" ref="F32" ca="1">INDIRECT(_xlfn.CONCAT("'JRC-IDEES ",B32,"'!X75"))</f>
        <v>0</v>
      </c>
      <c r="G32" s="455" t="s">
        <v>437</v>
      </c>
    </row>
    <row r="33" spans="1:8">
      <c r="A33" s="455" t="str" cm="1">
        <f t="array" aca="1" ref="A33" ca="1">INDIRECT(_xlfn.CONCAT("'JRC-IDEES ",B33,"'!A1"))</f>
        <v>Other sectors</v>
      </c>
      <c r="B33" t="s">
        <v>5874</v>
      </c>
      <c r="C33" s="455" cm="1">
        <f t="array" aca="1" ref="C33" ca="1">INDIRECT(_xlfn.CONCAT("'JRC-IDEES ",B33,"'!X3"))+INDIRECT(_xlfn.CONCAT("'JRC-IDEES ",B33,"'!X17"))+INDIRECT(_xlfn.CONCAT("'JRC-IDEES ",B33,"'!X26"))+INDIRECT(_xlfn.CONCAT("'JRC-IDEES ",B33,"'!X51"))+INDIRECT(_xlfn.CONCAT("'JRC-IDEES ",B33,"'!X71"))-C17</f>
        <v>168239.89905417024</v>
      </c>
      <c r="D33" s="455">
        <f ca="1">D17</f>
        <v>3396.2447979363706</v>
      </c>
      <c r="E33" s="455" cm="1">
        <f t="array" aca="1" ref="E33" ca="1">INDIRECT(_xlfn.CONCAT("'JRC-IDEES ",B33,"'!X76"))-E17</f>
        <v>124624.07800915971</v>
      </c>
      <c r="F33" s="455" cm="1">
        <f t="array" aca="1" ref="F33" ca="1">INDIRECT(_xlfn.CONCAT("'JRC-IDEES ",B33,"'!X75"))-F17</f>
        <v>32086.485640584699</v>
      </c>
      <c r="G33" s="455" t="s">
        <v>437</v>
      </c>
      <c r="H33" t="s">
        <v>5875</v>
      </c>
    </row>
  </sheetData>
  <pageMargins left="0.7" right="0.7" top="0.75" bottom="0.75" header="0.3" footer="0.3"/>
  <pageSetup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ED932-0266-47C0-B4F9-80AAF58757FC}">
  <sheetPr codeName="Sheet12">
    <tabColor theme="4" tint="0.59999389629810485"/>
  </sheetPr>
  <dimension ref="A1:H37"/>
  <sheetViews>
    <sheetView workbookViewId="0"/>
  </sheetViews>
  <sheetFormatPr baseColWidth="10" defaultColWidth="8.83203125" defaultRowHeight="15"/>
  <cols>
    <col min="1" max="1" width="33.5" customWidth="1"/>
    <col min="2" max="2" width="33" customWidth="1"/>
    <col min="3" max="3" width="21.5" customWidth="1"/>
    <col min="4" max="4" width="27.6640625" customWidth="1"/>
    <col min="5" max="5" width="30" customWidth="1"/>
    <col min="6" max="6" width="19.83203125" customWidth="1"/>
    <col min="7" max="7" width="18.33203125" customWidth="1"/>
    <col min="8" max="8" width="65.5" customWidth="1"/>
  </cols>
  <sheetData>
    <row r="1" spans="1:8">
      <c r="A1" s="460" t="s">
        <v>404</v>
      </c>
      <c r="B1" s="460">
        <v>2022</v>
      </c>
    </row>
    <row r="3" spans="1:8">
      <c r="A3" s="890" t="s">
        <v>405</v>
      </c>
      <c r="B3" s="891"/>
      <c r="C3" s="891"/>
      <c r="D3" s="891"/>
      <c r="E3" s="891"/>
      <c r="F3" s="891"/>
      <c r="G3" s="891"/>
      <c r="H3" s="891"/>
    </row>
    <row r="4" spans="1:8" s="5" customFormat="1" ht="32">
      <c r="A4" s="892" t="s">
        <v>406</v>
      </c>
      <c r="B4" s="1740" t="s">
        <v>4838</v>
      </c>
      <c r="C4" s="893" t="s">
        <v>407</v>
      </c>
      <c r="D4" s="893" t="s">
        <v>4698</v>
      </c>
      <c r="E4" s="893" t="s">
        <v>409</v>
      </c>
      <c r="F4" s="893" t="s">
        <v>5500</v>
      </c>
      <c r="G4" s="892" t="s">
        <v>41</v>
      </c>
      <c r="H4" s="892" t="s">
        <v>62</v>
      </c>
    </row>
    <row r="5" spans="1:8">
      <c r="A5" s="455" t="s">
        <v>418</v>
      </c>
      <c r="B5" s="455" t="s">
        <v>419</v>
      </c>
      <c r="C5" s="455">
        <f>SUM('IESS v3.0 XI'!I214:I216)*'IESS v3.0 XI'!I625</f>
        <v>20.120100113359381</v>
      </c>
      <c r="D5">
        <v>0</v>
      </c>
      <c r="E5" s="455">
        <f>SUM('IESS v3.0 XI'!I213)*'IESS v3.0 XI'!I625</f>
        <v>0.53551597259891892</v>
      </c>
      <c r="F5">
        <v>0</v>
      </c>
      <c r="G5" s="455" t="s">
        <v>420</v>
      </c>
      <c r="H5" s="455"/>
    </row>
    <row r="6" spans="1:8">
      <c r="A6" s="455" t="s">
        <v>421</v>
      </c>
      <c r="B6" s="455" t="s">
        <v>419</v>
      </c>
      <c r="C6" s="455">
        <f>('IESS v3.0 XI'!I265+'IESS v3.0 XI'!I267)*'IESS v3.0 XI'!I725</f>
        <v>14.603493473579977</v>
      </c>
      <c r="D6">
        <v>0</v>
      </c>
      <c r="E6" s="455">
        <f>('IESS v3.0 XI'!I264)*'IESS v3.0 XI'!I725</f>
        <v>0.33189757894499949</v>
      </c>
      <c r="F6">
        <v>0</v>
      </c>
      <c r="G6" s="455" t="s">
        <v>420</v>
      </c>
      <c r="H6" s="455"/>
    </row>
    <row r="7" spans="1:8">
      <c r="A7" s="455" t="s">
        <v>422</v>
      </c>
      <c r="B7" s="455" t="s">
        <v>419</v>
      </c>
      <c r="C7" s="455">
        <f>SUM('IESS v3.0 XI'!I316:I318)*'IESS v3.0 XI'!I772</f>
        <v>18.003245602206565</v>
      </c>
      <c r="D7">
        <v>0</v>
      </c>
      <c r="E7" s="455">
        <f>('IESS v3.0 XI'!I315)*'IESS v3.0 XI'!I772</f>
        <v>0.3051397559696028</v>
      </c>
      <c r="F7">
        <v>0</v>
      </c>
      <c r="G7" s="455" t="s">
        <v>420</v>
      </c>
      <c r="H7" s="455"/>
    </row>
    <row r="8" spans="1:8">
      <c r="A8" s="455" t="s">
        <v>423</v>
      </c>
      <c r="B8" s="455" t="s">
        <v>419</v>
      </c>
      <c r="C8" s="455">
        <f>SUM('IESS v3.0 XI'!I366:I368)*'IESS v3.0 XI'!I820</f>
        <v>55.354809606669328</v>
      </c>
      <c r="D8">
        <v>0</v>
      </c>
      <c r="E8" s="455">
        <f>('IESS v3.0 XI'!I365)*'IESS v3.0 XI'!I820</f>
        <v>8.3799391941866155</v>
      </c>
      <c r="F8">
        <v>0</v>
      </c>
      <c r="G8" s="455" t="s">
        <v>420</v>
      </c>
      <c r="H8" s="455"/>
    </row>
    <row r="9" spans="1:8">
      <c r="A9" s="455" t="s">
        <v>424</v>
      </c>
      <c r="B9" s="455" t="s">
        <v>419</v>
      </c>
      <c r="C9" s="455">
        <f>SUM('IESS v3.0 XI'!I418:I420)*'IESS v3.0 XI'!I919</f>
        <v>10.290544064326724</v>
      </c>
      <c r="D9">
        <v>0</v>
      </c>
      <c r="E9" s="455">
        <f>('IESS v3.0 XI'!I417)*'IESS v3.0 XI'!I919</f>
        <v>1.8689609569783767</v>
      </c>
      <c r="F9">
        <v>0</v>
      </c>
      <c r="G9" s="455" t="s">
        <v>420</v>
      </c>
      <c r="H9" s="455"/>
    </row>
    <row r="10" spans="1:8">
      <c r="A10" s="455" t="s">
        <v>425</v>
      </c>
      <c r="B10" s="455" t="s">
        <v>419</v>
      </c>
      <c r="C10" s="455">
        <f>SUM('IESS v3.0 XI'!I469:I471)*'IESS v3.0 XI'!I964</f>
        <v>10.207380311312457</v>
      </c>
      <c r="D10">
        <v>0</v>
      </c>
      <c r="E10" s="455">
        <f>('IESS v3.0 XI'!I468)*'IESS v3.0 XI'!I964</f>
        <v>3.4700027361037389</v>
      </c>
      <c r="F10">
        <v>0</v>
      </c>
      <c r="G10" s="455" t="s">
        <v>420</v>
      </c>
      <c r="H10" s="455"/>
    </row>
    <row r="11" spans="1:8">
      <c r="A11" s="455" t="s">
        <v>426</v>
      </c>
      <c r="B11" s="455" t="s">
        <v>419</v>
      </c>
      <c r="C11" s="455">
        <f>SUM('IESS v3.0 XI'!I519:I521)*'IESS v3.0 XI'!I1011</f>
        <v>1.5289857294623999</v>
      </c>
      <c r="D11">
        <v>0</v>
      </c>
      <c r="E11" s="455">
        <f>('IESS v3.0 XI'!I518)*'IESS v3.0 XI'!I1011</f>
        <v>0.18398583466559998</v>
      </c>
      <c r="F11">
        <v>0</v>
      </c>
      <c r="G11" s="455" t="s">
        <v>420</v>
      </c>
      <c r="H11" s="455"/>
    </row>
    <row r="12" spans="1:8">
      <c r="A12" s="455" t="s">
        <v>427</v>
      </c>
      <c r="B12" s="455" t="s">
        <v>419</v>
      </c>
      <c r="C12" s="455">
        <f>SUM('IESS v3.0 XI'!I571:I573)*'IESS v3.0 XI'!I1057</f>
        <v>115.64927290909193</v>
      </c>
      <c r="D12" s="455">
        <f>('IESS v3.0 XI'!I574)*'IESS v3.0 XI'!I1057</f>
        <v>16.269076037444517</v>
      </c>
      <c r="E12" s="455">
        <f>('IESS v3.0 XI'!I570)*'IESS v3.0 XI'!I1057</f>
        <v>13.654162407565282</v>
      </c>
      <c r="F12">
        <v>0</v>
      </c>
      <c r="G12" s="455" t="s">
        <v>420</v>
      </c>
      <c r="H12" s="455"/>
    </row>
    <row r="13" spans="1:8">
      <c r="A13" s="894" t="s">
        <v>428</v>
      </c>
      <c r="B13" t="s">
        <v>4822</v>
      </c>
      <c r="C13" s="455">
        <f>-'IESS 2022 Energy Balance'!AA19</f>
        <v>17.385470086195259</v>
      </c>
      <c r="D13">
        <v>0</v>
      </c>
      <c r="E13" s="455">
        <f>-'IESS 2022 Energy Balance'!V19</f>
        <v>16.707024852791985</v>
      </c>
      <c r="F13">
        <v>0</v>
      </c>
      <c r="G13" s="455" t="s">
        <v>420</v>
      </c>
      <c r="H13" s="455" t="s">
        <v>5968</v>
      </c>
    </row>
    <row r="14" spans="1:8">
      <c r="A14" s="894" t="s">
        <v>432</v>
      </c>
      <c r="B14" s="455" t="s">
        <v>4837</v>
      </c>
      <c r="C14" s="455">
        <f>SUM('EPS India Coal Mines Energy Use'!E3:E10)/10^12*'Unit Conversions'!$E$6/'Unit Conversions'!E3</f>
        <v>1.7110423102850267</v>
      </c>
      <c r="D14">
        <v>0</v>
      </c>
      <c r="E14">
        <v>0</v>
      </c>
      <c r="F14">
        <v>0</v>
      </c>
      <c r="G14" s="455" t="s">
        <v>420</v>
      </c>
      <c r="H14" t="s">
        <v>411</v>
      </c>
    </row>
    <row r="16" spans="1:8">
      <c r="A16" s="55" t="s">
        <v>412</v>
      </c>
      <c r="B16" s="56"/>
      <c r="C16" s="56"/>
      <c r="D16" s="56"/>
      <c r="E16" s="56"/>
      <c r="F16" s="56"/>
      <c r="G16" s="56"/>
    </row>
    <row r="17" spans="1:7" s="5" customFormat="1" ht="16">
      <c r="A17" s="57" t="s">
        <v>413</v>
      </c>
      <c r="B17" s="1740" t="s">
        <v>417</v>
      </c>
      <c r="C17" s="58" t="s">
        <v>414</v>
      </c>
      <c r="D17" s="57" t="s">
        <v>4163</v>
      </c>
      <c r="G17" s="57" t="s">
        <v>41</v>
      </c>
    </row>
    <row r="18" spans="1:7">
      <c r="A18" t="s">
        <v>421</v>
      </c>
      <c r="B18" t="s">
        <v>419</v>
      </c>
      <c r="C18" s="7">
        <f>'IESS v3.0 XI'!I174</f>
        <v>16.2</v>
      </c>
      <c r="D18" s="1738" t="s">
        <v>1098</v>
      </c>
      <c r="G18" t="s">
        <v>420</v>
      </c>
    </row>
    <row r="19" spans="1:7">
      <c r="A19" t="s">
        <v>4217</v>
      </c>
      <c r="B19" t="s">
        <v>419</v>
      </c>
      <c r="C19" s="7">
        <f>'IESS v3.0 XI'!I175</f>
        <v>1.02</v>
      </c>
      <c r="D19" s="1738" t="s">
        <v>1098</v>
      </c>
      <c r="G19" t="s">
        <v>420</v>
      </c>
    </row>
    <row r="20" spans="1:7">
      <c r="A20" t="s">
        <v>1466</v>
      </c>
      <c r="B20" t="s">
        <v>419</v>
      </c>
      <c r="C20" s="7">
        <f>'IESS v3.0 XI'!I176</f>
        <v>2.5</v>
      </c>
      <c r="D20" s="1738" t="s">
        <v>1098</v>
      </c>
      <c r="G20" t="s">
        <v>420</v>
      </c>
    </row>
    <row r="21" spans="1:7">
      <c r="A21" t="s">
        <v>4824</v>
      </c>
      <c r="B21" t="s">
        <v>419</v>
      </c>
      <c r="C21" s="7">
        <f>'IESS v3.0 XI'!I177</f>
        <v>4.78</v>
      </c>
      <c r="D21" s="1738" t="s">
        <v>1098</v>
      </c>
      <c r="G21" t="s">
        <v>420</v>
      </c>
    </row>
    <row r="22" spans="1:7">
      <c r="A22" t="s">
        <v>4825</v>
      </c>
      <c r="B22" t="s">
        <v>419</v>
      </c>
      <c r="C22" s="7">
        <f>'IESS v3.0 XI'!I178</f>
        <v>9.36</v>
      </c>
      <c r="D22" s="1738" t="s">
        <v>1098</v>
      </c>
      <c r="G22" t="s">
        <v>420</v>
      </c>
    </row>
    <row r="23" spans="1:7">
      <c r="A23" t="s">
        <v>4826</v>
      </c>
      <c r="B23" t="s">
        <v>419</v>
      </c>
      <c r="C23" s="7">
        <f>'IESS v3.0 XI'!I179</f>
        <v>11.033041321889998</v>
      </c>
      <c r="D23" s="1738" t="s">
        <v>4696</v>
      </c>
      <c r="G23" t="s">
        <v>420</v>
      </c>
    </row>
    <row r="25" spans="1:7">
      <c r="A25" t="s">
        <v>423</v>
      </c>
      <c r="B25" t="s">
        <v>4844</v>
      </c>
      <c r="C25" s="11">
        <f>'IESS v3.0 v3 Results'!E130/'IESS v3.0 v3 Results'!E108</f>
        <v>99.007282272044492</v>
      </c>
      <c r="D25" s="1738" t="s">
        <v>4842</v>
      </c>
      <c r="G25" t="s">
        <v>4843</v>
      </c>
    </row>
    <row r="26" spans="1:7">
      <c r="A26" t="s">
        <v>423</v>
      </c>
      <c r="B26" s="20" t="s">
        <v>4845</v>
      </c>
      <c r="C26" s="11">
        <f>C25*10^6</f>
        <v>99007282.272044495</v>
      </c>
      <c r="D26" s="1738" t="s">
        <v>4842</v>
      </c>
      <c r="G26" t="s">
        <v>4839</v>
      </c>
    </row>
    <row r="27" spans="1:7">
      <c r="A27" t="s">
        <v>423</v>
      </c>
      <c r="B27" s="20" t="s">
        <v>4845</v>
      </c>
      <c r="C27" s="11">
        <f>C26*'Unit Conversions'!E30</f>
        <v>109106025.06379305</v>
      </c>
      <c r="D27" s="1738" t="s">
        <v>4842</v>
      </c>
      <c r="G27" t="s">
        <v>4840</v>
      </c>
    </row>
    <row r="28" spans="1:7">
      <c r="A28" t="s">
        <v>423</v>
      </c>
      <c r="B28" s="20" t="s">
        <v>4845</v>
      </c>
      <c r="C28">
        <f>C27*'EPA EF Hub 2023'!D23</f>
        <v>2867306338.6764812</v>
      </c>
      <c r="D28" s="1738" t="s">
        <v>4842</v>
      </c>
      <c r="G28" t="s">
        <v>4841</v>
      </c>
    </row>
    <row r="29" spans="1:7">
      <c r="A29" t="s">
        <v>423</v>
      </c>
      <c r="B29" s="20" t="s">
        <v>4845</v>
      </c>
      <c r="C29">
        <f>C28*'Unit Conversions'!E7</f>
        <v>3025180208.1258621</v>
      </c>
      <c r="D29" s="1738" t="s">
        <v>4842</v>
      </c>
      <c r="G29" t="s">
        <v>1058</v>
      </c>
    </row>
    <row r="30" spans="1:7">
      <c r="A30" t="s">
        <v>423</v>
      </c>
      <c r="B30" s="20" t="s">
        <v>4845</v>
      </c>
      <c r="C30" s="455">
        <f>C29/10^9</f>
        <v>3.0251802081258621</v>
      </c>
      <c r="D30" s="1738" t="s">
        <v>4842</v>
      </c>
      <c r="G30" t="s">
        <v>43</v>
      </c>
    </row>
    <row r="32" spans="1:7">
      <c r="A32" s="55" t="s">
        <v>415</v>
      </c>
      <c r="B32" s="56"/>
      <c r="C32" s="56"/>
      <c r="D32" s="56"/>
      <c r="E32" s="56"/>
      <c r="F32" s="56"/>
      <c r="G32" s="56"/>
    </row>
    <row r="33" spans="1:8" ht="32">
      <c r="B33" s="1740" t="s">
        <v>417</v>
      </c>
      <c r="C33" s="58" t="s">
        <v>407</v>
      </c>
      <c r="D33" s="893" t="s">
        <v>4698</v>
      </c>
      <c r="E33" s="58" t="s">
        <v>409</v>
      </c>
      <c r="F33" s="893" t="s">
        <v>5500</v>
      </c>
      <c r="G33" s="57" t="s">
        <v>41</v>
      </c>
    </row>
    <row r="34" spans="1:8">
      <c r="A34" t="s">
        <v>4823</v>
      </c>
      <c r="B34" t="s">
        <v>4822</v>
      </c>
      <c r="C34" s="455">
        <f>-SUM('IESS 2022 Energy Balance'!AA18:AB18)</f>
        <v>27.697403303649587</v>
      </c>
      <c r="D34">
        <v>0</v>
      </c>
      <c r="E34" s="455">
        <f>-SUM('IESS 2022 Energy Balance'!V11,'IESS 2022 Energy Balance'!V18)</f>
        <v>36.447527941757158</v>
      </c>
      <c r="F34">
        <v>0</v>
      </c>
      <c r="G34" t="s">
        <v>420</v>
      </c>
    </row>
    <row r="35" spans="1:8">
      <c r="A35" t="s">
        <v>3852</v>
      </c>
      <c r="B35" t="s">
        <v>4822</v>
      </c>
      <c r="C35" s="455">
        <f>-SUM('IESS 2022 Energy Balance'!AA16:AB16)</f>
        <v>115.17947289801924</v>
      </c>
      <c r="D35" s="455">
        <f>-'IESS 2022 Energy Balance'!AI16*'Region-Independent Data'!$B$62</f>
        <v>4.4248695333676293</v>
      </c>
      <c r="E35" s="455">
        <f>-'IESS 2022 Energy Balance'!V16</f>
        <v>2.1118237490475034</v>
      </c>
      <c r="F35">
        <v>0</v>
      </c>
      <c r="G35" t="s">
        <v>420</v>
      </c>
      <c r="H35" t="s">
        <v>5506</v>
      </c>
    </row>
    <row r="36" spans="1:8">
      <c r="A36" s="455" t="s">
        <v>430</v>
      </c>
      <c r="B36" t="s">
        <v>4822</v>
      </c>
      <c r="C36" s="901">
        <f>-'IESS 2022 Energy Balance'!AA20</f>
        <v>5.1379787798245049</v>
      </c>
      <c r="D36" s="11">
        <v>0</v>
      </c>
      <c r="E36" s="455">
        <f>-'IESS 2022 Energy Balance'!V20</f>
        <v>3.6001756207244222</v>
      </c>
      <c r="F36">
        <v>0</v>
      </c>
      <c r="G36" s="455" t="s">
        <v>420</v>
      </c>
    </row>
    <row r="37" spans="1:8">
      <c r="A37" t="s">
        <v>3954</v>
      </c>
      <c r="B37" t="s">
        <v>4822</v>
      </c>
      <c r="C37">
        <v>0</v>
      </c>
      <c r="D37">
        <v>0</v>
      </c>
      <c r="E37" s="455">
        <f>-'IESS 2022 Energy Balance'!V21</f>
        <v>7.1493565189115174</v>
      </c>
      <c r="F37">
        <v>0</v>
      </c>
      <c r="G37" s="455" t="s">
        <v>420</v>
      </c>
    </row>
  </sheetData>
  <pageMargins left="0.7" right="0.7" top="0.75" bottom="0.75" header="0.3" footer="0.3"/>
  <pageSetup orientation="portrait" horizontalDpi="0" verticalDpi="0" r:id="rId1"/>
  <ignoredErrors>
    <ignoredError sqref="C5:C14 C34:C35"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6BD38-CF0B-4B52-8096-CB079C85C344}">
  <sheetPr codeName="Sheet13">
    <tabColor theme="4" tint="0.59999389629810485"/>
  </sheetPr>
  <dimension ref="A1:H33"/>
  <sheetViews>
    <sheetView workbookViewId="0"/>
  </sheetViews>
  <sheetFormatPr baseColWidth="10" defaultColWidth="8.83203125" defaultRowHeight="15"/>
  <cols>
    <col min="1" max="1" width="56.6640625" customWidth="1"/>
    <col min="2" max="2" width="14.33203125" customWidth="1"/>
    <col min="3" max="3" width="21.5" customWidth="1"/>
    <col min="4" max="4" width="27.6640625" customWidth="1"/>
    <col min="5" max="5" width="30" customWidth="1"/>
    <col min="6" max="6" width="19.5" customWidth="1"/>
    <col min="7" max="7" width="18.33203125" customWidth="1"/>
    <col min="8" max="8" width="65.5" customWidth="1"/>
  </cols>
  <sheetData>
    <row r="1" spans="1:8">
      <c r="A1" s="460" t="s">
        <v>404</v>
      </c>
      <c r="B1" s="460">
        <v>2020</v>
      </c>
    </row>
    <row r="3" spans="1:8">
      <c r="A3" s="890" t="s">
        <v>405</v>
      </c>
      <c r="B3" s="891"/>
      <c r="C3" s="891"/>
      <c r="D3" s="891"/>
      <c r="E3" s="891"/>
      <c r="F3" s="891"/>
      <c r="G3" s="891"/>
      <c r="H3" s="891"/>
    </row>
    <row r="4" spans="1:8" s="5" customFormat="1" ht="16">
      <c r="A4" s="892" t="s">
        <v>406</v>
      </c>
      <c r="B4" s="1740"/>
      <c r="C4" s="893" t="s">
        <v>6012</v>
      </c>
      <c r="D4" s="893" t="s">
        <v>35</v>
      </c>
      <c r="E4" s="893" t="s">
        <v>70</v>
      </c>
      <c r="F4" s="893" t="s">
        <v>5987</v>
      </c>
      <c r="G4" s="892" t="s">
        <v>41</v>
      </c>
      <c r="H4" s="892" t="s">
        <v>62</v>
      </c>
    </row>
    <row r="5" spans="1:8">
      <c r="A5" s="455" t="s">
        <v>422</v>
      </c>
      <c r="B5" s="455"/>
      <c r="C5" s="455">
        <f>SUM('PNNL GCAM Industry'!H11:H13)</f>
        <v>0.89768184840830489</v>
      </c>
      <c r="D5" s="455">
        <f>'PNNL GCAM Industry'!H10</f>
        <v>3.1121436499999999E-2</v>
      </c>
      <c r="E5" s="455">
        <f>'PNNL GCAM Industry'!H14</f>
        <v>2.4562226439999999</v>
      </c>
      <c r="F5" s="455">
        <v>0</v>
      </c>
      <c r="G5" s="455" t="s">
        <v>43</v>
      </c>
      <c r="H5" s="455"/>
    </row>
    <row r="6" spans="1:8">
      <c r="A6" t="s">
        <v>1468</v>
      </c>
      <c r="B6" s="455"/>
      <c r="C6" s="455">
        <f>SUM('PNNL GCAM Industry'!H16:H18)</f>
        <v>5.7961212514999998</v>
      </c>
      <c r="D6" s="455">
        <v>0</v>
      </c>
      <c r="E6" s="455">
        <v>0</v>
      </c>
      <c r="F6" s="455">
        <v>0</v>
      </c>
      <c r="G6" s="455" t="s">
        <v>43</v>
      </c>
      <c r="H6" s="455"/>
    </row>
    <row r="7" spans="1:8">
      <c r="A7" s="455" t="s">
        <v>418</v>
      </c>
      <c r="B7" s="455"/>
      <c r="C7" s="455">
        <f>SUM('PNNL GCAM Industry'!H21,'PNNL GCAM Industry'!H23:H24)</f>
        <v>9.9797386197999884</v>
      </c>
      <c r="D7" s="455">
        <f>'PNNL GCAM Industry'!H20</f>
        <v>0.55594955046000005</v>
      </c>
      <c r="E7" s="901">
        <f>'PNNL GCAM Industry'!H22</f>
        <v>1.4039810197</v>
      </c>
      <c r="F7" s="901">
        <v>0</v>
      </c>
      <c r="G7" s="455" t="s">
        <v>43</v>
      </c>
      <c r="H7" s="455"/>
    </row>
    <row r="8" spans="1:8">
      <c r="A8" s="455" t="s">
        <v>6007</v>
      </c>
      <c r="B8" s="455"/>
      <c r="C8" s="455">
        <f>SUM('PNNL GCAM Industry'!H27,'PNNL GCAM Industry'!H30:H31)</f>
        <v>11.154248828139989</v>
      </c>
      <c r="D8" s="455">
        <f>'PNNL GCAM Industry'!H26</f>
        <v>7.7896297039999896E-2</v>
      </c>
      <c r="E8" s="901">
        <f>'PNNL GCAM Industry'!H29</f>
        <v>4.5242761070000004</v>
      </c>
      <c r="F8" s="901">
        <f>'PNNL GCAM Industry'!H28</f>
        <v>1.9691421819999899</v>
      </c>
      <c r="G8" s="455" t="s">
        <v>43</v>
      </c>
      <c r="H8" s="455"/>
    </row>
    <row r="9" spans="1:8">
      <c r="A9" s="455" t="s">
        <v>6008</v>
      </c>
      <c r="B9" s="455"/>
      <c r="C9" s="455">
        <f>SUM('PNNL GCAM Industry'!H45,'PNNL GCAM Industry'!H49:H50)</f>
        <v>5.3773790737799985</v>
      </c>
      <c r="D9" s="455">
        <f>'PNNL GCAM Industry'!H44</f>
        <v>2.4238946196699902</v>
      </c>
      <c r="E9" s="901">
        <f>'PNNL GCAM Industry'!H47</f>
        <v>2.3199910620000002</v>
      </c>
      <c r="F9" s="901">
        <f>'PNNL GCAM Industry'!H46</f>
        <v>0.37776693300000003</v>
      </c>
      <c r="G9" s="455" t="s">
        <v>43</v>
      </c>
      <c r="H9" s="455"/>
    </row>
    <row r="10" spans="1:8">
      <c r="A10" s="455" t="s">
        <v>6006</v>
      </c>
      <c r="B10" s="455"/>
      <c r="C10" s="455">
        <f>SUM('PNNL GCAM Industry'!H53,'PNNL GCAM Industry'!H55:H56)*(1-$B$33)</f>
        <v>16.285726725806654</v>
      </c>
      <c r="D10" s="455">
        <f>'PNNL GCAM Industry'!H52</f>
        <v>0</v>
      </c>
      <c r="E10" s="901">
        <f>'PNNL GCAM Industry'!H54</f>
        <v>4.4273841978091903</v>
      </c>
      <c r="F10" s="901">
        <v>0</v>
      </c>
      <c r="G10" s="455" t="s">
        <v>43</v>
      </c>
      <c r="H10" s="455"/>
    </row>
    <row r="11" spans="1:8">
      <c r="A11" s="455" t="s">
        <v>2033</v>
      </c>
      <c r="B11" s="455"/>
      <c r="C11" s="455">
        <f>SUM('PNNL GCAM Industry'!H76,'PNNL GCAM Industry'!H79,'PNNL GCAM Industry'!H81)</f>
        <v>2.0511344934689602</v>
      </c>
      <c r="D11" s="455">
        <f>'PNNL GCAM Industry'!H80</f>
        <v>4.8532196062780004</v>
      </c>
      <c r="E11" s="901">
        <f>'PNNL GCAM Industry'!H78</f>
        <v>1.6683183800499899</v>
      </c>
      <c r="F11" s="901">
        <f>'PNNL GCAM Industry'!H77</f>
        <v>0.40681468320000003</v>
      </c>
      <c r="G11" s="455" t="s">
        <v>43</v>
      </c>
      <c r="H11" s="455"/>
    </row>
    <row r="12" spans="1:8">
      <c r="A12" s="455" t="s">
        <v>2031</v>
      </c>
      <c r="B12" s="455"/>
      <c r="C12" s="455">
        <f>SUM('PNNL GCAM Refining'!J41:J42)</f>
        <v>13.769759386401006</v>
      </c>
      <c r="D12" s="455">
        <v>0</v>
      </c>
      <c r="E12" s="901">
        <f>'PNNL GCAM Refining'!J40</f>
        <v>0.989248497639999</v>
      </c>
      <c r="F12" s="901">
        <v>0</v>
      </c>
      <c r="G12" s="455" t="s">
        <v>43</v>
      </c>
      <c r="H12" s="455"/>
    </row>
    <row r="13" spans="1:8">
      <c r="A13" s="455" t="s">
        <v>6009</v>
      </c>
      <c r="B13" s="455"/>
      <c r="C13" s="455">
        <f>SUM('PNNL GCAM Industry'!H68,'PNNL GCAM Industry'!H71:H72)</f>
        <v>48.243317265149898</v>
      </c>
      <c r="D13" s="455">
        <f>'PNNL GCAM Industry'!H67</f>
        <v>7.9043634335509898</v>
      </c>
      <c r="E13" s="901">
        <f>'PNNL GCAM Industry'!H70</f>
        <v>15.602126315</v>
      </c>
      <c r="F13" s="901">
        <f>'PNNL GCAM Industry'!H69</f>
        <v>3.2514858599999998</v>
      </c>
      <c r="G13" s="455" t="s">
        <v>43</v>
      </c>
      <c r="H13" s="455"/>
    </row>
    <row r="14" spans="1:8">
      <c r="A14" s="894" t="s">
        <v>428</v>
      </c>
      <c r="B14" s="455"/>
      <c r="C14" s="455">
        <f>SUM('PNNL GCAM Industry'!H5,'PNNL GCAM Industry'!H8:H9)</f>
        <v>5.5834099564499988</v>
      </c>
      <c r="D14" s="455">
        <f>'PNNL GCAM Industry'!H4</f>
        <v>0.42219079980000002</v>
      </c>
      <c r="E14" s="901">
        <f>'PNNL GCAM Industry'!H7</f>
        <v>1.1183228869999999</v>
      </c>
      <c r="F14" s="901">
        <f>'PNNL GCAM Industry'!H6</f>
        <v>0.1142167919</v>
      </c>
      <c r="G14" s="455" t="s">
        <v>43</v>
      </c>
      <c r="H14" s="455" t="s">
        <v>411</v>
      </c>
    </row>
    <row r="15" spans="1:8">
      <c r="A15" s="894" t="s">
        <v>438</v>
      </c>
      <c r="B15" s="455"/>
      <c r="C15" s="455">
        <f>SUM('PNNL GCAM Industry'!H38,'PNNL GCAM Industry'!H41:H42)</f>
        <v>1.7516052419399988</v>
      </c>
      <c r="D15" s="455">
        <f>'PNNL GCAM Industry'!H37</f>
        <v>9.2544268499999902E-3</v>
      </c>
      <c r="E15" s="901">
        <f>'PNNL GCAM Industry'!H40</f>
        <v>0.68800961299999996</v>
      </c>
      <c r="F15" s="901">
        <f>'PNNL GCAM Industry'!H39</f>
        <v>3.8158078999999998E-2</v>
      </c>
      <c r="G15" s="455" t="s">
        <v>43</v>
      </c>
      <c r="H15" s="455" t="s">
        <v>411</v>
      </c>
    </row>
    <row r="16" spans="1:8">
      <c r="A16" s="894" t="s">
        <v>432</v>
      </c>
      <c r="B16" s="455"/>
      <c r="C16" s="455">
        <f>SUM('PNNL GCAM Industry'!H60,'PNNL GCAM Industry'!H63:H64)</f>
        <v>1.715803550540999</v>
      </c>
      <c r="D16" s="455">
        <f>'PNNL GCAM Industry'!H59</f>
        <v>5.3193113899999899E-3</v>
      </c>
      <c r="E16" s="901">
        <f>'PNNL GCAM Industry'!H62</f>
        <v>1.2964142758999999</v>
      </c>
      <c r="F16" s="901">
        <f>'PNNL GCAM Industry'!H61</f>
        <v>7.2296170999999895E-2</v>
      </c>
      <c r="G16" s="455" t="s">
        <v>43</v>
      </c>
      <c r="H16" s="455" t="s">
        <v>411</v>
      </c>
    </row>
    <row r="18" spans="1:7">
      <c r="A18" s="55" t="s">
        <v>412</v>
      </c>
      <c r="B18" s="56"/>
      <c r="C18" s="56"/>
      <c r="D18" s="56"/>
      <c r="E18" s="56"/>
      <c r="F18" s="56"/>
      <c r="G18" s="56"/>
    </row>
    <row r="19" spans="1:7" s="5" customFormat="1" ht="16">
      <c r="A19" s="57" t="s">
        <v>413</v>
      </c>
      <c r="B19" s="1740"/>
      <c r="C19" s="1193" t="s">
        <v>414</v>
      </c>
      <c r="G19" s="57" t="s">
        <v>41</v>
      </c>
    </row>
    <row r="20" spans="1:7">
      <c r="A20" t="s">
        <v>279</v>
      </c>
      <c r="B20" s="455"/>
      <c r="C20" s="1192">
        <f>'PNNL GCAM Industry'!H32</f>
        <v>0.1362493659</v>
      </c>
      <c r="G20" s="455" t="s">
        <v>43</v>
      </c>
    </row>
    <row r="21" spans="1:7">
      <c r="A21" t="s">
        <v>280</v>
      </c>
      <c r="B21" s="455"/>
      <c r="C21" s="1192">
        <f>'PNNL GCAM Industry'!H34</f>
        <v>5.3108185929999996</v>
      </c>
      <c r="G21" s="455" t="s">
        <v>43</v>
      </c>
    </row>
    <row r="22" spans="1:7">
      <c r="A22" t="s">
        <v>281</v>
      </c>
      <c r="B22" s="455"/>
      <c r="C22" s="1192"/>
      <c r="G22" s="455" t="s">
        <v>43</v>
      </c>
    </row>
    <row r="23" spans="1:7">
      <c r="A23" t="s">
        <v>282</v>
      </c>
      <c r="B23" s="455"/>
      <c r="C23" s="1192">
        <f>'PNNL GCAM Industry'!H33</f>
        <v>18.600763992089998</v>
      </c>
      <c r="G23" s="455" t="s">
        <v>43</v>
      </c>
    </row>
    <row r="24" spans="1:7">
      <c r="B24" s="455"/>
      <c r="C24" s="455"/>
      <c r="G24" s="455"/>
    </row>
    <row r="25" spans="1:7">
      <c r="A25" t="s">
        <v>283</v>
      </c>
      <c r="B25" s="455"/>
      <c r="C25" s="1192">
        <f>SUM('PNNL GCAM Industry'!H53,'PNNL GCAM Industry'!H55:H56)*$B$33</f>
        <v>16.822407499439159</v>
      </c>
      <c r="G25" s="455" t="s">
        <v>43</v>
      </c>
    </row>
    <row r="27" spans="1:7">
      <c r="A27" s="55" t="s">
        <v>415</v>
      </c>
      <c r="B27" s="56"/>
      <c r="C27" s="56"/>
      <c r="D27" s="56"/>
      <c r="E27" s="56"/>
      <c r="F27" s="56"/>
      <c r="G27" s="56"/>
    </row>
    <row r="28" spans="1:7" ht="16">
      <c r="B28" s="2127"/>
      <c r="C28" s="893" t="s">
        <v>6012</v>
      </c>
      <c r="D28" s="893" t="s">
        <v>35</v>
      </c>
      <c r="E28" s="893" t="s">
        <v>70</v>
      </c>
      <c r="F28" s="893" t="s">
        <v>5987</v>
      </c>
    </row>
    <row r="29" spans="1:7">
      <c r="A29" t="s">
        <v>6013</v>
      </c>
      <c r="B29" s="455"/>
      <c r="C29" s="7">
        <f>SUM('PNNL GCAM Total'!G3,'PNNL GCAM Total'!G6,'PNNL GCAM Total'!G8)-SUM(C5:C16,C20:C25)</f>
        <v>163.78444622290496</v>
      </c>
      <c r="D29" s="7">
        <f>SUM('PNNL GCAM Total'!G2,'PNNL GCAM Total'!G10)-SUM('World Energy Demand'!D5:D16)</f>
        <v>27.523500919869218</v>
      </c>
      <c r="E29" s="1948">
        <f>'PNNL GCAM Total'!G5-SUM('World Energy Demand'!E5:E16)</f>
        <v>48.107688802597032</v>
      </c>
      <c r="F29" s="1948">
        <f>'PNNL GCAM Total'!G4-SUM('World Energy Demand'!F5:F16)</f>
        <v>4.1510321465000111</v>
      </c>
      <c r="G29" s="455" t="s">
        <v>43</v>
      </c>
    </row>
    <row r="30" spans="1:7">
      <c r="B30" s="455"/>
    </row>
    <row r="31" spans="1:7">
      <c r="B31" s="455"/>
    </row>
    <row r="32" spans="1:7">
      <c r="A32" s="3" t="s">
        <v>6049</v>
      </c>
    </row>
    <row r="33" spans="1:2" ht="16">
      <c r="A33" s="5" t="s">
        <v>6050</v>
      </c>
      <c r="B33" s="97">
        <f>'China Energy Demand'!C47/SUM('China Energy Demand'!C47,'China Energy Demand'!C23)</f>
        <v>0.50810496855517873</v>
      </c>
    </row>
  </sheetData>
  <pageMargins left="0.7" right="0.7" top="0.75" bottom="0.75" header="0.3" footer="0.3"/>
  <pageSetup orientation="portrait" horizontalDpi="0" verticalDpi="0" r:id="rId1"/>
  <ignoredErrors>
    <ignoredError sqref="C5:C6" formulaRange="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260C0-D7DE-4656-8A03-2A784FEC9149}">
  <sheetPr codeName="Sheet14"/>
  <dimension ref="A1:H148"/>
  <sheetViews>
    <sheetView workbookViewId="0"/>
  </sheetViews>
  <sheetFormatPr baseColWidth="10" defaultColWidth="8.83203125" defaultRowHeight="15"/>
  <cols>
    <col min="1" max="1" width="47.33203125" customWidth="1"/>
    <col min="2" max="2" width="22.33203125" customWidth="1"/>
    <col min="3" max="3" width="20.5" customWidth="1"/>
    <col min="4" max="7" width="14.33203125" customWidth="1"/>
    <col min="8" max="8" width="10.5" customWidth="1"/>
  </cols>
  <sheetData>
    <row r="1" spans="1:8">
      <c r="A1" s="55" t="s">
        <v>489</v>
      </c>
      <c r="B1" s="55"/>
      <c r="C1" s="55"/>
      <c r="D1" s="56"/>
      <c r="E1" s="56"/>
      <c r="F1" s="56"/>
      <c r="G1" s="56"/>
    </row>
    <row r="2" spans="1:8">
      <c r="A2" s="3" t="s">
        <v>490</v>
      </c>
      <c r="B2" s="3"/>
      <c r="C2" s="3"/>
    </row>
    <row r="3" spans="1:8">
      <c r="A3" s="3" t="s">
        <v>491</v>
      </c>
      <c r="B3" s="3"/>
      <c r="C3" s="3"/>
    </row>
    <row r="4" spans="1:8">
      <c r="A4" s="3"/>
      <c r="B4" s="3"/>
      <c r="C4" s="3"/>
    </row>
    <row r="5" spans="1:8">
      <c r="D5" s="2130" t="s">
        <v>492</v>
      </c>
      <c r="E5" s="2130"/>
      <c r="F5" s="2130"/>
      <c r="G5" s="2130"/>
    </row>
    <row r="6" spans="1:8">
      <c r="B6" s="27" t="s">
        <v>5923</v>
      </c>
      <c r="C6" s="27" t="s">
        <v>5922</v>
      </c>
      <c r="D6" s="27" t="s">
        <v>493</v>
      </c>
      <c r="E6" s="27" t="s">
        <v>494</v>
      </c>
      <c r="F6" s="27" t="s">
        <v>495</v>
      </c>
      <c r="G6" s="27" t="s">
        <v>496</v>
      </c>
      <c r="H6" s="3" t="s">
        <v>5898</v>
      </c>
    </row>
    <row r="7" spans="1:8">
      <c r="A7" t="s">
        <v>497</v>
      </c>
      <c r="B7" s="6">
        <v>0.32</v>
      </c>
      <c r="C7" s="6">
        <v>0.17</v>
      </c>
      <c r="D7" s="6">
        <v>0.01</v>
      </c>
      <c r="E7" s="6">
        <v>0.13</v>
      </c>
      <c r="F7" s="6">
        <v>0.37</v>
      </c>
      <c r="G7" s="6">
        <v>0</v>
      </c>
      <c r="H7" s="927">
        <f>SUM('MECS T5.2'!E1389:I1392)/SUM('MECS T5.2'!E1388:I1392,'MECS T5.2'!E1384:I1384)</f>
        <v>0</v>
      </c>
    </row>
    <row r="8" spans="1:8">
      <c r="A8" t="s">
        <v>498</v>
      </c>
      <c r="B8" s="6">
        <v>0.28000000000000003</v>
      </c>
      <c r="C8" s="6">
        <v>0.32</v>
      </c>
      <c r="D8" s="6">
        <v>0.04</v>
      </c>
      <c r="E8" s="6">
        <v>0.08</v>
      </c>
      <c r="F8" s="6">
        <v>0.05</v>
      </c>
      <c r="G8" s="6">
        <v>0.23</v>
      </c>
      <c r="H8" s="928">
        <f>SUM('MECS T5.2'!E1455:I1458)/SUM('MECS T5.2'!E1454:I1458,'MECS T5.2'!E1450:I1450)</f>
        <v>0</v>
      </c>
    </row>
    <row r="9" spans="1:8">
      <c r="A9" t="s">
        <v>499</v>
      </c>
      <c r="B9" s="6">
        <v>0.35</v>
      </c>
      <c r="C9" s="6">
        <v>0.1</v>
      </c>
      <c r="D9" s="6">
        <v>0.26</v>
      </c>
      <c r="E9" s="6">
        <v>0.28999999999999998</v>
      </c>
      <c r="F9" s="6">
        <v>0</v>
      </c>
      <c r="G9" s="6">
        <v>0</v>
      </c>
      <c r="H9" s="928">
        <f>SUM('MECS T5.2'!E267:I270)/SUM('MECS T5.2'!E266:I270,'MECS T5.2'!E262:I262)</f>
        <v>4.3478260869565216E-2</v>
      </c>
    </row>
    <row r="10" spans="1:8">
      <c r="A10" t="s">
        <v>500</v>
      </c>
      <c r="B10" s="6">
        <v>0.18</v>
      </c>
      <c r="C10" s="6">
        <v>0.5</v>
      </c>
      <c r="D10" s="6">
        <v>0</v>
      </c>
      <c r="E10" s="6">
        <v>0.19</v>
      </c>
      <c r="F10" s="6">
        <v>0.04</v>
      </c>
      <c r="G10" s="6">
        <v>0.09</v>
      </c>
      <c r="H10" s="928">
        <f>SUM('MECS T5.2'!E1367:I1370)/SUM('MECS T5.2'!E1366:I1370,'MECS T5.2'!E1372:I1372)</f>
        <v>2.9702970297029702E-2</v>
      </c>
    </row>
    <row r="11" spans="1:8">
      <c r="A11" t="s">
        <v>501</v>
      </c>
      <c r="B11" s="6">
        <v>0.28999999999999998</v>
      </c>
      <c r="C11" s="6">
        <v>0.03</v>
      </c>
      <c r="D11" s="6">
        <v>0.08</v>
      </c>
      <c r="E11" s="6">
        <v>0.6</v>
      </c>
      <c r="F11" s="6">
        <v>0</v>
      </c>
      <c r="G11" s="6">
        <v>0</v>
      </c>
      <c r="H11" s="928">
        <f>SUM('MECS T5.2'!E355:I358)/SUM('MECS T5.2'!E354:I358,'MECS T5.2'!E350:I350)</f>
        <v>0.11666666666666667</v>
      </c>
    </row>
    <row r="12" spans="1:8">
      <c r="A12" t="s">
        <v>502</v>
      </c>
      <c r="B12" s="6">
        <v>0.21</v>
      </c>
      <c r="C12" s="6">
        <v>0.14000000000000001</v>
      </c>
      <c r="D12" s="6">
        <v>0</v>
      </c>
      <c r="E12" s="6">
        <v>0</v>
      </c>
      <c r="F12" s="6">
        <v>0.05</v>
      </c>
      <c r="G12" s="6">
        <v>0.6</v>
      </c>
      <c r="H12" s="928">
        <f>SUM('MECS T5.2'!E1125:I1128)/SUM('MECS T5.2'!E1124:I1128,'MECS T5.2'!E1120:I1120)</f>
        <v>0</v>
      </c>
    </row>
    <row r="13" spans="1:8">
      <c r="A13" t="s">
        <v>503</v>
      </c>
      <c r="B13" s="6">
        <v>0.21</v>
      </c>
      <c r="C13" s="6">
        <v>0.49</v>
      </c>
      <c r="D13" s="6">
        <v>0.02</v>
      </c>
      <c r="E13" s="6">
        <v>0.03</v>
      </c>
      <c r="F13" s="6">
        <v>0.14000000000000001</v>
      </c>
      <c r="G13" s="6">
        <v>0.11</v>
      </c>
      <c r="H13" s="928">
        <f>SUM('MECS T5.2'!E1345:I1348)/SUM('MECS T5.2'!E1344:I1348,'MECS T5.2'!E1340:I1340)</f>
        <v>8.6956521739130432E-2</v>
      </c>
    </row>
    <row r="14" spans="1:8">
      <c r="A14" t="s">
        <v>504</v>
      </c>
      <c r="B14" s="6">
        <v>0.4</v>
      </c>
      <c r="C14" s="6">
        <v>0.17</v>
      </c>
      <c r="D14" s="6">
        <v>0.18</v>
      </c>
      <c r="E14" s="6">
        <v>0.17</v>
      </c>
      <c r="F14" s="6">
        <v>0</v>
      </c>
      <c r="G14" s="6">
        <v>0.08</v>
      </c>
      <c r="H14" s="928">
        <f>SUM('MECS T5.2'!E1697:I1700)/SUM('MECS T5.2'!E1696:I1700,'MECS T5.2'!E1692:I1692)</f>
        <v>8.1632653061224483E-2</v>
      </c>
    </row>
    <row r="15" spans="1:8">
      <c r="A15" t="s">
        <v>418</v>
      </c>
      <c r="B15" s="6">
        <v>0.09</v>
      </c>
      <c r="C15" s="6">
        <v>0</v>
      </c>
      <c r="D15" s="6">
        <v>0.04</v>
      </c>
      <c r="E15" s="6">
        <v>0</v>
      </c>
      <c r="F15" s="6">
        <v>0.23</v>
      </c>
      <c r="G15" s="6">
        <v>0.64</v>
      </c>
      <c r="H15" s="928">
        <f>SUM('MECS T5.2'!E1213:I1216)/SUM('MECS T5.2'!E1212:I1216,'MECS T5.2'!E1208:I1208)</f>
        <v>0.22839506172839505</v>
      </c>
    </row>
    <row r="16" spans="1:8">
      <c r="A16" t="s">
        <v>505</v>
      </c>
      <c r="B16" s="6">
        <v>7.0000000000000007E-2</v>
      </c>
      <c r="C16" s="6">
        <v>0.1</v>
      </c>
      <c r="D16" s="6">
        <v>0.02</v>
      </c>
      <c r="E16" s="6">
        <v>0.11</v>
      </c>
      <c r="F16" s="6">
        <v>0</v>
      </c>
      <c r="G16" s="6">
        <v>0.7</v>
      </c>
      <c r="H16" s="928">
        <f>SUM('MECS T5.2'!E1103:I1106)/SUM('MECS T5.2'!E1102:I1106,'MECS T5.2'!E1098:I1098)</f>
        <v>2.7027027027027029E-2</v>
      </c>
    </row>
    <row r="17" spans="1:8">
      <c r="A17" t="s">
        <v>506</v>
      </c>
      <c r="B17" s="6">
        <v>0.34</v>
      </c>
      <c r="C17" s="6">
        <v>0.23</v>
      </c>
      <c r="D17" s="6">
        <v>0.14000000000000001</v>
      </c>
      <c r="E17" s="6">
        <v>0.09</v>
      </c>
      <c r="F17" s="6">
        <v>0.09</v>
      </c>
      <c r="G17" s="6">
        <v>0.11</v>
      </c>
      <c r="H17" s="928">
        <f>SUM('MECS T5.2'!E1609:I1612)/SUM('MECS T5.2'!E1608:I1612,'MECS T5.2'!E1604:I1604)</f>
        <v>0.1875</v>
      </c>
    </row>
    <row r="18" spans="1:8">
      <c r="A18" t="s">
        <v>507</v>
      </c>
      <c r="B18" s="6">
        <v>0.23</v>
      </c>
      <c r="C18" s="6">
        <v>0.17</v>
      </c>
      <c r="D18" s="6">
        <v>0.14000000000000001</v>
      </c>
      <c r="E18" s="6">
        <v>0.46</v>
      </c>
      <c r="F18" s="6">
        <v>0</v>
      </c>
      <c r="G18" s="6">
        <v>0</v>
      </c>
      <c r="H18" s="928">
        <f>SUM('MECS T5.2'!E47:I50)/SUM('MECS T5.2'!E46:I50,'MECS T5.2'!E42:I42)</f>
        <v>5.0078247261345854E-2</v>
      </c>
    </row>
    <row r="19" spans="1:8">
      <c r="A19" t="s">
        <v>424</v>
      </c>
      <c r="B19" s="6">
        <v>0.24</v>
      </c>
      <c r="C19" s="6">
        <v>0.01</v>
      </c>
      <c r="D19" s="6">
        <v>0.26</v>
      </c>
      <c r="E19" s="6">
        <v>0.46</v>
      </c>
      <c r="F19" s="6">
        <v>0.03</v>
      </c>
      <c r="G19" s="6">
        <v>0</v>
      </c>
      <c r="H19" s="928">
        <f>SUM('MECS T5.2'!E465:I468)/SUM('MECS T5.2'!E464:I468,'MECS T5.2'!E460:I460)</f>
        <v>2.4711696869851731E-2</v>
      </c>
    </row>
    <row r="20" spans="1:8">
      <c r="A20" t="s">
        <v>508</v>
      </c>
      <c r="B20" s="6">
        <v>0.11</v>
      </c>
      <c r="C20" s="462">
        <v>5.0000000000000001E-3</v>
      </c>
      <c r="D20" s="462">
        <v>5.0000000000000001E-3</v>
      </c>
      <c r="E20" s="6">
        <v>0.01</v>
      </c>
      <c r="F20" s="6">
        <v>0.02</v>
      </c>
      <c r="G20" s="6">
        <v>0.85</v>
      </c>
      <c r="H20" s="928">
        <f>SUM('MECS T5.2'!E1323:I1326)/SUM('MECS T5.2'!E1322:I1326,'MECS T5.2'!E1318:I1318)</f>
        <v>0.13189448441247004</v>
      </c>
    </row>
    <row r="21" spans="1:8">
      <c r="A21" t="s">
        <v>444</v>
      </c>
      <c r="B21" s="6">
        <v>0.13</v>
      </c>
      <c r="C21" s="6">
        <v>0.09</v>
      </c>
      <c r="D21" s="6">
        <v>0.06</v>
      </c>
      <c r="E21" s="6">
        <v>0.59</v>
      </c>
      <c r="F21" s="6">
        <v>0.13</v>
      </c>
      <c r="G21" s="6">
        <v>0</v>
      </c>
      <c r="H21" s="928">
        <f>SUM('MECS T5.2'!E729:I732)/SUM('MECS T5.2'!E728:I732,'MECS T5.2'!E724:I724)</f>
        <v>0.11190576356752209</v>
      </c>
    </row>
    <row r="24" spans="1:8">
      <c r="A24" s="463" t="s">
        <v>509</v>
      </c>
      <c r="B24" s="464"/>
      <c r="C24" s="464"/>
      <c r="D24" s="464"/>
      <c r="E24" s="464"/>
      <c r="F24" s="464"/>
      <c r="G24" s="464"/>
    </row>
    <row r="26" spans="1:8">
      <c r="D26" s="2130" t="s">
        <v>492</v>
      </c>
      <c r="E26" s="2130"/>
      <c r="F26" s="2130"/>
      <c r="G26" s="2130"/>
    </row>
    <row r="27" spans="1:8" s="5" customFormat="1" ht="32">
      <c r="A27" s="57" t="s">
        <v>413</v>
      </c>
      <c r="B27" s="57" t="s">
        <v>510</v>
      </c>
      <c r="C27" s="58" t="s">
        <v>5903</v>
      </c>
      <c r="D27" s="13" t="s">
        <v>493</v>
      </c>
      <c r="E27" s="13" t="s">
        <v>494</v>
      </c>
      <c r="F27" s="13" t="s">
        <v>495</v>
      </c>
      <c r="G27" s="13" t="s">
        <v>496</v>
      </c>
      <c r="H27" s="3" t="s">
        <v>5899</v>
      </c>
    </row>
    <row r="28" spans="1:8">
      <c r="A28" t="str">
        <f>'U.S. Energy Demand'!A5</f>
        <v>Refining</v>
      </c>
      <c r="B28" t="str">
        <f>A21</f>
        <v>Chemicals</v>
      </c>
      <c r="C28" s="11">
        <f>SUM('U.S. Energy Demand'!C5:D5)</f>
        <v>4269.8600159999996</v>
      </c>
      <c r="D28" s="459">
        <f>INDEX(D$7:D$21,MATCH($B28,$A$7:$A$21,0))</f>
        <v>0.06</v>
      </c>
      <c r="E28" s="459">
        <f>INDEX(E$7:E$21,MATCH($B28,$A$7:$A$21,0))</f>
        <v>0.59</v>
      </c>
      <c r="F28" s="459">
        <f t="shared" ref="F28:G28" si="0">INDEX(F$7:F$21,MATCH($B28,$A$7:$A$21,0))</f>
        <v>0.13</v>
      </c>
      <c r="G28" s="459">
        <f t="shared" si="0"/>
        <v>0</v>
      </c>
      <c r="H28" s="929">
        <f>INDEX(H$7:H$21,MATCH($B28,$A$7:$A$21,0))*C28</f>
        <v>477.82194541691206</v>
      </c>
    </row>
    <row r="29" spans="1:8">
      <c r="A29" t="str">
        <f>'U.S. Energy Demand'!A6</f>
        <v>Food</v>
      </c>
      <c r="B29" t="str">
        <f>A18</f>
        <v>Food</v>
      </c>
      <c r="C29" s="11">
        <f>SUM('U.S. Energy Demand'!C6:D6)</f>
        <v>825.33257999999978</v>
      </c>
      <c r="D29" s="459">
        <f t="shared" ref="D29:G39" si="1">INDEX(D$7:D$21,MATCH($B29,$A$7:$A$21,0))</f>
        <v>0.14000000000000001</v>
      </c>
      <c r="E29" s="459">
        <f t="shared" si="1"/>
        <v>0.46</v>
      </c>
      <c r="F29" s="459">
        <f t="shared" si="1"/>
        <v>0</v>
      </c>
      <c r="G29" s="459">
        <f t="shared" si="1"/>
        <v>0</v>
      </c>
      <c r="H29" s="929">
        <f t="shared" ref="H29:H39" si="2">INDEX(H$7:H$21,MATCH($B29,$A$7:$A$21,0))*C29</f>
        <v>41.3312090140845</v>
      </c>
    </row>
    <row r="30" spans="1:8">
      <c r="A30" t="str">
        <f>'U.S. Energy Demand'!A7</f>
        <v>Paper</v>
      </c>
      <c r="B30" t="str">
        <f>A19</f>
        <v>Pulp and Paper</v>
      </c>
      <c r="C30" s="11">
        <f>SUM('U.S. Energy Demand'!C7:D7)</f>
        <v>1554.680069</v>
      </c>
      <c r="D30" s="459">
        <f t="shared" si="1"/>
        <v>0.26</v>
      </c>
      <c r="E30" s="459">
        <f t="shared" si="1"/>
        <v>0.46</v>
      </c>
      <c r="F30" s="459">
        <f t="shared" si="1"/>
        <v>0.03</v>
      </c>
      <c r="G30" s="459">
        <f t="shared" si="1"/>
        <v>0</v>
      </c>
      <c r="H30" s="929">
        <f t="shared" si="2"/>
        <v>38.418782594728171</v>
      </c>
    </row>
    <row r="31" spans="1:8">
      <c r="A31" t="str">
        <f>'U.S. Energy Demand'!A8</f>
        <v>Chemicals</v>
      </c>
      <c r="B31" t="str">
        <f>A21</f>
        <v>Chemicals</v>
      </c>
      <c r="C31" s="11">
        <f>SUM('U.S. Energy Demand'!C8:D8)</f>
        <v>2646.5021970000003</v>
      </c>
      <c r="D31" s="459">
        <f t="shared" si="1"/>
        <v>0.06</v>
      </c>
      <c r="E31" s="459">
        <f t="shared" si="1"/>
        <v>0.59</v>
      </c>
      <c r="F31" s="459">
        <f t="shared" si="1"/>
        <v>0.13</v>
      </c>
      <c r="G31" s="459">
        <f t="shared" si="1"/>
        <v>0</v>
      </c>
      <c r="H31" s="929">
        <f t="shared" si="2"/>
        <v>296.15884913840978</v>
      </c>
    </row>
    <row r="32" spans="1:8">
      <c r="A32" t="str">
        <f>'U.S. Energy Demand'!A9</f>
        <v>Glass</v>
      </c>
      <c r="B32" t="str">
        <f>A12</f>
        <v>Glass</v>
      </c>
      <c r="C32" s="11">
        <f>SUM('U.S. Energy Demand'!C9:D9)</f>
        <v>104.14090700000001</v>
      </c>
      <c r="D32" s="459">
        <f t="shared" si="1"/>
        <v>0</v>
      </c>
      <c r="E32" s="459">
        <f t="shared" si="1"/>
        <v>0</v>
      </c>
      <c r="F32" s="459">
        <f t="shared" si="1"/>
        <v>0.05</v>
      </c>
      <c r="G32" s="459">
        <f t="shared" si="1"/>
        <v>0.6</v>
      </c>
      <c r="H32" s="929">
        <f t="shared" si="2"/>
        <v>0</v>
      </c>
    </row>
    <row r="33" spans="1:8">
      <c r="A33" t="str">
        <f>'U.S. Energy Demand'!A10</f>
        <v>Cement and Lime</v>
      </c>
      <c r="B33" t="str">
        <f>A15</f>
        <v>Cement</v>
      </c>
      <c r="C33" s="11">
        <f>SUM('U.S. Energy Demand'!C10:D10)</f>
        <v>354.50500899999997</v>
      </c>
      <c r="D33" s="459">
        <f t="shared" si="1"/>
        <v>0.04</v>
      </c>
      <c r="E33" s="459">
        <f t="shared" si="1"/>
        <v>0</v>
      </c>
      <c r="F33" s="459">
        <f t="shared" si="1"/>
        <v>0.23</v>
      </c>
      <c r="G33" s="459">
        <f t="shared" si="1"/>
        <v>0.64</v>
      </c>
      <c r="H33" s="929">
        <f t="shared" si="2"/>
        <v>80.967193413580233</v>
      </c>
    </row>
    <row r="34" spans="1:8">
      <c r="A34" t="str">
        <f>'U.S. Energy Demand'!A11</f>
        <v>Iron and Steel</v>
      </c>
      <c r="B34" t="str">
        <f>A20</f>
        <v>Primary Steel</v>
      </c>
      <c r="C34" s="11">
        <f>SUM('U.S. Energy Demand'!C11:D11)</f>
        <v>422.01977599999998</v>
      </c>
      <c r="D34" s="459">
        <f t="shared" si="1"/>
        <v>5.0000000000000001E-3</v>
      </c>
      <c r="E34" s="459">
        <f t="shared" si="1"/>
        <v>0.01</v>
      </c>
      <c r="F34" s="459">
        <f t="shared" si="1"/>
        <v>0.02</v>
      </c>
      <c r="G34" s="459">
        <f t="shared" si="1"/>
        <v>0.85</v>
      </c>
      <c r="H34" s="929">
        <f t="shared" si="2"/>
        <v>55.662080767386094</v>
      </c>
    </row>
    <row r="35" spans="1:8">
      <c r="A35" t="str">
        <f>'U.S. Energy Demand'!A12</f>
        <v>Aluminum</v>
      </c>
      <c r="B35" t="str">
        <f>A10</f>
        <v>Primary Aluminum</v>
      </c>
      <c r="C35" s="11">
        <f>SUM('U.S. Energy Demand'!C12:D12)</f>
        <v>102.50147200000001</v>
      </c>
      <c r="D35" s="459">
        <f t="shared" si="1"/>
        <v>0</v>
      </c>
      <c r="E35" s="459">
        <f t="shared" si="1"/>
        <v>0.19</v>
      </c>
      <c r="F35" s="459">
        <f t="shared" si="1"/>
        <v>0.04</v>
      </c>
      <c r="G35" s="459">
        <f t="shared" si="1"/>
        <v>0.09</v>
      </c>
      <c r="H35" s="929">
        <f t="shared" si="2"/>
        <v>3.044598178217822</v>
      </c>
    </row>
    <row r="36" spans="1:8">
      <c r="A36" t="str">
        <f>'U.S. Energy Demand'!A13</f>
        <v>Metal-Based Durables</v>
      </c>
      <c r="B36" t="str">
        <f>A17</f>
        <v>Machinery and Equipment</v>
      </c>
      <c r="C36" s="11">
        <f>SUM('U.S. Energy Demand'!C13:D13)</f>
        <v>364.78467399999994</v>
      </c>
      <c r="D36" s="459">
        <f t="shared" si="1"/>
        <v>0.14000000000000001</v>
      </c>
      <c r="E36" s="459">
        <f t="shared" si="1"/>
        <v>0.09</v>
      </c>
      <c r="F36" s="459">
        <f t="shared" si="1"/>
        <v>0.09</v>
      </c>
      <c r="G36" s="459">
        <f t="shared" si="1"/>
        <v>0.11</v>
      </c>
      <c r="H36" s="929">
        <f t="shared" si="2"/>
        <v>68.397126374999985</v>
      </c>
    </row>
    <row r="37" spans="1:8">
      <c r="A37" t="str">
        <f>'U.S. Energy Demand'!A14</f>
        <v>Wood Products</v>
      </c>
      <c r="B37" t="str">
        <f>A11</f>
        <v>Wood and Wood Products</v>
      </c>
      <c r="C37" s="11">
        <f>SUM('U.S. Energy Demand'!C14:D14)</f>
        <v>360.33360300000004</v>
      </c>
      <c r="D37" s="459">
        <f t="shared" si="1"/>
        <v>0.08</v>
      </c>
      <c r="E37" s="459">
        <f t="shared" si="1"/>
        <v>0.6</v>
      </c>
      <c r="F37" s="459">
        <f t="shared" si="1"/>
        <v>0</v>
      </c>
      <c r="G37" s="459">
        <f t="shared" si="1"/>
        <v>0</v>
      </c>
      <c r="H37" s="929">
        <f t="shared" si="2"/>
        <v>42.038920350000005</v>
      </c>
    </row>
    <row r="38" spans="1:8">
      <c r="A38" t="str">
        <f>'U.S. Energy Demand'!A15</f>
        <v>Plastics</v>
      </c>
      <c r="B38" t="str">
        <f>A21</f>
        <v>Chemicals</v>
      </c>
      <c r="C38" s="11">
        <f>SUM('U.S. Energy Demand'!C15:D15)</f>
        <v>81.277420000000006</v>
      </c>
      <c r="D38" s="459">
        <f t="shared" si="1"/>
        <v>0.06</v>
      </c>
      <c r="E38" s="459">
        <f t="shared" si="1"/>
        <v>0.59</v>
      </c>
      <c r="F38" s="459">
        <f t="shared" si="1"/>
        <v>0.13</v>
      </c>
      <c r="G38" s="459">
        <f t="shared" si="1"/>
        <v>0</v>
      </c>
      <c r="H38" s="929">
        <f t="shared" si="2"/>
        <v>9.0954117458981916</v>
      </c>
    </row>
    <row r="39" spans="1:8">
      <c r="A39" t="str">
        <f>'U.S. Energy Demand'!A16</f>
        <v>Other Manufacturing</v>
      </c>
      <c r="B39" t="str">
        <f>A14</f>
        <v>Transport Equipment</v>
      </c>
      <c r="C39" s="11">
        <f>SUM('U.S. Energy Demand'!C16:D16)</f>
        <v>848.49499500000013</v>
      </c>
      <c r="D39" s="459">
        <f t="shared" si="1"/>
        <v>0.18</v>
      </c>
      <c r="E39" s="459">
        <f t="shared" si="1"/>
        <v>0.17</v>
      </c>
      <c r="F39" s="459">
        <f t="shared" si="1"/>
        <v>0</v>
      </c>
      <c r="G39" s="459">
        <f t="shared" si="1"/>
        <v>0.08</v>
      </c>
      <c r="H39" s="929">
        <f t="shared" si="2"/>
        <v>69.264897551020411</v>
      </c>
    </row>
    <row r="40" spans="1:8">
      <c r="H40" s="455"/>
    </row>
    <row r="41" spans="1:8">
      <c r="A41" t="s">
        <v>511</v>
      </c>
      <c r="D41" s="459">
        <f>SUMPRODUCT($C$28:$C$39,D$28:D$39)/SUM($C$28:$C$39)</f>
        <v>9.9588956269986637E-2</v>
      </c>
      <c r="E41" s="459">
        <f t="shared" ref="E41:G41" si="3">SUMPRODUCT($C$28:$C$39,E$28:E$39)/SUM($C$28:$C$39)</f>
        <v>0.47261430386657105</v>
      </c>
      <c r="F41" s="459">
        <f t="shared" si="3"/>
        <v>9.1202309532346551E-2</v>
      </c>
      <c r="G41" s="459">
        <f t="shared" si="3"/>
        <v>6.4126684850777979E-2</v>
      </c>
      <c r="H41" s="455"/>
    </row>
    <row r="42" spans="1:8">
      <c r="A42" t="s">
        <v>512</v>
      </c>
      <c r="D42" s="459">
        <f>D41/SUM($D$41:$G$41)</f>
        <v>0.13688596711871615</v>
      </c>
      <c r="E42" s="459">
        <f t="shared" ref="E42:G42" si="4">E41/SUM($D$41:$G$41)</f>
        <v>0.64961285349278663</v>
      </c>
      <c r="F42" s="459">
        <f t="shared" si="4"/>
        <v>0.12535844145158684</v>
      </c>
      <c r="G42" s="459">
        <f t="shared" si="4"/>
        <v>8.8142737936910451E-2</v>
      </c>
      <c r="H42" s="455"/>
    </row>
    <row r="43" spans="1:8">
      <c r="A43" t="s">
        <v>5907</v>
      </c>
      <c r="H43" s="1949">
        <f>SUM(H28:H39)/SUM(C28:C39)</f>
        <v>9.905799818722788E-2</v>
      </c>
    </row>
    <row r="44" spans="1:8">
      <c r="D44" s="13" t="s">
        <v>513</v>
      </c>
      <c r="E44" s="13" t="s">
        <v>514</v>
      </c>
    </row>
    <row r="45" spans="1:8">
      <c r="A45" t="s">
        <v>515</v>
      </c>
      <c r="D45" s="465">
        <f>D42+(65/300)*E42</f>
        <v>0.27763541870881991</v>
      </c>
      <c r="E45" s="466">
        <f>1-D45</f>
        <v>0.72236458129118009</v>
      </c>
    </row>
    <row r="47" spans="1:8">
      <c r="A47" s="463" t="s">
        <v>516</v>
      </c>
      <c r="B47" s="464"/>
      <c r="C47" s="464"/>
      <c r="D47" s="464"/>
      <c r="E47" s="464"/>
      <c r="F47" s="464"/>
      <c r="G47" s="464"/>
    </row>
    <row r="49" spans="1:8">
      <c r="D49" s="2130" t="s">
        <v>492</v>
      </c>
      <c r="E49" s="2130"/>
      <c r="F49" s="2130"/>
      <c r="G49" s="2130"/>
    </row>
    <row r="50" spans="1:8" ht="32">
      <c r="A50" s="57" t="s">
        <v>413</v>
      </c>
      <c r="B50" s="57" t="s">
        <v>510</v>
      </c>
      <c r="C50" s="58" t="s">
        <v>5904</v>
      </c>
      <c r="D50" s="13" t="s">
        <v>493</v>
      </c>
      <c r="E50" s="13" t="s">
        <v>494</v>
      </c>
      <c r="F50" s="13" t="s">
        <v>495</v>
      </c>
      <c r="G50" s="13" t="s">
        <v>496</v>
      </c>
      <c r="H50" s="3" t="s">
        <v>5900</v>
      </c>
    </row>
    <row r="51" spans="1:8">
      <c r="A51" t="str">
        <f>'China Energy Demand'!A5</f>
        <v xml:space="preserve">  Processing of Food from Agricultural Products</v>
      </c>
      <c r="B51" t="str">
        <f>$A$18</f>
        <v>Food</v>
      </c>
      <c r="C51" s="11">
        <f>SUM('China Energy Demand'!C5:D5)</f>
        <v>2516.2000000000003</v>
      </c>
      <c r="D51" s="459">
        <f>INDEX(D$7:D$21,MATCH($B51,$A$7:$A$21,0))</f>
        <v>0.14000000000000001</v>
      </c>
      <c r="E51" s="459">
        <f>INDEX(E$7:E$21,MATCH($B51,$A$7:$A$21,0))</f>
        <v>0.46</v>
      </c>
      <c r="F51" s="459">
        <f t="shared" ref="F51:G66" si="5">INDEX(F$7:F$21,MATCH($B51,$A$7:$A$21,0))</f>
        <v>0</v>
      </c>
      <c r="G51" s="459">
        <f t="shared" si="5"/>
        <v>0</v>
      </c>
      <c r="H51" s="929">
        <f>INDEX(H$7:H$21,MATCH($B51,$A$7:$A$21,0))*C51</f>
        <v>126.00688575899845</v>
      </c>
    </row>
    <row r="52" spans="1:8">
      <c r="A52" t="str">
        <f>'China Energy Demand'!A6</f>
        <v xml:space="preserve">  Manufacture of Foods</v>
      </c>
      <c r="B52" t="str">
        <f t="shared" ref="B52:B53" si="6">$A$18</f>
        <v>Food</v>
      </c>
      <c r="C52" s="11">
        <f>SUM('China Energy Demand'!C6:D6)</f>
        <v>1333.9900000000002</v>
      </c>
      <c r="D52" s="459">
        <f t="shared" ref="D52:G81" si="7">INDEX(D$7:D$21,MATCH($B52,$A$7:$A$21,0))</f>
        <v>0.14000000000000001</v>
      </c>
      <c r="E52" s="459">
        <f t="shared" si="7"/>
        <v>0.46</v>
      </c>
      <c r="F52" s="459">
        <f t="shared" si="5"/>
        <v>0</v>
      </c>
      <c r="G52" s="459">
        <f t="shared" si="5"/>
        <v>0</v>
      </c>
      <c r="H52" s="929">
        <f t="shared" ref="H52:H81" si="8">INDEX(H$7:H$21,MATCH($B52,$A$7:$A$21,0))*C52</f>
        <v>66.803881064162766</v>
      </c>
    </row>
    <row r="53" spans="1:8">
      <c r="A53" t="str">
        <f>'China Energy Demand'!A7</f>
        <v xml:space="preserve">  Manufacture of Liquor,Beverages and Refined Tea</v>
      </c>
      <c r="B53" t="str">
        <f t="shared" si="6"/>
        <v>Food</v>
      </c>
      <c r="C53" s="11">
        <f>SUM('China Energy Demand'!C7:D7)</f>
        <v>760.64</v>
      </c>
      <c r="D53" s="459">
        <f t="shared" si="7"/>
        <v>0.14000000000000001</v>
      </c>
      <c r="E53" s="459">
        <f t="shared" si="7"/>
        <v>0.46</v>
      </c>
      <c r="F53" s="459">
        <f t="shared" si="5"/>
        <v>0</v>
      </c>
      <c r="G53" s="459">
        <f t="shared" si="5"/>
        <v>0</v>
      </c>
      <c r="H53" s="929">
        <f t="shared" si="8"/>
        <v>38.09151799687011</v>
      </c>
    </row>
    <row r="54" spans="1:8">
      <c r="A54" t="str">
        <f>'China Energy Demand'!A8</f>
        <v xml:space="preserve">  Manufacture of Tobacco</v>
      </c>
      <c r="B54" t="str">
        <f>A21</f>
        <v>Chemicals</v>
      </c>
      <c r="C54" s="11">
        <f>SUM('China Energy Demand'!C8:D8)</f>
        <v>109.38999999999999</v>
      </c>
      <c r="D54" s="459">
        <f t="shared" si="7"/>
        <v>0.06</v>
      </c>
      <c r="E54" s="459">
        <f t="shared" si="7"/>
        <v>0.59</v>
      </c>
      <c r="F54" s="459">
        <f t="shared" si="5"/>
        <v>0.13</v>
      </c>
      <c r="G54" s="459">
        <f t="shared" si="5"/>
        <v>0</v>
      </c>
      <c r="H54" s="929">
        <f t="shared" si="8"/>
        <v>12.24137147665124</v>
      </c>
    </row>
    <row r="55" spans="1:8">
      <c r="A55" t="str">
        <f>'China Energy Demand'!A9</f>
        <v xml:space="preserve">  Manufacture of Textile</v>
      </c>
      <c r="B55" t="str">
        <f>A9</f>
        <v>Textiles</v>
      </c>
      <c r="C55" s="11">
        <f>SUM('China Energy Demand'!C9:D9)</f>
        <v>4284.46</v>
      </c>
      <c r="D55" s="459">
        <f t="shared" si="7"/>
        <v>0.26</v>
      </c>
      <c r="E55" s="459">
        <f t="shared" si="7"/>
        <v>0.28999999999999998</v>
      </c>
      <c r="F55" s="459">
        <f t="shared" si="5"/>
        <v>0</v>
      </c>
      <c r="G55" s="459">
        <f t="shared" si="5"/>
        <v>0</v>
      </c>
      <c r="H55" s="929">
        <f t="shared" si="8"/>
        <v>186.28086956521739</v>
      </c>
    </row>
    <row r="56" spans="1:8">
      <c r="A56" t="str">
        <f>'China Energy Demand'!A10</f>
        <v xml:space="preserve">  Manufacture of Textile,Wearing Apparel and Accessories</v>
      </c>
      <c r="B56" t="str">
        <f>A9</f>
        <v>Textiles</v>
      </c>
      <c r="C56" s="11">
        <f>SUM('China Energy Demand'!C10:D10)</f>
        <v>654.48</v>
      </c>
      <c r="D56" s="459">
        <f t="shared" si="7"/>
        <v>0.26</v>
      </c>
      <c r="E56" s="459">
        <f t="shared" si="7"/>
        <v>0.28999999999999998</v>
      </c>
      <c r="F56" s="459">
        <f t="shared" si="5"/>
        <v>0</v>
      </c>
      <c r="G56" s="459">
        <f t="shared" si="5"/>
        <v>0</v>
      </c>
      <c r="H56" s="929">
        <f t="shared" si="8"/>
        <v>28.455652173913045</v>
      </c>
    </row>
    <row r="57" spans="1:8">
      <c r="A57" t="str">
        <f>'China Energy Demand'!A11</f>
        <v xml:space="preserve">  Manufacture of Leather,Fur,Feather and Related Products and Footwear</v>
      </c>
      <c r="B57" t="str">
        <f>A9</f>
        <v>Textiles</v>
      </c>
      <c r="C57" s="11">
        <f>SUM('China Energy Demand'!C11:D11)</f>
        <v>321.26000000000005</v>
      </c>
      <c r="D57" s="459">
        <f t="shared" si="7"/>
        <v>0.26</v>
      </c>
      <c r="E57" s="459">
        <f t="shared" si="7"/>
        <v>0.28999999999999998</v>
      </c>
      <c r="F57" s="459">
        <f t="shared" si="5"/>
        <v>0</v>
      </c>
      <c r="G57" s="459">
        <f t="shared" si="5"/>
        <v>0</v>
      </c>
      <c r="H57" s="929">
        <f t="shared" si="8"/>
        <v>13.967826086956524</v>
      </c>
    </row>
    <row r="58" spans="1:8">
      <c r="A58" t="str">
        <f>'China Energy Demand'!A12</f>
        <v xml:space="preserve">  Processing of Timber,Manufacture of Wood,Bamboo,Rattan,Palm,
  Palm,and Straw Products</v>
      </c>
      <c r="B58" t="str">
        <f>A11</f>
        <v>Wood and Wood Products</v>
      </c>
      <c r="C58" s="11">
        <f>SUM('China Energy Demand'!C12:D12)</f>
        <v>645.06000000000006</v>
      </c>
      <c r="D58" s="459">
        <f t="shared" si="7"/>
        <v>0.08</v>
      </c>
      <c r="E58" s="459">
        <f t="shared" si="7"/>
        <v>0.6</v>
      </c>
      <c r="F58" s="459">
        <f t="shared" si="5"/>
        <v>0</v>
      </c>
      <c r="G58" s="459">
        <f t="shared" si="5"/>
        <v>0</v>
      </c>
      <c r="H58" s="929">
        <f t="shared" si="8"/>
        <v>75.257000000000005</v>
      </c>
    </row>
    <row r="59" spans="1:8">
      <c r="A59" t="str">
        <f>'China Energy Demand'!A13</f>
        <v xml:space="preserve">  Manufacture of Furniture</v>
      </c>
      <c r="B59" t="str">
        <f>A11</f>
        <v>Wood and Wood Products</v>
      </c>
      <c r="C59" s="11">
        <f>SUM('China Energy Demand'!C13:D13)</f>
        <v>278.92999999999995</v>
      </c>
      <c r="D59" s="459">
        <f t="shared" si="7"/>
        <v>0.08</v>
      </c>
      <c r="E59" s="459">
        <f t="shared" si="7"/>
        <v>0.6</v>
      </c>
      <c r="F59" s="459">
        <f t="shared" si="5"/>
        <v>0</v>
      </c>
      <c r="G59" s="459">
        <f t="shared" si="5"/>
        <v>0</v>
      </c>
      <c r="H59" s="929">
        <f t="shared" si="8"/>
        <v>32.541833333333329</v>
      </c>
    </row>
    <row r="60" spans="1:8">
      <c r="A60" t="str">
        <f>'China Energy Demand'!A14</f>
        <v xml:space="preserve">  Manufacture of Paper and Paper Products</v>
      </c>
      <c r="B60" t="str">
        <f>A19</f>
        <v>Pulp and Paper</v>
      </c>
      <c r="C60" s="11">
        <f>SUM('China Energy Demand'!C14:D14)</f>
        <v>2089.4599999999996</v>
      </c>
      <c r="D60" s="459">
        <f t="shared" si="7"/>
        <v>0.26</v>
      </c>
      <c r="E60" s="459">
        <f t="shared" si="7"/>
        <v>0.46</v>
      </c>
      <c r="F60" s="459">
        <f t="shared" si="5"/>
        <v>0.03</v>
      </c>
      <c r="G60" s="459">
        <f t="shared" si="5"/>
        <v>0</v>
      </c>
      <c r="H60" s="929">
        <f t="shared" si="8"/>
        <v>51.634102141680387</v>
      </c>
    </row>
    <row r="61" spans="1:8">
      <c r="A61" t="str">
        <f>'China Energy Demand'!A15</f>
        <v xml:space="preserve">  Printing and Reproduction of Recording Media</v>
      </c>
      <c r="B61" t="str">
        <f>A17</f>
        <v>Machinery and Equipment</v>
      </c>
      <c r="C61" s="11">
        <f>SUM('China Energy Demand'!C15:D15)</f>
        <v>334.52</v>
      </c>
      <c r="D61" s="459">
        <f t="shared" si="7"/>
        <v>0.14000000000000001</v>
      </c>
      <c r="E61" s="459">
        <f t="shared" si="7"/>
        <v>0.09</v>
      </c>
      <c r="F61" s="459">
        <f t="shared" si="5"/>
        <v>0.09</v>
      </c>
      <c r="G61" s="459">
        <f t="shared" si="5"/>
        <v>0.11</v>
      </c>
      <c r="H61" s="929">
        <f t="shared" si="8"/>
        <v>62.722499999999997</v>
      </c>
    </row>
    <row r="62" spans="1:8">
      <c r="A62" t="str">
        <f>'China Energy Demand'!A16</f>
        <v xml:space="preserve">  Manufacture of Articles for Culture,Education,Arts and Crafts,
  Sport and Entertainment Activities</v>
      </c>
      <c r="B62" t="str">
        <f>A9</f>
        <v>Textiles</v>
      </c>
      <c r="C62" s="11">
        <f>SUM('China Energy Demand'!C16:D16)</f>
        <v>415.52</v>
      </c>
      <c r="D62" s="459">
        <f t="shared" si="7"/>
        <v>0.26</v>
      </c>
      <c r="E62" s="459">
        <f t="shared" si="7"/>
        <v>0.28999999999999998</v>
      </c>
      <c r="F62" s="459">
        <f t="shared" si="5"/>
        <v>0</v>
      </c>
      <c r="G62" s="459">
        <f t="shared" si="5"/>
        <v>0</v>
      </c>
      <c r="H62" s="929">
        <f t="shared" si="8"/>
        <v>18.066086956521737</v>
      </c>
    </row>
    <row r="63" spans="1:8">
      <c r="A63" t="str">
        <f>'China Energy Demand'!A17</f>
        <v xml:space="preserve">  Processing of Petroleum,Coal and Other Fuels</v>
      </c>
      <c r="B63" t="str">
        <f>A21</f>
        <v>Chemicals</v>
      </c>
      <c r="C63" s="11">
        <f>SUM('China Energy Demand'!C17:D17)</f>
        <v>24200.449999999997</v>
      </c>
      <c r="D63" s="459">
        <f t="shared" si="7"/>
        <v>0.06</v>
      </c>
      <c r="E63" s="459">
        <f t="shared" si="7"/>
        <v>0.59</v>
      </c>
      <c r="F63" s="459">
        <f t="shared" si="5"/>
        <v>0.13</v>
      </c>
      <c r="G63" s="459">
        <f t="shared" si="5"/>
        <v>0</v>
      </c>
      <c r="H63" s="929">
        <f t="shared" si="8"/>
        <v>2708.1698359276397</v>
      </c>
    </row>
    <row r="64" spans="1:8">
      <c r="A64" t="str">
        <f>'China Energy Demand'!A18</f>
        <v xml:space="preserve">  Manufacture of Raw Chemical Materials and Chemical Products</v>
      </c>
      <c r="B64" t="str">
        <f>A21</f>
        <v>Chemicals</v>
      </c>
      <c r="C64" s="11">
        <f>SUM('China Energy Demand'!C18:D18)</f>
        <v>42679.29</v>
      </c>
      <c r="D64" s="459">
        <f t="shared" si="7"/>
        <v>0.06</v>
      </c>
      <c r="E64" s="459">
        <f t="shared" si="7"/>
        <v>0.59</v>
      </c>
      <c r="F64" s="459">
        <f t="shared" si="5"/>
        <v>0.13</v>
      </c>
      <c r="G64" s="459">
        <f t="shared" si="5"/>
        <v>0</v>
      </c>
      <c r="H64" s="929">
        <f t="shared" si="8"/>
        <v>4776.0585359697097</v>
      </c>
    </row>
    <row r="65" spans="1:8">
      <c r="A65" t="str">
        <f>'China Energy Demand'!A19</f>
        <v xml:space="preserve">  Manufacture of Medicines</v>
      </c>
      <c r="B65" t="str">
        <f>A21</f>
        <v>Chemicals</v>
      </c>
      <c r="C65" s="11">
        <f>SUM('China Energy Demand'!C19:D19)</f>
        <v>1327.61</v>
      </c>
      <c r="D65" s="459">
        <f t="shared" si="7"/>
        <v>0.06</v>
      </c>
      <c r="E65" s="459">
        <f t="shared" si="7"/>
        <v>0.59</v>
      </c>
      <c r="F65" s="459">
        <f t="shared" si="5"/>
        <v>0.13</v>
      </c>
      <c r="G65" s="459">
        <f t="shared" si="5"/>
        <v>0</v>
      </c>
      <c r="H65" s="929">
        <f t="shared" si="8"/>
        <v>148.56721076987799</v>
      </c>
    </row>
    <row r="66" spans="1:8">
      <c r="A66" t="str">
        <f>'China Energy Demand'!A20</f>
        <v xml:space="preserve">  Manufacture of Chemical Fibers</v>
      </c>
      <c r="B66" t="str">
        <f>A21</f>
        <v>Chemicals</v>
      </c>
      <c r="C66" s="11">
        <f>SUM('China Energy Demand'!C20:D20)</f>
        <v>1555.63</v>
      </c>
      <c r="D66" s="459">
        <f t="shared" si="7"/>
        <v>0.06</v>
      </c>
      <c r="E66" s="459">
        <f t="shared" si="7"/>
        <v>0.59</v>
      </c>
      <c r="F66" s="459">
        <f t="shared" si="5"/>
        <v>0.13</v>
      </c>
      <c r="G66" s="459">
        <f t="shared" si="5"/>
        <v>0</v>
      </c>
      <c r="H66" s="929">
        <f t="shared" si="8"/>
        <v>174.08396297854441</v>
      </c>
    </row>
    <row r="67" spans="1:8">
      <c r="A67" t="str">
        <f>'China Energy Demand'!A21</f>
        <v xml:space="preserve">  Manufacture of Rubber and Plastics Products</v>
      </c>
      <c r="B67" t="str">
        <f>A21</f>
        <v>Chemicals</v>
      </c>
      <c r="C67" s="11">
        <f>SUM('China Energy Demand'!C21:D21)</f>
        <v>3355.8100000000004</v>
      </c>
      <c r="D67" s="459">
        <f t="shared" si="7"/>
        <v>0.06</v>
      </c>
      <c r="E67" s="459">
        <f t="shared" si="7"/>
        <v>0.59</v>
      </c>
      <c r="F67" s="459">
        <f t="shared" si="7"/>
        <v>0.13</v>
      </c>
      <c r="G67" s="459">
        <f t="shared" si="7"/>
        <v>0</v>
      </c>
      <c r="H67" s="929">
        <f t="shared" si="8"/>
        <v>375.53448043752633</v>
      </c>
    </row>
    <row r="68" spans="1:8">
      <c r="A68" t="str">
        <f>'China Energy Demand'!A22</f>
        <v xml:space="preserve">  Manufacture of Non-metallic Mineral Products</v>
      </c>
      <c r="B68" t="str">
        <f>A15</f>
        <v>Cement</v>
      </c>
      <c r="C68" s="11">
        <f>SUM('China Energy Demand'!C22:D22)</f>
        <v>31733.239999999998</v>
      </c>
      <c r="D68" s="459">
        <f t="shared" si="7"/>
        <v>0.04</v>
      </c>
      <c r="E68" s="459">
        <f t="shared" si="7"/>
        <v>0</v>
      </c>
      <c r="F68" s="459">
        <f t="shared" si="7"/>
        <v>0.23</v>
      </c>
      <c r="G68" s="459">
        <f t="shared" si="7"/>
        <v>0.64</v>
      </c>
      <c r="H68" s="929">
        <f t="shared" si="8"/>
        <v>7247.7153086419748</v>
      </c>
    </row>
    <row r="69" spans="1:8">
      <c r="A69" t="str">
        <f>'China Energy Demand'!A23</f>
        <v xml:space="preserve">  Smelting and Pressing of Ferrous Metals</v>
      </c>
      <c r="B69" t="str">
        <f>A20</f>
        <v>Primary Steel</v>
      </c>
      <c r="C69" s="11">
        <f>SUM('China Energy Demand'!C23:D23)</f>
        <v>36882.55999999999</v>
      </c>
      <c r="D69" s="459">
        <f t="shared" si="7"/>
        <v>5.0000000000000001E-3</v>
      </c>
      <c r="E69" s="459">
        <f t="shared" si="7"/>
        <v>0.01</v>
      </c>
      <c r="F69" s="459">
        <f t="shared" si="7"/>
        <v>0.02</v>
      </c>
      <c r="G69" s="459">
        <f t="shared" si="7"/>
        <v>0.85</v>
      </c>
      <c r="H69" s="929">
        <f t="shared" si="8"/>
        <v>4864.6062350119892</v>
      </c>
    </row>
    <row r="70" spans="1:8">
      <c r="A70" t="str">
        <f>'China Energy Demand'!A24</f>
        <v xml:space="preserve">  Smelting and Pressing of Non-ferrous Metals</v>
      </c>
      <c r="B70" t="str">
        <f>A8</f>
        <v>Other Non-Ferrous Metals</v>
      </c>
      <c r="C70" s="11">
        <f>SUM('China Energy Demand'!C24:D24)</f>
        <v>16254.760000000002</v>
      </c>
      <c r="D70" s="459">
        <f t="shared" si="7"/>
        <v>0.04</v>
      </c>
      <c r="E70" s="459">
        <f t="shared" si="7"/>
        <v>0.08</v>
      </c>
      <c r="F70" s="459">
        <f t="shared" si="7"/>
        <v>0.05</v>
      </c>
      <c r="G70" s="459">
        <f t="shared" si="7"/>
        <v>0.23</v>
      </c>
      <c r="H70" s="929">
        <f t="shared" si="8"/>
        <v>0</v>
      </c>
    </row>
    <row r="71" spans="1:8">
      <c r="A71" t="str">
        <f>'China Energy Demand'!A25</f>
        <v xml:space="preserve">  Manufacture of Metal Products</v>
      </c>
      <c r="B71" t="str">
        <f>A17</f>
        <v>Machinery and Equipment</v>
      </c>
      <c r="C71" s="11">
        <f>SUM('China Energy Demand'!C25:D25)</f>
        <v>4867.4599999999991</v>
      </c>
      <c r="D71" s="459">
        <f t="shared" si="7"/>
        <v>0.14000000000000001</v>
      </c>
      <c r="E71" s="459">
        <f t="shared" si="7"/>
        <v>0.09</v>
      </c>
      <c r="F71" s="459">
        <f t="shared" si="7"/>
        <v>0.09</v>
      </c>
      <c r="G71" s="459">
        <f t="shared" si="7"/>
        <v>0.11</v>
      </c>
      <c r="H71" s="929">
        <f t="shared" si="8"/>
        <v>912.64874999999984</v>
      </c>
    </row>
    <row r="72" spans="1:8">
      <c r="A72" t="str">
        <f>'China Energy Demand'!A26</f>
        <v xml:space="preserve">  Manufacture of General Purpose Machinery</v>
      </c>
      <c r="B72" t="str">
        <f>A17</f>
        <v>Machinery and Equipment</v>
      </c>
      <c r="C72" s="11">
        <f>SUM('China Energy Demand'!C26:D26)</f>
        <v>2787.5900000000006</v>
      </c>
      <c r="D72" s="459">
        <f t="shared" si="7"/>
        <v>0.14000000000000001</v>
      </c>
      <c r="E72" s="459">
        <f t="shared" si="7"/>
        <v>0.09</v>
      </c>
      <c r="F72" s="459">
        <f t="shared" si="7"/>
        <v>0.09</v>
      </c>
      <c r="G72" s="459">
        <f t="shared" si="7"/>
        <v>0.11</v>
      </c>
      <c r="H72" s="929">
        <f t="shared" si="8"/>
        <v>522.67312500000014</v>
      </c>
    </row>
    <row r="73" spans="1:8">
      <c r="A73" t="str">
        <f>'China Energy Demand'!A27</f>
        <v xml:space="preserve">  Manufacture of Special Purpose Machinery</v>
      </c>
      <c r="B73" t="str">
        <f>A17</f>
        <v>Machinery and Equipment</v>
      </c>
      <c r="C73" s="11">
        <f>SUM('China Energy Demand'!C27:D27)</f>
        <v>1265.9099999999999</v>
      </c>
      <c r="D73" s="459">
        <f t="shared" si="7"/>
        <v>0.14000000000000001</v>
      </c>
      <c r="E73" s="459">
        <f t="shared" si="7"/>
        <v>0.09</v>
      </c>
      <c r="F73" s="459">
        <f t="shared" si="7"/>
        <v>0.09</v>
      </c>
      <c r="G73" s="459">
        <f t="shared" si="7"/>
        <v>0.11</v>
      </c>
      <c r="H73" s="929">
        <f t="shared" si="8"/>
        <v>237.35812499999997</v>
      </c>
    </row>
    <row r="74" spans="1:8">
      <c r="A74" t="str">
        <f>'China Energy Demand'!A28</f>
        <v xml:space="preserve">  Manufacture of Automobiles</v>
      </c>
      <c r="B74" t="str">
        <f>A14</f>
        <v>Transport Equipment</v>
      </c>
      <c r="C74" s="11">
        <f>SUM('China Energy Demand'!C28:D28)</f>
        <v>2878.3999999999996</v>
      </c>
      <c r="D74" s="459">
        <f t="shared" si="7"/>
        <v>0.18</v>
      </c>
      <c r="E74" s="459">
        <f t="shared" si="7"/>
        <v>0.17</v>
      </c>
      <c r="F74" s="459">
        <f t="shared" si="7"/>
        <v>0</v>
      </c>
      <c r="G74" s="459">
        <f t="shared" si="7"/>
        <v>0.08</v>
      </c>
      <c r="H74" s="929">
        <f t="shared" si="8"/>
        <v>234.97142857142853</v>
      </c>
    </row>
    <row r="75" spans="1:8">
      <c r="A75" t="str">
        <f>'China Energy Demand'!A29</f>
        <v xml:space="preserve">  Manufacture of Railway,Ship,Aerospace and Other Transport Equipments</v>
      </c>
      <c r="B75" t="str">
        <f>A14</f>
        <v>Transport Equipment</v>
      </c>
      <c r="C75" s="11">
        <f>SUM('China Energy Demand'!C29:D29)</f>
        <v>679.22</v>
      </c>
      <c r="D75" s="459">
        <f t="shared" si="7"/>
        <v>0.18</v>
      </c>
      <c r="E75" s="459">
        <f t="shared" si="7"/>
        <v>0.17</v>
      </c>
      <c r="F75" s="459">
        <f t="shared" si="7"/>
        <v>0</v>
      </c>
      <c r="G75" s="459">
        <f t="shared" si="7"/>
        <v>0.08</v>
      </c>
      <c r="H75" s="929">
        <f t="shared" si="8"/>
        <v>55.446530612244899</v>
      </c>
    </row>
    <row r="76" spans="1:8">
      <c r="A76" t="str">
        <f>'China Energy Demand'!A30</f>
        <v xml:space="preserve">  Manufacture of Electrical Machinery and Apparatus</v>
      </c>
      <c r="B76" t="str">
        <f>A17</f>
        <v>Machinery and Equipment</v>
      </c>
      <c r="C76" s="11">
        <f>SUM('China Energy Demand'!C30:D30)</f>
        <v>2404.11</v>
      </c>
      <c r="D76" s="459">
        <f t="shared" si="7"/>
        <v>0.14000000000000001</v>
      </c>
      <c r="E76" s="459">
        <f t="shared" si="7"/>
        <v>0.09</v>
      </c>
      <c r="F76" s="459">
        <f t="shared" si="7"/>
        <v>0.09</v>
      </c>
      <c r="G76" s="459">
        <f t="shared" si="7"/>
        <v>0.11</v>
      </c>
      <c r="H76" s="929">
        <f t="shared" si="8"/>
        <v>450.770625</v>
      </c>
    </row>
    <row r="77" spans="1:8">
      <c r="A77" t="str">
        <f>'China Energy Demand'!A31</f>
        <v xml:space="preserve">  Manufacture of Computers,Communication and Other Electronic Equipment</v>
      </c>
      <c r="B77" t="str">
        <f>A17</f>
        <v>Machinery and Equipment</v>
      </c>
      <c r="C77" s="11">
        <f>SUM('China Energy Demand'!C31:D31)</f>
        <v>3611.5800000000004</v>
      </c>
      <c r="D77" s="459">
        <f t="shared" si="7"/>
        <v>0.14000000000000001</v>
      </c>
      <c r="E77" s="459">
        <f t="shared" si="7"/>
        <v>0.09</v>
      </c>
      <c r="F77" s="459">
        <f t="shared" si="7"/>
        <v>0.09</v>
      </c>
      <c r="G77" s="459">
        <f t="shared" si="7"/>
        <v>0.11</v>
      </c>
      <c r="H77" s="929">
        <f t="shared" si="8"/>
        <v>677.1712500000001</v>
      </c>
    </row>
    <row r="78" spans="1:8">
      <c r="A78" t="str">
        <f>'China Energy Demand'!A32</f>
        <v xml:space="preserve">  Manufacture of Measuring Instruments and Machinery</v>
      </c>
      <c r="B78" t="str">
        <f>A17</f>
        <v>Machinery and Equipment</v>
      </c>
      <c r="C78" s="11">
        <f>SUM('China Energy Demand'!C32:D32)</f>
        <v>175.63</v>
      </c>
      <c r="D78" s="459">
        <f t="shared" si="7"/>
        <v>0.14000000000000001</v>
      </c>
      <c r="E78" s="459">
        <f t="shared" si="7"/>
        <v>0.09</v>
      </c>
      <c r="F78" s="459">
        <f t="shared" si="7"/>
        <v>0.09</v>
      </c>
      <c r="G78" s="459">
        <f t="shared" si="7"/>
        <v>0.11</v>
      </c>
      <c r="H78" s="929">
        <f t="shared" si="8"/>
        <v>32.930624999999999</v>
      </c>
    </row>
    <row r="79" spans="1:8">
      <c r="A79" t="str">
        <f>'China Energy Demand'!A33</f>
        <v xml:space="preserve">  Other Manufacture</v>
      </c>
      <c r="B79" t="str">
        <f>A17</f>
        <v>Machinery and Equipment</v>
      </c>
      <c r="C79" s="11">
        <f>SUM('China Energy Demand'!C33:D33)</f>
        <v>1343.52</v>
      </c>
      <c r="D79" s="459">
        <f t="shared" si="7"/>
        <v>0.14000000000000001</v>
      </c>
      <c r="E79" s="459">
        <f t="shared" si="7"/>
        <v>0.09</v>
      </c>
      <c r="F79" s="459">
        <f t="shared" si="7"/>
        <v>0.09</v>
      </c>
      <c r="G79" s="459">
        <f t="shared" si="7"/>
        <v>0.11</v>
      </c>
      <c r="H79" s="929">
        <f t="shared" si="8"/>
        <v>251.91</v>
      </c>
    </row>
    <row r="80" spans="1:8">
      <c r="A80" t="str">
        <f>'China Energy Demand'!A34</f>
        <v xml:space="preserve">  Utilization of Waste Resources</v>
      </c>
      <c r="B80" t="str">
        <f>A21</f>
        <v>Chemicals</v>
      </c>
      <c r="C80" s="11">
        <f>SUM('China Energy Demand'!C34:D34)</f>
        <v>613.46</v>
      </c>
      <c r="D80" s="459">
        <f t="shared" si="7"/>
        <v>0.06</v>
      </c>
      <c r="E80" s="459">
        <f t="shared" si="7"/>
        <v>0.59</v>
      </c>
      <c r="F80" s="459">
        <f t="shared" si="7"/>
        <v>0.13</v>
      </c>
      <c r="G80" s="459">
        <f t="shared" si="7"/>
        <v>0</v>
      </c>
      <c r="H80" s="929">
        <f t="shared" si="8"/>
        <v>68.649709718132101</v>
      </c>
    </row>
    <row r="81" spans="1:8">
      <c r="A81" t="str">
        <f>'China Energy Demand'!A35</f>
        <v xml:space="preserve">  Repair Service of Metal Products,Machinery and Equipment</v>
      </c>
      <c r="B81" t="str">
        <f>A17</f>
        <v>Machinery and Equipment</v>
      </c>
      <c r="C81" s="11">
        <f>SUM('China Energy Demand'!C35:D35)</f>
        <v>49.11</v>
      </c>
      <c r="D81" s="459">
        <f t="shared" si="7"/>
        <v>0.14000000000000001</v>
      </c>
      <c r="E81" s="459">
        <f t="shared" si="7"/>
        <v>0.09</v>
      </c>
      <c r="F81" s="459">
        <f t="shared" si="7"/>
        <v>0.09</v>
      </c>
      <c r="G81" s="459">
        <f t="shared" si="7"/>
        <v>0.11</v>
      </c>
      <c r="H81" s="929">
        <f t="shared" si="8"/>
        <v>9.208124999999999</v>
      </c>
    </row>
    <row r="83" spans="1:8">
      <c r="A83" t="s">
        <v>511</v>
      </c>
      <c r="D83" s="459">
        <f>SUMPRODUCT($C$51:$C$81,D$51:D$81)/SUM($C$51:$C$81)</f>
        <v>6.3773987996938841E-2</v>
      </c>
      <c r="E83" s="459">
        <f t="shared" ref="E83:G83" si="9">SUMPRODUCT($C$51:$C$81,E$51:E$81)/SUM($C$51:$C$81)</f>
        <v>0.27357626673353813</v>
      </c>
      <c r="F83" s="459">
        <f t="shared" si="9"/>
        <v>0.10408376988112583</v>
      </c>
      <c r="G83" s="459">
        <f t="shared" si="9"/>
        <v>0.29902404016438922</v>
      </c>
    </row>
    <row r="84" spans="1:8">
      <c r="A84" t="s">
        <v>512</v>
      </c>
      <c r="D84" s="459">
        <f>D83/SUM($D$83:$G$83)</f>
        <v>8.6127751226846516E-2</v>
      </c>
      <c r="E84" s="459">
        <f t="shared" ref="E84:G84" si="10">E83/SUM($D$83:$G$83)</f>
        <v>0.36946895408087987</v>
      </c>
      <c r="F84" s="459">
        <f t="shared" si="10"/>
        <v>0.14056673136866152</v>
      </c>
      <c r="G84" s="459">
        <f t="shared" si="10"/>
        <v>0.40383656332361217</v>
      </c>
    </row>
    <row r="85" spans="1:8">
      <c r="A85" t="s">
        <v>5907</v>
      </c>
      <c r="H85" s="1949">
        <f>SUM(H51:H81)/SUM(C51:C81)</f>
        <v>0.12712768949618264</v>
      </c>
    </row>
    <row r="86" spans="1:8">
      <c r="D86" s="13" t="s">
        <v>513</v>
      </c>
      <c r="E86" s="13" t="s">
        <v>514</v>
      </c>
    </row>
    <row r="87" spans="1:8">
      <c r="A87" t="s">
        <v>515</v>
      </c>
      <c r="D87" s="465">
        <f>D84+(65/300)*E84</f>
        <v>0.1661793579443705</v>
      </c>
      <c r="E87" s="466">
        <f>1-D87</f>
        <v>0.83382064205562956</v>
      </c>
    </row>
    <row r="89" spans="1:8">
      <c r="A89" s="463" t="s">
        <v>517</v>
      </c>
      <c r="B89" s="464"/>
      <c r="C89" s="464"/>
      <c r="D89" s="464"/>
      <c r="E89" s="464"/>
      <c r="F89" s="464"/>
      <c r="G89" s="464"/>
    </row>
    <row r="91" spans="1:8">
      <c r="D91" s="2130" t="s">
        <v>492</v>
      </c>
      <c r="E91" s="2130"/>
      <c r="F91" s="2130"/>
      <c r="G91" s="2130"/>
    </row>
    <row r="92" spans="1:8" ht="32">
      <c r="A92" s="57" t="s">
        <v>413</v>
      </c>
      <c r="B92" s="57" t="s">
        <v>510</v>
      </c>
      <c r="C92" s="58" t="s">
        <v>5905</v>
      </c>
      <c r="D92" s="13" t="s">
        <v>493</v>
      </c>
      <c r="E92" s="13" t="s">
        <v>494</v>
      </c>
      <c r="F92" s="13" t="s">
        <v>495</v>
      </c>
      <c r="G92" s="13" t="s">
        <v>496</v>
      </c>
      <c r="H92" s="3" t="s">
        <v>5901</v>
      </c>
    </row>
    <row r="93" spans="1:8">
      <c r="A93" s="455" t="str">
        <f>'India Energy Demand'!A5</f>
        <v>Cement</v>
      </c>
      <c r="B93" t="str">
        <f>A15</f>
        <v>Cement</v>
      </c>
      <c r="C93" s="455">
        <f>SUM('India Energy Demand'!C5:D5)</f>
        <v>20.120100113359381</v>
      </c>
      <c r="D93" s="459">
        <f>INDEX(D$7:D$21,MATCH($B93,$A$7:$A$21,0))</f>
        <v>0.04</v>
      </c>
      <c r="E93" s="459">
        <f>INDEX(E$7:E$21,MATCH($B93,$A$7:$A$21,0))</f>
        <v>0</v>
      </c>
      <c r="F93" s="459">
        <f t="shared" ref="F93:G100" si="11">INDEX(F$7:F$21,MATCH($B93,$A$7:$A$21,0))</f>
        <v>0.23</v>
      </c>
      <c r="G93" s="459">
        <f t="shared" si="11"/>
        <v>0.64</v>
      </c>
      <c r="H93" s="929">
        <f>INDEX(H$7:H$21,MATCH($B93,$A$7:$A$21,0))*C93</f>
        <v>4.5953315073722045</v>
      </c>
    </row>
    <row r="94" spans="1:8">
      <c r="A94" s="455" t="str">
        <f>'India Energy Demand'!A6</f>
        <v>Fertilizer</v>
      </c>
      <c r="B94" t="str">
        <f>A21</f>
        <v>Chemicals</v>
      </c>
      <c r="C94" s="455">
        <f>SUM('India Energy Demand'!C6:D6)</f>
        <v>14.603493473579977</v>
      </c>
      <c r="D94" s="459">
        <f t="shared" ref="D94:E100" si="12">INDEX(D$7:D$21,MATCH($B94,$A$7:$A$21,0))</f>
        <v>0.06</v>
      </c>
      <c r="E94" s="459">
        <f t="shared" si="12"/>
        <v>0.59</v>
      </c>
      <c r="F94" s="459">
        <f t="shared" si="11"/>
        <v>0.13</v>
      </c>
      <c r="G94" s="459">
        <f t="shared" si="11"/>
        <v>0</v>
      </c>
      <c r="H94" s="929">
        <f t="shared" ref="H94:H100" si="13">INDEX(H$7:H$21,MATCH($B94,$A$7:$A$21,0))*C94</f>
        <v>1.6342150879142929</v>
      </c>
    </row>
    <row r="95" spans="1:8">
      <c r="A95" s="455" t="str">
        <f>'India Energy Demand'!A7</f>
        <v>Aluminum</v>
      </c>
      <c r="B95" t="str">
        <f>A10</f>
        <v>Primary Aluminum</v>
      </c>
      <c r="C95" s="455">
        <f>SUM('India Energy Demand'!C7:D7)</f>
        <v>18.003245602206565</v>
      </c>
      <c r="D95" s="459">
        <f t="shared" si="12"/>
        <v>0</v>
      </c>
      <c r="E95" s="459">
        <f t="shared" si="12"/>
        <v>0.19</v>
      </c>
      <c r="F95" s="459">
        <f t="shared" si="11"/>
        <v>0.04</v>
      </c>
      <c r="G95" s="459">
        <f t="shared" si="11"/>
        <v>0.09</v>
      </c>
      <c r="H95" s="929">
        <f t="shared" si="13"/>
        <v>0.53474986937247226</v>
      </c>
    </row>
    <row r="96" spans="1:8">
      <c r="A96" s="455" t="str">
        <f>'India Energy Demand'!A8</f>
        <v>Iron and Steel</v>
      </c>
      <c r="B96" t="str">
        <f>A20</f>
        <v>Primary Steel</v>
      </c>
      <c r="C96" s="455">
        <f>SUM('India Energy Demand'!C8:D8)</f>
        <v>55.354809606669328</v>
      </c>
      <c r="D96" s="459">
        <f t="shared" si="12"/>
        <v>5.0000000000000001E-3</v>
      </c>
      <c r="E96" s="459">
        <f t="shared" si="12"/>
        <v>0.01</v>
      </c>
      <c r="F96" s="459">
        <f t="shared" si="11"/>
        <v>0.02</v>
      </c>
      <c r="G96" s="459">
        <f t="shared" si="11"/>
        <v>0.85</v>
      </c>
      <c r="H96" s="929">
        <f t="shared" si="13"/>
        <v>7.3009940728220943</v>
      </c>
    </row>
    <row r="97" spans="1:8">
      <c r="A97" s="455" t="str">
        <f>'India Energy Demand'!A9</f>
        <v>Pulp and Paper</v>
      </c>
      <c r="B97" t="str">
        <f>A19</f>
        <v>Pulp and Paper</v>
      </c>
      <c r="C97" s="455">
        <f>SUM('India Energy Demand'!C9:D9)</f>
        <v>10.290544064326724</v>
      </c>
      <c r="D97" s="459">
        <f t="shared" si="12"/>
        <v>0.26</v>
      </c>
      <c r="E97" s="459">
        <f t="shared" si="12"/>
        <v>0.46</v>
      </c>
      <c r="F97" s="459">
        <f t="shared" si="11"/>
        <v>0.03</v>
      </c>
      <c r="G97" s="459">
        <f t="shared" si="11"/>
        <v>0</v>
      </c>
      <c r="H97" s="929">
        <f t="shared" si="13"/>
        <v>0.25429680554349399</v>
      </c>
    </row>
    <row r="98" spans="1:8">
      <c r="A98" s="455" t="str">
        <f>'India Energy Demand'!A10</f>
        <v>Textile</v>
      </c>
      <c r="B98" t="str">
        <f>A9</f>
        <v>Textiles</v>
      </c>
      <c r="C98" s="455">
        <f>SUM('India Energy Demand'!C10:D10)</f>
        <v>10.207380311312457</v>
      </c>
      <c r="D98" s="459">
        <f t="shared" si="12"/>
        <v>0.26</v>
      </c>
      <c r="E98" s="459">
        <f t="shared" si="12"/>
        <v>0.28999999999999998</v>
      </c>
      <c r="F98" s="459">
        <f t="shared" si="11"/>
        <v>0</v>
      </c>
      <c r="G98" s="459">
        <f t="shared" si="11"/>
        <v>0</v>
      </c>
      <c r="H98" s="929">
        <f t="shared" si="13"/>
        <v>0.44379914397010684</v>
      </c>
    </row>
    <row r="99" spans="1:8">
      <c r="A99" s="455" t="str">
        <f>'India Energy Demand'!A11</f>
        <v>Chlor Alkali</v>
      </c>
      <c r="B99" t="str">
        <f>A21</f>
        <v>Chemicals</v>
      </c>
      <c r="C99" s="455">
        <f>SUM('India Energy Demand'!C11:D11)</f>
        <v>1.5289857294623999</v>
      </c>
      <c r="D99" s="459">
        <f t="shared" si="12"/>
        <v>0.06</v>
      </c>
      <c r="E99" s="459">
        <f t="shared" si="12"/>
        <v>0.59</v>
      </c>
      <c r="F99" s="459">
        <f t="shared" si="11"/>
        <v>0.13</v>
      </c>
      <c r="G99" s="459">
        <f t="shared" si="11"/>
        <v>0</v>
      </c>
      <c r="H99" s="929">
        <f t="shared" si="13"/>
        <v>0.17110231553933461</v>
      </c>
    </row>
    <row r="100" spans="1:8">
      <c r="A100" s="455" t="str">
        <f>'India Energy Demand'!A12</f>
        <v>Other Manufacturing</v>
      </c>
      <c r="B100" t="str">
        <f>A17</f>
        <v>Machinery and Equipment</v>
      </c>
      <c r="C100" s="455">
        <f>SUM('India Energy Demand'!C12:D12)</f>
        <v>131.91834894653644</v>
      </c>
      <c r="D100" s="459">
        <f t="shared" si="12"/>
        <v>0.14000000000000001</v>
      </c>
      <c r="E100" s="459">
        <f t="shared" si="12"/>
        <v>0.09</v>
      </c>
      <c r="F100" s="459">
        <f t="shared" si="11"/>
        <v>0.09</v>
      </c>
      <c r="G100" s="459">
        <f t="shared" si="11"/>
        <v>0.11</v>
      </c>
      <c r="H100" s="929">
        <f t="shared" si="13"/>
        <v>24.734690427475584</v>
      </c>
    </row>
    <row r="101" spans="1:8">
      <c r="A101" s="455"/>
    </row>
    <row r="102" spans="1:8">
      <c r="A102" t="s">
        <v>511</v>
      </c>
      <c r="D102" s="459">
        <f>SUMPRODUCT($C$92:$C$100,D$92:D$100)/SUM($C$92:$C$100)</f>
        <v>9.8644662898435917E-2</v>
      </c>
      <c r="E102" s="459">
        <f t="shared" ref="E102:G102" si="14">SUMPRODUCT($C$92:$C$100,E$92:E$100)/SUM($C$92:$C$100)</f>
        <v>0.12616555195387136</v>
      </c>
      <c r="F102" s="459">
        <f t="shared" si="14"/>
        <v>7.9127137117835575E-2</v>
      </c>
      <c r="G102" s="459">
        <f t="shared" si="14"/>
        <v>0.29027462618769284</v>
      </c>
    </row>
    <row r="103" spans="1:8">
      <c r="A103" t="s">
        <v>512</v>
      </c>
      <c r="D103" s="459">
        <f>D102/SUM($D$102:$G$102)</f>
        <v>0.16600921308293409</v>
      </c>
      <c r="E103" s="459">
        <f t="shared" ref="E103:G103" si="15">E102/SUM($D$102:$G$102)</f>
        <v>0.21232414793287629</v>
      </c>
      <c r="F103" s="459">
        <f t="shared" si="15"/>
        <v>0.13316314720403985</v>
      </c>
      <c r="G103" s="459">
        <f t="shared" si="15"/>
        <v>0.48850349178014985</v>
      </c>
    </row>
    <row r="104" spans="1:8">
      <c r="A104" t="s">
        <v>5907</v>
      </c>
      <c r="H104" s="1949">
        <f>SUM(H93:H100)/SUM(C93:C100)</f>
        <v>0.15139353265621169</v>
      </c>
    </row>
    <row r="105" spans="1:8">
      <c r="D105" s="13" t="s">
        <v>513</v>
      </c>
      <c r="E105" s="13" t="s">
        <v>514</v>
      </c>
    </row>
    <row r="106" spans="1:8">
      <c r="A106" t="s">
        <v>515</v>
      </c>
      <c r="D106" s="465">
        <f>D103+(65/300)*E103</f>
        <v>0.21201277846839062</v>
      </c>
      <c r="E106" s="466">
        <f>1-D106</f>
        <v>0.78798722153160938</v>
      </c>
    </row>
    <row r="107" spans="1:8">
      <c r="A107" s="455"/>
    </row>
    <row r="108" spans="1:8">
      <c r="A108" s="463" t="s">
        <v>518</v>
      </c>
      <c r="B108" s="464"/>
      <c r="C108" s="464"/>
      <c r="D108" s="464"/>
      <c r="E108" s="464"/>
      <c r="F108" s="464"/>
      <c r="G108" s="464"/>
    </row>
    <row r="110" spans="1:8">
      <c r="D110" s="2130" t="s">
        <v>492</v>
      </c>
      <c r="E110" s="2130"/>
      <c r="F110" s="2130"/>
      <c r="G110" s="2130"/>
    </row>
    <row r="111" spans="1:8" ht="32">
      <c r="A111" s="57" t="s">
        <v>413</v>
      </c>
      <c r="B111" s="57" t="s">
        <v>510</v>
      </c>
      <c r="C111" s="58" t="s">
        <v>5906</v>
      </c>
      <c r="D111" s="13" t="s">
        <v>493</v>
      </c>
      <c r="E111" s="13" t="s">
        <v>494</v>
      </c>
      <c r="F111" s="13" t="s">
        <v>495</v>
      </c>
      <c r="G111" s="13" t="s">
        <v>496</v>
      </c>
      <c r="H111" s="3" t="s">
        <v>5902</v>
      </c>
    </row>
    <row r="112" spans="1:8">
      <c r="A112" s="455" t="str">
        <f ca="1">'EU Energy Demand'!A5</f>
        <v>Iron &amp; steel</v>
      </c>
      <c r="B112" t="str">
        <f>A20</f>
        <v>Primary Steel</v>
      </c>
      <c r="C112" s="455">
        <f ca="1">SUM('EU Energy Demand'!C5:D5)</f>
        <v>13569.290508009386</v>
      </c>
      <c r="D112" s="459">
        <f>INDEX(D$7:D$21,MATCH($B112,$A$7:$A$21,0))</f>
        <v>5.0000000000000001E-3</v>
      </c>
      <c r="E112" s="459">
        <f>INDEX(E$7:E$21,MATCH($B112,$A$7:$A$21,0))</f>
        <v>0.01</v>
      </c>
      <c r="F112" s="459">
        <f t="shared" ref="F112:G122" si="16">INDEX(F$7:F$21,MATCH($B112,$A$7:$A$21,0))</f>
        <v>0.02</v>
      </c>
      <c r="G112" s="459">
        <f t="shared" si="16"/>
        <v>0.85</v>
      </c>
      <c r="H112" s="929">
        <f ca="1">INDEX(H$7:H$21,MATCH($B112,$A$7:$A$21,0))*C112</f>
        <v>1789.7145753969216</v>
      </c>
    </row>
    <row r="113" spans="1:8">
      <c r="A113" s="455" t="str">
        <f ca="1">'EU Energy Demand'!A6</f>
        <v>Non-ferrous metals</v>
      </c>
      <c r="B113" t="str">
        <f>A8</f>
        <v>Other Non-Ferrous Metals</v>
      </c>
      <c r="C113" s="455">
        <f ca="1">SUM('EU Energy Demand'!C6:D6)</f>
        <v>4246.0210332874276</v>
      </c>
      <c r="D113" s="459">
        <f t="shared" ref="D113:E122" si="17">INDEX(D$7:D$21,MATCH($B113,$A$7:$A$21,0))</f>
        <v>0.04</v>
      </c>
      <c r="E113" s="459">
        <f t="shared" si="17"/>
        <v>0.08</v>
      </c>
      <c r="F113" s="459">
        <f t="shared" si="16"/>
        <v>0.05</v>
      </c>
      <c r="G113" s="459">
        <f t="shared" si="16"/>
        <v>0.23</v>
      </c>
      <c r="H113" s="929">
        <f t="shared" ref="H113" ca="1" si="18">INDEX(H$7:H$21,MATCH($B113,$A$7:$A$21,0))*C113</f>
        <v>0</v>
      </c>
    </row>
    <row r="114" spans="1:8">
      <c r="A114" s="455" t="str">
        <f ca="1">'EU Energy Demand'!A7</f>
        <v>Chemical &amp; petrochemical</v>
      </c>
      <c r="B114" t="str">
        <f>A21</f>
        <v>Chemicals</v>
      </c>
      <c r="C114" s="455">
        <f ca="1">SUM('EU Energy Demand'!C7:D7)</f>
        <v>30234.343261759888</v>
      </c>
      <c r="D114" s="459">
        <f t="shared" si="17"/>
        <v>0.06</v>
      </c>
      <c r="E114" s="459">
        <f t="shared" si="17"/>
        <v>0.59</v>
      </c>
      <c r="F114" s="459">
        <f t="shared" si="16"/>
        <v>0.13</v>
      </c>
      <c r="G114" s="459">
        <f t="shared" si="16"/>
        <v>0</v>
      </c>
      <c r="H114" s="929">
        <f t="shared" ref="H114" ca="1" si="19">INDEX(H$7:H$21,MATCH($B114,$A$7:$A$21,0))*C114</f>
        <v>3383.3972686698066</v>
      </c>
    </row>
    <row r="115" spans="1:8">
      <c r="A115" s="455" t="str">
        <f ca="1">'EU Energy Demand'!A8</f>
        <v>Non-metallic minerals</v>
      </c>
      <c r="B115" t="str">
        <f>A15</f>
        <v>Cement</v>
      </c>
      <c r="C115" s="455">
        <f ca="1">SUM('EU Energy Demand'!C8:D8)</f>
        <v>28405.797253167133</v>
      </c>
      <c r="D115" s="459">
        <f t="shared" si="17"/>
        <v>0.04</v>
      </c>
      <c r="E115" s="459">
        <f t="shared" si="17"/>
        <v>0</v>
      </c>
      <c r="F115" s="459">
        <f t="shared" si="16"/>
        <v>0.23</v>
      </c>
      <c r="G115" s="459">
        <f t="shared" si="16"/>
        <v>0.64</v>
      </c>
      <c r="H115" s="929">
        <f t="shared" ref="H115:H122" ca="1" si="20">INDEX(H$7:H$21,MATCH($B115,$A$7:$A$21,0))*C115</f>
        <v>6487.7438170813821</v>
      </c>
    </row>
    <row r="116" spans="1:8">
      <c r="A116" s="455" t="str">
        <f ca="1">'EU Energy Demand'!A9</f>
        <v>Paper, pulp &amp; printing</v>
      </c>
      <c r="B116" t="str">
        <f>A19</f>
        <v>Pulp and Paper</v>
      </c>
      <c r="C116" s="455">
        <f ca="1">SUM('EU Energy Demand'!C9:D9)</f>
        <v>21933.699146251343</v>
      </c>
      <c r="D116" s="459">
        <f t="shared" si="17"/>
        <v>0.26</v>
      </c>
      <c r="E116" s="459">
        <f t="shared" si="17"/>
        <v>0.46</v>
      </c>
      <c r="F116" s="459">
        <f t="shared" si="16"/>
        <v>0.03</v>
      </c>
      <c r="G116" s="459">
        <f t="shared" si="16"/>
        <v>0</v>
      </c>
      <c r="H116" s="929">
        <f t="shared" ca="1" si="20"/>
        <v>542.01892453668893</v>
      </c>
    </row>
    <row r="117" spans="1:8">
      <c r="A117" s="455" t="str">
        <f ca="1">'EU Energy Demand'!A10</f>
        <v>Food, beverages &amp; tobacco</v>
      </c>
      <c r="B117" t="str">
        <f>A18</f>
        <v>Food</v>
      </c>
      <c r="C117" s="455">
        <f ca="1">SUM('EU Energy Demand'!C10:D10)</f>
        <v>17573.738595601091</v>
      </c>
      <c r="D117" s="459">
        <f t="shared" si="17"/>
        <v>0.14000000000000001</v>
      </c>
      <c r="E117" s="459">
        <f t="shared" si="17"/>
        <v>0.46</v>
      </c>
      <c r="F117" s="459">
        <f t="shared" si="16"/>
        <v>0</v>
      </c>
      <c r="G117" s="459">
        <f t="shared" si="16"/>
        <v>0</v>
      </c>
      <c r="H117" s="929">
        <f t="shared" ca="1" si="20"/>
        <v>880.06202669676827</v>
      </c>
    </row>
    <row r="118" spans="1:8">
      <c r="A118" s="455" t="str">
        <f ca="1">'EU Energy Demand'!A11</f>
        <v>Transport equipment</v>
      </c>
      <c r="B118" t="str">
        <f>A14</f>
        <v>Transport Equipment</v>
      </c>
      <c r="C118" s="455">
        <f ca="1">SUM('EU Energy Demand'!C11:D11)</f>
        <v>2610.9339363479162</v>
      </c>
      <c r="D118" s="459">
        <f t="shared" si="17"/>
        <v>0.18</v>
      </c>
      <c r="E118" s="459">
        <f t="shared" si="17"/>
        <v>0.17</v>
      </c>
      <c r="F118" s="459">
        <f t="shared" si="16"/>
        <v>0</v>
      </c>
      <c r="G118" s="459">
        <f t="shared" si="16"/>
        <v>0.08</v>
      </c>
      <c r="H118" s="929">
        <f t="shared" ca="1" si="20"/>
        <v>213.13746419166662</v>
      </c>
    </row>
    <row r="119" spans="1:8">
      <c r="A119" s="455" t="str">
        <f ca="1">'EU Energy Demand'!A12</f>
        <v>Machinery</v>
      </c>
      <c r="B119" t="str">
        <f>A17</f>
        <v>Machinery and Equipment</v>
      </c>
      <c r="C119" s="455">
        <f ca="1">SUM('EU Energy Demand'!C12:D12)</f>
        <v>7137.0687971372699</v>
      </c>
      <c r="D119" s="459">
        <f t="shared" si="17"/>
        <v>0.14000000000000001</v>
      </c>
      <c r="E119" s="459">
        <f t="shared" si="17"/>
        <v>0.09</v>
      </c>
      <c r="F119" s="459">
        <f t="shared" si="16"/>
        <v>0.09</v>
      </c>
      <c r="G119" s="459">
        <f t="shared" si="16"/>
        <v>0.11</v>
      </c>
      <c r="H119" s="929">
        <f t="shared" ca="1" si="20"/>
        <v>1338.2003994632382</v>
      </c>
    </row>
    <row r="120" spans="1:8">
      <c r="A120" s="455" t="str">
        <f ca="1">'EU Energy Demand'!A13</f>
        <v>Textile &amp; leather</v>
      </c>
      <c r="B120" t="str">
        <f>A9</f>
        <v>Textiles</v>
      </c>
      <c r="C120" s="455">
        <f ca="1">SUM('EU Energy Demand'!C13:D13)</f>
        <v>1883.1840042968838</v>
      </c>
      <c r="D120" s="459">
        <f t="shared" si="17"/>
        <v>0.26</v>
      </c>
      <c r="E120" s="459">
        <f t="shared" si="17"/>
        <v>0.28999999999999998</v>
      </c>
      <c r="F120" s="459">
        <f t="shared" si="16"/>
        <v>0</v>
      </c>
      <c r="G120" s="459">
        <f t="shared" si="16"/>
        <v>0</v>
      </c>
      <c r="H120" s="929">
        <f t="shared" ca="1" si="20"/>
        <v>81.877565404212334</v>
      </c>
    </row>
    <row r="121" spans="1:8">
      <c r="A121" s="455" t="str">
        <f ca="1">'EU Energy Demand'!A14</f>
        <v>Wood &amp; wood products</v>
      </c>
      <c r="B121" s="6" t="str">
        <f>A11</f>
        <v>Wood and Wood Products</v>
      </c>
      <c r="C121" s="455">
        <f ca="1">SUM('EU Energy Demand'!C14:D14)</f>
        <v>6155.3232242245294</v>
      </c>
      <c r="D121" s="459">
        <f t="shared" si="17"/>
        <v>0.08</v>
      </c>
      <c r="E121" s="459">
        <f t="shared" si="17"/>
        <v>0.6</v>
      </c>
      <c r="F121" s="459">
        <f t="shared" si="16"/>
        <v>0</v>
      </c>
      <c r="G121" s="459">
        <f t="shared" si="16"/>
        <v>0</v>
      </c>
      <c r="H121" s="929">
        <f t="shared" ca="1" si="20"/>
        <v>718.12104282619509</v>
      </c>
    </row>
    <row r="122" spans="1:8">
      <c r="A122" s="455" t="str">
        <f ca="1">'EU Energy Demand'!A15</f>
        <v>Not elsewhere specified (industry)</v>
      </c>
      <c r="B122" t="str">
        <f>A17</f>
        <v>Machinery and Equipment</v>
      </c>
      <c r="C122" s="455">
        <f ca="1">SUM('EU Energy Demand'!C15:D15)</f>
        <v>5858.4433295753524</v>
      </c>
      <c r="D122" s="459">
        <f t="shared" si="17"/>
        <v>0.14000000000000001</v>
      </c>
      <c r="E122" s="459">
        <f t="shared" si="17"/>
        <v>0.09</v>
      </c>
      <c r="F122" s="459">
        <f t="shared" si="16"/>
        <v>0.09</v>
      </c>
      <c r="G122" s="459">
        <f t="shared" si="16"/>
        <v>0.11</v>
      </c>
      <c r="H122" s="929">
        <f t="shared" ca="1" si="20"/>
        <v>1098.4581242953786</v>
      </c>
    </row>
    <row r="123" spans="1:8">
      <c r="A123" s="455"/>
    </row>
    <row r="124" spans="1:8">
      <c r="A124" t="s">
        <v>511</v>
      </c>
      <c r="D124" s="459">
        <f ca="1">SUMPRODUCT($C$111:$C$122,D$111:D$122)/SUM($C$111:$C$122)</f>
        <v>0.10473951994989356</v>
      </c>
      <c r="E124" s="459">
        <f t="shared" ref="E124:G124" ca="1" si="21">SUMPRODUCT($C$111:$C$122,E$111:E$122)/SUM($C$111:$C$122)</f>
        <v>0.30327687680559873</v>
      </c>
      <c r="F124" s="459">
        <f t="shared" ca="1" si="21"/>
        <v>9.1506978670740632E-2</v>
      </c>
      <c r="G124" s="459">
        <f t="shared" ca="1" si="21"/>
        <v>0.23156702621338676</v>
      </c>
    </row>
    <row r="125" spans="1:8">
      <c r="A125" t="s">
        <v>512</v>
      </c>
      <c r="D125" s="459">
        <f ca="1">D124/SUM($D$124:$G$124)</f>
        <v>0.14326479969507708</v>
      </c>
      <c r="E125" s="459">
        <f ca="1">E124/SUM($D$124:$G$124)</f>
        <v>0.41482814727896622</v>
      </c>
      <c r="F125" s="459">
        <f ca="1">F124/SUM($D$124:$G$124)</f>
        <v>0.12516506640699634</v>
      </c>
      <c r="G125" s="459">
        <f ca="1">G124/SUM($D$124:$G$124)</f>
        <v>0.31674198661896036</v>
      </c>
    </row>
    <row r="126" spans="1:8">
      <c r="A126" t="s">
        <v>5907</v>
      </c>
      <c r="H126" s="1949">
        <f ca="1">SUM(H112:H122)/SUM(C112:C122)</f>
        <v>0.11842265336013172</v>
      </c>
    </row>
    <row r="127" spans="1:8">
      <c r="D127" s="13" t="s">
        <v>513</v>
      </c>
      <c r="E127" s="13" t="s">
        <v>514</v>
      </c>
    </row>
    <row r="128" spans="1:8">
      <c r="A128" t="s">
        <v>515</v>
      </c>
      <c r="D128" s="465">
        <f ca="1">D125+(65/300)*E125</f>
        <v>0.23314423160551978</v>
      </c>
      <c r="E128" s="466">
        <f ca="1">1-D128</f>
        <v>0.76685576839448022</v>
      </c>
    </row>
    <row r="130" spans="1:8">
      <c r="A130" s="463" t="s">
        <v>519</v>
      </c>
      <c r="B130" s="464"/>
      <c r="C130" s="464"/>
      <c r="D130" s="464"/>
      <c r="E130" s="464"/>
      <c r="F130" s="464"/>
      <c r="G130" s="464"/>
    </row>
    <row r="132" spans="1:8">
      <c r="D132" s="2130" t="s">
        <v>492</v>
      </c>
      <c r="E132" s="2130"/>
      <c r="F132" s="2130"/>
      <c r="G132" s="2130"/>
    </row>
    <row r="133" spans="1:8" ht="32">
      <c r="A133" s="57" t="s">
        <v>413</v>
      </c>
      <c r="B133" s="57" t="s">
        <v>510</v>
      </c>
      <c r="C133" s="58" t="s">
        <v>6047</v>
      </c>
      <c r="D133" s="13" t="s">
        <v>493</v>
      </c>
      <c r="E133" s="13" t="s">
        <v>494</v>
      </c>
      <c r="F133" s="13" t="s">
        <v>495</v>
      </c>
      <c r="G133" s="13" t="s">
        <v>496</v>
      </c>
      <c r="H133" s="3" t="s">
        <v>6048</v>
      </c>
    </row>
    <row r="134" spans="1:8">
      <c r="A134" s="455" t="str">
        <f>'World Energy Demand'!A5</f>
        <v>Aluminum</v>
      </c>
      <c r="B134" t="str">
        <f>A10</f>
        <v>Primary Aluminum</v>
      </c>
      <c r="C134" s="455">
        <f>SUM('World Energy Demand'!C5:D5)</f>
        <v>0.92880328490830488</v>
      </c>
      <c r="D134" s="459">
        <f>INDEX(D$7:D$21,MATCH($B134,$A$7:$A$21,0))</f>
        <v>0</v>
      </c>
      <c r="E134" s="459">
        <f>INDEX(E$7:E$21,MATCH($B134,$A$7:$A$21,0))</f>
        <v>0.19</v>
      </c>
      <c r="F134" s="459">
        <f t="shared" ref="F134:G142" si="22">INDEX(F$7:F$21,MATCH($B134,$A$7:$A$21,0))</f>
        <v>0.04</v>
      </c>
      <c r="G134" s="459">
        <f t="shared" si="22"/>
        <v>0.09</v>
      </c>
      <c r="H134" s="929">
        <f>INDEX(H$7:H$21,MATCH($B134,$A$7:$A$21,0))*C134</f>
        <v>2.7588216383414996E-2</v>
      </c>
    </row>
    <row r="135" spans="1:8">
      <c r="A135" s="455" t="str">
        <f>'World Energy Demand'!A6</f>
        <v>Ammonia</v>
      </c>
      <c r="B135" t="str">
        <f>A21</f>
        <v>Chemicals</v>
      </c>
      <c r="C135" s="455">
        <f>SUM('World Energy Demand'!C6:D6)</f>
        <v>5.7961212514999998</v>
      </c>
      <c r="D135" s="459">
        <f t="shared" ref="D135:E142" si="23">INDEX(D$7:D$21,MATCH($B135,$A$7:$A$21,0))</f>
        <v>0.06</v>
      </c>
      <c r="E135" s="459">
        <f t="shared" si="23"/>
        <v>0.59</v>
      </c>
      <c r="F135" s="459">
        <f t="shared" si="22"/>
        <v>0.13</v>
      </c>
      <c r="G135" s="459">
        <f t="shared" si="22"/>
        <v>0</v>
      </c>
      <c r="H135" s="929">
        <f t="shared" ref="H135:H142" si="24">INDEX(H$7:H$21,MATCH($B135,$A$7:$A$21,0))*C135</f>
        <v>0.64861937437904926</v>
      </c>
    </row>
    <row r="136" spans="1:8">
      <c r="A136" s="455" t="str">
        <f>'World Energy Demand'!A7</f>
        <v>Cement</v>
      </c>
      <c r="B136" t="str">
        <f>A15</f>
        <v>Cement</v>
      </c>
      <c r="C136" s="455">
        <f>SUM('World Energy Demand'!C7:D7)</f>
        <v>10.535688170259988</v>
      </c>
      <c r="D136" s="459">
        <f t="shared" si="23"/>
        <v>0.04</v>
      </c>
      <c r="E136" s="459">
        <f t="shared" si="23"/>
        <v>0</v>
      </c>
      <c r="F136" s="459">
        <f t="shared" si="22"/>
        <v>0.23</v>
      </c>
      <c r="G136" s="459">
        <f t="shared" si="22"/>
        <v>0.64</v>
      </c>
      <c r="H136" s="929">
        <f t="shared" si="24"/>
        <v>2.4062991499976514</v>
      </c>
    </row>
    <row r="137" spans="1:8">
      <c r="A137" s="455" t="str">
        <f>'World Energy Demand'!A8</f>
        <v>Chemicals (other than ammonia)</v>
      </c>
      <c r="B137" t="str">
        <f>A21</f>
        <v>Chemicals</v>
      </c>
      <c r="C137" s="455">
        <f>SUM('World Energy Demand'!C8:D8)</f>
        <v>11.23214512517999</v>
      </c>
      <c r="D137" s="459">
        <f t="shared" si="23"/>
        <v>0.06</v>
      </c>
      <c r="E137" s="459">
        <f t="shared" si="23"/>
        <v>0.59</v>
      </c>
      <c r="F137" s="459">
        <f t="shared" si="22"/>
        <v>0.13</v>
      </c>
      <c r="G137" s="459">
        <f t="shared" si="22"/>
        <v>0</v>
      </c>
      <c r="H137" s="929">
        <f t="shared" si="24"/>
        <v>1.2569417767344877</v>
      </c>
    </row>
    <row r="138" spans="1:8">
      <c r="A138" s="455" t="str">
        <f>'World Energy Demand'!A9</f>
        <v>Food processing</v>
      </c>
      <c r="B138" t="str">
        <f>A18</f>
        <v>Food</v>
      </c>
      <c r="C138" s="455">
        <f>SUM('World Energy Demand'!C9:D9)</f>
        <v>7.8012736934499891</v>
      </c>
      <c r="D138" s="459">
        <f t="shared" si="23"/>
        <v>0.14000000000000001</v>
      </c>
      <c r="E138" s="459">
        <f t="shared" si="23"/>
        <v>0.46</v>
      </c>
      <c r="F138" s="459">
        <f t="shared" si="22"/>
        <v>0</v>
      </c>
      <c r="G138" s="459">
        <f t="shared" si="22"/>
        <v>0</v>
      </c>
      <c r="H138" s="929">
        <f t="shared" si="24"/>
        <v>0.39067411297402138</v>
      </c>
    </row>
    <row r="139" spans="1:8">
      <c r="A139" s="455" t="str">
        <f>'World Energy Demand'!A10</f>
        <v>Iron and steel</v>
      </c>
      <c r="B139" t="str">
        <f>A20</f>
        <v>Primary Steel</v>
      </c>
      <c r="C139" s="455">
        <f>SUM('World Energy Demand'!C10:D10)</f>
        <v>16.285726725806654</v>
      </c>
      <c r="D139" s="459">
        <f t="shared" si="23"/>
        <v>5.0000000000000001E-3</v>
      </c>
      <c r="E139" s="459">
        <f t="shared" si="23"/>
        <v>0.01</v>
      </c>
      <c r="F139" s="459">
        <f t="shared" si="22"/>
        <v>0.02</v>
      </c>
      <c r="G139" s="459">
        <f t="shared" si="22"/>
        <v>0.85</v>
      </c>
      <c r="H139" s="929">
        <f t="shared" si="24"/>
        <v>2.1479975297826526</v>
      </c>
    </row>
    <row r="140" spans="1:8">
      <c r="A140" s="455" t="str">
        <f>'World Energy Demand'!A11</f>
        <v>Paper</v>
      </c>
      <c r="B140" t="str">
        <f>A19</f>
        <v>Pulp and Paper</v>
      </c>
      <c r="C140" s="455">
        <f>SUM('World Energy Demand'!C11:D11)</f>
        <v>6.9043540997469606</v>
      </c>
      <c r="D140" s="459">
        <f t="shared" si="23"/>
        <v>0.26</v>
      </c>
      <c r="E140" s="459">
        <f t="shared" si="23"/>
        <v>0.46</v>
      </c>
      <c r="F140" s="459">
        <f t="shared" si="22"/>
        <v>0.03</v>
      </c>
      <c r="G140" s="459">
        <f t="shared" si="22"/>
        <v>0</v>
      </c>
      <c r="H140" s="929">
        <f t="shared" si="24"/>
        <v>0.17061830559506494</v>
      </c>
    </row>
    <row r="141" spans="1:8">
      <c r="A141" s="455" t="str">
        <f>'World Energy Demand'!A12</f>
        <v>Refining</v>
      </c>
      <c r="B141" t="str">
        <f>A21</f>
        <v>Chemicals</v>
      </c>
      <c r="C141" s="455">
        <f>SUM('World Energy Demand'!C12:D12)</f>
        <v>13.769759386401006</v>
      </c>
      <c r="D141" s="459">
        <f t="shared" si="23"/>
        <v>0.06</v>
      </c>
      <c r="E141" s="459">
        <f t="shared" si="23"/>
        <v>0.59</v>
      </c>
      <c r="F141" s="459">
        <f t="shared" si="22"/>
        <v>0.13</v>
      </c>
      <c r="G141" s="459">
        <f t="shared" si="22"/>
        <v>0</v>
      </c>
      <c r="H141" s="929">
        <f t="shared" si="24"/>
        <v>1.5409154382762591</v>
      </c>
    </row>
    <row r="142" spans="1:8">
      <c r="A142" s="455" t="str">
        <f>'World Energy Demand'!A13</f>
        <v>Other industry</v>
      </c>
      <c r="B142" t="str">
        <f>A17</f>
        <v>Machinery and Equipment</v>
      </c>
      <c r="C142" s="455">
        <f>SUM('World Energy Demand'!C13:D13)</f>
        <v>56.147680698700889</v>
      </c>
      <c r="D142" s="459">
        <f t="shared" si="23"/>
        <v>0.14000000000000001</v>
      </c>
      <c r="E142" s="459">
        <f t="shared" si="23"/>
        <v>0.09</v>
      </c>
      <c r="F142" s="459">
        <f t="shared" si="22"/>
        <v>0.09</v>
      </c>
      <c r="G142" s="459">
        <f t="shared" si="22"/>
        <v>0.11</v>
      </c>
      <c r="H142" s="929">
        <f t="shared" si="24"/>
        <v>10.527690131006416</v>
      </c>
    </row>
    <row r="143" spans="1:8">
      <c r="A143" s="455"/>
    </row>
    <row r="144" spans="1:8">
      <c r="A144" t="s">
        <v>511</v>
      </c>
      <c r="D144" s="459">
        <f>SUMPRODUCT($C$134:$C$142,D$134:D$142)/SUM($C$134:$C$142)</f>
        <v>0.10122539599007306</v>
      </c>
      <c r="E144" s="459">
        <f>SUMPRODUCT($C$134:$C$142,E$134:E$142)/SUM($C$134:$C$142)</f>
        <v>0.23437157103947978</v>
      </c>
      <c r="F144" s="459">
        <f>SUMPRODUCT($C$134:$C$142,F$134:F$142)/SUM($C$134:$C$142)</f>
        <v>9.3122840903415327E-2</v>
      </c>
      <c r="G144" s="459">
        <f>SUMPRODUCT($C$134:$C$142,G$134:G$142)/SUM($C$134:$C$142)</f>
        <v>0.20745922141612538</v>
      </c>
    </row>
    <row r="145" spans="1:8">
      <c r="A145" t="s">
        <v>512</v>
      </c>
      <c r="D145" s="459">
        <f>D144/SUM($D$144:$G$144)</f>
        <v>0.15911463805030135</v>
      </c>
      <c r="E145" s="459">
        <f t="shared" ref="E145:G145" si="25">E144/SUM($D$144:$G$144)</f>
        <v>0.36840505616677904</v>
      </c>
      <c r="F145" s="459">
        <f t="shared" si="25"/>
        <v>0.14637835673189975</v>
      </c>
      <c r="G145" s="459">
        <f t="shared" si="25"/>
        <v>0.32610194905101986</v>
      </c>
    </row>
    <row r="146" spans="1:8">
      <c r="A146" t="s">
        <v>5907</v>
      </c>
      <c r="H146" s="1949">
        <f>SUM(H134:H142)/SUM(C134:C142)</f>
        <v>0.14773658951727789</v>
      </c>
    </row>
    <row r="147" spans="1:8">
      <c r="D147" s="13" t="s">
        <v>513</v>
      </c>
      <c r="E147" s="13" t="s">
        <v>514</v>
      </c>
    </row>
    <row r="148" spans="1:8">
      <c r="A148" t="s">
        <v>515</v>
      </c>
      <c r="D148" s="465">
        <f>D145+(65/300)*E145</f>
        <v>0.23893573355310349</v>
      </c>
      <c r="E148" s="466">
        <f>1-D148</f>
        <v>0.76106426644689651</v>
      </c>
    </row>
  </sheetData>
  <mergeCells count="6">
    <mergeCell ref="D132:G132"/>
    <mergeCell ref="D5:G5"/>
    <mergeCell ref="D26:G26"/>
    <mergeCell ref="D49:G49"/>
    <mergeCell ref="D91:G91"/>
    <mergeCell ref="D110:G110"/>
  </mergeCells>
  <pageMargins left="0.7" right="0.7" top="0.75" bottom="0.75" header="0.3" footer="0.3"/>
  <ignoredErrors>
    <ignoredError sqref="B98" formula="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FAC56-60F4-4EE9-9BAD-A408CD49A9CF}">
  <sheetPr codeName="Sheet15"/>
  <dimension ref="A1:AA578"/>
  <sheetViews>
    <sheetView showGridLines="0" topLeftCell="A2" zoomScaleNormal="100" zoomScalePageLayoutView="85" workbookViewId="0">
      <selection activeCell="J34" sqref="J34"/>
    </sheetView>
  </sheetViews>
  <sheetFormatPr baseColWidth="10" defaultColWidth="10" defaultRowHeight="13"/>
  <cols>
    <col min="1" max="1" width="3.33203125" style="101" customWidth="1"/>
    <col min="2" max="2" width="15.33203125" style="102" customWidth="1"/>
    <col min="3" max="3" width="32.5" style="101" customWidth="1"/>
    <col min="4" max="4" width="31.33203125" style="101" customWidth="1"/>
    <col min="5" max="5" width="17.5" style="101" customWidth="1"/>
    <col min="6" max="6" width="16.33203125" style="101" customWidth="1"/>
    <col min="7" max="7" width="16.6640625" style="101" customWidth="1"/>
    <col min="8" max="8" width="24.33203125" style="101" customWidth="1"/>
    <col min="9" max="9" width="25.33203125" style="101" customWidth="1"/>
    <col min="10" max="10" width="16.33203125" style="101" customWidth="1"/>
    <col min="11" max="11" width="23.33203125" style="101" customWidth="1"/>
    <col min="12" max="12" width="14.5" style="101" customWidth="1"/>
    <col min="13" max="13" width="12.33203125" style="101" customWidth="1"/>
    <col min="14" max="17" width="15.6640625" style="101" customWidth="1"/>
    <col min="18" max="18" width="16.33203125" style="101" customWidth="1"/>
    <col min="19" max="16384" width="10" style="101"/>
  </cols>
  <sheetData>
    <row r="1" spans="1:27" ht="80.25" customHeight="1">
      <c r="A1" s="108"/>
      <c r="B1" s="151"/>
      <c r="C1" s="108"/>
      <c r="D1" s="108"/>
      <c r="E1" s="108"/>
      <c r="F1" s="108"/>
      <c r="G1" s="108"/>
      <c r="H1" s="108"/>
      <c r="I1" s="108"/>
      <c r="J1" s="108"/>
      <c r="K1" s="108"/>
      <c r="L1" s="108"/>
      <c r="M1" s="108"/>
      <c r="N1" s="108"/>
      <c r="O1" s="108"/>
      <c r="P1" s="108"/>
      <c r="Q1" s="108"/>
      <c r="R1" s="108"/>
      <c r="S1" s="108"/>
      <c r="T1" s="108"/>
      <c r="U1" s="108"/>
      <c r="V1" s="108"/>
      <c r="W1" s="108"/>
      <c r="X1" s="108"/>
      <c r="Y1" s="108"/>
      <c r="Z1" s="108"/>
      <c r="AA1" s="108"/>
    </row>
    <row r="2" spans="1:27" ht="20">
      <c r="A2" s="108"/>
      <c r="B2" s="2145" t="s">
        <v>520</v>
      </c>
      <c r="C2" s="2146"/>
      <c r="D2" s="2146"/>
      <c r="E2" s="2146"/>
      <c r="F2" s="2146"/>
      <c r="G2" s="2146"/>
      <c r="H2" s="2146"/>
      <c r="I2" s="2146"/>
      <c r="J2" s="2146"/>
      <c r="K2" s="2146"/>
      <c r="L2" s="2147"/>
      <c r="M2" s="108"/>
      <c r="N2" s="108"/>
      <c r="O2" s="108"/>
      <c r="P2" s="108"/>
      <c r="Q2" s="108"/>
      <c r="R2" s="108"/>
      <c r="S2" s="108"/>
      <c r="T2" s="108"/>
      <c r="U2" s="108"/>
      <c r="V2" s="108"/>
      <c r="W2" s="108"/>
      <c r="X2" s="108"/>
      <c r="Y2" s="108"/>
      <c r="Z2" s="108"/>
      <c r="AA2" s="108"/>
    </row>
    <row r="3" spans="1:27">
      <c r="A3" s="108"/>
      <c r="B3" s="151"/>
      <c r="C3" s="108"/>
      <c r="D3" s="108"/>
      <c r="F3" s="446" t="s">
        <v>521</v>
      </c>
      <c r="G3" s="368"/>
      <c r="H3" s="108"/>
      <c r="I3" s="108"/>
      <c r="J3" s="108"/>
      <c r="K3" s="108"/>
      <c r="L3" s="108"/>
      <c r="M3" s="108"/>
      <c r="N3" s="108"/>
      <c r="O3" s="108"/>
      <c r="P3" s="108"/>
      <c r="Q3" s="108"/>
      <c r="R3" s="108"/>
      <c r="S3" s="108"/>
      <c r="T3" s="108"/>
      <c r="U3" s="108"/>
      <c r="V3" s="108"/>
      <c r="W3" s="108"/>
      <c r="X3" s="108"/>
      <c r="Y3" s="108"/>
      <c r="Z3" s="108"/>
      <c r="AA3" s="108"/>
    </row>
    <row r="4" spans="1:27" ht="18">
      <c r="A4" s="108"/>
      <c r="B4" s="151"/>
      <c r="C4" s="445" t="s">
        <v>522</v>
      </c>
      <c r="D4" s="108"/>
      <c r="E4" s="108"/>
      <c r="F4" s="108"/>
      <c r="G4" s="444"/>
      <c r="H4" s="108"/>
      <c r="I4" s="108"/>
      <c r="J4" s="108"/>
      <c r="K4" s="108"/>
      <c r="L4" s="108"/>
      <c r="M4" s="108"/>
      <c r="N4" s="108"/>
      <c r="O4" s="108"/>
      <c r="P4" s="108"/>
      <c r="Q4" s="108"/>
      <c r="R4" s="108"/>
      <c r="S4" s="108"/>
      <c r="T4" s="108"/>
      <c r="U4" s="108"/>
      <c r="V4" s="108"/>
      <c r="W4" s="108"/>
      <c r="X4" s="108"/>
      <c r="Y4" s="108"/>
      <c r="Z4" s="108"/>
      <c r="AA4" s="108"/>
    </row>
    <row r="5" spans="1:27" ht="36.75" customHeight="1">
      <c r="A5" s="108"/>
      <c r="B5" s="151"/>
      <c r="C5" s="2150" t="s">
        <v>523</v>
      </c>
      <c r="D5" s="2150"/>
      <c r="E5" s="2150"/>
      <c r="F5" s="2150"/>
      <c r="G5" s="2150"/>
      <c r="H5" s="2150"/>
      <c r="I5" s="2150"/>
      <c r="J5" s="2150"/>
      <c r="K5" s="2150"/>
      <c r="L5" s="2150"/>
      <c r="M5" s="108"/>
      <c r="N5" s="108"/>
      <c r="O5" s="108"/>
      <c r="P5" s="108"/>
      <c r="Q5" s="108"/>
      <c r="R5" s="108"/>
      <c r="S5" s="108"/>
      <c r="T5" s="108"/>
      <c r="U5" s="108"/>
      <c r="V5" s="108"/>
      <c r="W5" s="108"/>
      <c r="X5" s="108"/>
      <c r="Y5" s="108"/>
      <c r="Z5" s="108"/>
      <c r="AA5" s="108"/>
    </row>
    <row r="6" spans="1:27" ht="14" thickBot="1">
      <c r="A6" s="108"/>
      <c r="B6" s="151"/>
      <c r="C6" s="130"/>
      <c r="D6" s="441"/>
      <c r="E6" s="441"/>
      <c r="F6" s="441"/>
      <c r="G6" s="441"/>
      <c r="H6" s="441"/>
      <c r="I6" s="441"/>
      <c r="J6" s="441"/>
      <c r="K6" s="441"/>
      <c r="L6" s="441"/>
      <c r="M6" s="108"/>
      <c r="N6" s="108"/>
      <c r="O6" s="108"/>
      <c r="P6" s="108"/>
      <c r="Q6" s="108"/>
      <c r="R6" s="108"/>
      <c r="S6" s="108"/>
      <c r="T6" s="108"/>
      <c r="U6" s="108"/>
      <c r="V6" s="108"/>
      <c r="W6" s="108"/>
      <c r="X6" s="108"/>
      <c r="Y6" s="108"/>
      <c r="Z6" s="108"/>
      <c r="AA6" s="108"/>
    </row>
    <row r="7" spans="1:27" ht="14" thickBot="1">
      <c r="A7" s="108"/>
      <c r="B7" s="151"/>
      <c r="C7" s="108"/>
      <c r="D7" s="443" t="s">
        <v>524</v>
      </c>
      <c r="E7" s="442" t="s">
        <v>525</v>
      </c>
      <c r="F7" s="441"/>
      <c r="G7" s="441"/>
      <c r="H7" s="441"/>
      <c r="I7" s="441"/>
      <c r="J7" s="441"/>
      <c r="K7" s="441"/>
      <c r="L7" s="441"/>
      <c r="M7" s="108"/>
      <c r="N7" s="108"/>
      <c r="O7" s="108"/>
      <c r="P7" s="108"/>
      <c r="Q7" s="108"/>
      <c r="R7" s="108"/>
      <c r="S7" s="108"/>
      <c r="T7" s="108"/>
      <c r="U7" s="108"/>
      <c r="V7" s="108"/>
      <c r="W7" s="108"/>
      <c r="X7" s="108"/>
      <c r="Y7" s="108"/>
      <c r="Z7" s="108"/>
      <c r="AA7" s="108"/>
    </row>
    <row r="8" spans="1:27" ht="15">
      <c r="A8" s="108"/>
      <c r="B8" s="151"/>
      <c r="C8" s="108"/>
      <c r="D8" s="440" t="s">
        <v>526</v>
      </c>
      <c r="E8" s="439">
        <v>25</v>
      </c>
      <c r="F8" s="130"/>
      <c r="G8" s="130"/>
      <c r="H8" s="108"/>
      <c r="J8" s="108"/>
      <c r="K8" s="108"/>
      <c r="L8" s="108"/>
      <c r="M8" s="108"/>
      <c r="N8" s="108"/>
      <c r="O8" s="108"/>
      <c r="P8" s="142"/>
      <c r="Q8" s="108"/>
      <c r="R8" s="108"/>
      <c r="S8" s="108"/>
      <c r="T8" s="108"/>
      <c r="U8" s="108"/>
      <c r="V8" s="108"/>
      <c r="W8" s="108"/>
      <c r="X8" s="108"/>
      <c r="Y8" s="108"/>
      <c r="Z8" s="108"/>
      <c r="AA8" s="108"/>
    </row>
    <row r="9" spans="1:27" ht="16" thickBot="1">
      <c r="A9" s="108"/>
      <c r="B9" s="151"/>
      <c r="C9" s="108"/>
      <c r="D9" s="438" t="s">
        <v>527</v>
      </c>
      <c r="E9" s="437">
        <v>298</v>
      </c>
      <c r="F9" s="108"/>
      <c r="G9" s="108"/>
      <c r="H9" s="108"/>
      <c r="I9" s="108"/>
      <c r="J9" s="108"/>
      <c r="K9" s="108"/>
      <c r="L9" s="108"/>
      <c r="M9" s="108"/>
      <c r="N9" s="108"/>
      <c r="O9" s="155"/>
      <c r="P9" s="155"/>
      <c r="Q9" s="108"/>
      <c r="R9" s="108"/>
      <c r="S9" s="108"/>
      <c r="T9" s="108"/>
      <c r="U9" s="108"/>
      <c r="V9" s="108"/>
      <c r="W9" s="108"/>
      <c r="X9" s="108"/>
      <c r="Y9" s="108"/>
      <c r="Z9" s="108"/>
      <c r="AA9" s="108"/>
    </row>
    <row r="10" spans="1:27" ht="27.75" customHeight="1">
      <c r="A10" s="108"/>
      <c r="B10" s="151"/>
      <c r="C10" s="108"/>
      <c r="D10" s="2151" t="s">
        <v>528</v>
      </c>
      <c r="E10" s="2151"/>
      <c r="F10" s="2151"/>
      <c r="G10" s="2151"/>
      <c r="H10" s="2151"/>
      <c r="I10" s="108"/>
      <c r="J10" s="108"/>
      <c r="K10" s="108"/>
      <c r="L10" s="108"/>
      <c r="M10" s="108"/>
      <c r="N10" s="108"/>
      <c r="O10" s="155"/>
      <c r="P10" s="155"/>
      <c r="Q10" s="108"/>
      <c r="R10" s="108"/>
      <c r="S10" s="108"/>
      <c r="T10" s="108"/>
      <c r="U10" s="108"/>
      <c r="V10" s="108"/>
      <c r="W10" s="108"/>
      <c r="X10" s="108"/>
      <c r="Y10" s="108"/>
      <c r="Z10" s="108"/>
      <c r="AA10" s="108"/>
    </row>
    <row r="11" spans="1:27">
      <c r="A11" s="108"/>
      <c r="B11" s="151"/>
      <c r="C11" s="108"/>
      <c r="D11" s="108"/>
      <c r="E11" s="108"/>
      <c r="F11" s="108"/>
      <c r="G11" s="108"/>
      <c r="H11" s="108"/>
      <c r="I11" s="108"/>
      <c r="J11" s="108"/>
      <c r="K11" s="108"/>
      <c r="L11" s="108"/>
      <c r="M11" s="108"/>
      <c r="N11" s="108"/>
      <c r="O11" s="155"/>
      <c r="P11" s="155"/>
      <c r="Q11" s="108"/>
      <c r="R11" s="108"/>
      <c r="S11" s="108"/>
      <c r="T11" s="108"/>
      <c r="U11" s="108"/>
      <c r="V11" s="108"/>
      <c r="W11" s="108"/>
      <c r="X11" s="108"/>
      <c r="Y11" s="108"/>
      <c r="Z11" s="108"/>
      <c r="AA11" s="108"/>
    </row>
    <row r="12" spans="1:27" s="103" customFormat="1" ht="16">
      <c r="A12" s="104"/>
      <c r="B12" s="288" t="s">
        <v>360</v>
      </c>
      <c r="C12" s="287" t="s">
        <v>529</v>
      </c>
      <c r="D12" s="286"/>
      <c r="E12" s="286"/>
      <c r="F12" s="285"/>
      <c r="G12" s="285"/>
      <c r="H12" s="285"/>
      <c r="I12" s="285"/>
      <c r="J12" s="285"/>
      <c r="K12" s="285"/>
      <c r="L12" s="372"/>
      <c r="M12" s="104"/>
      <c r="N12" s="104"/>
      <c r="O12" s="239"/>
      <c r="P12" s="239"/>
      <c r="Q12" s="104"/>
      <c r="R12" s="104"/>
      <c r="S12" s="104"/>
      <c r="T12" s="104"/>
      <c r="U12" s="104"/>
      <c r="V12" s="104"/>
      <c r="W12" s="104"/>
      <c r="X12" s="104"/>
      <c r="Y12" s="104"/>
      <c r="Z12" s="104"/>
      <c r="AA12" s="104"/>
    </row>
    <row r="13" spans="1:27" ht="14" thickBot="1">
      <c r="A13" s="108"/>
      <c r="B13" s="151"/>
      <c r="C13" s="108"/>
      <c r="D13" s="108"/>
      <c r="E13" s="108"/>
      <c r="F13" s="108"/>
      <c r="G13" s="108"/>
      <c r="H13" s="108"/>
      <c r="I13" s="108"/>
      <c r="J13" s="108"/>
      <c r="K13" s="108"/>
      <c r="L13" s="108"/>
      <c r="M13" s="108"/>
      <c r="N13" s="426"/>
      <c r="O13" s="426"/>
      <c r="P13" s="426"/>
      <c r="Q13" s="426"/>
      <c r="R13" s="426"/>
      <c r="S13" s="426"/>
      <c r="T13" s="108"/>
      <c r="U13" s="108"/>
      <c r="V13" s="108"/>
      <c r="W13" s="108"/>
      <c r="X13" s="108"/>
      <c r="Y13" s="108"/>
      <c r="Z13" s="108"/>
      <c r="AA13" s="108"/>
    </row>
    <row r="14" spans="1:27" ht="16">
      <c r="A14" s="108"/>
      <c r="B14" s="108"/>
      <c r="C14" s="436" t="s">
        <v>530</v>
      </c>
      <c r="D14" s="435" t="s">
        <v>531</v>
      </c>
      <c r="E14" s="435" t="s">
        <v>532</v>
      </c>
      <c r="F14" s="435" t="s">
        <v>533</v>
      </c>
      <c r="G14" s="435" t="s">
        <v>534</v>
      </c>
      <c r="H14" s="435" t="s">
        <v>532</v>
      </c>
      <c r="I14" s="435" t="s">
        <v>533</v>
      </c>
      <c r="J14" s="434" t="s">
        <v>534</v>
      </c>
      <c r="K14" s="430"/>
      <c r="L14" s="433"/>
      <c r="M14" s="108"/>
      <c r="N14" s="426"/>
      <c r="O14" s="426"/>
      <c r="P14" s="426"/>
      <c r="Q14" s="426"/>
      <c r="R14" s="426"/>
      <c r="S14" s="426"/>
      <c r="T14" s="108"/>
      <c r="U14" s="108"/>
      <c r="V14" s="108"/>
      <c r="W14" s="108"/>
      <c r="X14" s="108"/>
      <c r="Y14" s="108"/>
      <c r="Z14" s="108"/>
      <c r="AA14" s="108"/>
    </row>
    <row r="15" spans="1:27" s="390" customFormat="1">
      <c r="A15" s="241"/>
      <c r="B15" s="241"/>
      <c r="C15" s="393"/>
      <c r="D15" s="432" t="s">
        <v>535</v>
      </c>
      <c r="E15" s="432" t="s">
        <v>536</v>
      </c>
      <c r="F15" s="432" t="s">
        <v>537</v>
      </c>
      <c r="G15" s="432" t="s">
        <v>538</v>
      </c>
      <c r="H15" s="432" t="s">
        <v>539</v>
      </c>
      <c r="I15" s="432" t="s">
        <v>540</v>
      </c>
      <c r="J15" s="431" t="s">
        <v>541</v>
      </c>
      <c r="K15" s="430"/>
      <c r="L15" s="241"/>
      <c r="M15" s="241"/>
      <c r="N15" s="426"/>
      <c r="O15" s="426"/>
      <c r="P15" s="426"/>
      <c r="Q15" s="426"/>
      <c r="R15" s="426"/>
      <c r="S15" s="426"/>
      <c r="T15" s="241"/>
      <c r="U15" s="241"/>
      <c r="V15" s="241"/>
      <c r="W15" s="241"/>
      <c r="X15" s="241"/>
      <c r="Y15" s="241"/>
      <c r="Z15" s="241"/>
      <c r="AA15" s="241"/>
    </row>
    <row r="16" spans="1:27">
      <c r="A16" s="108"/>
      <c r="B16" s="151"/>
      <c r="C16" s="429" t="s">
        <v>542</v>
      </c>
      <c r="D16" s="428"/>
      <c r="E16" s="428"/>
      <c r="F16" s="428"/>
      <c r="G16" s="428"/>
      <c r="H16" s="428"/>
      <c r="I16" s="428"/>
      <c r="J16" s="427"/>
      <c r="K16" s="108"/>
      <c r="L16" s="108"/>
      <c r="M16" s="108"/>
      <c r="N16" s="426"/>
      <c r="O16" s="426"/>
      <c r="P16" s="426"/>
      <c r="Q16" s="426"/>
      <c r="R16" s="426"/>
      <c r="S16" s="426"/>
      <c r="T16" s="108"/>
      <c r="U16" s="108"/>
      <c r="V16" s="108"/>
      <c r="W16" s="108"/>
      <c r="X16" s="108"/>
      <c r="Y16" s="108"/>
      <c r="Z16" s="108"/>
      <c r="AA16" s="108"/>
    </row>
    <row r="17" spans="1:27">
      <c r="A17" s="108"/>
      <c r="B17" s="155"/>
      <c r="C17" s="167" t="s">
        <v>543</v>
      </c>
      <c r="D17" s="381">
        <v>25.09</v>
      </c>
      <c r="E17" s="381">
        <v>103.69</v>
      </c>
      <c r="F17" s="417">
        <v>11</v>
      </c>
      <c r="G17" s="382">
        <v>1.6</v>
      </c>
      <c r="H17" s="417">
        <v>2602</v>
      </c>
      <c r="I17" s="417">
        <v>276</v>
      </c>
      <c r="J17" s="416">
        <v>40</v>
      </c>
      <c r="K17" s="156"/>
      <c r="L17" s="108"/>
      <c r="M17" s="156"/>
      <c r="N17" s="156"/>
      <c r="O17" s="156"/>
      <c r="P17" s="156"/>
      <c r="Q17" s="156"/>
      <c r="R17" s="156"/>
      <c r="S17" s="156"/>
      <c r="T17" s="108"/>
      <c r="U17" s="108"/>
      <c r="V17" s="108"/>
      <c r="W17" s="108"/>
      <c r="X17" s="108"/>
      <c r="Y17" s="108"/>
      <c r="Z17" s="108"/>
      <c r="AA17" s="108"/>
    </row>
    <row r="18" spans="1:27">
      <c r="A18" s="108"/>
      <c r="B18" s="155"/>
      <c r="C18" s="167" t="s">
        <v>544</v>
      </c>
      <c r="D18" s="381">
        <v>24.93</v>
      </c>
      <c r="E18" s="381">
        <v>93.28</v>
      </c>
      <c r="F18" s="417">
        <v>11</v>
      </c>
      <c r="G18" s="382">
        <v>1.6</v>
      </c>
      <c r="H18" s="417">
        <v>2325</v>
      </c>
      <c r="I18" s="417">
        <v>274</v>
      </c>
      <c r="J18" s="416">
        <v>40</v>
      </c>
      <c r="K18" s="156"/>
      <c r="L18" s="108"/>
      <c r="M18" s="156"/>
      <c r="N18" s="156"/>
      <c r="O18" s="156"/>
      <c r="P18" s="156"/>
      <c r="Q18" s="156"/>
      <c r="R18" s="156"/>
      <c r="S18" s="156"/>
      <c r="T18" s="108"/>
      <c r="U18" s="108"/>
      <c r="V18" s="108"/>
      <c r="W18" s="108"/>
      <c r="X18" s="108"/>
      <c r="Y18" s="108"/>
      <c r="Z18" s="108"/>
      <c r="AA18" s="108"/>
    </row>
    <row r="19" spans="1:27">
      <c r="A19" s="108"/>
      <c r="B19" s="155"/>
      <c r="C19" s="167" t="s">
        <v>545</v>
      </c>
      <c r="D19" s="381">
        <v>17.25</v>
      </c>
      <c r="E19" s="381">
        <v>97.17</v>
      </c>
      <c r="F19" s="417">
        <v>11</v>
      </c>
      <c r="G19" s="382">
        <v>1.6</v>
      </c>
      <c r="H19" s="417">
        <v>1676</v>
      </c>
      <c r="I19" s="417">
        <v>190</v>
      </c>
      <c r="J19" s="416">
        <v>28</v>
      </c>
      <c r="K19" s="156"/>
      <c r="L19" s="108"/>
      <c r="M19" s="156"/>
      <c r="N19" s="156"/>
      <c r="O19" s="156"/>
      <c r="P19" s="156"/>
      <c r="Q19" s="156"/>
      <c r="R19" s="156"/>
      <c r="S19" s="156"/>
      <c r="T19" s="108"/>
      <c r="U19" s="108"/>
      <c r="V19" s="108"/>
      <c r="W19" s="108"/>
      <c r="X19" s="108"/>
      <c r="Y19" s="108"/>
      <c r="Z19" s="108"/>
      <c r="AA19" s="108"/>
    </row>
    <row r="20" spans="1:27">
      <c r="A20" s="108"/>
      <c r="B20" s="155"/>
      <c r="C20" s="167" t="s">
        <v>546</v>
      </c>
      <c r="D20" s="381">
        <v>14.21</v>
      </c>
      <c r="E20" s="381">
        <v>97.72</v>
      </c>
      <c r="F20" s="417">
        <v>11</v>
      </c>
      <c r="G20" s="382">
        <v>1.6</v>
      </c>
      <c r="H20" s="417">
        <v>1389</v>
      </c>
      <c r="I20" s="417">
        <v>156</v>
      </c>
      <c r="J20" s="416">
        <v>23</v>
      </c>
      <c r="K20" s="156"/>
      <c r="L20" s="108"/>
      <c r="M20" s="156"/>
      <c r="N20" s="156"/>
      <c r="O20" s="156"/>
      <c r="P20" s="156"/>
      <c r="Q20" s="156"/>
      <c r="R20" s="156"/>
      <c r="S20" s="156"/>
      <c r="T20" s="108"/>
      <c r="U20" s="108"/>
      <c r="V20" s="108"/>
      <c r="W20" s="108"/>
      <c r="X20" s="108"/>
      <c r="Y20" s="108"/>
      <c r="Z20" s="108"/>
      <c r="AA20" s="108"/>
    </row>
    <row r="21" spans="1:27">
      <c r="A21" s="108"/>
      <c r="B21" s="155"/>
      <c r="C21" s="167" t="s">
        <v>547</v>
      </c>
      <c r="D21" s="381">
        <v>21.39</v>
      </c>
      <c r="E21" s="381">
        <v>94.27</v>
      </c>
      <c r="F21" s="417">
        <v>11</v>
      </c>
      <c r="G21" s="382">
        <v>1.6</v>
      </c>
      <c r="H21" s="417">
        <v>2016</v>
      </c>
      <c r="I21" s="417">
        <v>235</v>
      </c>
      <c r="J21" s="416">
        <v>34</v>
      </c>
      <c r="K21" s="425"/>
      <c r="L21" s="108"/>
      <c r="M21" s="156"/>
      <c r="N21" s="156"/>
      <c r="O21" s="156"/>
      <c r="P21" s="156"/>
      <c r="Q21" s="156"/>
      <c r="R21" s="156"/>
      <c r="S21" s="156"/>
      <c r="T21" s="108"/>
      <c r="U21" s="108"/>
      <c r="V21" s="108"/>
      <c r="W21" s="108"/>
      <c r="X21" s="108"/>
      <c r="Y21" s="108"/>
      <c r="Z21" s="108"/>
      <c r="AA21" s="108"/>
    </row>
    <row r="22" spans="1:27">
      <c r="A22" s="108"/>
      <c r="B22" s="155"/>
      <c r="C22" s="167" t="s">
        <v>548</v>
      </c>
      <c r="D22" s="381">
        <v>19.73</v>
      </c>
      <c r="E22" s="381">
        <v>95.52</v>
      </c>
      <c r="F22" s="417">
        <v>11</v>
      </c>
      <c r="G22" s="382">
        <v>1.6</v>
      </c>
      <c r="H22" s="417">
        <v>1885</v>
      </c>
      <c r="I22" s="417">
        <v>217</v>
      </c>
      <c r="J22" s="416">
        <v>32</v>
      </c>
      <c r="K22" s="156"/>
      <c r="L22" s="108"/>
      <c r="M22" s="156"/>
      <c r="N22" s="156"/>
      <c r="O22" s="156"/>
      <c r="P22" s="156"/>
      <c r="Q22" s="156"/>
      <c r="R22" s="156"/>
      <c r="S22" s="156"/>
      <c r="T22" s="108"/>
      <c r="U22" s="108"/>
      <c r="V22" s="108"/>
      <c r="W22" s="108"/>
      <c r="X22" s="108"/>
      <c r="Y22" s="108"/>
      <c r="Z22" s="108"/>
      <c r="AA22" s="108"/>
    </row>
    <row r="23" spans="1:27">
      <c r="A23" s="108"/>
      <c r="B23" s="155"/>
      <c r="C23" s="167" t="s">
        <v>549</v>
      </c>
      <c r="D23" s="381">
        <v>26.28</v>
      </c>
      <c r="E23" s="381">
        <v>93.9</v>
      </c>
      <c r="F23" s="417">
        <v>11</v>
      </c>
      <c r="G23" s="382">
        <v>1.6</v>
      </c>
      <c r="H23" s="417">
        <v>2468</v>
      </c>
      <c r="I23" s="417">
        <v>289</v>
      </c>
      <c r="J23" s="416">
        <v>42</v>
      </c>
      <c r="K23" s="156"/>
      <c r="L23" s="108"/>
      <c r="M23" s="156"/>
      <c r="N23" s="156"/>
      <c r="O23" s="156"/>
      <c r="P23" s="156"/>
      <c r="Q23" s="156"/>
      <c r="R23" s="156"/>
      <c r="S23" s="156"/>
      <c r="T23" s="108"/>
      <c r="U23" s="108"/>
      <c r="V23" s="108"/>
      <c r="W23" s="108"/>
      <c r="X23" s="108"/>
      <c r="Y23" s="108"/>
      <c r="Z23" s="108"/>
      <c r="AA23" s="108"/>
    </row>
    <row r="24" spans="1:27">
      <c r="A24" s="108"/>
      <c r="B24" s="155"/>
      <c r="C24" s="167" t="s">
        <v>550</v>
      </c>
      <c r="D24" s="381">
        <v>22.35</v>
      </c>
      <c r="E24" s="381">
        <v>94.67</v>
      </c>
      <c r="F24" s="417">
        <v>11</v>
      </c>
      <c r="G24" s="382">
        <v>1.6</v>
      </c>
      <c r="H24" s="417">
        <v>2116</v>
      </c>
      <c r="I24" s="417">
        <v>246</v>
      </c>
      <c r="J24" s="416">
        <v>36</v>
      </c>
      <c r="K24" s="156"/>
      <c r="L24" s="108"/>
      <c r="M24" s="156"/>
      <c r="N24" s="156"/>
      <c r="O24" s="156"/>
      <c r="P24" s="156"/>
      <c r="Q24" s="156"/>
      <c r="R24" s="156"/>
      <c r="S24" s="156"/>
      <c r="T24" s="108"/>
      <c r="U24" s="108"/>
      <c r="V24" s="108"/>
      <c r="W24" s="108"/>
      <c r="X24" s="108"/>
      <c r="Y24" s="108"/>
      <c r="Z24" s="108"/>
      <c r="AA24" s="108"/>
    </row>
    <row r="25" spans="1:27">
      <c r="A25" s="108"/>
      <c r="B25" s="155"/>
      <c r="C25" s="167" t="s">
        <v>551</v>
      </c>
      <c r="D25" s="381">
        <v>24.8</v>
      </c>
      <c r="E25" s="381">
        <v>113.67</v>
      </c>
      <c r="F25" s="417">
        <v>11</v>
      </c>
      <c r="G25" s="382">
        <v>1.6</v>
      </c>
      <c r="H25" s="417">
        <v>2819</v>
      </c>
      <c r="I25" s="417">
        <v>273</v>
      </c>
      <c r="J25" s="416">
        <v>40</v>
      </c>
      <c r="K25" s="156"/>
      <c r="L25" s="108"/>
      <c r="M25" s="156"/>
      <c r="N25" s="156"/>
      <c r="O25" s="156"/>
      <c r="P25" s="156"/>
      <c r="Q25" s="156"/>
      <c r="R25" s="156"/>
      <c r="S25" s="156"/>
      <c r="T25" s="108"/>
      <c r="U25" s="108"/>
      <c r="V25" s="108"/>
      <c r="W25" s="108"/>
      <c r="X25" s="108"/>
      <c r="Y25" s="108"/>
      <c r="Z25" s="108"/>
      <c r="AA25" s="108"/>
    </row>
    <row r="26" spans="1:27">
      <c r="A26" s="108"/>
      <c r="B26" s="151"/>
      <c r="C26" s="403" t="s">
        <v>552</v>
      </c>
      <c r="D26" s="422"/>
      <c r="E26" s="422"/>
      <c r="F26" s="421"/>
      <c r="G26" s="420"/>
      <c r="H26" s="421"/>
      <c r="I26" s="421"/>
      <c r="J26" s="424"/>
      <c r="K26" s="156"/>
      <c r="L26" s="108"/>
      <c r="M26" s="156"/>
      <c r="N26" s="156"/>
      <c r="O26" s="156"/>
      <c r="P26" s="156"/>
      <c r="Q26" s="156"/>
      <c r="R26" s="156"/>
      <c r="S26" s="156"/>
      <c r="T26" s="108"/>
      <c r="U26" s="108"/>
      <c r="V26" s="108"/>
      <c r="W26" s="108"/>
      <c r="X26" s="108"/>
      <c r="Y26" s="108"/>
      <c r="Z26" s="108"/>
      <c r="AA26" s="108"/>
    </row>
    <row r="27" spans="1:27">
      <c r="A27" s="108"/>
      <c r="B27" s="155"/>
      <c r="C27" s="167" t="s">
        <v>553</v>
      </c>
      <c r="D27" s="381">
        <v>9.9499999999999993</v>
      </c>
      <c r="E27" s="381">
        <v>90.7</v>
      </c>
      <c r="F27" s="417">
        <v>32</v>
      </c>
      <c r="G27" s="382">
        <v>4.2</v>
      </c>
      <c r="H27" s="417">
        <v>902</v>
      </c>
      <c r="I27" s="417">
        <v>318</v>
      </c>
      <c r="J27" s="416">
        <v>42</v>
      </c>
      <c r="K27" s="156"/>
      <c r="L27" s="108"/>
      <c r="M27" s="156"/>
      <c r="N27" s="156"/>
      <c r="O27" s="156"/>
      <c r="P27" s="156"/>
      <c r="Q27" s="156"/>
      <c r="R27" s="156"/>
      <c r="S27" s="156"/>
      <c r="T27" s="108"/>
      <c r="U27" s="108"/>
      <c r="V27" s="108"/>
      <c r="W27" s="108"/>
      <c r="X27" s="108"/>
      <c r="Y27" s="108"/>
      <c r="Z27" s="108"/>
      <c r="AA27" s="108"/>
    </row>
    <row r="28" spans="1:27">
      <c r="A28" s="108"/>
      <c r="B28" s="155"/>
      <c r="C28" s="167" t="s">
        <v>554</v>
      </c>
      <c r="D28" s="381">
        <v>30</v>
      </c>
      <c r="E28" s="381">
        <v>102.41</v>
      </c>
      <c r="F28" s="417">
        <v>32</v>
      </c>
      <c r="G28" s="382">
        <v>4.2</v>
      </c>
      <c r="H28" s="417">
        <v>3072</v>
      </c>
      <c r="I28" s="417">
        <v>960</v>
      </c>
      <c r="J28" s="416">
        <v>126</v>
      </c>
      <c r="K28" s="423"/>
      <c r="L28" s="108"/>
      <c r="M28" s="156"/>
      <c r="N28" s="156"/>
      <c r="O28" s="156"/>
      <c r="P28" s="156"/>
      <c r="Q28" s="156"/>
      <c r="R28" s="156"/>
      <c r="S28" s="156"/>
      <c r="T28" s="108"/>
      <c r="U28" s="108"/>
      <c r="V28" s="108"/>
      <c r="W28" s="108"/>
      <c r="X28" s="108"/>
      <c r="Y28" s="108"/>
      <c r="Z28" s="108"/>
      <c r="AA28" s="108"/>
    </row>
    <row r="29" spans="1:27">
      <c r="A29" s="108"/>
      <c r="B29" s="155"/>
      <c r="C29" s="167" t="s">
        <v>555</v>
      </c>
      <c r="D29" s="381">
        <v>38</v>
      </c>
      <c r="E29" s="381">
        <v>75</v>
      </c>
      <c r="F29" s="417">
        <v>32</v>
      </c>
      <c r="G29" s="382">
        <v>4.2</v>
      </c>
      <c r="H29" s="417">
        <v>2850</v>
      </c>
      <c r="I29" s="417">
        <v>1216</v>
      </c>
      <c r="J29" s="416">
        <v>160</v>
      </c>
      <c r="K29" s="108"/>
      <c r="L29" s="108"/>
      <c r="M29" s="156"/>
      <c r="N29" s="156"/>
      <c r="O29" s="156"/>
      <c r="P29" s="156"/>
      <c r="Q29" s="156"/>
      <c r="R29" s="156"/>
      <c r="S29" s="156"/>
      <c r="T29" s="108"/>
      <c r="U29" s="108"/>
      <c r="V29" s="108"/>
      <c r="W29" s="108"/>
      <c r="X29" s="108"/>
      <c r="Y29" s="108"/>
      <c r="Z29" s="108"/>
      <c r="AA29" s="108"/>
    </row>
    <row r="30" spans="1:27">
      <c r="A30" s="108"/>
      <c r="B30" s="155"/>
      <c r="C30" s="167" t="s">
        <v>556</v>
      </c>
      <c r="D30" s="381">
        <v>28</v>
      </c>
      <c r="E30" s="381">
        <v>85.97</v>
      </c>
      <c r="F30" s="417">
        <v>32</v>
      </c>
      <c r="G30" s="382">
        <v>4.2</v>
      </c>
      <c r="H30" s="417">
        <v>2407</v>
      </c>
      <c r="I30" s="417">
        <v>896</v>
      </c>
      <c r="J30" s="416">
        <v>118</v>
      </c>
      <c r="K30" s="108"/>
      <c r="L30" s="108"/>
      <c r="M30" s="156"/>
      <c r="N30" s="156"/>
      <c r="O30" s="156"/>
      <c r="P30" s="156"/>
      <c r="Q30" s="156"/>
      <c r="R30" s="156"/>
      <c r="S30" s="156"/>
      <c r="T30" s="108"/>
      <c r="U30" s="108"/>
      <c r="V30" s="108"/>
      <c r="W30" s="108"/>
      <c r="X30" s="108"/>
      <c r="Y30" s="108"/>
      <c r="Z30" s="108"/>
      <c r="AA30" s="108"/>
    </row>
    <row r="31" spans="1:27">
      <c r="A31" s="108"/>
      <c r="B31" s="151"/>
      <c r="C31" s="403" t="s">
        <v>557</v>
      </c>
      <c r="D31" s="422"/>
      <c r="E31" s="422"/>
      <c r="F31" s="421"/>
      <c r="G31" s="420"/>
      <c r="H31" s="419"/>
      <c r="I31" s="419"/>
      <c r="J31" s="418"/>
      <c r="K31" s="108"/>
      <c r="L31" s="108"/>
      <c r="M31" s="156"/>
      <c r="N31" s="156"/>
      <c r="O31" s="156"/>
      <c r="P31" s="156"/>
      <c r="Q31" s="156"/>
      <c r="R31" s="156"/>
      <c r="S31" s="156"/>
      <c r="T31" s="108"/>
      <c r="U31" s="108"/>
      <c r="V31" s="108"/>
      <c r="W31" s="108"/>
      <c r="X31" s="108"/>
      <c r="Y31" s="108"/>
      <c r="Z31" s="108"/>
      <c r="AA31" s="108"/>
    </row>
    <row r="32" spans="1:27">
      <c r="A32" s="108"/>
      <c r="B32" s="155"/>
      <c r="C32" s="167" t="s">
        <v>558</v>
      </c>
      <c r="D32" s="381">
        <v>8.25</v>
      </c>
      <c r="E32" s="381">
        <v>118.17</v>
      </c>
      <c r="F32" s="417">
        <v>32</v>
      </c>
      <c r="G32" s="382">
        <v>4.2</v>
      </c>
      <c r="H32" s="417">
        <v>975</v>
      </c>
      <c r="I32" s="417">
        <v>264</v>
      </c>
      <c r="J32" s="416">
        <v>35</v>
      </c>
      <c r="K32" s="108"/>
      <c r="L32" s="108"/>
      <c r="M32" s="156"/>
      <c r="N32" s="156"/>
      <c r="O32" s="156"/>
      <c r="P32" s="156"/>
      <c r="Q32" s="156"/>
      <c r="R32" s="156"/>
      <c r="S32" s="156"/>
      <c r="T32" s="108"/>
      <c r="U32" s="108"/>
      <c r="V32" s="108"/>
      <c r="W32" s="108"/>
      <c r="X32" s="108"/>
      <c r="Y32" s="108"/>
      <c r="Z32" s="108"/>
      <c r="AA32" s="108"/>
    </row>
    <row r="33" spans="1:27">
      <c r="A33" s="108"/>
      <c r="B33" s="155"/>
      <c r="C33" s="167" t="s">
        <v>559</v>
      </c>
      <c r="D33" s="381">
        <v>8</v>
      </c>
      <c r="E33" s="381">
        <v>111.84</v>
      </c>
      <c r="F33" s="417">
        <v>32</v>
      </c>
      <c r="G33" s="382">
        <v>4.2</v>
      </c>
      <c r="H33" s="417">
        <v>895</v>
      </c>
      <c r="I33" s="417">
        <v>256</v>
      </c>
      <c r="J33" s="416">
        <v>34</v>
      </c>
      <c r="K33" s="108"/>
      <c r="L33" s="108"/>
      <c r="M33" s="156"/>
      <c r="N33" s="156"/>
      <c r="O33" s="156"/>
      <c r="P33" s="156"/>
      <c r="Q33" s="156"/>
      <c r="R33" s="156"/>
      <c r="S33" s="156"/>
      <c r="T33" s="108"/>
      <c r="U33" s="108"/>
      <c r="V33" s="108"/>
      <c r="W33" s="108"/>
      <c r="X33" s="108"/>
      <c r="Y33" s="108"/>
      <c r="Z33" s="108"/>
      <c r="AA33" s="108"/>
    </row>
    <row r="34" spans="1:27">
      <c r="A34" s="108"/>
      <c r="B34" s="155"/>
      <c r="C34" s="167" t="s">
        <v>560</v>
      </c>
      <c r="D34" s="381">
        <v>10.39</v>
      </c>
      <c r="E34" s="381">
        <v>105.51</v>
      </c>
      <c r="F34" s="417">
        <v>32</v>
      </c>
      <c r="G34" s="382">
        <v>4.2</v>
      </c>
      <c r="H34" s="417">
        <v>1096</v>
      </c>
      <c r="I34" s="417">
        <v>332</v>
      </c>
      <c r="J34" s="416">
        <v>44</v>
      </c>
      <c r="K34" s="108"/>
      <c r="L34" s="108"/>
      <c r="M34" s="156"/>
      <c r="N34" s="156"/>
      <c r="O34" s="156"/>
      <c r="P34" s="156"/>
      <c r="Q34" s="156"/>
      <c r="R34" s="156"/>
      <c r="S34" s="156"/>
      <c r="T34" s="108"/>
      <c r="U34" s="108"/>
      <c r="V34" s="108"/>
      <c r="W34" s="108"/>
      <c r="X34" s="108"/>
      <c r="Y34" s="108"/>
      <c r="Z34" s="108"/>
      <c r="AA34" s="108"/>
    </row>
    <row r="35" spans="1:27">
      <c r="A35" s="108"/>
      <c r="B35" s="155"/>
      <c r="C35" s="167" t="s">
        <v>561</v>
      </c>
      <c r="D35" s="381">
        <v>17.48</v>
      </c>
      <c r="E35" s="381">
        <v>93.8</v>
      </c>
      <c r="F35" s="382">
        <v>7.2</v>
      </c>
      <c r="G35" s="382">
        <v>3.6</v>
      </c>
      <c r="H35" s="417">
        <v>1640</v>
      </c>
      <c r="I35" s="417">
        <v>126</v>
      </c>
      <c r="J35" s="416">
        <v>63</v>
      </c>
      <c r="K35" s="108"/>
      <c r="L35" s="108"/>
      <c r="M35" s="156"/>
      <c r="N35" s="156"/>
      <c r="O35" s="156"/>
      <c r="P35" s="156"/>
      <c r="Q35" s="156"/>
      <c r="R35" s="156"/>
      <c r="S35" s="156"/>
      <c r="T35" s="108"/>
      <c r="U35" s="108"/>
      <c r="V35" s="108"/>
      <c r="W35" s="108"/>
      <c r="X35" s="108"/>
      <c r="Y35" s="108"/>
      <c r="Z35" s="108"/>
      <c r="AA35" s="108"/>
    </row>
    <row r="36" spans="1:27" s="390" customFormat="1">
      <c r="A36" s="241"/>
      <c r="B36" s="241"/>
      <c r="C36" s="393"/>
      <c r="D36" s="392" t="s">
        <v>562</v>
      </c>
      <c r="E36" s="392" t="s">
        <v>536</v>
      </c>
      <c r="F36" s="392" t="s">
        <v>537</v>
      </c>
      <c r="G36" s="392" t="s">
        <v>538</v>
      </c>
      <c r="H36" s="392" t="s">
        <v>563</v>
      </c>
      <c r="I36" s="392" t="s">
        <v>564</v>
      </c>
      <c r="J36" s="391" t="s">
        <v>565</v>
      </c>
      <c r="K36" s="108"/>
      <c r="L36" s="108"/>
      <c r="M36" s="156"/>
      <c r="N36" s="156"/>
      <c r="O36" s="156"/>
      <c r="P36" s="156"/>
      <c r="Q36" s="156"/>
      <c r="R36" s="156"/>
      <c r="S36" s="156"/>
      <c r="T36" s="108"/>
      <c r="U36" s="241"/>
      <c r="V36" s="241"/>
      <c r="W36" s="241"/>
      <c r="X36" s="241"/>
      <c r="Y36" s="241"/>
      <c r="Z36" s="241"/>
      <c r="AA36" s="241"/>
    </row>
    <row r="37" spans="1:27" ht="14">
      <c r="A37" s="108"/>
      <c r="B37" s="151"/>
      <c r="C37" s="415" t="s">
        <v>448</v>
      </c>
      <c r="D37" s="414"/>
      <c r="E37" s="413"/>
      <c r="F37" s="412"/>
      <c r="G37" s="412"/>
      <c r="H37" s="411"/>
      <c r="I37" s="411"/>
      <c r="J37" s="410"/>
      <c r="K37" s="108"/>
      <c r="L37" s="108"/>
      <c r="M37" s="156"/>
      <c r="N37" s="156"/>
      <c r="O37" s="156"/>
      <c r="P37" s="156"/>
      <c r="Q37" s="156"/>
      <c r="R37" s="156"/>
      <c r="S37" s="156"/>
      <c r="T37" s="108"/>
      <c r="U37" s="108"/>
      <c r="V37" s="108"/>
      <c r="W37" s="108"/>
      <c r="X37" s="108"/>
      <c r="Y37" s="108"/>
      <c r="Z37" s="108"/>
      <c r="AA37" s="108"/>
    </row>
    <row r="38" spans="1:27">
      <c r="A38" s="108"/>
      <c r="B38" s="409"/>
      <c r="C38" s="167" t="s">
        <v>448</v>
      </c>
      <c r="D38" s="395">
        <v>1.026E-3</v>
      </c>
      <c r="E38" s="381">
        <v>53.06</v>
      </c>
      <c r="F38" s="382">
        <v>1</v>
      </c>
      <c r="G38" s="381">
        <v>0.1</v>
      </c>
      <c r="H38" s="404">
        <v>5.4440000000000002E-2</v>
      </c>
      <c r="I38" s="404">
        <v>1.0300000000000001E-3</v>
      </c>
      <c r="J38" s="408">
        <v>1E-4</v>
      </c>
      <c r="K38" s="105"/>
      <c r="L38" s="108"/>
      <c r="M38" s="156"/>
      <c r="N38" s="156"/>
      <c r="O38" s="156"/>
      <c r="P38" s="156"/>
      <c r="Q38" s="156"/>
      <c r="R38" s="156"/>
      <c r="S38" s="156"/>
      <c r="T38" s="108"/>
      <c r="U38" s="108"/>
      <c r="V38" s="108"/>
      <c r="W38" s="108"/>
      <c r="X38" s="108"/>
      <c r="Y38" s="108"/>
      <c r="Z38" s="108"/>
      <c r="AA38" s="108"/>
    </row>
    <row r="39" spans="1:27">
      <c r="A39" s="108"/>
      <c r="B39" s="151"/>
      <c r="C39" s="407" t="s">
        <v>566</v>
      </c>
      <c r="D39" s="402"/>
      <c r="E39" s="402"/>
      <c r="F39" s="402"/>
      <c r="G39" s="402"/>
      <c r="H39" s="406"/>
      <c r="I39" s="400"/>
      <c r="J39" s="399"/>
      <c r="K39" s="108"/>
      <c r="L39" s="108"/>
      <c r="M39" s="156"/>
      <c r="N39" s="156"/>
      <c r="O39" s="156"/>
      <c r="P39" s="156"/>
      <c r="Q39" s="156"/>
      <c r="R39" s="156"/>
      <c r="S39" s="156"/>
      <c r="T39" s="108"/>
      <c r="U39" s="108"/>
      <c r="V39" s="108"/>
      <c r="W39" s="108"/>
      <c r="X39" s="108"/>
      <c r="Y39" s="108"/>
      <c r="Z39" s="108"/>
      <c r="AA39" s="108"/>
    </row>
    <row r="40" spans="1:27">
      <c r="A40" s="108"/>
      <c r="B40" s="155"/>
      <c r="C40" s="167" t="s">
        <v>567</v>
      </c>
      <c r="D40" s="395">
        <v>9.2E-5</v>
      </c>
      <c r="E40" s="381">
        <v>274.32</v>
      </c>
      <c r="F40" s="164">
        <v>2.2000000000000002E-2</v>
      </c>
      <c r="G40" s="381">
        <v>0.1</v>
      </c>
      <c r="H40" s="404">
        <v>2.5239999999999999E-2</v>
      </c>
      <c r="I40" s="395">
        <v>1.9999999999999999E-6</v>
      </c>
      <c r="J40" s="394">
        <v>9.0000000000000002E-6</v>
      </c>
      <c r="K40" s="108"/>
      <c r="L40" s="108"/>
      <c r="M40" s="156"/>
      <c r="N40" s="156"/>
      <c r="O40" s="156"/>
      <c r="P40" s="156"/>
      <c r="Q40" s="156"/>
      <c r="R40" s="156"/>
      <c r="S40" s="156"/>
      <c r="T40" s="108"/>
      <c r="U40" s="108"/>
      <c r="V40" s="108"/>
      <c r="W40" s="108"/>
      <c r="X40" s="108"/>
      <c r="Y40" s="108"/>
      <c r="Z40" s="108"/>
      <c r="AA40" s="108"/>
    </row>
    <row r="41" spans="1:27">
      <c r="A41" s="108"/>
      <c r="B41" s="155"/>
      <c r="C41" s="167" t="s">
        <v>568</v>
      </c>
      <c r="D41" s="395">
        <v>5.9900000000000003E-4</v>
      </c>
      <c r="E41" s="381">
        <v>46.85</v>
      </c>
      <c r="F41" s="381">
        <v>0.48</v>
      </c>
      <c r="G41" s="381">
        <v>0.1</v>
      </c>
      <c r="H41" s="404">
        <v>2.8060000000000002E-2</v>
      </c>
      <c r="I41" s="395">
        <v>2.8800000000000001E-4</v>
      </c>
      <c r="J41" s="394">
        <v>6.0000000000000002E-5</v>
      </c>
      <c r="K41" s="105"/>
      <c r="L41" s="108"/>
      <c r="M41" s="156"/>
      <c r="N41" s="156"/>
      <c r="O41" s="156"/>
      <c r="P41" s="156"/>
      <c r="Q41" s="156"/>
      <c r="R41" s="156"/>
      <c r="S41" s="156"/>
      <c r="T41" s="108"/>
      <c r="U41" s="108"/>
      <c r="V41" s="108"/>
      <c r="W41" s="108"/>
      <c r="X41" s="108"/>
      <c r="Y41" s="108"/>
      <c r="Z41" s="108"/>
      <c r="AA41" s="108"/>
    </row>
    <row r="42" spans="1:27">
      <c r="A42" s="108"/>
      <c r="B42" s="155"/>
      <c r="C42" s="167" t="s">
        <v>569</v>
      </c>
      <c r="D42" s="395">
        <v>1.3879999999999999E-3</v>
      </c>
      <c r="E42" s="405">
        <v>59</v>
      </c>
      <c r="F42" s="382">
        <v>3</v>
      </c>
      <c r="G42" s="381">
        <v>0.6</v>
      </c>
      <c r="H42" s="404">
        <v>8.1890000000000004E-2</v>
      </c>
      <c r="I42" s="395">
        <v>4.1640000000000002E-3</v>
      </c>
      <c r="J42" s="394">
        <v>8.3299999999999997E-4</v>
      </c>
      <c r="K42" s="108"/>
      <c r="L42" s="108"/>
      <c r="M42" s="156"/>
      <c r="N42" s="156"/>
      <c r="O42" s="156"/>
      <c r="P42" s="156"/>
      <c r="Q42" s="156"/>
      <c r="R42" s="156"/>
      <c r="S42" s="156"/>
      <c r="T42" s="108"/>
      <c r="U42" s="108"/>
      <c r="V42" s="108"/>
      <c r="W42" s="108"/>
      <c r="X42" s="108"/>
      <c r="Y42" s="108"/>
      <c r="Z42" s="108"/>
      <c r="AA42" s="108"/>
    </row>
    <row r="43" spans="1:27">
      <c r="A43" s="108"/>
      <c r="B43" s="155"/>
      <c r="C43" s="167" t="s">
        <v>570</v>
      </c>
      <c r="D43" s="395">
        <v>2.516E-3</v>
      </c>
      <c r="E43" s="405">
        <v>61.46</v>
      </c>
      <c r="F43" s="382">
        <v>3</v>
      </c>
      <c r="G43" s="381">
        <v>0.6</v>
      </c>
      <c r="H43" s="404">
        <v>0.15462999999999999</v>
      </c>
      <c r="I43" s="395">
        <v>7.548E-3</v>
      </c>
      <c r="J43" s="394">
        <v>1.5100000000000001E-3</v>
      </c>
      <c r="K43" s="130"/>
      <c r="L43" s="108"/>
      <c r="M43" s="156"/>
      <c r="N43" s="156"/>
      <c r="O43" s="156"/>
      <c r="P43" s="156"/>
      <c r="Q43" s="156"/>
      <c r="R43" s="156"/>
      <c r="S43" s="156"/>
      <c r="T43" s="108"/>
      <c r="U43" s="108"/>
      <c r="V43" s="108"/>
      <c r="W43" s="108"/>
      <c r="X43" s="108"/>
      <c r="Y43" s="108"/>
      <c r="Z43" s="108"/>
      <c r="AA43" s="108"/>
    </row>
    <row r="44" spans="1:27">
      <c r="A44" s="108"/>
      <c r="B44" s="151"/>
      <c r="C44" s="403" t="s">
        <v>571</v>
      </c>
      <c r="D44" s="402"/>
      <c r="E44" s="402"/>
      <c r="F44" s="401"/>
      <c r="G44" s="401"/>
      <c r="H44" s="400"/>
      <c r="I44" s="400"/>
      <c r="J44" s="399"/>
      <c r="K44" s="108"/>
      <c r="L44" s="108"/>
      <c r="M44" s="156"/>
      <c r="N44" s="156"/>
      <c r="O44" s="156"/>
      <c r="P44" s="156"/>
      <c r="Q44" s="156"/>
      <c r="R44" s="156"/>
      <c r="S44" s="156"/>
      <c r="T44" s="108"/>
      <c r="U44" s="108"/>
      <c r="V44" s="108"/>
      <c r="W44" s="108"/>
      <c r="X44" s="108"/>
      <c r="Y44" s="108"/>
      <c r="Z44" s="108"/>
      <c r="AA44" s="108"/>
    </row>
    <row r="45" spans="1:27" s="103" customFormat="1">
      <c r="A45" s="104"/>
      <c r="B45" s="398"/>
      <c r="C45" s="363" t="s">
        <v>572</v>
      </c>
      <c r="D45" s="397">
        <v>4.8500000000000003E-4</v>
      </c>
      <c r="E45" s="358">
        <v>52.07</v>
      </c>
      <c r="F45" s="396">
        <v>3.2</v>
      </c>
      <c r="G45" s="358">
        <v>0.63</v>
      </c>
      <c r="H45" s="395">
        <v>2.5253999999999999E-2</v>
      </c>
      <c r="I45" s="395">
        <v>1.552E-3</v>
      </c>
      <c r="J45" s="394">
        <v>3.0600000000000001E-4</v>
      </c>
      <c r="K45" s="108"/>
      <c r="L45" s="108"/>
      <c r="M45" s="156"/>
      <c r="N45" s="156"/>
      <c r="O45" s="156"/>
      <c r="P45" s="156"/>
      <c r="Q45" s="156"/>
      <c r="R45" s="156"/>
      <c r="S45" s="156"/>
      <c r="T45" s="108"/>
      <c r="U45" s="104"/>
      <c r="V45" s="104"/>
      <c r="W45" s="104"/>
      <c r="X45" s="104"/>
      <c r="Y45" s="104"/>
      <c r="Z45" s="104"/>
      <c r="AA45" s="104"/>
    </row>
    <row r="46" spans="1:27" s="103" customFormat="1">
      <c r="A46" s="104"/>
      <c r="B46" s="398"/>
      <c r="C46" s="363" t="s">
        <v>573</v>
      </c>
      <c r="D46" s="397">
        <v>6.5499999999999998E-4</v>
      </c>
      <c r="E46" s="358">
        <v>52.07</v>
      </c>
      <c r="F46" s="396">
        <v>3.2</v>
      </c>
      <c r="G46" s="358">
        <v>0.63</v>
      </c>
      <c r="H46" s="395">
        <v>3.4105999999999997E-2</v>
      </c>
      <c r="I46" s="395">
        <v>2.0960000000000002E-3</v>
      </c>
      <c r="J46" s="394">
        <v>4.1300000000000001E-4</v>
      </c>
      <c r="K46" s="108"/>
      <c r="L46" s="108"/>
      <c r="M46" s="156"/>
      <c r="N46" s="156"/>
      <c r="O46" s="156"/>
      <c r="P46" s="156"/>
      <c r="Q46" s="156"/>
      <c r="R46" s="156"/>
      <c r="S46" s="156"/>
      <c r="T46" s="108"/>
      <c r="U46" s="104"/>
      <c r="V46" s="104"/>
      <c r="W46" s="104"/>
      <c r="X46" s="104"/>
      <c r="Y46" s="104"/>
      <c r="Z46" s="104"/>
      <c r="AA46" s="104"/>
    </row>
    <row r="47" spans="1:27" s="390" customFormat="1">
      <c r="A47" s="241"/>
      <c r="B47" s="241"/>
      <c r="C47" s="393"/>
      <c r="D47" s="392" t="s">
        <v>574</v>
      </c>
      <c r="E47" s="392" t="s">
        <v>536</v>
      </c>
      <c r="F47" s="392" t="s">
        <v>537</v>
      </c>
      <c r="G47" s="392" t="s">
        <v>538</v>
      </c>
      <c r="H47" s="392" t="s">
        <v>575</v>
      </c>
      <c r="I47" s="392" t="s">
        <v>576</v>
      </c>
      <c r="J47" s="391" t="s">
        <v>577</v>
      </c>
      <c r="K47" s="108"/>
      <c r="L47" s="108"/>
      <c r="M47" s="156"/>
      <c r="N47" s="156"/>
      <c r="O47" s="156"/>
      <c r="P47" s="156"/>
      <c r="Q47" s="156"/>
      <c r="R47" s="156"/>
      <c r="S47" s="156"/>
      <c r="T47" s="108"/>
      <c r="U47" s="241"/>
      <c r="V47" s="241"/>
      <c r="W47" s="241"/>
      <c r="X47" s="241"/>
      <c r="Y47" s="241"/>
      <c r="Z47" s="241"/>
      <c r="AA47" s="241"/>
    </row>
    <row r="48" spans="1:27" s="103" customFormat="1">
      <c r="A48" s="104"/>
      <c r="B48" s="107"/>
      <c r="C48" s="387" t="s">
        <v>578</v>
      </c>
      <c r="D48" s="383"/>
      <c r="E48" s="383"/>
      <c r="F48" s="383"/>
      <c r="G48" s="383"/>
      <c r="H48" s="383"/>
      <c r="I48" s="383"/>
      <c r="J48" s="389"/>
      <c r="K48" s="108"/>
      <c r="L48" s="108"/>
      <c r="M48" s="156"/>
      <c r="N48" s="156"/>
      <c r="O48" s="156"/>
      <c r="P48" s="156"/>
      <c r="Q48" s="156"/>
      <c r="R48" s="156"/>
      <c r="S48" s="156"/>
      <c r="T48" s="108"/>
      <c r="U48" s="104"/>
      <c r="V48" s="104"/>
      <c r="W48" s="104"/>
      <c r="X48" s="104"/>
      <c r="Y48" s="104"/>
      <c r="Z48" s="104"/>
      <c r="AA48" s="104"/>
    </row>
    <row r="49" spans="1:27">
      <c r="A49" s="108"/>
      <c r="B49" s="155"/>
      <c r="C49" s="167" t="s">
        <v>579</v>
      </c>
      <c r="D49" s="164">
        <v>0.158</v>
      </c>
      <c r="E49" s="381">
        <v>75.36</v>
      </c>
      <c r="F49" s="382">
        <v>3</v>
      </c>
      <c r="G49" s="381">
        <v>0.6</v>
      </c>
      <c r="H49" s="381">
        <v>11.91</v>
      </c>
      <c r="I49" s="381">
        <v>0.47</v>
      </c>
      <c r="J49" s="386">
        <v>0.09</v>
      </c>
      <c r="K49" s="108"/>
      <c r="L49" s="108"/>
      <c r="M49" s="156"/>
      <c r="N49" s="156"/>
      <c r="O49" s="156"/>
      <c r="P49" s="156"/>
      <c r="Q49" s="156"/>
      <c r="R49" s="156"/>
      <c r="S49" s="156"/>
      <c r="T49" s="108"/>
      <c r="U49" s="108"/>
      <c r="V49" s="108"/>
      <c r="W49" s="108"/>
      <c r="X49" s="108"/>
      <c r="Y49" s="108"/>
      <c r="Z49" s="108"/>
      <c r="AA49" s="108"/>
    </row>
    <row r="50" spans="1:27">
      <c r="A50" s="108"/>
      <c r="B50" s="155"/>
      <c r="C50" s="167" t="s">
        <v>580</v>
      </c>
      <c r="D50" s="164">
        <v>0.12</v>
      </c>
      <c r="E50" s="381">
        <v>69.25</v>
      </c>
      <c r="F50" s="382">
        <v>3</v>
      </c>
      <c r="G50" s="381">
        <v>0.6</v>
      </c>
      <c r="H50" s="381">
        <v>8.31</v>
      </c>
      <c r="I50" s="381">
        <v>0.36</v>
      </c>
      <c r="J50" s="386">
        <v>7.0000000000000007E-2</v>
      </c>
      <c r="K50" s="108"/>
      <c r="L50" s="108"/>
      <c r="M50" s="156"/>
      <c r="N50" s="156"/>
      <c r="O50" s="156"/>
      <c r="P50" s="156"/>
      <c r="Q50" s="156"/>
      <c r="R50" s="156"/>
      <c r="S50" s="156"/>
      <c r="T50" s="108"/>
      <c r="U50" s="108"/>
      <c r="V50" s="108"/>
      <c r="W50" s="108"/>
      <c r="X50" s="108"/>
      <c r="Y50" s="108"/>
      <c r="Z50" s="108"/>
      <c r="AA50" s="108"/>
    </row>
    <row r="51" spans="1:27">
      <c r="A51" s="108"/>
      <c r="B51" s="155"/>
      <c r="C51" s="167" t="s">
        <v>581</v>
      </c>
      <c r="D51" s="164">
        <v>0.10299999999999999</v>
      </c>
      <c r="E51" s="381">
        <v>64.77</v>
      </c>
      <c r="F51" s="382">
        <v>3</v>
      </c>
      <c r="G51" s="381">
        <v>0.6</v>
      </c>
      <c r="H51" s="381">
        <v>6.67</v>
      </c>
      <c r="I51" s="381">
        <v>0.31</v>
      </c>
      <c r="J51" s="386">
        <v>0.06</v>
      </c>
      <c r="K51" s="108"/>
      <c r="L51" s="108"/>
      <c r="M51" s="156"/>
      <c r="N51" s="156"/>
      <c r="O51" s="156"/>
      <c r="P51" s="156"/>
      <c r="Q51" s="156"/>
      <c r="R51" s="156"/>
      <c r="S51" s="156"/>
      <c r="T51" s="108"/>
      <c r="U51" s="108"/>
      <c r="V51" s="108"/>
      <c r="W51" s="108"/>
      <c r="X51" s="108"/>
      <c r="Y51" s="108"/>
      <c r="Z51" s="108"/>
      <c r="AA51" s="108"/>
    </row>
    <row r="52" spans="1:27">
      <c r="A52" s="108"/>
      <c r="B52" s="155"/>
      <c r="C52" s="167" t="s">
        <v>582</v>
      </c>
      <c r="D52" s="164">
        <v>0.105</v>
      </c>
      <c r="E52" s="381">
        <v>68.72</v>
      </c>
      <c r="F52" s="382">
        <v>3</v>
      </c>
      <c r="G52" s="381">
        <v>0.6</v>
      </c>
      <c r="H52" s="381">
        <v>7.22</v>
      </c>
      <c r="I52" s="381">
        <v>0.32</v>
      </c>
      <c r="J52" s="386">
        <v>0.06</v>
      </c>
      <c r="K52" s="108"/>
      <c r="L52" s="108"/>
      <c r="M52" s="156"/>
      <c r="N52" s="156"/>
      <c r="O52" s="156"/>
      <c r="P52" s="156"/>
      <c r="Q52" s="156"/>
      <c r="R52" s="156"/>
      <c r="S52" s="156"/>
      <c r="T52" s="108"/>
      <c r="U52" s="108"/>
      <c r="V52" s="108"/>
      <c r="W52" s="108"/>
      <c r="X52" s="108"/>
      <c r="Y52" s="108"/>
      <c r="Z52" s="108"/>
      <c r="AA52" s="108"/>
    </row>
    <row r="53" spans="1:27">
      <c r="A53" s="108"/>
      <c r="B53" s="155"/>
      <c r="C53" s="167" t="s">
        <v>583</v>
      </c>
      <c r="D53" s="164">
        <v>0.13800000000000001</v>
      </c>
      <c r="E53" s="381">
        <v>74.540000000000006</v>
      </c>
      <c r="F53" s="382">
        <v>3</v>
      </c>
      <c r="G53" s="381">
        <v>0.6</v>
      </c>
      <c r="H53" s="381">
        <v>10.29</v>
      </c>
      <c r="I53" s="381">
        <v>0.41</v>
      </c>
      <c r="J53" s="386">
        <v>0.08</v>
      </c>
      <c r="K53" s="108"/>
      <c r="L53" s="108"/>
      <c r="M53" s="156"/>
      <c r="N53" s="156"/>
      <c r="O53" s="156"/>
      <c r="P53" s="156"/>
      <c r="Q53" s="156"/>
      <c r="R53" s="156"/>
      <c r="S53" s="156"/>
      <c r="T53" s="108"/>
      <c r="U53" s="108"/>
      <c r="V53" s="108"/>
      <c r="W53" s="108"/>
      <c r="X53" s="108"/>
      <c r="Y53" s="108"/>
      <c r="Z53" s="108"/>
      <c r="AA53" s="108"/>
    </row>
    <row r="54" spans="1:27">
      <c r="A54" s="108"/>
      <c r="B54" s="155"/>
      <c r="C54" s="167" t="s">
        <v>584</v>
      </c>
      <c r="D54" s="164">
        <v>0.13900000000000001</v>
      </c>
      <c r="E54" s="381">
        <v>73.25</v>
      </c>
      <c r="F54" s="382">
        <v>3</v>
      </c>
      <c r="G54" s="381">
        <v>0.6</v>
      </c>
      <c r="H54" s="381">
        <v>10.18</v>
      </c>
      <c r="I54" s="381">
        <v>0.42</v>
      </c>
      <c r="J54" s="386">
        <v>0.08</v>
      </c>
      <c r="K54" s="108"/>
      <c r="L54" s="108"/>
      <c r="M54" s="156"/>
      <c r="N54" s="156"/>
      <c r="O54" s="156"/>
      <c r="P54" s="156"/>
      <c r="Q54" s="156"/>
      <c r="R54" s="156"/>
      <c r="S54" s="156"/>
      <c r="T54" s="108"/>
      <c r="U54" s="108"/>
      <c r="V54" s="108"/>
      <c r="W54" s="108"/>
      <c r="X54" s="108"/>
      <c r="Y54" s="108"/>
      <c r="Z54" s="108"/>
      <c r="AA54" s="108"/>
    </row>
    <row r="55" spans="1:27">
      <c r="A55" s="108"/>
      <c r="B55" s="155"/>
      <c r="C55" s="167" t="s">
        <v>585</v>
      </c>
      <c r="D55" s="164">
        <v>0.13800000000000001</v>
      </c>
      <c r="E55" s="381">
        <v>73.959999999999994</v>
      </c>
      <c r="F55" s="382">
        <v>3</v>
      </c>
      <c r="G55" s="381">
        <v>0.6</v>
      </c>
      <c r="H55" s="381">
        <v>10.210000000000001</v>
      </c>
      <c r="I55" s="381">
        <v>0.41</v>
      </c>
      <c r="J55" s="386">
        <v>0.08</v>
      </c>
      <c r="K55" s="108"/>
      <c r="L55" s="108"/>
      <c r="M55" s="156"/>
      <c r="N55" s="156"/>
      <c r="O55" s="156"/>
      <c r="P55" s="156"/>
      <c r="Q55" s="156"/>
      <c r="R55" s="156"/>
      <c r="S55" s="156"/>
      <c r="T55" s="108"/>
      <c r="U55" s="108"/>
      <c r="V55" s="108"/>
      <c r="W55" s="108"/>
      <c r="X55" s="108"/>
      <c r="Y55" s="108"/>
      <c r="Z55" s="108"/>
      <c r="AA55" s="108"/>
    </row>
    <row r="56" spans="1:27">
      <c r="A56" s="108"/>
      <c r="B56" s="155"/>
      <c r="C56" s="167" t="s">
        <v>586</v>
      </c>
      <c r="D56" s="164">
        <v>0.14599999999999999</v>
      </c>
      <c r="E56" s="381">
        <v>75.040000000000006</v>
      </c>
      <c r="F56" s="382">
        <v>3</v>
      </c>
      <c r="G56" s="381">
        <v>0.6</v>
      </c>
      <c r="H56" s="381">
        <v>10.96</v>
      </c>
      <c r="I56" s="381">
        <v>0.44</v>
      </c>
      <c r="J56" s="386">
        <v>0.09</v>
      </c>
      <c r="K56" s="108"/>
      <c r="L56" s="108"/>
      <c r="M56" s="156"/>
      <c r="N56" s="156"/>
      <c r="O56" s="156"/>
      <c r="P56" s="156"/>
      <c r="Q56" s="156"/>
      <c r="R56" s="156"/>
      <c r="S56" s="156"/>
      <c r="T56" s="108"/>
      <c r="U56" s="108"/>
      <c r="V56" s="108"/>
      <c r="W56" s="108"/>
      <c r="X56" s="108"/>
      <c r="Y56" s="108"/>
      <c r="Z56" s="108"/>
      <c r="AA56" s="108"/>
    </row>
    <row r="57" spans="1:27">
      <c r="A57" s="108"/>
      <c r="B57" s="155"/>
      <c r="C57" s="167" t="s">
        <v>587</v>
      </c>
      <c r="D57" s="164">
        <v>6.8000000000000005E-2</v>
      </c>
      <c r="E57" s="381">
        <v>59.6</v>
      </c>
      <c r="F57" s="382">
        <v>3</v>
      </c>
      <c r="G57" s="381">
        <v>0.6</v>
      </c>
      <c r="H57" s="381">
        <v>4.05</v>
      </c>
      <c r="I57" s="381">
        <v>0.2</v>
      </c>
      <c r="J57" s="386">
        <v>0.04</v>
      </c>
      <c r="K57" s="108"/>
      <c r="L57" s="108"/>
      <c r="M57" s="156"/>
      <c r="N57" s="156"/>
      <c r="O57" s="156"/>
      <c r="P57" s="156"/>
      <c r="Q57" s="156"/>
      <c r="R57" s="156"/>
      <c r="S57" s="156"/>
      <c r="T57" s="108"/>
      <c r="U57" s="108"/>
      <c r="V57" s="108"/>
      <c r="W57" s="108"/>
      <c r="X57" s="108"/>
      <c r="Y57" s="108"/>
      <c r="Z57" s="108"/>
      <c r="AA57" s="108"/>
    </row>
    <row r="58" spans="1:27">
      <c r="A58" s="108"/>
      <c r="B58" s="155"/>
      <c r="C58" s="167" t="s">
        <v>588</v>
      </c>
      <c r="D58" s="164">
        <v>5.8000000000000003E-2</v>
      </c>
      <c r="E58" s="381">
        <v>65.959999999999994</v>
      </c>
      <c r="F58" s="382">
        <v>3</v>
      </c>
      <c r="G58" s="381">
        <v>0.6</v>
      </c>
      <c r="H58" s="381">
        <v>3.83</v>
      </c>
      <c r="I58" s="381">
        <v>0.17</v>
      </c>
      <c r="J58" s="386">
        <v>0.03</v>
      </c>
      <c r="K58" s="108"/>
      <c r="L58" s="108"/>
      <c r="M58" s="156"/>
      <c r="N58" s="156"/>
      <c r="O58" s="156"/>
      <c r="P58" s="156"/>
      <c r="Q58" s="156"/>
      <c r="R58" s="156"/>
      <c r="S58" s="156"/>
      <c r="T58" s="108"/>
      <c r="U58" s="108"/>
      <c r="V58" s="108"/>
      <c r="W58" s="108"/>
      <c r="X58" s="108"/>
      <c r="Y58" s="108"/>
      <c r="Z58" s="108"/>
      <c r="AA58" s="108"/>
    </row>
    <row r="59" spans="1:27">
      <c r="A59" s="108"/>
      <c r="B59" s="155"/>
      <c r="C59" s="167" t="s">
        <v>589</v>
      </c>
      <c r="D59" s="164">
        <v>0.14799999999999999</v>
      </c>
      <c r="E59" s="381">
        <v>74.92</v>
      </c>
      <c r="F59" s="382">
        <v>3</v>
      </c>
      <c r="G59" s="381">
        <v>0.6</v>
      </c>
      <c r="H59" s="381">
        <v>11.09</v>
      </c>
      <c r="I59" s="381">
        <v>0.44</v>
      </c>
      <c r="J59" s="386">
        <v>0.09</v>
      </c>
      <c r="K59" s="108"/>
      <c r="L59" s="108"/>
      <c r="M59" s="156"/>
      <c r="N59" s="156"/>
      <c r="O59" s="156"/>
      <c r="P59" s="156"/>
      <c r="Q59" s="156"/>
      <c r="R59" s="156"/>
      <c r="S59" s="156"/>
      <c r="T59" s="108"/>
      <c r="U59" s="108"/>
      <c r="V59" s="108"/>
      <c r="W59" s="108"/>
      <c r="X59" s="108"/>
      <c r="Y59" s="108"/>
      <c r="Z59" s="108"/>
      <c r="AA59" s="108"/>
    </row>
    <row r="60" spans="1:27">
      <c r="A60" s="108"/>
      <c r="B60" s="155"/>
      <c r="C60" s="167" t="s">
        <v>590</v>
      </c>
      <c r="D60" s="164">
        <v>9.9000000000000005E-2</v>
      </c>
      <c r="E60" s="381">
        <v>64.94</v>
      </c>
      <c r="F60" s="382">
        <v>3</v>
      </c>
      <c r="G60" s="381">
        <v>0.6</v>
      </c>
      <c r="H60" s="381">
        <v>6.43</v>
      </c>
      <c r="I60" s="381">
        <v>0.3</v>
      </c>
      <c r="J60" s="386">
        <v>0.06</v>
      </c>
      <c r="K60" s="108"/>
      <c r="L60" s="108"/>
      <c r="M60" s="156"/>
      <c r="N60" s="156"/>
      <c r="O60" s="156"/>
      <c r="P60" s="156"/>
      <c r="Q60" s="156"/>
      <c r="R60" s="156"/>
      <c r="S60" s="156"/>
      <c r="T60" s="108"/>
      <c r="U60" s="108"/>
      <c r="V60" s="108"/>
      <c r="W60" s="108"/>
      <c r="X60" s="108"/>
      <c r="Y60" s="108"/>
      <c r="Z60" s="108"/>
      <c r="AA60" s="108"/>
    </row>
    <row r="61" spans="1:27">
      <c r="A61" s="108"/>
      <c r="B61" s="155"/>
      <c r="C61" s="167" t="s">
        <v>591</v>
      </c>
      <c r="D61" s="164">
        <v>0.10299999999999999</v>
      </c>
      <c r="E61" s="381">
        <v>68.86</v>
      </c>
      <c r="F61" s="382">
        <v>3</v>
      </c>
      <c r="G61" s="381">
        <v>0.6</v>
      </c>
      <c r="H61" s="381">
        <v>7.09</v>
      </c>
      <c r="I61" s="381">
        <v>0.31</v>
      </c>
      <c r="J61" s="386">
        <v>0.06</v>
      </c>
      <c r="K61" s="108"/>
      <c r="L61" s="108"/>
      <c r="M61" s="156"/>
      <c r="N61" s="156"/>
      <c r="O61" s="156"/>
      <c r="P61" s="156"/>
      <c r="Q61" s="156"/>
      <c r="R61" s="156"/>
      <c r="S61" s="156"/>
      <c r="T61" s="108"/>
      <c r="U61" s="108"/>
      <c r="V61" s="108"/>
      <c r="W61" s="108"/>
      <c r="X61" s="108"/>
      <c r="Y61" s="108"/>
      <c r="Z61" s="108"/>
      <c r="AA61" s="108"/>
    </row>
    <row r="62" spans="1:27">
      <c r="A62" s="108"/>
      <c r="B62" s="155"/>
      <c r="C62" s="167" t="s">
        <v>592</v>
      </c>
      <c r="D62" s="164">
        <v>0.13500000000000001</v>
      </c>
      <c r="E62" s="381">
        <v>75.2</v>
      </c>
      <c r="F62" s="382">
        <v>3</v>
      </c>
      <c r="G62" s="381">
        <v>0.6</v>
      </c>
      <c r="H62" s="381">
        <v>10.15</v>
      </c>
      <c r="I62" s="381">
        <v>0.41</v>
      </c>
      <c r="J62" s="386">
        <v>0.08</v>
      </c>
      <c r="K62" s="108"/>
      <c r="L62" s="108"/>
      <c r="M62" s="156"/>
      <c r="N62" s="156"/>
      <c r="O62" s="156"/>
      <c r="P62" s="156"/>
      <c r="Q62" s="156"/>
      <c r="R62" s="156"/>
      <c r="S62" s="156"/>
      <c r="T62" s="108"/>
      <c r="U62" s="108"/>
      <c r="V62" s="108"/>
      <c r="W62" s="108"/>
      <c r="X62" s="108"/>
      <c r="Y62" s="108"/>
      <c r="Z62" s="108"/>
      <c r="AA62" s="108"/>
    </row>
    <row r="63" spans="1:27">
      <c r="A63" s="108"/>
      <c r="B63" s="155"/>
      <c r="C63" s="167" t="s">
        <v>593</v>
      </c>
      <c r="D63" s="164">
        <v>0.13500000000000001</v>
      </c>
      <c r="E63" s="381">
        <v>72.22</v>
      </c>
      <c r="F63" s="382">
        <v>3</v>
      </c>
      <c r="G63" s="381">
        <v>0.6</v>
      </c>
      <c r="H63" s="381">
        <v>9.75</v>
      </c>
      <c r="I63" s="381">
        <v>0.41</v>
      </c>
      <c r="J63" s="386">
        <v>0.08</v>
      </c>
      <c r="K63" s="108"/>
      <c r="L63" s="108"/>
      <c r="M63" s="156"/>
      <c r="N63" s="156"/>
      <c r="O63" s="156"/>
      <c r="P63" s="156"/>
      <c r="Q63" s="156"/>
      <c r="R63" s="156"/>
      <c r="S63" s="156"/>
      <c r="T63" s="108"/>
      <c r="U63" s="108"/>
      <c r="V63" s="108"/>
      <c r="W63" s="108"/>
      <c r="X63" s="108"/>
      <c r="Y63" s="108"/>
      <c r="Z63" s="108"/>
      <c r="AA63" s="108"/>
    </row>
    <row r="64" spans="1:27">
      <c r="A64" s="108"/>
      <c r="B64" s="155"/>
      <c r="C64" s="167" t="s">
        <v>594</v>
      </c>
      <c r="D64" s="164">
        <v>9.1999999999999998E-2</v>
      </c>
      <c r="E64" s="381">
        <v>61.71</v>
      </c>
      <c r="F64" s="382">
        <v>3</v>
      </c>
      <c r="G64" s="381">
        <v>0.6</v>
      </c>
      <c r="H64" s="381">
        <v>5.68</v>
      </c>
      <c r="I64" s="381">
        <v>0.28000000000000003</v>
      </c>
      <c r="J64" s="386">
        <v>0.06</v>
      </c>
      <c r="K64" s="108"/>
      <c r="L64" s="108"/>
      <c r="M64" s="156"/>
      <c r="N64" s="156"/>
      <c r="O64" s="156"/>
      <c r="P64" s="156"/>
      <c r="Q64" s="156"/>
      <c r="R64" s="156"/>
      <c r="S64" s="156"/>
      <c r="T64" s="108"/>
      <c r="U64" s="108"/>
      <c r="V64" s="108"/>
      <c r="W64" s="108"/>
      <c r="X64" s="108"/>
      <c r="Y64" s="108"/>
      <c r="Z64" s="108"/>
      <c r="AA64" s="108"/>
    </row>
    <row r="65" spans="1:27">
      <c r="A65" s="108"/>
      <c r="B65" s="155"/>
      <c r="C65" s="167" t="s">
        <v>595</v>
      </c>
      <c r="D65" s="164">
        <v>0.14399999999999999</v>
      </c>
      <c r="E65" s="381">
        <v>74.27</v>
      </c>
      <c r="F65" s="382">
        <v>3</v>
      </c>
      <c r="G65" s="381">
        <v>0.6</v>
      </c>
      <c r="H65" s="381">
        <v>10.69</v>
      </c>
      <c r="I65" s="381">
        <v>0.43</v>
      </c>
      <c r="J65" s="386">
        <v>0.09</v>
      </c>
      <c r="K65" s="108"/>
      <c r="L65" s="108"/>
      <c r="M65" s="156"/>
      <c r="N65" s="156"/>
      <c r="O65" s="156"/>
      <c r="P65" s="156"/>
      <c r="Q65" s="156"/>
      <c r="R65" s="156"/>
      <c r="S65" s="156"/>
      <c r="T65" s="108"/>
      <c r="U65" s="108"/>
      <c r="V65" s="108"/>
      <c r="W65" s="108"/>
      <c r="X65" s="108"/>
      <c r="Y65" s="108"/>
      <c r="Z65" s="108"/>
      <c r="AA65" s="108"/>
    </row>
    <row r="66" spans="1:27">
      <c r="A66" s="108"/>
      <c r="B66" s="155"/>
      <c r="C66" s="167" t="s">
        <v>596</v>
      </c>
      <c r="D66" s="164">
        <v>0.125</v>
      </c>
      <c r="E66" s="381">
        <v>70.22</v>
      </c>
      <c r="F66" s="382">
        <v>3</v>
      </c>
      <c r="G66" s="381">
        <v>0.6</v>
      </c>
      <c r="H66" s="381">
        <v>8.7799999999999994</v>
      </c>
      <c r="I66" s="381">
        <v>0.38</v>
      </c>
      <c r="J66" s="386">
        <v>0.08</v>
      </c>
      <c r="K66" s="108"/>
      <c r="L66" s="108"/>
      <c r="M66" s="156"/>
      <c r="N66" s="156"/>
      <c r="O66" s="156"/>
      <c r="P66" s="156"/>
      <c r="Q66" s="156"/>
      <c r="R66" s="156"/>
      <c r="S66" s="156"/>
      <c r="T66" s="108"/>
      <c r="U66" s="108"/>
      <c r="V66" s="108"/>
      <c r="W66" s="108"/>
      <c r="X66" s="108"/>
      <c r="Y66" s="108"/>
      <c r="Z66" s="108"/>
      <c r="AA66" s="108"/>
    </row>
    <row r="67" spans="1:27">
      <c r="A67" s="108"/>
      <c r="B67" s="155"/>
      <c r="C67" s="167" t="s">
        <v>597</v>
      </c>
      <c r="D67" s="164">
        <v>0.125</v>
      </c>
      <c r="E67" s="381">
        <v>68.02</v>
      </c>
      <c r="F67" s="382">
        <v>3</v>
      </c>
      <c r="G67" s="381">
        <v>0.6</v>
      </c>
      <c r="H67" s="381">
        <v>8.5</v>
      </c>
      <c r="I67" s="381">
        <v>0.38</v>
      </c>
      <c r="J67" s="386">
        <v>0.08</v>
      </c>
      <c r="K67" s="108"/>
      <c r="L67" s="108"/>
      <c r="M67" s="156"/>
      <c r="N67" s="156"/>
      <c r="O67" s="156"/>
      <c r="P67" s="156"/>
      <c r="Q67" s="156"/>
      <c r="R67" s="156"/>
      <c r="S67" s="156"/>
      <c r="T67" s="108"/>
      <c r="U67" s="108"/>
      <c r="V67" s="108"/>
      <c r="W67" s="108"/>
      <c r="X67" s="108"/>
      <c r="Y67" s="108"/>
      <c r="Z67" s="108"/>
      <c r="AA67" s="108"/>
    </row>
    <row r="68" spans="1:27">
      <c r="A68" s="108"/>
      <c r="B68" s="155"/>
      <c r="C68" s="167" t="s">
        <v>598</v>
      </c>
      <c r="D68" s="164">
        <v>0.11</v>
      </c>
      <c r="E68" s="381">
        <v>66.88</v>
      </c>
      <c r="F68" s="382">
        <v>3</v>
      </c>
      <c r="G68" s="381">
        <v>0.6</v>
      </c>
      <c r="H68" s="381">
        <v>7.36</v>
      </c>
      <c r="I68" s="381">
        <v>0.33</v>
      </c>
      <c r="J68" s="386">
        <v>7.0000000000000007E-2</v>
      </c>
      <c r="K68" s="108"/>
      <c r="L68" s="108"/>
      <c r="M68" s="156"/>
      <c r="N68" s="156"/>
      <c r="O68" s="156"/>
      <c r="P68" s="156"/>
      <c r="Q68" s="156"/>
      <c r="R68" s="156"/>
      <c r="S68" s="156"/>
      <c r="T68" s="108"/>
      <c r="U68" s="108"/>
      <c r="V68" s="108"/>
      <c r="W68" s="108"/>
      <c r="X68" s="108"/>
      <c r="Y68" s="108"/>
      <c r="Z68" s="108"/>
      <c r="AA68" s="108"/>
    </row>
    <row r="69" spans="1:27">
      <c r="A69" s="108"/>
      <c r="B69" s="155"/>
      <c r="C69" s="167" t="s">
        <v>599</v>
      </c>
      <c r="D69" s="164">
        <v>0.13900000000000001</v>
      </c>
      <c r="E69" s="381">
        <v>76.22</v>
      </c>
      <c r="F69" s="382">
        <v>3</v>
      </c>
      <c r="G69" s="381">
        <v>0.6</v>
      </c>
      <c r="H69" s="381">
        <v>10.59</v>
      </c>
      <c r="I69" s="381">
        <v>0.42</v>
      </c>
      <c r="J69" s="386">
        <v>0.08</v>
      </c>
      <c r="K69" s="108"/>
      <c r="L69" s="108"/>
      <c r="M69" s="156"/>
      <c r="N69" s="156"/>
      <c r="O69" s="156"/>
      <c r="P69" s="156"/>
      <c r="Q69" s="156"/>
      <c r="R69" s="156"/>
      <c r="S69" s="156"/>
      <c r="T69" s="108"/>
      <c r="U69" s="108"/>
      <c r="V69" s="108"/>
      <c r="W69" s="108"/>
      <c r="X69" s="108"/>
      <c r="Y69" s="108"/>
      <c r="Z69" s="108"/>
      <c r="AA69" s="108"/>
    </row>
    <row r="70" spans="1:27">
      <c r="A70" s="108"/>
      <c r="B70" s="155"/>
      <c r="C70" s="167" t="s">
        <v>600</v>
      </c>
      <c r="D70" s="164">
        <v>0.11</v>
      </c>
      <c r="E70" s="381">
        <v>70.02</v>
      </c>
      <c r="F70" s="382">
        <v>3</v>
      </c>
      <c r="G70" s="381">
        <v>0.6</v>
      </c>
      <c r="H70" s="381">
        <v>7.7</v>
      </c>
      <c r="I70" s="381">
        <v>0.33</v>
      </c>
      <c r="J70" s="386">
        <v>7.0000000000000007E-2</v>
      </c>
      <c r="K70" s="108"/>
      <c r="L70" s="108"/>
      <c r="M70" s="156"/>
      <c r="N70" s="156"/>
      <c r="O70" s="156"/>
      <c r="P70" s="156"/>
      <c r="Q70" s="156"/>
      <c r="R70" s="156"/>
      <c r="S70" s="156"/>
      <c r="T70" s="108"/>
      <c r="U70" s="108"/>
      <c r="V70" s="108"/>
      <c r="W70" s="108"/>
      <c r="X70" s="108"/>
      <c r="Y70" s="108"/>
      <c r="Z70" s="108"/>
      <c r="AA70" s="108"/>
    </row>
    <row r="71" spans="1:27">
      <c r="A71" s="108"/>
      <c r="B71" s="155"/>
      <c r="C71" s="167" t="s">
        <v>447</v>
      </c>
      <c r="D71" s="164">
        <v>0.125</v>
      </c>
      <c r="E71" s="381">
        <v>71.02</v>
      </c>
      <c r="F71" s="382">
        <v>3</v>
      </c>
      <c r="G71" s="381">
        <v>0.6</v>
      </c>
      <c r="H71" s="381">
        <v>8.8800000000000008</v>
      </c>
      <c r="I71" s="381">
        <v>0.38</v>
      </c>
      <c r="J71" s="386">
        <v>0.08</v>
      </c>
      <c r="K71" s="108"/>
      <c r="L71" s="108"/>
      <c r="M71" s="156"/>
      <c r="N71" s="156"/>
      <c r="O71" s="156"/>
      <c r="P71" s="156"/>
      <c r="Q71" s="156"/>
      <c r="R71" s="156"/>
      <c r="S71" s="156"/>
      <c r="T71" s="108"/>
      <c r="U71" s="108"/>
      <c r="V71" s="108"/>
      <c r="W71" s="108"/>
      <c r="X71" s="108"/>
      <c r="Y71" s="108"/>
      <c r="Z71" s="108"/>
      <c r="AA71" s="108"/>
    </row>
    <row r="72" spans="1:27">
      <c r="A72" s="108"/>
      <c r="B72" s="155"/>
      <c r="C72" s="167" t="s">
        <v>601</v>
      </c>
      <c r="D72" s="164">
        <v>9.0999999999999998E-2</v>
      </c>
      <c r="E72" s="381">
        <v>62.87</v>
      </c>
      <c r="F72" s="382">
        <v>3</v>
      </c>
      <c r="G72" s="381">
        <v>0.6</v>
      </c>
      <c r="H72" s="381">
        <v>5.72</v>
      </c>
      <c r="I72" s="381">
        <v>0.27</v>
      </c>
      <c r="J72" s="386">
        <v>0.05</v>
      </c>
      <c r="K72" s="388"/>
      <c r="L72" s="108"/>
      <c r="M72" s="156"/>
      <c r="N72" s="156"/>
      <c r="O72" s="156"/>
      <c r="P72" s="156"/>
      <c r="Q72" s="156"/>
      <c r="R72" s="156"/>
      <c r="S72" s="156"/>
      <c r="T72" s="108"/>
      <c r="U72" s="108"/>
      <c r="V72" s="108"/>
      <c r="W72" s="108"/>
      <c r="X72" s="108"/>
      <c r="Y72" s="108"/>
      <c r="Z72" s="108"/>
      <c r="AA72" s="108"/>
    </row>
    <row r="73" spans="1:27">
      <c r="A73" s="108"/>
      <c r="B73" s="155"/>
      <c r="C73" s="167" t="s">
        <v>602</v>
      </c>
      <c r="D73" s="164">
        <v>9.0999999999999998E-2</v>
      </c>
      <c r="E73" s="381">
        <v>67.77</v>
      </c>
      <c r="F73" s="382">
        <v>3</v>
      </c>
      <c r="G73" s="381">
        <v>0.6</v>
      </c>
      <c r="H73" s="381">
        <v>6.17</v>
      </c>
      <c r="I73" s="381">
        <v>0.27</v>
      </c>
      <c r="J73" s="386">
        <v>0.05</v>
      </c>
      <c r="K73" s="108"/>
      <c r="L73" s="108"/>
      <c r="M73" s="156"/>
      <c r="N73" s="156"/>
      <c r="O73" s="156"/>
      <c r="P73" s="156"/>
      <c r="Q73" s="156"/>
      <c r="R73" s="156"/>
      <c r="S73" s="156"/>
      <c r="T73" s="108"/>
      <c r="U73" s="108"/>
      <c r="V73" s="108"/>
      <c r="W73" s="108"/>
      <c r="X73" s="108"/>
      <c r="Y73" s="108"/>
      <c r="Z73" s="108"/>
      <c r="AA73" s="108"/>
    </row>
    <row r="74" spans="1:27">
      <c r="A74" s="108"/>
      <c r="B74" s="155"/>
      <c r="C74" s="167" t="s">
        <v>603</v>
      </c>
      <c r="D74" s="164">
        <v>0.14000000000000001</v>
      </c>
      <c r="E74" s="381">
        <v>72.930000000000007</v>
      </c>
      <c r="F74" s="382">
        <v>3</v>
      </c>
      <c r="G74" s="381">
        <v>0.6</v>
      </c>
      <c r="H74" s="381">
        <v>10.210000000000001</v>
      </c>
      <c r="I74" s="381">
        <v>0.42</v>
      </c>
      <c r="J74" s="386">
        <v>0.08</v>
      </c>
      <c r="K74" s="108"/>
      <c r="L74" s="108"/>
      <c r="M74" s="156"/>
      <c r="N74" s="156"/>
      <c r="O74" s="156"/>
      <c r="P74" s="156"/>
      <c r="Q74" s="156"/>
      <c r="R74" s="156"/>
      <c r="S74" s="156"/>
      <c r="T74" s="108"/>
      <c r="U74" s="108"/>
      <c r="V74" s="108"/>
      <c r="W74" s="108"/>
      <c r="X74" s="108"/>
      <c r="Y74" s="108"/>
      <c r="Z74" s="108"/>
      <c r="AA74" s="108"/>
    </row>
    <row r="75" spans="1:27">
      <c r="A75" s="108"/>
      <c r="B75" s="155"/>
      <c r="C75" s="167" t="s">
        <v>604</v>
      </c>
      <c r="D75" s="164">
        <v>0.15</v>
      </c>
      <c r="E75" s="381">
        <v>75.099999999999994</v>
      </c>
      <c r="F75" s="382">
        <v>3</v>
      </c>
      <c r="G75" s="381">
        <v>0.6</v>
      </c>
      <c r="H75" s="381">
        <v>11.27</v>
      </c>
      <c r="I75" s="381">
        <v>0.45</v>
      </c>
      <c r="J75" s="386">
        <v>0.09</v>
      </c>
      <c r="K75" s="108"/>
      <c r="L75" s="108"/>
      <c r="M75" s="156"/>
      <c r="N75" s="156"/>
      <c r="O75" s="156"/>
      <c r="P75" s="156"/>
      <c r="Q75" s="156"/>
      <c r="R75" s="156"/>
      <c r="S75" s="156"/>
      <c r="T75" s="108"/>
      <c r="U75" s="108"/>
      <c r="V75" s="108"/>
      <c r="W75" s="108"/>
      <c r="X75" s="108"/>
      <c r="Y75" s="108"/>
      <c r="Z75" s="108"/>
      <c r="AA75" s="108"/>
    </row>
    <row r="76" spans="1:27">
      <c r="A76" s="108"/>
      <c r="B76" s="155"/>
      <c r="C76" s="167" t="s">
        <v>605</v>
      </c>
      <c r="D76" s="164">
        <v>0.125</v>
      </c>
      <c r="E76" s="381">
        <v>72.34</v>
      </c>
      <c r="F76" s="382">
        <v>3</v>
      </c>
      <c r="G76" s="381">
        <v>0.6</v>
      </c>
      <c r="H76" s="381">
        <v>9.0399999999999991</v>
      </c>
      <c r="I76" s="381">
        <v>0.38</v>
      </c>
      <c r="J76" s="386">
        <v>0.08</v>
      </c>
      <c r="K76" s="108"/>
      <c r="L76" s="108"/>
      <c r="M76" s="156"/>
      <c r="N76" s="156"/>
      <c r="O76" s="156"/>
      <c r="P76" s="156"/>
      <c r="Q76" s="156"/>
      <c r="R76" s="156"/>
      <c r="S76" s="156"/>
      <c r="T76" s="108"/>
      <c r="U76" s="108"/>
      <c r="V76" s="108"/>
      <c r="W76" s="108"/>
      <c r="X76" s="108"/>
      <c r="Y76" s="108"/>
      <c r="Z76" s="108"/>
      <c r="AA76" s="108"/>
    </row>
    <row r="77" spans="1:27">
      <c r="A77" s="108"/>
      <c r="B77" s="155"/>
      <c r="C77" s="167" t="s">
        <v>606</v>
      </c>
      <c r="D77" s="164">
        <v>0.13900000000000001</v>
      </c>
      <c r="E77" s="381">
        <v>74.540000000000006</v>
      </c>
      <c r="F77" s="382">
        <v>3</v>
      </c>
      <c r="G77" s="381">
        <v>0.6</v>
      </c>
      <c r="H77" s="381">
        <v>10.36</v>
      </c>
      <c r="I77" s="381">
        <v>0.42</v>
      </c>
      <c r="J77" s="386">
        <v>0.08</v>
      </c>
      <c r="K77" s="108"/>
      <c r="L77" s="108"/>
      <c r="M77" s="156"/>
      <c r="N77" s="156"/>
      <c r="O77" s="156"/>
      <c r="P77" s="156"/>
      <c r="Q77" s="156"/>
      <c r="R77" s="156"/>
      <c r="S77" s="156"/>
      <c r="T77" s="108"/>
      <c r="U77" s="108"/>
      <c r="V77" s="108"/>
      <c r="W77" s="108"/>
      <c r="X77" s="108"/>
      <c r="Y77" s="108"/>
      <c r="Z77" s="108"/>
      <c r="AA77" s="108"/>
    </row>
    <row r="78" spans="1:27">
      <c r="A78" s="108"/>
      <c r="B78" s="155"/>
      <c r="C78" s="167" t="s">
        <v>607</v>
      </c>
      <c r="D78" s="164">
        <v>0.13800000000000001</v>
      </c>
      <c r="E78" s="381">
        <v>74</v>
      </c>
      <c r="F78" s="382">
        <v>3</v>
      </c>
      <c r="G78" s="381">
        <v>0.6</v>
      </c>
      <c r="H78" s="381">
        <v>10.210000000000001</v>
      </c>
      <c r="I78" s="381">
        <v>0.41</v>
      </c>
      <c r="J78" s="386">
        <v>0.08</v>
      </c>
      <c r="K78" s="108"/>
      <c r="L78" s="108"/>
      <c r="M78" s="156"/>
      <c r="N78" s="156"/>
      <c r="O78" s="156"/>
      <c r="P78" s="156"/>
      <c r="Q78" s="156"/>
      <c r="R78" s="156"/>
      <c r="S78" s="156"/>
      <c r="T78" s="108"/>
      <c r="U78" s="108"/>
      <c r="V78" s="108"/>
      <c r="W78" s="108"/>
      <c r="X78" s="108"/>
      <c r="Y78" s="108"/>
      <c r="Z78" s="108"/>
      <c r="AA78" s="108"/>
    </row>
    <row r="79" spans="1:27" s="103" customFormat="1">
      <c r="A79" s="104"/>
      <c r="B79" s="107"/>
      <c r="C79" s="387" t="s">
        <v>608</v>
      </c>
      <c r="D79" s="383"/>
      <c r="E79" s="384"/>
      <c r="F79" s="383"/>
      <c r="G79" s="383"/>
      <c r="H79" s="380"/>
      <c r="I79" s="380"/>
      <c r="J79" s="379"/>
      <c r="K79" s="108"/>
      <c r="L79" s="108"/>
      <c r="M79" s="156"/>
      <c r="N79" s="156"/>
      <c r="O79" s="156"/>
      <c r="P79" s="156"/>
      <c r="Q79" s="156"/>
      <c r="R79" s="156"/>
      <c r="S79" s="156"/>
      <c r="T79" s="104"/>
      <c r="U79" s="104"/>
      <c r="V79" s="104"/>
      <c r="W79" s="104"/>
      <c r="X79" s="104"/>
      <c r="Y79" s="104"/>
      <c r="Z79" s="104"/>
      <c r="AA79" s="104"/>
    </row>
    <row r="80" spans="1:27">
      <c r="A80" s="108"/>
      <c r="B80" s="155"/>
      <c r="C80" s="167" t="s">
        <v>609</v>
      </c>
      <c r="D80" s="164">
        <v>0.128</v>
      </c>
      <c r="E80" s="381">
        <v>73.84</v>
      </c>
      <c r="F80" s="382">
        <v>1.1000000000000001</v>
      </c>
      <c r="G80" s="381">
        <v>0.11</v>
      </c>
      <c r="H80" s="381">
        <v>9.4499999999999993</v>
      </c>
      <c r="I80" s="381">
        <v>0.14000000000000001</v>
      </c>
      <c r="J80" s="386">
        <v>0.01</v>
      </c>
      <c r="K80" s="108"/>
      <c r="L80" s="108"/>
      <c r="M80" s="156"/>
      <c r="N80" s="156"/>
      <c r="O80" s="156"/>
      <c r="P80" s="156"/>
      <c r="Q80" s="156"/>
      <c r="R80" s="156"/>
      <c r="S80" s="156"/>
      <c r="T80" s="108"/>
      <c r="U80" s="108"/>
      <c r="V80" s="108"/>
      <c r="W80" s="108"/>
      <c r="X80" s="108"/>
      <c r="Y80" s="108"/>
      <c r="Z80" s="108"/>
      <c r="AA80" s="108"/>
    </row>
    <row r="81" spans="1:27">
      <c r="A81" s="108"/>
      <c r="B81" s="155"/>
      <c r="C81" s="167" t="s">
        <v>610</v>
      </c>
      <c r="D81" s="164">
        <v>8.4000000000000005E-2</v>
      </c>
      <c r="E81" s="381">
        <v>68.44</v>
      </c>
      <c r="F81" s="382">
        <v>1.1000000000000001</v>
      </c>
      <c r="G81" s="381">
        <v>0.11</v>
      </c>
      <c r="H81" s="381">
        <v>5.75</v>
      </c>
      <c r="I81" s="381">
        <v>0.09</v>
      </c>
      <c r="J81" s="386">
        <v>0.01</v>
      </c>
      <c r="K81" s="108"/>
      <c r="L81" s="108"/>
      <c r="M81" s="156"/>
      <c r="N81" s="156"/>
      <c r="O81" s="156"/>
      <c r="P81" s="156"/>
      <c r="Q81" s="156"/>
      <c r="R81" s="156"/>
      <c r="S81" s="156"/>
      <c r="T81" s="108"/>
      <c r="U81" s="108"/>
      <c r="V81" s="108"/>
      <c r="W81" s="108"/>
      <c r="X81" s="108"/>
      <c r="Y81" s="108"/>
      <c r="Z81" s="108"/>
      <c r="AA81" s="108"/>
    </row>
    <row r="82" spans="1:27">
      <c r="A82" s="108"/>
      <c r="B82" s="155"/>
      <c r="C82" s="167" t="s">
        <v>611</v>
      </c>
      <c r="D82" s="164">
        <v>0.125</v>
      </c>
      <c r="E82" s="381">
        <v>71.06</v>
      </c>
      <c r="F82" s="382">
        <v>1.1000000000000001</v>
      </c>
      <c r="G82" s="381">
        <v>0.11</v>
      </c>
      <c r="H82" s="381">
        <v>8.8800000000000008</v>
      </c>
      <c r="I82" s="381">
        <v>0.14000000000000001</v>
      </c>
      <c r="J82" s="386">
        <v>0.01</v>
      </c>
      <c r="K82" s="108"/>
      <c r="L82" s="108"/>
      <c r="M82" s="156"/>
      <c r="N82" s="156"/>
      <c r="O82" s="156"/>
      <c r="P82" s="156"/>
      <c r="Q82" s="156"/>
      <c r="R82" s="156"/>
      <c r="S82" s="156"/>
      <c r="T82" s="108"/>
      <c r="U82" s="108"/>
      <c r="V82" s="108"/>
      <c r="W82" s="108"/>
      <c r="X82" s="108"/>
      <c r="Y82" s="108"/>
      <c r="Z82" s="108"/>
      <c r="AA82" s="108"/>
    </row>
    <row r="83" spans="1:27">
      <c r="A83" s="108"/>
      <c r="B83" s="155"/>
      <c r="C83" s="167" t="s">
        <v>612</v>
      </c>
      <c r="D83" s="164">
        <v>0.12</v>
      </c>
      <c r="E83" s="381">
        <v>81.55</v>
      </c>
      <c r="F83" s="382">
        <v>1.1000000000000001</v>
      </c>
      <c r="G83" s="381">
        <v>0.11</v>
      </c>
      <c r="H83" s="381">
        <v>9.7899999999999991</v>
      </c>
      <c r="I83" s="381">
        <v>0.13</v>
      </c>
      <c r="J83" s="386">
        <v>0.01</v>
      </c>
      <c r="K83" s="108"/>
      <c r="L83" s="108"/>
      <c r="M83" s="156"/>
      <c r="N83" s="156"/>
      <c r="O83" s="156"/>
      <c r="P83" s="156"/>
      <c r="Q83" s="156"/>
      <c r="R83" s="156"/>
      <c r="S83" s="156"/>
      <c r="T83" s="108"/>
      <c r="U83" s="108"/>
      <c r="V83" s="108"/>
      <c r="W83" s="108"/>
      <c r="X83" s="108"/>
      <c r="Y83" s="108"/>
      <c r="Z83" s="108"/>
      <c r="AA83" s="108"/>
    </row>
    <row r="84" spans="1:27" s="103" customFormat="1" ht="42">
      <c r="A84" s="104"/>
      <c r="B84" s="107"/>
      <c r="C84" s="385" t="s">
        <v>613</v>
      </c>
      <c r="D84" s="383"/>
      <c r="E84" s="384"/>
      <c r="F84" s="383"/>
      <c r="G84" s="383"/>
      <c r="H84" s="380"/>
      <c r="I84" s="380"/>
      <c r="J84" s="379"/>
      <c r="K84" s="108"/>
      <c r="L84" s="108"/>
      <c r="M84" s="156"/>
      <c r="N84" s="156"/>
      <c r="O84" s="156"/>
      <c r="P84" s="156"/>
      <c r="Q84" s="156"/>
      <c r="R84" s="156"/>
      <c r="S84" s="156"/>
      <c r="T84" s="104"/>
      <c r="U84" s="104"/>
      <c r="V84" s="104"/>
      <c r="W84" s="104"/>
      <c r="X84" s="104"/>
      <c r="Y84" s="104"/>
      <c r="Z84" s="104"/>
      <c r="AA84" s="104"/>
    </row>
    <row r="85" spans="1:27">
      <c r="A85" s="108"/>
      <c r="B85" s="155"/>
      <c r="C85" s="167" t="s">
        <v>614</v>
      </c>
      <c r="D85" s="380"/>
      <c r="E85" s="382">
        <v>94.4</v>
      </c>
      <c r="F85" s="382">
        <v>1.9</v>
      </c>
      <c r="G85" s="381">
        <v>0.42</v>
      </c>
      <c r="H85" s="380"/>
      <c r="I85" s="380"/>
      <c r="J85" s="379"/>
      <c r="K85" s="108"/>
      <c r="L85" s="108"/>
      <c r="M85" s="156"/>
      <c r="N85" s="156"/>
      <c r="O85" s="156"/>
      <c r="P85" s="156"/>
      <c r="Q85" s="156"/>
      <c r="R85" s="156"/>
      <c r="S85" s="156"/>
      <c r="T85" s="108"/>
      <c r="U85" s="108"/>
      <c r="V85" s="108"/>
      <c r="W85" s="108"/>
      <c r="X85" s="108"/>
      <c r="Y85" s="108"/>
      <c r="Z85" s="108"/>
      <c r="AA85" s="108"/>
    </row>
    <row r="86" spans="1:27">
      <c r="A86" s="108"/>
      <c r="B86" s="155"/>
      <c r="C86" s="167" t="s">
        <v>615</v>
      </c>
      <c r="D86" s="380"/>
      <c r="E86" s="382">
        <v>93.7</v>
      </c>
      <c r="F86" s="382">
        <v>1.9</v>
      </c>
      <c r="G86" s="381">
        <v>0.42</v>
      </c>
      <c r="H86" s="380"/>
      <c r="I86" s="380"/>
      <c r="J86" s="379"/>
      <c r="K86" s="108"/>
      <c r="L86" s="108"/>
      <c r="M86" s="156"/>
      <c r="N86" s="156"/>
      <c r="O86" s="156"/>
      <c r="P86" s="156"/>
      <c r="Q86" s="156"/>
      <c r="R86" s="156"/>
      <c r="S86" s="156"/>
      <c r="T86" s="108"/>
      <c r="U86" s="108"/>
      <c r="V86" s="108"/>
      <c r="W86" s="108"/>
      <c r="X86" s="108"/>
      <c r="Y86" s="108"/>
      <c r="Z86" s="108"/>
      <c r="AA86" s="108"/>
    </row>
    <row r="87" spans="1:27">
      <c r="A87" s="108"/>
      <c r="B87" s="155"/>
      <c r="C87" s="167" t="s">
        <v>616</v>
      </c>
      <c r="D87" s="380"/>
      <c r="E87" s="382">
        <v>95.5</v>
      </c>
      <c r="F87" s="382">
        <v>1.9</v>
      </c>
      <c r="G87" s="381">
        <v>0.42</v>
      </c>
      <c r="H87" s="380"/>
      <c r="I87" s="380"/>
      <c r="J87" s="379"/>
      <c r="K87" s="108"/>
      <c r="L87" s="108"/>
      <c r="M87" s="156"/>
      <c r="N87" s="156"/>
      <c r="O87" s="156"/>
      <c r="P87" s="156"/>
      <c r="Q87" s="156"/>
      <c r="R87" s="156"/>
      <c r="S87" s="156"/>
      <c r="T87" s="108"/>
      <c r="U87" s="108"/>
      <c r="V87" s="108"/>
      <c r="W87" s="108"/>
      <c r="X87" s="108"/>
      <c r="Y87" s="108"/>
      <c r="Z87" s="108"/>
      <c r="AA87" s="108"/>
    </row>
    <row r="88" spans="1:27">
      <c r="A88" s="108"/>
      <c r="B88" s="155"/>
      <c r="C88" s="167" t="s">
        <v>617</v>
      </c>
      <c r="D88" s="380"/>
      <c r="E88" s="382">
        <v>93.7</v>
      </c>
      <c r="F88" s="382">
        <v>1.9</v>
      </c>
      <c r="G88" s="381">
        <v>0.42</v>
      </c>
      <c r="H88" s="380"/>
      <c r="I88" s="380"/>
      <c r="J88" s="379"/>
      <c r="K88" s="108"/>
      <c r="L88" s="108"/>
      <c r="M88" s="156"/>
      <c r="N88" s="156"/>
      <c r="O88" s="156"/>
      <c r="P88" s="156"/>
      <c r="Q88" s="156"/>
      <c r="R88" s="156"/>
      <c r="S88" s="156"/>
      <c r="T88" s="108"/>
      <c r="U88" s="108"/>
      <c r="V88" s="108"/>
      <c r="W88" s="108"/>
      <c r="X88" s="108"/>
      <c r="Y88" s="108"/>
      <c r="Z88" s="108"/>
      <c r="AA88" s="108"/>
    </row>
    <row r="89" spans="1:27" ht="14" thickBot="1">
      <c r="A89" s="108"/>
      <c r="B89" s="155"/>
      <c r="C89" s="161" t="s">
        <v>618</v>
      </c>
      <c r="D89" s="376"/>
      <c r="E89" s="378">
        <v>95.1</v>
      </c>
      <c r="F89" s="378">
        <v>1.9</v>
      </c>
      <c r="G89" s="377">
        <v>0.42</v>
      </c>
      <c r="H89" s="376"/>
      <c r="I89" s="376"/>
      <c r="J89" s="375"/>
      <c r="K89" s="108"/>
      <c r="L89" s="108"/>
      <c r="M89" s="156"/>
      <c r="N89" s="156"/>
      <c r="O89" s="156"/>
      <c r="P89" s="156"/>
      <c r="Q89" s="156"/>
      <c r="R89" s="156"/>
      <c r="S89" s="156"/>
      <c r="T89" s="108"/>
      <c r="U89" s="108"/>
      <c r="V89" s="108"/>
      <c r="W89" s="108"/>
      <c r="X89" s="108"/>
      <c r="Y89" s="108"/>
      <c r="Z89" s="108"/>
      <c r="AA89" s="108"/>
    </row>
    <row r="90" spans="1:27" s="103" customFormat="1">
      <c r="A90" s="104"/>
      <c r="B90" s="107"/>
      <c r="C90" s="240" t="s">
        <v>619</v>
      </c>
      <c r="D90" s="104"/>
      <c r="E90" s="238"/>
      <c r="F90" s="238"/>
      <c r="G90" s="238"/>
      <c r="H90" s="104"/>
      <c r="I90" s="104"/>
      <c r="J90" s="104"/>
      <c r="K90" s="104"/>
      <c r="L90" s="104"/>
      <c r="M90" s="156"/>
      <c r="N90" s="156"/>
      <c r="O90" s="156"/>
      <c r="P90" s="156"/>
      <c r="Q90" s="156"/>
      <c r="R90" s="156"/>
      <c r="S90" s="156"/>
      <c r="T90" s="104"/>
      <c r="U90" s="104"/>
      <c r="V90" s="104"/>
      <c r="W90" s="104"/>
      <c r="X90" s="104"/>
      <c r="Y90" s="104"/>
      <c r="Z90" s="104"/>
      <c r="AA90" s="104"/>
    </row>
    <row r="91" spans="1:27">
      <c r="A91" s="108"/>
      <c r="B91" s="151"/>
      <c r="C91" s="2138" t="s">
        <v>620</v>
      </c>
      <c r="D91" s="2138"/>
      <c r="E91" s="2138"/>
      <c r="F91" s="2138"/>
      <c r="G91" s="2138"/>
      <c r="H91" s="2138"/>
      <c r="I91" s="2138"/>
      <c r="J91" s="2138"/>
      <c r="K91" s="2138"/>
      <c r="L91" s="108"/>
      <c r="M91" s="105"/>
      <c r="N91" s="108"/>
      <c r="O91" s="108"/>
      <c r="P91" s="108"/>
      <c r="Q91" s="108"/>
      <c r="R91" s="108"/>
      <c r="S91" s="108"/>
      <c r="T91" s="108"/>
      <c r="U91" s="108"/>
      <c r="V91" s="108"/>
      <c r="W91" s="108"/>
      <c r="X91" s="108"/>
      <c r="Y91" s="108"/>
      <c r="Z91" s="108"/>
      <c r="AA91" s="108"/>
    </row>
    <row r="92" spans="1:27">
      <c r="A92" s="108"/>
      <c r="B92" s="151"/>
      <c r="C92" s="350" t="s">
        <v>621</v>
      </c>
      <c r="D92" s="108"/>
      <c r="E92" s="108"/>
      <c r="F92" s="108"/>
      <c r="G92" s="108"/>
      <c r="H92" s="108"/>
      <c r="I92" s="108"/>
      <c r="J92" s="108"/>
      <c r="K92" s="130"/>
      <c r="L92" s="108"/>
      <c r="M92" s="105"/>
      <c r="N92" s="374"/>
      <c r="O92" s="253"/>
      <c r="P92" s="253"/>
      <c r="Q92" s="374"/>
      <c r="R92" s="108"/>
      <c r="S92" s="373"/>
      <c r="T92" s="108"/>
      <c r="U92" s="108"/>
      <c r="V92" s="108"/>
      <c r="W92" s="108"/>
      <c r="X92" s="108"/>
      <c r="Y92" s="108"/>
      <c r="Z92" s="108"/>
      <c r="AA92" s="108"/>
    </row>
    <row r="93" spans="1:27">
      <c r="A93" s="108"/>
      <c r="B93" s="151"/>
      <c r="C93" s="2138" t="s">
        <v>622</v>
      </c>
      <c r="D93" s="2138"/>
      <c r="E93" s="2138"/>
      <c r="F93" s="2138"/>
      <c r="G93" s="2138"/>
      <c r="H93" s="2138"/>
      <c r="I93" s="2138"/>
      <c r="J93" s="2138"/>
      <c r="K93" s="2138"/>
      <c r="L93" s="108"/>
      <c r="M93" s="105"/>
      <c r="N93" s="374"/>
      <c r="O93" s="253"/>
      <c r="P93" s="253"/>
      <c r="Q93" s="374"/>
      <c r="R93" s="108"/>
      <c r="S93" s="373"/>
      <c r="T93" s="108"/>
      <c r="U93" s="108"/>
      <c r="V93" s="108"/>
      <c r="W93" s="108"/>
      <c r="X93" s="108"/>
      <c r="Y93" s="108"/>
      <c r="Z93" s="108"/>
      <c r="AA93" s="108"/>
    </row>
    <row r="94" spans="1:27">
      <c r="A94" s="108"/>
      <c r="B94" s="151"/>
      <c r="C94" s="154" t="s">
        <v>623</v>
      </c>
      <c r="D94" s="308"/>
      <c r="E94" s="308"/>
      <c r="F94" s="308"/>
      <c r="G94" s="308"/>
      <c r="H94" s="308"/>
      <c r="I94" s="308"/>
      <c r="J94" s="308"/>
      <c r="K94" s="308"/>
      <c r="L94" s="108"/>
      <c r="M94" s="105"/>
      <c r="N94" s="374"/>
      <c r="O94" s="253"/>
      <c r="P94" s="253"/>
      <c r="Q94" s="374"/>
      <c r="R94" s="108"/>
      <c r="S94" s="373"/>
      <c r="T94" s="108"/>
      <c r="U94" s="108"/>
      <c r="V94" s="108"/>
      <c r="W94" s="108"/>
      <c r="X94" s="108"/>
      <c r="Y94" s="108"/>
      <c r="Z94" s="108"/>
      <c r="AA94" s="108"/>
    </row>
    <row r="95" spans="1:27">
      <c r="A95" s="108"/>
      <c r="B95" s="151"/>
      <c r="C95" s="154" t="s">
        <v>624</v>
      </c>
      <c r="D95" s="308"/>
      <c r="E95" s="308"/>
      <c r="F95" s="308"/>
      <c r="G95" s="308"/>
      <c r="H95" s="308"/>
      <c r="I95" s="308"/>
      <c r="J95" s="308"/>
      <c r="K95" s="308"/>
      <c r="L95" s="108"/>
      <c r="M95" s="105"/>
      <c r="N95" s="374"/>
      <c r="O95" s="253"/>
      <c r="P95" s="253"/>
      <c r="Q95" s="374"/>
      <c r="R95" s="108"/>
      <c r="S95" s="373"/>
      <c r="T95" s="108"/>
      <c r="U95" s="108"/>
      <c r="V95" s="108"/>
      <c r="W95" s="108"/>
      <c r="X95" s="108"/>
      <c r="Y95" s="108"/>
      <c r="Z95" s="108"/>
      <c r="AA95" s="108"/>
    </row>
    <row r="96" spans="1:27">
      <c r="A96" s="108"/>
      <c r="B96" s="151"/>
      <c r="C96" s="152"/>
      <c r="D96" s="152"/>
      <c r="E96" s="152"/>
      <c r="F96" s="152"/>
      <c r="G96" s="152"/>
      <c r="H96" s="152"/>
      <c r="I96" s="152"/>
      <c r="J96" s="152"/>
      <c r="K96" s="152"/>
      <c r="L96" s="152"/>
      <c r="M96" s="108"/>
      <c r="N96" s="108"/>
      <c r="O96" s="108"/>
      <c r="P96" s="108"/>
      <c r="Q96" s="108"/>
      <c r="R96" s="108"/>
      <c r="S96" s="108"/>
      <c r="T96" s="108"/>
      <c r="U96" s="108"/>
      <c r="V96" s="108"/>
      <c r="W96" s="108"/>
      <c r="X96" s="108"/>
      <c r="Y96" s="108"/>
      <c r="Z96" s="108"/>
      <c r="AA96" s="108"/>
    </row>
    <row r="97" spans="1:27" s="103" customFormat="1" ht="18">
      <c r="A97" s="104"/>
      <c r="B97" s="288" t="s">
        <v>625</v>
      </c>
      <c r="C97" s="287" t="s">
        <v>626</v>
      </c>
      <c r="D97" s="286"/>
      <c r="E97" s="286"/>
      <c r="F97" s="286"/>
      <c r="G97" s="285"/>
      <c r="H97" s="285"/>
      <c r="I97" s="285"/>
      <c r="J97" s="285"/>
      <c r="K97" s="285"/>
      <c r="L97" s="372"/>
      <c r="M97" s="104"/>
      <c r="N97" s="104"/>
      <c r="O97" s="104"/>
      <c r="P97" s="104"/>
      <c r="Q97" s="104"/>
      <c r="R97" s="104"/>
      <c r="S97" s="104"/>
      <c r="T97" s="104"/>
      <c r="U97" s="104"/>
      <c r="V97" s="104"/>
      <c r="W97" s="104"/>
      <c r="X97" s="104"/>
      <c r="Y97" s="104"/>
      <c r="Z97" s="104"/>
      <c r="AA97" s="104"/>
    </row>
    <row r="98" spans="1:27" ht="14" thickBot="1">
      <c r="A98" s="108"/>
      <c r="B98" s="151"/>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row>
    <row r="99" spans="1:27" s="368" customFormat="1" ht="17" thickBot="1">
      <c r="A99" s="107"/>
      <c r="B99" s="107"/>
      <c r="C99" s="371" t="s">
        <v>530</v>
      </c>
      <c r="D99" s="370" t="s">
        <v>627</v>
      </c>
      <c r="E99" s="369" t="s">
        <v>41</v>
      </c>
      <c r="F99" s="130"/>
      <c r="G99" s="241"/>
      <c r="H99" s="353"/>
      <c r="I99" s="352"/>
      <c r="J99" s="352"/>
      <c r="K99" s="107"/>
      <c r="L99" s="107"/>
      <c r="M99" s="108"/>
      <c r="N99" s="108"/>
      <c r="O99" s="108"/>
      <c r="P99" s="108"/>
      <c r="Q99" s="108"/>
      <c r="R99" s="108"/>
      <c r="S99" s="108"/>
      <c r="T99" s="108"/>
      <c r="U99" s="107"/>
      <c r="V99" s="107"/>
      <c r="W99" s="107"/>
      <c r="X99" s="107"/>
      <c r="Y99" s="107"/>
      <c r="Z99" s="107"/>
      <c r="AA99" s="107"/>
    </row>
    <row r="100" spans="1:27">
      <c r="A100" s="108"/>
      <c r="B100" s="151"/>
      <c r="C100" s="367" t="s">
        <v>580</v>
      </c>
      <c r="D100" s="366">
        <v>8.31</v>
      </c>
      <c r="E100" s="365" t="s">
        <v>628</v>
      </c>
      <c r="F100" s="284"/>
      <c r="G100" s="353"/>
      <c r="H100" s="353"/>
      <c r="I100" s="352"/>
      <c r="J100" s="152"/>
      <c r="K100" s="108"/>
      <c r="L100" s="108"/>
      <c r="M100" s="156"/>
      <c r="N100" s="156"/>
      <c r="O100" s="108"/>
      <c r="P100" s="108"/>
      <c r="Q100" s="108"/>
      <c r="R100" s="108"/>
      <c r="S100" s="108"/>
      <c r="T100" s="108"/>
      <c r="U100" s="108"/>
      <c r="V100" s="108"/>
      <c r="W100" s="108"/>
      <c r="X100" s="108"/>
      <c r="Y100" s="108"/>
      <c r="Z100" s="108"/>
      <c r="AA100" s="108"/>
    </row>
    <row r="101" spans="1:27">
      <c r="A101" s="108"/>
      <c r="B101" s="151"/>
      <c r="C101" s="359" t="s">
        <v>609</v>
      </c>
      <c r="D101" s="358">
        <v>9.4499999999999993</v>
      </c>
      <c r="E101" s="362" t="s">
        <v>628</v>
      </c>
      <c r="F101" s="353"/>
      <c r="G101" s="353"/>
      <c r="H101" s="353"/>
      <c r="I101" s="352"/>
      <c r="J101" s="152"/>
      <c r="K101" s="108"/>
      <c r="L101" s="108"/>
      <c r="M101" s="156"/>
      <c r="N101" s="156"/>
      <c r="O101" s="108"/>
      <c r="P101" s="108"/>
      <c r="Q101" s="108"/>
      <c r="R101" s="108"/>
      <c r="S101" s="108"/>
      <c r="T101" s="108"/>
      <c r="U101" s="108"/>
      <c r="V101" s="108"/>
      <c r="W101" s="108"/>
      <c r="X101" s="108"/>
      <c r="Y101" s="108"/>
      <c r="Z101" s="108"/>
      <c r="AA101" s="108"/>
    </row>
    <row r="102" spans="1:27">
      <c r="A102" s="108"/>
      <c r="B102" s="151"/>
      <c r="C102" s="359" t="s">
        <v>629</v>
      </c>
      <c r="D102" s="364">
        <v>5.4440000000000002E-2</v>
      </c>
      <c r="E102" s="362" t="s">
        <v>630</v>
      </c>
      <c r="F102" s="353"/>
      <c r="G102" s="353"/>
      <c r="H102" s="353"/>
      <c r="I102" s="352"/>
      <c r="J102" s="152"/>
      <c r="K102" s="108"/>
      <c r="L102" s="108"/>
      <c r="M102" s="156"/>
      <c r="N102" s="156"/>
      <c r="O102" s="108"/>
      <c r="P102" s="108"/>
      <c r="Q102" s="108"/>
      <c r="R102" s="108"/>
      <c r="S102" s="108"/>
      <c r="T102" s="108"/>
      <c r="U102" s="108"/>
      <c r="V102" s="108"/>
      <c r="W102" s="108"/>
      <c r="X102" s="108"/>
      <c r="Y102" s="108"/>
      <c r="Z102" s="108"/>
      <c r="AA102" s="108"/>
    </row>
    <row r="103" spans="1:27">
      <c r="A103" s="108"/>
      <c r="B103" s="155"/>
      <c r="C103" s="359" t="s">
        <v>631</v>
      </c>
      <c r="D103" s="358">
        <v>10.210000000000001</v>
      </c>
      <c r="E103" s="357" t="s">
        <v>628</v>
      </c>
      <c r="F103" s="353"/>
      <c r="G103" s="353"/>
      <c r="H103" s="353"/>
      <c r="I103" s="352"/>
      <c r="J103" s="152"/>
      <c r="K103" s="108"/>
      <c r="L103" s="108"/>
      <c r="M103" s="156"/>
      <c r="N103" s="156"/>
      <c r="O103" s="108"/>
      <c r="P103" s="108"/>
      <c r="Q103" s="108"/>
      <c r="R103" s="108"/>
      <c r="S103" s="108"/>
      <c r="T103" s="108"/>
      <c r="U103" s="108"/>
      <c r="V103" s="108"/>
      <c r="W103" s="108"/>
      <c r="X103" s="108"/>
      <c r="Y103" s="108"/>
      <c r="Z103" s="108"/>
      <c r="AA103" s="108"/>
    </row>
    <row r="104" spans="1:27">
      <c r="A104" s="108"/>
      <c r="B104" s="151"/>
      <c r="C104" s="359" t="s">
        <v>610</v>
      </c>
      <c r="D104" s="358">
        <v>5.75</v>
      </c>
      <c r="E104" s="362" t="s">
        <v>628</v>
      </c>
      <c r="F104" s="353"/>
      <c r="G104" s="353"/>
      <c r="H104" s="353"/>
      <c r="I104" s="352"/>
      <c r="J104" s="152"/>
      <c r="K104" s="108"/>
      <c r="L104" s="108"/>
      <c r="M104" s="156"/>
      <c r="N104" s="156"/>
      <c r="O104" s="108"/>
      <c r="P104" s="108"/>
      <c r="Q104" s="108"/>
      <c r="R104" s="108"/>
      <c r="S104" s="108"/>
      <c r="T104" s="108"/>
      <c r="U104" s="108"/>
      <c r="V104" s="108"/>
      <c r="W104" s="108"/>
      <c r="X104" s="108"/>
      <c r="Y104" s="108"/>
      <c r="Z104" s="108"/>
      <c r="AA104" s="108"/>
    </row>
    <row r="105" spans="1:27">
      <c r="A105" s="108"/>
      <c r="B105" s="151"/>
      <c r="C105" s="359" t="s">
        <v>593</v>
      </c>
      <c r="D105" s="358">
        <v>9.75</v>
      </c>
      <c r="E105" s="357" t="s">
        <v>628</v>
      </c>
      <c r="F105" s="353"/>
      <c r="G105" s="353"/>
      <c r="H105" s="353"/>
      <c r="I105" s="352"/>
      <c r="J105" s="152"/>
      <c r="K105" s="108"/>
      <c r="L105" s="108"/>
      <c r="M105" s="156"/>
      <c r="N105" s="156"/>
      <c r="O105" s="108"/>
      <c r="P105" s="108"/>
      <c r="Q105" s="108"/>
      <c r="R105" s="108"/>
      <c r="S105" s="108"/>
      <c r="T105" s="108"/>
      <c r="U105" s="108"/>
      <c r="V105" s="108"/>
      <c r="W105" s="108"/>
      <c r="X105" s="108"/>
      <c r="Y105" s="108"/>
      <c r="Z105" s="108"/>
      <c r="AA105" s="108"/>
    </row>
    <row r="106" spans="1:27">
      <c r="A106" s="108"/>
      <c r="B106" s="151"/>
      <c r="C106" s="363" t="s">
        <v>632</v>
      </c>
      <c r="D106" s="358">
        <v>4.5</v>
      </c>
      <c r="E106" s="362" t="s">
        <v>628</v>
      </c>
      <c r="F106" s="108"/>
      <c r="G106" s="353"/>
      <c r="H106" s="353"/>
      <c r="I106" s="352"/>
      <c r="J106" s="152"/>
      <c r="K106" s="108"/>
      <c r="L106" s="108"/>
      <c r="M106" s="156"/>
      <c r="N106" s="156"/>
      <c r="O106" s="361"/>
      <c r="P106" s="105"/>
      <c r="Q106" s="108"/>
      <c r="R106" s="108"/>
      <c r="S106" s="108"/>
      <c r="T106" s="108"/>
      <c r="U106" s="108"/>
      <c r="V106" s="108"/>
      <c r="W106" s="108"/>
      <c r="X106" s="108"/>
      <c r="Y106" s="108"/>
      <c r="Z106" s="108"/>
      <c r="AA106" s="108"/>
    </row>
    <row r="107" spans="1:27">
      <c r="A107" s="108"/>
      <c r="B107" s="151"/>
      <c r="C107" s="359" t="s">
        <v>594</v>
      </c>
      <c r="D107" s="358">
        <v>5.68</v>
      </c>
      <c r="E107" s="357" t="s">
        <v>628</v>
      </c>
      <c r="F107" s="353"/>
      <c r="G107" s="360"/>
      <c r="H107" s="353"/>
      <c r="I107" s="352"/>
      <c r="J107" s="152"/>
      <c r="K107" s="108"/>
      <c r="L107" s="108"/>
      <c r="M107" s="156"/>
      <c r="N107" s="156"/>
      <c r="O107" s="108"/>
      <c r="P107" s="108"/>
      <c r="Q107" s="108"/>
      <c r="R107" s="108"/>
      <c r="S107" s="108"/>
      <c r="T107" s="108"/>
      <c r="U107" s="108"/>
      <c r="V107" s="108"/>
      <c r="W107" s="108"/>
      <c r="X107" s="108"/>
      <c r="Y107" s="108"/>
      <c r="Z107" s="108"/>
      <c r="AA107" s="108"/>
    </row>
    <row r="108" spans="1:27">
      <c r="A108" s="108"/>
      <c r="B108" s="151"/>
      <c r="C108" s="359" t="s">
        <v>596</v>
      </c>
      <c r="D108" s="358">
        <v>8.7799999999999994</v>
      </c>
      <c r="E108" s="357" t="s">
        <v>628</v>
      </c>
      <c r="F108" s="353"/>
      <c r="G108" s="353"/>
      <c r="H108" s="353"/>
      <c r="I108" s="352"/>
      <c r="J108" s="152"/>
      <c r="K108" s="108"/>
      <c r="L108" s="108"/>
      <c r="M108" s="156"/>
      <c r="N108" s="156"/>
      <c r="O108" s="108"/>
      <c r="P108" s="108"/>
      <c r="Q108" s="108"/>
      <c r="R108" s="108"/>
      <c r="S108" s="108"/>
      <c r="T108" s="108"/>
      <c r="U108" s="108"/>
      <c r="V108" s="108"/>
      <c r="W108" s="108"/>
      <c r="X108" s="108"/>
      <c r="Y108" s="108"/>
      <c r="Z108" s="108"/>
      <c r="AA108" s="108"/>
    </row>
    <row r="109" spans="1:27" ht="14" thickBot="1">
      <c r="A109" s="108"/>
      <c r="B109" s="151"/>
      <c r="C109" s="356" t="s">
        <v>633</v>
      </c>
      <c r="D109" s="355">
        <v>11.27</v>
      </c>
      <c r="E109" s="354" t="s">
        <v>628</v>
      </c>
      <c r="F109" s="353"/>
      <c r="G109" s="353"/>
      <c r="H109" s="353"/>
      <c r="I109" s="352"/>
      <c r="J109" s="352"/>
      <c r="K109" s="108"/>
      <c r="L109" s="108"/>
      <c r="M109" s="156"/>
      <c r="N109" s="156"/>
      <c r="O109" s="108"/>
      <c r="P109" s="108"/>
      <c r="Q109" s="108"/>
      <c r="R109" s="108"/>
      <c r="S109" s="108"/>
      <c r="T109" s="108"/>
      <c r="U109" s="108"/>
      <c r="V109" s="108"/>
      <c r="W109" s="108"/>
      <c r="X109" s="108"/>
      <c r="Y109" s="108"/>
      <c r="Z109" s="108"/>
      <c r="AA109" s="108"/>
    </row>
    <row r="110" spans="1:27" s="103" customFormat="1">
      <c r="A110" s="104"/>
      <c r="B110" s="107"/>
      <c r="C110" s="240" t="s">
        <v>619</v>
      </c>
      <c r="D110" s="104"/>
      <c r="E110" s="104"/>
      <c r="F110" s="351"/>
      <c r="G110" s="351"/>
      <c r="H110" s="351"/>
      <c r="I110" s="351"/>
      <c r="J110" s="351"/>
      <c r="K110" s="104"/>
      <c r="L110" s="104"/>
      <c r="M110" s="105"/>
      <c r="N110" s="104"/>
      <c r="O110" s="104"/>
      <c r="P110" s="104"/>
      <c r="Q110" s="104"/>
      <c r="R110" s="104"/>
      <c r="S110" s="104"/>
      <c r="T110" s="104"/>
      <c r="U110" s="104"/>
      <c r="V110" s="104"/>
      <c r="W110" s="104"/>
      <c r="X110" s="104"/>
      <c r="Y110" s="104"/>
      <c r="Z110" s="104"/>
      <c r="AA110" s="104"/>
    </row>
    <row r="111" spans="1:27" ht="12.75" customHeight="1">
      <c r="A111" s="108"/>
      <c r="B111" s="151"/>
      <c r="C111" s="2138" t="s">
        <v>634</v>
      </c>
      <c r="D111" s="2138"/>
      <c r="E111" s="2138"/>
      <c r="F111" s="2138"/>
      <c r="G111" s="2138"/>
      <c r="H111" s="2138"/>
      <c r="I111" s="2138"/>
      <c r="J111" s="2138"/>
      <c r="K111" s="2138"/>
      <c r="L111" s="152"/>
      <c r="M111" s="152"/>
      <c r="N111" s="108"/>
      <c r="O111" s="108"/>
      <c r="P111" s="108"/>
      <c r="Q111" s="108"/>
      <c r="R111" s="108"/>
      <c r="S111" s="108"/>
      <c r="T111" s="108"/>
      <c r="U111" s="108"/>
      <c r="V111" s="108"/>
      <c r="W111" s="108"/>
      <c r="X111" s="108"/>
      <c r="Y111" s="108"/>
      <c r="Z111" s="108"/>
      <c r="AA111" s="108"/>
    </row>
    <row r="112" spans="1:27">
      <c r="A112" s="108"/>
      <c r="B112" s="151"/>
      <c r="C112" s="350" t="s">
        <v>621</v>
      </c>
      <c r="D112" s="108"/>
      <c r="E112" s="108"/>
      <c r="F112" s="108"/>
      <c r="G112" s="108"/>
      <c r="H112" s="108"/>
      <c r="I112" s="108"/>
      <c r="J112" s="108"/>
      <c r="K112" s="130"/>
      <c r="L112" s="152"/>
      <c r="M112" s="152"/>
      <c r="N112" s="108"/>
      <c r="O112" s="108"/>
      <c r="P112" s="108"/>
      <c r="Q112" s="108"/>
      <c r="R112" s="108"/>
      <c r="S112" s="108"/>
      <c r="T112" s="108"/>
      <c r="U112" s="108"/>
      <c r="V112" s="108"/>
      <c r="W112" s="108"/>
      <c r="X112" s="108"/>
      <c r="Y112" s="108"/>
      <c r="Z112" s="108"/>
      <c r="AA112" s="108"/>
    </row>
    <row r="113" spans="1:27">
      <c r="A113" s="108"/>
      <c r="B113" s="151"/>
      <c r="C113" s="2138" t="s">
        <v>622</v>
      </c>
      <c r="D113" s="2138"/>
      <c r="E113" s="2138"/>
      <c r="F113" s="2138"/>
      <c r="G113" s="2138"/>
      <c r="H113" s="2138"/>
      <c r="I113" s="2138"/>
      <c r="J113" s="2138"/>
      <c r="K113" s="2138"/>
      <c r="L113" s="152"/>
      <c r="M113" s="152"/>
      <c r="N113" s="108"/>
      <c r="O113" s="108"/>
      <c r="P113" s="108"/>
      <c r="Q113" s="108"/>
      <c r="R113" s="108"/>
      <c r="S113" s="108"/>
      <c r="T113" s="108"/>
      <c r="U113" s="108"/>
      <c r="V113" s="108"/>
      <c r="W113" s="108"/>
      <c r="X113" s="108"/>
      <c r="Y113" s="108"/>
      <c r="Z113" s="108"/>
      <c r="AA113" s="108"/>
    </row>
    <row r="114" spans="1:27">
      <c r="A114" s="108"/>
      <c r="B114" s="151"/>
      <c r="C114" s="2141" t="s">
        <v>635</v>
      </c>
      <c r="D114" s="2141"/>
      <c r="E114" s="2141"/>
      <c r="F114" s="2141"/>
      <c r="G114" s="2141"/>
      <c r="H114" s="2141"/>
      <c r="I114" s="2141"/>
      <c r="J114" s="2141"/>
      <c r="K114" s="2141"/>
      <c r="L114" s="152"/>
      <c r="M114" s="152"/>
      <c r="N114" s="108"/>
      <c r="O114" s="108"/>
      <c r="P114" s="108"/>
      <c r="Q114" s="108"/>
      <c r="R114" s="108"/>
      <c r="S114" s="108"/>
      <c r="T114" s="108"/>
      <c r="U114" s="108"/>
      <c r="V114" s="108"/>
      <c r="W114" s="108"/>
      <c r="X114" s="108"/>
      <c r="Y114" s="108"/>
      <c r="Z114" s="108"/>
      <c r="AA114" s="108"/>
    </row>
    <row r="115" spans="1:27">
      <c r="A115" s="108"/>
      <c r="B115" s="151"/>
      <c r="C115" s="154" t="s">
        <v>624</v>
      </c>
      <c r="D115" s="153"/>
      <c r="E115" s="153"/>
      <c r="F115" s="153"/>
      <c r="G115" s="153"/>
      <c r="H115" s="153"/>
      <c r="I115" s="153"/>
      <c r="J115" s="153"/>
      <c r="K115" s="153"/>
      <c r="L115" s="152"/>
      <c r="M115" s="152"/>
      <c r="N115" s="108"/>
      <c r="O115" s="108"/>
      <c r="P115" s="108"/>
      <c r="Q115" s="108"/>
      <c r="R115" s="108"/>
      <c r="S115" s="108"/>
      <c r="T115" s="108"/>
      <c r="U115" s="108"/>
      <c r="V115" s="108"/>
      <c r="W115" s="108"/>
      <c r="X115" s="108"/>
      <c r="Y115" s="108"/>
      <c r="Z115" s="108"/>
      <c r="AA115" s="108"/>
    </row>
    <row r="116" spans="1:27">
      <c r="A116" s="108"/>
      <c r="B116" s="151"/>
      <c r="C116" s="252"/>
      <c r="D116" s="108"/>
      <c r="E116" s="108"/>
      <c r="F116" s="108"/>
      <c r="G116" s="108"/>
      <c r="H116" s="108"/>
      <c r="I116" s="108"/>
      <c r="J116" s="108"/>
      <c r="K116" s="108"/>
      <c r="L116" s="152"/>
      <c r="M116" s="152"/>
      <c r="N116" s="108"/>
      <c r="O116" s="108"/>
      <c r="P116" s="108"/>
      <c r="Q116" s="108"/>
      <c r="R116" s="108"/>
      <c r="S116" s="108"/>
      <c r="T116" s="108"/>
      <c r="U116" s="108"/>
      <c r="V116" s="108"/>
      <c r="W116" s="108"/>
      <c r="X116" s="108"/>
      <c r="Y116" s="108"/>
      <c r="Z116" s="108"/>
      <c r="AA116" s="108"/>
    </row>
    <row r="117" spans="1:27" ht="18">
      <c r="B117" s="141" t="s">
        <v>636</v>
      </c>
      <c r="C117" s="236" t="s">
        <v>637</v>
      </c>
      <c r="D117" s="349"/>
      <c r="E117" s="139"/>
      <c r="F117" s="139"/>
      <c r="G117" s="139"/>
      <c r="H117" s="139"/>
      <c r="I117" s="139"/>
      <c r="J117" s="139"/>
      <c r="K117" s="139"/>
      <c r="L117" s="138"/>
      <c r="M117" s="108"/>
      <c r="N117" s="108"/>
      <c r="O117" s="108"/>
      <c r="P117" s="108"/>
      <c r="Q117" s="108"/>
      <c r="R117" s="108"/>
      <c r="S117" s="108"/>
      <c r="T117" s="108"/>
      <c r="U117" s="108"/>
      <c r="V117" s="108"/>
      <c r="W117" s="108"/>
      <c r="X117" s="108"/>
      <c r="Y117" s="108"/>
      <c r="Z117" s="108"/>
      <c r="AA117" s="108"/>
    </row>
    <row r="118" spans="1:27" ht="14" thickBot="1">
      <c r="A118" s="108"/>
      <c r="B118" s="108"/>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row>
    <row r="119" spans="1:27" ht="31" thickBot="1">
      <c r="A119" s="108"/>
      <c r="B119" s="108"/>
      <c r="C119" s="348" t="s">
        <v>638</v>
      </c>
      <c r="D119" s="347" t="s">
        <v>306</v>
      </c>
      <c r="E119" s="192" t="s">
        <v>639</v>
      </c>
      <c r="F119" s="191" t="s">
        <v>640</v>
      </c>
      <c r="G119" s="186"/>
      <c r="H119" s="105"/>
      <c r="I119" s="108"/>
      <c r="J119" s="108"/>
      <c r="K119" s="108"/>
      <c r="L119" s="108"/>
      <c r="M119" s="108"/>
      <c r="N119" s="108"/>
      <c r="O119" s="108"/>
      <c r="P119" s="108"/>
      <c r="Q119" s="108"/>
      <c r="R119" s="108"/>
      <c r="S119" s="108"/>
      <c r="T119" s="108"/>
      <c r="U119" s="108"/>
      <c r="V119" s="108"/>
      <c r="W119" s="108"/>
      <c r="X119" s="108"/>
      <c r="Y119" s="108"/>
      <c r="Z119" s="108"/>
      <c r="AA119" s="108"/>
    </row>
    <row r="120" spans="1:27">
      <c r="A120" s="108"/>
      <c r="B120" s="108"/>
      <c r="C120" s="343" t="s">
        <v>641</v>
      </c>
      <c r="D120" s="325" t="s">
        <v>642</v>
      </c>
      <c r="E120" s="342">
        <v>0.1696</v>
      </c>
      <c r="F120" s="341">
        <v>1.9699999999999999E-2</v>
      </c>
      <c r="G120" s="108"/>
      <c r="H120" s="108"/>
      <c r="I120" s="108"/>
      <c r="J120" s="108"/>
      <c r="K120" s="108"/>
      <c r="L120" s="108"/>
      <c r="M120" s="108"/>
      <c r="N120" s="108"/>
      <c r="O120" s="108"/>
      <c r="P120" s="108"/>
      <c r="Q120" s="108"/>
      <c r="R120" s="108"/>
      <c r="S120" s="108"/>
      <c r="T120" s="108"/>
      <c r="U120" s="108"/>
      <c r="V120" s="108"/>
      <c r="W120" s="108"/>
      <c r="X120" s="108"/>
      <c r="Y120" s="108"/>
      <c r="Z120" s="108"/>
      <c r="AA120" s="108"/>
    </row>
    <row r="121" spans="1:27">
      <c r="A121" s="108"/>
      <c r="B121" s="108"/>
      <c r="C121" s="339"/>
      <c r="D121" s="346" t="s">
        <v>643</v>
      </c>
      <c r="E121" s="345">
        <v>0.14230000000000001</v>
      </c>
      <c r="F121" s="344">
        <v>4.4299999999999999E-2</v>
      </c>
      <c r="G121" s="108"/>
      <c r="H121" s="108"/>
      <c r="I121" s="108"/>
      <c r="J121" s="108"/>
      <c r="K121" s="108"/>
      <c r="L121" s="108"/>
      <c r="M121" s="108"/>
      <c r="N121" s="108"/>
      <c r="O121" s="108"/>
      <c r="P121" s="108"/>
      <c r="Q121" s="108"/>
      <c r="R121" s="108"/>
      <c r="S121" s="108"/>
      <c r="T121" s="108"/>
      <c r="U121" s="108"/>
      <c r="V121" s="108"/>
      <c r="W121" s="108"/>
      <c r="X121" s="108"/>
      <c r="Y121" s="108"/>
      <c r="Z121" s="108"/>
      <c r="AA121" s="108"/>
    </row>
    <row r="122" spans="1:27">
      <c r="A122" s="108"/>
      <c r="B122" s="108"/>
      <c r="C122" s="339"/>
      <c r="D122" s="346" t="s">
        <v>644</v>
      </c>
      <c r="E122" s="345">
        <v>0.1406</v>
      </c>
      <c r="F122" s="344">
        <v>4.58E-2</v>
      </c>
      <c r="G122" s="108"/>
      <c r="H122" s="108"/>
      <c r="I122" s="108"/>
      <c r="J122" s="108"/>
      <c r="K122" s="108"/>
      <c r="L122" s="108"/>
      <c r="M122" s="108"/>
      <c r="N122" s="108"/>
      <c r="O122" s="108"/>
      <c r="P122" s="108"/>
      <c r="Q122" s="108"/>
      <c r="R122" s="108"/>
      <c r="S122" s="108"/>
      <c r="T122" s="108"/>
      <c r="U122" s="108"/>
      <c r="V122" s="108"/>
      <c r="W122" s="108"/>
      <c r="X122" s="108"/>
      <c r="Y122" s="108"/>
      <c r="Z122" s="108"/>
      <c r="AA122" s="108"/>
    </row>
    <row r="123" spans="1:27">
      <c r="A123" s="108"/>
      <c r="B123" s="108"/>
      <c r="C123" s="339"/>
      <c r="D123" s="346" t="s">
        <v>645</v>
      </c>
      <c r="E123" s="345">
        <v>0.1389</v>
      </c>
      <c r="F123" s="344">
        <v>4.7300000000000002E-2</v>
      </c>
      <c r="G123" s="108"/>
      <c r="H123" s="108"/>
      <c r="I123" s="108"/>
      <c r="J123" s="108"/>
      <c r="K123" s="108"/>
      <c r="L123" s="108"/>
      <c r="M123" s="108"/>
      <c r="N123" s="108"/>
      <c r="O123" s="108"/>
      <c r="P123" s="108"/>
      <c r="Q123" s="108"/>
      <c r="R123" s="108"/>
      <c r="S123" s="108"/>
      <c r="T123" s="108"/>
      <c r="U123" s="108"/>
      <c r="V123" s="108"/>
      <c r="W123" s="108"/>
      <c r="X123" s="108"/>
      <c r="Y123" s="108"/>
      <c r="Z123" s="108"/>
      <c r="AA123" s="108"/>
    </row>
    <row r="124" spans="1:27">
      <c r="A124" s="108"/>
      <c r="B124" s="108"/>
      <c r="C124" s="339"/>
      <c r="D124" s="346" t="s">
        <v>646</v>
      </c>
      <c r="E124" s="345">
        <v>0.1326</v>
      </c>
      <c r="F124" s="344">
        <v>4.99E-2</v>
      </c>
      <c r="G124" s="108"/>
      <c r="H124" s="108"/>
      <c r="I124" s="108"/>
      <c r="J124" s="108"/>
      <c r="K124" s="108"/>
      <c r="L124" s="108"/>
      <c r="M124" s="108"/>
      <c r="N124" s="108"/>
      <c r="O124" s="108"/>
      <c r="P124" s="108"/>
      <c r="Q124" s="108"/>
      <c r="R124" s="108"/>
      <c r="S124" s="108"/>
      <c r="T124" s="108"/>
      <c r="U124" s="108"/>
      <c r="V124" s="108"/>
      <c r="W124" s="108"/>
      <c r="X124" s="108"/>
      <c r="Y124" s="108"/>
      <c r="Z124" s="108"/>
      <c r="AA124" s="108"/>
    </row>
    <row r="125" spans="1:27">
      <c r="A125" s="108"/>
      <c r="B125" s="108"/>
      <c r="C125" s="339"/>
      <c r="D125" s="346" t="s">
        <v>647</v>
      </c>
      <c r="E125" s="345">
        <v>8.0199999999999994E-2</v>
      </c>
      <c r="F125" s="344">
        <v>6.2600000000000003E-2</v>
      </c>
      <c r="G125" s="108"/>
      <c r="H125" s="108"/>
      <c r="I125" s="108"/>
      <c r="J125" s="108"/>
      <c r="K125" s="108"/>
      <c r="L125" s="108"/>
      <c r="M125" s="108"/>
      <c r="N125" s="108"/>
      <c r="O125" s="108"/>
      <c r="P125" s="108"/>
      <c r="Q125" s="108"/>
      <c r="R125" s="108"/>
      <c r="S125" s="108"/>
      <c r="T125" s="108"/>
      <c r="U125" s="108"/>
      <c r="V125" s="108"/>
      <c r="W125" s="108"/>
      <c r="X125" s="108"/>
      <c r="Y125" s="108"/>
      <c r="Z125" s="108"/>
      <c r="AA125" s="108"/>
    </row>
    <row r="126" spans="1:27">
      <c r="A126" s="108"/>
      <c r="B126" s="108"/>
      <c r="C126" s="339"/>
      <c r="D126" s="346" t="s">
        <v>648</v>
      </c>
      <c r="E126" s="345">
        <v>7.9500000000000001E-2</v>
      </c>
      <c r="F126" s="344">
        <v>6.2700000000000006E-2</v>
      </c>
      <c r="G126" s="108"/>
      <c r="H126" s="108"/>
      <c r="I126" s="108"/>
      <c r="J126" s="108"/>
      <c r="K126" s="108"/>
      <c r="L126" s="108"/>
      <c r="M126" s="108"/>
      <c r="N126" s="108"/>
      <c r="O126" s="108"/>
      <c r="P126" s="108"/>
      <c r="Q126" s="108"/>
      <c r="R126" s="108"/>
      <c r="S126" s="108"/>
      <c r="T126" s="108"/>
      <c r="U126" s="108"/>
      <c r="V126" s="108"/>
      <c r="W126" s="108"/>
      <c r="X126" s="108"/>
      <c r="Y126" s="108"/>
      <c r="Z126" s="108"/>
      <c r="AA126" s="108"/>
    </row>
    <row r="127" spans="1:27">
      <c r="A127" s="108"/>
      <c r="B127" s="108"/>
      <c r="C127" s="339"/>
      <c r="D127" s="346" t="s">
        <v>649</v>
      </c>
      <c r="E127" s="345">
        <v>7.8200000000000006E-2</v>
      </c>
      <c r="F127" s="344">
        <v>6.3E-2</v>
      </c>
      <c r="G127" s="108"/>
      <c r="H127" s="108"/>
      <c r="I127" s="108"/>
      <c r="J127" s="108"/>
      <c r="K127" s="108"/>
      <c r="L127" s="108"/>
      <c r="M127" s="108"/>
      <c r="N127" s="108"/>
      <c r="O127" s="108"/>
      <c r="P127" s="108"/>
      <c r="Q127" s="108"/>
      <c r="R127" s="108"/>
      <c r="S127" s="108"/>
      <c r="T127" s="108"/>
      <c r="U127" s="108"/>
      <c r="V127" s="108"/>
      <c r="W127" s="108"/>
      <c r="X127" s="108"/>
      <c r="Y127" s="108"/>
      <c r="Z127" s="108"/>
      <c r="AA127" s="108"/>
    </row>
    <row r="128" spans="1:27">
      <c r="A128" s="108"/>
      <c r="B128" s="108"/>
      <c r="C128" s="339"/>
      <c r="D128" s="346" t="s">
        <v>650</v>
      </c>
      <c r="E128" s="345">
        <v>7.0400000000000004E-2</v>
      </c>
      <c r="F128" s="344">
        <v>6.4699999999999994E-2</v>
      </c>
      <c r="G128" s="108"/>
      <c r="H128" s="108"/>
      <c r="I128" s="108"/>
      <c r="J128" s="108"/>
      <c r="K128" s="108"/>
      <c r="L128" s="108"/>
      <c r="M128" s="108"/>
      <c r="N128" s="108"/>
      <c r="O128" s="108"/>
      <c r="P128" s="108"/>
      <c r="Q128" s="108"/>
      <c r="R128" s="108"/>
      <c r="S128" s="108"/>
      <c r="T128" s="108"/>
      <c r="U128" s="108"/>
      <c r="V128" s="108"/>
      <c r="W128" s="108"/>
      <c r="X128" s="108"/>
      <c r="Y128" s="108"/>
      <c r="Z128" s="108"/>
      <c r="AA128" s="108"/>
    </row>
    <row r="129" spans="1:27">
      <c r="A129" s="108"/>
      <c r="B129" s="108"/>
      <c r="C129" s="339"/>
      <c r="D129" s="321" t="s">
        <v>651</v>
      </c>
      <c r="E129" s="163">
        <v>6.1699999999999998E-2</v>
      </c>
      <c r="F129" s="340">
        <v>6.0299999999999999E-2</v>
      </c>
      <c r="G129" s="108"/>
      <c r="H129" s="108"/>
      <c r="I129" s="108"/>
      <c r="J129" s="108"/>
      <c r="K129" s="108"/>
      <c r="L129" s="108"/>
      <c r="M129" s="108"/>
      <c r="N129" s="108"/>
      <c r="O129" s="108"/>
      <c r="P129" s="108"/>
      <c r="Q129" s="108"/>
      <c r="R129" s="108"/>
      <c r="S129" s="108"/>
      <c r="T129" s="108"/>
      <c r="U129" s="108"/>
      <c r="V129" s="108"/>
      <c r="W129" s="108"/>
      <c r="X129" s="108"/>
      <c r="Y129" s="108"/>
      <c r="Z129" s="108"/>
      <c r="AA129" s="108"/>
    </row>
    <row r="130" spans="1:27">
      <c r="A130" s="108"/>
      <c r="B130" s="108"/>
      <c r="C130" s="339"/>
      <c r="D130" s="321" t="s">
        <v>652</v>
      </c>
      <c r="E130" s="163">
        <v>5.3100000000000001E-2</v>
      </c>
      <c r="F130" s="340">
        <v>5.6000000000000001E-2</v>
      </c>
      <c r="G130" s="108"/>
      <c r="H130" s="108"/>
      <c r="I130" s="108"/>
      <c r="J130" s="108"/>
      <c r="K130" s="108"/>
      <c r="L130" s="108"/>
      <c r="M130" s="108"/>
      <c r="N130" s="108"/>
      <c r="O130" s="108"/>
      <c r="P130" s="108"/>
      <c r="Q130" s="108"/>
      <c r="R130" s="108"/>
      <c r="S130" s="108"/>
      <c r="T130" s="108"/>
      <c r="U130" s="108"/>
      <c r="V130" s="108"/>
      <c r="W130" s="108"/>
      <c r="X130" s="108"/>
      <c r="Y130" s="108"/>
      <c r="Z130" s="108"/>
      <c r="AA130" s="108"/>
    </row>
    <row r="131" spans="1:27">
      <c r="A131" s="108"/>
      <c r="B131" s="108"/>
      <c r="C131" s="339"/>
      <c r="D131" s="321" t="s">
        <v>653</v>
      </c>
      <c r="E131" s="163">
        <v>4.3400000000000001E-2</v>
      </c>
      <c r="F131" s="340">
        <v>5.0299999999999997E-2</v>
      </c>
      <c r="G131" s="108"/>
      <c r="H131" s="108"/>
      <c r="I131" s="108"/>
      <c r="J131" s="108"/>
      <c r="K131" s="108"/>
      <c r="L131" s="108"/>
      <c r="M131" s="108"/>
      <c r="N131" s="108"/>
      <c r="O131" s="108"/>
      <c r="P131" s="108"/>
      <c r="Q131" s="108"/>
      <c r="R131" s="108"/>
      <c r="S131" s="108"/>
      <c r="T131" s="108"/>
      <c r="U131" s="108"/>
      <c r="V131" s="108"/>
      <c r="W131" s="108"/>
      <c r="X131" s="108"/>
      <c r="Y131" s="108"/>
      <c r="Z131" s="108"/>
      <c r="AA131" s="108"/>
    </row>
    <row r="132" spans="1:27">
      <c r="A132" s="108"/>
      <c r="B132" s="108"/>
      <c r="C132" s="339"/>
      <c r="D132" s="321" t="s">
        <v>654</v>
      </c>
      <c r="E132" s="163">
        <v>3.3700000000000001E-2</v>
      </c>
      <c r="F132" s="340">
        <v>4.4600000000000001E-2</v>
      </c>
      <c r="G132" s="108"/>
      <c r="H132" s="108"/>
      <c r="I132" s="108"/>
      <c r="J132" s="108"/>
      <c r="K132" s="108"/>
      <c r="L132" s="108"/>
      <c r="M132" s="108"/>
      <c r="N132" s="108"/>
      <c r="O132" s="108"/>
      <c r="P132" s="108"/>
      <c r="Q132" s="108"/>
      <c r="R132" s="108"/>
      <c r="S132" s="108"/>
      <c r="T132" s="108"/>
      <c r="U132" s="108"/>
      <c r="V132" s="108"/>
      <c r="W132" s="108"/>
      <c r="X132" s="108"/>
      <c r="Y132" s="108"/>
      <c r="Z132" s="108"/>
      <c r="AA132" s="108"/>
    </row>
    <row r="133" spans="1:27">
      <c r="A133" s="108"/>
      <c r="B133" s="108"/>
      <c r="C133" s="339"/>
      <c r="D133" s="321" t="s">
        <v>655</v>
      </c>
      <c r="E133" s="163">
        <v>2.4E-2</v>
      </c>
      <c r="F133" s="340">
        <v>3.8899999999999997E-2</v>
      </c>
      <c r="G133" s="108"/>
      <c r="H133" s="108"/>
      <c r="I133" s="108"/>
      <c r="J133" s="108"/>
      <c r="K133" s="108"/>
      <c r="L133" s="108"/>
      <c r="M133" s="108"/>
      <c r="N133" s="108"/>
      <c r="O133" s="108"/>
      <c r="P133" s="108"/>
      <c r="Q133" s="108"/>
      <c r="R133" s="108"/>
      <c r="S133" s="108"/>
      <c r="T133" s="108"/>
      <c r="U133" s="108"/>
      <c r="V133" s="108"/>
      <c r="W133" s="108"/>
      <c r="X133" s="108"/>
      <c r="Y133" s="108"/>
      <c r="Z133" s="108"/>
      <c r="AA133" s="108"/>
    </row>
    <row r="134" spans="1:27">
      <c r="A134" s="108"/>
      <c r="B134" s="108"/>
      <c r="C134" s="339"/>
      <c r="D134" s="321" t="s">
        <v>656</v>
      </c>
      <c r="E134" s="163">
        <v>2.1499999999999998E-2</v>
      </c>
      <c r="F134" s="340">
        <v>3.5499999999999997E-2</v>
      </c>
      <c r="G134" s="108"/>
      <c r="H134" s="108"/>
      <c r="I134" s="108"/>
      <c r="J134" s="108"/>
      <c r="K134" s="108"/>
      <c r="L134" s="108"/>
      <c r="M134" s="108"/>
      <c r="N134" s="108"/>
      <c r="O134" s="108"/>
      <c r="P134" s="108"/>
      <c r="Q134" s="108"/>
      <c r="R134" s="108"/>
      <c r="S134" s="108"/>
      <c r="T134" s="108"/>
      <c r="U134" s="108"/>
      <c r="V134" s="108"/>
      <c r="W134" s="108"/>
      <c r="X134" s="108"/>
      <c r="Y134" s="108"/>
      <c r="Z134" s="108"/>
      <c r="AA134" s="108"/>
    </row>
    <row r="135" spans="1:27">
      <c r="A135" s="108"/>
      <c r="B135" s="108"/>
      <c r="C135" s="339"/>
      <c r="D135" s="321" t="s">
        <v>657</v>
      </c>
      <c r="E135" s="163">
        <v>1.7500000000000002E-2</v>
      </c>
      <c r="F135" s="340">
        <v>3.04E-2</v>
      </c>
      <c r="G135" s="108"/>
      <c r="H135" s="108"/>
      <c r="I135" s="108"/>
      <c r="J135" s="108"/>
      <c r="K135" s="108"/>
      <c r="L135" s="108"/>
      <c r="M135" s="108"/>
      <c r="N135" s="108"/>
      <c r="O135" s="108"/>
      <c r="P135" s="108"/>
      <c r="Q135" s="108"/>
      <c r="R135" s="108"/>
      <c r="S135" s="108"/>
      <c r="T135" s="108"/>
      <c r="U135" s="108"/>
      <c r="V135" s="108"/>
      <c r="W135" s="108"/>
      <c r="X135" s="108"/>
      <c r="Y135" s="108"/>
      <c r="Z135" s="108"/>
      <c r="AA135" s="108"/>
    </row>
    <row r="136" spans="1:27">
      <c r="A136" s="108"/>
      <c r="B136" s="108"/>
      <c r="C136" s="339"/>
      <c r="D136" s="321" t="s">
        <v>658</v>
      </c>
      <c r="E136" s="163">
        <v>1.0500000000000001E-2</v>
      </c>
      <c r="F136" s="340">
        <v>2.12E-2</v>
      </c>
      <c r="G136" s="108"/>
      <c r="H136" s="108"/>
      <c r="I136" s="108"/>
      <c r="J136" s="108"/>
      <c r="K136" s="108"/>
      <c r="L136" s="108"/>
      <c r="M136" s="108"/>
      <c r="N136" s="108"/>
      <c r="O136" s="108"/>
      <c r="P136" s="108"/>
      <c r="Q136" s="108"/>
      <c r="R136" s="108"/>
      <c r="S136" s="108"/>
      <c r="T136" s="108"/>
      <c r="U136" s="108"/>
      <c r="V136" s="108"/>
      <c r="W136" s="108"/>
      <c r="X136" s="108"/>
      <c r="Y136" s="108"/>
      <c r="Z136" s="108"/>
      <c r="AA136" s="108"/>
    </row>
    <row r="137" spans="1:27">
      <c r="A137" s="108"/>
      <c r="B137" s="108"/>
      <c r="C137" s="339"/>
      <c r="D137" s="321" t="s">
        <v>659</v>
      </c>
      <c r="E137" s="163">
        <v>1.0200000000000001E-2</v>
      </c>
      <c r="F137" s="340">
        <v>2.07E-2</v>
      </c>
      <c r="G137" s="108"/>
      <c r="H137" s="108"/>
      <c r="I137" s="108"/>
      <c r="J137" s="108"/>
      <c r="K137" s="108"/>
      <c r="L137" s="108"/>
      <c r="M137" s="108"/>
      <c r="N137" s="108"/>
      <c r="O137" s="108"/>
      <c r="P137" s="108"/>
      <c r="Q137" s="108"/>
      <c r="R137" s="108"/>
      <c r="S137" s="108"/>
      <c r="T137" s="108"/>
      <c r="U137" s="108"/>
      <c r="V137" s="108"/>
      <c r="W137" s="108"/>
      <c r="X137" s="108"/>
      <c r="Y137" s="108"/>
      <c r="Z137" s="108"/>
      <c r="AA137" s="108"/>
    </row>
    <row r="138" spans="1:27">
      <c r="A138" s="108"/>
      <c r="B138" s="108"/>
      <c r="C138" s="339"/>
      <c r="D138" s="321" t="s">
        <v>660</v>
      </c>
      <c r="E138" s="163">
        <v>9.4999999999999998E-3</v>
      </c>
      <c r="F138" s="340">
        <v>1.8100000000000002E-2</v>
      </c>
      <c r="G138" s="108"/>
      <c r="H138" s="108"/>
      <c r="I138" s="108"/>
      <c r="J138" s="108"/>
      <c r="K138" s="108"/>
      <c r="L138" s="108"/>
      <c r="M138" s="108"/>
      <c r="N138" s="108"/>
      <c r="O138" s="108"/>
      <c r="P138" s="108"/>
      <c r="Q138" s="108"/>
      <c r="R138" s="108"/>
      <c r="S138" s="108"/>
      <c r="T138" s="108"/>
      <c r="U138" s="108"/>
      <c r="V138" s="108"/>
      <c r="W138" s="108"/>
      <c r="X138" s="108"/>
      <c r="Y138" s="108"/>
      <c r="Z138" s="108"/>
      <c r="AA138" s="108"/>
    </row>
    <row r="139" spans="1:27">
      <c r="A139" s="108"/>
      <c r="B139" s="108"/>
      <c r="C139" s="339"/>
      <c r="D139" s="321" t="s">
        <v>661</v>
      </c>
      <c r="E139" s="163">
        <v>7.7999999999999996E-3</v>
      </c>
      <c r="F139" s="340">
        <v>8.5000000000000006E-3</v>
      </c>
      <c r="G139" s="108"/>
      <c r="H139" s="108"/>
      <c r="I139" s="108"/>
      <c r="J139" s="108"/>
      <c r="K139" s="108"/>
      <c r="L139" s="108"/>
      <c r="M139" s="108"/>
      <c r="N139" s="108"/>
      <c r="O139" s="108"/>
      <c r="P139" s="108"/>
      <c r="Q139" s="108"/>
      <c r="R139" s="108"/>
      <c r="S139" s="108"/>
      <c r="T139" s="108"/>
      <c r="U139" s="108"/>
      <c r="V139" s="108"/>
      <c r="W139" s="108"/>
      <c r="X139" s="108"/>
      <c r="Y139" s="108"/>
      <c r="Z139" s="108"/>
      <c r="AA139" s="108"/>
    </row>
    <row r="140" spans="1:27">
      <c r="A140" s="108"/>
      <c r="B140" s="108"/>
      <c r="C140" s="339"/>
      <c r="D140" s="321" t="s">
        <v>662</v>
      </c>
      <c r="E140" s="163">
        <v>7.4999999999999997E-3</v>
      </c>
      <c r="F140" s="340">
        <v>6.7000000000000002E-3</v>
      </c>
      <c r="G140" s="108"/>
      <c r="H140" s="108"/>
      <c r="I140" s="108"/>
      <c r="J140" s="108"/>
      <c r="K140" s="108"/>
      <c r="L140" s="108"/>
      <c r="M140" s="108"/>
      <c r="N140" s="108"/>
      <c r="O140" s="108"/>
      <c r="P140" s="108"/>
      <c r="Q140" s="108"/>
      <c r="R140" s="108"/>
      <c r="S140" s="108"/>
      <c r="T140" s="108"/>
      <c r="U140" s="108"/>
      <c r="V140" s="108"/>
      <c r="W140" s="108"/>
      <c r="X140" s="108"/>
      <c r="Y140" s="108"/>
      <c r="Z140" s="108"/>
      <c r="AA140" s="108"/>
    </row>
    <row r="141" spans="1:27">
      <c r="A141" s="108"/>
      <c r="B141" s="108"/>
      <c r="C141" s="339"/>
      <c r="D141" s="321" t="s">
        <v>663</v>
      </c>
      <c r="E141" s="163">
        <v>7.6E-3</v>
      </c>
      <c r="F141" s="340">
        <v>7.4999999999999997E-3</v>
      </c>
      <c r="G141" s="108"/>
      <c r="H141" s="108"/>
      <c r="I141" s="108"/>
      <c r="J141" s="108"/>
      <c r="K141" s="108"/>
      <c r="L141" s="108"/>
      <c r="M141" s="108"/>
      <c r="N141" s="108"/>
      <c r="O141" s="108"/>
      <c r="P141" s="108"/>
      <c r="Q141" s="108"/>
      <c r="R141" s="108"/>
      <c r="S141" s="108"/>
      <c r="T141" s="108"/>
      <c r="U141" s="108"/>
      <c r="V141" s="108"/>
      <c r="W141" s="108"/>
      <c r="X141" s="108"/>
      <c r="Y141" s="108"/>
      <c r="Z141" s="108"/>
      <c r="AA141" s="108"/>
    </row>
    <row r="142" spans="1:27">
      <c r="A142" s="108"/>
      <c r="B142" s="108"/>
      <c r="C142" s="339"/>
      <c r="D142" s="321" t="s">
        <v>664</v>
      </c>
      <c r="E142" s="163">
        <v>7.1999999999999998E-3</v>
      </c>
      <c r="F142" s="340">
        <v>5.1999999999999998E-3</v>
      </c>
      <c r="G142" s="108"/>
      <c r="H142" s="108"/>
      <c r="I142" s="108"/>
      <c r="J142" s="108"/>
      <c r="K142" s="108"/>
      <c r="L142" s="108"/>
      <c r="M142" s="108"/>
      <c r="N142" s="108"/>
      <c r="O142" s="108"/>
      <c r="P142" s="108"/>
      <c r="Q142" s="108"/>
      <c r="R142" s="108"/>
      <c r="S142" s="108"/>
      <c r="T142" s="108"/>
      <c r="U142" s="108"/>
      <c r="V142" s="108"/>
      <c r="W142" s="108"/>
      <c r="X142" s="108"/>
      <c r="Y142" s="108"/>
      <c r="Z142" s="108"/>
      <c r="AA142" s="108"/>
    </row>
    <row r="143" spans="1:27">
      <c r="A143" s="108"/>
      <c r="B143" s="108"/>
      <c r="C143" s="339"/>
      <c r="D143" s="321" t="s">
        <v>665</v>
      </c>
      <c r="E143" s="163">
        <v>7.1999999999999998E-3</v>
      </c>
      <c r="F143" s="340">
        <v>4.8999999999999998E-3</v>
      </c>
      <c r="G143" s="108"/>
      <c r="H143" s="108"/>
      <c r="I143" s="108"/>
      <c r="J143" s="108"/>
      <c r="K143" s="108"/>
      <c r="L143" s="108"/>
      <c r="M143" s="108"/>
      <c r="N143" s="108"/>
      <c r="O143" s="108"/>
      <c r="P143" s="108"/>
      <c r="Q143" s="108"/>
      <c r="R143" s="108"/>
      <c r="S143" s="108"/>
      <c r="T143" s="108"/>
      <c r="U143" s="108"/>
      <c r="V143" s="108"/>
      <c r="W143" s="108"/>
      <c r="X143" s="108"/>
      <c r="Y143" s="108"/>
      <c r="Z143" s="108"/>
      <c r="AA143" s="108"/>
    </row>
    <row r="144" spans="1:27">
      <c r="A144" s="108"/>
      <c r="B144" s="108"/>
      <c r="C144" s="339"/>
      <c r="D144" s="321" t="s">
        <v>666</v>
      </c>
      <c r="E144" s="338">
        <v>7.1000000000000004E-3</v>
      </c>
      <c r="F144" s="337">
        <v>4.5999999999999999E-3</v>
      </c>
      <c r="G144" s="108"/>
      <c r="H144" s="108"/>
      <c r="I144" s="108"/>
      <c r="J144" s="108"/>
      <c r="K144" s="108"/>
      <c r="L144" s="108"/>
      <c r="M144" s="108"/>
      <c r="N144" s="108"/>
      <c r="O144" s="108"/>
      <c r="P144" s="108"/>
      <c r="Q144" s="108"/>
      <c r="R144" s="108"/>
      <c r="S144" s="108"/>
      <c r="T144" s="108"/>
      <c r="U144" s="108"/>
      <c r="V144" s="108"/>
      <c r="W144" s="108"/>
      <c r="X144" s="108"/>
      <c r="Y144" s="108"/>
      <c r="Z144" s="108"/>
      <c r="AA144" s="108"/>
    </row>
    <row r="145" spans="1:27">
      <c r="A145" s="108"/>
      <c r="B145" s="108"/>
      <c r="C145" s="339"/>
      <c r="D145" s="321" t="s">
        <v>667</v>
      </c>
      <c r="E145" s="338">
        <v>7.1000000000000004E-3</v>
      </c>
      <c r="F145" s="337">
        <v>4.5999999999999999E-3</v>
      </c>
      <c r="G145" s="108"/>
      <c r="H145" s="108"/>
      <c r="I145" s="108"/>
      <c r="J145" s="108"/>
      <c r="K145" s="108"/>
      <c r="L145" s="108"/>
      <c r="M145" s="108"/>
      <c r="N145" s="108"/>
      <c r="O145" s="108"/>
      <c r="P145" s="108"/>
      <c r="Q145" s="108"/>
      <c r="R145" s="108"/>
      <c r="S145" s="108"/>
      <c r="T145" s="108"/>
      <c r="U145" s="108"/>
      <c r="V145" s="108"/>
      <c r="W145" s="108"/>
      <c r="X145" s="108"/>
      <c r="Y145" s="108"/>
      <c r="Z145" s="108"/>
      <c r="AA145" s="108"/>
    </row>
    <row r="146" spans="1:27">
      <c r="A146" s="108"/>
      <c r="B146" s="108"/>
      <c r="C146" s="339"/>
      <c r="D146" s="321" t="s">
        <v>668</v>
      </c>
      <c r="E146" s="338">
        <v>7.1000000000000004E-3</v>
      </c>
      <c r="F146" s="337">
        <v>4.5999999999999999E-3</v>
      </c>
      <c r="G146" s="108"/>
      <c r="H146" s="108"/>
      <c r="I146" s="108"/>
      <c r="J146" s="108"/>
      <c r="K146" s="108"/>
      <c r="L146" s="108"/>
      <c r="M146" s="108"/>
      <c r="N146" s="108"/>
      <c r="O146" s="108"/>
      <c r="P146" s="108"/>
      <c r="Q146" s="108"/>
      <c r="R146" s="108"/>
      <c r="S146" s="108"/>
      <c r="T146" s="108"/>
      <c r="U146" s="108"/>
      <c r="V146" s="108"/>
      <c r="W146" s="108"/>
      <c r="X146" s="108"/>
      <c r="Y146" s="108"/>
      <c r="Z146" s="108"/>
      <c r="AA146" s="108"/>
    </row>
    <row r="147" spans="1:27">
      <c r="A147" s="108"/>
      <c r="B147" s="108"/>
      <c r="C147" s="339"/>
      <c r="D147" s="321" t="s">
        <v>669</v>
      </c>
      <c r="E147" s="338">
        <v>7.1000000000000004E-3</v>
      </c>
      <c r="F147" s="337">
        <v>4.5999999999999999E-3</v>
      </c>
      <c r="G147" s="108"/>
      <c r="H147" s="108"/>
      <c r="I147" s="108"/>
      <c r="J147" s="108"/>
      <c r="K147" s="108"/>
      <c r="L147" s="108"/>
      <c r="M147" s="108"/>
      <c r="N147" s="108"/>
      <c r="O147" s="108"/>
      <c r="P147" s="108"/>
      <c r="Q147" s="108"/>
      <c r="R147" s="108"/>
      <c r="S147" s="108"/>
      <c r="T147" s="108"/>
      <c r="U147" s="108"/>
      <c r="V147" s="108"/>
      <c r="W147" s="108"/>
      <c r="X147" s="108"/>
      <c r="Y147" s="108"/>
      <c r="Z147" s="108"/>
      <c r="AA147" s="108"/>
    </row>
    <row r="148" spans="1:27">
      <c r="A148" s="108"/>
      <c r="B148" s="108"/>
      <c r="C148" s="339"/>
      <c r="D148" s="321" t="s">
        <v>670</v>
      </c>
      <c r="E148" s="338">
        <v>7.1000000000000004E-3</v>
      </c>
      <c r="F148" s="337">
        <v>4.5999999999999999E-3</v>
      </c>
      <c r="G148" s="108"/>
      <c r="H148" s="108"/>
      <c r="I148" s="108"/>
      <c r="J148" s="108"/>
      <c r="K148" s="108"/>
      <c r="L148" s="108"/>
      <c r="M148" s="108"/>
      <c r="N148" s="108"/>
      <c r="O148" s="108"/>
      <c r="P148" s="108"/>
      <c r="Q148" s="108"/>
      <c r="R148" s="108"/>
      <c r="S148" s="108"/>
      <c r="T148" s="108"/>
      <c r="U148" s="108"/>
      <c r="V148" s="108"/>
      <c r="W148" s="108"/>
      <c r="X148" s="108"/>
      <c r="Y148" s="108"/>
      <c r="Z148" s="108"/>
      <c r="AA148" s="108"/>
    </row>
    <row r="149" spans="1:27">
      <c r="A149" s="108"/>
      <c r="B149" s="108"/>
      <c r="C149" s="339"/>
      <c r="D149" s="321" t="s">
        <v>671</v>
      </c>
      <c r="E149" s="338">
        <v>7.1000000000000004E-3</v>
      </c>
      <c r="F149" s="337">
        <v>4.5999999999999999E-3</v>
      </c>
      <c r="G149" s="108"/>
      <c r="H149" s="108"/>
      <c r="I149" s="108"/>
      <c r="J149" s="108"/>
      <c r="K149" s="108"/>
      <c r="L149" s="108"/>
      <c r="M149" s="108"/>
      <c r="N149" s="108"/>
      <c r="O149" s="108"/>
      <c r="P149" s="108"/>
      <c r="Q149" s="108"/>
      <c r="R149" s="108"/>
      <c r="S149" s="108"/>
      <c r="T149" s="108"/>
      <c r="U149" s="108"/>
      <c r="V149" s="108"/>
      <c r="W149" s="108"/>
      <c r="X149" s="108"/>
      <c r="Y149" s="108"/>
      <c r="Z149" s="108"/>
      <c r="AA149" s="108"/>
    </row>
    <row r="150" spans="1:27">
      <c r="A150" s="108"/>
      <c r="B150" s="108"/>
      <c r="C150" s="339"/>
      <c r="D150" s="321" t="s">
        <v>672</v>
      </c>
      <c r="E150" s="338">
        <v>6.7999999999999996E-3</v>
      </c>
      <c r="F150" s="337">
        <v>4.1999999999999997E-3</v>
      </c>
      <c r="G150" s="108"/>
      <c r="H150" s="108"/>
      <c r="I150" s="108"/>
      <c r="J150" s="108"/>
      <c r="K150" s="108"/>
      <c r="L150" s="108"/>
      <c r="M150" s="108"/>
      <c r="N150" s="108"/>
      <c r="O150" s="108"/>
      <c r="P150" s="108"/>
      <c r="Q150" s="108"/>
      <c r="R150" s="108"/>
      <c r="S150" s="108"/>
      <c r="T150" s="108"/>
      <c r="U150" s="108"/>
      <c r="V150" s="108"/>
      <c r="W150" s="108"/>
      <c r="X150" s="108"/>
      <c r="Y150" s="108"/>
      <c r="Z150" s="108"/>
      <c r="AA150" s="108"/>
    </row>
    <row r="151" spans="1:27">
      <c r="A151" s="108"/>
      <c r="B151" s="108"/>
      <c r="C151" s="339"/>
      <c r="D151" s="321" t="s">
        <v>673</v>
      </c>
      <c r="E151" s="338">
        <v>6.4999999999999997E-3</v>
      </c>
      <c r="F151" s="337">
        <v>3.8E-3</v>
      </c>
      <c r="G151" s="108"/>
      <c r="H151" s="108"/>
      <c r="I151" s="108"/>
      <c r="J151" s="108"/>
      <c r="K151" s="108"/>
      <c r="L151" s="108"/>
      <c r="M151" s="108"/>
      <c r="N151" s="108"/>
      <c r="O151" s="108"/>
      <c r="P151" s="108"/>
      <c r="Q151" s="108"/>
      <c r="R151" s="108"/>
      <c r="S151" s="108"/>
      <c r="T151" s="108"/>
      <c r="U151" s="108"/>
      <c r="V151" s="108"/>
      <c r="W151" s="108"/>
      <c r="X151" s="108"/>
      <c r="Y151" s="108"/>
      <c r="Z151" s="108"/>
      <c r="AA151" s="108"/>
    </row>
    <row r="152" spans="1:27">
      <c r="A152" s="108"/>
      <c r="B152" s="108"/>
      <c r="C152" s="339"/>
      <c r="D152" s="321" t="s">
        <v>674</v>
      </c>
      <c r="E152" s="338">
        <v>5.4000000000000003E-3</v>
      </c>
      <c r="F152" s="337">
        <v>1.8E-3</v>
      </c>
      <c r="G152" s="108"/>
      <c r="H152" s="108"/>
      <c r="I152" s="108"/>
      <c r="J152" s="108"/>
      <c r="K152" s="108"/>
      <c r="L152" s="108"/>
      <c r="M152" s="108"/>
      <c r="N152" s="108"/>
      <c r="O152" s="108"/>
      <c r="P152" s="108"/>
      <c r="Q152" s="108"/>
      <c r="R152" s="108"/>
      <c r="S152" s="108"/>
      <c r="T152" s="108"/>
      <c r="U152" s="108"/>
      <c r="V152" s="108"/>
      <c r="W152" s="108"/>
      <c r="X152" s="108"/>
      <c r="Y152" s="108"/>
      <c r="Z152" s="108"/>
      <c r="AA152" s="108"/>
    </row>
    <row r="153" spans="1:27">
      <c r="A153" s="108"/>
      <c r="B153" s="108"/>
      <c r="C153" s="339"/>
      <c r="D153" s="321" t="s">
        <v>675</v>
      </c>
      <c r="E153" s="338">
        <v>5.1999999999999998E-3</v>
      </c>
      <c r="F153" s="337">
        <v>1.6000000000000001E-3</v>
      </c>
      <c r="G153" s="108"/>
      <c r="H153" s="108"/>
      <c r="I153" s="108"/>
      <c r="J153" s="108"/>
      <c r="K153" s="108"/>
      <c r="L153" s="108"/>
      <c r="M153" s="108"/>
      <c r="N153" s="108"/>
      <c r="O153" s="108"/>
      <c r="P153" s="108"/>
      <c r="Q153" s="108"/>
      <c r="R153" s="108"/>
      <c r="S153" s="108"/>
      <c r="T153" s="108"/>
      <c r="U153" s="108"/>
      <c r="V153" s="108"/>
      <c r="W153" s="108"/>
      <c r="X153" s="108"/>
      <c r="Y153" s="108"/>
      <c r="Z153" s="108"/>
      <c r="AA153" s="108"/>
    </row>
    <row r="154" spans="1:27">
      <c r="A154" s="108"/>
      <c r="B154" s="108"/>
      <c r="C154" s="339"/>
      <c r="D154" s="321" t="s">
        <v>675</v>
      </c>
      <c r="E154" s="338">
        <v>5.1000000000000004E-3</v>
      </c>
      <c r="F154" s="337">
        <v>1.5E-3</v>
      </c>
      <c r="G154" s="108"/>
      <c r="H154" s="108"/>
      <c r="I154" s="108"/>
      <c r="J154" s="108"/>
      <c r="K154" s="108"/>
      <c r="L154" s="108"/>
      <c r="M154" s="108"/>
      <c r="N154" s="108"/>
      <c r="O154" s="108"/>
      <c r="P154" s="108"/>
      <c r="Q154" s="108"/>
      <c r="R154" s="108"/>
      <c r="S154" s="108"/>
      <c r="T154" s="108"/>
      <c r="U154" s="108"/>
      <c r="V154" s="108"/>
      <c r="W154" s="108"/>
      <c r="X154" s="108"/>
      <c r="Y154" s="108"/>
      <c r="Z154" s="108"/>
      <c r="AA154" s="108"/>
    </row>
    <row r="155" spans="1:27" ht="14" thickBot="1">
      <c r="A155" s="108"/>
      <c r="B155" s="108"/>
      <c r="C155" s="336"/>
      <c r="D155" s="335" t="s">
        <v>676</v>
      </c>
      <c r="E155" s="158">
        <v>5.0000000000000001E-3</v>
      </c>
      <c r="F155" s="334">
        <v>1.4E-3</v>
      </c>
      <c r="G155" s="108"/>
      <c r="H155" s="108"/>
      <c r="I155" s="108"/>
      <c r="J155" s="108"/>
      <c r="K155" s="108"/>
      <c r="L155" s="108"/>
      <c r="M155" s="108"/>
      <c r="N155" s="108"/>
      <c r="O155" s="108"/>
      <c r="P155" s="108"/>
      <c r="Q155" s="108"/>
      <c r="R155" s="108"/>
      <c r="S155" s="108"/>
      <c r="T155" s="108"/>
      <c r="U155" s="108"/>
      <c r="V155" s="108"/>
      <c r="W155" s="108"/>
      <c r="X155" s="108"/>
      <c r="Y155" s="108"/>
      <c r="Z155" s="108"/>
      <c r="AA155" s="108"/>
    </row>
    <row r="156" spans="1:27">
      <c r="A156" s="108"/>
      <c r="B156" s="108"/>
      <c r="C156" s="343" t="s">
        <v>677</v>
      </c>
      <c r="D156" s="325" t="s">
        <v>678</v>
      </c>
      <c r="E156" s="342">
        <v>0.1908</v>
      </c>
      <c r="F156" s="341">
        <v>2.18E-2</v>
      </c>
      <c r="G156" s="108"/>
      <c r="H156" s="108"/>
      <c r="I156" s="108"/>
      <c r="J156" s="108"/>
      <c r="K156" s="108"/>
      <c r="L156" s="108"/>
      <c r="M156" s="108"/>
      <c r="N156" s="108"/>
      <c r="O156" s="108"/>
      <c r="P156" s="108"/>
      <c r="Q156" s="108"/>
      <c r="R156" s="108"/>
      <c r="S156" s="108"/>
      <c r="T156" s="108"/>
      <c r="U156" s="108"/>
      <c r="V156" s="108"/>
      <c r="W156" s="108"/>
      <c r="X156" s="108"/>
      <c r="Y156" s="108"/>
      <c r="Z156" s="108"/>
      <c r="AA156" s="108"/>
    </row>
    <row r="157" spans="1:27">
      <c r="A157" s="108"/>
      <c r="B157" s="108"/>
      <c r="C157" s="339" t="s">
        <v>679</v>
      </c>
      <c r="D157" s="321" t="s">
        <v>643</v>
      </c>
      <c r="E157" s="163">
        <v>0.16339999999999999</v>
      </c>
      <c r="F157" s="340">
        <v>5.1299999999999998E-2</v>
      </c>
      <c r="G157" s="108"/>
      <c r="H157" s="108"/>
      <c r="I157" s="108"/>
      <c r="J157" s="108"/>
      <c r="K157" s="108"/>
      <c r="L157" s="108"/>
      <c r="M157" s="108"/>
      <c r="N157" s="108"/>
      <c r="O157" s="108"/>
      <c r="P157" s="108"/>
      <c r="Q157" s="108"/>
      <c r="R157" s="108"/>
      <c r="S157" s="108"/>
      <c r="T157" s="108"/>
      <c r="U157" s="108"/>
      <c r="V157" s="108"/>
      <c r="W157" s="108"/>
      <c r="X157" s="108"/>
      <c r="Y157" s="108"/>
      <c r="Z157" s="108"/>
      <c r="AA157" s="108"/>
    </row>
    <row r="158" spans="1:27">
      <c r="A158" s="108"/>
      <c r="B158" s="108"/>
      <c r="C158" s="339"/>
      <c r="D158" s="321" t="s">
        <v>680</v>
      </c>
      <c r="E158" s="163">
        <v>0.15939999999999999</v>
      </c>
      <c r="F158" s="340">
        <v>5.5500000000000001E-2</v>
      </c>
      <c r="G158" s="108"/>
      <c r="H158" s="108"/>
      <c r="I158" s="108"/>
      <c r="J158" s="108"/>
      <c r="K158" s="108"/>
      <c r="L158" s="108"/>
      <c r="M158" s="108"/>
      <c r="N158" s="108"/>
      <c r="O158" s="108"/>
      <c r="P158" s="108"/>
      <c r="Q158" s="108"/>
      <c r="R158" s="108"/>
      <c r="S158" s="108"/>
      <c r="T158" s="108"/>
      <c r="U158" s="108"/>
      <c r="V158" s="108"/>
      <c r="W158" s="108"/>
      <c r="X158" s="108"/>
      <c r="Y158" s="108"/>
      <c r="Z158" s="108"/>
      <c r="AA158" s="108"/>
    </row>
    <row r="159" spans="1:27">
      <c r="A159" s="108"/>
      <c r="B159" s="108"/>
      <c r="C159" s="339"/>
      <c r="D159" s="321" t="s">
        <v>681</v>
      </c>
      <c r="E159" s="163">
        <v>0.16139999999999999</v>
      </c>
      <c r="F159" s="340">
        <v>5.3400000000000003E-2</v>
      </c>
      <c r="G159" s="108"/>
      <c r="H159" s="108"/>
      <c r="I159" s="108"/>
      <c r="J159" s="108"/>
      <c r="K159" s="108"/>
      <c r="L159" s="108"/>
      <c r="M159" s="108"/>
      <c r="N159" s="108"/>
      <c r="O159" s="108"/>
      <c r="P159" s="108"/>
      <c r="Q159" s="108"/>
      <c r="R159" s="108"/>
      <c r="S159" s="108"/>
      <c r="T159" s="108"/>
      <c r="U159" s="108"/>
      <c r="V159" s="108"/>
      <c r="W159" s="108"/>
      <c r="X159" s="108"/>
      <c r="Y159" s="108"/>
      <c r="Z159" s="108"/>
      <c r="AA159" s="108"/>
    </row>
    <row r="160" spans="1:27">
      <c r="A160" s="108"/>
      <c r="B160" s="108"/>
      <c r="C160" s="339"/>
      <c r="D160" s="321" t="s">
        <v>682</v>
      </c>
      <c r="E160" s="163">
        <v>0.15939999999999999</v>
      </c>
      <c r="F160" s="340">
        <v>5.5500000000000001E-2</v>
      </c>
      <c r="G160" s="108"/>
      <c r="H160" s="108"/>
      <c r="I160" s="108"/>
      <c r="J160" s="108"/>
      <c r="K160" s="108"/>
      <c r="L160" s="108"/>
      <c r="M160" s="108"/>
      <c r="N160" s="108"/>
      <c r="O160" s="108"/>
      <c r="P160" s="108"/>
      <c r="Q160" s="108"/>
      <c r="R160" s="108"/>
      <c r="S160" s="108"/>
      <c r="T160" s="108"/>
      <c r="U160" s="108"/>
      <c r="V160" s="108"/>
      <c r="W160" s="108"/>
      <c r="X160" s="108"/>
      <c r="Y160" s="108"/>
      <c r="Z160" s="108"/>
      <c r="AA160" s="108"/>
    </row>
    <row r="161" spans="1:27">
      <c r="A161" s="108"/>
      <c r="B161" s="108"/>
      <c r="C161" s="339"/>
      <c r="D161" s="321" t="s">
        <v>647</v>
      </c>
      <c r="E161" s="163">
        <v>0.1479</v>
      </c>
      <c r="F161" s="340">
        <v>6.6000000000000003E-2</v>
      </c>
      <c r="G161" s="108"/>
      <c r="H161" s="108"/>
      <c r="I161" s="108"/>
      <c r="J161" s="108"/>
      <c r="K161" s="108"/>
      <c r="L161" s="108"/>
      <c r="M161" s="108"/>
      <c r="N161" s="108"/>
      <c r="O161" s="108"/>
      <c r="P161" s="108"/>
      <c r="Q161" s="108"/>
      <c r="R161" s="108"/>
      <c r="S161" s="108"/>
      <c r="T161" s="108"/>
      <c r="U161" s="108"/>
      <c r="V161" s="108"/>
      <c r="W161" s="108"/>
      <c r="X161" s="108"/>
      <c r="Y161" s="108"/>
      <c r="Z161" s="108"/>
      <c r="AA161" s="108"/>
    </row>
    <row r="162" spans="1:27">
      <c r="A162" s="108"/>
      <c r="B162" s="108"/>
      <c r="C162" s="339"/>
      <c r="D162" s="321" t="s">
        <v>648</v>
      </c>
      <c r="E162" s="163">
        <v>0.14419999999999999</v>
      </c>
      <c r="F162" s="340">
        <v>6.8099999999999994E-2</v>
      </c>
      <c r="G162" s="108"/>
      <c r="H162" s="108"/>
      <c r="I162" s="108"/>
      <c r="J162" s="108"/>
      <c r="K162" s="108"/>
      <c r="L162" s="108"/>
      <c r="M162" s="108"/>
      <c r="N162" s="108"/>
      <c r="O162" s="108"/>
      <c r="P162" s="108"/>
      <c r="Q162" s="108"/>
      <c r="R162" s="108"/>
      <c r="S162" s="108"/>
      <c r="T162" s="108"/>
      <c r="U162" s="108"/>
      <c r="V162" s="108"/>
      <c r="W162" s="108"/>
      <c r="X162" s="108"/>
      <c r="Y162" s="108"/>
      <c r="Z162" s="108"/>
      <c r="AA162" s="108"/>
    </row>
    <row r="163" spans="1:27">
      <c r="A163" s="108"/>
      <c r="B163" s="108"/>
      <c r="C163" s="339"/>
      <c r="D163" s="321" t="s">
        <v>649</v>
      </c>
      <c r="E163" s="163">
        <v>0.1368</v>
      </c>
      <c r="F163" s="340">
        <v>7.22E-2</v>
      </c>
      <c r="G163" s="108"/>
      <c r="H163" s="108"/>
      <c r="I163" s="108"/>
      <c r="J163" s="108"/>
      <c r="K163" s="108"/>
      <c r="L163" s="108"/>
      <c r="M163" s="108"/>
      <c r="N163" s="108"/>
      <c r="O163" s="108"/>
      <c r="P163" s="108"/>
      <c r="Q163" s="108"/>
      <c r="R163" s="108"/>
      <c r="S163" s="108"/>
      <c r="T163" s="108"/>
      <c r="U163" s="108"/>
      <c r="V163" s="108"/>
      <c r="W163" s="108"/>
      <c r="X163" s="108"/>
      <c r="Y163" s="108"/>
      <c r="Z163" s="108"/>
      <c r="AA163" s="108"/>
    </row>
    <row r="164" spans="1:27">
      <c r="A164" s="108"/>
      <c r="B164" s="108"/>
      <c r="C164" s="339"/>
      <c r="D164" s="321" t="s">
        <v>683</v>
      </c>
      <c r="E164" s="163">
        <v>0.12939999999999999</v>
      </c>
      <c r="F164" s="340">
        <v>7.6399999999999996E-2</v>
      </c>
      <c r="G164" s="108"/>
      <c r="H164" s="108"/>
      <c r="I164" s="108"/>
      <c r="J164" s="108"/>
      <c r="K164" s="108"/>
      <c r="L164" s="108"/>
      <c r="M164" s="108"/>
      <c r="N164" s="108"/>
      <c r="O164" s="108"/>
      <c r="P164" s="108"/>
      <c r="Q164" s="108"/>
      <c r="R164" s="108"/>
      <c r="S164" s="108"/>
      <c r="T164" s="108"/>
      <c r="U164" s="108"/>
      <c r="V164" s="108"/>
      <c r="W164" s="108"/>
      <c r="X164" s="108"/>
      <c r="Y164" s="108"/>
      <c r="Z164" s="108"/>
      <c r="AA164" s="108"/>
    </row>
    <row r="165" spans="1:27">
      <c r="A165" s="108"/>
      <c r="B165" s="108"/>
      <c r="C165" s="339"/>
      <c r="D165" s="321" t="s">
        <v>684</v>
      </c>
      <c r="E165" s="163">
        <v>0.122</v>
      </c>
      <c r="F165" s="340">
        <v>8.0600000000000005E-2</v>
      </c>
      <c r="G165" s="108"/>
      <c r="H165" s="108"/>
      <c r="I165" s="108"/>
      <c r="J165" s="108"/>
      <c r="K165" s="108"/>
      <c r="L165" s="108"/>
      <c r="M165" s="108"/>
      <c r="N165" s="108"/>
      <c r="O165" s="108"/>
      <c r="P165" s="108"/>
      <c r="Q165" s="108"/>
      <c r="R165" s="108"/>
      <c r="S165" s="108"/>
      <c r="T165" s="108"/>
      <c r="U165" s="108"/>
      <c r="V165" s="108"/>
      <c r="W165" s="108"/>
      <c r="X165" s="108"/>
      <c r="Y165" s="108"/>
      <c r="Z165" s="108"/>
      <c r="AA165" s="108"/>
    </row>
    <row r="166" spans="1:27">
      <c r="A166" s="108"/>
      <c r="B166" s="108"/>
      <c r="C166" s="339"/>
      <c r="D166" s="321" t="s">
        <v>685</v>
      </c>
      <c r="E166" s="163">
        <v>0.11459999999999999</v>
      </c>
      <c r="F166" s="340">
        <v>8.48E-2</v>
      </c>
      <c r="G166" s="108"/>
      <c r="H166" s="108"/>
      <c r="I166" s="108"/>
      <c r="J166" s="108"/>
      <c r="K166" s="108"/>
      <c r="L166" s="108"/>
      <c r="M166" s="108"/>
      <c r="N166" s="108"/>
      <c r="O166" s="108"/>
      <c r="P166" s="108"/>
      <c r="Q166" s="108"/>
      <c r="R166" s="108"/>
      <c r="S166" s="108"/>
      <c r="T166" s="108"/>
      <c r="U166" s="108"/>
      <c r="V166" s="108"/>
      <c r="W166" s="108"/>
      <c r="X166" s="108"/>
      <c r="Y166" s="108"/>
      <c r="Z166" s="108"/>
      <c r="AA166" s="108"/>
    </row>
    <row r="167" spans="1:27">
      <c r="A167" s="108"/>
      <c r="B167" s="108"/>
      <c r="C167" s="339"/>
      <c r="D167" s="321" t="s">
        <v>686</v>
      </c>
      <c r="E167" s="163">
        <v>8.1299999999999997E-2</v>
      </c>
      <c r="F167" s="340">
        <v>0.10349999999999999</v>
      </c>
      <c r="G167" s="108"/>
      <c r="H167" s="108"/>
      <c r="I167" s="108"/>
      <c r="J167" s="108"/>
      <c r="K167" s="108"/>
      <c r="L167" s="108"/>
      <c r="M167" s="108"/>
      <c r="N167" s="108"/>
      <c r="O167" s="108"/>
      <c r="P167" s="108"/>
      <c r="Q167" s="108"/>
      <c r="R167" s="108"/>
      <c r="S167" s="108"/>
      <c r="T167" s="108"/>
      <c r="U167" s="108"/>
      <c r="V167" s="108"/>
      <c r="W167" s="108"/>
      <c r="X167" s="108"/>
      <c r="Y167" s="108"/>
      <c r="Z167" s="108"/>
      <c r="AA167" s="108"/>
    </row>
    <row r="168" spans="1:27">
      <c r="A168" s="108"/>
      <c r="B168" s="108"/>
      <c r="C168" s="339"/>
      <c r="D168" s="321" t="s">
        <v>687</v>
      </c>
      <c r="E168" s="163">
        <v>6.4600000000000005E-2</v>
      </c>
      <c r="F168" s="340">
        <v>9.8199999999999996E-2</v>
      </c>
      <c r="G168" s="108"/>
      <c r="H168" s="108"/>
      <c r="I168" s="108"/>
      <c r="J168" s="108"/>
      <c r="K168" s="108"/>
      <c r="L168" s="108"/>
      <c r="M168" s="108"/>
      <c r="N168" s="108"/>
      <c r="O168" s="108"/>
      <c r="P168" s="108"/>
      <c r="Q168" s="108"/>
      <c r="R168" s="108"/>
      <c r="S168" s="108"/>
      <c r="T168" s="108"/>
      <c r="U168" s="108"/>
      <c r="V168" s="108"/>
      <c r="W168" s="108"/>
      <c r="X168" s="108"/>
      <c r="Y168" s="108"/>
      <c r="Z168" s="108"/>
      <c r="AA168" s="108"/>
    </row>
    <row r="169" spans="1:27">
      <c r="A169" s="108"/>
      <c r="B169" s="108"/>
      <c r="C169" s="339"/>
      <c r="D169" s="321" t="s">
        <v>688</v>
      </c>
      <c r="E169" s="163">
        <v>5.1700000000000003E-2</v>
      </c>
      <c r="F169" s="340">
        <v>9.0800000000000006E-2</v>
      </c>
      <c r="G169" s="108"/>
      <c r="H169" s="108"/>
      <c r="I169" s="108"/>
      <c r="J169" s="108"/>
      <c r="K169" s="108"/>
      <c r="L169" s="108"/>
      <c r="M169" s="108"/>
      <c r="N169" s="108"/>
      <c r="O169" s="108"/>
      <c r="P169" s="108"/>
      <c r="Q169" s="108"/>
      <c r="R169" s="108"/>
      <c r="S169" s="108"/>
      <c r="T169" s="108"/>
      <c r="U169" s="108"/>
      <c r="V169" s="108"/>
      <c r="W169" s="108"/>
      <c r="X169" s="108"/>
      <c r="Y169" s="108"/>
      <c r="Z169" s="108"/>
      <c r="AA169" s="108"/>
    </row>
    <row r="170" spans="1:27">
      <c r="A170" s="108"/>
      <c r="B170" s="108"/>
      <c r="C170" s="339"/>
      <c r="D170" s="321" t="s">
        <v>689</v>
      </c>
      <c r="E170" s="163">
        <v>4.5199999999999997E-2</v>
      </c>
      <c r="F170" s="340">
        <v>8.7099999999999997E-2</v>
      </c>
      <c r="G170" s="108"/>
      <c r="H170" s="108"/>
      <c r="I170" s="108"/>
      <c r="J170" s="108"/>
      <c r="K170" s="108"/>
      <c r="L170" s="108"/>
      <c r="M170" s="108"/>
      <c r="N170" s="108"/>
      <c r="O170" s="108"/>
      <c r="P170" s="108"/>
      <c r="Q170" s="108"/>
      <c r="R170" s="108"/>
      <c r="S170" s="108"/>
      <c r="T170" s="108"/>
      <c r="U170" s="108"/>
      <c r="V170" s="108"/>
      <c r="W170" s="108"/>
      <c r="X170" s="108"/>
      <c r="Y170" s="108"/>
      <c r="Z170" s="108"/>
      <c r="AA170" s="108"/>
    </row>
    <row r="171" spans="1:27">
      <c r="A171" s="108"/>
      <c r="B171" s="108"/>
      <c r="C171" s="339"/>
      <c r="D171" s="321" t="s">
        <v>690</v>
      </c>
      <c r="E171" s="163">
        <v>4.5199999999999997E-2</v>
      </c>
      <c r="F171" s="340">
        <v>8.7099999999999997E-2</v>
      </c>
      <c r="G171" s="108"/>
      <c r="H171" s="108"/>
      <c r="I171" s="108"/>
      <c r="J171" s="108"/>
      <c r="K171" s="108"/>
      <c r="L171" s="108"/>
      <c r="M171" s="108"/>
      <c r="N171" s="108"/>
      <c r="O171" s="108"/>
      <c r="P171" s="108"/>
      <c r="Q171" s="108"/>
      <c r="R171" s="108"/>
      <c r="S171" s="108"/>
      <c r="T171" s="108"/>
      <c r="U171" s="108"/>
      <c r="V171" s="108"/>
      <c r="W171" s="108"/>
      <c r="X171" s="108"/>
      <c r="Y171" s="108"/>
      <c r="Z171" s="108"/>
      <c r="AA171" s="108"/>
    </row>
    <row r="172" spans="1:27">
      <c r="A172" s="108"/>
      <c r="B172" s="108"/>
      <c r="C172" s="339"/>
      <c r="D172" s="321" t="s">
        <v>691</v>
      </c>
      <c r="E172" s="163">
        <v>4.1200000000000001E-2</v>
      </c>
      <c r="F172" s="340">
        <v>7.8700000000000006E-2</v>
      </c>
      <c r="G172" s="108"/>
      <c r="H172" s="108"/>
      <c r="I172" s="108"/>
      <c r="J172" s="108"/>
      <c r="K172" s="108"/>
      <c r="L172" s="108"/>
      <c r="M172" s="108"/>
      <c r="N172" s="108"/>
      <c r="O172" s="108"/>
      <c r="P172" s="108"/>
      <c r="Q172" s="108"/>
      <c r="R172" s="108"/>
      <c r="S172" s="108"/>
      <c r="T172" s="108"/>
      <c r="U172" s="108"/>
      <c r="V172" s="108"/>
      <c r="W172" s="108"/>
      <c r="X172" s="108"/>
      <c r="Y172" s="108"/>
      <c r="Z172" s="108"/>
      <c r="AA172" s="108"/>
    </row>
    <row r="173" spans="1:27">
      <c r="A173" s="108"/>
      <c r="B173" s="108"/>
      <c r="C173" s="339"/>
      <c r="D173" s="321" t="s">
        <v>692</v>
      </c>
      <c r="E173" s="163">
        <v>3.3300000000000003E-2</v>
      </c>
      <c r="F173" s="340">
        <v>6.1800000000000001E-2</v>
      </c>
      <c r="G173" s="108"/>
      <c r="H173" s="108"/>
      <c r="I173" s="108"/>
      <c r="J173" s="108"/>
      <c r="K173" s="108"/>
      <c r="L173" s="108"/>
      <c r="M173" s="108"/>
      <c r="N173" s="108"/>
      <c r="O173" s="108"/>
      <c r="P173" s="108"/>
      <c r="Q173" s="108"/>
      <c r="R173" s="108"/>
      <c r="S173" s="108"/>
      <c r="T173" s="108"/>
      <c r="U173" s="108"/>
      <c r="V173" s="108"/>
      <c r="W173" s="108"/>
      <c r="X173" s="108"/>
      <c r="Y173" s="108"/>
      <c r="Z173" s="108"/>
      <c r="AA173" s="108"/>
    </row>
    <row r="174" spans="1:27">
      <c r="A174" s="108"/>
      <c r="B174" s="108"/>
      <c r="C174" s="339"/>
      <c r="D174" s="321" t="s">
        <v>693</v>
      </c>
      <c r="E174" s="163">
        <v>3.4000000000000002E-2</v>
      </c>
      <c r="F174" s="340">
        <v>6.3100000000000003E-2</v>
      </c>
      <c r="G174" s="108"/>
      <c r="H174" s="108"/>
      <c r="I174" s="108"/>
      <c r="J174" s="108"/>
      <c r="K174" s="108"/>
      <c r="L174" s="108"/>
      <c r="M174" s="108"/>
      <c r="N174" s="108"/>
      <c r="O174" s="108"/>
      <c r="P174" s="108"/>
      <c r="Q174" s="108"/>
      <c r="R174" s="108"/>
      <c r="S174" s="108"/>
      <c r="T174" s="108"/>
      <c r="U174" s="108"/>
      <c r="V174" s="108"/>
      <c r="W174" s="108"/>
      <c r="X174" s="108"/>
      <c r="Y174" s="108"/>
      <c r="Z174" s="108"/>
      <c r="AA174" s="108"/>
    </row>
    <row r="175" spans="1:27">
      <c r="A175" s="108"/>
      <c r="B175" s="108"/>
      <c r="C175" s="339"/>
      <c r="D175" s="321" t="s">
        <v>694</v>
      </c>
      <c r="E175" s="163">
        <v>2.2100000000000002E-2</v>
      </c>
      <c r="F175" s="340">
        <v>3.7900000000000003E-2</v>
      </c>
      <c r="G175" s="108"/>
      <c r="H175" s="108"/>
      <c r="I175" s="108"/>
      <c r="J175" s="108"/>
      <c r="K175" s="108"/>
      <c r="L175" s="108"/>
      <c r="M175" s="108"/>
      <c r="N175" s="108"/>
      <c r="O175" s="108"/>
      <c r="P175" s="108"/>
      <c r="Q175" s="108"/>
      <c r="R175" s="108"/>
      <c r="S175" s="108"/>
      <c r="T175" s="108"/>
      <c r="U175" s="108"/>
      <c r="V175" s="108"/>
      <c r="W175" s="108"/>
      <c r="X175" s="108"/>
      <c r="Y175" s="108"/>
      <c r="Z175" s="108"/>
      <c r="AA175" s="108"/>
    </row>
    <row r="176" spans="1:27">
      <c r="A176" s="108"/>
      <c r="B176" s="108"/>
      <c r="C176" s="339"/>
      <c r="D176" s="321" t="s">
        <v>695</v>
      </c>
      <c r="E176" s="163">
        <v>2.4199999999999999E-2</v>
      </c>
      <c r="F176" s="340">
        <v>4.24E-2</v>
      </c>
      <c r="G176" s="108"/>
      <c r="H176" s="108"/>
      <c r="I176" s="108"/>
      <c r="J176" s="108"/>
      <c r="K176" s="108"/>
      <c r="L176" s="108"/>
      <c r="M176" s="108"/>
      <c r="N176" s="108"/>
      <c r="O176" s="108"/>
      <c r="P176" s="108"/>
      <c r="Q176" s="108"/>
      <c r="R176" s="108"/>
      <c r="S176" s="108"/>
      <c r="T176" s="108"/>
      <c r="U176" s="108"/>
      <c r="V176" s="108"/>
      <c r="W176" s="108"/>
      <c r="X176" s="108"/>
      <c r="Y176" s="108"/>
      <c r="Z176" s="108"/>
      <c r="AA176" s="108"/>
    </row>
    <row r="177" spans="1:27">
      <c r="A177" s="108"/>
      <c r="B177" s="108"/>
      <c r="C177" s="339"/>
      <c r="D177" s="321" t="s">
        <v>660</v>
      </c>
      <c r="E177" s="163">
        <v>2.2100000000000002E-2</v>
      </c>
      <c r="F177" s="340">
        <v>3.73E-2</v>
      </c>
      <c r="G177" s="108"/>
      <c r="H177" s="108"/>
      <c r="I177" s="108"/>
      <c r="J177" s="108"/>
      <c r="K177" s="108"/>
      <c r="L177" s="108"/>
      <c r="M177" s="108"/>
      <c r="N177" s="108"/>
      <c r="O177" s="108"/>
      <c r="P177" s="108"/>
      <c r="Q177" s="108"/>
      <c r="R177" s="108"/>
      <c r="S177" s="108"/>
      <c r="T177" s="108"/>
      <c r="U177" s="108"/>
      <c r="V177" s="108"/>
      <c r="W177" s="108"/>
      <c r="X177" s="108"/>
      <c r="Y177" s="108"/>
      <c r="Z177" s="108"/>
      <c r="AA177" s="108"/>
    </row>
    <row r="178" spans="1:27">
      <c r="A178" s="108"/>
      <c r="B178" s="108"/>
      <c r="C178" s="339"/>
      <c r="D178" s="321" t="s">
        <v>661</v>
      </c>
      <c r="E178" s="163">
        <v>1.15E-2</v>
      </c>
      <c r="F178" s="340">
        <v>8.8000000000000005E-3</v>
      </c>
      <c r="G178" s="108"/>
      <c r="H178" s="108"/>
      <c r="I178" s="108"/>
      <c r="J178" s="108"/>
      <c r="K178" s="108"/>
      <c r="L178" s="108"/>
      <c r="M178" s="108"/>
      <c r="N178" s="108"/>
      <c r="O178" s="108"/>
      <c r="P178" s="108"/>
      <c r="Q178" s="108"/>
      <c r="R178" s="108"/>
      <c r="S178" s="108"/>
      <c r="T178" s="108"/>
      <c r="U178" s="108"/>
      <c r="V178" s="108"/>
      <c r="W178" s="108"/>
      <c r="X178" s="108"/>
      <c r="Y178" s="108"/>
      <c r="Z178" s="108"/>
      <c r="AA178" s="108"/>
    </row>
    <row r="179" spans="1:27">
      <c r="A179" s="108"/>
      <c r="B179" s="108"/>
      <c r="C179" s="339"/>
      <c r="D179" s="321" t="s">
        <v>662</v>
      </c>
      <c r="E179" s="163">
        <v>1.0500000000000001E-2</v>
      </c>
      <c r="F179" s="340">
        <v>6.4000000000000003E-3</v>
      </c>
      <c r="G179" s="108"/>
      <c r="H179" s="108"/>
      <c r="I179" s="108"/>
      <c r="J179" s="108"/>
      <c r="K179" s="108"/>
      <c r="L179" s="108"/>
      <c r="M179" s="108"/>
      <c r="N179" s="108"/>
      <c r="O179" s="108"/>
      <c r="P179" s="108"/>
      <c r="Q179" s="108"/>
      <c r="R179" s="108"/>
      <c r="S179" s="108"/>
      <c r="T179" s="108"/>
      <c r="U179" s="108"/>
      <c r="V179" s="108"/>
      <c r="W179" s="108"/>
      <c r="X179" s="108"/>
      <c r="Y179" s="108"/>
      <c r="Z179" s="108"/>
      <c r="AA179" s="108"/>
    </row>
    <row r="180" spans="1:27">
      <c r="A180" s="108"/>
      <c r="B180" s="108"/>
      <c r="C180" s="339"/>
      <c r="D180" s="321" t="s">
        <v>663</v>
      </c>
      <c r="E180" s="163">
        <v>1.0800000000000001E-2</v>
      </c>
      <c r="F180" s="340">
        <v>8.0000000000000002E-3</v>
      </c>
      <c r="G180" s="108"/>
      <c r="H180" s="108"/>
      <c r="I180" s="108"/>
      <c r="J180" s="108"/>
      <c r="K180" s="108"/>
      <c r="L180" s="108"/>
      <c r="M180" s="108"/>
      <c r="N180" s="108"/>
      <c r="O180" s="108"/>
      <c r="P180" s="108"/>
      <c r="Q180" s="108"/>
      <c r="R180" s="108"/>
      <c r="S180" s="108"/>
      <c r="T180" s="108"/>
      <c r="U180" s="108"/>
      <c r="V180" s="108"/>
      <c r="W180" s="108"/>
      <c r="X180" s="108"/>
      <c r="Y180" s="108"/>
      <c r="Z180" s="108"/>
      <c r="AA180" s="108"/>
    </row>
    <row r="181" spans="1:27">
      <c r="A181" s="108"/>
      <c r="B181" s="108"/>
      <c r="C181" s="339"/>
      <c r="D181" s="321" t="s">
        <v>664</v>
      </c>
      <c r="E181" s="163">
        <v>1.03E-2</v>
      </c>
      <c r="F181" s="340">
        <v>6.1000000000000004E-3</v>
      </c>
      <c r="G181" s="108"/>
      <c r="H181" s="108"/>
      <c r="I181" s="108"/>
      <c r="J181" s="108"/>
      <c r="K181" s="108"/>
      <c r="L181" s="108"/>
      <c r="M181" s="108"/>
      <c r="N181" s="108"/>
      <c r="O181" s="108"/>
      <c r="P181" s="108"/>
      <c r="Q181" s="108"/>
      <c r="R181" s="108"/>
      <c r="S181" s="108"/>
      <c r="T181" s="108"/>
      <c r="U181" s="108"/>
      <c r="V181" s="108"/>
      <c r="W181" s="108"/>
      <c r="X181" s="108"/>
      <c r="Y181" s="108"/>
      <c r="Z181" s="108"/>
      <c r="AA181" s="108"/>
    </row>
    <row r="182" spans="1:27">
      <c r="A182" s="108"/>
      <c r="B182" s="108"/>
      <c r="C182" s="339"/>
      <c r="D182" s="321" t="s">
        <v>665</v>
      </c>
      <c r="E182" s="338">
        <v>9.4999999999999998E-3</v>
      </c>
      <c r="F182" s="337">
        <v>3.5999999999999999E-3</v>
      </c>
      <c r="G182" s="108"/>
      <c r="H182" s="108"/>
      <c r="I182" s="108"/>
      <c r="J182" s="108"/>
      <c r="K182" s="108"/>
      <c r="L182" s="108"/>
      <c r="M182" s="108"/>
      <c r="N182" s="108"/>
      <c r="O182" s="108"/>
      <c r="P182" s="108"/>
      <c r="Q182" s="108"/>
      <c r="R182" s="108"/>
      <c r="S182" s="108"/>
      <c r="T182" s="108"/>
      <c r="U182" s="108"/>
      <c r="V182" s="108"/>
      <c r="W182" s="108"/>
      <c r="X182" s="108"/>
      <c r="Y182" s="108"/>
      <c r="Z182" s="108"/>
      <c r="AA182" s="108"/>
    </row>
    <row r="183" spans="1:27">
      <c r="A183" s="108"/>
      <c r="B183" s="108"/>
      <c r="C183" s="339"/>
      <c r="D183" s="321" t="s">
        <v>666</v>
      </c>
      <c r="E183" s="338">
        <v>9.4999999999999998E-3</v>
      </c>
      <c r="F183" s="337">
        <v>3.5999999999999999E-3</v>
      </c>
      <c r="G183" s="108"/>
      <c r="H183" s="108"/>
      <c r="I183" s="108"/>
      <c r="J183" s="108"/>
      <c r="K183" s="108"/>
      <c r="L183" s="108"/>
      <c r="M183" s="108"/>
      <c r="N183" s="108"/>
      <c r="O183" s="108"/>
      <c r="P183" s="108"/>
      <c r="Q183" s="108"/>
      <c r="R183" s="108"/>
      <c r="S183" s="108"/>
      <c r="T183" s="108"/>
      <c r="U183" s="108"/>
      <c r="V183" s="108"/>
      <c r="W183" s="108"/>
      <c r="X183" s="108"/>
      <c r="Y183" s="108"/>
      <c r="Z183" s="108"/>
      <c r="AA183" s="108"/>
    </row>
    <row r="184" spans="1:27">
      <c r="A184" s="108"/>
      <c r="B184" s="108"/>
      <c r="C184" s="339"/>
      <c r="D184" s="321" t="s">
        <v>667</v>
      </c>
      <c r="E184" s="338">
        <v>9.4999999999999998E-3</v>
      </c>
      <c r="F184" s="337">
        <v>3.5000000000000001E-3</v>
      </c>
      <c r="G184" s="108"/>
      <c r="H184" s="108"/>
      <c r="I184" s="108"/>
      <c r="J184" s="108"/>
      <c r="K184" s="108"/>
      <c r="L184" s="108"/>
      <c r="M184" s="108"/>
      <c r="N184" s="108"/>
      <c r="O184" s="108"/>
      <c r="P184" s="108"/>
      <c r="Q184" s="108"/>
      <c r="R184" s="108"/>
      <c r="S184" s="108"/>
      <c r="T184" s="108"/>
      <c r="U184" s="108"/>
      <c r="V184" s="108"/>
      <c r="W184" s="108"/>
      <c r="X184" s="108"/>
      <c r="Y184" s="108"/>
      <c r="Z184" s="108"/>
      <c r="AA184" s="108"/>
    </row>
    <row r="185" spans="1:27">
      <c r="A185" s="108"/>
      <c r="B185" s="108"/>
      <c r="C185" s="339"/>
      <c r="D185" s="321" t="s">
        <v>668</v>
      </c>
      <c r="E185" s="338">
        <v>9.5999999999999992E-3</v>
      </c>
      <c r="F185" s="337">
        <v>3.3999999999999998E-3</v>
      </c>
      <c r="G185" s="108"/>
      <c r="H185" s="108"/>
      <c r="I185" s="108"/>
      <c r="J185" s="108"/>
      <c r="K185" s="108"/>
      <c r="L185" s="108"/>
      <c r="M185" s="108"/>
      <c r="N185" s="108"/>
      <c r="O185" s="108"/>
      <c r="P185" s="108"/>
      <c r="Q185" s="108"/>
      <c r="R185" s="108"/>
      <c r="S185" s="108"/>
      <c r="T185" s="108"/>
      <c r="U185" s="108"/>
      <c r="V185" s="108"/>
      <c r="W185" s="108"/>
      <c r="X185" s="108"/>
      <c r="Y185" s="108"/>
      <c r="Z185" s="108"/>
      <c r="AA185" s="108"/>
    </row>
    <row r="186" spans="1:27">
      <c r="A186" s="108"/>
      <c r="B186" s="108"/>
      <c r="C186" s="339"/>
      <c r="D186" s="321" t="s">
        <v>669</v>
      </c>
      <c r="E186" s="338">
        <v>9.5999999999999992E-3</v>
      </c>
      <c r="F186" s="337">
        <v>3.3E-3</v>
      </c>
      <c r="G186" s="108"/>
      <c r="H186" s="108"/>
      <c r="I186" s="108"/>
      <c r="J186" s="108"/>
      <c r="K186" s="108"/>
      <c r="L186" s="108"/>
      <c r="M186" s="108"/>
      <c r="N186" s="108"/>
      <c r="O186" s="108"/>
      <c r="P186" s="108"/>
      <c r="Q186" s="108"/>
      <c r="R186" s="108"/>
      <c r="S186" s="108"/>
      <c r="T186" s="108"/>
      <c r="U186" s="108"/>
      <c r="V186" s="108"/>
      <c r="W186" s="108"/>
      <c r="X186" s="108"/>
      <c r="Y186" s="108"/>
      <c r="Z186" s="108"/>
      <c r="AA186" s="108"/>
    </row>
    <row r="187" spans="1:27">
      <c r="A187" s="108"/>
      <c r="B187" s="108"/>
      <c r="C187" s="339"/>
      <c r="D187" s="321" t="s">
        <v>670</v>
      </c>
      <c r="E187" s="338">
        <v>9.4999999999999998E-3</v>
      </c>
      <c r="F187" s="337">
        <v>3.5000000000000001E-3</v>
      </c>
      <c r="G187" s="108"/>
      <c r="H187" s="108"/>
      <c r="I187" s="108"/>
      <c r="J187" s="108"/>
      <c r="K187" s="108"/>
      <c r="L187" s="108"/>
      <c r="M187" s="108"/>
      <c r="N187" s="108"/>
      <c r="O187" s="108"/>
      <c r="P187" s="108"/>
      <c r="Q187" s="108"/>
      <c r="R187" s="108"/>
      <c r="S187" s="108"/>
      <c r="T187" s="108"/>
      <c r="U187" s="108"/>
      <c r="V187" s="108"/>
      <c r="W187" s="108"/>
      <c r="X187" s="108"/>
      <c r="Y187" s="108"/>
      <c r="Z187" s="108"/>
      <c r="AA187" s="108"/>
    </row>
    <row r="188" spans="1:27">
      <c r="A188" s="108"/>
      <c r="B188" s="108"/>
      <c r="C188" s="339"/>
      <c r="D188" s="321" t="s">
        <v>671</v>
      </c>
      <c r="E188" s="338">
        <v>9.4999999999999998E-3</v>
      </c>
      <c r="F188" s="337">
        <v>3.3E-3</v>
      </c>
      <c r="G188" s="108"/>
      <c r="H188" s="108"/>
      <c r="I188" s="108"/>
      <c r="J188" s="108"/>
      <c r="K188" s="108"/>
      <c r="L188" s="108"/>
      <c r="M188" s="108"/>
      <c r="N188" s="108"/>
      <c r="O188" s="108"/>
      <c r="P188" s="108"/>
      <c r="Q188" s="108"/>
      <c r="R188" s="108"/>
      <c r="S188" s="108"/>
      <c r="T188" s="108"/>
      <c r="U188" s="108"/>
      <c r="V188" s="108"/>
      <c r="W188" s="108"/>
      <c r="X188" s="108"/>
      <c r="Y188" s="108"/>
      <c r="Z188" s="108"/>
      <c r="AA188" s="108"/>
    </row>
    <row r="189" spans="1:27">
      <c r="A189" s="108"/>
      <c r="B189" s="108"/>
      <c r="C189" s="339"/>
      <c r="D189" s="321" t="s">
        <v>672</v>
      </c>
      <c r="E189" s="338">
        <v>9.4000000000000004E-3</v>
      </c>
      <c r="F189" s="337">
        <v>3.0999999999999999E-3</v>
      </c>
      <c r="G189" s="108"/>
      <c r="H189" s="108"/>
      <c r="I189" s="108"/>
      <c r="J189" s="108"/>
      <c r="K189" s="108"/>
      <c r="L189" s="108"/>
      <c r="M189" s="108"/>
      <c r="N189" s="108"/>
      <c r="O189" s="108"/>
      <c r="P189" s="108"/>
      <c r="Q189" s="108"/>
      <c r="R189" s="108"/>
      <c r="S189" s="108"/>
      <c r="T189" s="108"/>
      <c r="U189" s="108"/>
      <c r="V189" s="108"/>
      <c r="W189" s="108"/>
      <c r="X189" s="108"/>
      <c r="Y189" s="108"/>
      <c r="Z189" s="108"/>
      <c r="AA189" s="108"/>
    </row>
    <row r="190" spans="1:27">
      <c r="A190" s="108"/>
      <c r="B190" s="108"/>
      <c r="C190" s="339"/>
      <c r="D190" s="321" t="s">
        <v>673</v>
      </c>
      <c r="E190" s="338">
        <v>9.1000000000000004E-3</v>
      </c>
      <c r="F190" s="337">
        <v>2.8999999999999998E-3</v>
      </c>
      <c r="G190" s="108"/>
      <c r="H190" s="108"/>
      <c r="I190" s="108"/>
      <c r="J190" s="108"/>
      <c r="K190" s="108"/>
      <c r="L190" s="108"/>
      <c r="M190" s="108"/>
      <c r="N190" s="108"/>
      <c r="O190" s="108"/>
      <c r="P190" s="108"/>
      <c r="Q190" s="108"/>
      <c r="R190" s="108"/>
      <c r="S190" s="108"/>
      <c r="T190" s="108"/>
      <c r="U190" s="108"/>
      <c r="V190" s="108"/>
      <c r="W190" s="108"/>
      <c r="X190" s="108"/>
      <c r="Y190" s="108"/>
      <c r="Z190" s="108"/>
      <c r="AA190" s="108"/>
    </row>
    <row r="191" spans="1:27">
      <c r="A191" s="108"/>
      <c r="B191" s="108"/>
      <c r="C191" s="339"/>
      <c r="D191" s="321" t="s">
        <v>674</v>
      </c>
      <c r="E191" s="338">
        <v>8.3999999999999995E-3</v>
      </c>
      <c r="F191" s="337">
        <v>1.8E-3</v>
      </c>
      <c r="G191" s="108"/>
      <c r="H191" s="108"/>
      <c r="I191" s="108"/>
      <c r="J191" s="108"/>
      <c r="K191" s="108"/>
      <c r="L191" s="108"/>
      <c r="M191" s="108"/>
      <c r="N191" s="108"/>
      <c r="O191" s="108"/>
      <c r="P191" s="108"/>
      <c r="Q191" s="108"/>
      <c r="R191" s="108"/>
      <c r="S191" s="108"/>
      <c r="T191" s="108"/>
      <c r="U191" s="108"/>
      <c r="V191" s="108"/>
      <c r="W191" s="108"/>
      <c r="X191" s="108"/>
      <c r="Y191" s="108"/>
      <c r="Z191" s="108"/>
      <c r="AA191" s="108"/>
    </row>
    <row r="192" spans="1:27">
      <c r="A192" s="108"/>
      <c r="B192" s="108"/>
      <c r="C192" s="339"/>
      <c r="D192" s="321" t="s">
        <v>675</v>
      </c>
      <c r="E192" s="338">
        <v>8.0999999999999996E-3</v>
      </c>
      <c r="F192" s="337">
        <v>1.5E-3</v>
      </c>
      <c r="G192" s="108"/>
      <c r="H192" s="108"/>
      <c r="I192" s="108"/>
      <c r="J192" s="108"/>
      <c r="K192" s="108"/>
      <c r="L192" s="108"/>
      <c r="M192" s="108"/>
      <c r="N192" s="108"/>
      <c r="O192" s="108"/>
      <c r="P192" s="108"/>
      <c r="Q192" s="108"/>
      <c r="R192" s="108"/>
      <c r="S192" s="108"/>
      <c r="T192" s="108"/>
      <c r="U192" s="108"/>
      <c r="V192" s="108"/>
      <c r="W192" s="108"/>
      <c r="X192" s="108"/>
      <c r="Y192" s="108"/>
      <c r="Z192" s="108"/>
      <c r="AA192" s="108"/>
    </row>
    <row r="193" spans="1:27">
      <c r="A193" s="108"/>
      <c r="B193" s="108"/>
      <c r="C193" s="339"/>
      <c r="D193" s="335" t="s">
        <v>696</v>
      </c>
      <c r="E193" s="338">
        <v>8.0000000000000002E-3</v>
      </c>
      <c r="F193" s="337">
        <v>1.2999999999999999E-3</v>
      </c>
      <c r="G193" s="108"/>
      <c r="H193" s="108"/>
      <c r="I193" s="108"/>
      <c r="J193" s="108"/>
      <c r="K193" s="108"/>
      <c r="L193" s="108"/>
      <c r="M193" s="108"/>
      <c r="N193" s="108"/>
      <c r="O193" s="108"/>
      <c r="P193" s="108"/>
      <c r="Q193" s="108"/>
      <c r="R193" s="108"/>
      <c r="S193" s="108"/>
      <c r="T193" s="108"/>
      <c r="U193" s="108"/>
      <c r="V193" s="108"/>
      <c r="W193" s="108"/>
      <c r="X193" s="108"/>
      <c r="Y193" s="108"/>
      <c r="Z193" s="108"/>
      <c r="AA193" s="108"/>
    </row>
    <row r="194" spans="1:27" ht="14" thickBot="1">
      <c r="A194" s="108"/>
      <c r="B194" s="108"/>
      <c r="C194" s="336"/>
      <c r="D194" s="335" t="s">
        <v>676</v>
      </c>
      <c r="E194" s="158">
        <v>7.9000000000000008E-3</v>
      </c>
      <c r="F194" s="334">
        <v>1.1999999999999999E-3</v>
      </c>
      <c r="G194" s="108"/>
      <c r="H194" s="108"/>
      <c r="I194" s="108"/>
      <c r="J194" s="108"/>
      <c r="K194" s="108"/>
      <c r="L194" s="108"/>
      <c r="M194" s="108"/>
      <c r="N194" s="108"/>
      <c r="O194" s="108"/>
      <c r="P194" s="108"/>
      <c r="Q194" s="108"/>
      <c r="R194" s="108"/>
      <c r="S194" s="108"/>
      <c r="T194" s="108"/>
      <c r="U194" s="108"/>
      <c r="V194" s="108"/>
      <c r="W194" s="108"/>
      <c r="X194" s="108"/>
      <c r="Y194" s="108"/>
      <c r="Z194" s="108"/>
      <c r="AA194" s="108"/>
    </row>
    <row r="195" spans="1:27">
      <c r="A195" s="108"/>
      <c r="B195" s="108"/>
      <c r="C195" s="343" t="s">
        <v>697</v>
      </c>
      <c r="D195" s="325" t="s">
        <v>698</v>
      </c>
      <c r="E195" s="342">
        <v>0.46039999999999998</v>
      </c>
      <c r="F195" s="341">
        <v>4.9700000000000001E-2</v>
      </c>
      <c r="G195" s="108"/>
      <c r="H195" s="108"/>
      <c r="I195" s="108"/>
      <c r="J195" s="108"/>
      <c r="K195" s="108"/>
      <c r="L195" s="108"/>
      <c r="M195" s="108"/>
      <c r="N195" s="108"/>
      <c r="O195" s="108"/>
      <c r="P195" s="108"/>
      <c r="Q195" s="108"/>
      <c r="R195" s="108"/>
      <c r="S195" s="108"/>
      <c r="T195" s="108"/>
      <c r="U195" s="108"/>
      <c r="V195" s="108"/>
      <c r="W195" s="108"/>
      <c r="X195" s="108"/>
      <c r="Y195" s="108"/>
      <c r="Z195" s="108"/>
      <c r="AA195" s="108"/>
    </row>
    <row r="196" spans="1:27">
      <c r="A196" s="108"/>
      <c r="B196" s="108"/>
      <c r="C196" s="339"/>
      <c r="D196" s="321" t="s">
        <v>699</v>
      </c>
      <c r="E196" s="163">
        <v>0.44919999999999999</v>
      </c>
      <c r="F196" s="340">
        <v>5.3800000000000001E-2</v>
      </c>
      <c r="G196" s="108"/>
      <c r="H196" s="108"/>
      <c r="I196" s="108"/>
      <c r="J196" s="108"/>
      <c r="K196" s="108"/>
      <c r="L196" s="108"/>
      <c r="M196" s="108"/>
      <c r="N196" s="108"/>
      <c r="O196" s="108"/>
      <c r="P196" s="108"/>
      <c r="Q196" s="108"/>
      <c r="R196" s="108"/>
      <c r="S196" s="108"/>
      <c r="T196" s="108"/>
      <c r="U196" s="108"/>
      <c r="V196" s="108"/>
      <c r="W196" s="108"/>
      <c r="X196" s="108"/>
      <c r="Y196" s="108"/>
      <c r="Z196" s="108"/>
      <c r="AA196" s="108"/>
    </row>
    <row r="197" spans="1:27">
      <c r="A197" s="108"/>
      <c r="B197" s="108"/>
      <c r="C197" s="339"/>
      <c r="D197" s="321" t="s">
        <v>700</v>
      </c>
      <c r="E197" s="163">
        <v>0.40899999999999997</v>
      </c>
      <c r="F197" s="340">
        <v>5.1499999999999997E-2</v>
      </c>
      <c r="G197" s="108"/>
      <c r="H197" s="108"/>
      <c r="I197" s="108"/>
      <c r="J197" s="108"/>
      <c r="K197" s="108"/>
      <c r="L197" s="108"/>
      <c r="M197" s="108"/>
      <c r="N197" s="108"/>
      <c r="O197" s="108"/>
      <c r="P197" s="108"/>
      <c r="Q197" s="108"/>
      <c r="R197" s="108"/>
      <c r="S197" s="108"/>
      <c r="T197" s="108"/>
      <c r="U197" s="108"/>
      <c r="V197" s="108"/>
      <c r="W197" s="108"/>
      <c r="X197" s="108"/>
      <c r="Y197" s="108"/>
      <c r="Z197" s="108"/>
      <c r="AA197" s="108"/>
    </row>
    <row r="198" spans="1:27">
      <c r="A198" s="108"/>
      <c r="B198" s="108"/>
      <c r="C198" s="339"/>
      <c r="D198" s="321" t="s">
        <v>701</v>
      </c>
      <c r="E198" s="163">
        <v>0.36749999999999999</v>
      </c>
      <c r="F198" s="340">
        <v>8.4900000000000003E-2</v>
      </c>
      <c r="G198" s="108"/>
      <c r="H198" s="108"/>
      <c r="I198" s="108"/>
      <c r="J198" s="108"/>
      <c r="K198" s="108"/>
      <c r="L198" s="108"/>
      <c r="M198" s="108"/>
      <c r="N198" s="108"/>
      <c r="O198" s="108"/>
      <c r="P198" s="108"/>
      <c r="Q198" s="108"/>
      <c r="R198" s="108"/>
      <c r="S198" s="108"/>
      <c r="T198" s="108"/>
      <c r="U198" s="108"/>
      <c r="V198" s="108"/>
      <c r="W198" s="108"/>
      <c r="X198" s="108"/>
      <c r="Y198" s="108"/>
      <c r="Z198" s="108"/>
      <c r="AA198" s="108"/>
    </row>
    <row r="199" spans="1:27">
      <c r="A199" s="108"/>
      <c r="B199" s="108"/>
      <c r="C199" s="339"/>
      <c r="D199" s="321" t="s">
        <v>702</v>
      </c>
      <c r="E199" s="163">
        <v>0.34920000000000001</v>
      </c>
      <c r="F199" s="340">
        <v>9.3299999999999994E-2</v>
      </c>
      <c r="G199" s="108"/>
      <c r="H199" s="108"/>
      <c r="I199" s="108"/>
      <c r="J199" s="108"/>
      <c r="K199" s="108"/>
      <c r="L199" s="108"/>
      <c r="M199" s="108"/>
      <c r="N199" s="108"/>
      <c r="O199" s="108"/>
      <c r="P199" s="108"/>
      <c r="Q199" s="108"/>
      <c r="R199" s="108"/>
      <c r="S199" s="108"/>
      <c r="T199" s="108"/>
      <c r="U199" s="108"/>
      <c r="V199" s="108"/>
      <c r="W199" s="108"/>
      <c r="X199" s="108"/>
      <c r="Y199" s="108"/>
      <c r="Z199" s="108"/>
      <c r="AA199" s="108"/>
    </row>
    <row r="200" spans="1:27">
      <c r="A200" s="108"/>
      <c r="B200" s="108"/>
      <c r="C200" s="339"/>
      <c r="D200" s="321" t="s">
        <v>703</v>
      </c>
      <c r="E200" s="163">
        <v>0.3246</v>
      </c>
      <c r="F200" s="340">
        <v>0.1142</v>
      </c>
      <c r="G200" s="108"/>
      <c r="H200" s="108"/>
      <c r="I200" s="108"/>
      <c r="J200" s="108"/>
      <c r="K200" s="108"/>
      <c r="L200" s="108"/>
      <c r="M200" s="108"/>
      <c r="N200" s="108"/>
      <c r="O200" s="108"/>
      <c r="P200" s="108"/>
      <c r="Q200" s="108"/>
      <c r="R200" s="108"/>
      <c r="S200" s="108"/>
      <c r="T200" s="108"/>
      <c r="U200" s="108"/>
      <c r="V200" s="108"/>
      <c r="W200" s="108"/>
      <c r="X200" s="108"/>
      <c r="Y200" s="108"/>
      <c r="Z200" s="108"/>
      <c r="AA200" s="108"/>
    </row>
    <row r="201" spans="1:27">
      <c r="A201" s="108"/>
      <c r="B201" s="108"/>
      <c r="C201" s="339"/>
      <c r="D201" s="321" t="s">
        <v>689</v>
      </c>
      <c r="E201" s="163">
        <v>0.1278</v>
      </c>
      <c r="F201" s="340">
        <v>0.16800000000000001</v>
      </c>
      <c r="G201" s="108"/>
      <c r="H201" s="108"/>
      <c r="I201" s="108"/>
      <c r="J201" s="108"/>
      <c r="K201" s="108"/>
      <c r="L201" s="108"/>
      <c r="M201" s="108"/>
      <c r="N201" s="108"/>
      <c r="O201" s="108"/>
      <c r="P201" s="108"/>
      <c r="Q201" s="108"/>
      <c r="R201" s="108"/>
      <c r="S201" s="108"/>
      <c r="T201" s="108"/>
      <c r="U201" s="108"/>
      <c r="V201" s="108"/>
      <c r="W201" s="108"/>
      <c r="X201" s="108"/>
      <c r="Y201" s="108"/>
      <c r="Z201" s="108"/>
      <c r="AA201" s="108"/>
    </row>
    <row r="202" spans="1:27">
      <c r="A202" s="108"/>
      <c r="B202" s="108"/>
      <c r="C202" s="339"/>
      <c r="D202" s="321" t="s">
        <v>690</v>
      </c>
      <c r="E202" s="163">
        <v>9.2399999999999996E-2</v>
      </c>
      <c r="F202" s="340">
        <v>0.1726</v>
      </c>
      <c r="G202" s="108"/>
      <c r="H202" s="108"/>
      <c r="I202" s="108"/>
      <c r="J202" s="108"/>
      <c r="K202" s="108"/>
      <c r="L202" s="108"/>
      <c r="M202" s="108"/>
      <c r="N202" s="108"/>
      <c r="O202" s="108"/>
      <c r="P202" s="108"/>
      <c r="Q202" s="108"/>
      <c r="R202" s="108"/>
      <c r="S202" s="108"/>
      <c r="T202" s="108"/>
      <c r="U202" s="108"/>
      <c r="V202" s="108"/>
      <c r="W202" s="108"/>
      <c r="X202" s="108"/>
      <c r="Y202" s="108"/>
      <c r="Z202" s="108"/>
      <c r="AA202" s="108"/>
    </row>
    <row r="203" spans="1:27">
      <c r="A203" s="108"/>
      <c r="B203" s="108"/>
      <c r="C203" s="339"/>
      <c r="D203" s="321" t="s">
        <v>691</v>
      </c>
      <c r="E203" s="163">
        <v>6.5500000000000003E-2</v>
      </c>
      <c r="F203" s="340">
        <v>0.17499999999999999</v>
      </c>
      <c r="G203" s="108"/>
      <c r="H203" s="108"/>
      <c r="I203" s="108"/>
      <c r="J203" s="108"/>
      <c r="K203" s="108"/>
      <c r="L203" s="108"/>
      <c r="M203" s="108"/>
      <c r="N203" s="108"/>
      <c r="O203" s="108"/>
      <c r="P203" s="108"/>
      <c r="Q203" s="108"/>
      <c r="R203" s="108"/>
      <c r="S203" s="108"/>
      <c r="T203" s="108"/>
      <c r="U203" s="108"/>
      <c r="V203" s="108"/>
      <c r="W203" s="108"/>
      <c r="X203" s="108"/>
      <c r="Y203" s="108"/>
      <c r="Z203" s="108"/>
      <c r="AA203" s="108"/>
    </row>
    <row r="204" spans="1:27">
      <c r="A204" s="108"/>
      <c r="B204" s="108"/>
      <c r="C204" s="339"/>
      <c r="D204" s="321" t="s">
        <v>692</v>
      </c>
      <c r="E204" s="163">
        <v>6.4799999999999996E-2</v>
      </c>
      <c r="F204" s="340">
        <v>0.1724</v>
      </c>
      <c r="G204" s="108"/>
      <c r="H204" s="108"/>
      <c r="I204" s="108"/>
      <c r="J204" s="108"/>
      <c r="K204" s="108"/>
      <c r="L204" s="108"/>
      <c r="M204" s="108"/>
      <c r="N204" s="108"/>
      <c r="O204" s="108"/>
      <c r="P204" s="108"/>
      <c r="Q204" s="108"/>
      <c r="R204" s="108"/>
      <c r="S204" s="108"/>
      <c r="T204" s="108"/>
      <c r="U204" s="108"/>
      <c r="V204" s="108"/>
      <c r="W204" s="108"/>
      <c r="X204" s="108"/>
      <c r="Y204" s="108"/>
      <c r="Z204" s="108"/>
      <c r="AA204" s="108"/>
    </row>
    <row r="205" spans="1:27">
      <c r="A205" s="108"/>
      <c r="B205" s="108"/>
      <c r="C205" s="339"/>
      <c r="D205" s="321" t="s">
        <v>693</v>
      </c>
      <c r="E205" s="163">
        <v>6.3E-2</v>
      </c>
      <c r="F205" s="340">
        <v>0.16600000000000001</v>
      </c>
      <c r="G205" s="108"/>
      <c r="H205" s="108"/>
      <c r="I205" s="108"/>
      <c r="J205" s="108"/>
      <c r="K205" s="108"/>
      <c r="L205" s="108"/>
      <c r="M205" s="108"/>
      <c r="N205" s="108"/>
      <c r="O205" s="108"/>
      <c r="P205" s="108"/>
      <c r="Q205" s="108"/>
      <c r="R205" s="108"/>
      <c r="S205" s="108"/>
      <c r="T205" s="108"/>
      <c r="U205" s="108"/>
      <c r="V205" s="108"/>
      <c r="W205" s="108"/>
      <c r="X205" s="108"/>
      <c r="Y205" s="108"/>
      <c r="Z205" s="108"/>
      <c r="AA205" s="108"/>
    </row>
    <row r="206" spans="1:27">
      <c r="A206" s="108"/>
      <c r="B206" s="108"/>
      <c r="C206" s="339"/>
      <c r="D206" s="321" t="s">
        <v>694</v>
      </c>
      <c r="E206" s="163">
        <v>5.7700000000000001E-2</v>
      </c>
      <c r="F206" s="340">
        <v>0.14680000000000001</v>
      </c>
      <c r="G206" s="108"/>
      <c r="H206" s="108"/>
      <c r="I206" s="108"/>
      <c r="J206" s="108"/>
      <c r="K206" s="108"/>
      <c r="L206" s="108"/>
      <c r="M206" s="108"/>
      <c r="N206" s="108"/>
      <c r="O206" s="108"/>
      <c r="P206" s="108"/>
      <c r="Q206" s="108"/>
      <c r="R206" s="108"/>
      <c r="S206" s="108"/>
      <c r="T206" s="108"/>
      <c r="U206" s="108"/>
      <c r="V206" s="108"/>
      <c r="W206" s="108"/>
      <c r="X206" s="108"/>
      <c r="Y206" s="108"/>
      <c r="Z206" s="108"/>
      <c r="AA206" s="108"/>
    </row>
    <row r="207" spans="1:27">
      <c r="A207" s="108"/>
      <c r="B207" s="108"/>
      <c r="C207" s="339"/>
      <c r="D207" s="321" t="s">
        <v>695</v>
      </c>
      <c r="E207" s="163">
        <v>6.3399999999999998E-2</v>
      </c>
      <c r="F207" s="340">
        <v>0.1673</v>
      </c>
      <c r="G207" s="108"/>
      <c r="H207" s="108"/>
      <c r="I207" s="108"/>
      <c r="J207" s="108"/>
      <c r="K207" s="108"/>
      <c r="L207" s="108"/>
      <c r="M207" s="108"/>
      <c r="N207" s="108"/>
      <c r="O207" s="108"/>
      <c r="P207" s="108"/>
      <c r="Q207" s="108"/>
      <c r="R207" s="108"/>
      <c r="S207" s="108"/>
      <c r="T207" s="108"/>
      <c r="U207" s="108"/>
      <c r="V207" s="108"/>
      <c r="W207" s="108"/>
      <c r="X207" s="108"/>
      <c r="Y207" s="108"/>
      <c r="Z207" s="108"/>
      <c r="AA207" s="108"/>
    </row>
    <row r="208" spans="1:27">
      <c r="A208" s="108"/>
      <c r="B208" s="108"/>
      <c r="C208" s="339"/>
      <c r="D208" s="321" t="s">
        <v>660</v>
      </c>
      <c r="E208" s="163">
        <v>6.0199999999999997E-2</v>
      </c>
      <c r="F208" s="340">
        <v>0.15529999999999999</v>
      </c>
      <c r="G208" s="108"/>
      <c r="H208" s="108"/>
      <c r="I208" s="108"/>
      <c r="J208" s="108"/>
      <c r="K208" s="108"/>
      <c r="L208" s="108"/>
      <c r="M208" s="108"/>
      <c r="N208" s="108"/>
      <c r="O208" s="108"/>
      <c r="P208" s="108"/>
      <c r="Q208" s="108"/>
      <c r="R208" s="108"/>
      <c r="S208" s="108"/>
      <c r="T208" s="108"/>
      <c r="U208" s="108"/>
      <c r="V208" s="108"/>
      <c r="W208" s="108"/>
      <c r="X208" s="108"/>
      <c r="Y208" s="108"/>
      <c r="Z208" s="108"/>
      <c r="AA208" s="108"/>
    </row>
    <row r="209" spans="1:27">
      <c r="A209" s="108"/>
      <c r="B209" s="108"/>
      <c r="C209" s="339"/>
      <c r="D209" s="321" t="s">
        <v>661</v>
      </c>
      <c r="E209" s="163">
        <v>2.98E-2</v>
      </c>
      <c r="F209" s="340">
        <v>1.6400000000000001E-2</v>
      </c>
      <c r="G209" s="108"/>
      <c r="H209" s="108"/>
      <c r="I209" s="108"/>
      <c r="J209" s="108"/>
      <c r="K209" s="108"/>
      <c r="L209" s="108"/>
      <c r="M209" s="108"/>
      <c r="N209" s="108"/>
      <c r="O209" s="108"/>
      <c r="P209" s="108"/>
      <c r="Q209" s="108"/>
      <c r="R209" s="108"/>
      <c r="S209" s="108"/>
      <c r="T209" s="108"/>
      <c r="U209" s="108"/>
      <c r="V209" s="108"/>
      <c r="W209" s="108"/>
      <c r="X209" s="108"/>
      <c r="Y209" s="108"/>
      <c r="Z209" s="108"/>
      <c r="AA209" s="108"/>
    </row>
    <row r="210" spans="1:27">
      <c r="A210" s="108"/>
      <c r="B210" s="108"/>
      <c r="C210" s="339"/>
      <c r="D210" s="321" t="s">
        <v>662</v>
      </c>
      <c r="E210" s="163">
        <v>2.9700000000000001E-2</v>
      </c>
      <c r="F210" s="340">
        <v>8.3000000000000001E-3</v>
      </c>
      <c r="G210" s="108"/>
      <c r="H210" s="108"/>
      <c r="I210" s="108"/>
      <c r="J210" s="108"/>
      <c r="K210" s="108"/>
      <c r="L210" s="108"/>
      <c r="M210" s="108"/>
      <c r="N210" s="108"/>
      <c r="O210" s="108"/>
      <c r="P210" s="108"/>
      <c r="Q210" s="108"/>
      <c r="R210" s="108"/>
      <c r="S210" s="108"/>
      <c r="T210" s="108"/>
      <c r="U210" s="108"/>
      <c r="V210" s="108"/>
      <c r="W210" s="108"/>
      <c r="X210" s="108"/>
      <c r="Y210" s="108"/>
      <c r="Z210" s="108"/>
      <c r="AA210" s="108"/>
    </row>
    <row r="211" spans="1:27">
      <c r="A211" s="108"/>
      <c r="B211" s="108"/>
      <c r="C211" s="339"/>
      <c r="D211" s="321" t="s">
        <v>663</v>
      </c>
      <c r="E211" s="163">
        <v>2.9899999999999999E-2</v>
      </c>
      <c r="F211" s="340">
        <v>2.41E-2</v>
      </c>
      <c r="G211" s="108"/>
      <c r="H211" s="108"/>
      <c r="I211" s="108"/>
      <c r="J211" s="108"/>
      <c r="K211" s="108"/>
      <c r="L211" s="108"/>
      <c r="M211" s="108"/>
      <c r="N211" s="108"/>
      <c r="O211" s="108"/>
      <c r="P211" s="108"/>
      <c r="Q211" s="108"/>
      <c r="R211" s="108"/>
      <c r="S211" s="108"/>
      <c r="T211" s="108"/>
      <c r="U211" s="108"/>
      <c r="V211" s="108"/>
      <c r="W211" s="108"/>
      <c r="X211" s="108"/>
      <c r="Y211" s="108"/>
      <c r="Z211" s="108"/>
      <c r="AA211" s="108"/>
    </row>
    <row r="212" spans="1:27">
      <c r="A212" s="108"/>
      <c r="B212" s="108"/>
      <c r="C212" s="339"/>
      <c r="D212" s="321" t="s">
        <v>664</v>
      </c>
      <c r="E212" s="163">
        <v>3.2199999999999999E-2</v>
      </c>
      <c r="F212" s="340">
        <v>1.5E-3</v>
      </c>
      <c r="G212" s="108"/>
      <c r="H212" s="108"/>
      <c r="I212" s="108"/>
      <c r="J212" s="108"/>
      <c r="K212" s="108"/>
      <c r="L212" s="108"/>
      <c r="M212" s="108"/>
      <c r="N212" s="108"/>
      <c r="O212" s="108"/>
      <c r="P212" s="108"/>
      <c r="Q212" s="108"/>
      <c r="R212" s="108"/>
      <c r="S212" s="108"/>
      <c r="T212" s="108"/>
      <c r="U212" s="108"/>
      <c r="V212" s="108"/>
      <c r="W212" s="108"/>
      <c r="X212" s="108"/>
      <c r="Y212" s="108"/>
      <c r="Z212" s="108"/>
      <c r="AA212" s="108"/>
    </row>
    <row r="213" spans="1:27">
      <c r="A213" s="108"/>
      <c r="B213" s="108"/>
      <c r="C213" s="339"/>
      <c r="D213" s="321" t="s">
        <v>665</v>
      </c>
      <c r="E213" s="338">
        <v>3.4000000000000002E-2</v>
      </c>
      <c r="F213" s="337">
        <v>1.5E-3</v>
      </c>
      <c r="G213" s="108"/>
      <c r="H213" s="108"/>
      <c r="I213" s="108"/>
      <c r="J213" s="108"/>
      <c r="K213" s="108"/>
      <c r="L213" s="108"/>
      <c r="M213" s="108"/>
      <c r="N213" s="108"/>
      <c r="O213" s="108"/>
      <c r="P213" s="108"/>
      <c r="Q213" s="108"/>
      <c r="R213" s="108"/>
      <c r="S213" s="108"/>
      <c r="T213" s="108"/>
      <c r="U213" s="108"/>
      <c r="V213" s="108"/>
      <c r="W213" s="108"/>
      <c r="X213" s="108"/>
      <c r="Y213" s="108"/>
      <c r="Z213" s="108"/>
      <c r="AA213" s="108"/>
    </row>
    <row r="214" spans="1:27">
      <c r="A214" s="108"/>
      <c r="B214" s="108"/>
      <c r="C214" s="339"/>
      <c r="D214" s="321" t="s">
        <v>666</v>
      </c>
      <c r="E214" s="338">
        <v>3.39E-2</v>
      </c>
      <c r="F214" s="337">
        <v>1.5E-3</v>
      </c>
      <c r="G214" s="108"/>
      <c r="H214" s="108"/>
      <c r="I214" s="108"/>
      <c r="J214" s="108"/>
      <c r="K214" s="108"/>
      <c r="L214" s="108"/>
      <c r="M214" s="108"/>
      <c r="N214" s="108"/>
      <c r="O214" s="108"/>
      <c r="P214" s="108"/>
      <c r="Q214" s="108"/>
      <c r="R214" s="108"/>
      <c r="S214" s="108"/>
      <c r="T214" s="108"/>
      <c r="U214" s="108"/>
      <c r="V214" s="108"/>
      <c r="W214" s="108"/>
      <c r="X214" s="108"/>
      <c r="Y214" s="108"/>
      <c r="Z214" s="108"/>
      <c r="AA214" s="108"/>
    </row>
    <row r="215" spans="1:27">
      <c r="A215" s="108"/>
      <c r="B215" s="108"/>
      <c r="C215" s="339"/>
      <c r="D215" s="321" t="s">
        <v>667</v>
      </c>
      <c r="E215" s="338">
        <v>3.2000000000000001E-2</v>
      </c>
      <c r="F215" s="337">
        <v>1.5E-3</v>
      </c>
      <c r="G215" s="108"/>
      <c r="H215" s="108"/>
      <c r="I215" s="108"/>
      <c r="J215" s="108"/>
      <c r="K215" s="108"/>
      <c r="L215" s="108"/>
      <c r="M215" s="108"/>
      <c r="N215" s="108"/>
      <c r="O215" s="108"/>
      <c r="P215" s="108"/>
      <c r="Q215" s="108"/>
      <c r="R215" s="108"/>
      <c r="S215" s="108"/>
      <c r="T215" s="108"/>
      <c r="U215" s="108"/>
      <c r="V215" s="108"/>
      <c r="W215" s="108"/>
      <c r="X215" s="108"/>
      <c r="Y215" s="108"/>
      <c r="Z215" s="108"/>
      <c r="AA215" s="108"/>
    </row>
    <row r="216" spans="1:27">
      <c r="A216" s="108"/>
      <c r="B216" s="108"/>
      <c r="C216" s="339"/>
      <c r="D216" s="321" t="s">
        <v>668</v>
      </c>
      <c r="E216" s="338">
        <v>3.04E-2</v>
      </c>
      <c r="F216" s="337">
        <v>1.5E-3</v>
      </c>
      <c r="G216" s="108"/>
      <c r="H216" s="108"/>
      <c r="I216" s="108"/>
      <c r="J216" s="108"/>
      <c r="K216" s="108"/>
      <c r="L216" s="108"/>
      <c r="M216" s="108"/>
      <c r="N216" s="108"/>
      <c r="O216" s="108"/>
      <c r="P216" s="108"/>
      <c r="Q216" s="108"/>
      <c r="R216" s="108"/>
      <c r="S216" s="108"/>
      <c r="T216" s="108"/>
      <c r="U216" s="108"/>
      <c r="V216" s="108"/>
      <c r="W216" s="108"/>
      <c r="X216" s="108"/>
      <c r="Y216" s="108"/>
      <c r="Z216" s="108"/>
      <c r="AA216" s="108"/>
    </row>
    <row r="217" spans="1:27">
      <c r="A217" s="108"/>
      <c r="B217" s="108"/>
      <c r="C217" s="339"/>
      <c r="D217" s="321" t="s">
        <v>669</v>
      </c>
      <c r="E217" s="338">
        <v>3.1300000000000001E-2</v>
      </c>
      <c r="F217" s="337">
        <v>1.5E-3</v>
      </c>
      <c r="G217" s="108"/>
      <c r="H217" s="108"/>
      <c r="I217" s="108"/>
      <c r="J217" s="108"/>
      <c r="K217" s="108"/>
      <c r="L217" s="108"/>
      <c r="M217" s="108"/>
      <c r="N217" s="108"/>
      <c r="O217" s="108"/>
      <c r="P217" s="108"/>
      <c r="Q217" s="108"/>
      <c r="R217" s="108"/>
      <c r="S217" s="108"/>
      <c r="T217" s="108"/>
      <c r="U217" s="108"/>
      <c r="V217" s="108"/>
      <c r="W217" s="108"/>
      <c r="X217" s="108"/>
      <c r="Y217" s="108"/>
      <c r="Z217" s="108"/>
      <c r="AA217" s="108"/>
    </row>
    <row r="218" spans="1:27">
      <c r="A218" s="108"/>
      <c r="B218" s="108"/>
      <c r="C218" s="339"/>
      <c r="D218" s="321" t="s">
        <v>670</v>
      </c>
      <c r="E218" s="338">
        <v>3.1300000000000001E-2</v>
      </c>
      <c r="F218" s="337">
        <v>1.5E-3</v>
      </c>
      <c r="G218" s="108"/>
      <c r="H218" s="108"/>
      <c r="I218" s="108"/>
      <c r="J218" s="108"/>
      <c r="K218" s="108"/>
      <c r="L218" s="108"/>
      <c r="M218" s="108"/>
      <c r="N218" s="108"/>
      <c r="O218" s="108"/>
      <c r="P218" s="108"/>
      <c r="Q218" s="108"/>
      <c r="R218" s="108"/>
      <c r="S218" s="108"/>
      <c r="T218" s="108"/>
      <c r="U218" s="108"/>
      <c r="V218" s="108"/>
      <c r="W218" s="108"/>
      <c r="X218" s="108"/>
      <c r="Y218" s="108"/>
      <c r="Z218" s="108"/>
      <c r="AA218" s="108"/>
    </row>
    <row r="219" spans="1:27">
      <c r="A219" s="108"/>
      <c r="B219" s="108"/>
      <c r="C219" s="339"/>
      <c r="D219" s="321" t="s">
        <v>671</v>
      </c>
      <c r="E219" s="338">
        <v>3.15E-2</v>
      </c>
      <c r="F219" s="337">
        <v>1.5E-3</v>
      </c>
      <c r="G219" s="108"/>
      <c r="H219" s="108"/>
      <c r="I219" s="108"/>
      <c r="J219" s="108"/>
      <c r="K219" s="108"/>
      <c r="L219" s="108"/>
      <c r="M219" s="108"/>
      <c r="N219" s="108"/>
      <c r="O219" s="108"/>
      <c r="P219" s="108"/>
      <c r="Q219" s="108"/>
      <c r="R219" s="108"/>
      <c r="S219" s="108"/>
      <c r="T219" s="108"/>
      <c r="U219" s="108"/>
      <c r="V219" s="108"/>
      <c r="W219" s="108"/>
      <c r="X219" s="108"/>
      <c r="Y219" s="108"/>
      <c r="Z219" s="108"/>
      <c r="AA219" s="108"/>
    </row>
    <row r="220" spans="1:27">
      <c r="A220" s="108"/>
      <c r="B220" s="108"/>
      <c r="C220" s="339"/>
      <c r="D220" s="321" t="s">
        <v>672</v>
      </c>
      <c r="E220" s="338">
        <v>3.32E-2</v>
      </c>
      <c r="F220" s="337">
        <v>2.0999999999999999E-3</v>
      </c>
      <c r="G220" s="108"/>
      <c r="H220" s="108"/>
      <c r="I220" s="108"/>
      <c r="J220" s="108"/>
      <c r="K220" s="108"/>
      <c r="L220" s="108"/>
      <c r="M220" s="108"/>
      <c r="N220" s="108"/>
      <c r="O220" s="108"/>
      <c r="P220" s="108"/>
      <c r="Q220" s="108"/>
      <c r="R220" s="108"/>
      <c r="S220" s="108"/>
      <c r="T220" s="108"/>
      <c r="U220" s="108"/>
      <c r="V220" s="108"/>
      <c r="W220" s="108"/>
      <c r="X220" s="108"/>
      <c r="Y220" s="108"/>
      <c r="Z220" s="108"/>
      <c r="AA220" s="108"/>
    </row>
    <row r="221" spans="1:27">
      <c r="A221" s="108"/>
      <c r="B221" s="108"/>
      <c r="C221" s="339"/>
      <c r="D221" s="321" t="s">
        <v>673</v>
      </c>
      <c r="E221" s="338">
        <v>3.2099999999999997E-2</v>
      </c>
      <c r="F221" s="337">
        <v>6.1000000000000004E-3</v>
      </c>
      <c r="G221" s="108"/>
      <c r="H221" s="108"/>
      <c r="I221" s="108"/>
      <c r="J221" s="108"/>
      <c r="K221" s="108"/>
      <c r="L221" s="108"/>
      <c r="M221" s="108"/>
      <c r="N221" s="108"/>
      <c r="O221" s="108"/>
      <c r="P221" s="108"/>
      <c r="Q221" s="108"/>
      <c r="R221" s="108"/>
      <c r="S221" s="108"/>
      <c r="T221" s="108"/>
      <c r="U221" s="108"/>
      <c r="V221" s="108"/>
      <c r="W221" s="108"/>
      <c r="X221" s="108"/>
      <c r="Y221" s="108"/>
      <c r="Z221" s="108"/>
      <c r="AA221" s="108"/>
    </row>
    <row r="222" spans="1:27">
      <c r="A222" s="108"/>
      <c r="B222" s="108"/>
      <c r="C222" s="339"/>
      <c r="D222" s="321" t="s">
        <v>674</v>
      </c>
      <c r="E222" s="338">
        <v>3.2899999999999999E-2</v>
      </c>
      <c r="F222" s="337">
        <v>8.3999999999999995E-3</v>
      </c>
      <c r="G222" s="108"/>
      <c r="H222" s="108"/>
      <c r="I222" s="108"/>
      <c r="J222" s="108"/>
      <c r="K222" s="108"/>
      <c r="L222" s="108"/>
      <c r="M222" s="108"/>
      <c r="N222" s="108"/>
      <c r="O222" s="108"/>
      <c r="P222" s="108"/>
      <c r="Q222" s="108"/>
      <c r="R222" s="108"/>
      <c r="S222" s="108"/>
      <c r="T222" s="108"/>
      <c r="U222" s="108"/>
      <c r="V222" s="108"/>
      <c r="W222" s="108"/>
      <c r="X222" s="108"/>
      <c r="Y222" s="108"/>
      <c r="Z222" s="108"/>
      <c r="AA222" s="108"/>
    </row>
    <row r="223" spans="1:27">
      <c r="A223" s="108"/>
      <c r="B223" s="108"/>
      <c r="C223" s="339"/>
      <c r="D223" s="321" t="s">
        <v>675</v>
      </c>
      <c r="E223" s="338">
        <v>3.2599999999999997E-2</v>
      </c>
      <c r="F223" s="337">
        <v>8.2000000000000007E-3</v>
      </c>
      <c r="G223" s="108"/>
      <c r="H223" s="108"/>
      <c r="I223" s="108"/>
      <c r="J223" s="108"/>
      <c r="K223" s="108"/>
      <c r="L223" s="108"/>
      <c r="M223" s="108"/>
      <c r="N223" s="108"/>
      <c r="O223" s="108"/>
      <c r="P223" s="108"/>
      <c r="Q223" s="108"/>
      <c r="R223" s="108"/>
      <c r="S223" s="108"/>
      <c r="T223" s="108"/>
      <c r="U223" s="108"/>
      <c r="V223" s="108"/>
      <c r="W223" s="108"/>
      <c r="X223" s="108"/>
      <c r="Y223" s="108"/>
      <c r="Z223" s="108"/>
      <c r="AA223" s="108"/>
    </row>
    <row r="224" spans="1:27">
      <c r="A224" s="108"/>
      <c r="B224" s="108"/>
      <c r="C224" s="339"/>
      <c r="D224" s="335" t="s">
        <v>696</v>
      </c>
      <c r="E224" s="338">
        <v>3.3000000000000002E-2</v>
      </c>
      <c r="F224" s="337">
        <v>9.1000000000000004E-3</v>
      </c>
      <c r="G224" s="108"/>
      <c r="H224" s="108"/>
      <c r="I224" s="108"/>
      <c r="J224" s="108"/>
      <c r="K224" s="108"/>
      <c r="L224" s="108"/>
      <c r="M224" s="108"/>
      <c r="N224" s="108"/>
      <c r="O224" s="108"/>
      <c r="P224" s="108"/>
      <c r="Q224" s="108"/>
      <c r="R224" s="108"/>
      <c r="S224" s="108"/>
      <c r="T224" s="108"/>
      <c r="U224" s="108"/>
      <c r="V224" s="108"/>
      <c r="W224" s="108"/>
      <c r="X224" s="108"/>
      <c r="Y224" s="108"/>
      <c r="Z224" s="108"/>
      <c r="AA224" s="108"/>
    </row>
    <row r="225" spans="1:27" ht="14" thickBot="1">
      <c r="A225" s="108"/>
      <c r="B225" s="108"/>
      <c r="C225" s="336"/>
      <c r="D225" s="335" t="s">
        <v>676</v>
      </c>
      <c r="E225" s="158">
        <v>3.2800000000000003E-2</v>
      </c>
      <c r="F225" s="334">
        <v>9.7999999999999997E-3</v>
      </c>
      <c r="G225" s="108"/>
      <c r="H225" s="108"/>
      <c r="I225" s="108"/>
      <c r="J225" s="108"/>
      <c r="K225" s="108"/>
      <c r="L225" s="108"/>
      <c r="M225" s="108"/>
      <c r="N225" s="108"/>
      <c r="O225" s="108"/>
      <c r="P225" s="108"/>
      <c r="Q225" s="108"/>
      <c r="R225" s="108"/>
      <c r="S225" s="108"/>
      <c r="T225" s="108"/>
      <c r="U225" s="108"/>
      <c r="V225" s="108"/>
      <c r="W225" s="108"/>
      <c r="X225" s="108"/>
      <c r="Y225" s="108"/>
      <c r="Z225" s="108"/>
      <c r="AA225" s="108"/>
    </row>
    <row r="226" spans="1:27">
      <c r="A226" s="108"/>
      <c r="B226" s="108"/>
      <c r="C226" s="2135" t="s">
        <v>704</v>
      </c>
      <c r="D226" s="325" t="s">
        <v>705</v>
      </c>
      <c r="E226" s="333">
        <v>7.0000000000000001E-3</v>
      </c>
      <c r="F226" s="332">
        <v>8.3000000000000001E-3</v>
      </c>
      <c r="G226" s="108"/>
      <c r="H226" s="108"/>
      <c r="I226" s="108"/>
      <c r="J226" s="108"/>
      <c r="K226" s="108"/>
      <c r="L226" s="108"/>
      <c r="M226" s="108"/>
      <c r="N226" s="108"/>
      <c r="O226" s="108"/>
      <c r="P226" s="108"/>
      <c r="Q226" s="108"/>
      <c r="R226" s="108"/>
      <c r="S226" s="108"/>
      <c r="T226" s="108"/>
      <c r="U226" s="108"/>
      <c r="V226" s="108"/>
      <c r="W226" s="108"/>
      <c r="X226" s="108"/>
      <c r="Y226" s="108"/>
      <c r="Z226" s="108"/>
      <c r="AA226" s="108"/>
    </row>
    <row r="227" spans="1:27">
      <c r="A227" s="108"/>
      <c r="B227" s="108"/>
      <c r="C227" s="2132"/>
      <c r="D227" s="331" t="s">
        <v>706</v>
      </c>
      <c r="E227" s="330" t="s">
        <v>707</v>
      </c>
      <c r="F227" s="297" t="s">
        <v>707</v>
      </c>
      <c r="G227" s="108"/>
      <c r="H227" s="108"/>
      <c r="I227" s="108"/>
      <c r="J227" s="108"/>
      <c r="K227" s="108"/>
      <c r="L227" s="108"/>
      <c r="M227" s="108"/>
      <c r="N227" s="108"/>
      <c r="O227" s="108"/>
      <c r="P227" s="108"/>
      <c r="Q227" s="108"/>
      <c r="R227" s="108"/>
      <c r="S227" s="108"/>
      <c r="T227" s="108"/>
      <c r="U227" s="108"/>
      <c r="V227" s="108"/>
      <c r="W227" s="108"/>
      <c r="X227" s="108"/>
      <c r="Y227" s="108"/>
      <c r="Z227" s="108"/>
      <c r="AA227" s="108"/>
    </row>
    <row r="228" spans="1:27" ht="14" thickBot="1">
      <c r="A228" s="108"/>
      <c r="B228" s="108"/>
      <c r="C228" s="2134"/>
      <c r="D228" s="329" t="s">
        <v>708</v>
      </c>
      <c r="E228" s="328">
        <v>7.0000000000000001E-3</v>
      </c>
      <c r="F228" s="327">
        <v>8.3000000000000001E-3</v>
      </c>
      <c r="G228" s="108"/>
      <c r="H228" s="108"/>
      <c r="I228" s="108"/>
      <c r="J228" s="108"/>
      <c r="K228" s="108"/>
      <c r="L228" s="108"/>
      <c r="M228" s="108"/>
      <c r="N228" s="108"/>
      <c r="O228" s="108"/>
      <c r="P228" s="108"/>
      <c r="Q228" s="108"/>
      <c r="R228" s="108"/>
      <c r="S228" s="108"/>
      <c r="T228" s="108"/>
      <c r="U228" s="108"/>
      <c r="V228" s="108"/>
      <c r="W228" s="108"/>
      <c r="X228" s="108"/>
      <c r="Y228" s="108"/>
      <c r="Z228" s="108"/>
      <c r="AA228" s="108"/>
    </row>
    <row r="229" spans="1:27">
      <c r="A229" s="108"/>
      <c r="B229" s="151"/>
      <c r="C229" s="239" t="s">
        <v>709</v>
      </c>
      <c r="D229" s="108"/>
      <c r="E229" s="108"/>
      <c r="F229" s="108"/>
      <c r="G229" s="108"/>
      <c r="H229" s="108"/>
      <c r="I229" s="130"/>
      <c r="J229" s="108"/>
      <c r="K229" s="108"/>
      <c r="L229" s="108"/>
      <c r="M229" s="108"/>
      <c r="N229" s="108"/>
      <c r="O229" s="108"/>
      <c r="P229" s="108"/>
      <c r="Q229" s="108"/>
      <c r="R229" s="108"/>
      <c r="S229" s="108"/>
      <c r="T229" s="108"/>
      <c r="U229" s="108"/>
      <c r="V229" s="108"/>
      <c r="W229" s="108"/>
      <c r="X229" s="108"/>
      <c r="Y229" s="108"/>
      <c r="Z229" s="108"/>
      <c r="AA229" s="108"/>
    </row>
    <row r="230" spans="1:27" ht="40.5" customHeight="1">
      <c r="A230" s="108"/>
      <c r="B230" s="151"/>
      <c r="C230" s="2138" t="s">
        <v>710</v>
      </c>
      <c r="D230" s="2138"/>
      <c r="E230" s="2138"/>
      <c r="F230" s="2138"/>
      <c r="G230" s="2138"/>
      <c r="H230" s="2138"/>
      <c r="I230" s="2138"/>
      <c r="J230" s="2138"/>
      <c r="K230" s="2138"/>
      <c r="L230" s="2138"/>
      <c r="M230" s="108"/>
      <c r="N230" s="108"/>
      <c r="O230" s="108"/>
      <c r="P230" s="108"/>
      <c r="Q230" s="108"/>
      <c r="R230" s="108"/>
      <c r="S230" s="108"/>
      <c r="T230" s="108"/>
      <c r="U230" s="108"/>
      <c r="V230" s="108"/>
      <c r="W230" s="108"/>
      <c r="X230" s="108"/>
      <c r="Y230" s="108"/>
      <c r="Z230" s="108"/>
      <c r="AA230" s="108"/>
    </row>
    <row r="231" spans="1:27">
      <c r="A231" s="108"/>
      <c r="B231" s="151"/>
      <c r="C231" s="108"/>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c r="AA231" s="108"/>
    </row>
    <row r="232" spans="1:27" ht="18">
      <c r="B232" s="141" t="s">
        <v>711</v>
      </c>
      <c r="C232" s="236" t="s">
        <v>712</v>
      </c>
      <c r="D232" s="139"/>
      <c r="E232" s="139"/>
      <c r="F232" s="139"/>
      <c r="G232" s="139"/>
      <c r="H232" s="139"/>
      <c r="I232" s="139"/>
      <c r="J232" s="139"/>
      <c r="K232" s="139"/>
      <c r="L232" s="138"/>
      <c r="M232" s="108"/>
      <c r="N232" s="108"/>
      <c r="O232" s="108"/>
      <c r="P232" s="108"/>
      <c r="Q232" s="108"/>
      <c r="R232" s="108"/>
      <c r="S232" s="108"/>
      <c r="T232" s="108"/>
      <c r="U232" s="108"/>
      <c r="V232" s="108"/>
      <c r="W232" s="108"/>
      <c r="X232" s="108"/>
      <c r="Y232" s="108"/>
      <c r="Z232" s="108"/>
      <c r="AA232" s="108"/>
    </row>
    <row r="233" spans="1:27" ht="14" thickBot="1">
      <c r="A233" s="108"/>
      <c r="B233" s="108"/>
      <c r="C233" s="152"/>
      <c r="D233" s="152"/>
      <c r="E233" s="152"/>
      <c r="F233" s="152"/>
      <c r="G233" s="108"/>
      <c r="H233" s="108"/>
      <c r="I233" s="108"/>
      <c r="J233" s="108"/>
      <c r="K233" s="108"/>
      <c r="L233" s="108"/>
      <c r="M233" s="108"/>
      <c r="N233" s="108"/>
      <c r="O233" s="108"/>
      <c r="P233" s="108"/>
      <c r="Q233" s="108"/>
      <c r="R233" s="108"/>
      <c r="S233" s="108"/>
      <c r="T233" s="108"/>
      <c r="U233" s="108"/>
      <c r="V233" s="108"/>
      <c r="W233" s="108"/>
      <c r="X233" s="108"/>
      <c r="Y233" s="108"/>
      <c r="Z233" s="108"/>
      <c r="AA233" s="108"/>
    </row>
    <row r="234" spans="1:27" ht="31" thickBot="1">
      <c r="A234" s="108"/>
      <c r="B234" s="108"/>
      <c r="C234" s="326" t="s">
        <v>638</v>
      </c>
      <c r="D234" s="192" t="s">
        <v>530</v>
      </c>
      <c r="E234" s="192" t="s">
        <v>713</v>
      </c>
      <c r="F234" s="192" t="s">
        <v>714</v>
      </c>
      <c r="G234" s="191" t="s">
        <v>640</v>
      </c>
      <c r="H234" s="186"/>
      <c r="I234" s="108"/>
      <c r="J234" s="108"/>
      <c r="K234" s="108"/>
      <c r="L234" s="108"/>
      <c r="M234" s="108"/>
      <c r="N234" s="108"/>
      <c r="O234" s="108"/>
      <c r="P234" s="108"/>
      <c r="Q234" s="108"/>
      <c r="R234" s="108"/>
      <c r="S234" s="108"/>
      <c r="T234" s="108"/>
      <c r="U234" s="108"/>
      <c r="V234" s="108"/>
      <c r="W234" s="108"/>
      <c r="X234" s="108"/>
      <c r="Y234" s="108"/>
      <c r="Z234" s="108"/>
      <c r="AA234" s="108"/>
    </row>
    <row r="235" spans="1:27">
      <c r="A235" s="108"/>
      <c r="B235" s="108"/>
      <c r="C235" s="2148" t="s">
        <v>715</v>
      </c>
      <c r="D235" s="2142" t="s">
        <v>716</v>
      </c>
      <c r="E235" s="325" t="s">
        <v>717</v>
      </c>
      <c r="F235" s="318">
        <v>5.9999999999999995E-4</v>
      </c>
      <c r="G235" s="313">
        <v>1.1999999999999999E-3</v>
      </c>
      <c r="H235" s="186"/>
      <c r="I235" s="105"/>
      <c r="J235" s="108"/>
      <c r="K235" s="108"/>
      <c r="L235" s="108"/>
      <c r="M235" s="108"/>
      <c r="N235" s="108"/>
      <c r="O235" s="108"/>
      <c r="P235" s="108"/>
      <c r="Q235" s="108"/>
      <c r="R235" s="108"/>
      <c r="S235" s="108"/>
      <c r="T235" s="108"/>
      <c r="U235" s="108"/>
      <c r="V235" s="108"/>
      <c r="W235" s="108"/>
      <c r="X235" s="108"/>
      <c r="Y235" s="108"/>
      <c r="Z235" s="108"/>
      <c r="AA235" s="108"/>
    </row>
    <row r="236" spans="1:27">
      <c r="A236" s="108"/>
      <c r="B236" s="108"/>
      <c r="C236" s="2149"/>
      <c r="D236" s="2143"/>
      <c r="E236" s="321" t="s">
        <v>718</v>
      </c>
      <c r="F236" s="318">
        <v>5.0000000000000001E-4</v>
      </c>
      <c r="G236" s="313">
        <v>1E-3</v>
      </c>
      <c r="H236" s="130"/>
      <c r="I236" s="108"/>
      <c r="J236" s="108"/>
      <c r="K236" s="108"/>
      <c r="L236" s="108"/>
      <c r="M236" s="108"/>
      <c r="N236" s="108"/>
      <c r="O236" s="108"/>
      <c r="P236" s="108"/>
      <c r="Q236" s="108"/>
      <c r="R236" s="108"/>
      <c r="S236" s="108"/>
      <c r="T236" s="108"/>
      <c r="U236" s="108"/>
      <c r="V236" s="108"/>
      <c r="W236" s="108"/>
      <c r="X236" s="108"/>
      <c r="Y236" s="108"/>
      <c r="Z236" s="108"/>
      <c r="AA236" s="108"/>
    </row>
    <row r="237" spans="1:27">
      <c r="A237" s="108"/>
      <c r="B237" s="108"/>
      <c r="C237" s="2137"/>
      <c r="D237" s="2140"/>
      <c r="E237" s="320" t="s">
        <v>719</v>
      </c>
      <c r="F237" s="318">
        <v>3.0200000000000001E-2</v>
      </c>
      <c r="G237" s="313">
        <v>1.9199999999999998E-2</v>
      </c>
      <c r="H237" s="319"/>
      <c r="I237" s="130"/>
      <c r="J237" s="108"/>
      <c r="K237" s="108"/>
      <c r="L237" s="108"/>
      <c r="M237" s="108"/>
      <c r="N237" s="108"/>
      <c r="O237" s="108"/>
      <c r="P237" s="108"/>
      <c r="Q237" s="108"/>
      <c r="R237" s="108"/>
      <c r="S237" s="108"/>
      <c r="T237" s="108"/>
      <c r="U237" s="108"/>
      <c r="V237" s="108"/>
      <c r="W237" s="108"/>
      <c r="X237" s="108"/>
      <c r="Y237" s="108"/>
      <c r="Z237" s="108"/>
      <c r="AA237" s="108"/>
    </row>
    <row r="238" spans="1:27">
      <c r="A238" s="108"/>
      <c r="B238" s="324"/>
      <c r="C238" s="2136" t="s">
        <v>720</v>
      </c>
      <c r="D238" s="2139" t="s">
        <v>716</v>
      </c>
      <c r="E238" s="321" t="s">
        <v>717</v>
      </c>
      <c r="F238" s="323">
        <v>1.1000000000000001E-3</v>
      </c>
      <c r="G238" s="322">
        <v>1.6999999999999999E-3</v>
      </c>
      <c r="H238" s="319"/>
      <c r="I238" s="130"/>
      <c r="J238" s="108"/>
      <c r="K238" s="108"/>
      <c r="L238" s="108"/>
      <c r="M238" s="108"/>
      <c r="N238" s="108"/>
      <c r="O238" s="108"/>
      <c r="P238" s="108"/>
      <c r="Q238" s="108"/>
      <c r="R238" s="108"/>
      <c r="S238" s="108"/>
      <c r="T238" s="108"/>
      <c r="U238" s="108"/>
      <c r="V238" s="108"/>
      <c r="W238" s="108"/>
      <c r="X238" s="108"/>
      <c r="Y238" s="108"/>
      <c r="Z238" s="108"/>
      <c r="AA238" s="108"/>
    </row>
    <row r="239" spans="1:27">
      <c r="A239" s="108"/>
      <c r="B239" s="324"/>
      <c r="C239" s="2149"/>
      <c r="D239" s="2143"/>
      <c r="E239" s="321" t="s">
        <v>718</v>
      </c>
      <c r="F239" s="323">
        <v>8.9999999999999998E-4</v>
      </c>
      <c r="G239" s="322">
        <v>1.4E-3</v>
      </c>
      <c r="H239" s="130"/>
      <c r="I239" s="108"/>
      <c r="J239" s="108"/>
      <c r="K239" s="108"/>
      <c r="L239" s="108"/>
      <c r="M239" s="108"/>
      <c r="N239" s="108"/>
      <c r="O239" s="108"/>
      <c r="P239" s="108"/>
      <c r="Q239" s="108"/>
      <c r="R239" s="108"/>
      <c r="S239" s="108"/>
      <c r="T239" s="108"/>
      <c r="U239" s="108"/>
      <c r="V239" s="108"/>
      <c r="W239" s="108"/>
      <c r="X239" s="108"/>
      <c r="Y239" s="108"/>
      <c r="Z239" s="108"/>
      <c r="AA239" s="108"/>
    </row>
    <row r="240" spans="1:27">
      <c r="A240" s="108"/>
      <c r="B240" s="324"/>
      <c r="C240" s="2137"/>
      <c r="D240" s="2140"/>
      <c r="E240" s="320" t="s">
        <v>719</v>
      </c>
      <c r="F240" s="323">
        <v>2.9000000000000001E-2</v>
      </c>
      <c r="G240" s="322">
        <v>2.1399999999999999E-2</v>
      </c>
      <c r="H240" s="319"/>
      <c r="I240" s="108"/>
      <c r="J240" s="108"/>
      <c r="K240" s="108"/>
      <c r="L240" s="108"/>
      <c r="M240" s="108"/>
      <c r="N240" s="108"/>
      <c r="O240" s="108"/>
      <c r="P240" s="108"/>
      <c r="Q240" s="108"/>
      <c r="R240" s="108"/>
      <c r="S240" s="108"/>
      <c r="T240" s="108"/>
      <c r="U240" s="108"/>
      <c r="V240" s="108"/>
      <c r="W240" s="108"/>
      <c r="X240" s="108"/>
      <c r="Y240" s="108"/>
      <c r="Z240" s="108"/>
      <c r="AA240" s="108"/>
    </row>
    <row r="241" spans="1:27">
      <c r="A241" s="108"/>
      <c r="B241" s="108"/>
      <c r="C241" s="2136" t="s">
        <v>721</v>
      </c>
      <c r="D241" s="2139" t="s">
        <v>716</v>
      </c>
      <c r="E241" s="321" t="s">
        <v>722</v>
      </c>
      <c r="F241" s="318">
        <v>5.1000000000000004E-3</v>
      </c>
      <c r="G241" s="313">
        <v>4.7999999999999996E-3</v>
      </c>
      <c r="H241" s="319"/>
      <c r="I241" s="108"/>
      <c r="J241" s="108"/>
      <c r="K241" s="108"/>
      <c r="L241" s="108"/>
      <c r="M241" s="108"/>
      <c r="N241" s="108"/>
      <c r="O241" s="108"/>
      <c r="P241" s="108"/>
      <c r="Q241" s="108"/>
      <c r="R241" s="108"/>
      <c r="S241" s="108"/>
      <c r="T241" s="108"/>
      <c r="U241" s="108"/>
      <c r="V241" s="108"/>
      <c r="W241" s="108"/>
      <c r="X241" s="108"/>
      <c r="Y241" s="108"/>
      <c r="Z241" s="108"/>
      <c r="AA241" s="108"/>
    </row>
    <row r="242" spans="1:27">
      <c r="A242" s="108"/>
      <c r="B242" s="108"/>
      <c r="C242" s="2137"/>
      <c r="D242" s="2140"/>
      <c r="E242" s="320" t="s">
        <v>719</v>
      </c>
      <c r="F242" s="318">
        <v>9.4999999999999998E-3</v>
      </c>
      <c r="G242" s="313">
        <v>4.3099999999999999E-2</v>
      </c>
      <c r="H242" s="319"/>
      <c r="I242" s="108"/>
      <c r="J242" s="108"/>
      <c r="K242" s="108"/>
      <c r="L242" s="108"/>
      <c r="M242" s="108"/>
      <c r="N242" s="108"/>
      <c r="O242" s="108"/>
      <c r="P242" s="108"/>
      <c r="Q242" s="108"/>
      <c r="R242" s="108"/>
      <c r="S242" s="108"/>
      <c r="T242" s="108"/>
      <c r="U242" s="108"/>
      <c r="V242" s="108"/>
      <c r="W242" s="108"/>
      <c r="X242" s="108"/>
      <c r="Y242" s="108"/>
      <c r="Z242" s="108"/>
      <c r="AA242" s="108"/>
    </row>
    <row r="243" spans="1:27">
      <c r="A243" s="108"/>
      <c r="B243" s="108"/>
      <c r="C243" s="2131" t="s">
        <v>723</v>
      </c>
      <c r="D243" s="296" t="s">
        <v>724</v>
      </c>
      <c r="E243" s="315"/>
      <c r="F243" s="314">
        <v>1.4999999999999999E-2</v>
      </c>
      <c r="G243" s="317">
        <v>4.0000000000000001E-3</v>
      </c>
      <c r="H243" s="319"/>
      <c r="I243" s="108"/>
      <c r="J243" s="108"/>
      <c r="K243" s="108"/>
      <c r="L243" s="108"/>
      <c r="M243" s="108"/>
      <c r="N243" s="108"/>
      <c r="O243" s="108"/>
      <c r="P243" s="108"/>
      <c r="Q243" s="108"/>
      <c r="R243" s="108"/>
      <c r="S243" s="108"/>
      <c r="T243" s="108"/>
      <c r="U243" s="108"/>
      <c r="V243" s="108"/>
      <c r="W243" s="108"/>
      <c r="X243" s="108"/>
      <c r="Y243" s="108"/>
      <c r="Z243" s="108"/>
      <c r="AA243" s="108"/>
    </row>
    <row r="244" spans="1:27">
      <c r="A244" s="108"/>
      <c r="B244" s="108"/>
      <c r="C244" s="2132"/>
      <c r="D244" s="296" t="s">
        <v>725</v>
      </c>
      <c r="E244" s="315"/>
      <c r="F244" s="314">
        <v>1.4999999999999999E-2</v>
      </c>
      <c r="G244" s="317">
        <v>4.0000000000000001E-3</v>
      </c>
      <c r="H244" s="319"/>
      <c r="I244" s="108"/>
      <c r="J244" s="108"/>
      <c r="K244" s="108"/>
      <c r="L244" s="108"/>
      <c r="M244" s="108"/>
      <c r="N244" s="108"/>
      <c r="O244" s="108"/>
      <c r="P244" s="108"/>
      <c r="Q244" s="108"/>
      <c r="R244" s="108"/>
      <c r="S244" s="108"/>
      <c r="T244" s="108"/>
      <c r="U244" s="108"/>
      <c r="V244" s="108"/>
      <c r="W244" s="108"/>
      <c r="X244" s="108"/>
      <c r="Y244" s="108"/>
      <c r="Z244" s="108"/>
      <c r="AA244" s="108"/>
    </row>
    <row r="245" spans="1:27">
      <c r="A245" s="108"/>
      <c r="B245" s="108"/>
      <c r="C245" s="2132"/>
      <c r="D245" s="296" t="s">
        <v>726</v>
      </c>
      <c r="E245" s="315"/>
      <c r="F245" s="314">
        <v>0.14599999999999999</v>
      </c>
      <c r="G245" s="317">
        <v>4.0000000000000001E-3</v>
      </c>
      <c r="H245" s="319"/>
      <c r="I245" s="108"/>
      <c r="J245" s="108"/>
      <c r="K245" s="108"/>
      <c r="L245" s="108"/>
      <c r="M245" s="108"/>
      <c r="N245" s="108"/>
      <c r="O245" s="108"/>
      <c r="P245" s="108"/>
      <c r="Q245" s="108"/>
      <c r="R245" s="108"/>
      <c r="S245" s="108"/>
      <c r="T245" s="108"/>
      <c r="U245" s="108"/>
      <c r="V245" s="108"/>
      <c r="W245" s="108"/>
      <c r="X245" s="108"/>
      <c r="Y245" s="108"/>
      <c r="Z245" s="108"/>
      <c r="AA245" s="108"/>
    </row>
    <row r="246" spans="1:27">
      <c r="A246" s="108"/>
      <c r="B246" s="108"/>
      <c r="C246" s="2132"/>
      <c r="D246" s="296" t="s">
        <v>727</v>
      </c>
      <c r="E246" s="315"/>
      <c r="F246" s="314">
        <v>1.4999999999999999E-2</v>
      </c>
      <c r="G246" s="317">
        <v>4.0000000000000001E-3</v>
      </c>
      <c r="H246" s="319"/>
      <c r="I246" s="108"/>
      <c r="J246" s="108"/>
      <c r="K246" s="108"/>
      <c r="L246" s="108"/>
      <c r="M246" s="108"/>
      <c r="N246" s="108"/>
      <c r="O246" s="108"/>
      <c r="P246" s="108"/>
      <c r="Q246" s="108"/>
      <c r="R246" s="108"/>
      <c r="S246" s="108"/>
      <c r="T246" s="108"/>
      <c r="U246" s="108"/>
      <c r="V246" s="108"/>
      <c r="W246" s="108"/>
      <c r="X246" s="108"/>
      <c r="Y246" s="108"/>
      <c r="Z246" s="108"/>
      <c r="AA246" s="108"/>
    </row>
    <row r="247" spans="1:27">
      <c r="A247" s="108"/>
      <c r="B247" s="108"/>
      <c r="C247" s="2133"/>
      <c r="D247" s="296" t="s">
        <v>728</v>
      </c>
      <c r="E247" s="315"/>
      <c r="F247" s="318">
        <v>0.03</v>
      </c>
      <c r="G247" s="313">
        <v>1.9E-2</v>
      </c>
      <c r="H247" s="319"/>
      <c r="I247" s="108"/>
      <c r="J247" s="108"/>
      <c r="K247" s="108"/>
      <c r="L247" s="108"/>
      <c r="M247" s="108"/>
      <c r="N247" s="108"/>
      <c r="O247" s="108"/>
      <c r="P247" s="108"/>
      <c r="Q247" s="108"/>
      <c r="R247" s="108"/>
      <c r="S247" s="108"/>
      <c r="T247" s="108"/>
      <c r="U247" s="108"/>
      <c r="V247" s="108"/>
      <c r="W247" s="108"/>
      <c r="X247" s="108"/>
      <c r="Y247" s="108"/>
      <c r="Z247" s="108"/>
      <c r="AA247" s="108"/>
    </row>
    <row r="248" spans="1:27">
      <c r="A248" s="108"/>
      <c r="B248" s="108"/>
      <c r="C248" s="2131" t="s">
        <v>720</v>
      </c>
      <c r="D248" s="296" t="s">
        <v>725</v>
      </c>
      <c r="E248" s="315"/>
      <c r="F248" s="314">
        <v>1.6E-2</v>
      </c>
      <c r="G248" s="317">
        <v>5.0000000000000001E-3</v>
      </c>
      <c r="H248" s="319"/>
      <c r="I248" s="108"/>
      <c r="J248" s="108"/>
      <c r="K248" s="108"/>
      <c r="L248" s="108"/>
      <c r="M248" s="108"/>
      <c r="N248" s="108"/>
      <c r="O248" s="108"/>
      <c r="P248" s="108"/>
      <c r="Q248" s="108"/>
      <c r="R248" s="108"/>
      <c r="S248" s="108"/>
      <c r="T248" s="108"/>
      <c r="U248" s="108"/>
      <c r="V248" s="108"/>
      <c r="W248" s="108"/>
      <c r="X248" s="108"/>
      <c r="Y248" s="108"/>
      <c r="Z248" s="108"/>
      <c r="AA248" s="108"/>
    </row>
    <row r="249" spans="1:27">
      <c r="A249" s="108"/>
      <c r="B249" s="108"/>
      <c r="C249" s="2132"/>
      <c r="D249" s="296" t="s">
        <v>726</v>
      </c>
      <c r="E249" s="315"/>
      <c r="F249" s="314">
        <v>0.158</v>
      </c>
      <c r="G249" s="317">
        <v>5.0000000000000001E-3</v>
      </c>
      <c r="H249" s="319"/>
      <c r="I249" s="108"/>
      <c r="J249" s="108"/>
      <c r="K249" s="108"/>
      <c r="L249" s="108"/>
      <c r="M249" s="108"/>
      <c r="N249" s="108"/>
      <c r="O249" s="108"/>
      <c r="P249" s="108"/>
      <c r="Q249" s="108"/>
      <c r="R249" s="108"/>
      <c r="S249" s="108"/>
      <c r="T249" s="108"/>
      <c r="U249" s="108"/>
      <c r="V249" s="108"/>
      <c r="W249" s="108"/>
      <c r="X249" s="108"/>
      <c r="Y249" s="108"/>
      <c r="Z249" s="108"/>
      <c r="AA249" s="108"/>
    </row>
    <row r="250" spans="1:27">
      <c r="A250" s="108"/>
      <c r="B250" s="108"/>
      <c r="C250" s="2132"/>
      <c r="D250" s="296" t="s">
        <v>727</v>
      </c>
      <c r="E250" s="315"/>
      <c r="F250" s="314">
        <v>1.6E-2</v>
      </c>
      <c r="G250" s="317">
        <v>5.0000000000000001E-3</v>
      </c>
      <c r="H250" s="319"/>
      <c r="I250" s="108"/>
      <c r="J250" s="108"/>
      <c r="K250" s="108"/>
      <c r="L250" s="108"/>
      <c r="M250" s="108"/>
      <c r="N250" s="108"/>
      <c r="O250" s="108"/>
      <c r="P250" s="108"/>
      <c r="Q250" s="108"/>
      <c r="R250" s="108"/>
      <c r="S250" s="108"/>
      <c r="T250" s="108"/>
      <c r="U250" s="108"/>
      <c r="V250" s="108"/>
      <c r="W250" s="108"/>
      <c r="X250" s="108"/>
      <c r="Y250" s="108"/>
      <c r="Z250" s="108"/>
      <c r="AA250" s="108"/>
    </row>
    <row r="251" spans="1:27">
      <c r="A251" s="108"/>
      <c r="B251" s="108"/>
      <c r="C251" s="2132"/>
      <c r="D251" s="296" t="s">
        <v>729</v>
      </c>
      <c r="E251" s="315"/>
      <c r="F251" s="314">
        <v>0.158</v>
      </c>
      <c r="G251" s="317">
        <v>5.0000000000000001E-3</v>
      </c>
      <c r="H251" s="319"/>
      <c r="I251" s="108"/>
      <c r="J251" s="108"/>
      <c r="K251" s="108"/>
      <c r="L251" s="108"/>
      <c r="M251" s="108"/>
      <c r="N251" s="108"/>
      <c r="O251" s="108"/>
      <c r="P251" s="108"/>
      <c r="Q251" s="108"/>
      <c r="R251" s="108"/>
      <c r="S251" s="108"/>
      <c r="T251" s="108"/>
      <c r="U251" s="108"/>
      <c r="V251" s="108"/>
      <c r="W251" s="108"/>
      <c r="X251" s="108"/>
      <c r="Y251" s="108"/>
      <c r="Z251" s="108"/>
      <c r="AA251" s="108"/>
    </row>
    <row r="252" spans="1:27">
      <c r="A252" s="108"/>
      <c r="B252" s="108"/>
      <c r="C252" s="2133"/>
      <c r="D252" s="296" t="s">
        <v>728</v>
      </c>
      <c r="E252" s="315"/>
      <c r="F252" s="314">
        <v>2.9000000000000001E-2</v>
      </c>
      <c r="G252" s="317">
        <v>2.1000000000000001E-2</v>
      </c>
      <c r="H252" s="319"/>
      <c r="I252" s="108"/>
      <c r="J252" s="108"/>
      <c r="K252" s="108"/>
      <c r="L252" s="108"/>
      <c r="M252" s="108"/>
      <c r="N252" s="108"/>
      <c r="O252" s="108"/>
      <c r="P252" s="108"/>
      <c r="Q252" s="108"/>
      <c r="R252" s="108"/>
      <c r="S252" s="108"/>
      <c r="T252" s="108"/>
      <c r="U252" s="108"/>
      <c r="V252" s="108"/>
      <c r="W252" s="108"/>
      <c r="X252" s="108"/>
      <c r="Y252" s="108"/>
      <c r="Z252" s="108"/>
      <c r="AA252" s="108"/>
    </row>
    <row r="253" spans="1:27">
      <c r="A253" s="108"/>
      <c r="B253" s="108"/>
      <c r="C253" s="2131" t="s">
        <v>730</v>
      </c>
      <c r="D253" s="296" t="s">
        <v>726</v>
      </c>
      <c r="E253" s="315"/>
      <c r="F253" s="314">
        <v>1.829</v>
      </c>
      <c r="G253" s="313">
        <v>1E-3</v>
      </c>
      <c r="H253" s="319"/>
      <c r="I253" s="108"/>
      <c r="J253" s="108"/>
      <c r="K253" s="108"/>
      <c r="L253" s="108"/>
      <c r="M253" s="108"/>
      <c r="N253" s="108"/>
      <c r="O253" s="108"/>
      <c r="P253" s="108"/>
      <c r="Q253" s="108"/>
      <c r="R253" s="108"/>
      <c r="S253" s="108"/>
      <c r="T253" s="108"/>
      <c r="U253" s="108"/>
      <c r="V253" s="108"/>
      <c r="W253" s="108"/>
      <c r="X253" s="108"/>
      <c r="Y253" s="108"/>
      <c r="Z253" s="108"/>
      <c r="AA253" s="108"/>
    </row>
    <row r="254" spans="1:27">
      <c r="A254" s="108"/>
      <c r="B254" s="108"/>
      <c r="C254" s="2132"/>
      <c r="D254" s="296" t="s">
        <v>727</v>
      </c>
      <c r="E254" s="315"/>
      <c r="F254" s="314">
        <v>8.9999999999999993E-3</v>
      </c>
      <c r="G254" s="317">
        <v>1.7999999999999999E-2</v>
      </c>
      <c r="H254" s="319"/>
      <c r="I254" s="108"/>
      <c r="J254" s="108"/>
      <c r="K254" s="108"/>
      <c r="L254" s="108"/>
      <c r="M254" s="108"/>
      <c r="N254" s="108"/>
      <c r="O254" s="108"/>
      <c r="P254" s="108"/>
      <c r="Q254" s="108"/>
      <c r="R254" s="108"/>
      <c r="S254" s="108"/>
      <c r="T254" s="108"/>
      <c r="U254" s="108"/>
      <c r="V254" s="108"/>
      <c r="W254" s="108"/>
      <c r="X254" s="108"/>
      <c r="Y254" s="108"/>
      <c r="Z254" s="108"/>
      <c r="AA254" s="108"/>
    </row>
    <row r="255" spans="1:27">
      <c r="A255" s="108"/>
      <c r="B255" s="108"/>
      <c r="C255" s="2132"/>
      <c r="D255" s="296" t="s">
        <v>729</v>
      </c>
      <c r="E255" s="315"/>
      <c r="F255" s="314">
        <v>1.829</v>
      </c>
      <c r="G255" s="313">
        <v>1E-3</v>
      </c>
      <c r="H255" s="319"/>
      <c r="I255" s="108"/>
      <c r="J255" s="108"/>
      <c r="K255" s="108"/>
      <c r="L255" s="108"/>
      <c r="M255" s="108"/>
      <c r="N255" s="108"/>
      <c r="O255" s="108"/>
      <c r="P255" s="108"/>
      <c r="Q255" s="108"/>
      <c r="R255" s="108"/>
      <c r="S255" s="108"/>
      <c r="T255" s="108"/>
      <c r="U255" s="108"/>
      <c r="V255" s="108"/>
      <c r="W255" s="108"/>
      <c r="X255" s="108"/>
      <c r="Y255" s="108"/>
      <c r="Z255" s="108"/>
      <c r="AA255" s="108"/>
    </row>
    <row r="256" spans="1:27">
      <c r="A256" s="108"/>
      <c r="B256" s="108"/>
      <c r="C256" s="2133"/>
      <c r="D256" s="296" t="s">
        <v>728</v>
      </c>
      <c r="E256" s="315"/>
      <c r="F256" s="318">
        <v>8.9999999999999993E-3</v>
      </c>
      <c r="G256" s="313">
        <v>4.2999999999999997E-2</v>
      </c>
      <c r="H256" s="319"/>
      <c r="I256" s="108"/>
      <c r="J256" s="108"/>
      <c r="K256" s="108"/>
      <c r="L256" s="108"/>
      <c r="M256" s="108"/>
      <c r="N256" s="108"/>
      <c r="O256" s="108"/>
      <c r="P256" s="108"/>
      <c r="Q256" s="108"/>
      <c r="R256" s="108"/>
      <c r="S256" s="108"/>
      <c r="T256" s="108"/>
      <c r="U256" s="108"/>
      <c r="V256" s="108"/>
      <c r="W256" s="108"/>
      <c r="X256" s="108"/>
      <c r="Y256" s="108"/>
      <c r="Z256" s="108"/>
      <c r="AA256" s="108"/>
    </row>
    <row r="257" spans="1:27">
      <c r="A257" s="108"/>
      <c r="B257" s="108"/>
      <c r="C257" s="2131" t="s">
        <v>731</v>
      </c>
      <c r="D257" s="296" t="s">
        <v>724</v>
      </c>
      <c r="E257" s="315"/>
      <c r="F257" s="318">
        <v>7.4999999999999997E-2</v>
      </c>
      <c r="G257" s="313">
        <v>2.8000000000000001E-2</v>
      </c>
      <c r="H257" s="319"/>
      <c r="I257" s="108"/>
      <c r="J257" s="108"/>
      <c r="K257" s="108"/>
      <c r="L257" s="108"/>
      <c r="M257" s="108"/>
      <c r="N257" s="108"/>
      <c r="O257" s="108"/>
      <c r="P257" s="108"/>
      <c r="Q257" s="108"/>
      <c r="R257" s="108"/>
      <c r="S257" s="108"/>
      <c r="T257" s="108"/>
      <c r="U257" s="108"/>
      <c r="V257" s="108"/>
      <c r="W257" s="108"/>
      <c r="X257" s="108"/>
      <c r="Y257" s="108"/>
      <c r="Z257" s="108"/>
      <c r="AA257" s="108"/>
    </row>
    <row r="258" spans="1:27">
      <c r="A258" s="108"/>
      <c r="B258" s="108"/>
      <c r="C258" s="2132"/>
      <c r="D258" s="296" t="s">
        <v>725</v>
      </c>
      <c r="E258" s="315"/>
      <c r="F258" s="318">
        <v>7.4999999999999997E-2</v>
      </c>
      <c r="G258" s="313">
        <v>2.8000000000000001E-2</v>
      </c>
      <c r="H258" s="319"/>
      <c r="I258" s="108"/>
      <c r="J258" s="108"/>
      <c r="K258" s="108"/>
      <c r="L258" s="108"/>
      <c r="M258" s="108"/>
      <c r="N258" s="108"/>
      <c r="O258" s="108"/>
      <c r="P258" s="108"/>
      <c r="Q258" s="108"/>
      <c r="R258" s="108"/>
      <c r="S258" s="108"/>
      <c r="T258" s="108"/>
      <c r="U258" s="108"/>
      <c r="V258" s="108"/>
      <c r="W258" s="108"/>
      <c r="X258" s="108"/>
      <c r="Y258" s="108"/>
      <c r="Z258" s="108"/>
      <c r="AA258" s="108"/>
    </row>
    <row r="259" spans="1:27">
      <c r="A259" s="108"/>
      <c r="B259" s="108"/>
      <c r="C259" s="2132"/>
      <c r="D259" s="296" t="s">
        <v>726</v>
      </c>
      <c r="E259" s="315"/>
      <c r="F259" s="314">
        <v>0.92100000000000004</v>
      </c>
      <c r="G259" s="297" t="s">
        <v>707</v>
      </c>
      <c r="H259" s="319"/>
      <c r="I259" s="108"/>
      <c r="J259" s="108"/>
      <c r="K259" s="108"/>
      <c r="L259" s="108"/>
      <c r="M259" s="108"/>
      <c r="N259" s="108"/>
      <c r="O259" s="108"/>
      <c r="P259" s="108"/>
      <c r="Q259" s="108"/>
      <c r="R259" s="108"/>
      <c r="S259" s="108"/>
      <c r="T259" s="108"/>
      <c r="U259" s="108"/>
      <c r="V259" s="108"/>
      <c r="W259" s="108"/>
      <c r="X259" s="108"/>
      <c r="Y259" s="108"/>
      <c r="Z259" s="108"/>
      <c r="AA259" s="108"/>
    </row>
    <row r="260" spans="1:27">
      <c r="A260" s="108"/>
      <c r="B260" s="108"/>
      <c r="C260" s="2132"/>
      <c r="D260" s="296" t="s">
        <v>727</v>
      </c>
      <c r="E260" s="315"/>
      <c r="F260" s="314">
        <v>3.0000000000000001E-3</v>
      </c>
      <c r="G260" s="317">
        <v>7.0000000000000001E-3</v>
      </c>
      <c r="H260" s="319"/>
      <c r="I260" s="108"/>
      <c r="J260" s="108"/>
      <c r="K260" s="108"/>
      <c r="L260" s="108"/>
      <c r="M260" s="108"/>
      <c r="N260" s="108"/>
      <c r="O260" s="108"/>
      <c r="P260" s="108"/>
      <c r="Q260" s="108"/>
      <c r="R260" s="108"/>
      <c r="S260" s="108"/>
      <c r="T260" s="108"/>
      <c r="U260" s="108"/>
      <c r="V260" s="108"/>
      <c r="W260" s="108"/>
      <c r="X260" s="108"/>
      <c r="Y260" s="108"/>
      <c r="Z260" s="108"/>
      <c r="AA260" s="108"/>
    </row>
    <row r="261" spans="1:27" s="249" customFormat="1">
      <c r="C261" s="2132"/>
      <c r="D261" s="296" t="s">
        <v>729</v>
      </c>
      <c r="E261" s="315"/>
      <c r="F261" s="314">
        <v>0.92100000000000004</v>
      </c>
      <c r="G261" s="297" t="s">
        <v>707</v>
      </c>
      <c r="J261" s="108"/>
      <c r="K261" s="108"/>
      <c r="L261" s="108"/>
      <c r="M261" s="108"/>
    </row>
    <row r="262" spans="1:27" s="249" customFormat="1">
      <c r="C262" s="2133"/>
      <c r="D262" s="296" t="s">
        <v>728</v>
      </c>
      <c r="E262" s="315"/>
      <c r="F262" s="318">
        <v>8.9999999999999993E-3</v>
      </c>
      <c r="G262" s="313">
        <v>4.2999999999999997E-2</v>
      </c>
      <c r="J262" s="108"/>
      <c r="K262" s="108"/>
      <c r="L262" s="108"/>
      <c r="M262" s="108"/>
    </row>
    <row r="263" spans="1:27" s="249" customFormat="1">
      <c r="C263" s="2131" t="s">
        <v>732</v>
      </c>
      <c r="D263" s="296" t="s">
        <v>724</v>
      </c>
      <c r="E263" s="315"/>
      <c r="F263" s="314">
        <v>0.10199999999999999</v>
      </c>
      <c r="G263" s="317">
        <v>4.7E-2</v>
      </c>
      <c r="J263" s="108"/>
      <c r="K263" s="108"/>
      <c r="L263" s="108"/>
      <c r="M263" s="108"/>
    </row>
    <row r="264" spans="1:27" s="249" customFormat="1">
      <c r="C264" s="2132"/>
      <c r="D264" s="316" t="s">
        <v>725</v>
      </c>
      <c r="E264" s="315"/>
      <c r="F264" s="314">
        <v>0.10199999999999999</v>
      </c>
      <c r="G264" s="317">
        <v>4.7E-2</v>
      </c>
      <c r="J264" s="108"/>
      <c r="K264" s="108"/>
      <c r="L264" s="108"/>
      <c r="M264" s="108"/>
    </row>
    <row r="265" spans="1:27" s="249" customFormat="1">
      <c r="C265" s="2132"/>
      <c r="D265" s="316" t="s">
        <v>726</v>
      </c>
      <c r="E265" s="315"/>
      <c r="F265" s="314">
        <v>2.7869999999999999</v>
      </c>
      <c r="G265" s="313">
        <v>1E-3</v>
      </c>
      <c r="J265" s="108"/>
      <c r="K265" s="108"/>
      <c r="L265" s="108"/>
      <c r="M265" s="108"/>
    </row>
    <row r="266" spans="1:27" s="249" customFormat="1">
      <c r="C266" s="2132"/>
      <c r="D266" s="316" t="s">
        <v>727</v>
      </c>
      <c r="E266" s="315"/>
      <c r="F266" s="314">
        <v>0.01</v>
      </c>
      <c r="G266" s="317">
        <v>1.0999999999999999E-2</v>
      </c>
      <c r="J266" s="108"/>
      <c r="K266" s="108"/>
      <c r="L266" s="108"/>
      <c r="M266" s="108"/>
    </row>
    <row r="267" spans="1:27" s="249" customFormat="1">
      <c r="C267" s="2132"/>
      <c r="D267" s="316" t="s">
        <v>729</v>
      </c>
      <c r="E267" s="315"/>
      <c r="F267" s="314">
        <v>2.7869999999999999</v>
      </c>
      <c r="G267" s="313">
        <v>1E-3</v>
      </c>
      <c r="J267" s="108"/>
      <c r="K267" s="108"/>
      <c r="L267" s="108"/>
      <c r="M267" s="108"/>
    </row>
    <row r="268" spans="1:27" s="249" customFormat="1" ht="14" thickBot="1">
      <c r="C268" s="2134"/>
      <c r="D268" s="312" t="s">
        <v>728</v>
      </c>
      <c r="E268" s="311"/>
      <c r="F268" s="310">
        <v>8.9999999999999993E-3</v>
      </c>
      <c r="G268" s="309">
        <v>4.2999999999999997E-2</v>
      </c>
      <c r="J268" s="108"/>
      <c r="K268" s="108"/>
      <c r="L268" s="108"/>
      <c r="M268" s="108"/>
    </row>
    <row r="269" spans="1:27" s="249" customFormat="1">
      <c r="C269" s="239" t="s">
        <v>733</v>
      </c>
      <c r="I269" s="130"/>
      <c r="L269" s="108"/>
      <c r="M269" s="108"/>
    </row>
    <row r="270" spans="1:27">
      <c r="A270" s="108"/>
      <c r="B270" s="108"/>
      <c r="C270" s="290" t="s">
        <v>734</v>
      </c>
      <c r="D270" s="106"/>
      <c r="E270" s="106"/>
      <c r="F270" s="106"/>
      <c r="G270" s="306"/>
      <c r="H270" s="106"/>
      <c r="I270" s="108"/>
      <c r="J270" s="108"/>
      <c r="K270" s="108"/>
      <c r="L270" s="108"/>
      <c r="M270" s="108"/>
      <c r="N270" s="108"/>
      <c r="O270" s="108"/>
      <c r="P270" s="108"/>
      <c r="Q270" s="108"/>
      <c r="R270" s="108"/>
      <c r="S270" s="108"/>
      <c r="T270" s="108"/>
      <c r="U270" s="108"/>
      <c r="V270" s="108"/>
      <c r="W270" s="108"/>
      <c r="X270" s="108"/>
      <c r="Y270" s="108"/>
      <c r="Z270" s="108"/>
      <c r="AA270" s="108"/>
    </row>
    <row r="271" spans="1:27" ht="35" customHeight="1">
      <c r="A271" s="108"/>
      <c r="B271" s="151"/>
      <c r="C271" s="2138" t="s">
        <v>710</v>
      </c>
      <c r="D271" s="2138"/>
      <c r="E271" s="2138"/>
      <c r="F271" s="2138"/>
      <c r="G271" s="2138"/>
      <c r="H271" s="2138"/>
      <c r="I271" s="2138"/>
      <c r="J271" s="2138"/>
      <c r="K271" s="2138"/>
      <c r="L271" s="2138"/>
      <c r="M271" s="108"/>
      <c r="N271" s="108"/>
      <c r="O271" s="108"/>
      <c r="P271" s="108"/>
      <c r="Q271" s="108"/>
      <c r="R271" s="108"/>
      <c r="S271" s="108"/>
      <c r="T271" s="108"/>
      <c r="U271" s="108"/>
      <c r="V271" s="108"/>
      <c r="W271" s="108"/>
      <c r="X271" s="108"/>
      <c r="Y271" s="108"/>
      <c r="Z271" s="108"/>
      <c r="AA271" s="108"/>
    </row>
    <row r="272" spans="1:27">
      <c r="A272" s="108"/>
      <c r="B272" s="108"/>
      <c r="C272" s="307"/>
      <c r="D272" s="106"/>
      <c r="E272" s="106"/>
      <c r="F272" s="106"/>
      <c r="G272" s="306"/>
      <c r="H272" s="106"/>
      <c r="I272" s="108"/>
      <c r="J272" s="108"/>
      <c r="K272" s="108"/>
      <c r="L272" s="108"/>
      <c r="M272" s="108"/>
      <c r="N272" s="108"/>
      <c r="O272" s="108"/>
      <c r="P272" s="108"/>
      <c r="Q272" s="108"/>
      <c r="R272" s="108"/>
      <c r="S272" s="108"/>
      <c r="T272" s="108"/>
      <c r="U272" s="108"/>
      <c r="V272" s="108"/>
      <c r="W272" s="108"/>
      <c r="X272" s="108"/>
      <c r="Y272" s="108"/>
      <c r="Z272" s="108"/>
      <c r="AA272" s="108"/>
    </row>
    <row r="273" spans="1:27" ht="18">
      <c r="B273" s="141" t="s">
        <v>735</v>
      </c>
      <c r="C273" s="236" t="s">
        <v>736</v>
      </c>
      <c r="D273" s="305"/>
      <c r="E273" s="305"/>
      <c r="F273" s="305"/>
      <c r="G273" s="139"/>
      <c r="H273" s="139"/>
      <c r="I273" s="139"/>
      <c r="J273" s="139"/>
      <c r="K273" s="139"/>
      <c r="L273" s="138"/>
      <c r="M273" s="108"/>
      <c r="N273" s="108"/>
      <c r="O273" s="108"/>
      <c r="P273" s="108"/>
      <c r="Q273" s="108"/>
      <c r="R273" s="108"/>
      <c r="S273" s="108"/>
      <c r="T273" s="108"/>
      <c r="U273" s="108"/>
      <c r="V273" s="108"/>
      <c r="W273" s="108"/>
      <c r="X273" s="108"/>
      <c r="Y273" s="108"/>
      <c r="Z273" s="108"/>
      <c r="AA273" s="108"/>
    </row>
    <row r="274" spans="1:27" ht="14" thickBot="1">
      <c r="A274" s="108"/>
      <c r="B274" s="108"/>
      <c r="C274" s="284"/>
      <c r="D274" s="108"/>
      <c r="E274" s="108"/>
      <c r="F274" s="108"/>
      <c r="G274" s="108"/>
      <c r="H274" s="108"/>
      <c r="I274" s="108"/>
      <c r="J274" s="108"/>
      <c r="K274" s="108"/>
      <c r="L274" s="108"/>
      <c r="M274" s="108"/>
      <c r="N274" s="108"/>
      <c r="O274" s="108"/>
      <c r="P274" s="108"/>
      <c r="Q274" s="108"/>
      <c r="R274" s="108"/>
      <c r="S274" s="108"/>
      <c r="T274" s="108"/>
      <c r="U274" s="108"/>
      <c r="V274" s="108"/>
      <c r="W274" s="108"/>
      <c r="X274" s="108"/>
      <c r="Y274" s="108"/>
      <c r="Z274" s="108"/>
      <c r="AA274" s="108"/>
    </row>
    <row r="275" spans="1:27" ht="31" thickBot="1">
      <c r="A275" s="108"/>
      <c r="B275" s="108"/>
      <c r="C275" s="193" t="s">
        <v>638</v>
      </c>
      <c r="D275" s="192" t="s">
        <v>530</v>
      </c>
      <c r="E275" s="192" t="s">
        <v>737</v>
      </c>
      <c r="F275" s="191" t="s">
        <v>738</v>
      </c>
      <c r="G275" s="186"/>
      <c r="H275" s="108"/>
      <c r="I275" s="108"/>
      <c r="J275" s="108"/>
      <c r="K275" s="108"/>
      <c r="L275" s="108"/>
      <c r="M275" s="108"/>
      <c r="N275" s="108"/>
      <c r="O275" s="108"/>
      <c r="P275" s="108"/>
      <c r="Q275" s="108"/>
      <c r="R275" s="108"/>
      <c r="S275" s="108"/>
      <c r="T275" s="108"/>
      <c r="U275" s="108"/>
      <c r="V275" s="108"/>
      <c r="W275" s="108"/>
      <c r="X275" s="108"/>
      <c r="Y275" s="108"/>
      <c r="Z275" s="108"/>
      <c r="AA275" s="108"/>
    </row>
    <row r="276" spans="1:27">
      <c r="A276" s="108"/>
      <c r="B276" s="108"/>
      <c r="C276" s="2135" t="s">
        <v>739</v>
      </c>
      <c r="D276" s="296" t="s">
        <v>633</v>
      </c>
      <c r="E276" s="304">
        <v>1.1100000000000001</v>
      </c>
      <c r="F276" s="303">
        <v>0.32</v>
      </c>
      <c r="G276" s="186"/>
      <c r="H276" s="105"/>
      <c r="I276" s="108"/>
      <c r="J276" s="108"/>
      <c r="K276" s="108"/>
      <c r="L276" s="108"/>
      <c r="M276" s="108"/>
      <c r="N276" s="108"/>
      <c r="O276" s="108"/>
      <c r="P276" s="108"/>
      <c r="Q276" s="108"/>
      <c r="R276" s="108"/>
      <c r="S276" s="108"/>
      <c r="T276" s="108"/>
      <c r="U276" s="108"/>
      <c r="V276" s="108"/>
      <c r="W276" s="108"/>
      <c r="X276" s="108"/>
      <c r="Y276" s="108"/>
      <c r="Z276" s="108"/>
      <c r="AA276" s="108"/>
    </row>
    <row r="277" spans="1:27">
      <c r="A277" s="108"/>
      <c r="B277" s="108"/>
      <c r="C277" s="2132"/>
      <c r="D277" s="296" t="s">
        <v>740</v>
      </c>
      <c r="E277" s="295">
        <v>4.6100000000000003</v>
      </c>
      <c r="F277" s="298">
        <v>0.08</v>
      </c>
      <c r="G277" s="105"/>
      <c r="H277" s="105"/>
      <c r="I277" s="108"/>
      <c r="J277" s="108"/>
      <c r="K277" s="108"/>
      <c r="L277" s="108"/>
      <c r="M277" s="108"/>
      <c r="N277" s="108"/>
      <c r="O277" s="108"/>
      <c r="P277" s="108"/>
      <c r="Q277" s="108"/>
      <c r="R277" s="108"/>
      <c r="S277" s="108"/>
      <c r="T277" s="108"/>
      <c r="U277" s="108"/>
      <c r="V277" s="108"/>
      <c r="W277" s="108"/>
      <c r="X277" s="108"/>
      <c r="Y277" s="108"/>
      <c r="Z277" s="108"/>
      <c r="AA277" s="108"/>
    </row>
    <row r="278" spans="1:27">
      <c r="A278" s="108"/>
      <c r="B278" s="108"/>
      <c r="C278" s="2132"/>
      <c r="D278" s="296" t="s">
        <v>741</v>
      </c>
      <c r="E278" s="295">
        <v>2.25</v>
      </c>
      <c r="F278" s="298">
        <v>0.01</v>
      </c>
      <c r="G278" s="105"/>
      <c r="H278" s="105"/>
      <c r="I278" s="108"/>
      <c r="J278" s="108"/>
      <c r="K278" s="108"/>
      <c r="L278" s="108"/>
      <c r="M278" s="108"/>
      <c r="N278" s="108"/>
      <c r="O278" s="108"/>
      <c r="P278" s="108"/>
      <c r="Q278" s="108"/>
      <c r="R278" s="108"/>
      <c r="S278" s="108"/>
      <c r="T278" s="108"/>
      <c r="U278" s="108"/>
      <c r="V278" s="108"/>
      <c r="W278" s="108"/>
      <c r="X278" s="108"/>
      <c r="Y278" s="108"/>
      <c r="Z278" s="108"/>
      <c r="AA278" s="108"/>
    </row>
    <row r="279" spans="1:27">
      <c r="A279" s="108"/>
      <c r="B279" s="108"/>
      <c r="C279" s="2133"/>
      <c r="D279" s="296" t="s">
        <v>716</v>
      </c>
      <c r="E279" s="299">
        <v>6.41</v>
      </c>
      <c r="F279" s="298">
        <v>0.17</v>
      </c>
      <c r="G279" s="105"/>
      <c r="H279" s="105"/>
      <c r="I279" s="108"/>
      <c r="J279" s="108"/>
      <c r="K279" s="108"/>
      <c r="L279" s="108"/>
      <c r="M279" s="108"/>
      <c r="N279" s="108"/>
      <c r="O279" s="108"/>
      <c r="P279" s="108"/>
      <c r="Q279" s="108"/>
      <c r="R279" s="108"/>
      <c r="S279" s="108"/>
      <c r="T279" s="108"/>
      <c r="U279" s="108"/>
      <c r="V279" s="108"/>
      <c r="W279" s="108"/>
      <c r="X279" s="108"/>
      <c r="Y279" s="108"/>
      <c r="Z279" s="108"/>
      <c r="AA279" s="108"/>
    </row>
    <row r="280" spans="1:27">
      <c r="A280" s="108"/>
      <c r="B280" s="108"/>
      <c r="C280" s="119" t="s">
        <v>742</v>
      </c>
      <c r="D280" s="296" t="s">
        <v>716</v>
      </c>
      <c r="E280" s="299">
        <v>0.8</v>
      </c>
      <c r="F280" s="298">
        <v>0.26</v>
      </c>
      <c r="G280" s="105"/>
      <c r="H280" s="105"/>
      <c r="I280" s="108"/>
      <c r="J280" s="108"/>
      <c r="K280" s="108"/>
      <c r="L280" s="108"/>
      <c r="M280" s="108"/>
      <c r="N280" s="108"/>
      <c r="O280" s="108"/>
      <c r="P280" s="108"/>
      <c r="Q280" s="108"/>
      <c r="R280" s="108"/>
      <c r="S280" s="108"/>
      <c r="T280" s="108"/>
      <c r="U280" s="108"/>
      <c r="V280" s="108"/>
      <c r="W280" s="108"/>
      <c r="X280" s="108"/>
      <c r="Y280" s="108"/>
      <c r="Z280" s="108"/>
      <c r="AA280" s="108"/>
    </row>
    <row r="281" spans="1:27">
      <c r="A281" s="108"/>
      <c r="B281" s="108"/>
      <c r="C281" s="2131" t="s">
        <v>743</v>
      </c>
      <c r="D281" s="296" t="s">
        <v>744</v>
      </c>
      <c r="E281" s="302" t="s">
        <v>707</v>
      </c>
      <c r="F281" s="298">
        <v>0.3</v>
      </c>
      <c r="G281" s="105"/>
      <c r="H281" s="105"/>
      <c r="I281" s="108"/>
      <c r="J281" s="108"/>
      <c r="K281" s="108"/>
      <c r="L281" s="108"/>
      <c r="M281" s="108"/>
      <c r="N281" s="108"/>
      <c r="O281" s="108"/>
      <c r="P281" s="108"/>
      <c r="Q281" s="108"/>
      <c r="R281" s="108"/>
      <c r="S281" s="108"/>
      <c r="T281" s="108"/>
      <c r="U281" s="108"/>
      <c r="V281" s="108"/>
      <c r="W281" s="108"/>
      <c r="X281" s="108"/>
      <c r="Y281" s="108"/>
      <c r="Z281" s="108"/>
      <c r="AA281" s="108"/>
    </row>
    <row r="282" spans="1:27">
      <c r="A282" s="108"/>
      <c r="B282" s="108"/>
      <c r="C282" s="2133"/>
      <c r="D282" s="296" t="s">
        <v>580</v>
      </c>
      <c r="E282" s="299">
        <v>7.06</v>
      </c>
      <c r="F282" s="298">
        <v>0.11</v>
      </c>
      <c r="G282" s="105"/>
      <c r="H282" s="105"/>
      <c r="I282" s="108"/>
      <c r="J282" s="108"/>
      <c r="K282" s="108"/>
      <c r="L282" s="108"/>
      <c r="M282" s="108"/>
      <c r="N282" s="108"/>
      <c r="O282" s="108"/>
      <c r="P282" s="108"/>
      <c r="Q282" s="108"/>
      <c r="R282" s="108"/>
      <c r="S282" s="108"/>
      <c r="T282" s="108"/>
      <c r="U282" s="108"/>
      <c r="V282" s="108"/>
      <c r="W282" s="108"/>
      <c r="X282" s="108"/>
      <c r="Y282" s="108"/>
      <c r="Z282" s="108"/>
      <c r="AA282" s="108"/>
    </row>
    <row r="283" spans="1:27">
      <c r="A283" s="108"/>
      <c r="B283" s="108"/>
      <c r="C283" s="2131" t="s">
        <v>745</v>
      </c>
      <c r="D283" s="296" t="s">
        <v>740</v>
      </c>
      <c r="E283" s="295">
        <v>6.92</v>
      </c>
      <c r="F283" s="294">
        <v>0.47</v>
      </c>
      <c r="G283" s="105"/>
      <c r="H283" s="105"/>
      <c r="I283" s="108"/>
      <c r="J283" s="108"/>
      <c r="K283" s="108"/>
      <c r="L283" s="108"/>
      <c r="M283" s="108"/>
      <c r="N283" s="108"/>
      <c r="O283" s="108"/>
      <c r="P283" s="108"/>
      <c r="Q283" s="108"/>
      <c r="R283" s="108"/>
      <c r="S283" s="108"/>
      <c r="T283" s="108"/>
      <c r="U283" s="108"/>
      <c r="V283" s="108"/>
      <c r="W283" s="108"/>
      <c r="X283" s="108"/>
      <c r="Y283" s="108"/>
      <c r="Z283" s="108"/>
      <c r="AA283" s="108"/>
    </row>
    <row r="284" spans="1:27">
      <c r="A284" s="108"/>
      <c r="B284" s="108"/>
      <c r="C284" s="2132"/>
      <c r="D284" s="296" t="s">
        <v>741</v>
      </c>
      <c r="E284" s="295">
        <v>1.93</v>
      </c>
      <c r="F284" s="294">
        <v>1.2</v>
      </c>
      <c r="G284" s="105"/>
      <c r="H284" s="105"/>
      <c r="I284" s="108"/>
      <c r="J284" s="108"/>
      <c r="K284" s="108"/>
      <c r="L284" s="108"/>
      <c r="M284" s="108"/>
      <c r="N284" s="108"/>
      <c r="O284" s="108"/>
      <c r="P284" s="108"/>
      <c r="Q284" s="108"/>
      <c r="R284" s="108"/>
      <c r="S284" s="108"/>
      <c r="T284" s="108"/>
      <c r="U284" s="108"/>
      <c r="V284" s="108"/>
      <c r="W284" s="108"/>
      <c r="X284" s="108"/>
      <c r="Y284" s="108"/>
      <c r="Z284" s="108"/>
      <c r="AA284" s="108"/>
    </row>
    <row r="285" spans="1:27">
      <c r="A285" s="108"/>
      <c r="B285" s="108"/>
      <c r="C285" s="2132"/>
      <c r="D285" s="296" t="s">
        <v>746</v>
      </c>
      <c r="E285" s="295">
        <v>1.93</v>
      </c>
      <c r="F285" s="294">
        <v>1.2</v>
      </c>
      <c r="G285" s="105"/>
      <c r="H285" s="105"/>
      <c r="I285" s="108"/>
      <c r="J285" s="108"/>
      <c r="K285" s="108"/>
      <c r="L285" s="108"/>
      <c r="M285" s="108"/>
      <c r="N285" s="108"/>
      <c r="O285" s="108"/>
      <c r="P285" s="108"/>
      <c r="Q285" s="108"/>
      <c r="R285" s="108"/>
      <c r="S285" s="108"/>
      <c r="T285" s="108"/>
      <c r="U285" s="108"/>
      <c r="V285" s="108"/>
      <c r="W285" s="108"/>
      <c r="X285" s="108"/>
      <c r="Y285" s="108"/>
      <c r="Z285" s="108"/>
      <c r="AA285" s="108"/>
    </row>
    <row r="286" spans="1:27">
      <c r="A286" s="108"/>
      <c r="B286" s="108"/>
      <c r="C286" s="2132"/>
      <c r="D286" s="296" t="s">
        <v>747</v>
      </c>
      <c r="E286" s="295">
        <v>1.27</v>
      </c>
      <c r="F286" s="294">
        <v>1.07</v>
      </c>
      <c r="G286" s="105"/>
      <c r="H286" s="105"/>
      <c r="I286" s="108"/>
      <c r="J286" s="108"/>
      <c r="K286" s="108"/>
      <c r="L286" s="108"/>
      <c r="M286" s="108"/>
      <c r="N286" s="108"/>
      <c r="O286" s="108"/>
      <c r="P286" s="108"/>
      <c r="Q286" s="108"/>
      <c r="R286" s="108"/>
      <c r="S286" s="108"/>
      <c r="T286" s="108"/>
      <c r="U286" s="108"/>
      <c r="V286" s="108"/>
      <c r="W286" s="108"/>
      <c r="X286" s="108"/>
      <c r="Y286" s="108"/>
      <c r="Z286" s="108"/>
      <c r="AA286" s="108"/>
    </row>
    <row r="287" spans="1:27">
      <c r="A287" s="108"/>
      <c r="B287" s="108"/>
      <c r="C287" s="2132"/>
      <c r="D287" s="296" t="s">
        <v>748</v>
      </c>
      <c r="E287" s="295">
        <v>0.91</v>
      </c>
      <c r="F287" s="294">
        <v>0.56000000000000005</v>
      </c>
      <c r="G287" s="105"/>
      <c r="H287" s="105"/>
      <c r="I287" s="108"/>
      <c r="J287" s="108"/>
      <c r="K287" s="108"/>
      <c r="L287" s="108"/>
      <c r="M287" s="108"/>
      <c r="N287" s="108"/>
      <c r="O287" s="108"/>
      <c r="P287" s="108"/>
      <c r="Q287" s="108"/>
      <c r="R287" s="108"/>
      <c r="S287" s="108"/>
      <c r="T287" s="108"/>
      <c r="U287" s="108"/>
      <c r="V287" s="108"/>
      <c r="W287" s="108"/>
      <c r="X287" s="108"/>
      <c r="Y287" s="108"/>
      <c r="Z287" s="108"/>
      <c r="AA287" s="108"/>
    </row>
    <row r="288" spans="1:27">
      <c r="A288" s="108"/>
      <c r="B288" s="108"/>
      <c r="C288" s="2133"/>
      <c r="D288" s="296" t="s">
        <v>727</v>
      </c>
      <c r="E288" s="295">
        <v>0.33</v>
      </c>
      <c r="F288" s="294">
        <v>0.94</v>
      </c>
      <c r="G288" s="105"/>
      <c r="H288" s="105"/>
      <c r="I288" s="108"/>
      <c r="J288" s="108"/>
      <c r="K288" s="108"/>
      <c r="L288" s="108"/>
      <c r="M288" s="108"/>
      <c r="N288" s="108"/>
      <c r="O288" s="108"/>
      <c r="P288" s="108"/>
      <c r="Q288" s="108"/>
      <c r="R288" s="108"/>
      <c r="S288" s="108"/>
      <c r="T288" s="108"/>
      <c r="U288" s="108"/>
      <c r="V288" s="108"/>
      <c r="W288" s="108"/>
      <c r="X288" s="108"/>
      <c r="Y288" s="108"/>
      <c r="Z288" s="108"/>
      <c r="AA288" s="108"/>
    </row>
    <row r="289" spans="1:27">
      <c r="A289" s="108"/>
      <c r="B289" s="108"/>
      <c r="C289" s="2131" t="s">
        <v>749</v>
      </c>
      <c r="D289" s="296" t="s">
        <v>740</v>
      </c>
      <c r="E289" s="295">
        <v>7.98</v>
      </c>
      <c r="F289" s="294">
        <v>0.12</v>
      </c>
      <c r="G289" s="105"/>
      <c r="H289" s="105"/>
      <c r="I289" s="108"/>
      <c r="J289" s="108"/>
      <c r="K289" s="108"/>
      <c r="L289" s="108"/>
      <c r="M289" s="108"/>
      <c r="N289" s="108"/>
      <c r="O289" s="108"/>
      <c r="P289" s="108"/>
      <c r="Q289" s="108"/>
      <c r="R289" s="108"/>
      <c r="S289" s="108"/>
      <c r="T289" s="108"/>
      <c r="U289" s="108"/>
      <c r="V289" s="108"/>
      <c r="W289" s="108"/>
      <c r="X289" s="108"/>
      <c r="Y289" s="108"/>
      <c r="Z289" s="108"/>
      <c r="AA289" s="108"/>
    </row>
    <row r="290" spans="1:27">
      <c r="A290" s="108"/>
      <c r="B290" s="108"/>
      <c r="C290" s="2132"/>
      <c r="D290" s="296" t="s">
        <v>741</v>
      </c>
      <c r="E290" s="295">
        <v>2.85</v>
      </c>
      <c r="F290" s="294">
        <v>1.47</v>
      </c>
      <c r="G290" s="105"/>
      <c r="H290" s="105"/>
      <c r="I290" s="108"/>
      <c r="J290" s="108"/>
      <c r="K290" s="108"/>
      <c r="L290" s="108"/>
      <c r="M290" s="108"/>
      <c r="N290" s="108"/>
      <c r="O290" s="108"/>
      <c r="P290" s="108"/>
      <c r="Q290" s="108"/>
      <c r="R290" s="108"/>
      <c r="S290" s="108"/>
      <c r="T290" s="108"/>
      <c r="U290" s="108"/>
      <c r="V290" s="108"/>
      <c r="W290" s="108"/>
      <c r="X290" s="108"/>
      <c r="Y290" s="108"/>
      <c r="Z290" s="108"/>
      <c r="AA290" s="108"/>
    </row>
    <row r="291" spans="1:27">
      <c r="A291" s="108"/>
      <c r="B291" s="108"/>
      <c r="C291" s="2132"/>
      <c r="D291" s="296" t="s">
        <v>746</v>
      </c>
      <c r="E291" s="295">
        <v>2.85</v>
      </c>
      <c r="F291" s="294">
        <v>1.48</v>
      </c>
      <c r="G291" s="105"/>
      <c r="H291" s="105"/>
      <c r="I291" s="108"/>
      <c r="J291" s="108"/>
      <c r="K291" s="108"/>
      <c r="L291" s="108"/>
      <c r="M291" s="108"/>
      <c r="N291" s="108"/>
      <c r="O291" s="108"/>
      <c r="P291" s="108"/>
      <c r="Q291" s="108"/>
      <c r="R291" s="108"/>
      <c r="S291" s="108"/>
      <c r="T291" s="108"/>
      <c r="U291" s="108"/>
      <c r="V291" s="108"/>
      <c r="W291" s="108"/>
      <c r="X291" s="108"/>
      <c r="Y291" s="108"/>
      <c r="Z291" s="108"/>
      <c r="AA291" s="108"/>
    </row>
    <row r="292" spans="1:27">
      <c r="A292" s="108"/>
      <c r="B292" s="108"/>
      <c r="C292" s="2132"/>
      <c r="D292" s="296" t="s">
        <v>747</v>
      </c>
      <c r="E292" s="295">
        <v>1.01</v>
      </c>
      <c r="F292" s="294">
        <v>0.94</v>
      </c>
      <c r="G292" s="105"/>
      <c r="H292" s="105"/>
      <c r="I292" s="108"/>
      <c r="J292" s="108"/>
      <c r="K292" s="108"/>
      <c r="L292" s="108"/>
      <c r="M292" s="108"/>
      <c r="N292" s="108"/>
      <c r="O292" s="108"/>
      <c r="P292" s="108"/>
      <c r="Q292" s="108"/>
      <c r="R292" s="108"/>
      <c r="S292" s="108"/>
      <c r="T292" s="108"/>
      <c r="U292" s="108"/>
      <c r="V292" s="108"/>
      <c r="W292" s="108"/>
      <c r="X292" s="108"/>
      <c r="Y292" s="108"/>
      <c r="Z292" s="108"/>
      <c r="AA292" s="108"/>
    </row>
    <row r="293" spans="1:27">
      <c r="A293" s="108"/>
      <c r="B293" s="108"/>
      <c r="C293" s="2132"/>
      <c r="D293" s="296" t="s">
        <v>748</v>
      </c>
      <c r="E293" s="295">
        <v>0.91</v>
      </c>
      <c r="F293" s="294">
        <v>0.56000000000000005</v>
      </c>
      <c r="G293" s="105"/>
      <c r="H293" s="105"/>
      <c r="I293" s="108"/>
      <c r="J293" s="108"/>
      <c r="K293" s="108"/>
      <c r="L293" s="108"/>
      <c r="M293" s="108"/>
      <c r="N293" s="108"/>
      <c r="O293" s="108"/>
      <c r="P293" s="108"/>
      <c r="Q293" s="108"/>
      <c r="R293" s="108"/>
      <c r="S293" s="108"/>
      <c r="T293" s="108"/>
      <c r="U293" s="108"/>
      <c r="V293" s="108"/>
      <c r="W293" s="108"/>
      <c r="X293" s="108"/>
      <c r="Y293" s="108"/>
      <c r="Z293" s="108"/>
      <c r="AA293" s="108"/>
    </row>
    <row r="294" spans="1:27">
      <c r="A294" s="108"/>
      <c r="B294" s="108"/>
      <c r="C294" s="2133"/>
      <c r="D294" s="301" t="s">
        <v>727</v>
      </c>
      <c r="E294" s="295">
        <v>0.59</v>
      </c>
      <c r="F294" s="294">
        <v>0.5</v>
      </c>
      <c r="G294" s="105"/>
      <c r="H294" s="105"/>
      <c r="I294" s="108"/>
      <c r="J294" s="108"/>
      <c r="K294" s="108"/>
      <c r="L294" s="108"/>
      <c r="M294" s="108"/>
      <c r="N294" s="108"/>
      <c r="O294" s="108"/>
      <c r="P294" s="108"/>
      <c r="Q294" s="108"/>
      <c r="R294" s="108"/>
      <c r="S294" s="108"/>
      <c r="T294" s="108"/>
      <c r="U294" s="108"/>
      <c r="V294" s="108"/>
      <c r="W294" s="108"/>
      <c r="X294" s="108"/>
      <c r="Y294" s="108"/>
      <c r="Z294" s="108"/>
      <c r="AA294" s="108"/>
    </row>
    <row r="295" spans="1:27">
      <c r="A295" s="108"/>
      <c r="B295" s="108"/>
      <c r="C295" s="2131" t="s">
        <v>750</v>
      </c>
      <c r="D295" s="296" t="s">
        <v>740</v>
      </c>
      <c r="E295" s="295">
        <v>7.28</v>
      </c>
      <c r="F295" s="294">
        <v>0.31</v>
      </c>
      <c r="G295" s="105"/>
      <c r="H295" s="105"/>
      <c r="I295" s="108"/>
      <c r="J295" s="108"/>
      <c r="K295" s="108"/>
      <c r="L295" s="108"/>
      <c r="M295" s="108"/>
      <c r="N295" s="108"/>
      <c r="O295" s="108"/>
      <c r="P295" s="108"/>
      <c r="Q295" s="108"/>
      <c r="R295" s="108"/>
      <c r="S295" s="108"/>
      <c r="T295" s="108"/>
      <c r="U295" s="108"/>
      <c r="V295" s="108"/>
      <c r="W295" s="108"/>
      <c r="X295" s="108"/>
      <c r="Y295" s="108"/>
      <c r="Z295" s="108"/>
      <c r="AA295" s="108"/>
    </row>
    <row r="296" spans="1:27">
      <c r="A296" s="108"/>
      <c r="B296" s="108"/>
      <c r="C296" s="2132"/>
      <c r="D296" s="296" t="s">
        <v>741</v>
      </c>
      <c r="E296" s="295">
        <v>2.99</v>
      </c>
      <c r="F296" s="294">
        <v>1.49</v>
      </c>
      <c r="G296" s="105"/>
      <c r="H296" s="105"/>
      <c r="I296" s="108"/>
      <c r="J296" s="108"/>
      <c r="K296" s="108"/>
      <c r="L296" s="108"/>
      <c r="M296" s="108"/>
      <c r="N296" s="108"/>
      <c r="O296" s="108"/>
      <c r="P296" s="108"/>
      <c r="Q296" s="108"/>
      <c r="R296" s="108"/>
      <c r="S296" s="108"/>
      <c r="T296" s="108"/>
      <c r="U296" s="108"/>
      <c r="V296" s="108"/>
      <c r="W296" s="108"/>
      <c r="X296" s="108"/>
      <c r="Y296" s="108"/>
      <c r="Z296" s="108"/>
      <c r="AA296" s="108"/>
    </row>
    <row r="297" spans="1:27">
      <c r="A297" s="108"/>
      <c r="B297" s="108"/>
      <c r="C297" s="2132"/>
      <c r="D297" s="296" t="s">
        <v>716</v>
      </c>
      <c r="E297" s="295">
        <v>0.67</v>
      </c>
      <c r="F297" s="294">
        <v>0.49</v>
      </c>
      <c r="G297" s="105"/>
      <c r="H297" s="105"/>
      <c r="I297" s="108"/>
      <c r="J297" s="108"/>
      <c r="K297" s="108"/>
      <c r="L297" s="108"/>
      <c r="M297" s="108"/>
      <c r="N297" s="108"/>
      <c r="O297" s="108"/>
      <c r="P297" s="108"/>
      <c r="Q297" s="108"/>
      <c r="R297" s="108"/>
      <c r="S297" s="108"/>
      <c r="T297" s="108"/>
      <c r="U297" s="108"/>
      <c r="V297" s="108"/>
      <c r="W297" s="108"/>
      <c r="X297" s="108"/>
      <c r="Y297" s="108"/>
      <c r="Z297" s="108"/>
      <c r="AA297" s="108"/>
    </row>
    <row r="298" spans="1:27">
      <c r="A298" s="108"/>
      <c r="B298" s="108"/>
      <c r="C298" s="2133"/>
      <c r="D298" s="300" t="s">
        <v>727</v>
      </c>
      <c r="E298" s="295">
        <v>0.41</v>
      </c>
      <c r="F298" s="294">
        <v>0.63</v>
      </c>
      <c r="G298" s="105"/>
      <c r="H298" s="105"/>
      <c r="I298" s="108"/>
      <c r="J298" s="108"/>
      <c r="K298" s="108"/>
      <c r="L298" s="108"/>
      <c r="M298" s="108"/>
      <c r="N298" s="108"/>
      <c r="O298" s="108"/>
      <c r="P298" s="108"/>
      <c r="Q298" s="108"/>
      <c r="R298" s="108"/>
      <c r="S298" s="108"/>
      <c r="T298" s="108"/>
      <c r="U298" s="108"/>
      <c r="V298" s="108"/>
      <c r="W298" s="108"/>
      <c r="X298" s="108"/>
      <c r="Y298" s="108"/>
      <c r="Z298" s="108"/>
      <c r="AA298" s="108"/>
    </row>
    <row r="299" spans="1:27">
      <c r="A299" s="108"/>
      <c r="B299" s="108"/>
      <c r="C299" s="2131" t="s">
        <v>751</v>
      </c>
      <c r="D299" s="296" t="s">
        <v>752</v>
      </c>
      <c r="E299" s="295">
        <v>1.03</v>
      </c>
      <c r="F299" s="294">
        <v>1.07</v>
      </c>
      <c r="G299" s="105"/>
      <c r="H299" s="105"/>
      <c r="I299" s="108"/>
      <c r="J299" s="108"/>
      <c r="K299" s="108"/>
      <c r="L299" s="108"/>
      <c r="M299" s="108"/>
      <c r="N299" s="108"/>
      <c r="O299" s="108"/>
      <c r="P299" s="108"/>
      <c r="Q299" s="108"/>
      <c r="R299" s="108"/>
      <c r="S299" s="108"/>
      <c r="T299" s="108"/>
      <c r="U299" s="108"/>
      <c r="V299" s="108"/>
      <c r="W299" s="108"/>
      <c r="X299" s="108"/>
      <c r="Y299" s="108"/>
      <c r="Z299" s="108"/>
      <c r="AA299" s="108"/>
    </row>
    <row r="300" spans="1:27">
      <c r="A300" s="108"/>
      <c r="B300" s="108"/>
      <c r="C300" s="2132"/>
      <c r="D300" s="296" t="s">
        <v>716</v>
      </c>
      <c r="E300" s="295">
        <v>1.88</v>
      </c>
      <c r="F300" s="294">
        <v>1.1599999999999999</v>
      </c>
      <c r="G300" s="105"/>
      <c r="H300" s="105"/>
      <c r="I300" s="108"/>
      <c r="J300" s="108"/>
      <c r="K300" s="108"/>
      <c r="L300" s="108"/>
      <c r="M300" s="108"/>
      <c r="N300" s="108"/>
      <c r="O300" s="108"/>
      <c r="P300" s="108"/>
      <c r="Q300" s="108"/>
      <c r="R300" s="108"/>
      <c r="S300" s="108"/>
      <c r="T300" s="108"/>
      <c r="U300" s="108"/>
      <c r="V300" s="108"/>
      <c r="W300" s="108"/>
      <c r="X300" s="108"/>
      <c r="Y300" s="108"/>
      <c r="Z300" s="108"/>
      <c r="AA300" s="108"/>
    </row>
    <row r="301" spans="1:27">
      <c r="A301" s="108"/>
      <c r="B301" s="108"/>
      <c r="C301" s="2133"/>
      <c r="D301" s="296" t="s">
        <v>727</v>
      </c>
      <c r="E301" s="295">
        <v>0.35</v>
      </c>
      <c r="F301" s="294">
        <v>0.89</v>
      </c>
      <c r="G301" s="105"/>
      <c r="H301" s="105"/>
      <c r="I301" s="108"/>
      <c r="J301" s="108"/>
      <c r="K301" s="108"/>
      <c r="L301" s="108"/>
      <c r="M301" s="108"/>
      <c r="N301" s="108"/>
      <c r="O301" s="108"/>
      <c r="P301" s="108"/>
      <c r="Q301" s="108"/>
      <c r="R301" s="108"/>
      <c r="S301" s="108"/>
      <c r="T301" s="108"/>
      <c r="U301" s="108"/>
      <c r="V301" s="108"/>
      <c r="W301" s="108"/>
      <c r="X301" s="108"/>
      <c r="Y301" s="108"/>
      <c r="Z301" s="108"/>
      <c r="AA301" s="108"/>
    </row>
    <row r="302" spans="1:27">
      <c r="A302" s="108"/>
      <c r="B302" s="108"/>
      <c r="C302" s="2131" t="s">
        <v>753</v>
      </c>
      <c r="D302" s="296" t="s">
        <v>740</v>
      </c>
      <c r="E302" s="295">
        <v>7.12</v>
      </c>
      <c r="F302" s="294">
        <v>0.5</v>
      </c>
      <c r="G302" s="105"/>
      <c r="H302" s="105"/>
      <c r="I302" s="108"/>
      <c r="J302" s="108"/>
      <c r="K302" s="108"/>
      <c r="L302" s="108"/>
      <c r="M302" s="108"/>
      <c r="N302" s="108"/>
      <c r="O302" s="108"/>
      <c r="P302" s="108"/>
      <c r="Q302" s="108"/>
      <c r="R302" s="108"/>
      <c r="S302" s="108"/>
      <c r="T302" s="108"/>
      <c r="U302" s="108"/>
      <c r="V302" s="108"/>
      <c r="W302" s="108"/>
      <c r="X302" s="108"/>
      <c r="Y302" s="108"/>
      <c r="Z302" s="108"/>
      <c r="AA302" s="108"/>
    </row>
    <row r="303" spans="1:27">
      <c r="A303" s="108"/>
      <c r="B303" s="108"/>
      <c r="C303" s="2132"/>
      <c r="D303" s="296" t="s">
        <v>741</v>
      </c>
      <c r="E303" s="295">
        <v>2.74</v>
      </c>
      <c r="F303" s="294">
        <v>1.54</v>
      </c>
      <c r="G303" s="105"/>
      <c r="H303" s="105"/>
      <c r="I303" s="108"/>
      <c r="J303" s="108"/>
      <c r="K303" s="108"/>
      <c r="L303" s="108"/>
      <c r="M303" s="108"/>
      <c r="N303" s="108"/>
      <c r="O303" s="108"/>
      <c r="P303" s="108"/>
      <c r="Q303" s="108"/>
      <c r="R303" s="108"/>
      <c r="S303" s="108"/>
      <c r="T303" s="108"/>
      <c r="U303" s="108"/>
      <c r="V303" s="108"/>
      <c r="W303" s="108"/>
      <c r="X303" s="108"/>
      <c r="Y303" s="108"/>
      <c r="Z303" s="108"/>
      <c r="AA303" s="108"/>
    </row>
    <row r="304" spans="1:27">
      <c r="A304" s="108"/>
      <c r="B304" s="108"/>
      <c r="C304" s="2132"/>
      <c r="D304" s="296" t="s">
        <v>716</v>
      </c>
      <c r="E304" s="295">
        <v>0.41</v>
      </c>
      <c r="F304" s="294">
        <v>0.6</v>
      </c>
      <c r="G304" s="105"/>
      <c r="H304" s="105"/>
      <c r="I304" s="108"/>
      <c r="J304" s="108"/>
      <c r="K304" s="108"/>
      <c r="L304" s="108"/>
      <c r="M304" s="108"/>
      <c r="N304" s="108"/>
      <c r="O304" s="108"/>
      <c r="P304" s="108"/>
      <c r="Q304" s="108"/>
      <c r="R304" s="108"/>
      <c r="S304" s="108"/>
      <c r="T304" s="108"/>
      <c r="U304" s="108"/>
      <c r="V304" s="108"/>
      <c r="W304" s="108"/>
      <c r="X304" s="108"/>
      <c r="Y304" s="108"/>
      <c r="Z304" s="108"/>
      <c r="AA304" s="108"/>
    </row>
    <row r="305" spans="1:27">
      <c r="A305" s="108"/>
      <c r="B305" s="108"/>
      <c r="C305" s="2133"/>
      <c r="D305" s="296" t="s">
        <v>727</v>
      </c>
      <c r="E305" s="299">
        <v>0.45</v>
      </c>
      <c r="F305" s="298">
        <v>0.64</v>
      </c>
      <c r="G305" s="105"/>
      <c r="H305" s="105"/>
      <c r="I305" s="108"/>
      <c r="J305" s="108"/>
      <c r="K305" s="108"/>
      <c r="L305" s="108"/>
      <c r="M305" s="108"/>
      <c r="N305" s="108"/>
      <c r="O305" s="108"/>
      <c r="P305" s="108"/>
      <c r="Q305" s="108"/>
      <c r="R305" s="108"/>
      <c r="S305" s="108"/>
      <c r="T305" s="108"/>
      <c r="U305" s="108"/>
      <c r="V305" s="108"/>
      <c r="W305" s="108"/>
      <c r="X305" s="108"/>
      <c r="Y305" s="108"/>
      <c r="Z305" s="108"/>
      <c r="AA305" s="108"/>
    </row>
    <row r="306" spans="1:27">
      <c r="A306" s="108"/>
      <c r="B306" s="108"/>
      <c r="C306" s="2131" t="s">
        <v>754</v>
      </c>
      <c r="D306" s="296" t="s">
        <v>740</v>
      </c>
      <c r="E306" s="295">
        <v>9.68</v>
      </c>
      <c r="F306" s="297" t="s">
        <v>707</v>
      </c>
      <c r="G306" s="105"/>
      <c r="H306" s="105"/>
      <c r="I306" s="108"/>
      <c r="J306" s="108"/>
      <c r="K306" s="108"/>
      <c r="L306" s="108"/>
      <c r="M306" s="108"/>
      <c r="N306" s="108"/>
      <c r="O306" s="108"/>
      <c r="P306" s="108"/>
      <c r="Q306" s="108"/>
      <c r="R306" s="108"/>
      <c r="S306" s="108"/>
      <c r="T306" s="108"/>
      <c r="U306" s="108"/>
      <c r="V306" s="108"/>
      <c r="W306" s="108"/>
      <c r="X306" s="108"/>
      <c r="Y306" s="108"/>
      <c r="Z306" s="108"/>
      <c r="AA306" s="108"/>
    </row>
    <row r="307" spans="1:27">
      <c r="A307" s="108"/>
      <c r="B307" s="108"/>
      <c r="C307" s="2132"/>
      <c r="D307" s="296" t="s">
        <v>741</v>
      </c>
      <c r="E307" s="295">
        <v>3.24</v>
      </c>
      <c r="F307" s="294">
        <v>2.0499999999999998</v>
      </c>
      <c r="G307" s="105"/>
      <c r="H307" s="105"/>
      <c r="I307" s="108"/>
      <c r="J307" s="108"/>
      <c r="K307" s="108"/>
      <c r="L307" s="108"/>
      <c r="M307" s="108"/>
      <c r="N307" s="108"/>
      <c r="O307" s="108"/>
      <c r="P307" s="108"/>
      <c r="Q307" s="108"/>
      <c r="R307" s="108"/>
      <c r="S307" s="108"/>
      <c r="T307" s="108"/>
      <c r="U307" s="108"/>
      <c r="V307" s="108"/>
      <c r="W307" s="108"/>
      <c r="X307" s="108"/>
      <c r="Y307" s="108"/>
      <c r="Z307" s="108"/>
      <c r="AA307" s="108"/>
    </row>
    <row r="308" spans="1:27">
      <c r="A308" s="108"/>
      <c r="B308" s="108"/>
      <c r="C308" s="2133"/>
      <c r="D308" s="296" t="s">
        <v>716</v>
      </c>
      <c r="E308" s="295">
        <v>0.48</v>
      </c>
      <c r="F308" s="294">
        <v>1.27</v>
      </c>
      <c r="G308" s="105"/>
      <c r="H308" s="105"/>
      <c r="I308" s="108"/>
      <c r="J308" s="108"/>
      <c r="K308" s="108"/>
      <c r="L308" s="108"/>
      <c r="M308" s="108"/>
      <c r="N308" s="108"/>
      <c r="O308" s="108"/>
      <c r="P308" s="108"/>
      <c r="Q308" s="108"/>
      <c r="R308" s="108"/>
      <c r="S308" s="108"/>
      <c r="T308" s="108"/>
      <c r="U308" s="108"/>
      <c r="V308" s="108"/>
      <c r="W308" s="108"/>
      <c r="X308" s="108"/>
      <c r="Y308" s="108"/>
      <c r="Z308" s="108"/>
      <c r="AA308" s="108"/>
    </row>
    <row r="309" spans="1:27">
      <c r="A309" s="108"/>
      <c r="B309" s="108"/>
      <c r="C309" s="2131" t="s">
        <v>755</v>
      </c>
      <c r="D309" s="296" t="s">
        <v>752</v>
      </c>
      <c r="E309" s="295">
        <v>3.24</v>
      </c>
      <c r="F309" s="294">
        <v>1.81</v>
      </c>
      <c r="G309" s="105"/>
      <c r="H309" s="105"/>
      <c r="I309" s="108"/>
      <c r="J309" s="108"/>
      <c r="K309" s="108"/>
      <c r="L309" s="108"/>
      <c r="M309" s="108"/>
      <c r="N309" s="108"/>
      <c r="O309" s="108"/>
      <c r="P309" s="108"/>
      <c r="Q309" s="108"/>
      <c r="R309" s="108"/>
      <c r="S309" s="108"/>
      <c r="T309" s="108"/>
      <c r="U309" s="108"/>
      <c r="V309" s="108"/>
      <c r="W309" s="108"/>
      <c r="X309" s="108"/>
      <c r="Y309" s="108"/>
      <c r="Z309" s="108"/>
      <c r="AA309" s="108"/>
    </row>
    <row r="310" spans="1:27">
      <c r="A310" s="108"/>
      <c r="B310" s="108"/>
      <c r="C310" s="2132"/>
      <c r="D310" s="296" t="s">
        <v>716</v>
      </c>
      <c r="E310" s="295">
        <v>0.38</v>
      </c>
      <c r="F310" s="294">
        <v>0.95</v>
      </c>
      <c r="G310" s="105"/>
      <c r="H310" s="105"/>
      <c r="I310" s="108"/>
      <c r="J310" s="108"/>
      <c r="K310" s="108"/>
      <c r="L310" s="108"/>
      <c r="M310" s="108"/>
      <c r="N310" s="108"/>
      <c r="O310" s="108"/>
      <c r="P310" s="108"/>
      <c r="Q310" s="108"/>
      <c r="R310" s="108"/>
      <c r="S310" s="108"/>
      <c r="T310" s="108"/>
      <c r="U310" s="108"/>
      <c r="V310" s="108"/>
      <c r="W310" s="108"/>
      <c r="X310" s="108"/>
      <c r="Y310" s="108"/>
      <c r="Z310" s="108"/>
      <c r="AA310" s="108"/>
    </row>
    <row r="311" spans="1:27">
      <c r="A311" s="108"/>
      <c r="B311" s="108"/>
      <c r="C311" s="2133"/>
      <c r="D311" s="296" t="s">
        <v>727</v>
      </c>
      <c r="E311" s="295">
        <v>1.99</v>
      </c>
      <c r="F311" s="294">
        <v>0.01</v>
      </c>
      <c r="G311" s="105"/>
      <c r="H311" s="105"/>
      <c r="I311" s="108"/>
      <c r="J311" s="108"/>
      <c r="K311" s="108"/>
      <c r="L311" s="108"/>
      <c r="M311" s="108"/>
      <c r="N311" s="108"/>
      <c r="O311" s="108"/>
      <c r="P311" s="108"/>
      <c r="Q311" s="108"/>
      <c r="R311" s="108"/>
      <c r="S311" s="108"/>
      <c r="T311" s="108"/>
      <c r="U311" s="108"/>
      <c r="V311" s="108"/>
      <c r="W311" s="108"/>
      <c r="X311" s="108"/>
      <c r="Y311" s="108"/>
      <c r="Z311" s="108"/>
      <c r="AA311" s="108"/>
    </row>
    <row r="312" spans="1:27">
      <c r="A312" s="108"/>
      <c r="B312" s="108"/>
      <c r="C312" s="2131" t="s">
        <v>756</v>
      </c>
      <c r="D312" s="296" t="s">
        <v>740</v>
      </c>
      <c r="E312" s="295">
        <v>17.61</v>
      </c>
      <c r="F312" s="294">
        <v>0.11</v>
      </c>
      <c r="G312" s="105"/>
      <c r="H312" s="105"/>
      <c r="I312" s="108"/>
      <c r="J312" s="108"/>
      <c r="K312" s="108"/>
      <c r="L312" s="108"/>
      <c r="M312" s="108"/>
      <c r="N312" s="108"/>
      <c r="O312" s="108"/>
      <c r="P312" s="108"/>
      <c r="Q312" s="108"/>
      <c r="R312" s="108"/>
      <c r="S312" s="108"/>
      <c r="T312" s="108"/>
      <c r="U312" s="108"/>
      <c r="V312" s="108"/>
      <c r="W312" s="108"/>
      <c r="X312" s="108"/>
      <c r="Y312" s="108"/>
      <c r="Z312" s="108"/>
      <c r="AA312" s="108"/>
    </row>
    <row r="313" spans="1:27">
      <c r="A313" s="108"/>
      <c r="B313" s="108"/>
      <c r="C313" s="2132"/>
      <c r="D313" s="296" t="s">
        <v>741</v>
      </c>
      <c r="E313" s="295">
        <v>2.87</v>
      </c>
      <c r="F313" s="294">
        <v>1.5</v>
      </c>
      <c r="G313" s="105"/>
      <c r="H313" s="105"/>
      <c r="I313" s="108"/>
      <c r="J313" s="108"/>
      <c r="K313" s="108"/>
      <c r="L313" s="108"/>
      <c r="M313" s="108"/>
      <c r="N313" s="108"/>
      <c r="O313" s="108"/>
      <c r="P313" s="108"/>
      <c r="Q313" s="108"/>
      <c r="R313" s="108"/>
      <c r="S313" s="108"/>
      <c r="T313" s="108"/>
      <c r="U313" s="108"/>
      <c r="V313" s="108"/>
      <c r="W313" s="108"/>
      <c r="X313" s="108"/>
      <c r="Y313" s="108"/>
      <c r="Z313" s="108"/>
      <c r="AA313" s="108"/>
    </row>
    <row r="314" spans="1:27">
      <c r="A314" s="108"/>
      <c r="B314" s="108"/>
      <c r="C314" s="2132"/>
      <c r="D314" s="296" t="s">
        <v>716</v>
      </c>
      <c r="E314" s="295">
        <v>0.73</v>
      </c>
      <c r="F314" s="294">
        <v>0.66</v>
      </c>
      <c r="G314" s="105"/>
      <c r="H314" s="105"/>
      <c r="I314" s="108"/>
      <c r="J314" s="108"/>
      <c r="K314" s="108"/>
      <c r="L314" s="108"/>
      <c r="M314" s="108"/>
      <c r="N314" s="108"/>
      <c r="O314" s="108"/>
      <c r="P314" s="108"/>
      <c r="Q314" s="108"/>
      <c r="R314" s="108"/>
      <c r="S314" s="108"/>
      <c r="T314" s="108"/>
      <c r="U314" s="108"/>
      <c r="V314" s="108"/>
      <c r="W314" s="108"/>
      <c r="X314" s="108"/>
      <c r="Y314" s="108"/>
      <c r="Z314" s="108"/>
      <c r="AA314" s="108"/>
    </row>
    <row r="315" spans="1:27" ht="14" thickBot="1">
      <c r="A315" s="108"/>
      <c r="B315" s="108"/>
      <c r="C315" s="2134"/>
      <c r="D315" s="293" t="s">
        <v>727</v>
      </c>
      <c r="E315" s="292">
        <v>0.43</v>
      </c>
      <c r="F315" s="291">
        <v>0.6</v>
      </c>
      <c r="G315" s="105"/>
      <c r="H315" s="105"/>
      <c r="I315" s="108"/>
      <c r="J315" s="108"/>
      <c r="K315" s="108"/>
      <c r="L315" s="108"/>
      <c r="M315" s="108"/>
      <c r="N315" s="108"/>
      <c r="O315" s="108"/>
      <c r="P315" s="108"/>
      <c r="Q315" s="108"/>
      <c r="R315" s="108"/>
      <c r="S315" s="108"/>
      <c r="T315" s="108"/>
      <c r="U315" s="108"/>
      <c r="V315" s="108"/>
      <c r="W315" s="108"/>
      <c r="X315" s="108"/>
      <c r="Y315" s="108"/>
      <c r="Z315" s="108"/>
      <c r="AA315" s="108"/>
    </row>
    <row r="316" spans="1:27">
      <c r="A316" s="108"/>
      <c r="B316" s="108"/>
      <c r="C316" s="239" t="s">
        <v>757</v>
      </c>
      <c r="D316" s="106"/>
      <c r="E316" s="106"/>
      <c r="F316" s="106"/>
      <c r="G316" s="105"/>
      <c r="H316" s="105"/>
      <c r="I316" s="108"/>
      <c r="J316" s="108"/>
      <c r="K316" s="108"/>
      <c r="L316" s="108"/>
      <c r="M316" s="108"/>
      <c r="N316" s="108"/>
      <c r="O316" s="108"/>
      <c r="P316" s="108"/>
      <c r="Q316" s="108"/>
      <c r="R316" s="108"/>
      <c r="S316" s="108"/>
      <c r="T316" s="108"/>
      <c r="U316" s="108"/>
      <c r="V316" s="108"/>
      <c r="W316" s="108"/>
      <c r="X316" s="108"/>
      <c r="Y316" s="108"/>
      <c r="Z316" s="108"/>
      <c r="AA316" s="108"/>
    </row>
    <row r="317" spans="1:27">
      <c r="A317" s="108"/>
      <c r="B317" s="108"/>
      <c r="C317" s="290" t="s">
        <v>734</v>
      </c>
      <c r="D317" s="106"/>
      <c r="E317" s="106"/>
      <c r="F317" s="106"/>
      <c r="G317" s="105"/>
      <c r="H317" s="105"/>
      <c r="I317" s="108"/>
      <c r="J317" s="108"/>
      <c r="K317" s="108"/>
      <c r="L317" s="108"/>
      <c r="M317" s="108"/>
      <c r="N317" s="108"/>
      <c r="O317" s="108"/>
      <c r="P317" s="108"/>
      <c r="Q317" s="108"/>
      <c r="R317" s="108"/>
      <c r="S317" s="108"/>
      <c r="T317" s="108"/>
      <c r="U317" s="108"/>
      <c r="V317" s="108"/>
      <c r="W317" s="108"/>
      <c r="X317" s="108"/>
      <c r="Y317" s="108"/>
      <c r="Z317" s="108"/>
      <c r="AA317" s="108"/>
    </row>
    <row r="318" spans="1:27" ht="69" customHeight="1">
      <c r="A318" s="108"/>
      <c r="B318" s="289"/>
      <c r="C318" s="2141" t="s">
        <v>758</v>
      </c>
      <c r="D318" s="2141"/>
      <c r="E318" s="2141"/>
      <c r="F318" s="2141"/>
      <c r="G318" s="2141"/>
      <c r="H318" s="2141"/>
      <c r="I318" s="108"/>
      <c r="J318" s="108"/>
      <c r="K318" s="108"/>
      <c r="L318" s="108"/>
      <c r="M318" s="108"/>
      <c r="N318" s="108"/>
      <c r="O318" s="108"/>
      <c r="P318" s="108"/>
      <c r="Q318" s="108"/>
      <c r="R318" s="108"/>
      <c r="S318" s="108"/>
      <c r="T318" s="108"/>
      <c r="U318" s="108"/>
      <c r="V318" s="108"/>
      <c r="W318" s="108"/>
      <c r="X318" s="108"/>
      <c r="Y318" s="108"/>
      <c r="Z318" s="108"/>
      <c r="AA318" s="108"/>
    </row>
    <row r="319" spans="1:27">
      <c r="A319" s="108"/>
      <c r="B319" s="151"/>
      <c r="C319" s="153"/>
      <c r="D319" s="153"/>
      <c r="E319" s="153"/>
      <c r="F319" s="153"/>
      <c r="G319" s="153"/>
      <c r="H319" s="153"/>
      <c r="I319" s="153"/>
      <c r="J319" s="153"/>
      <c r="K319" s="153"/>
      <c r="L319" s="152"/>
      <c r="M319" s="152"/>
      <c r="N319" s="108"/>
      <c r="O319" s="108"/>
      <c r="P319" s="108"/>
      <c r="Q319" s="108"/>
      <c r="R319" s="108"/>
      <c r="S319" s="108"/>
      <c r="T319" s="108"/>
      <c r="U319" s="108"/>
      <c r="V319" s="108"/>
      <c r="W319" s="108"/>
      <c r="X319" s="108"/>
      <c r="Y319" s="108"/>
      <c r="Z319" s="108"/>
      <c r="AA319" s="108"/>
    </row>
    <row r="320" spans="1:27" s="103" customFormat="1" ht="16">
      <c r="A320" s="104"/>
      <c r="B320" s="288" t="s">
        <v>759</v>
      </c>
      <c r="C320" s="287" t="s">
        <v>760</v>
      </c>
      <c r="D320" s="286"/>
      <c r="E320" s="286"/>
      <c r="F320" s="285"/>
      <c r="G320" s="139"/>
      <c r="H320" s="139"/>
      <c r="I320" s="139"/>
      <c r="J320" s="139"/>
      <c r="K320" s="139"/>
      <c r="L320" s="138"/>
      <c r="M320" s="108"/>
      <c r="N320" s="104"/>
      <c r="O320" s="104"/>
      <c r="P320" s="104"/>
      <c r="Q320" s="104"/>
      <c r="R320" s="104"/>
      <c r="S320" s="104"/>
      <c r="T320" s="104"/>
      <c r="U320" s="104"/>
      <c r="V320" s="104"/>
      <c r="W320" s="104"/>
      <c r="X320" s="104"/>
      <c r="Y320" s="104"/>
      <c r="Z320" s="104"/>
      <c r="AA320" s="104"/>
    </row>
    <row r="321" spans="1:27" ht="14" thickBot="1">
      <c r="A321" s="108"/>
      <c r="B321" s="151"/>
      <c r="C321" s="284"/>
      <c r="D321" s="284"/>
      <c r="E321" s="284"/>
      <c r="F321" s="108"/>
      <c r="G321" s="108"/>
      <c r="H321" s="108"/>
      <c r="I321" s="108"/>
      <c r="J321" s="108"/>
      <c r="K321" s="108"/>
      <c r="L321" s="108"/>
      <c r="M321" s="108"/>
      <c r="N321" s="108"/>
      <c r="O321" s="108"/>
      <c r="P321" s="108"/>
      <c r="Q321" s="108"/>
      <c r="R321" s="108"/>
      <c r="S321" s="108"/>
      <c r="T321" s="108"/>
      <c r="U321" s="108"/>
      <c r="V321" s="108"/>
      <c r="W321" s="108"/>
      <c r="X321" s="108"/>
      <c r="Y321" s="108"/>
      <c r="Z321" s="108"/>
      <c r="AA321" s="108"/>
    </row>
    <row r="322" spans="1:27" ht="13.5" customHeight="1">
      <c r="A322" s="108"/>
      <c r="B322" s="151"/>
      <c r="C322" s="283"/>
      <c r="D322" s="282"/>
      <c r="E322" s="281" t="s">
        <v>761</v>
      </c>
      <c r="F322" s="280"/>
      <c r="G322" s="279"/>
      <c r="H322" s="2164" t="s">
        <v>762</v>
      </c>
      <c r="I322" s="2165"/>
      <c r="J322" s="2166"/>
      <c r="K322" s="130"/>
      <c r="L322" s="108"/>
      <c r="M322" s="108"/>
      <c r="N322" s="108"/>
      <c r="O322" s="108"/>
      <c r="P322" s="108"/>
      <c r="Q322" s="108"/>
      <c r="R322" s="108"/>
      <c r="S322" s="108"/>
      <c r="T322" s="108"/>
      <c r="U322" s="108"/>
      <c r="V322" s="108"/>
      <c r="W322" s="108"/>
      <c r="X322" s="108"/>
      <c r="Y322" s="108"/>
      <c r="Z322" s="108"/>
      <c r="AA322" s="108"/>
    </row>
    <row r="323" spans="1:27" ht="16">
      <c r="A323" s="108"/>
      <c r="B323" s="151"/>
      <c r="C323" s="278" t="s">
        <v>763</v>
      </c>
      <c r="D323" s="277" t="s">
        <v>764</v>
      </c>
      <c r="E323" s="276" t="s">
        <v>532</v>
      </c>
      <c r="F323" s="275" t="s">
        <v>533</v>
      </c>
      <c r="G323" s="274" t="s">
        <v>534</v>
      </c>
      <c r="H323" s="276" t="s">
        <v>532</v>
      </c>
      <c r="I323" s="275" t="s">
        <v>533</v>
      </c>
      <c r="J323" s="274" t="s">
        <v>534</v>
      </c>
      <c r="K323" s="108"/>
      <c r="L323" s="108"/>
      <c r="M323" s="108"/>
      <c r="N323" s="108"/>
      <c r="O323" s="108"/>
      <c r="P323" s="108"/>
      <c r="Q323" s="108"/>
      <c r="R323" s="108"/>
      <c r="S323" s="108"/>
      <c r="T323" s="108"/>
      <c r="U323" s="108"/>
      <c r="V323" s="108"/>
      <c r="W323" s="108"/>
      <c r="X323" s="108"/>
      <c r="Y323" s="108"/>
      <c r="Z323" s="108"/>
      <c r="AA323" s="108"/>
    </row>
    <row r="324" spans="1:27" ht="15" thickBot="1">
      <c r="A324" s="108"/>
      <c r="B324" s="151"/>
      <c r="C324" s="273"/>
      <c r="D324" s="272"/>
      <c r="E324" s="271" t="s">
        <v>765</v>
      </c>
      <c r="F324" s="270" t="s">
        <v>765</v>
      </c>
      <c r="G324" s="269" t="s">
        <v>765</v>
      </c>
      <c r="H324" s="271" t="s">
        <v>765</v>
      </c>
      <c r="I324" s="270" t="s">
        <v>765</v>
      </c>
      <c r="J324" s="269" t="s">
        <v>765</v>
      </c>
      <c r="K324" s="249"/>
      <c r="L324" s="108"/>
      <c r="M324" s="108"/>
      <c r="N324" s="108"/>
      <c r="O324" s="108"/>
      <c r="P324" s="108"/>
      <c r="Q324" s="108"/>
      <c r="R324" s="108"/>
      <c r="S324" s="108"/>
      <c r="T324" s="108"/>
      <c r="U324" s="108"/>
      <c r="V324" s="108"/>
      <c r="W324" s="108"/>
      <c r="X324" s="108"/>
      <c r="Y324" s="108"/>
      <c r="Z324" s="108"/>
      <c r="AA324" s="108"/>
    </row>
    <row r="325" spans="1:27">
      <c r="A325" s="108"/>
      <c r="B325" s="108"/>
      <c r="C325" s="148" t="s">
        <v>766</v>
      </c>
      <c r="D325" s="228" t="s">
        <v>767</v>
      </c>
      <c r="E325" s="267">
        <v>1067.7</v>
      </c>
      <c r="F325" s="189">
        <v>9.0999999999999998E-2</v>
      </c>
      <c r="G325" s="268">
        <v>1.2E-2</v>
      </c>
      <c r="H325" s="267">
        <v>1229.5999999999999</v>
      </c>
      <c r="I325" s="189">
        <v>0.12</v>
      </c>
      <c r="J325" s="266">
        <v>1.6E-2</v>
      </c>
      <c r="K325" s="108"/>
      <c r="L325" s="108"/>
      <c r="M325" s="108"/>
      <c r="N325" s="249"/>
      <c r="O325" s="249"/>
      <c r="P325" s="249"/>
      <c r="Q325" s="108"/>
      <c r="R325" s="108"/>
      <c r="S325" s="108"/>
      <c r="T325" s="108"/>
      <c r="U325" s="108"/>
      <c r="V325" s="108"/>
      <c r="W325" s="108"/>
      <c r="X325" s="108"/>
      <c r="Y325" s="108"/>
      <c r="Z325" s="108"/>
      <c r="AA325" s="108"/>
    </row>
    <row r="326" spans="1:27">
      <c r="A326" s="108"/>
      <c r="B326" s="108"/>
      <c r="C326" s="146" t="s">
        <v>768</v>
      </c>
      <c r="D326" s="225" t="s">
        <v>769</v>
      </c>
      <c r="E326" s="264">
        <v>485.2</v>
      </c>
      <c r="F326" s="170">
        <v>2.5000000000000001E-2</v>
      </c>
      <c r="G326" s="265">
        <v>4.0000000000000001E-3</v>
      </c>
      <c r="H326" s="264">
        <v>1531.3</v>
      </c>
      <c r="I326" s="170">
        <v>6.6000000000000003E-2</v>
      </c>
      <c r="J326" s="263">
        <v>1.2E-2</v>
      </c>
      <c r="K326" s="108"/>
      <c r="L326" s="108"/>
      <c r="M326" s="108"/>
      <c r="N326" s="249"/>
      <c r="O326" s="249"/>
      <c r="P326" s="249"/>
      <c r="Q326" s="108"/>
      <c r="R326" s="108"/>
      <c r="S326" s="108"/>
      <c r="T326" s="108"/>
      <c r="U326" s="108"/>
      <c r="V326" s="108"/>
      <c r="W326" s="108"/>
      <c r="X326" s="108"/>
      <c r="Y326" s="108"/>
      <c r="Z326" s="108"/>
      <c r="AA326" s="108"/>
    </row>
    <row r="327" spans="1:27">
      <c r="A327" s="108"/>
      <c r="B327" s="108"/>
      <c r="C327" s="146" t="s">
        <v>770</v>
      </c>
      <c r="D327" s="225" t="s">
        <v>771</v>
      </c>
      <c r="E327" s="264">
        <v>819.7</v>
      </c>
      <c r="F327" s="170">
        <v>5.1999999999999998E-2</v>
      </c>
      <c r="G327" s="265">
        <v>7.0000000000000001E-3</v>
      </c>
      <c r="H327" s="264">
        <v>1227.5999999999999</v>
      </c>
      <c r="I327" s="170">
        <v>6.7000000000000004E-2</v>
      </c>
      <c r="J327" s="263">
        <v>8.9999999999999993E-3</v>
      </c>
      <c r="K327" s="108"/>
      <c r="L327" s="108"/>
      <c r="M327" s="108"/>
      <c r="N327" s="249"/>
      <c r="O327" s="249"/>
      <c r="P327" s="249"/>
      <c r="Q327" s="108"/>
      <c r="R327" s="108"/>
      <c r="S327" s="108"/>
      <c r="T327" s="108"/>
      <c r="U327" s="108"/>
      <c r="V327" s="108"/>
      <c r="W327" s="108"/>
      <c r="X327" s="108"/>
      <c r="Y327" s="108"/>
      <c r="Z327" s="108"/>
      <c r="AA327" s="108"/>
    </row>
    <row r="328" spans="1:27">
      <c r="A328" s="108"/>
      <c r="B328" s="108"/>
      <c r="C328" s="146" t="s">
        <v>772</v>
      </c>
      <c r="D328" s="225" t="s">
        <v>773</v>
      </c>
      <c r="E328" s="264">
        <v>531.70000000000005</v>
      </c>
      <c r="F328" s="170">
        <v>3.1E-2</v>
      </c>
      <c r="G328" s="265">
        <v>4.0000000000000001E-3</v>
      </c>
      <c r="H328" s="264">
        <v>1047.5</v>
      </c>
      <c r="I328" s="170">
        <v>4.9000000000000002E-2</v>
      </c>
      <c r="J328" s="263">
        <v>6.0000000000000001E-3</v>
      </c>
      <c r="K328" s="108"/>
      <c r="L328" s="108"/>
      <c r="M328" s="108"/>
      <c r="N328" s="249"/>
      <c r="O328" s="249"/>
      <c r="P328" s="249"/>
      <c r="Q328" s="108"/>
      <c r="R328" s="108"/>
      <c r="S328" s="108"/>
      <c r="T328" s="108"/>
      <c r="U328" s="108"/>
      <c r="V328" s="108"/>
      <c r="W328" s="108"/>
      <c r="X328" s="108"/>
      <c r="Y328" s="108"/>
      <c r="Z328" s="108"/>
      <c r="AA328" s="108"/>
    </row>
    <row r="329" spans="1:27">
      <c r="A329" s="108"/>
      <c r="B329" s="108"/>
      <c r="C329" s="146" t="s">
        <v>774</v>
      </c>
      <c r="D329" s="225" t="s">
        <v>775</v>
      </c>
      <c r="E329" s="264">
        <v>813.6</v>
      </c>
      <c r="F329" s="170">
        <v>5.3999999999999999E-2</v>
      </c>
      <c r="G329" s="265">
        <v>8.0000000000000002E-3</v>
      </c>
      <c r="H329" s="264">
        <v>1177.4000000000001</v>
      </c>
      <c r="I329" s="170">
        <v>6.5000000000000002E-2</v>
      </c>
      <c r="J329" s="263">
        <v>8.9999999999999993E-3</v>
      </c>
      <c r="K329" s="108"/>
      <c r="L329" s="108"/>
      <c r="M329" s="108"/>
      <c r="N329" s="249"/>
      <c r="O329" s="249"/>
      <c r="P329" s="249"/>
      <c r="Q329" s="108"/>
      <c r="R329" s="108"/>
      <c r="S329" s="108"/>
      <c r="T329" s="108"/>
      <c r="U329" s="108"/>
      <c r="V329" s="108"/>
      <c r="W329" s="108"/>
      <c r="X329" s="108"/>
      <c r="Y329" s="108"/>
      <c r="Z329" s="108"/>
      <c r="AA329" s="108"/>
    </row>
    <row r="330" spans="1:27">
      <c r="A330" s="108"/>
      <c r="B330" s="108"/>
      <c r="C330" s="146" t="s">
        <v>776</v>
      </c>
      <c r="D330" s="225" t="s">
        <v>777</v>
      </c>
      <c r="E330" s="264">
        <v>832.9</v>
      </c>
      <c r="F330" s="170">
        <v>5.2999999999999999E-2</v>
      </c>
      <c r="G330" s="265">
        <v>7.0000000000000001E-3</v>
      </c>
      <c r="H330" s="264">
        <v>1016.5</v>
      </c>
      <c r="I330" s="170">
        <v>5.3999999999999999E-2</v>
      </c>
      <c r="J330" s="263">
        <v>7.0000000000000001E-3</v>
      </c>
      <c r="K330" s="108"/>
      <c r="L330" s="108"/>
      <c r="M330" s="108"/>
      <c r="N330" s="249"/>
      <c r="O330" s="249"/>
      <c r="P330" s="249"/>
      <c r="Q330" s="108"/>
      <c r="R330" s="108"/>
      <c r="S330" s="108"/>
      <c r="T330" s="108"/>
      <c r="U330" s="108"/>
      <c r="V330" s="108"/>
      <c r="W330" s="108"/>
      <c r="X330" s="108"/>
      <c r="Y330" s="108"/>
      <c r="Z330" s="108"/>
      <c r="AA330" s="108"/>
    </row>
    <row r="331" spans="1:27">
      <c r="A331" s="108"/>
      <c r="B331" s="108"/>
      <c r="C331" s="146" t="s">
        <v>778</v>
      </c>
      <c r="D331" s="225" t="s">
        <v>779</v>
      </c>
      <c r="E331" s="264">
        <v>1134.4000000000001</v>
      </c>
      <c r="F331" s="170">
        <v>0.13500000000000001</v>
      </c>
      <c r="G331" s="265">
        <v>2.1000000000000001E-2</v>
      </c>
      <c r="H331" s="264">
        <v>1649.4</v>
      </c>
      <c r="I331" s="170">
        <v>0.17599999999999999</v>
      </c>
      <c r="J331" s="263">
        <v>2.7E-2</v>
      </c>
      <c r="K331" s="108"/>
      <c r="L331" s="108"/>
      <c r="M331" s="108"/>
      <c r="N331" s="249"/>
      <c r="O331" s="249"/>
      <c r="P331" s="249"/>
      <c r="Q331" s="108"/>
      <c r="R331" s="108"/>
      <c r="S331" s="108"/>
      <c r="T331" s="108"/>
      <c r="U331" s="108"/>
      <c r="V331" s="108"/>
      <c r="W331" s="108"/>
      <c r="X331" s="108"/>
      <c r="Y331" s="108"/>
      <c r="Z331" s="108"/>
      <c r="AA331" s="108"/>
    </row>
    <row r="332" spans="1:27">
      <c r="A332" s="108"/>
      <c r="B332" s="108"/>
      <c r="C332" s="146" t="s">
        <v>780</v>
      </c>
      <c r="D332" s="225" t="s">
        <v>781</v>
      </c>
      <c r="E332" s="264">
        <v>1633.1</v>
      </c>
      <c r="F332" s="170">
        <v>0.17599999999999999</v>
      </c>
      <c r="G332" s="265">
        <v>2.7E-2</v>
      </c>
      <c r="H332" s="264">
        <v>1784</v>
      </c>
      <c r="I332" s="170">
        <v>0.17199999999999999</v>
      </c>
      <c r="J332" s="263">
        <v>2.7E-2</v>
      </c>
      <c r="K332" s="108"/>
      <c r="L332" s="108"/>
      <c r="M332" s="108"/>
      <c r="N332" s="249"/>
      <c r="O332" s="249"/>
      <c r="P332" s="249"/>
      <c r="Q332" s="108"/>
      <c r="R332" s="108"/>
      <c r="S332" s="108"/>
      <c r="T332" s="108"/>
      <c r="U332" s="108"/>
      <c r="V332" s="108"/>
      <c r="W332" s="108"/>
      <c r="X332" s="108"/>
      <c r="Y332" s="108"/>
      <c r="Z332" s="108"/>
      <c r="AA332" s="108"/>
    </row>
    <row r="333" spans="1:27">
      <c r="A333" s="108"/>
      <c r="B333" s="108"/>
      <c r="C333" s="146" t="s">
        <v>782</v>
      </c>
      <c r="D333" s="225" t="s">
        <v>783</v>
      </c>
      <c r="E333" s="264">
        <v>1582.1</v>
      </c>
      <c r="F333" s="170">
        <v>0.14799999999999999</v>
      </c>
      <c r="G333" s="265">
        <v>2.1999999999999999E-2</v>
      </c>
      <c r="H333" s="264">
        <v>1555.9</v>
      </c>
      <c r="I333" s="170">
        <v>0.13300000000000001</v>
      </c>
      <c r="J333" s="263">
        <v>1.9E-2</v>
      </c>
      <c r="K333" s="108"/>
      <c r="L333" s="108"/>
      <c r="M333" s="108"/>
      <c r="N333" s="249"/>
      <c r="O333" s="249"/>
      <c r="P333" s="249"/>
      <c r="Q333" s="108"/>
      <c r="R333" s="108"/>
      <c r="S333" s="108"/>
      <c r="T333" s="108"/>
      <c r="U333" s="108"/>
      <c r="V333" s="108"/>
      <c r="W333" s="108"/>
      <c r="X333" s="108"/>
      <c r="Y333" s="108"/>
      <c r="Z333" s="108"/>
      <c r="AA333" s="108"/>
    </row>
    <row r="334" spans="1:27">
      <c r="A334" s="108"/>
      <c r="B334" s="108"/>
      <c r="C334" s="146" t="s">
        <v>784</v>
      </c>
      <c r="D334" s="225" t="s">
        <v>785</v>
      </c>
      <c r="E334" s="264">
        <v>995.8</v>
      </c>
      <c r="F334" s="170">
        <v>0.107</v>
      </c>
      <c r="G334" s="265">
        <v>1.4999999999999999E-2</v>
      </c>
      <c r="H334" s="264">
        <v>1808.3</v>
      </c>
      <c r="I334" s="170">
        <v>0.183</v>
      </c>
      <c r="J334" s="263">
        <v>2.5999999999999999E-2</v>
      </c>
      <c r="K334" s="108"/>
      <c r="L334" s="108"/>
      <c r="M334" s="108"/>
      <c r="N334" s="249"/>
      <c r="O334" s="249"/>
      <c r="P334" s="249"/>
      <c r="Q334" s="108"/>
      <c r="R334" s="108"/>
      <c r="S334" s="108"/>
      <c r="T334" s="108"/>
      <c r="U334" s="108"/>
      <c r="V334" s="108"/>
      <c r="W334" s="108"/>
      <c r="X334" s="108"/>
      <c r="Y334" s="108"/>
      <c r="Z334" s="108"/>
      <c r="AA334" s="108"/>
    </row>
    <row r="335" spans="1:27">
      <c r="A335" s="108"/>
      <c r="B335" s="108"/>
      <c r="C335" s="146" t="s">
        <v>786</v>
      </c>
      <c r="D335" s="225" t="s">
        <v>787</v>
      </c>
      <c r="E335" s="264">
        <v>539.4</v>
      </c>
      <c r="F335" s="170">
        <v>7.1999999999999995E-2</v>
      </c>
      <c r="G335" s="265">
        <v>8.9999999999999993E-3</v>
      </c>
      <c r="H335" s="264">
        <v>900.5</v>
      </c>
      <c r="I335" s="170">
        <v>7.2999999999999995E-2</v>
      </c>
      <c r="J335" s="263">
        <v>8.9999999999999993E-3</v>
      </c>
      <c r="K335" s="108"/>
      <c r="L335" s="108"/>
      <c r="M335" s="108"/>
      <c r="N335" s="249"/>
      <c r="O335" s="249"/>
      <c r="P335" s="249"/>
      <c r="Q335" s="108"/>
      <c r="R335" s="108"/>
      <c r="S335" s="108"/>
      <c r="T335" s="108"/>
      <c r="U335" s="108"/>
      <c r="V335" s="108"/>
      <c r="W335" s="108"/>
      <c r="X335" s="108"/>
      <c r="Y335" s="108"/>
      <c r="Z335" s="108"/>
      <c r="AA335" s="108"/>
    </row>
    <row r="336" spans="1:27">
      <c r="A336" s="108"/>
      <c r="B336" s="108"/>
      <c r="C336" s="146" t="s">
        <v>788</v>
      </c>
      <c r="D336" s="225" t="s">
        <v>789</v>
      </c>
      <c r="E336" s="264">
        <v>634.6</v>
      </c>
      <c r="F336" s="170">
        <v>5.8000000000000003E-2</v>
      </c>
      <c r="G336" s="265">
        <v>8.0000000000000002E-3</v>
      </c>
      <c r="H336" s="264">
        <v>1545.7</v>
      </c>
      <c r="I336" s="170">
        <v>0.13900000000000001</v>
      </c>
      <c r="J336" s="263">
        <v>0.02</v>
      </c>
      <c r="K336" s="108"/>
      <c r="L336" s="108"/>
      <c r="M336" s="108"/>
      <c r="N336" s="249"/>
      <c r="O336" s="249"/>
      <c r="P336" s="249"/>
      <c r="Q336" s="108"/>
      <c r="R336" s="108"/>
      <c r="S336" s="108"/>
      <c r="T336" s="108"/>
      <c r="U336" s="108"/>
      <c r="V336" s="108"/>
      <c r="W336" s="108"/>
      <c r="X336" s="108"/>
      <c r="Y336" s="108"/>
      <c r="Z336" s="108"/>
      <c r="AA336" s="108"/>
    </row>
    <row r="337" spans="1:27">
      <c r="A337" s="108"/>
      <c r="B337" s="108"/>
      <c r="C337" s="146" t="s">
        <v>790</v>
      </c>
      <c r="D337" s="225" t="s">
        <v>791</v>
      </c>
      <c r="E337" s="264">
        <v>816.8</v>
      </c>
      <c r="F337" s="170">
        <v>1.9E-2</v>
      </c>
      <c r="G337" s="265">
        <v>2E-3</v>
      </c>
      <c r="H337" s="264">
        <v>930.8</v>
      </c>
      <c r="I337" s="170">
        <v>0.02</v>
      </c>
      <c r="J337" s="263">
        <v>2E-3</v>
      </c>
      <c r="K337" s="108"/>
      <c r="L337" s="108"/>
      <c r="M337" s="108"/>
      <c r="N337" s="249"/>
      <c r="O337" s="249"/>
      <c r="P337" s="249"/>
      <c r="Q337" s="108"/>
      <c r="R337" s="108"/>
      <c r="S337" s="108"/>
      <c r="T337" s="108"/>
      <c r="U337" s="108"/>
      <c r="V337" s="108"/>
      <c r="W337" s="108"/>
      <c r="X337" s="108"/>
      <c r="Y337" s="108"/>
      <c r="Z337" s="108"/>
      <c r="AA337" s="108"/>
    </row>
    <row r="338" spans="1:27">
      <c r="A338" s="108"/>
      <c r="B338" s="108"/>
      <c r="C338" s="146" t="s">
        <v>792</v>
      </c>
      <c r="D338" s="225" t="s">
        <v>793</v>
      </c>
      <c r="E338" s="264">
        <v>1210.9000000000001</v>
      </c>
      <c r="F338" s="170">
        <v>0.126</v>
      </c>
      <c r="G338" s="265">
        <v>1.6E-2</v>
      </c>
      <c r="H338" s="264">
        <v>1317.3</v>
      </c>
      <c r="I338" s="170">
        <v>0.04</v>
      </c>
      <c r="J338" s="263">
        <v>5.0000000000000001E-3</v>
      </c>
      <c r="K338" s="108"/>
      <c r="L338" s="108"/>
      <c r="M338" s="108"/>
      <c r="N338" s="249"/>
      <c r="O338" s="249"/>
      <c r="P338" s="249"/>
      <c r="Q338" s="108"/>
      <c r="R338" s="108"/>
      <c r="S338" s="108"/>
      <c r="T338" s="108"/>
      <c r="U338" s="108"/>
      <c r="V338" s="108"/>
      <c r="W338" s="108"/>
      <c r="X338" s="108"/>
      <c r="Y338" s="108"/>
      <c r="Z338" s="108"/>
      <c r="AA338" s="108"/>
    </row>
    <row r="339" spans="1:27">
      <c r="A339" s="108"/>
      <c r="B339" s="108"/>
      <c r="C339" s="146" t="s">
        <v>794</v>
      </c>
      <c r="D339" s="225" t="s">
        <v>795</v>
      </c>
      <c r="E339" s="264">
        <v>233.1</v>
      </c>
      <c r="F339" s="170">
        <v>1.4999999999999999E-2</v>
      </c>
      <c r="G339" s="265">
        <v>2E-3</v>
      </c>
      <c r="H339" s="264">
        <v>880.7</v>
      </c>
      <c r="I339" s="170">
        <v>4.7E-2</v>
      </c>
      <c r="J339" s="263">
        <v>6.0000000000000001E-3</v>
      </c>
      <c r="K339" s="108"/>
      <c r="L339" s="108"/>
      <c r="M339" s="108"/>
      <c r="N339" s="249"/>
      <c r="O339" s="249"/>
      <c r="P339" s="249"/>
      <c r="Q339" s="108"/>
      <c r="R339" s="108"/>
      <c r="S339" s="108"/>
      <c r="T339" s="108"/>
      <c r="U339" s="108"/>
      <c r="V339" s="108"/>
      <c r="W339" s="108"/>
      <c r="X339" s="108"/>
      <c r="Y339" s="108"/>
      <c r="Z339" s="108"/>
      <c r="AA339" s="108"/>
    </row>
    <row r="340" spans="1:27">
      <c r="A340" s="108"/>
      <c r="B340" s="108"/>
      <c r="C340" s="146" t="s">
        <v>796</v>
      </c>
      <c r="D340" s="225" t="s">
        <v>797</v>
      </c>
      <c r="E340" s="264">
        <v>1558</v>
      </c>
      <c r="F340" s="170">
        <v>8.1000000000000003E-2</v>
      </c>
      <c r="G340" s="265">
        <v>1.2999999999999999E-2</v>
      </c>
      <c r="H340" s="264">
        <v>1618.1</v>
      </c>
      <c r="I340" s="170">
        <v>0.06</v>
      </c>
      <c r="J340" s="263">
        <v>1.0999999999999999E-2</v>
      </c>
      <c r="K340" s="108"/>
      <c r="L340" s="108"/>
      <c r="M340" s="108"/>
      <c r="N340" s="249"/>
      <c r="O340" s="249"/>
      <c r="P340" s="249"/>
      <c r="Q340" s="108"/>
      <c r="R340" s="108"/>
      <c r="S340" s="108"/>
      <c r="T340" s="108"/>
      <c r="U340" s="108"/>
      <c r="V340" s="108"/>
      <c r="W340" s="108"/>
      <c r="X340" s="108"/>
      <c r="Y340" s="108"/>
      <c r="Z340" s="108"/>
      <c r="AA340" s="108"/>
    </row>
    <row r="341" spans="1:27">
      <c r="A341" s="108"/>
      <c r="B341" s="108"/>
      <c r="C341" s="146" t="s">
        <v>798</v>
      </c>
      <c r="D341" s="225" t="s">
        <v>799</v>
      </c>
      <c r="E341" s="264">
        <v>672.8</v>
      </c>
      <c r="F341" s="170">
        <v>4.9000000000000002E-2</v>
      </c>
      <c r="G341" s="265">
        <v>7.0000000000000001E-3</v>
      </c>
      <c r="H341" s="264">
        <v>1357.3</v>
      </c>
      <c r="I341" s="170">
        <v>0.106</v>
      </c>
      <c r="J341" s="263">
        <v>1.4999999999999999E-2</v>
      </c>
      <c r="K341" s="108"/>
      <c r="L341" s="108"/>
      <c r="M341" s="108"/>
      <c r="N341" s="249"/>
      <c r="O341" s="249"/>
      <c r="P341" s="249"/>
      <c r="Q341" s="108"/>
      <c r="R341" s="108"/>
      <c r="S341" s="108"/>
      <c r="T341" s="108"/>
      <c r="U341" s="108"/>
      <c r="V341" s="108"/>
      <c r="W341" s="108"/>
      <c r="X341" s="108"/>
      <c r="Y341" s="108"/>
      <c r="Z341" s="108"/>
      <c r="AA341" s="108"/>
    </row>
    <row r="342" spans="1:27">
      <c r="A342" s="108"/>
      <c r="B342" s="108"/>
      <c r="C342" s="146" t="s">
        <v>800</v>
      </c>
      <c r="D342" s="225" t="s">
        <v>801</v>
      </c>
      <c r="E342" s="264">
        <v>1214.0999999999999</v>
      </c>
      <c r="F342" s="170">
        <v>0.115</v>
      </c>
      <c r="G342" s="265">
        <v>1.6E-2</v>
      </c>
      <c r="H342" s="264">
        <v>1717</v>
      </c>
      <c r="I342" s="170">
        <v>0.16</v>
      </c>
      <c r="J342" s="263">
        <v>2.3E-2</v>
      </c>
      <c r="K342" s="108"/>
      <c r="L342" s="108"/>
      <c r="M342" s="108"/>
      <c r="N342" s="249"/>
      <c r="O342" s="249"/>
      <c r="P342" s="249"/>
      <c r="Q342" s="108"/>
      <c r="R342" s="108"/>
      <c r="S342" s="108"/>
      <c r="T342" s="108"/>
      <c r="U342" s="108"/>
      <c r="V342" s="108"/>
      <c r="W342" s="108"/>
      <c r="X342" s="108"/>
      <c r="Y342" s="108"/>
      <c r="Z342" s="108"/>
      <c r="AA342" s="108"/>
    </row>
    <row r="343" spans="1:27">
      <c r="A343" s="108"/>
      <c r="B343" s="108"/>
      <c r="C343" s="146" t="s">
        <v>802</v>
      </c>
      <c r="D343" s="225" t="s">
        <v>803</v>
      </c>
      <c r="E343" s="264">
        <v>1046.0999999999999</v>
      </c>
      <c r="F343" s="170">
        <v>9.5000000000000001E-2</v>
      </c>
      <c r="G343" s="265">
        <v>1.4E-2</v>
      </c>
      <c r="H343" s="264">
        <v>1798.8</v>
      </c>
      <c r="I343" s="170">
        <v>0.17199999999999999</v>
      </c>
      <c r="J343" s="263">
        <v>2.5000000000000001E-2</v>
      </c>
      <c r="K343" s="108"/>
      <c r="L343" s="108"/>
      <c r="M343" s="108"/>
      <c r="N343" s="249"/>
      <c r="O343" s="249"/>
      <c r="P343" s="249"/>
      <c r="Q343" s="108"/>
      <c r="R343" s="108"/>
      <c r="S343" s="108"/>
      <c r="T343" s="108"/>
      <c r="U343" s="108"/>
      <c r="V343" s="108"/>
      <c r="W343" s="108"/>
      <c r="X343" s="108"/>
      <c r="Y343" s="108"/>
      <c r="Z343" s="108"/>
      <c r="AA343" s="108"/>
    </row>
    <row r="344" spans="1:27">
      <c r="A344" s="108"/>
      <c r="B344" s="108"/>
      <c r="C344" s="146" t="s">
        <v>804</v>
      </c>
      <c r="D344" s="225" t="s">
        <v>805</v>
      </c>
      <c r="E344" s="264">
        <v>1158.9000000000001</v>
      </c>
      <c r="F344" s="170">
        <v>0.109</v>
      </c>
      <c r="G344" s="265">
        <v>1.6E-2</v>
      </c>
      <c r="H344" s="264">
        <v>1614.2</v>
      </c>
      <c r="I344" s="170">
        <v>0.128</v>
      </c>
      <c r="J344" s="263">
        <v>1.7999999999999999E-2</v>
      </c>
      <c r="K344" s="108"/>
      <c r="L344" s="108"/>
      <c r="M344" s="108"/>
      <c r="N344" s="249"/>
      <c r="O344" s="249"/>
      <c r="P344" s="249"/>
      <c r="Q344" s="108"/>
      <c r="R344" s="108"/>
      <c r="S344" s="108"/>
      <c r="T344" s="108"/>
      <c r="U344" s="108"/>
      <c r="V344" s="108"/>
      <c r="W344" s="108"/>
      <c r="X344" s="108"/>
      <c r="Y344" s="108"/>
      <c r="Z344" s="108"/>
      <c r="AA344" s="108"/>
    </row>
    <row r="345" spans="1:27">
      <c r="A345" s="108"/>
      <c r="B345" s="108"/>
      <c r="C345" s="146" t="s">
        <v>806</v>
      </c>
      <c r="D345" s="225" t="s">
        <v>807</v>
      </c>
      <c r="E345" s="264">
        <v>991.7</v>
      </c>
      <c r="F345" s="170">
        <v>0.108</v>
      </c>
      <c r="G345" s="265">
        <v>1.6E-2</v>
      </c>
      <c r="H345" s="264">
        <v>1926.2</v>
      </c>
      <c r="I345" s="170">
        <v>0.20399999999999999</v>
      </c>
      <c r="J345" s="263">
        <v>2.9000000000000001E-2</v>
      </c>
      <c r="K345" s="108"/>
      <c r="L345" s="108"/>
      <c r="M345" s="108"/>
      <c r="N345" s="249"/>
      <c r="O345" s="249"/>
      <c r="P345" s="249"/>
      <c r="Q345" s="108"/>
      <c r="R345" s="108"/>
      <c r="S345" s="108"/>
      <c r="T345" s="108"/>
      <c r="U345" s="108"/>
      <c r="V345" s="108"/>
      <c r="W345" s="108"/>
      <c r="X345" s="108"/>
      <c r="Y345" s="108"/>
      <c r="Z345" s="108"/>
      <c r="AA345" s="108"/>
    </row>
    <row r="346" spans="1:27">
      <c r="A346" s="108"/>
      <c r="B346" s="108"/>
      <c r="C346" s="146" t="s">
        <v>808</v>
      </c>
      <c r="D346" s="225" t="s">
        <v>809</v>
      </c>
      <c r="E346" s="264">
        <v>1031.5999999999999</v>
      </c>
      <c r="F346" s="170">
        <v>0.08</v>
      </c>
      <c r="G346" s="265">
        <v>1.2E-2</v>
      </c>
      <c r="H346" s="264">
        <v>1584.6</v>
      </c>
      <c r="I346" s="170">
        <v>0.11600000000000001</v>
      </c>
      <c r="J346" s="263">
        <v>1.7000000000000001E-2</v>
      </c>
      <c r="K346" s="108"/>
      <c r="L346" s="108"/>
      <c r="M346" s="108"/>
      <c r="N346" s="249"/>
      <c r="O346" s="249"/>
      <c r="P346" s="249"/>
      <c r="Q346" s="108"/>
      <c r="R346" s="108"/>
      <c r="S346" s="108"/>
      <c r="T346" s="108"/>
      <c r="U346" s="108"/>
      <c r="V346" s="108"/>
      <c r="W346" s="108"/>
      <c r="X346" s="108"/>
      <c r="Y346" s="108"/>
      <c r="Z346" s="108"/>
      <c r="AA346" s="108"/>
    </row>
    <row r="347" spans="1:27">
      <c r="A347" s="108"/>
      <c r="B347" s="108"/>
      <c r="C347" s="146" t="s">
        <v>810</v>
      </c>
      <c r="D347" s="225" t="s">
        <v>811</v>
      </c>
      <c r="E347" s="264">
        <v>772.7</v>
      </c>
      <c r="F347" s="170">
        <v>0.04</v>
      </c>
      <c r="G347" s="265">
        <v>6.0000000000000001E-3</v>
      </c>
      <c r="H347" s="264">
        <v>1177</v>
      </c>
      <c r="I347" s="170">
        <v>6.6000000000000003E-2</v>
      </c>
      <c r="J347" s="263">
        <v>8.9999999999999993E-3</v>
      </c>
      <c r="K347" s="108"/>
      <c r="L347" s="108"/>
      <c r="M347" s="108"/>
      <c r="N347" s="249"/>
      <c r="O347" s="249"/>
      <c r="P347" s="249"/>
      <c r="Q347" s="108"/>
      <c r="R347" s="108"/>
      <c r="S347" s="108"/>
      <c r="T347" s="108"/>
      <c r="U347" s="108"/>
      <c r="V347" s="108"/>
      <c r="W347" s="108"/>
      <c r="X347" s="108"/>
      <c r="Y347" s="108"/>
      <c r="Z347" s="108"/>
      <c r="AA347" s="108"/>
    </row>
    <row r="348" spans="1:27">
      <c r="A348" s="108"/>
      <c r="B348" s="108"/>
      <c r="C348" s="146" t="s">
        <v>812</v>
      </c>
      <c r="D348" s="225" t="s">
        <v>813</v>
      </c>
      <c r="E348" s="264">
        <v>1543</v>
      </c>
      <c r="F348" s="170">
        <v>0.17100000000000001</v>
      </c>
      <c r="G348" s="265">
        <v>2.5000000000000001E-2</v>
      </c>
      <c r="H348" s="264">
        <v>1763.2</v>
      </c>
      <c r="I348" s="170">
        <v>0.17899999999999999</v>
      </c>
      <c r="J348" s="263">
        <v>2.5999999999999999E-2</v>
      </c>
      <c r="K348" s="108"/>
      <c r="L348" s="108"/>
      <c r="M348" s="108"/>
      <c r="N348" s="249"/>
      <c r="O348" s="249"/>
      <c r="P348" s="249"/>
      <c r="Q348" s="108"/>
      <c r="R348" s="108"/>
      <c r="S348" s="108"/>
      <c r="T348" s="108"/>
      <c r="U348" s="108"/>
      <c r="V348" s="108"/>
      <c r="W348" s="108"/>
      <c r="X348" s="108"/>
      <c r="Y348" s="108"/>
      <c r="Z348" s="108"/>
      <c r="AA348" s="108"/>
    </row>
    <row r="349" spans="1:27">
      <c r="A349" s="108"/>
      <c r="B349" s="108"/>
      <c r="C349" s="146" t="s">
        <v>814</v>
      </c>
      <c r="D349" s="225" t="s">
        <v>815</v>
      </c>
      <c r="E349" s="264">
        <v>891.9</v>
      </c>
      <c r="F349" s="170">
        <v>6.7000000000000004E-2</v>
      </c>
      <c r="G349" s="265">
        <v>0.01</v>
      </c>
      <c r="H349" s="264">
        <v>1384.6</v>
      </c>
      <c r="I349" s="170">
        <v>0.10100000000000001</v>
      </c>
      <c r="J349" s="263">
        <v>1.4999999999999999E-2</v>
      </c>
      <c r="K349" s="108"/>
      <c r="L349" s="108"/>
      <c r="M349" s="108"/>
      <c r="N349" s="249"/>
      <c r="O349" s="249"/>
      <c r="P349" s="249"/>
      <c r="Q349" s="108"/>
      <c r="R349" s="108"/>
      <c r="S349" s="108"/>
      <c r="T349" s="108"/>
      <c r="U349" s="108"/>
      <c r="V349" s="108"/>
      <c r="W349" s="108"/>
      <c r="X349" s="108"/>
      <c r="Y349" s="108"/>
      <c r="Z349" s="108"/>
      <c r="AA349" s="108"/>
    </row>
    <row r="350" spans="1:27">
      <c r="A350" s="108"/>
      <c r="B350" s="108"/>
      <c r="C350" s="146" t="s">
        <v>816</v>
      </c>
      <c r="D350" s="225" t="s">
        <v>817</v>
      </c>
      <c r="E350" s="264">
        <v>931.6</v>
      </c>
      <c r="F350" s="170">
        <v>8.6999999999999994E-2</v>
      </c>
      <c r="G350" s="265">
        <v>1.2999999999999999E-2</v>
      </c>
      <c r="H350" s="264">
        <v>1636.2</v>
      </c>
      <c r="I350" s="170">
        <v>0.151</v>
      </c>
      <c r="J350" s="263">
        <v>2.1999999999999999E-2</v>
      </c>
      <c r="K350" s="108"/>
      <c r="L350" s="108"/>
      <c r="M350" s="108"/>
      <c r="N350" s="249"/>
      <c r="O350" s="249"/>
      <c r="P350" s="249"/>
      <c r="Q350" s="108"/>
      <c r="R350" s="108"/>
      <c r="S350" s="108"/>
      <c r="T350" s="108"/>
      <c r="U350" s="108"/>
      <c r="V350" s="108"/>
      <c r="W350" s="108"/>
      <c r="X350" s="108"/>
      <c r="Y350" s="108"/>
      <c r="Z350" s="108"/>
      <c r="AA350" s="108"/>
    </row>
    <row r="351" spans="1:27">
      <c r="A351" s="108"/>
      <c r="B351" s="108"/>
      <c r="C351" s="146" t="s">
        <v>818</v>
      </c>
      <c r="D351" s="225" t="s">
        <v>819</v>
      </c>
      <c r="E351" s="264">
        <v>639.70000000000005</v>
      </c>
      <c r="F351" s="170">
        <v>5.1999999999999998E-2</v>
      </c>
      <c r="G351" s="265">
        <v>7.0000000000000001E-3</v>
      </c>
      <c r="H351" s="264">
        <v>1357</v>
      </c>
      <c r="I351" s="170">
        <v>0.11600000000000001</v>
      </c>
      <c r="J351" s="263">
        <v>1.6E-2</v>
      </c>
      <c r="K351" s="108"/>
      <c r="L351" s="108"/>
      <c r="M351" s="108"/>
      <c r="N351" s="249"/>
      <c r="O351" s="249"/>
      <c r="P351" s="249"/>
      <c r="Q351" s="108"/>
      <c r="R351" s="108"/>
      <c r="S351" s="108"/>
      <c r="T351" s="108"/>
      <c r="U351" s="108"/>
      <c r="V351" s="108"/>
      <c r="W351" s="108"/>
      <c r="X351" s="108"/>
      <c r="Y351" s="108"/>
      <c r="Z351" s="108"/>
      <c r="AA351" s="108"/>
    </row>
    <row r="352" spans="1:27" ht="14" thickBot="1">
      <c r="A352" s="108"/>
      <c r="B352" s="108"/>
      <c r="C352" s="262" t="s">
        <v>820</v>
      </c>
      <c r="D352" s="221" t="s">
        <v>820</v>
      </c>
      <c r="E352" s="260">
        <v>852.3</v>
      </c>
      <c r="F352" s="185">
        <v>7.0999999999999994E-2</v>
      </c>
      <c r="G352" s="261">
        <v>0.01</v>
      </c>
      <c r="H352" s="260">
        <v>1410</v>
      </c>
      <c r="I352" s="185">
        <v>0.11</v>
      </c>
      <c r="J352" s="259">
        <v>1.6E-2</v>
      </c>
      <c r="K352" s="108"/>
      <c r="L352" s="108"/>
      <c r="M352" s="108"/>
      <c r="N352" s="249"/>
      <c r="O352" s="249"/>
      <c r="P352" s="249"/>
      <c r="Q352" s="108"/>
      <c r="R352" s="108"/>
      <c r="S352" s="108"/>
      <c r="T352" s="108"/>
      <c r="U352" s="108"/>
      <c r="V352" s="108"/>
      <c r="W352" s="108"/>
      <c r="X352" s="108"/>
      <c r="Y352" s="108"/>
      <c r="Z352" s="108"/>
      <c r="AA352" s="108"/>
    </row>
    <row r="353" spans="1:27">
      <c r="A353" s="108"/>
      <c r="B353" s="151"/>
      <c r="C353" s="258" t="s">
        <v>821</v>
      </c>
      <c r="D353" s="257"/>
      <c r="E353" s="257"/>
      <c r="F353" s="257"/>
      <c r="G353" s="153"/>
      <c r="H353" s="153"/>
      <c r="I353" s="153"/>
      <c r="J353" s="108"/>
      <c r="K353" s="256"/>
      <c r="L353" s="256"/>
      <c r="M353" s="108"/>
      <c r="N353" s="108"/>
      <c r="O353" s="108"/>
      <c r="P353" s="108"/>
      <c r="Q353" s="108"/>
      <c r="R353" s="108"/>
      <c r="S353" s="108"/>
      <c r="T353" s="108"/>
      <c r="U353" s="108"/>
      <c r="V353" s="108"/>
      <c r="W353" s="108"/>
      <c r="X353" s="108"/>
      <c r="Y353" s="108"/>
      <c r="Z353" s="108"/>
      <c r="AA353" s="108"/>
    </row>
    <row r="354" spans="1:27" s="252" customFormat="1" ht="12">
      <c r="A354" s="142"/>
      <c r="B354" s="155"/>
      <c r="C354" s="255" t="s">
        <v>822</v>
      </c>
      <c r="D354" s="153"/>
      <c r="E354" s="153"/>
      <c r="F354" s="153"/>
      <c r="G354" s="153"/>
      <c r="H354" s="153"/>
      <c r="I354" s="153"/>
      <c r="J354" s="142"/>
      <c r="K354" s="254"/>
      <c r="L354" s="253"/>
      <c r="M354" s="142"/>
      <c r="N354" s="142"/>
      <c r="O354" s="142"/>
      <c r="P354" s="142"/>
      <c r="Q354" s="142"/>
      <c r="R354" s="142"/>
      <c r="S354" s="142"/>
      <c r="T354" s="142"/>
      <c r="U354" s="142"/>
      <c r="V354" s="142"/>
      <c r="W354" s="142"/>
      <c r="X354" s="142"/>
      <c r="Y354" s="142"/>
      <c r="Z354" s="142"/>
      <c r="AA354" s="142"/>
    </row>
    <row r="355" spans="1:27">
      <c r="A355" s="108"/>
      <c r="B355" s="151"/>
      <c r="C355" s="2159" t="s">
        <v>823</v>
      </c>
      <c r="D355" s="2144"/>
      <c r="E355" s="2144"/>
      <c r="F355" s="2144"/>
      <c r="G355" s="2144"/>
      <c r="H355" s="2144"/>
      <c r="I355" s="2144"/>
      <c r="J355" s="2144"/>
      <c r="K355" s="130"/>
      <c r="L355" s="108"/>
      <c r="M355" s="108"/>
      <c r="N355" s="108"/>
      <c r="O355" s="108"/>
      <c r="P355" s="108"/>
      <c r="Q355" s="108"/>
      <c r="R355" s="108"/>
      <c r="S355" s="108"/>
      <c r="T355" s="108"/>
      <c r="U355" s="108"/>
      <c r="V355" s="108"/>
      <c r="W355" s="108"/>
      <c r="X355" s="108"/>
      <c r="Y355" s="108"/>
      <c r="Z355" s="108"/>
      <c r="AA355" s="108"/>
    </row>
    <row r="356" spans="1:27" ht="36.5" customHeight="1">
      <c r="A356" s="108"/>
      <c r="B356" s="151"/>
      <c r="C356" s="2144" t="s">
        <v>824</v>
      </c>
      <c r="D356" s="2144"/>
      <c r="E356" s="2144"/>
      <c r="F356" s="2144"/>
      <c r="G356" s="2144"/>
      <c r="H356" s="2144"/>
      <c r="I356" s="2144"/>
      <c r="J356" s="2144"/>
      <c r="K356" s="130"/>
      <c r="L356" s="108"/>
      <c r="M356" s="108"/>
      <c r="N356" s="108"/>
      <c r="O356" s="108"/>
      <c r="P356" s="108"/>
      <c r="Q356" s="108"/>
      <c r="R356" s="108"/>
      <c r="S356" s="108"/>
      <c r="T356" s="108"/>
      <c r="U356" s="108"/>
      <c r="V356" s="108"/>
      <c r="W356" s="108"/>
      <c r="X356" s="108"/>
      <c r="Y356" s="108"/>
      <c r="Z356" s="108"/>
      <c r="AA356" s="108"/>
    </row>
    <row r="357" spans="1:27">
      <c r="A357" s="108"/>
      <c r="B357" s="151"/>
      <c r="C357" s="251" t="s">
        <v>825</v>
      </c>
      <c r="D357" s="197"/>
      <c r="E357" s="197"/>
      <c r="F357" s="197"/>
      <c r="G357" s="197"/>
      <c r="H357" s="197"/>
      <c r="I357" s="197"/>
      <c r="J357" s="197"/>
      <c r="K357" s="130"/>
      <c r="L357" s="108"/>
      <c r="M357" s="108"/>
      <c r="N357" s="108"/>
      <c r="O357" s="108"/>
      <c r="P357" s="108"/>
      <c r="Q357" s="108"/>
      <c r="R357" s="108"/>
      <c r="S357" s="108"/>
      <c r="T357" s="108"/>
      <c r="U357" s="108"/>
      <c r="V357" s="108"/>
      <c r="W357" s="108"/>
      <c r="X357" s="108"/>
      <c r="Y357" s="108"/>
      <c r="Z357" s="108"/>
      <c r="AA357" s="108"/>
    </row>
    <row r="358" spans="1:27">
      <c r="A358" s="108"/>
      <c r="B358" s="151"/>
      <c r="C358" s="154" t="s">
        <v>624</v>
      </c>
      <c r="D358" s="153"/>
      <c r="E358" s="153"/>
      <c r="F358" s="153"/>
      <c r="G358" s="153"/>
      <c r="H358" s="153"/>
      <c r="I358" s="153"/>
      <c r="J358" s="153"/>
      <c r="K358" s="153"/>
      <c r="L358" s="152"/>
      <c r="M358" s="152"/>
      <c r="N358" s="108"/>
      <c r="O358" s="108"/>
      <c r="P358" s="108"/>
      <c r="Q358" s="108"/>
      <c r="R358" s="108"/>
      <c r="S358" s="108"/>
      <c r="T358" s="108"/>
      <c r="U358" s="108"/>
      <c r="V358" s="108"/>
      <c r="W358" s="108"/>
      <c r="X358" s="108"/>
      <c r="Y358" s="108"/>
      <c r="Z358" s="108"/>
      <c r="AA358" s="108"/>
    </row>
    <row r="359" spans="1:27">
      <c r="A359" s="108"/>
      <c r="B359" s="151"/>
      <c r="C359" s="248"/>
      <c r="D359" s="248"/>
      <c r="E359" s="248"/>
      <c r="F359" s="108"/>
      <c r="G359" s="108"/>
      <c r="H359" s="108"/>
      <c r="I359" s="108"/>
      <c r="J359" s="108"/>
      <c r="K359" s="108"/>
      <c r="L359" s="108"/>
      <c r="M359" s="108"/>
      <c r="N359" s="108"/>
      <c r="O359" s="108"/>
      <c r="P359" s="108"/>
      <c r="Q359" s="108"/>
      <c r="R359" s="108"/>
      <c r="S359" s="108"/>
      <c r="T359" s="108"/>
      <c r="U359" s="108"/>
      <c r="V359" s="108"/>
      <c r="W359" s="108"/>
      <c r="X359" s="108"/>
      <c r="Y359" s="108"/>
      <c r="Z359" s="108"/>
      <c r="AA359" s="108"/>
    </row>
    <row r="360" spans="1:27">
      <c r="A360" s="108"/>
      <c r="B360" s="151"/>
      <c r="C360" s="248"/>
      <c r="D360" s="248"/>
      <c r="E360" s="248"/>
      <c r="F360" s="108"/>
      <c r="G360" s="108"/>
      <c r="H360" s="108"/>
      <c r="I360" s="108"/>
      <c r="J360" s="108"/>
      <c r="K360" s="108"/>
      <c r="L360" s="108"/>
      <c r="M360" s="108"/>
      <c r="N360" s="108"/>
      <c r="O360" s="108"/>
      <c r="P360" s="108"/>
      <c r="Q360" s="108"/>
      <c r="R360" s="108"/>
      <c r="S360" s="108"/>
      <c r="T360" s="108"/>
      <c r="U360" s="108"/>
      <c r="V360" s="108"/>
      <c r="W360" s="108"/>
      <c r="X360" s="108"/>
      <c r="Y360" s="108"/>
      <c r="Z360" s="108"/>
      <c r="AA360" s="108"/>
    </row>
    <row r="361" spans="1:27">
      <c r="A361" s="108"/>
      <c r="B361" s="151"/>
      <c r="C361" s="248"/>
      <c r="D361" s="248"/>
      <c r="E361" s="248"/>
      <c r="F361" s="108"/>
      <c r="G361" s="108"/>
      <c r="H361" s="108"/>
      <c r="I361" s="250"/>
      <c r="J361" s="108"/>
      <c r="K361" s="108"/>
      <c r="L361" s="108"/>
      <c r="M361" s="108"/>
      <c r="N361" s="108"/>
      <c r="O361" s="108"/>
      <c r="P361" s="108"/>
      <c r="Q361" s="108"/>
      <c r="R361" s="108"/>
      <c r="S361" s="108"/>
      <c r="T361" s="108"/>
      <c r="U361" s="108"/>
      <c r="V361" s="108"/>
      <c r="W361" s="108"/>
      <c r="X361" s="108"/>
      <c r="Y361" s="108"/>
      <c r="Z361" s="108"/>
      <c r="AA361" s="108"/>
    </row>
    <row r="362" spans="1:27">
      <c r="A362" s="108"/>
      <c r="B362" s="151"/>
      <c r="C362" s="248"/>
      <c r="D362" s="248"/>
      <c r="E362" s="248"/>
      <c r="F362" s="108"/>
      <c r="G362" s="108"/>
      <c r="H362" s="108"/>
      <c r="I362" s="108"/>
      <c r="J362" s="108"/>
      <c r="K362" s="108"/>
      <c r="L362" s="108"/>
      <c r="M362" s="108"/>
      <c r="N362" s="108"/>
      <c r="O362" s="108"/>
      <c r="P362" s="108"/>
      <c r="Q362" s="108"/>
      <c r="R362" s="108"/>
      <c r="S362" s="108"/>
      <c r="T362" s="108"/>
      <c r="U362" s="108"/>
      <c r="V362" s="108"/>
      <c r="W362" s="108"/>
      <c r="X362" s="108"/>
      <c r="Y362" s="108"/>
      <c r="Z362" s="108"/>
      <c r="AA362" s="108"/>
    </row>
    <row r="363" spans="1:27">
      <c r="A363" s="108"/>
      <c r="B363" s="151"/>
      <c r="C363" s="248"/>
      <c r="D363" s="248"/>
      <c r="E363" s="248"/>
      <c r="F363" s="108"/>
      <c r="G363" s="108"/>
      <c r="H363" s="108"/>
      <c r="I363" s="108"/>
      <c r="J363" s="108"/>
      <c r="K363" s="108"/>
      <c r="L363" s="108"/>
      <c r="M363" s="108"/>
      <c r="N363" s="108"/>
      <c r="O363" s="108"/>
      <c r="P363" s="108"/>
      <c r="Q363" s="108"/>
      <c r="R363" s="108"/>
      <c r="S363" s="108"/>
      <c r="T363" s="108"/>
      <c r="U363" s="108"/>
      <c r="V363" s="108"/>
      <c r="W363" s="108"/>
      <c r="X363" s="108"/>
      <c r="Y363" s="108"/>
      <c r="Z363" s="108"/>
      <c r="AA363" s="108"/>
    </row>
    <row r="364" spans="1:27">
      <c r="A364" s="108"/>
      <c r="B364" s="151"/>
      <c r="C364" s="248"/>
      <c r="D364" s="248"/>
      <c r="E364" s="248"/>
      <c r="F364" s="108"/>
      <c r="G364" s="108"/>
      <c r="H364" s="108"/>
      <c r="I364" s="108"/>
      <c r="J364" s="108"/>
      <c r="K364" s="249"/>
      <c r="L364" s="108"/>
      <c r="M364" s="108"/>
      <c r="N364" s="108"/>
      <c r="O364" s="108"/>
      <c r="P364" s="108"/>
      <c r="Q364" s="108"/>
      <c r="R364" s="108"/>
      <c r="S364" s="108"/>
      <c r="T364" s="108"/>
      <c r="U364" s="108"/>
      <c r="V364" s="108"/>
      <c r="W364" s="108"/>
      <c r="X364" s="108"/>
      <c r="Y364" s="108"/>
      <c r="Z364" s="108"/>
      <c r="AA364" s="108"/>
    </row>
    <row r="365" spans="1:27">
      <c r="A365" s="108"/>
      <c r="B365" s="151"/>
      <c r="C365" s="248"/>
      <c r="D365" s="248"/>
      <c r="E365" s="248"/>
      <c r="F365" s="108"/>
      <c r="G365" s="108"/>
      <c r="H365" s="108"/>
      <c r="I365" s="108"/>
      <c r="J365" s="108"/>
      <c r="K365" s="108"/>
      <c r="L365" s="108"/>
      <c r="M365" s="108"/>
      <c r="N365" s="108"/>
      <c r="O365" s="108"/>
      <c r="P365" s="108"/>
      <c r="Q365" s="108"/>
      <c r="R365" s="108"/>
      <c r="S365" s="108"/>
      <c r="T365" s="108"/>
      <c r="U365" s="108"/>
      <c r="V365" s="108"/>
      <c r="W365" s="108"/>
      <c r="X365" s="108"/>
      <c r="Y365" s="108"/>
      <c r="Z365" s="108"/>
      <c r="AA365" s="108"/>
    </row>
    <row r="366" spans="1:27">
      <c r="A366" s="108"/>
      <c r="B366" s="151"/>
      <c r="C366" s="248"/>
      <c r="D366" s="248"/>
      <c r="E366" s="248"/>
      <c r="F366" s="108"/>
      <c r="G366" s="108"/>
      <c r="H366" s="108"/>
      <c r="I366" s="108"/>
      <c r="J366" s="108"/>
      <c r="K366" s="108"/>
      <c r="L366" s="108"/>
      <c r="M366" s="108"/>
      <c r="N366" s="108"/>
      <c r="O366" s="108"/>
      <c r="P366" s="108"/>
      <c r="Q366" s="108"/>
      <c r="R366" s="108"/>
      <c r="S366" s="108"/>
      <c r="T366" s="108"/>
      <c r="U366" s="108"/>
      <c r="V366" s="108"/>
      <c r="W366" s="108"/>
      <c r="X366" s="108"/>
      <c r="Y366" s="108"/>
      <c r="Z366" s="108"/>
      <c r="AA366" s="108"/>
    </row>
    <row r="367" spans="1:27">
      <c r="A367" s="108"/>
      <c r="B367" s="151"/>
      <c r="C367" s="248"/>
      <c r="D367" s="248"/>
      <c r="E367" s="248"/>
      <c r="F367" s="108"/>
      <c r="G367" s="108"/>
      <c r="H367" s="108"/>
      <c r="I367" s="108"/>
      <c r="J367" s="108"/>
      <c r="K367" s="108"/>
      <c r="L367" s="108"/>
      <c r="M367" s="108"/>
      <c r="N367" s="108"/>
      <c r="O367" s="108"/>
      <c r="P367" s="108"/>
      <c r="Q367" s="108"/>
      <c r="R367" s="108"/>
      <c r="S367" s="108"/>
      <c r="T367" s="108"/>
      <c r="U367" s="108"/>
      <c r="V367" s="108"/>
      <c r="W367" s="108"/>
      <c r="X367" s="108"/>
      <c r="Y367" s="108"/>
      <c r="Z367" s="108"/>
      <c r="AA367" s="108"/>
    </row>
    <row r="368" spans="1:27">
      <c r="A368" s="108"/>
      <c r="B368" s="151"/>
      <c r="C368" s="248"/>
      <c r="D368" s="248"/>
      <c r="E368" s="248"/>
      <c r="F368" s="108"/>
      <c r="G368" s="108"/>
      <c r="H368" s="108"/>
      <c r="I368" s="108"/>
      <c r="J368" s="108"/>
      <c r="K368" s="108"/>
      <c r="L368" s="108"/>
      <c r="M368" s="108"/>
      <c r="N368" s="108"/>
      <c r="O368" s="108"/>
      <c r="P368" s="108"/>
      <c r="Q368" s="108"/>
      <c r="R368" s="108"/>
      <c r="S368" s="108"/>
      <c r="T368" s="108"/>
      <c r="U368" s="108"/>
      <c r="V368" s="108"/>
      <c r="W368" s="108"/>
      <c r="X368" s="108"/>
      <c r="Y368" s="108"/>
      <c r="Z368" s="108"/>
      <c r="AA368" s="108"/>
    </row>
    <row r="369" spans="1:27">
      <c r="A369" s="108"/>
      <c r="B369" s="151"/>
      <c r="C369" s="248"/>
      <c r="D369" s="248"/>
      <c r="E369" s="248"/>
      <c r="F369" s="108"/>
      <c r="G369" s="108"/>
      <c r="H369" s="108"/>
      <c r="I369" s="108"/>
      <c r="J369" s="108"/>
      <c r="K369" s="108"/>
      <c r="L369" s="108"/>
      <c r="M369" s="108"/>
      <c r="N369" s="108"/>
      <c r="O369" s="108"/>
      <c r="P369" s="108"/>
      <c r="Q369" s="108"/>
      <c r="R369" s="108"/>
      <c r="S369" s="108"/>
      <c r="T369" s="108"/>
      <c r="U369" s="108"/>
      <c r="V369" s="108"/>
      <c r="W369" s="108"/>
      <c r="X369" s="108"/>
      <c r="Y369" s="108"/>
      <c r="Z369" s="108"/>
      <c r="AA369" s="108"/>
    </row>
    <row r="370" spans="1:27">
      <c r="A370" s="108"/>
      <c r="B370" s="151"/>
      <c r="C370" s="248"/>
      <c r="D370" s="248"/>
      <c r="E370" s="248"/>
      <c r="F370" s="108"/>
      <c r="G370" s="108"/>
      <c r="H370" s="108"/>
      <c r="I370" s="108"/>
      <c r="J370" s="108"/>
      <c r="K370" s="108"/>
      <c r="L370" s="108"/>
      <c r="M370" s="108"/>
      <c r="N370" s="108"/>
      <c r="O370" s="108"/>
      <c r="P370" s="108"/>
      <c r="Q370" s="108"/>
      <c r="R370" s="108"/>
      <c r="S370" s="108"/>
      <c r="T370" s="108"/>
      <c r="U370" s="108"/>
      <c r="V370" s="108"/>
      <c r="W370" s="108"/>
      <c r="X370" s="108"/>
      <c r="Y370" s="108"/>
      <c r="Z370" s="108"/>
      <c r="AA370" s="108"/>
    </row>
    <row r="371" spans="1:27">
      <c r="A371" s="108"/>
      <c r="B371" s="151"/>
      <c r="C371" s="248"/>
      <c r="D371" s="248"/>
      <c r="E371" s="248"/>
      <c r="F371" s="108"/>
      <c r="G371" s="108"/>
      <c r="H371" s="108"/>
      <c r="I371" s="108"/>
      <c r="J371" s="108"/>
      <c r="K371" s="108"/>
      <c r="L371" s="108"/>
      <c r="M371" s="108"/>
      <c r="N371" s="108"/>
      <c r="O371" s="108"/>
      <c r="P371" s="108"/>
      <c r="Q371" s="108"/>
      <c r="R371" s="108"/>
      <c r="S371" s="108"/>
      <c r="T371" s="108"/>
      <c r="U371" s="108"/>
      <c r="V371" s="108"/>
      <c r="W371" s="108"/>
      <c r="X371" s="108"/>
      <c r="Y371" s="108"/>
      <c r="Z371" s="108"/>
      <c r="AA371" s="108"/>
    </row>
    <row r="372" spans="1:27">
      <c r="A372" s="108"/>
      <c r="B372" s="151"/>
      <c r="C372" s="248"/>
      <c r="D372" s="248"/>
      <c r="E372" s="248"/>
      <c r="F372" s="108"/>
      <c r="G372" s="108"/>
      <c r="H372" s="108"/>
      <c r="I372" s="108"/>
      <c r="J372" s="108"/>
      <c r="K372" s="108"/>
      <c r="L372" s="108"/>
      <c r="M372" s="108"/>
      <c r="N372" s="108"/>
      <c r="O372" s="108"/>
      <c r="P372" s="108"/>
      <c r="Q372" s="108"/>
      <c r="R372" s="108"/>
      <c r="S372" s="108"/>
      <c r="T372" s="108"/>
      <c r="U372" s="108"/>
      <c r="V372" s="108"/>
      <c r="W372" s="108"/>
      <c r="X372" s="108"/>
      <c r="Y372" s="108"/>
      <c r="Z372" s="108"/>
      <c r="AA372" s="108"/>
    </row>
    <row r="373" spans="1:27">
      <c r="A373" s="108"/>
      <c r="B373" s="151"/>
      <c r="C373" s="248"/>
      <c r="D373" s="248"/>
      <c r="E373" s="248"/>
      <c r="F373" s="108"/>
      <c r="G373" s="108"/>
      <c r="H373" s="108"/>
      <c r="I373" s="108"/>
      <c r="J373" s="108"/>
      <c r="K373" s="108"/>
      <c r="L373" s="108"/>
      <c r="M373" s="108"/>
      <c r="N373" s="108"/>
      <c r="O373" s="108"/>
      <c r="P373" s="108"/>
      <c r="Q373" s="108"/>
      <c r="R373" s="108"/>
      <c r="S373" s="108"/>
      <c r="T373" s="108"/>
      <c r="U373" s="108"/>
      <c r="V373" s="108"/>
      <c r="W373" s="108"/>
      <c r="X373" s="108"/>
      <c r="Y373" s="108"/>
      <c r="Z373" s="108"/>
      <c r="AA373" s="108"/>
    </row>
    <row r="374" spans="1:27">
      <c r="A374" s="108"/>
      <c r="B374" s="151"/>
      <c r="C374" s="248"/>
      <c r="D374" s="248"/>
      <c r="E374" s="248"/>
      <c r="F374" s="108"/>
      <c r="G374" s="108"/>
      <c r="H374" s="108"/>
      <c r="I374" s="108"/>
      <c r="J374" s="108"/>
      <c r="K374" s="108"/>
      <c r="L374" s="108"/>
      <c r="M374" s="108"/>
      <c r="N374" s="108"/>
      <c r="O374" s="108"/>
      <c r="P374" s="108"/>
      <c r="Q374" s="108"/>
      <c r="R374" s="108"/>
      <c r="S374" s="108"/>
      <c r="T374" s="108"/>
      <c r="U374" s="108"/>
      <c r="V374" s="108"/>
      <c r="W374" s="108"/>
      <c r="X374" s="108"/>
      <c r="Y374" s="108"/>
      <c r="Z374" s="108"/>
      <c r="AA374" s="108"/>
    </row>
    <row r="375" spans="1:27">
      <c r="A375" s="108"/>
      <c r="B375" s="151"/>
      <c r="C375" s="248"/>
      <c r="D375" s="248"/>
      <c r="E375" s="248"/>
      <c r="F375" s="108"/>
      <c r="G375" s="108"/>
      <c r="H375" s="108"/>
      <c r="I375" s="108"/>
      <c r="J375" s="108"/>
      <c r="K375" s="108"/>
      <c r="L375" s="108"/>
      <c r="M375" s="108"/>
      <c r="N375" s="108"/>
      <c r="O375" s="108"/>
      <c r="P375" s="108"/>
      <c r="Q375" s="108"/>
      <c r="R375" s="108"/>
      <c r="S375" s="108"/>
      <c r="T375" s="108"/>
      <c r="U375" s="108"/>
      <c r="V375" s="108"/>
      <c r="W375" s="108"/>
      <c r="X375" s="108"/>
      <c r="Y375" s="108"/>
      <c r="Z375" s="108"/>
      <c r="AA375" s="108"/>
    </row>
    <row r="376" spans="1:27">
      <c r="A376" s="108"/>
      <c r="B376" s="151"/>
      <c r="C376" s="248"/>
      <c r="D376" s="248"/>
      <c r="E376" s="248"/>
      <c r="F376" s="108"/>
      <c r="G376" s="108"/>
      <c r="H376" s="108"/>
      <c r="I376" s="108"/>
      <c r="J376" s="108"/>
      <c r="K376" s="108"/>
      <c r="L376" s="108"/>
      <c r="M376" s="108"/>
      <c r="N376" s="108"/>
      <c r="O376" s="108"/>
      <c r="P376" s="108"/>
      <c r="Q376" s="108"/>
      <c r="R376" s="108"/>
      <c r="S376" s="108"/>
      <c r="T376" s="108"/>
      <c r="U376" s="108"/>
      <c r="V376" s="108"/>
      <c r="W376" s="108"/>
      <c r="X376" s="108"/>
      <c r="Y376" s="108"/>
      <c r="Z376" s="108"/>
      <c r="AA376" s="108"/>
    </row>
    <row r="377" spans="1:27">
      <c r="A377" s="108"/>
      <c r="B377" s="151"/>
      <c r="C377" s="248"/>
      <c r="D377" s="248"/>
      <c r="E377" s="248"/>
      <c r="F377" s="108"/>
      <c r="G377" s="108"/>
      <c r="H377" s="108"/>
      <c r="I377" s="108"/>
      <c r="J377" s="108"/>
      <c r="K377" s="108"/>
      <c r="L377" s="108"/>
      <c r="M377" s="108"/>
      <c r="N377" s="108"/>
      <c r="O377" s="108"/>
      <c r="P377" s="108"/>
      <c r="Q377" s="108"/>
      <c r="R377" s="108"/>
      <c r="S377" s="108"/>
      <c r="T377" s="108"/>
      <c r="U377" s="108"/>
      <c r="V377" s="108"/>
      <c r="W377" s="108"/>
      <c r="X377" s="108"/>
      <c r="Y377" s="108"/>
      <c r="Z377" s="108"/>
      <c r="AA377" s="108"/>
    </row>
    <row r="378" spans="1:27">
      <c r="A378" s="108"/>
      <c r="B378" s="151"/>
      <c r="C378" s="248"/>
      <c r="D378" s="248"/>
      <c r="E378" s="248"/>
      <c r="F378" s="108"/>
      <c r="G378" s="108"/>
      <c r="H378" s="108"/>
      <c r="I378" s="108"/>
      <c r="J378" s="108"/>
      <c r="K378" s="108"/>
      <c r="L378" s="108"/>
      <c r="M378" s="108"/>
      <c r="N378" s="108"/>
      <c r="O378" s="108"/>
      <c r="P378" s="108"/>
      <c r="Q378" s="108"/>
      <c r="R378" s="108"/>
      <c r="S378" s="108"/>
      <c r="T378" s="108"/>
      <c r="U378" s="108"/>
      <c r="V378" s="108"/>
      <c r="W378" s="108"/>
      <c r="X378" s="108"/>
      <c r="Y378" s="108"/>
      <c r="Z378" s="108"/>
      <c r="AA378" s="108"/>
    </row>
    <row r="379" spans="1:27">
      <c r="A379" s="108"/>
      <c r="B379" s="151"/>
      <c r="C379" s="248"/>
      <c r="D379" s="248"/>
      <c r="E379" s="248"/>
      <c r="F379" s="108"/>
      <c r="G379" s="108"/>
      <c r="H379" s="108"/>
      <c r="I379" s="108"/>
      <c r="J379" s="108"/>
      <c r="K379" s="108"/>
      <c r="L379" s="108"/>
      <c r="M379" s="108"/>
      <c r="N379" s="108"/>
      <c r="O379" s="108"/>
      <c r="P379" s="108"/>
      <c r="Q379" s="108"/>
      <c r="R379" s="108"/>
      <c r="S379" s="108"/>
      <c r="T379" s="108"/>
      <c r="U379" s="108"/>
      <c r="V379" s="108"/>
      <c r="W379" s="108"/>
      <c r="X379" s="108"/>
      <c r="Y379" s="108"/>
      <c r="Z379" s="108"/>
      <c r="AA379" s="108"/>
    </row>
    <row r="380" spans="1:27">
      <c r="A380" s="108"/>
      <c r="B380" s="151"/>
      <c r="C380" s="248"/>
      <c r="D380" s="248"/>
      <c r="E380" s="248"/>
      <c r="F380" s="108"/>
      <c r="G380" s="108"/>
      <c r="H380" s="108"/>
      <c r="I380" s="108"/>
      <c r="J380" s="108"/>
      <c r="K380" s="108"/>
      <c r="L380" s="108"/>
      <c r="M380" s="108"/>
      <c r="N380" s="108"/>
      <c r="O380" s="108"/>
      <c r="P380" s="108"/>
      <c r="Q380" s="108"/>
      <c r="R380" s="108"/>
      <c r="S380" s="108"/>
      <c r="T380" s="108"/>
      <c r="U380" s="108"/>
      <c r="V380" s="108"/>
      <c r="W380" s="108"/>
      <c r="X380" s="108"/>
      <c r="Y380" s="108"/>
      <c r="Z380" s="108"/>
      <c r="AA380" s="108"/>
    </row>
    <row r="381" spans="1:27">
      <c r="A381" s="108"/>
      <c r="B381" s="151"/>
      <c r="C381" s="248"/>
      <c r="D381" s="248"/>
      <c r="E381" s="248"/>
      <c r="F381" s="108"/>
      <c r="G381" s="108"/>
      <c r="H381" s="108"/>
      <c r="I381" s="108"/>
      <c r="J381" s="108"/>
      <c r="K381" s="108"/>
      <c r="L381" s="108"/>
      <c r="M381" s="108"/>
      <c r="N381" s="108"/>
      <c r="O381" s="108"/>
      <c r="P381" s="108"/>
      <c r="Q381" s="108"/>
      <c r="R381" s="108"/>
      <c r="S381" s="108"/>
      <c r="T381" s="108"/>
      <c r="U381" s="108"/>
      <c r="V381" s="108"/>
      <c r="W381" s="108"/>
      <c r="X381" s="108"/>
      <c r="Y381" s="108"/>
      <c r="Z381" s="108"/>
      <c r="AA381" s="108"/>
    </row>
    <row r="382" spans="1:27">
      <c r="A382" s="108"/>
      <c r="B382" s="151"/>
      <c r="C382" s="248"/>
      <c r="D382" s="248"/>
      <c r="E382" s="248"/>
      <c r="F382" s="108"/>
      <c r="G382" s="108"/>
      <c r="H382" s="108"/>
      <c r="I382" s="108"/>
      <c r="J382" s="108"/>
      <c r="K382" s="108"/>
      <c r="L382" s="108"/>
      <c r="M382" s="108"/>
      <c r="N382" s="108"/>
      <c r="O382" s="108"/>
      <c r="P382" s="108"/>
      <c r="Q382" s="108"/>
      <c r="R382" s="108"/>
      <c r="S382" s="108"/>
      <c r="T382" s="108"/>
      <c r="U382" s="108"/>
      <c r="V382" s="108"/>
      <c r="W382" s="108"/>
      <c r="X382" s="108"/>
      <c r="Y382" s="108"/>
      <c r="Z382" s="108"/>
      <c r="AA382" s="108"/>
    </row>
    <row r="383" spans="1:27">
      <c r="A383" s="108"/>
      <c r="B383" s="151"/>
      <c r="C383" s="248"/>
      <c r="D383" s="248"/>
      <c r="E383" s="248"/>
      <c r="F383" s="108"/>
      <c r="G383" s="108"/>
      <c r="H383" s="108"/>
      <c r="I383" s="108"/>
      <c r="J383" s="108"/>
      <c r="K383" s="108"/>
      <c r="L383" s="108"/>
      <c r="M383" s="108"/>
      <c r="N383" s="108"/>
      <c r="O383" s="108"/>
      <c r="P383" s="108"/>
      <c r="Q383" s="108"/>
      <c r="R383" s="108"/>
      <c r="S383" s="108"/>
      <c r="T383" s="108"/>
      <c r="U383" s="108"/>
      <c r="V383" s="108"/>
      <c r="W383" s="108"/>
      <c r="X383" s="108"/>
      <c r="Y383" s="108"/>
      <c r="Z383" s="108"/>
      <c r="AA383" s="108"/>
    </row>
    <row r="384" spans="1:27">
      <c r="A384" s="108"/>
      <c r="B384" s="151"/>
      <c r="C384" s="248"/>
      <c r="D384" s="248"/>
      <c r="E384" s="248"/>
      <c r="F384" s="108"/>
      <c r="G384" s="108"/>
      <c r="H384" s="108"/>
      <c r="I384" s="108"/>
      <c r="J384" s="108"/>
      <c r="K384" s="108"/>
      <c r="L384" s="108"/>
      <c r="M384" s="108"/>
      <c r="N384" s="108"/>
      <c r="O384" s="108"/>
      <c r="P384" s="108"/>
      <c r="Q384" s="108"/>
      <c r="R384" s="108"/>
      <c r="S384" s="108"/>
      <c r="T384" s="108"/>
      <c r="U384" s="108"/>
      <c r="V384" s="108"/>
      <c r="W384" s="108"/>
      <c r="X384" s="108"/>
      <c r="Y384" s="108"/>
      <c r="Z384" s="108"/>
      <c r="AA384" s="108"/>
    </row>
    <row r="385" spans="1:27">
      <c r="A385" s="108"/>
      <c r="B385" s="151"/>
      <c r="C385" s="248"/>
      <c r="D385" s="248"/>
      <c r="E385" s="248"/>
      <c r="F385" s="108"/>
      <c r="G385" s="108"/>
      <c r="H385" s="108"/>
      <c r="I385" s="108"/>
      <c r="J385" s="108"/>
      <c r="K385" s="108"/>
      <c r="L385" s="108"/>
      <c r="M385" s="108"/>
      <c r="N385" s="108"/>
      <c r="O385" s="108"/>
      <c r="P385" s="108"/>
      <c r="Q385" s="108"/>
      <c r="R385" s="108"/>
      <c r="S385" s="108"/>
      <c r="T385" s="108"/>
      <c r="U385" s="108"/>
      <c r="V385" s="108"/>
      <c r="W385" s="108"/>
      <c r="X385" s="108"/>
      <c r="Y385" s="108"/>
      <c r="Z385" s="108"/>
      <c r="AA385" s="108"/>
    </row>
    <row r="386" spans="1:27">
      <c r="A386" s="108"/>
      <c r="B386" s="151"/>
      <c r="C386" s="248"/>
      <c r="D386" s="248"/>
      <c r="E386" s="248"/>
      <c r="F386" s="108"/>
      <c r="G386" s="108"/>
      <c r="H386" s="108"/>
      <c r="I386" s="108"/>
      <c r="J386" s="108"/>
      <c r="K386" s="108"/>
      <c r="L386" s="108"/>
      <c r="M386" s="108"/>
      <c r="N386" s="108"/>
      <c r="O386" s="108"/>
      <c r="P386" s="108"/>
      <c r="Q386" s="108"/>
      <c r="R386" s="108"/>
      <c r="S386" s="108"/>
      <c r="T386" s="108"/>
      <c r="U386" s="108"/>
      <c r="V386" s="108"/>
      <c r="W386" s="108"/>
      <c r="X386" s="108"/>
      <c r="Y386" s="108"/>
      <c r="Z386" s="108"/>
      <c r="AA386" s="108"/>
    </row>
    <row r="387" spans="1:27">
      <c r="A387" s="108"/>
      <c r="B387" s="151"/>
      <c r="C387" s="248"/>
      <c r="D387" s="248"/>
      <c r="E387" s="248"/>
      <c r="F387" s="108"/>
      <c r="G387" s="108"/>
      <c r="H387" s="108"/>
      <c r="I387" s="108"/>
      <c r="J387" s="108"/>
      <c r="K387" s="108"/>
      <c r="L387" s="108"/>
      <c r="M387" s="108"/>
      <c r="N387" s="108"/>
      <c r="O387" s="108"/>
      <c r="P387" s="108"/>
      <c r="Q387" s="108"/>
      <c r="R387" s="108"/>
      <c r="S387" s="108"/>
      <c r="T387" s="108"/>
      <c r="U387" s="108"/>
      <c r="V387" s="108"/>
      <c r="W387" s="108"/>
      <c r="X387" s="108"/>
      <c r="Y387" s="108"/>
      <c r="Z387" s="108"/>
      <c r="AA387" s="108"/>
    </row>
    <row r="388" spans="1:27">
      <c r="A388" s="108"/>
      <c r="B388" s="151"/>
      <c r="C388" s="248"/>
      <c r="D388" s="248"/>
      <c r="E388" s="248"/>
      <c r="F388" s="108"/>
      <c r="G388" s="108"/>
      <c r="H388" s="108"/>
      <c r="I388" s="108"/>
      <c r="J388" s="108"/>
      <c r="K388" s="108"/>
      <c r="L388" s="108"/>
      <c r="M388" s="108"/>
      <c r="N388" s="108"/>
      <c r="O388" s="108"/>
      <c r="P388" s="108"/>
      <c r="Q388" s="108"/>
      <c r="R388" s="108"/>
      <c r="S388" s="108"/>
      <c r="T388" s="108"/>
      <c r="U388" s="108"/>
      <c r="V388" s="108"/>
      <c r="W388" s="108"/>
      <c r="X388" s="108"/>
      <c r="Y388" s="108"/>
      <c r="Z388" s="108"/>
      <c r="AA388" s="108"/>
    </row>
    <row r="389" spans="1:27">
      <c r="A389" s="108"/>
      <c r="B389" s="151"/>
      <c r="C389" s="248"/>
      <c r="D389" s="248"/>
      <c r="E389" s="248"/>
      <c r="F389" s="108"/>
      <c r="G389" s="108"/>
      <c r="H389" s="108"/>
      <c r="I389" s="108"/>
      <c r="J389" s="108"/>
      <c r="K389" s="108"/>
      <c r="L389" s="108"/>
      <c r="M389" s="108"/>
      <c r="N389" s="108"/>
      <c r="O389" s="108"/>
      <c r="P389" s="108"/>
      <c r="Q389" s="108"/>
      <c r="R389" s="108"/>
      <c r="S389" s="108"/>
      <c r="T389" s="108"/>
      <c r="U389" s="108"/>
      <c r="V389" s="108"/>
      <c r="W389" s="108"/>
      <c r="X389" s="108"/>
      <c r="Y389" s="108"/>
      <c r="Z389" s="108"/>
      <c r="AA389" s="108"/>
    </row>
    <row r="390" spans="1:27">
      <c r="A390" s="108"/>
      <c r="B390" s="151"/>
      <c r="C390" s="248"/>
      <c r="D390" s="248"/>
      <c r="E390" s="248"/>
      <c r="F390" s="108"/>
      <c r="G390" s="108"/>
      <c r="H390" s="108"/>
      <c r="I390" s="152"/>
      <c r="J390" s="152"/>
      <c r="K390" s="108"/>
      <c r="L390" s="108"/>
      <c r="M390" s="108"/>
      <c r="N390" s="108"/>
      <c r="O390" s="108"/>
      <c r="P390" s="108"/>
      <c r="Q390" s="108"/>
      <c r="R390" s="108"/>
      <c r="S390" s="108"/>
      <c r="T390" s="108"/>
      <c r="U390" s="108"/>
      <c r="V390" s="108"/>
      <c r="W390" s="108"/>
      <c r="X390" s="108"/>
      <c r="Y390" s="108"/>
      <c r="Z390" s="108"/>
      <c r="AA390" s="108"/>
    </row>
    <row r="391" spans="1:27" ht="16">
      <c r="A391" s="108"/>
      <c r="B391" s="141" t="s">
        <v>826</v>
      </c>
      <c r="C391" s="236" t="s">
        <v>827</v>
      </c>
      <c r="D391" s="235"/>
      <c r="E391" s="247"/>
      <c r="F391" s="139"/>
      <c r="G391" s="139"/>
      <c r="H391" s="139"/>
      <c r="I391" s="139"/>
      <c r="J391" s="139"/>
      <c r="K391" s="139"/>
      <c r="L391" s="138"/>
      <c r="M391" s="108"/>
      <c r="N391" s="108"/>
      <c r="O391" s="108"/>
      <c r="P391" s="108"/>
      <c r="Q391" s="108"/>
      <c r="R391" s="108"/>
      <c r="S391" s="108"/>
      <c r="T391" s="108"/>
      <c r="U391" s="108"/>
      <c r="V391" s="108"/>
      <c r="W391" s="108"/>
      <c r="X391" s="108"/>
      <c r="Y391" s="108"/>
      <c r="Z391" s="108"/>
      <c r="AA391" s="108"/>
    </row>
    <row r="392" spans="1:27" ht="14" thickBot="1">
      <c r="A392" s="108"/>
      <c r="B392" s="151"/>
      <c r="C392" s="108"/>
      <c r="D392" s="108"/>
      <c r="E392" s="108"/>
      <c r="F392" s="108"/>
      <c r="G392" s="108"/>
      <c r="H392" s="108"/>
      <c r="I392" s="108"/>
      <c r="J392" s="108"/>
      <c r="K392" s="108"/>
      <c r="L392" s="108"/>
      <c r="M392" s="108"/>
      <c r="N392" s="108"/>
      <c r="O392" s="108"/>
      <c r="P392" s="108"/>
      <c r="Q392" s="108"/>
      <c r="R392" s="108"/>
      <c r="S392" s="108"/>
      <c r="T392" s="108"/>
      <c r="U392" s="108"/>
      <c r="V392" s="108"/>
      <c r="W392" s="108"/>
      <c r="X392" s="108"/>
      <c r="Y392" s="108"/>
      <c r="Z392" s="108"/>
      <c r="AA392" s="108"/>
    </row>
    <row r="393" spans="1:27" ht="31" thickBot="1">
      <c r="A393" s="108"/>
      <c r="B393" s="151"/>
      <c r="C393" s="193"/>
      <c r="D393" s="246" t="s">
        <v>828</v>
      </c>
      <c r="E393" s="192" t="s">
        <v>829</v>
      </c>
      <c r="F393" s="191" t="s">
        <v>830</v>
      </c>
      <c r="G393" s="130"/>
      <c r="H393" s="241"/>
      <c r="I393" s="108"/>
      <c r="J393" s="108"/>
      <c r="K393" s="108"/>
      <c r="L393" s="108"/>
      <c r="M393" s="108"/>
      <c r="N393" s="108"/>
      <c r="O393" s="108"/>
      <c r="P393" s="108"/>
      <c r="Q393" s="108"/>
      <c r="R393" s="108"/>
      <c r="S393" s="108"/>
      <c r="T393" s="108"/>
      <c r="U393" s="108"/>
      <c r="V393" s="108"/>
      <c r="W393" s="108"/>
      <c r="X393" s="108"/>
      <c r="Y393" s="108"/>
      <c r="Z393" s="108"/>
      <c r="AA393" s="108"/>
    </row>
    <row r="394" spans="1:27" ht="14.75" customHeight="1" thickBot="1">
      <c r="A394" s="108"/>
      <c r="B394" s="151"/>
      <c r="C394" s="245" t="s">
        <v>827</v>
      </c>
      <c r="D394" s="244">
        <v>66.33</v>
      </c>
      <c r="E394" s="243">
        <v>1.25</v>
      </c>
      <c r="F394" s="242">
        <v>0.125</v>
      </c>
      <c r="G394" s="108"/>
      <c r="H394" s="241"/>
      <c r="I394" s="108"/>
      <c r="J394" s="108"/>
      <c r="L394" s="108"/>
      <c r="M394" s="108"/>
      <c r="N394" s="108"/>
      <c r="O394" s="108"/>
      <c r="P394" s="108"/>
      <c r="Q394" s="108"/>
      <c r="R394" s="108"/>
      <c r="S394" s="108"/>
      <c r="T394" s="108"/>
      <c r="U394" s="108"/>
      <c r="V394" s="108"/>
      <c r="W394" s="108"/>
      <c r="X394" s="108"/>
      <c r="Y394" s="108"/>
      <c r="Z394" s="108"/>
      <c r="AA394" s="108"/>
    </row>
    <row r="395" spans="1:27">
      <c r="A395" s="108"/>
      <c r="B395" s="151"/>
      <c r="C395" s="240" t="s">
        <v>823</v>
      </c>
      <c r="D395" s="104"/>
      <c r="E395" s="238"/>
      <c r="F395" s="238"/>
      <c r="G395" s="238"/>
      <c r="H395" s="104"/>
      <c r="I395" s="104"/>
      <c r="J395" s="104"/>
      <c r="K395" s="104"/>
      <c r="L395" s="108"/>
      <c r="M395" s="108"/>
      <c r="N395" s="108"/>
      <c r="O395" s="108"/>
      <c r="P395" s="108"/>
      <c r="Q395" s="108"/>
      <c r="R395" s="108"/>
      <c r="S395" s="108"/>
      <c r="T395" s="108"/>
      <c r="U395" s="108"/>
      <c r="V395" s="108"/>
      <c r="W395" s="108"/>
      <c r="X395" s="108"/>
      <c r="Y395" s="108"/>
      <c r="Z395" s="108"/>
      <c r="AA395" s="108"/>
    </row>
    <row r="396" spans="1:27">
      <c r="A396" s="108"/>
      <c r="B396" s="151"/>
      <c r="C396" s="239" t="s">
        <v>831</v>
      </c>
      <c r="D396" s="104"/>
      <c r="E396" s="238"/>
      <c r="F396" s="238"/>
      <c r="G396" s="238"/>
      <c r="H396" s="104"/>
      <c r="I396" s="104"/>
      <c r="J396" s="104"/>
      <c r="K396" s="104"/>
      <c r="L396" s="108"/>
      <c r="M396" s="108"/>
      <c r="N396" s="108"/>
      <c r="O396" s="108"/>
      <c r="P396" s="108"/>
      <c r="Q396" s="108"/>
      <c r="R396" s="108"/>
      <c r="S396" s="108"/>
      <c r="T396" s="108"/>
      <c r="U396" s="108"/>
      <c r="V396" s="108"/>
      <c r="W396" s="108"/>
      <c r="X396" s="108"/>
      <c r="Y396" s="108"/>
      <c r="Z396" s="108"/>
      <c r="AA396" s="108"/>
    </row>
    <row r="397" spans="1:27">
      <c r="A397" s="108"/>
      <c r="B397" s="151"/>
      <c r="C397" s="154" t="s">
        <v>624</v>
      </c>
      <c r="D397" s="153"/>
      <c r="E397" s="153"/>
      <c r="F397" s="153"/>
      <c r="G397" s="153"/>
      <c r="H397" s="153"/>
      <c r="I397" s="153"/>
      <c r="J397" s="153"/>
      <c r="K397" s="153"/>
      <c r="L397" s="152"/>
      <c r="M397" s="152"/>
      <c r="N397" s="108"/>
      <c r="O397" s="108"/>
      <c r="P397" s="108"/>
      <c r="Q397" s="108"/>
      <c r="R397" s="108"/>
      <c r="S397" s="108"/>
      <c r="T397" s="108"/>
      <c r="U397" s="108"/>
      <c r="V397" s="108"/>
      <c r="W397" s="108"/>
      <c r="X397" s="108"/>
      <c r="Y397" s="108"/>
      <c r="Z397" s="108"/>
      <c r="AA397" s="108"/>
    </row>
    <row r="398" spans="1:27">
      <c r="A398" s="108"/>
      <c r="B398" s="151"/>
      <c r="C398" s="237"/>
      <c r="D398" s="237"/>
      <c r="E398" s="237"/>
      <c r="F398" s="237"/>
      <c r="G398" s="237"/>
      <c r="H398" s="237"/>
      <c r="I398" s="237"/>
      <c r="J398" s="237"/>
      <c r="K398" s="237"/>
      <c r="L398" s="108"/>
      <c r="M398" s="108"/>
      <c r="N398" s="108"/>
      <c r="O398" s="108"/>
      <c r="P398" s="108"/>
      <c r="Q398" s="108"/>
      <c r="R398" s="108"/>
      <c r="S398" s="108"/>
      <c r="T398" s="108"/>
      <c r="U398" s="108"/>
      <c r="V398" s="108"/>
      <c r="W398" s="108"/>
      <c r="X398" s="108"/>
      <c r="Y398" s="108"/>
      <c r="Z398" s="108"/>
      <c r="AA398" s="108"/>
    </row>
    <row r="399" spans="1:27" ht="16">
      <c r="A399" s="108"/>
      <c r="B399" s="2160" t="s">
        <v>832</v>
      </c>
      <c r="C399" s="2161"/>
      <c r="D399" s="2161"/>
      <c r="E399" s="2161"/>
      <c r="F399" s="2161"/>
      <c r="G399" s="2161"/>
      <c r="H399" s="2161"/>
      <c r="I399" s="2161"/>
      <c r="J399" s="2161"/>
      <c r="K399" s="2161"/>
      <c r="L399" s="2162"/>
      <c r="M399" s="108"/>
      <c r="N399" s="108"/>
      <c r="O399" s="108"/>
      <c r="P399" s="108"/>
      <c r="Q399" s="108"/>
      <c r="R399" s="108"/>
      <c r="S399" s="108"/>
      <c r="T399" s="108"/>
      <c r="U399" s="108"/>
      <c r="V399" s="108"/>
      <c r="W399" s="108"/>
      <c r="X399" s="108"/>
      <c r="Y399" s="108"/>
      <c r="Z399" s="108"/>
      <c r="AA399" s="108"/>
    </row>
    <row r="400" spans="1:27" ht="27" customHeight="1">
      <c r="B400" s="2163" t="s">
        <v>833</v>
      </c>
      <c r="C400" s="2163"/>
      <c r="D400" s="2163"/>
      <c r="E400" s="2163"/>
      <c r="F400" s="2163"/>
      <c r="G400" s="2163"/>
      <c r="H400" s="2163"/>
      <c r="I400" s="2163"/>
      <c r="J400" s="2163"/>
      <c r="K400" s="2163"/>
      <c r="L400" s="2163"/>
    </row>
    <row r="402" spans="1:27" ht="16">
      <c r="A402" s="108"/>
      <c r="B402" s="141" t="s">
        <v>834</v>
      </c>
      <c r="C402" s="236" t="s">
        <v>835</v>
      </c>
      <c r="D402" s="235"/>
      <c r="E402" s="235"/>
      <c r="F402" s="139"/>
      <c r="G402" s="139"/>
      <c r="H402" s="139"/>
      <c r="I402" s="139"/>
      <c r="J402" s="139"/>
      <c r="K402" s="139"/>
      <c r="L402" s="138"/>
      <c r="M402" s="108"/>
      <c r="N402" s="108"/>
      <c r="O402" s="108"/>
      <c r="P402" s="108"/>
      <c r="Q402" s="108"/>
      <c r="R402" s="108"/>
      <c r="S402" s="108"/>
      <c r="T402" s="108"/>
      <c r="U402" s="108"/>
      <c r="V402" s="108"/>
      <c r="W402" s="108"/>
      <c r="X402" s="108"/>
      <c r="Y402" s="108"/>
      <c r="Z402" s="108"/>
      <c r="AA402" s="108"/>
    </row>
    <row r="403" spans="1:27" ht="32" customHeight="1" thickBot="1">
      <c r="A403" s="108"/>
      <c r="B403" s="137"/>
      <c r="C403" s="2152" t="s">
        <v>836</v>
      </c>
      <c r="D403" s="2152"/>
      <c r="E403" s="2152"/>
      <c r="F403" s="2152"/>
      <c r="G403" s="2152"/>
      <c r="H403" s="2152"/>
      <c r="I403" s="2152"/>
      <c r="J403" s="2152"/>
      <c r="K403" s="2152"/>
      <c r="L403" s="2152"/>
      <c r="M403" s="108"/>
      <c r="N403" s="108"/>
      <c r="O403" s="108"/>
      <c r="P403" s="108"/>
      <c r="Q403" s="108"/>
      <c r="R403" s="108"/>
      <c r="S403" s="108"/>
      <c r="T403" s="108"/>
      <c r="U403" s="108"/>
      <c r="V403" s="108"/>
      <c r="W403" s="108"/>
      <c r="X403" s="108"/>
      <c r="Y403" s="108"/>
      <c r="Z403" s="108"/>
      <c r="AA403" s="108"/>
    </row>
    <row r="404" spans="1:27" ht="31" thickBot="1">
      <c r="A404" s="108"/>
      <c r="B404" s="151"/>
      <c r="C404" s="193" t="s">
        <v>638</v>
      </c>
      <c r="D404" s="192" t="s">
        <v>837</v>
      </c>
      <c r="E404" s="192" t="s">
        <v>838</v>
      </c>
      <c r="F404" s="192" t="s">
        <v>839</v>
      </c>
      <c r="G404" s="191" t="s">
        <v>840</v>
      </c>
      <c r="H404" s="130"/>
      <c r="I404" s="156"/>
      <c r="J404" s="108"/>
      <c r="K404" s="108"/>
      <c r="L404" s="108"/>
      <c r="M404" s="108"/>
      <c r="N404" s="108"/>
      <c r="O404" s="108"/>
      <c r="P404" s="108"/>
      <c r="Q404" s="108"/>
      <c r="R404" s="108"/>
      <c r="S404" s="108"/>
      <c r="T404" s="108"/>
      <c r="U404" s="108"/>
      <c r="V404" s="108"/>
      <c r="W404" s="108"/>
      <c r="X404" s="108"/>
      <c r="Y404" s="108"/>
      <c r="Z404" s="108"/>
      <c r="AA404" s="108"/>
    </row>
    <row r="405" spans="1:27" ht="15" customHeight="1">
      <c r="A405" s="108"/>
      <c r="B405" s="151"/>
      <c r="C405" s="129" t="s">
        <v>841</v>
      </c>
      <c r="D405" s="230">
        <v>1.387</v>
      </c>
      <c r="E405" s="234">
        <v>1.2999999999999999E-2</v>
      </c>
      <c r="F405" s="230">
        <v>3.7999999999999999E-2</v>
      </c>
      <c r="G405" s="228" t="s">
        <v>842</v>
      </c>
      <c r="H405" s="130"/>
      <c r="I405" s="156"/>
      <c r="J405" s="108"/>
      <c r="K405" s="108"/>
      <c r="L405" s="108"/>
      <c r="M405" s="108"/>
      <c r="N405" s="108"/>
      <c r="O405" s="108"/>
      <c r="P405" s="108"/>
      <c r="Q405" s="108"/>
      <c r="R405" s="108"/>
      <c r="S405" s="108"/>
      <c r="T405" s="108"/>
      <c r="U405" s="108"/>
      <c r="V405" s="108"/>
      <c r="W405" s="108"/>
      <c r="X405" s="108"/>
      <c r="Y405" s="108"/>
      <c r="Z405" s="108"/>
      <c r="AA405" s="108"/>
    </row>
    <row r="406" spans="1:27" ht="15" customHeight="1">
      <c r="A406" s="108"/>
      <c r="B406" s="151"/>
      <c r="C406" s="233" t="s">
        <v>843</v>
      </c>
      <c r="D406" s="227">
        <v>0.313</v>
      </c>
      <c r="E406" s="227">
        <v>8.0000000000000002E-3</v>
      </c>
      <c r="F406" s="232">
        <v>7.0000000000000001E-3</v>
      </c>
      <c r="G406" s="231" t="s">
        <v>842</v>
      </c>
      <c r="H406" s="130"/>
      <c r="I406" s="156"/>
      <c r="J406" s="108"/>
      <c r="K406" s="108"/>
      <c r="L406" s="108"/>
      <c r="M406" s="108"/>
      <c r="N406" s="108"/>
      <c r="O406" s="108"/>
      <c r="P406" s="108"/>
      <c r="Q406" s="108"/>
      <c r="R406" s="108"/>
      <c r="S406" s="108"/>
      <c r="T406" s="108"/>
      <c r="U406" s="108"/>
      <c r="V406" s="108"/>
      <c r="W406" s="108"/>
      <c r="X406" s="108"/>
      <c r="Y406" s="108"/>
      <c r="Z406" s="108"/>
      <c r="AA406" s="108"/>
    </row>
    <row r="407" spans="1:27" ht="15" customHeight="1" thickBot="1">
      <c r="A407" s="108"/>
      <c r="B407" s="151"/>
      <c r="C407" s="114" t="s">
        <v>844</v>
      </c>
      <c r="D407" s="224">
        <v>0.46700000000000003</v>
      </c>
      <c r="E407" s="224">
        <v>1.2999999999999999E-2</v>
      </c>
      <c r="F407" s="224">
        <v>1.2E-2</v>
      </c>
      <c r="G407" s="221" t="s">
        <v>842</v>
      </c>
      <c r="H407" s="130"/>
      <c r="I407" s="156"/>
      <c r="J407" s="108"/>
      <c r="K407" s="108"/>
      <c r="L407" s="108"/>
      <c r="M407" s="108"/>
      <c r="N407" s="108"/>
      <c r="O407" s="108"/>
      <c r="P407" s="108"/>
      <c r="Q407" s="108"/>
      <c r="R407" s="108"/>
      <c r="S407" s="108"/>
      <c r="T407" s="108"/>
      <c r="U407" s="108"/>
      <c r="V407" s="108"/>
      <c r="W407" s="108"/>
      <c r="X407" s="108"/>
      <c r="Y407" s="108"/>
      <c r="Z407" s="108"/>
      <c r="AA407" s="108"/>
    </row>
    <row r="408" spans="1:27" ht="15" customHeight="1">
      <c r="A408" s="108"/>
      <c r="B408" s="151"/>
      <c r="C408" s="129" t="s">
        <v>845</v>
      </c>
      <c r="D408" s="230">
        <v>0.17</v>
      </c>
      <c r="E408" s="229">
        <v>1.6000000000000001E-3</v>
      </c>
      <c r="F408" s="229">
        <v>4.7000000000000002E-3</v>
      </c>
      <c r="G408" s="228" t="s">
        <v>846</v>
      </c>
      <c r="H408" s="130"/>
      <c r="I408" s="156"/>
      <c r="J408" s="108"/>
      <c r="K408" s="108"/>
      <c r="L408" s="108"/>
      <c r="M408" s="108"/>
      <c r="N408" s="108"/>
      <c r="O408" s="108"/>
      <c r="P408" s="108"/>
      <c r="Q408" s="108"/>
      <c r="R408" s="108"/>
      <c r="S408" s="108"/>
      <c r="T408" s="108"/>
      <c r="U408" s="108"/>
      <c r="V408" s="108"/>
      <c r="W408" s="108"/>
      <c r="X408" s="108"/>
      <c r="Y408" s="108"/>
      <c r="Z408" s="108"/>
      <c r="AA408" s="108"/>
    </row>
    <row r="409" spans="1:27" ht="15" customHeight="1">
      <c r="A409" s="108"/>
      <c r="B409" s="151"/>
      <c r="C409" s="119" t="s">
        <v>847</v>
      </c>
      <c r="D409" s="227">
        <v>2.1000000000000001E-2</v>
      </c>
      <c r="E409" s="226">
        <v>1.6000000000000001E-3</v>
      </c>
      <c r="F409" s="226">
        <v>5.0000000000000001E-4</v>
      </c>
      <c r="G409" s="225" t="s">
        <v>846</v>
      </c>
      <c r="H409" s="130"/>
      <c r="I409" s="156"/>
      <c r="J409" s="108"/>
      <c r="K409" s="108"/>
      <c r="L409" s="108"/>
      <c r="M409" s="108"/>
      <c r="N409" s="108"/>
      <c r="O409" s="108"/>
      <c r="P409" s="108"/>
      <c r="Q409" s="108"/>
      <c r="R409" s="108"/>
      <c r="S409" s="108"/>
      <c r="T409" s="108"/>
      <c r="U409" s="108"/>
      <c r="V409" s="108"/>
      <c r="W409" s="108"/>
      <c r="X409" s="108"/>
      <c r="Y409" s="108"/>
      <c r="Z409" s="108"/>
      <c r="AA409" s="108"/>
    </row>
    <row r="410" spans="1:27" ht="15" customHeight="1">
      <c r="A410" s="108"/>
      <c r="B410" s="151"/>
      <c r="C410" s="119" t="s">
        <v>848</v>
      </c>
      <c r="D410" s="227">
        <v>4.3999999999999997E-2</v>
      </c>
      <c r="E410" s="226">
        <v>2.5399999999999999E-2</v>
      </c>
      <c r="F410" s="226">
        <v>1.1000000000000001E-3</v>
      </c>
      <c r="G410" s="225" t="s">
        <v>846</v>
      </c>
      <c r="H410" s="130"/>
      <c r="I410" s="156"/>
      <c r="J410" s="108"/>
      <c r="K410" s="108"/>
      <c r="L410" s="108"/>
      <c r="M410" s="108"/>
      <c r="N410" s="108"/>
      <c r="O410" s="108"/>
      <c r="P410" s="108"/>
      <c r="Q410" s="108"/>
      <c r="R410" s="108"/>
      <c r="S410" s="108"/>
      <c r="T410" s="108"/>
      <c r="U410" s="108"/>
      <c r="V410" s="108"/>
      <c r="W410" s="108"/>
      <c r="X410" s="108"/>
      <c r="Y410" s="108"/>
      <c r="Z410" s="108"/>
      <c r="AA410" s="108"/>
    </row>
    <row r="411" spans="1:27" ht="15" customHeight="1" thickBot="1">
      <c r="A411" s="108"/>
      <c r="B411" s="151"/>
      <c r="C411" s="114" t="s">
        <v>743</v>
      </c>
      <c r="D411" s="224">
        <v>0.69799999999999995</v>
      </c>
      <c r="E411" s="223">
        <v>0</v>
      </c>
      <c r="F411" s="222">
        <v>2.1499999999999998E-2</v>
      </c>
      <c r="G411" s="221" t="s">
        <v>846</v>
      </c>
      <c r="H411" s="130"/>
      <c r="I411" s="156"/>
      <c r="J411" s="108"/>
      <c r="K411" s="108"/>
      <c r="L411" s="108"/>
      <c r="M411" s="108"/>
      <c r="N411" s="108"/>
      <c r="O411" s="108"/>
      <c r="P411" s="108"/>
      <c r="Q411" s="108"/>
      <c r="R411" s="108"/>
      <c r="S411" s="108"/>
      <c r="T411" s="108"/>
      <c r="U411" s="108"/>
      <c r="V411" s="108"/>
      <c r="W411" s="108"/>
      <c r="X411" s="108"/>
      <c r="Y411" s="108"/>
      <c r="Z411" s="108"/>
      <c r="AA411" s="108"/>
    </row>
    <row r="412" spans="1:27" ht="67.25" customHeight="1">
      <c r="A412" s="108"/>
      <c r="B412" s="151"/>
      <c r="C412" s="2153" t="s">
        <v>849</v>
      </c>
      <c r="D412" s="2153"/>
      <c r="E412" s="2153"/>
      <c r="F412" s="2153"/>
      <c r="G412" s="2153"/>
      <c r="H412" s="2153"/>
      <c r="I412" s="2153"/>
      <c r="J412" s="2153"/>
      <c r="K412" s="2153"/>
      <c r="L412" s="2153"/>
      <c r="M412" s="108"/>
      <c r="N412" s="108"/>
      <c r="O412" s="108"/>
      <c r="P412" s="108"/>
      <c r="Q412" s="108"/>
      <c r="R412" s="108"/>
      <c r="S412" s="108"/>
      <c r="T412" s="108"/>
      <c r="U412" s="108"/>
      <c r="V412" s="108"/>
      <c r="W412" s="108"/>
      <c r="X412" s="108"/>
      <c r="Y412" s="108"/>
      <c r="Z412" s="108"/>
      <c r="AA412" s="108"/>
    </row>
    <row r="413" spans="1:27" ht="79.25" customHeight="1">
      <c r="A413" s="108"/>
      <c r="B413" s="151"/>
      <c r="C413" s="2151" t="s">
        <v>850</v>
      </c>
      <c r="D413" s="2151"/>
      <c r="E413" s="2151"/>
      <c r="F413" s="2151"/>
      <c r="G413" s="2151"/>
      <c r="H413" s="2151"/>
      <c r="I413" s="2151"/>
      <c r="J413" s="2151"/>
      <c r="K413" s="2151"/>
      <c r="L413" s="2151"/>
      <c r="M413" s="108"/>
      <c r="N413" s="108"/>
      <c r="O413" s="108"/>
      <c r="P413" s="108"/>
      <c r="Q413" s="108"/>
      <c r="R413" s="108"/>
      <c r="S413" s="108"/>
      <c r="T413" s="108"/>
      <c r="U413" s="108"/>
      <c r="V413" s="108"/>
      <c r="W413" s="108"/>
      <c r="X413" s="108"/>
      <c r="Y413" s="108"/>
      <c r="Z413" s="108"/>
      <c r="AA413" s="108"/>
    </row>
    <row r="414" spans="1:27">
      <c r="A414" s="108"/>
      <c r="B414" s="151"/>
      <c r="C414" s="197"/>
      <c r="D414" s="197"/>
      <c r="E414" s="197"/>
      <c r="F414" s="197"/>
      <c r="G414" s="197"/>
      <c r="H414" s="197"/>
      <c r="I414" s="197"/>
      <c r="J414" s="197"/>
      <c r="K414" s="197"/>
      <c r="L414" s="108"/>
      <c r="M414" s="108"/>
      <c r="N414" s="108"/>
      <c r="O414" s="108"/>
      <c r="P414" s="108"/>
      <c r="Q414" s="108"/>
      <c r="R414" s="108"/>
      <c r="S414" s="108"/>
      <c r="T414" s="108"/>
      <c r="U414" s="108"/>
      <c r="V414" s="108"/>
      <c r="W414" s="108"/>
      <c r="X414" s="108"/>
      <c r="Y414" s="108"/>
      <c r="Z414" s="108"/>
      <c r="AA414" s="108"/>
    </row>
    <row r="415" spans="1:27" ht="16">
      <c r="B415" s="141" t="s">
        <v>364</v>
      </c>
      <c r="C415" s="140" t="s">
        <v>851</v>
      </c>
      <c r="D415" s="139"/>
      <c r="E415" s="139"/>
      <c r="F415" s="139"/>
      <c r="G415" s="139"/>
      <c r="H415" s="139"/>
      <c r="I415" s="139"/>
      <c r="J415" s="139"/>
      <c r="K415" s="139"/>
      <c r="L415" s="138"/>
      <c r="M415" s="108"/>
      <c r="N415" s="108"/>
      <c r="O415" s="108"/>
      <c r="P415" s="108"/>
      <c r="Q415" s="108"/>
      <c r="R415" s="108"/>
      <c r="S415" s="108"/>
      <c r="T415" s="108"/>
      <c r="U415" s="108"/>
      <c r="V415" s="108"/>
      <c r="W415" s="108"/>
      <c r="X415" s="108"/>
      <c r="Y415" s="108"/>
      <c r="Z415" s="108"/>
      <c r="AA415" s="108"/>
    </row>
    <row r="416" spans="1:27" ht="45" customHeight="1" thickBot="1">
      <c r="A416" s="108"/>
      <c r="B416" s="220"/>
      <c r="C416" s="2154" t="s">
        <v>852</v>
      </c>
      <c r="D416" s="2154"/>
      <c r="E416" s="2154"/>
      <c r="F416" s="2154"/>
      <c r="G416" s="2154"/>
      <c r="H416" s="2154"/>
      <c r="I416" s="2154"/>
      <c r="J416" s="2154"/>
      <c r="K416" s="2154"/>
      <c r="L416" s="108"/>
      <c r="M416" s="108"/>
      <c r="N416" s="108"/>
      <c r="O416" s="108"/>
      <c r="P416" s="108"/>
      <c r="Q416" s="108"/>
      <c r="R416" s="108"/>
      <c r="S416" s="108"/>
      <c r="T416" s="108"/>
      <c r="U416" s="108"/>
      <c r="V416" s="108"/>
      <c r="W416" s="108"/>
      <c r="X416" s="108"/>
      <c r="Y416" s="108"/>
      <c r="Z416" s="108"/>
      <c r="AA416" s="108"/>
    </row>
    <row r="417" spans="3:16" ht="16" thickBot="1">
      <c r="C417" s="219"/>
      <c r="D417" s="2155" t="s">
        <v>853</v>
      </c>
      <c r="E417" s="2156"/>
      <c r="F417" s="2156"/>
      <c r="G417" s="2156"/>
      <c r="H417" s="2156"/>
      <c r="I417" s="2157"/>
    </row>
    <row r="418" spans="3:16" ht="48.5" customHeight="1" thickBot="1">
      <c r="C418" s="218" t="s">
        <v>854</v>
      </c>
      <c r="D418" s="217" t="s">
        <v>855</v>
      </c>
      <c r="E418" s="217" t="s">
        <v>856</v>
      </c>
      <c r="F418" s="217" t="s">
        <v>857</v>
      </c>
      <c r="G418" s="217" t="s">
        <v>858</v>
      </c>
      <c r="H418" s="217" t="s">
        <v>859</v>
      </c>
      <c r="I418" s="216" t="s">
        <v>860</v>
      </c>
      <c r="J418" s="215"/>
      <c r="K418" s="198"/>
      <c r="L418" s="198"/>
    </row>
    <row r="419" spans="3:16">
      <c r="C419" s="214" t="s">
        <v>861</v>
      </c>
      <c r="D419" s="213">
        <v>0.06</v>
      </c>
      <c r="E419" s="213">
        <v>0.02</v>
      </c>
      <c r="F419" s="213">
        <v>0.01</v>
      </c>
      <c r="G419" s="212" t="s">
        <v>862</v>
      </c>
      <c r="H419" s="212" t="s">
        <v>862</v>
      </c>
      <c r="I419" s="211" t="s">
        <v>862</v>
      </c>
      <c r="J419" s="210"/>
      <c r="K419" s="198"/>
      <c r="L419" s="198"/>
      <c r="M419" s="198"/>
      <c r="N419" s="198"/>
      <c r="O419" s="198"/>
      <c r="P419" s="198"/>
    </row>
    <row r="420" spans="3:16">
      <c r="C420" s="206" t="s">
        <v>863</v>
      </c>
      <c r="D420" s="205">
        <v>0.04</v>
      </c>
      <c r="E420" s="205">
        <v>0.02</v>
      </c>
      <c r="F420" s="205">
        <v>0.01</v>
      </c>
      <c r="G420" s="204" t="s">
        <v>862</v>
      </c>
      <c r="H420" s="204" t="s">
        <v>862</v>
      </c>
      <c r="I420" s="203" t="s">
        <v>862</v>
      </c>
      <c r="J420" s="198"/>
      <c r="K420" s="198"/>
      <c r="L420" s="198"/>
      <c r="M420" s="198"/>
      <c r="N420" s="198"/>
      <c r="O420" s="198"/>
      <c r="P420" s="198"/>
    </row>
    <row r="421" spans="3:16">
      <c r="C421" s="206" t="s">
        <v>864</v>
      </c>
      <c r="D421" s="205">
        <v>0.32</v>
      </c>
      <c r="E421" s="205">
        <v>0.02</v>
      </c>
      <c r="F421" s="205">
        <v>0.01</v>
      </c>
      <c r="G421" s="204" t="s">
        <v>862</v>
      </c>
      <c r="H421" s="204" t="s">
        <v>862</v>
      </c>
      <c r="I421" s="203" t="s">
        <v>862</v>
      </c>
      <c r="J421" s="198"/>
      <c r="K421" s="198"/>
      <c r="L421" s="198"/>
      <c r="M421" s="198"/>
      <c r="N421" s="198"/>
      <c r="O421" s="198"/>
      <c r="P421" s="198"/>
    </row>
    <row r="422" spans="3:16">
      <c r="C422" s="206" t="s">
        <v>865</v>
      </c>
      <c r="D422" s="205">
        <v>0.18</v>
      </c>
      <c r="E422" s="205">
        <v>0.02</v>
      </c>
      <c r="F422" s="205">
        <v>0.01</v>
      </c>
      <c r="G422" s="204" t="s">
        <v>862</v>
      </c>
      <c r="H422" s="204" t="s">
        <v>862</v>
      </c>
      <c r="I422" s="203" t="s">
        <v>862</v>
      </c>
      <c r="J422" s="198"/>
      <c r="K422" s="198"/>
      <c r="L422" s="198"/>
      <c r="M422" s="198"/>
      <c r="N422" s="198"/>
      <c r="O422" s="198"/>
      <c r="P422" s="198"/>
    </row>
    <row r="423" spans="3:16">
      <c r="C423" s="206" t="s">
        <v>502</v>
      </c>
      <c r="D423" s="205">
        <v>0.05</v>
      </c>
      <c r="E423" s="205">
        <v>0.02</v>
      </c>
      <c r="F423" s="205">
        <v>0.01</v>
      </c>
      <c r="G423" s="204" t="s">
        <v>862</v>
      </c>
      <c r="H423" s="204" t="s">
        <v>862</v>
      </c>
      <c r="I423" s="203" t="s">
        <v>862</v>
      </c>
      <c r="J423" s="198"/>
      <c r="K423" s="198"/>
      <c r="L423" s="198"/>
      <c r="M423" s="198"/>
      <c r="N423" s="198"/>
      <c r="O423" s="198"/>
      <c r="P423" s="198"/>
    </row>
    <row r="424" spans="3:16">
      <c r="C424" s="206" t="s">
        <v>866</v>
      </c>
      <c r="D424" s="205">
        <v>0.21</v>
      </c>
      <c r="E424" s="205">
        <v>0.02</v>
      </c>
      <c r="F424" s="205">
        <v>2.8</v>
      </c>
      <c r="G424" s="204" t="s">
        <v>862</v>
      </c>
      <c r="H424" s="204" t="s">
        <v>862</v>
      </c>
      <c r="I424" s="203" t="s">
        <v>862</v>
      </c>
      <c r="J424" s="198"/>
      <c r="K424" s="198"/>
      <c r="L424" s="198"/>
      <c r="M424" s="198"/>
      <c r="N424" s="198"/>
      <c r="O424" s="198"/>
      <c r="P424" s="198"/>
    </row>
    <row r="425" spans="3:16">
      <c r="C425" s="206" t="s">
        <v>867</v>
      </c>
      <c r="D425" s="205" t="s">
        <v>862</v>
      </c>
      <c r="E425" s="205">
        <v>0.02</v>
      </c>
      <c r="F425" s="205">
        <v>2.8</v>
      </c>
      <c r="G425" s="204" t="s">
        <v>862</v>
      </c>
      <c r="H425" s="204" t="s">
        <v>862</v>
      </c>
      <c r="I425" s="203" t="s">
        <v>862</v>
      </c>
      <c r="J425" s="198"/>
      <c r="K425" s="198"/>
      <c r="L425" s="198"/>
      <c r="M425" s="198"/>
      <c r="N425" s="198"/>
      <c r="O425" s="198"/>
      <c r="P425" s="198"/>
    </row>
    <row r="426" spans="3:16">
      <c r="C426" s="206" t="s">
        <v>868</v>
      </c>
      <c r="D426" s="205">
        <v>0.23</v>
      </c>
      <c r="E426" s="205">
        <v>0.02</v>
      </c>
      <c r="F426" s="205">
        <v>2.0499999999999998</v>
      </c>
      <c r="G426" s="204" t="s">
        <v>862</v>
      </c>
      <c r="H426" s="204" t="s">
        <v>862</v>
      </c>
      <c r="I426" s="203" t="s">
        <v>862</v>
      </c>
      <c r="J426" s="198"/>
      <c r="K426" s="198"/>
      <c r="L426" s="198"/>
      <c r="M426" s="198"/>
      <c r="N426" s="198"/>
      <c r="O426" s="198"/>
      <c r="P426" s="198"/>
    </row>
    <row r="427" spans="3:16">
      <c r="C427" s="206" t="s">
        <v>869</v>
      </c>
      <c r="D427" s="205" t="s">
        <v>862</v>
      </c>
      <c r="E427" s="205">
        <v>0.02</v>
      </c>
      <c r="F427" s="205">
        <v>2.8</v>
      </c>
      <c r="G427" s="204" t="s">
        <v>862</v>
      </c>
      <c r="H427" s="204" t="s">
        <v>862</v>
      </c>
      <c r="I427" s="203" t="s">
        <v>862</v>
      </c>
      <c r="J427" s="198"/>
      <c r="K427" s="198"/>
      <c r="L427" s="198"/>
      <c r="M427" s="198"/>
      <c r="N427" s="198"/>
      <c r="O427" s="198"/>
      <c r="P427" s="198"/>
    </row>
    <row r="428" spans="3:16">
      <c r="C428" s="206" t="s">
        <v>870</v>
      </c>
      <c r="D428" s="205" t="s">
        <v>862</v>
      </c>
      <c r="E428" s="205">
        <v>0.02</v>
      </c>
      <c r="F428" s="205">
        <v>2.8</v>
      </c>
      <c r="G428" s="204" t="s">
        <v>862</v>
      </c>
      <c r="H428" s="204" t="s">
        <v>862</v>
      </c>
      <c r="I428" s="203" t="s">
        <v>862</v>
      </c>
      <c r="J428" s="198"/>
      <c r="K428" s="198"/>
      <c r="L428" s="198"/>
      <c r="M428" s="198"/>
      <c r="N428" s="198"/>
      <c r="O428" s="198"/>
      <c r="P428" s="198"/>
    </row>
    <row r="429" spans="3:16">
      <c r="C429" s="206" t="s">
        <v>871</v>
      </c>
      <c r="D429" s="205" t="s">
        <v>862</v>
      </c>
      <c r="E429" s="205">
        <v>0.02</v>
      </c>
      <c r="F429" s="205">
        <v>3.02</v>
      </c>
      <c r="G429" s="204" t="s">
        <v>862</v>
      </c>
      <c r="H429" s="204" t="s">
        <v>862</v>
      </c>
      <c r="I429" s="203" t="s">
        <v>862</v>
      </c>
      <c r="J429" s="198"/>
      <c r="K429" s="198"/>
      <c r="L429" s="198"/>
      <c r="M429" s="198"/>
      <c r="N429" s="198"/>
      <c r="O429" s="198"/>
      <c r="P429" s="198"/>
    </row>
    <row r="430" spans="3:16">
      <c r="C430" s="206" t="s">
        <v>872</v>
      </c>
      <c r="D430" s="205" t="s">
        <v>862</v>
      </c>
      <c r="E430" s="205">
        <v>0.02</v>
      </c>
      <c r="F430" s="205">
        <v>1.26</v>
      </c>
      <c r="G430" s="204" t="s">
        <v>862</v>
      </c>
      <c r="H430" s="204" t="s">
        <v>862</v>
      </c>
      <c r="I430" s="203" t="s">
        <v>862</v>
      </c>
      <c r="J430" s="198"/>
      <c r="K430" s="198"/>
      <c r="L430" s="198"/>
      <c r="M430" s="198"/>
      <c r="N430" s="198"/>
      <c r="O430" s="198"/>
      <c r="P430" s="198"/>
    </row>
    <row r="431" spans="3:16">
      <c r="C431" s="206" t="s">
        <v>873</v>
      </c>
      <c r="D431" s="205" t="s">
        <v>862</v>
      </c>
      <c r="E431" s="205">
        <v>0.02</v>
      </c>
      <c r="F431" s="205">
        <v>0.01</v>
      </c>
      <c r="G431" s="209">
        <v>0.17</v>
      </c>
      <c r="H431" s="204" t="s">
        <v>862</v>
      </c>
      <c r="I431" s="203" t="s">
        <v>862</v>
      </c>
      <c r="J431" s="198"/>
      <c r="K431" s="198"/>
      <c r="L431" s="198"/>
      <c r="M431" s="198"/>
      <c r="N431" s="198"/>
      <c r="O431" s="198"/>
      <c r="P431" s="198"/>
    </row>
    <row r="432" spans="3:16">
      <c r="C432" s="206" t="s">
        <v>874</v>
      </c>
      <c r="D432" s="205">
        <v>0.11</v>
      </c>
      <c r="E432" s="205">
        <v>0.9</v>
      </c>
      <c r="F432" s="205">
        <v>0.05</v>
      </c>
      <c r="G432" s="209" t="s">
        <v>862</v>
      </c>
      <c r="H432" s="204" t="s">
        <v>862</v>
      </c>
      <c r="I432" s="203" t="s">
        <v>862</v>
      </c>
      <c r="J432" s="198"/>
      <c r="K432" s="198"/>
      <c r="L432" s="198"/>
      <c r="M432" s="198"/>
      <c r="N432" s="198"/>
      <c r="O432" s="198"/>
      <c r="P432" s="198"/>
    </row>
    <row r="433" spans="3:16">
      <c r="C433" s="206" t="s">
        <v>875</v>
      </c>
      <c r="D433" s="205">
        <v>0.02</v>
      </c>
      <c r="E433" s="205">
        <v>0.42</v>
      </c>
      <c r="F433" s="205">
        <v>0.05</v>
      </c>
      <c r="G433" s="209" t="s">
        <v>862</v>
      </c>
      <c r="H433" s="204" t="s">
        <v>862</v>
      </c>
      <c r="I433" s="203" t="s">
        <v>862</v>
      </c>
      <c r="J433" s="198"/>
      <c r="K433" s="198"/>
      <c r="L433" s="198"/>
      <c r="M433" s="198"/>
      <c r="N433" s="198"/>
      <c r="O433" s="198"/>
      <c r="P433" s="198"/>
    </row>
    <row r="434" spans="3:16">
      <c r="C434" s="206" t="s">
        <v>876</v>
      </c>
      <c r="D434" s="205">
        <v>0.02</v>
      </c>
      <c r="E434" s="205">
        <v>0.35</v>
      </c>
      <c r="F434" s="205">
        <v>0.05</v>
      </c>
      <c r="G434" s="209" t="s">
        <v>862</v>
      </c>
      <c r="H434" s="204" t="s">
        <v>862</v>
      </c>
      <c r="I434" s="203" t="s">
        <v>862</v>
      </c>
      <c r="J434" s="198"/>
      <c r="K434" s="198"/>
      <c r="L434" s="198"/>
      <c r="M434" s="198"/>
      <c r="N434" s="198"/>
      <c r="O434" s="198"/>
      <c r="P434" s="198"/>
    </row>
    <row r="435" spans="3:16">
      <c r="C435" s="206" t="s">
        <v>877</v>
      </c>
      <c r="D435" s="205">
        <v>0.02</v>
      </c>
      <c r="E435" s="205">
        <v>1.25</v>
      </c>
      <c r="F435" s="205">
        <v>0.05</v>
      </c>
      <c r="G435" s="209" t="s">
        <v>862</v>
      </c>
      <c r="H435" s="204" t="s">
        <v>862</v>
      </c>
      <c r="I435" s="203" t="s">
        <v>862</v>
      </c>
      <c r="J435" s="198"/>
      <c r="K435" s="198"/>
      <c r="L435" s="198"/>
      <c r="M435" s="198"/>
      <c r="N435" s="198"/>
      <c r="O435" s="198"/>
      <c r="P435" s="198"/>
    </row>
    <row r="436" spans="3:16">
      <c r="C436" s="206" t="s">
        <v>878</v>
      </c>
      <c r="D436" s="205">
        <v>0.04</v>
      </c>
      <c r="E436" s="205">
        <v>0.35</v>
      </c>
      <c r="F436" s="205">
        <v>0.05</v>
      </c>
      <c r="G436" s="209" t="s">
        <v>862</v>
      </c>
      <c r="H436" s="204" t="s">
        <v>862</v>
      </c>
      <c r="I436" s="203" t="s">
        <v>862</v>
      </c>
      <c r="J436" s="198"/>
      <c r="K436" s="198"/>
      <c r="L436" s="198"/>
      <c r="M436" s="198"/>
      <c r="N436" s="198"/>
      <c r="O436" s="198"/>
      <c r="P436" s="198"/>
    </row>
    <row r="437" spans="3:16">
      <c r="C437" s="206" t="s">
        <v>879</v>
      </c>
      <c r="D437" s="205">
        <v>0.04</v>
      </c>
      <c r="E437" s="205">
        <v>1.25</v>
      </c>
      <c r="F437" s="205">
        <v>0.05</v>
      </c>
      <c r="G437" s="209" t="s">
        <v>862</v>
      </c>
      <c r="H437" s="204" t="s">
        <v>862</v>
      </c>
      <c r="I437" s="203" t="s">
        <v>862</v>
      </c>
      <c r="J437" s="198"/>
      <c r="K437" s="198"/>
      <c r="L437" s="198"/>
      <c r="M437" s="198"/>
      <c r="N437" s="198"/>
      <c r="O437" s="198"/>
      <c r="P437" s="198"/>
    </row>
    <row r="438" spans="3:16">
      <c r="C438" s="206" t="s">
        <v>880</v>
      </c>
      <c r="D438" s="205">
        <v>0.09</v>
      </c>
      <c r="E438" s="205">
        <v>0.17</v>
      </c>
      <c r="F438" s="205">
        <v>0.05</v>
      </c>
      <c r="G438" s="209" t="s">
        <v>862</v>
      </c>
      <c r="H438" s="204" t="s">
        <v>862</v>
      </c>
      <c r="I438" s="203" t="s">
        <v>862</v>
      </c>
      <c r="J438" s="198"/>
      <c r="K438" s="198"/>
      <c r="L438" s="198"/>
      <c r="M438" s="198"/>
      <c r="N438" s="198"/>
      <c r="O438" s="198"/>
      <c r="P438" s="198"/>
    </row>
    <row r="439" spans="3:16">
      <c r="C439" s="206" t="s">
        <v>881</v>
      </c>
      <c r="D439" s="205">
        <v>0.15</v>
      </c>
      <c r="E439" s="205">
        <v>7.0000000000000007E-2</v>
      </c>
      <c r="F439" s="205">
        <v>0.05</v>
      </c>
      <c r="G439" s="209" t="s">
        <v>862</v>
      </c>
      <c r="H439" s="204" t="s">
        <v>862</v>
      </c>
      <c r="I439" s="203" t="s">
        <v>862</v>
      </c>
      <c r="J439" s="198"/>
      <c r="K439" s="198"/>
      <c r="L439" s="198"/>
      <c r="M439" s="198"/>
      <c r="N439" s="198"/>
      <c r="O439" s="198"/>
      <c r="P439" s="198"/>
    </row>
    <row r="440" spans="3:16">
      <c r="C440" s="206" t="s">
        <v>882</v>
      </c>
      <c r="D440" s="205" t="s">
        <v>862</v>
      </c>
      <c r="E440" s="205">
        <v>0.57999999999999996</v>
      </c>
      <c r="F440" s="205">
        <v>0.05</v>
      </c>
      <c r="G440" s="209">
        <v>0.15</v>
      </c>
      <c r="H440" s="209">
        <v>0.14000000000000001</v>
      </c>
      <c r="I440" s="208">
        <v>0.11</v>
      </c>
      <c r="J440" s="198"/>
      <c r="K440" s="198"/>
      <c r="L440" s="198"/>
      <c r="M440" s="198"/>
      <c r="N440" s="198"/>
      <c r="O440" s="198"/>
      <c r="P440" s="198"/>
    </row>
    <row r="441" spans="3:16">
      <c r="C441" s="206" t="s">
        <v>883</v>
      </c>
      <c r="D441" s="205" t="s">
        <v>862</v>
      </c>
      <c r="E441" s="205">
        <v>0.57999999999999996</v>
      </c>
      <c r="F441" s="205">
        <v>0.05</v>
      </c>
      <c r="G441" s="209" t="s">
        <v>862</v>
      </c>
      <c r="H441" s="209">
        <v>0.14000000000000001</v>
      </c>
      <c r="I441" s="208">
        <v>0.11</v>
      </c>
      <c r="J441" s="198"/>
      <c r="K441" s="198"/>
      <c r="L441" s="198"/>
      <c r="M441" s="198"/>
      <c r="N441" s="198"/>
      <c r="O441" s="198"/>
      <c r="P441" s="198"/>
    </row>
    <row r="442" spans="3:16">
      <c r="C442" s="206" t="s">
        <v>884</v>
      </c>
      <c r="D442" s="205" t="s">
        <v>862</v>
      </c>
      <c r="E442" s="205">
        <v>0.57999999999999996</v>
      </c>
      <c r="F442" s="205">
        <v>0.05</v>
      </c>
      <c r="G442" s="209">
        <v>0.15</v>
      </c>
      <c r="H442" s="209">
        <v>0.14000000000000001</v>
      </c>
      <c r="I442" s="208">
        <v>0.11</v>
      </c>
      <c r="J442" s="198"/>
      <c r="K442" s="198"/>
      <c r="L442" s="198"/>
      <c r="M442" s="198"/>
      <c r="N442" s="198"/>
      <c r="O442" s="198"/>
      <c r="P442" s="198"/>
    </row>
    <row r="443" spans="3:16">
      <c r="C443" s="206" t="s">
        <v>885</v>
      </c>
      <c r="D443" s="205" t="s">
        <v>862</v>
      </c>
      <c r="E443" s="205">
        <v>0.57999999999999996</v>
      </c>
      <c r="F443" s="205">
        <v>0.05</v>
      </c>
      <c r="G443" s="209">
        <v>0.15</v>
      </c>
      <c r="H443" s="209">
        <v>0.14000000000000001</v>
      </c>
      <c r="I443" s="208">
        <v>0.11</v>
      </c>
      <c r="J443" s="198"/>
      <c r="K443" s="198"/>
      <c r="L443" s="198"/>
      <c r="M443" s="198"/>
      <c r="N443" s="198"/>
      <c r="O443" s="198"/>
      <c r="P443" s="198"/>
    </row>
    <row r="444" spans="3:16">
      <c r="C444" s="206" t="s">
        <v>886</v>
      </c>
      <c r="D444" s="205" t="s">
        <v>862</v>
      </c>
      <c r="E444" s="205">
        <v>0.57999999999999996</v>
      </c>
      <c r="F444" s="205">
        <v>0.05</v>
      </c>
      <c r="G444" s="209">
        <v>0.15</v>
      </c>
      <c r="H444" s="209">
        <v>0.14000000000000001</v>
      </c>
      <c r="I444" s="208">
        <v>0.11</v>
      </c>
      <c r="J444" s="198"/>
      <c r="K444" s="198"/>
      <c r="L444" s="198"/>
      <c r="M444" s="198"/>
      <c r="N444" s="198"/>
      <c r="O444" s="198"/>
      <c r="P444" s="198"/>
    </row>
    <row r="445" spans="3:16">
      <c r="C445" s="206" t="s">
        <v>887</v>
      </c>
      <c r="D445" s="205" t="s">
        <v>862</v>
      </c>
      <c r="E445" s="205">
        <v>0.57999999999999996</v>
      </c>
      <c r="F445" s="205">
        <v>0.05</v>
      </c>
      <c r="G445" s="209">
        <v>0.15</v>
      </c>
      <c r="H445" s="209">
        <v>0.14000000000000001</v>
      </c>
      <c r="I445" s="208">
        <v>0.11</v>
      </c>
      <c r="J445" s="198"/>
      <c r="K445" s="198"/>
      <c r="L445" s="198"/>
      <c r="M445" s="198"/>
      <c r="N445" s="198"/>
      <c r="O445" s="198"/>
      <c r="P445" s="198"/>
    </row>
    <row r="446" spans="3:16">
      <c r="C446" s="206" t="s">
        <v>888</v>
      </c>
      <c r="D446" s="205" t="s">
        <v>862</v>
      </c>
      <c r="E446" s="205">
        <v>0.57999999999999996</v>
      </c>
      <c r="F446" s="205">
        <v>0.05</v>
      </c>
      <c r="G446" s="209">
        <v>0.15</v>
      </c>
      <c r="H446" s="209">
        <v>0.14000000000000001</v>
      </c>
      <c r="I446" s="208">
        <v>0.11</v>
      </c>
      <c r="J446" s="198"/>
      <c r="K446" s="198"/>
      <c r="L446" s="198"/>
      <c r="M446" s="198"/>
      <c r="N446" s="198"/>
      <c r="O446" s="198"/>
      <c r="P446" s="198"/>
    </row>
    <row r="447" spans="3:16">
      <c r="C447" s="206" t="s">
        <v>889</v>
      </c>
      <c r="D447" s="205" t="s">
        <v>862</v>
      </c>
      <c r="E447" s="205">
        <v>0.57999999999999996</v>
      </c>
      <c r="F447" s="205">
        <v>0.05</v>
      </c>
      <c r="G447" s="209">
        <v>0.15</v>
      </c>
      <c r="H447" s="209">
        <v>0.14000000000000001</v>
      </c>
      <c r="I447" s="208">
        <v>0.11</v>
      </c>
      <c r="J447" s="198"/>
      <c r="K447" s="198"/>
      <c r="L447" s="198"/>
      <c r="M447" s="198"/>
      <c r="N447" s="198"/>
      <c r="O447" s="198"/>
      <c r="P447" s="198"/>
    </row>
    <row r="448" spans="3:16">
      <c r="C448" s="206" t="s">
        <v>890</v>
      </c>
      <c r="D448" s="205" t="s">
        <v>862</v>
      </c>
      <c r="E448" s="205">
        <v>0.33</v>
      </c>
      <c r="F448" s="205">
        <v>0.05</v>
      </c>
      <c r="G448" s="209">
        <v>0.19</v>
      </c>
      <c r="H448" s="209">
        <v>0.11</v>
      </c>
      <c r="I448" s="208" t="s">
        <v>862</v>
      </c>
      <c r="J448" s="198"/>
      <c r="K448" s="198"/>
      <c r="L448" s="198"/>
      <c r="M448" s="198"/>
      <c r="N448" s="198"/>
      <c r="O448" s="198"/>
      <c r="P448" s="198"/>
    </row>
    <row r="449" spans="3:16">
      <c r="C449" s="206" t="s">
        <v>891</v>
      </c>
      <c r="D449" s="205" t="s">
        <v>862</v>
      </c>
      <c r="E449" s="205">
        <v>0.26</v>
      </c>
      <c r="F449" s="205">
        <v>0.05</v>
      </c>
      <c r="G449" s="209">
        <v>0.19</v>
      </c>
      <c r="H449" s="209">
        <v>0.09</v>
      </c>
      <c r="I449" s="208" t="s">
        <v>862</v>
      </c>
      <c r="J449" s="198"/>
      <c r="K449" s="198"/>
      <c r="L449" s="198"/>
      <c r="M449" s="198"/>
      <c r="N449" s="198"/>
      <c r="O449" s="198"/>
      <c r="P449" s="198"/>
    </row>
    <row r="450" spans="3:16">
      <c r="C450" s="206" t="s">
        <v>892</v>
      </c>
      <c r="D450" s="205" t="s">
        <v>862</v>
      </c>
      <c r="E450" s="205">
        <v>0.26</v>
      </c>
      <c r="F450" s="205">
        <v>0.05</v>
      </c>
      <c r="G450" s="209">
        <v>0.19</v>
      </c>
      <c r="H450" s="209">
        <v>0.13</v>
      </c>
      <c r="I450" s="208" t="s">
        <v>862</v>
      </c>
      <c r="J450" s="198"/>
      <c r="K450" s="198"/>
      <c r="L450" s="198"/>
      <c r="M450" s="198"/>
      <c r="N450" s="198"/>
      <c r="O450" s="198"/>
      <c r="P450" s="198"/>
    </row>
    <row r="451" spans="3:16">
      <c r="C451" s="206" t="s">
        <v>893</v>
      </c>
      <c r="D451" s="205" t="s">
        <v>862</v>
      </c>
      <c r="E451" s="205">
        <v>0.53</v>
      </c>
      <c r="F451" s="205">
        <v>0.05</v>
      </c>
      <c r="G451" s="209">
        <v>0.19</v>
      </c>
      <c r="H451" s="209">
        <v>0.16</v>
      </c>
      <c r="I451" s="208" t="s">
        <v>862</v>
      </c>
      <c r="J451" s="198"/>
      <c r="K451" s="198"/>
      <c r="L451" s="198"/>
      <c r="M451" s="198"/>
      <c r="N451" s="198"/>
      <c r="O451" s="198"/>
      <c r="P451" s="198"/>
    </row>
    <row r="452" spans="3:16">
      <c r="C452" s="206" t="s">
        <v>894</v>
      </c>
      <c r="D452" s="205">
        <v>7.0000000000000007E-2</v>
      </c>
      <c r="E452" s="205">
        <v>0.8</v>
      </c>
      <c r="F452" s="205">
        <v>0.05</v>
      </c>
      <c r="G452" s="209" t="s">
        <v>862</v>
      </c>
      <c r="H452" s="209" t="s">
        <v>862</v>
      </c>
      <c r="I452" s="208" t="s">
        <v>862</v>
      </c>
      <c r="J452" s="198"/>
      <c r="K452" s="198"/>
      <c r="L452" s="198"/>
      <c r="M452" s="198"/>
      <c r="N452" s="198"/>
      <c r="O452" s="198"/>
      <c r="P452" s="198"/>
    </row>
    <row r="453" spans="3:16">
      <c r="C453" s="206" t="s">
        <v>895</v>
      </c>
      <c r="D453" s="205">
        <v>7.0000000000000007E-2</v>
      </c>
      <c r="E453" s="205">
        <v>0.77</v>
      </c>
      <c r="F453" s="205">
        <v>0.05</v>
      </c>
      <c r="G453" s="209" t="s">
        <v>862</v>
      </c>
      <c r="H453" s="209" t="s">
        <v>862</v>
      </c>
      <c r="I453" s="208" t="s">
        <v>862</v>
      </c>
      <c r="J453" s="198"/>
      <c r="K453" s="198"/>
      <c r="L453" s="198"/>
      <c r="M453" s="198"/>
      <c r="N453" s="198"/>
      <c r="O453" s="198"/>
      <c r="P453" s="198"/>
    </row>
    <row r="454" spans="3:16">
      <c r="C454" s="206" t="s">
        <v>896</v>
      </c>
      <c r="D454" s="205">
        <v>0.03</v>
      </c>
      <c r="E454" s="205">
        <v>0.75</v>
      </c>
      <c r="F454" s="205">
        <v>0.05</v>
      </c>
      <c r="G454" s="209" t="s">
        <v>862</v>
      </c>
      <c r="H454" s="209" t="s">
        <v>862</v>
      </c>
      <c r="I454" s="208" t="s">
        <v>862</v>
      </c>
      <c r="J454" s="198"/>
      <c r="K454" s="198"/>
      <c r="L454" s="198"/>
      <c r="M454" s="198"/>
      <c r="N454" s="198"/>
      <c r="O454" s="198"/>
      <c r="P454" s="198"/>
    </row>
    <row r="455" spans="3:16">
      <c r="C455" s="206" t="s">
        <v>897</v>
      </c>
      <c r="D455" s="205">
        <v>0.23</v>
      </c>
      <c r="E455" s="205">
        <v>0.02</v>
      </c>
      <c r="F455" s="205">
        <v>0.01</v>
      </c>
      <c r="G455" s="209" t="s">
        <v>862</v>
      </c>
      <c r="H455" s="209" t="s">
        <v>862</v>
      </c>
      <c r="I455" s="208" t="s">
        <v>862</v>
      </c>
      <c r="J455" s="198"/>
      <c r="K455" s="198"/>
      <c r="L455" s="198"/>
      <c r="M455" s="198"/>
      <c r="N455" s="198"/>
      <c r="O455" s="198"/>
      <c r="P455" s="198"/>
    </row>
    <row r="456" spans="3:16">
      <c r="C456" s="206" t="s">
        <v>898</v>
      </c>
      <c r="D456" s="205">
        <v>0.22</v>
      </c>
      <c r="E456" s="205">
        <v>0.02</v>
      </c>
      <c r="F456" s="205">
        <v>2.34</v>
      </c>
      <c r="G456" s="209" t="s">
        <v>862</v>
      </c>
      <c r="H456" s="209" t="s">
        <v>862</v>
      </c>
      <c r="I456" s="208" t="s">
        <v>862</v>
      </c>
      <c r="J456" s="198"/>
      <c r="K456" s="198"/>
      <c r="L456" s="198"/>
      <c r="M456" s="198"/>
      <c r="N456" s="198"/>
      <c r="O456" s="198"/>
      <c r="P456" s="198"/>
    </row>
    <row r="457" spans="3:16">
      <c r="C457" s="206" t="s">
        <v>899</v>
      </c>
      <c r="D457" s="205">
        <v>0.09</v>
      </c>
      <c r="E457" s="205">
        <v>0.68</v>
      </c>
      <c r="F457" s="205">
        <v>0.11</v>
      </c>
      <c r="G457" s="209" t="s">
        <v>862</v>
      </c>
      <c r="H457" s="209" t="s">
        <v>862</v>
      </c>
      <c r="I457" s="208" t="s">
        <v>862</v>
      </c>
      <c r="J457" s="198"/>
      <c r="K457" s="198"/>
      <c r="L457" s="198"/>
      <c r="M457" s="198"/>
      <c r="N457" s="198"/>
      <c r="O457" s="198"/>
      <c r="P457" s="198"/>
    </row>
    <row r="458" spans="3:16">
      <c r="C458" s="206" t="s">
        <v>900</v>
      </c>
      <c r="D458" s="205" t="s">
        <v>862</v>
      </c>
      <c r="E458" s="205">
        <v>0.57999999999999996</v>
      </c>
      <c r="F458" s="205">
        <v>0.05</v>
      </c>
      <c r="G458" s="209">
        <v>0.15</v>
      </c>
      <c r="H458" s="209" t="s">
        <v>862</v>
      </c>
      <c r="I458" s="208" t="s">
        <v>862</v>
      </c>
      <c r="J458" s="198"/>
      <c r="K458" s="198"/>
      <c r="L458" s="198"/>
      <c r="M458" s="198"/>
      <c r="N458" s="198"/>
      <c r="O458" s="198"/>
      <c r="P458" s="198"/>
    </row>
    <row r="459" spans="3:16">
      <c r="C459" s="206" t="s">
        <v>901</v>
      </c>
      <c r="D459" s="205" t="s">
        <v>862</v>
      </c>
      <c r="E459" s="205">
        <v>0.48</v>
      </c>
      <c r="F459" s="205">
        <v>0.05</v>
      </c>
      <c r="G459" s="209">
        <v>0.17</v>
      </c>
      <c r="H459" s="209" t="s">
        <v>862</v>
      </c>
      <c r="I459" s="208" t="s">
        <v>862</v>
      </c>
      <c r="J459" s="198"/>
      <c r="K459" s="198"/>
      <c r="L459" s="198"/>
      <c r="M459" s="198"/>
      <c r="N459" s="198"/>
      <c r="O459" s="198"/>
      <c r="P459" s="198"/>
    </row>
    <row r="460" spans="3:16">
      <c r="C460" s="206" t="s">
        <v>902</v>
      </c>
      <c r="D460" s="205" t="s">
        <v>862</v>
      </c>
      <c r="E460" s="205">
        <v>0.52</v>
      </c>
      <c r="F460" s="205">
        <v>0.43</v>
      </c>
      <c r="G460" s="209" t="s">
        <v>862</v>
      </c>
      <c r="H460" s="209" t="s">
        <v>862</v>
      </c>
      <c r="I460" s="208" t="s">
        <v>862</v>
      </c>
      <c r="J460" s="198"/>
      <c r="K460" s="198"/>
      <c r="L460" s="198"/>
      <c r="M460" s="198"/>
      <c r="N460" s="198"/>
      <c r="O460" s="198"/>
      <c r="P460" s="198"/>
    </row>
    <row r="461" spans="3:16">
      <c r="C461" s="206" t="s">
        <v>903</v>
      </c>
      <c r="D461" s="205" t="s">
        <v>862</v>
      </c>
      <c r="E461" s="205">
        <v>0.02</v>
      </c>
      <c r="F461" s="205">
        <v>1.68</v>
      </c>
      <c r="G461" s="204" t="s">
        <v>862</v>
      </c>
      <c r="H461" s="204" t="s">
        <v>862</v>
      </c>
      <c r="I461" s="203" t="s">
        <v>862</v>
      </c>
      <c r="J461" s="198"/>
      <c r="K461" s="198"/>
      <c r="L461" s="198"/>
      <c r="M461" s="198"/>
      <c r="N461" s="198"/>
      <c r="O461" s="198"/>
      <c r="P461" s="198"/>
    </row>
    <row r="462" spans="3:16">
      <c r="C462" s="206" t="s">
        <v>904</v>
      </c>
      <c r="D462" s="205" t="s">
        <v>862</v>
      </c>
      <c r="E462" s="205">
        <v>0.02</v>
      </c>
      <c r="F462" s="205">
        <v>0.4</v>
      </c>
      <c r="G462" s="204" t="s">
        <v>862</v>
      </c>
      <c r="H462" s="204" t="s">
        <v>862</v>
      </c>
      <c r="I462" s="203" t="s">
        <v>862</v>
      </c>
      <c r="J462" s="198"/>
      <c r="K462" s="198"/>
      <c r="L462" s="198"/>
      <c r="M462" s="198"/>
      <c r="N462" s="198"/>
      <c r="O462" s="198"/>
      <c r="P462" s="198"/>
    </row>
    <row r="463" spans="3:16">
      <c r="C463" s="206" t="s">
        <v>905</v>
      </c>
      <c r="D463" s="205" t="s">
        <v>862</v>
      </c>
      <c r="E463" s="205">
        <v>0.02</v>
      </c>
      <c r="F463" s="205">
        <v>0.89</v>
      </c>
      <c r="G463" s="204" t="s">
        <v>862</v>
      </c>
      <c r="H463" s="204" t="s">
        <v>862</v>
      </c>
      <c r="I463" s="203" t="s">
        <v>862</v>
      </c>
      <c r="J463" s="198"/>
      <c r="K463" s="198"/>
      <c r="L463" s="198"/>
      <c r="M463" s="198"/>
      <c r="N463" s="198"/>
      <c r="O463" s="198"/>
      <c r="P463" s="198"/>
    </row>
    <row r="464" spans="3:16">
      <c r="C464" s="206" t="s">
        <v>906</v>
      </c>
      <c r="D464" s="205" t="s">
        <v>862</v>
      </c>
      <c r="E464" s="205">
        <v>0.02</v>
      </c>
      <c r="F464" s="205">
        <v>0.74</v>
      </c>
      <c r="G464" s="204" t="s">
        <v>862</v>
      </c>
      <c r="H464" s="204" t="s">
        <v>862</v>
      </c>
      <c r="I464" s="203" t="s">
        <v>862</v>
      </c>
      <c r="J464" s="198"/>
      <c r="K464" s="198"/>
      <c r="L464" s="198"/>
      <c r="M464" s="198"/>
      <c r="N464" s="198"/>
      <c r="O464" s="198"/>
      <c r="P464" s="198"/>
    </row>
    <row r="465" spans="1:27">
      <c r="C465" s="206" t="s">
        <v>907</v>
      </c>
      <c r="D465" s="205" t="s">
        <v>862</v>
      </c>
      <c r="E465" s="205">
        <v>0.02</v>
      </c>
      <c r="F465" s="205">
        <v>0.64</v>
      </c>
      <c r="G465" s="204" t="s">
        <v>862</v>
      </c>
      <c r="H465" s="204" t="s">
        <v>862</v>
      </c>
      <c r="I465" s="203" t="s">
        <v>862</v>
      </c>
      <c r="J465" s="198"/>
      <c r="K465" s="198"/>
      <c r="L465" s="198"/>
      <c r="M465" s="198"/>
      <c r="N465" s="198"/>
      <c r="O465" s="198"/>
      <c r="P465" s="198"/>
    </row>
    <row r="466" spans="1:27">
      <c r="C466" s="206" t="s">
        <v>908</v>
      </c>
      <c r="D466" s="205" t="s">
        <v>862</v>
      </c>
      <c r="E466" s="205">
        <v>0.02</v>
      </c>
      <c r="F466" s="205">
        <v>2.23</v>
      </c>
      <c r="G466" s="204" t="s">
        <v>862</v>
      </c>
      <c r="H466" s="204" t="s">
        <v>862</v>
      </c>
      <c r="I466" s="203" t="s">
        <v>862</v>
      </c>
      <c r="J466" s="198"/>
      <c r="K466" s="198"/>
      <c r="L466" s="198"/>
      <c r="M466" s="198"/>
      <c r="N466" s="198"/>
      <c r="O466" s="198"/>
      <c r="P466" s="198"/>
    </row>
    <row r="467" spans="1:27">
      <c r="C467" s="206" t="s">
        <v>909</v>
      </c>
      <c r="D467" s="205" t="s">
        <v>862</v>
      </c>
      <c r="E467" s="205">
        <v>0.02</v>
      </c>
      <c r="F467" s="205">
        <v>1.92</v>
      </c>
      <c r="G467" s="204" t="s">
        <v>862</v>
      </c>
      <c r="H467" s="204" t="s">
        <v>862</v>
      </c>
      <c r="I467" s="203" t="s">
        <v>862</v>
      </c>
      <c r="J467" s="198"/>
      <c r="K467" s="198"/>
      <c r="L467" s="198"/>
      <c r="M467" s="198"/>
      <c r="N467" s="198"/>
      <c r="O467" s="198"/>
      <c r="P467" s="198"/>
    </row>
    <row r="468" spans="1:27">
      <c r="C468" s="206" t="s">
        <v>910</v>
      </c>
      <c r="D468" s="205" t="s">
        <v>862</v>
      </c>
      <c r="E468" s="205">
        <v>0.02</v>
      </c>
      <c r="F468" s="205">
        <v>0.87</v>
      </c>
      <c r="G468" s="204" t="s">
        <v>862</v>
      </c>
      <c r="H468" s="204" t="s">
        <v>862</v>
      </c>
      <c r="I468" s="203" t="s">
        <v>862</v>
      </c>
      <c r="J468" s="198"/>
      <c r="K468" s="198"/>
      <c r="L468" s="198"/>
      <c r="M468" s="198"/>
      <c r="N468" s="198"/>
      <c r="O468" s="198"/>
      <c r="P468" s="198"/>
    </row>
    <row r="469" spans="1:27">
      <c r="C469" s="206" t="s">
        <v>911</v>
      </c>
      <c r="D469" s="205" t="s">
        <v>862</v>
      </c>
      <c r="E469" s="205">
        <v>0.02</v>
      </c>
      <c r="F469" s="205" t="s">
        <v>862</v>
      </c>
      <c r="G469" s="204" t="s">
        <v>862</v>
      </c>
      <c r="H469" s="204" t="s">
        <v>862</v>
      </c>
      <c r="I469" s="203" t="s">
        <v>862</v>
      </c>
      <c r="J469" s="198"/>
      <c r="K469" s="198"/>
      <c r="L469" s="198"/>
      <c r="M469" s="198"/>
      <c r="N469" s="198"/>
      <c r="O469" s="198"/>
      <c r="P469" s="198"/>
    </row>
    <row r="470" spans="1:27">
      <c r="C470" s="206" t="s">
        <v>912</v>
      </c>
      <c r="D470" s="205">
        <v>0.01</v>
      </c>
      <c r="E470" s="205">
        <v>0.02</v>
      </c>
      <c r="F470" s="205" t="s">
        <v>862</v>
      </c>
      <c r="G470" s="204" t="s">
        <v>862</v>
      </c>
      <c r="H470" s="204" t="s">
        <v>862</v>
      </c>
      <c r="I470" s="203" t="s">
        <v>862</v>
      </c>
      <c r="J470" s="198"/>
      <c r="K470" s="198"/>
      <c r="L470" s="198"/>
      <c r="M470" s="198"/>
      <c r="N470" s="198"/>
      <c r="O470" s="198"/>
      <c r="P470" s="198"/>
    </row>
    <row r="471" spans="1:27">
      <c r="C471" s="206" t="s">
        <v>913</v>
      </c>
      <c r="D471" s="205">
        <v>0.01</v>
      </c>
      <c r="E471" s="205">
        <v>0.02</v>
      </c>
      <c r="F471" s="205" t="s">
        <v>862</v>
      </c>
      <c r="G471" s="204" t="s">
        <v>862</v>
      </c>
      <c r="H471" s="204" t="s">
        <v>862</v>
      </c>
      <c r="I471" s="203" t="s">
        <v>862</v>
      </c>
      <c r="J471" s="198"/>
      <c r="K471" s="198"/>
      <c r="L471" s="198"/>
      <c r="M471" s="198"/>
      <c r="N471" s="198"/>
      <c r="O471" s="198"/>
      <c r="P471" s="198"/>
    </row>
    <row r="472" spans="1:27">
      <c r="C472" s="206" t="s">
        <v>556</v>
      </c>
      <c r="D472" s="205">
        <v>0.1</v>
      </c>
      <c r="E472" s="205">
        <v>0.02</v>
      </c>
      <c r="F472" s="205">
        <v>2.21</v>
      </c>
      <c r="G472" s="204" t="s">
        <v>862</v>
      </c>
      <c r="H472" s="204" t="s">
        <v>862</v>
      </c>
      <c r="I472" s="203" t="s">
        <v>862</v>
      </c>
      <c r="J472" s="198"/>
      <c r="K472" s="198"/>
      <c r="L472" s="198"/>
      <c r="M472" s="198"/>
      <c r="N472" s="198"/>
      <c r="O472" s="198"/>
      <c r="P472" s="198"/>
    </row>
    <row r="473" spans="1:27">
      <c r="C473" s="206" t="s">
        <v>914</v>
      </c>
      <c r="D473" s="207" t="s">
        <v>707</v>
      </c>
      <c r="E473" s="205">
        <v>0.02</v>
      </c>
      <c r="F473" s="205" t="s">
        <v>862</v>
      </c>
      <c r="G473" s="204" t="s">
        <v>862</v>
      </c>
      <c r="H473" s="204" t="s">
        <v>862</v>
      </c>
      <c r="I473" s="203" t="s">
        <v>862</v>
      </c>
      <c r="J473" s="198"/>
      <c r="K473" s="198"/>
      <c r="L473" s="198"/>
      <c r="M473" s="198"/>
      <c r="N473" s="198"/>
      <c r="O473" s="198"/>
      <c r="P473" s="198"/>
    </row>
    <row r="474" spans="1:27">
      <c r="C474" s="206" t="s">
        <v>915</v>
      </c>
      <c r="D474" s="205">
        <v>0.03</v>
      </c>
      <c r="E474" s="205">
        <v>0.02</v>
      </c>
      <c r="F474" s="205">
        <v>0.7</v>
      </c>
      <c r="G474" s="204" t="s">
        <v>862</v>
      </c>
      <c r="H474" s="204" t="s">
        <v>862</v>
      </c>
      <c r="I474" s="203" t="s">
        <v>862</v>
      </c>
      <c r="J474" s="198"/>
      <c r="K474" s="198"/>
      <c r="L474" s="198"/>
      <c r="M474" s="198"/>
      <c r="N474" s="198"/>
      <c r="O474" s="198"/>
      <c r="P474" s="198"/>
    </row>
    <row r="475" spans="1:27">
      <c r="C475" s="206" t="s">
        <v>916</v>
      </c>
      <c r="D475" s="205" t="s">
        <v>862</v>
      </c>
      <c r="E475" s="205">
        <v>0.02</v>
      </c>
      <c r="F475" s="205" t="s">
        <v>862</v>
      </c>
      <c r="G475" s="204" t="s">
        <v>862</v>
      </c>
      <c r="H475" s="204" t="s">
        <v>862</v>
      </c>
      <c r="I475" s="203" t="s">
        <v>862</v>
      </c>
      <c r="J475" s="198"/>
      <c r="K475" s="198"/>
      <c r="L475" s="198"/>
      <c r="M475" s="198"/>
      <c r="N475" s="198"/>
      <c r="O475" s="198"/>
      <c r="P475" s="198"/>
    </row>
    <row r="476" spans="1:27">
      <c r="C476" s="206" t="s">
        <v>917</v>
      </c>
      <c r="D476" s="205">
        <v>0.05</v>
      </c>
      <c r="E476" s="205">
        <v>0.02</v>
      </c>
      <c r="F476" s="205" t="s">
        <v>862</v>
      </c>
      <c r="G476" s="204" t="s">
        <v>862</v>
      </c>
      <c r="H476" s="204" t="s">
        <v>862</v>
      </c>
      <c r="I476" s="203" t="s">
        <v>862</v>
      </c>
      <c r="J476" s="198"/>
      <c r="K476" s="198"/>
      <c r="L476" s="198"/>
      <c r="M476" s="198"/>
      <c r="N476" s="198"/>
      <c r="O476" s="198"/>
      <c r="P476" s="198"/>
    </row>
    <row r="477" spans="1:27">
      <c r="C477" s="206" t="s">
        <v>918</v>
      </c>
      <c r="D477" s="205" t="s">
        <v>862</v>
      </c>
      <c r="E477" s="205">
        <v>0.02</v>
      </c>
      <c r="F477" s="205">
        <v>0.28999999999999998</v>
      </c>
      <c r="G477" s="204" t="s">
        <v>862</v>
      </c>
      <c r="H477" s="204" t="s">
        <v>862</v>
      </c>
      <c r="I477" s="203" t="s">
        <v>862</v>
      </c>
      <c r="J477" s="198"/>
      <c r="K477" s="198"/>
      <c r="L477" s="198"/>
      <c r="M477" s="198"/>
      <c r="N477" s="198"/>
      <c r="O477" s="198"/>
      <c r="P477" s="198"/>
    </row>
    <row r="478" spans="1:27" ht="14" thickBot="1">
      <c r="C478" s="202" t="s">
        <v>919</v>
      </c>
      <c r="D478" s="201" t="s">
        <v>862</v>
      </c>
      <c r="E478" s="201">
        <v>0.18</v>
      </c>
      <c r="F478" s="201">
        <v>0.08</v>
      </c>
      <c r="G478" s="200" t="s">
        <v>862</v>
      </c>
      <c r="H478" s="200" t="s">
        <v>862</v>
      </c>
      <c r="I478" s="199" t="s">
        <v>862</v>
      </c>
      <c r="J478" s="198"/>
      <c r="K478" s="198"/>
      <c r="L478" s="198"/>
      <c r="M478" s="198"/>
      <c r="N478" s="198"/>
      <c r="O478" s="198"/>
      <c r="P478" s="198"/>
    </row>
    <row r="479" spans="1:27" ht="27" customHeight="1">
      <c r="A479" s="108"/>
      <c r="B479" s="151"/>
      <c r="C479" s="2158" t="s">
        <v>920</v>
      </c>
      <c r="D479" s="2158"/>
      <c r="E479" s="2158"/>
      <c r="F479" s="2158"/>
      <c r="G479" s="2158"/>
      <c r="H479" s="2158"/>
      <c r="I479" s="2158"/>
      <c r="J479" s="2158"/>
      <c r="K479" s="2158"/>
      <c r="L479" s="2158"/>
      <c r="M479" s="108"/>
      <c r="N479" s="108"/>
      <c r="P479" s="108"/>
      <c r="Q479" s="108"/>
      <c r="R479" s="108"/>
      <c r="S479" s="108"/>
      <c r="T479" s="108"/>
      <c r="U479" s="108"/>
      <c r="V479" s="108"/>
      <c r="W479" s="108"/>
      <c r="X479" s="108"/>
      <c r="Y479" s="108"/>
      <c r="Z479" s="108"/>
      <c r="AA479" s="108"/>
    </row>
    <row r="480" spans="1:27" ht="84" customHeight="1">
      <c r="A480" s="108"/>
      <c r="B480" s="151"/>
      <c r="C480" s="2144" t="s">
        <v>921</v>
      </c>
      <c r="D480" s="2144"/>
      <c r="E480" s="2144"/>
      <c r="F480" s="2144"/>
      <c r="G480" s="2144"/>
      <c r="H480" s="2144"/>
      <c r="I480" s="2144"/>
      <c r="J480" s="2144"/>
      <c r="K480" s="2144"/>
      <c r="L480" s="2144"/>
      <c r="M480" s="108"/>
      <c r="N480" s="108"/>
      <c r="P480" s="108"/>
      <c r="Q480" s="108"/>
      <c r="R480" s="108"/>
      <c r="S480" s="108"/>
      <c r="T480" s="108"/>
      <c r="U480" s="108"/>
      <c r="V480" s="108"/>
      <c r="W480" s="108"/>
      <c r="X480" s="108"/>
      <c r="Y480" s="108"/>
      <c r="Z480" s="108"/>
      <c r="AA480" s="108"/>
    </row>
    <row r="481" spans="1:27">
      <c r="A481" s="108"/>
      <c r="B481" s="151"/>
      <c r="C481" s="108"/>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8"/>
      <c r="Z481" s="108"/>
      <c r="AA481" s="108"/>
    </row>
    <row r="482" spans="1:27" ht="15.5" customHeight="1">
      <c r="A482" s="108"/>
      <c r="B482" s="141" t="s">
        <v>922</v>
      </c>
      <c r="C482" s="196" t="s">
        <v>923</v>
      </c>
      <c r="D482" s="195"/>
      <c r="E482" s="195"/>
      <c r="F482" s="195"/>
      <c r="G482" s="195"/>
      <c r="H482" s="139"/>
      <c r="I482" s="139"/>
      <c r="J482" s="139"/>
      <c r="K482" s="139"/>
      <c r="L482" s="138"/>
      <c r="M482" s="108"/>
      <c r="N482" s="108"/>
      <c r="O482" s="108"/>
      <c r="P482" s="108"/>
      <c r="Q482" s="108"/>
      <c r="R482" s="108"/>
      <c r="S482" s="108"/>
      <c r="T482" s="108"/>
      <c r="U482" s="108"/>
      <c r="V482" s="108"/>
      <c r="W482" s="108"/>
      <c r="X482" s="108"/>
      <c r="Y482" s="108"/>
      <c r="Z482" s="108"/>
      <c r="AA482" s="108"/>
    </row>
    <row r="483" spans="1:27" s="103" customFormat="1" ht="25.5" customHeight="1" thickBot="1">
      <c r="A483" s="104"/>
      <c r="B483" s="194"/>
      <c r="C483" s="2167" t="s">
        <v>924</v>
      </c>
      <c r="D483" s="2167"/>
      <c r="E483" s="2167"/>
      <c r="F483" s="2167"/>
      <c r="G483" s="2167"/>
      <c r="H483" s="2167"/>
      <c r="I483" s="2167"/>
      <c r="J483" s="2167"/>
      <c r="K483" s="2167"/>
      <c r="L483" s="104"/>
      <c r="M483" s="104"/>
      <c r="N483" s="104"/>
      <c r="O483" s="104"/>
      <c r="P483" s="104"/>
      <c r="Q483" s="104"/>
      <c r="R483" s="104"/>
      <c r="S483" s="104"/>
      <c r="T483" s="104"/>
      <c r="U483" s="104"/>
      <c r="V483" s="104"/>
      <c r="W483" s="104"/>
      <c r="X483" s="104"/>
      <c r="Y483" s="104"/>
      <c r="Z483" s="104"/>
      <c r="AA483" s="104"/>
    </row>
    <row r="484" spans="1:27" ht="31" thickBot="1">
      <c r="A484" s="108"/>
      <c r="B484" s="151"/>
      <c r="C484" s="193" t="s">
        <v>638</v>
      </c>
      <c r="D484" s="192" t="s">
        <v>837</v>
      </c>
      <c r="E484" s="192" t="s">
        <v>838</v>
      </c>
      <c r="F484" s="192" t="s">
        <v>839</v>
      </c>
      <c r="G484" s="191" t="s">
        <v>840</v>
      </c>
      <c r="H484" s="130"/>
      <c r="I484" s="156"/>
      <c r="J484" s="108"/>
      <c r="K484" s="108"/>
      <c r="L484" s="108"/>
      <c r="M484" s="108"/>
      <c r="N484" s="108"/>
      <c r="O484" s="108"/>
      <c r="P484" s="108"/>
      <c r="Q484" s="108"/>
      <c r="R484" s="108"/>
      <c r="S484" s="108"/>
      <c r="T484" s="108"/>
      <c r="U484" s="108"/>
      <c r="V484" s="108"/>
      <c r="W484" s="108"/>
      <c r="X484" s="108"/>
      <c r="Y484" s="108"/>
      <c r="Z484" s="108"/>
      <c r="AA484" s="108"/>
    </row>
    <row r="485" spans="1:27" ht="15">
      <c r="A485" s="108"/>
      <c r="B485" s="151"/>
      <c r="C485" s="190" t="s">
        <v>843</v>
      </c>
      <c r="D485" s="189">
        <v>0.313</v>
      </c>
      <c r="E485" s="189">
        <v>8.0000000000000002E-3</v>
      </c>
      <c r="F485" s="188">
        <v>7.0000000000000001E-3</v>
      </c>
      <c r="G485" s="187" t="s">
        <v>842</v>
      </c>
      <c r="H485" s="186"/>
      <c r="I485" s="156"/>
      <c r="J485" s="156"/>
      <c r="K485" s="108"/>
      <c r="L485" s="108"/>
      <c r="M485" s="108"/>
      <c r="N485" s="108"/>
      <c r="O485" s="108"/>
      <c r="P485" s="108"/>
      <c r="Q485" s="108"/>
      <c r="R485" s="108"/>
      <c r="S485" s="108"/>
      <c r="T485" s="108"/>
      <c r="U485" s="108"/>
      <c r="V485" s="108"/>
      <c r="W485" s="108"/>
      <c r="X485" s="108"/>
      <c r="Y485" s="108"/>
      <c r="Z485" s="108"/>
      <c r="AA485" s="108"/>
    </row>
    <row r="486" spans="1:27" ht="15">
      <c r="A486" s="108"/>
      <c r="B486" s="151"/>
      <c r="C486" s="167" t="s">
        <v>844</v>
      </c>
      <c r="D486" s="170">
        <v>0.46700000000000003</v>
      </c>
      <c r="E486" s="170">
        <v>1.2999999999999999E-2</v>
      </c>
      <c r="F486" s="170">
        <v>1.2E-2</v>
      </c>
      <c r="G486" s="162" t="s">
        <v>842</v>
      </c>
      <c r="H486" s="156"/>
      <c r="I486" s="156"/>
      <c r="J486" s="156"/>
      <c r="K486" s="108"/>
      <c r="L486" s="108"/>
      <c r="M486" s="108"/>
      <c r="N486" s="108"/>
      <c r="O486" s="108"/>
      <c r="P486" s="108"/>
      <c r="Q486" s="108"/>
      <c r="R486" s="108"/>
      <c r="S486" s="108"/>
      <c r="T486" s="108"/>
      <c r="U486" s="108"/>
      <c r="V486" s="108"/>
      <c r="W486" s="108"/>
      <c r="X486" s="108"/>
      <c r="Y486" s="108"/>
      <c r="Z486" s="108"/>
      <c r="AA486" s="108"/>
    </row>
    <row r="487" spans="1:27" ht="14" thickBot="1">
      <c r="A487" s="108"/>
      <c r="B487" s="151"/>
      <c r="C487" s="161" t="s">
        <v>925</v>
      </c>
      <c r="D487" s="185">
        <v>0.17799999999999999</v>
      </c>
      <c r="E487" s="185">
        <v>0.111</v>
      </c>
      <c r="F487" s="185">
        <v>1.9E-2</v>
      </c>
      <c r="G487" s="157" t="s">
        <v>842</v>
      </c>
      <c r="H487" s="156"/>
      <c r="I487" s="156"/>
      <c r="J487" s="156"/>
      <c r="K487" s="108"/>
      <c r="L487" s="108"/>
      <c r="M487" s="108"/>
      <c r="N487" s="108"/>
      <c r="O487" s="108"/>
      <c r="P487" s="108"/>
      <c r="Q487" s="108"/>
      <c r="R487" s="108"/>
      <c r="S487" s="108"/>
      <c r="T487" s="108"/>
      <c r="U487" s="108"/>
      <c r="V487" s="108"/>
      <c r="W487" s="108"/>
      <c r="X487" s="108"/>
      <c r="Y487" s="108"/>
      <c r="Z487" s="108"/>
      <c r="AA487" s="108"/>
    </row>
    <row r="488" spans="1:27" ht="15">
      <c r="A488" s="108"/>
      <c r="B488" s="151"/>
      <c r="C488" s="184" t="s">
        <v>926</v>
      </c>
      <c r="D488" s="183">
        <v>5.8000000000000003E-2</v>
      </c>
      <c r="E488" s="182">
        <v>5.4999999999999997E-3</v>
      </c>
      <c r="F488" s="182">
        <v>6.9999999999999999E-4</v>
      </c>
      <c r="G488" s="178" t="s">
        <v>927</v>
      </c>
      <c r="H488" s="156"/>
      <c r="I488" s="156"/>
      <c r="J488" s="173"/>
      <c r="K488" s="172"/>
      <c r="L488" s="108"/>
      <c r="M488" s="108"/>
      <c r="N488" s="108"/>
      <c r="O488" s="108"/>
      <c r="P488" s="108"/>
      <c r="Q488" s="108"/>
      <c r="R488" s="108"/>
      <c r="S488" s="108"/>
      <c r="T488" s="108"/>
      <c r="U488" s="108"/>
      <c r="V488" s="108"/>
      <c r="W488" s="108"/>
      <c r="X488" s="108"/>
      <c r="Y488" s="108"/>
      <c r="Z488" s="108"/>
      <c r="AA488" s="108"/>
    </row>
    <row r="489" spans="1:27" ht="15">
      <c r="A489" s="108"/>
      <c r="B489" s="151"/>
      <c r="C489" s="181" t="s">
        <v>928</v>
      </c>
      <c r="D489" s="180">
        <v>0.15</v>
      </c>
      <c r="E489" s="179">
        <v>1.17E-2</v>
      </c>
      <c r="F489" s="179">
        <v>3.8E-3</v>
      </c>
      <c r="G489" s="178" t="s">
        <v>927</v>
      </c>
      <c r="H489" s="156"/>
      <c r="I489" s="156"/>
      <c r="J489" s="173"/>
      <c r="K489" s="172"/>
      <c r="L489" s="108"/>
      <c r="M489" s="108"/>
      <c r="N489" s="108"/>
      <c r="O489" s="108"/>
      <c r="P489" s="108"/>
      <c r="Q489" s="108"/>
      <c r="R489" s="108"/>
      <c r="S489" s="108"/>
      <c r="T489" s="108"/>
      <c r="U489" s="108"/>
      <c r="V489" s="108"/>
      <c r="W489" s="108"/>
      <c r="X489" s="108"/>
      <c r="Y489" s="108"/>
      <c r="Z489" s="108"/>
      <c r="AA489" s="108"/>
    </row>
    <row r="490" spans="1:27" ht="15">
      <c r="A490" s="108"/>
      <c r="B490" s="151"/>
      <c r="C490" s="181" t="s">
        <v>929</v>
      </c>
      <c r="D490" s="180">
        <v>0.113</v>
      </c>
      <c r="E490" s="179">
        <v>9.1999999999999998E-3</v>
      </c>
      <c r="F490" s="179">
        <v>2.5999999999999999E-3</v>
      </c>
      <c r="G490" s="178" t="s">
        <v>927</v>
      </c>
      <c r="H490" s="156"/>
      <c r="I490" s="156"/>
      <c r="J490" s="173"/>
      <c r="K490" s="172"/>
      <c r="L490" s="108"/>
      <c r="M490" s="108"/>
      <c r="N490" s="108"/>
      <c r="O490" s="108"/>
      <c r="P490" s="108"/>
      <c r="Q490" s="108"/>
      <c r="R490" s="108"/>
      <c r="S490" s="108"/>
      <c r="T490" s="108"/>
      <c r="U490" s="108"/>
      <c r="V490" s="108"/>
      <c r="W490" s="108"/>
      <c r="X490" s="108"/>
      <c r="Y490" s="108"/>
      <c r="Z490" s="108"/>
      <c r="AA490" s="108"/>
    </row>
    <row r="491" spans="1:27" ht="15">
      <c r="A491" s="108"/>
      <c r="B491" s="151"/>
      <c r="C491" s="177" t="s">
        <v>930</v>
      </c>
      <c r="D491" s="175">
        <v>0.13500000000000001</v>
      </c>
      <c r="E491" s="174">
        <v>1.09E-2</v>
      </c>
      <c r="F491" s="174">
        <v>2.7000000000000001E-3</v>
      </c>
      <c r="G491" s="162" t="s">
        <v>927</v>
      </c>
      <c r="H491" s="176"/>
      <c r="I491" s="156"/>
      <c r="J491" s="173"/>
      <c r="K491" s="172"/>
      <c r="L491" s="108"/>
      <c r="M491" s="108"/>
      <c r="N491" s="108"/>
      <c r="O491" s="108"/>
      <c r="P491" s="108"/>
      <c r="Q491" s="108"/>
      <c r="R491" s="108"/>
      <c r="S491" s="108"/>
      <c r="T491" s="108"/>
      <c r="U491" s="108"/>
      <c r="V491" s="108"/>
      <c r="W491" s="108"/>
      <c r="X491" s="108"/>
      <c r="Y491" s="108"/>
      <c r="Z491" s="108"/>
      <c r="AA491" s="108"/>
    </row>
    <row r="492" spans="1:27" ht="15">
      <c r="A492" s="108"/>
      <c r="B492" s="151"/>
      <c r="C492" s="171" t="s">
        <v>931</v>
      </c>
      <c r="D492" s="175">
        <v>9.6000000000000002E-2</v>
      </c>
      <c r="E492" s="174">
        <v>8.0000000000000002E-3</v>
      </c>
      <c r="F492" s="174">
        <v>1.1000000000000001E-3</v>
      </c>
      <c r="G492" s="162" t="s">
        <v>927</v>
      </c>
      <c r="H492" s="156"/>
      <c r="I492" s="156"/>
      <c r="J492" s="173"/>
      <c r="K492" s="172"/>
      <c r="L492" s="108"/>
      <c r="M492" s="108"/>
      <c r="N492" s="108"/>
      <c r="O492" s="108"/>
      <c r="P492" s="108"/>
      <c r="Q492" s="108"/>
      <c r="R492" s="108"/>
      <c r="S492" s="108"/>
      <c r="T492" s="108"/>
      <c r="U492" s="108"/>
      <c r="V492" s="108"/>
      <c r="W492" s="108"/>
      <c r="X492" s="108"/>
      <c r="Y492" s="108"/>
      <c r="Z492" s="108"/>
      <c r="AA492" s="108"/>
    </row>
    <row r="493" spans="1:27">
      <c r="A493" s="108"/>
      <c r="B493" s="151"/>
      <c r="C493" s="171" t="s">
        <v>932</v>
      </c>
      <c r="D493" s="170">
        <v>5.5E-2</v>
      </c>
      <c r="E493" s="169">
        <v>6.3E-3</v>
      </c>
      <c r="F493" s="168">
        <v>1.1000000000000001E-3</v>
      </c>
      <c r="G493" s="162" t="s">
        <v>927</v>
      </c>
      <c r="H493" s="156"/>
      <c r="I493" s="156"/>
      <c r="J493" s="156"/>
      <c r="K493" s="108"/>
      <c r="L493" s="108"/>
      <c r="M493" s="108"/>
      <c r="N493" s="108"/>
      <c r="O493" s="108"/>
      <c r="P493" s="108"/>
      <c r="Q493" s="108"/>
      <c r="R493" s="108"/>
      <c r="S493" s="108"/>
      <c r="T493" s="108"/>
      <c r="U493" s="108"/>
      <c r="V493" s="108"/>
      <c r="W493" s="108"/>
      <c r="X493" s="108"/>
      <c r="Y493" s="108"/>
      <c r="Z493" s="108"/>
      <c r="AA493" s="108"/>
    </row>
    <row r="494" spans="1:27">
      <c r="A494" s="108"/>
      <c r="B494" s="155"/>
      <c r="C494" s="167" t="s">
        <v>933</v>
      </c>
      <c r="D494" s="166">
        <v>0.20699999999999999</v>
      </c>
      <c r="E494" s="163">
        <v>6.4000000000000003E-3</v>
      </c>
      <c r="F494" s="163">
        <v>6.6E-3</v>
      </c>
      <c r="G494" s="162" t="s">
        <v>927</v>
      </c>
      <c r="H494" s="156"/>
      <c r="I494" s="156"/>
      <c r="J494" s="156"/>
      <c r="K494" s="108"/>
      <c r="L494" s="108"/>
      <c r="M494" s="108"/>
      <c r="N494" s="108"/>
      <c r="O494" s="108"/>
      <c r="P494" s="108"/>
      <c r="Q494" s="108"/>
      <c r="R494" s="108"/>
      <c r="S494" s="108"/>
      <c r="T494" s="108"/>
      <c r="U494" s="108"/>
      <c r="V494" s="108"/>
      <c r="W494" s="108"/>
      <c r="X494" s="108"/>
      <c r="Y494" s="108"/>
      <c r="Z494" s="108"/>
      <c r="AA494" s="108"/>
    </row>
    <row r="495" spans="1:27" ht="28">
      <c r="A495" s="108"/>
      <c r="B495" s="155"/>
      <c r="C495" s="165" t="s">
        <v>934</v>
      </c>
      <c r="D495" s="164">
        <v>0.129</v>
      </c>
      <c r="E495" s="163">
        <v>5.9999999999999995E-4</v>
      </c>
      <c r="F495" s="163">
        <v>4.1000000000000003E-3</v>
      </c>
      <c r="G495" s="162" t="s">
        <v>927</v>
      </c>
      <c r="H495" s="156"/>
      <c r="I495" s="156"/>
      <c r="J495" s="156"/>
      <c r="K495" s="108"/>
      <c r="L495" s="108"/>
      <c r="M495" s="108"/>
      <c r="N495" s="108"/>
      <c r="O495" s="108"/>
      <c r="P495" s="108"/>
      <c r="Q495" s="108"/>
      <c r="R495" s="108"/>
      <c r="S495" s="108"/>
      <c r="T495" s="108"/>
      <c r="U495" s="108"/>
      <c r="V495" s="108"/>
      <c r="W495" s="108"/>
      <c r="X495" s="108"/>
      <c r="Y495" s="108"/>
      <c r="Z495" s="108"/>
      <c r="AA495" s="108"/>
    </row>
    <row r="496" spans="1:27" ht="17.25" customHeight="1" thickBot="1">
      <c r="A496" s="108"/>
      <c r="B496" s="155"/>
      <c r="C496" s="161" t="s">
        <v>935</v>
      </c>
      <c r="D496" s="160">
        <v>0.16300000000000001</v>
      </c>
      <c r="E496" s="159">
        <v>5.9999999999999995E-4</v>
      </c>
      <c r="F496" s="158">
        <v>5.1999999999999998E-3</v>
      </c>
      <c r="G496" s="157" t="s">
        <v>927</v>
      </c>
      <c r="H496" s="156"/>
      <c r="I496" s="156"/>
      <c r="J496" s="156"/>
      <c r="K496" s="108"/>
      <c r="L496" s="108"/>
      <c r="M496" s="108"/>
      <c r="N496" s="108"/>
      <c r="O496" s="108"/>
      <c r="P496" s="108"/>
      <c r="Q496" s="108"/>
      <c r="R496" s="108"/>
      <c r="S496" s="108"/>
      <c r="T496" s="108"/>
      <c r="U496" s="108"/>
      <c r="V496" s="108"/>
      <c r="W496" s="108"/>
      <c r="X496" s="108"/>
      <c r="Y496" s="108"/>
      <c r="Z496" s="108"/>
      <c r="AA496" s="108"/>
    </row>
    <row r="497" spans="1:27" ht="90" customHeight="1">
      <c r="A497" s="108"/>
      <c r="B497" s="155"/>
      <c r="C497" s="2151" t="s">
        <v>936</v>
      </c>
      <c r="D497" s="2151"/>
      <c r="E497" s="2151"/>
      <c r="F497" s="2151"/>
      <c r="G497" s="2151"/>
      <c r="H497" s="2151"/>
      <c r="I497" s="2151"/>
      <c r="J497" s="2151"/>
      <c r="K497" s="2151"/>
      <c r="L497" s="2151"/>
      <c r="M497" s="108"/>
      <c r="N497" s="108"/>
      <c r="O497" s="108"/>
      <c r="P497" s="108"/>
      <c r="Q497" s="108"/>
      <c r="R497" s="108"/>
      <c r="S497" s="108"/>
      <c r="T497" s="108"/>
      <c r="U497" s="108"/>
      <c r="V497" s="108"/>
      <c r="W497" s="108"/>
      <c r="X497" s="108"/>
      <c r="Y497" s="108"/>
      <c r="Z497" s="108"/>
      <c r="AA497" s="108"/>
    </row>
    <row r="498" spans="1:27" ht="105.5" customHeight="1">
      <c r="A498" s="108"/>
      <c r="B498" s="151"/>
      <c r="C498" s="2151" t="s">
        <v>937</v>
      </c>
      <c r="D498" s="2151"/>
      <c r="E498" s="2151"/>
      <c r="F498" s="2151"/>
      <c r="G498" s="2151"/>
      <c r="H498" s="2151"/>
      <c r="I498" s="2151"/>
      <c r="J498" s="2151"/>
      <c r="K498" s="2151"/>
      <c r="L498" s="2151"/>
      <c r="M498" s="108"/>
      <c r="N498" s="108"/>
      <c r="O498" s="108"/>
      <c r="P498" s="108"/>
      <c r="Q498" s="108"/>
      <c r="R498" s="108"/>
      <c r="S498" s="108"/>
      <c r="T498" s="108"/>
      <c r="U498" s="108"/>
      <c r="V498" s="108"/>
      <c r="W498" s="108"/>
      <c r="X498" s="108"/>
      <c r="Y498" s="108"/>
      <c r="Z498" s="108"/>
      <c r="AA498" s="108"/>
    </row>
    <row r="499" spans="1:27">
      <c r="A499" s="108"/>
      <c r="B499" s="151"/>
      <c r="C499" s="154"/>
      <c r="D499" s="153"/>
      <c r="E499" s="153"/>
      <c r="F499" s="153"/>
      <c r="G499" s="153"/>
      <c r="H499" s="153"/>
      <c r="I499" s="153"/>
      <c r="J499" s="153"/>
      <c r="K499" s="153"/>
      <c r="L499" s="152"/>
      <c r="M499" s="152"/>
      <c r="N499" s="108"/>
      <c r="O499" s="108"/>
      <c r="P499" s="108"/>
      <c r="Q499" s="108"/>
      <c r="R499" s="108"/>
      <c r="S499" s="108"/>
      <c r="T499" s="108"/>
      <c r="U499" s="108"/>
      <c r="V499" s="108"/>
      <c r="W499" s="108"/>
      <c r="X499" s="108"/>
      <c r="Y499" s="108"/>
      <c r="Z499" s="108"/>
      <c r="AA499" s="108"/>
    </row>
    <row r="500" spans="1:27" ht="16">
      <c r="A500" s="108"/>
      <c r="B500" s="2160" t="s">
        <v>938</v>
      </c>
      <c r="C500" s="2161"/>
      <c r="D500" s="2161"/>
      <c r="E500" s="2161"/>
      <c r="F500" s="2161"/>
      <c r="G500" s="2161"/>
      <c r="H500" s="2161"/>
      <c r="I500" s="2161"/>
      <c r="J500" s="2161"/>
      <c r="K500" s="2161"/>
      <c r="L500" s="2162"/>
      <c r="M500" s="108"/>
      <c r="N500" s="108"/>
      <c r="O500" s="108"/>
      <c r="P500" s="108"/>
      <c r="Q500" s="108"/>
      <c r="R500" s="108"/>
      <c r="S500" s="108"/>
      <c r="T500" s="108"/>
      <c r="U500" s="108"/>
      <c r="V500" s="108"/>
      <c r="W500" s="108"/>
      <c r="X500" s="108"/>
      <c r="Y500" s="108"/>
      <c r="Z500" s="108"/>
      <c r="AA500" s="108"/>
    </row>
    <row r="501" spans="1:27">
      <c r="A501" s="108"/>
      <c r="B501" s="151"/>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Z501" s="108"/>
      <c r="AA501" s="108"/>
    </row>
    <row r="502" spans="1:27" ht="16">
      <c r="A502" s="108"/>
      <c r="B502" s="141" t="s">
        <v>939</v>
      </c>
      <c r="C502" s="140" t="s">
        <v>940</v>
      </c>
      <c r="D502" s="139"/>
      <c r="E502" s="139"/>
      <c r="F502" s="139"/>
      <c r="G502" s="139"/>
      <c r="H502" s="139"/>
      <c r="I502" s="139"/>
      <c r="J502" s="139"/>
      <c r="K502" s="139"/>
      <c r="L502" s="138"/>
      <c r="M502" s="108"/>
      <c r="N502" s="108"/>
      <c r="O502" s="108"/>
      <c r="P502" s="108"/>
      <c r="Q502" s="108"/>
      <c r="R502" s="108"/>
      <c r="S502" s="108"/>
      <c r="T502" s="108"/>
      <c r="U502" s="108"/>
      <c r="V502" s="108"/>
      <c r="W502" s="108"/>
      <c r="X502" s="108"/>
      <c r="Y502" s="108"/>
      <c r="Z502" s="108"/>
      <c r="AA502" s="108"/>
    </row>
    <row r="503" spans="1:27" ht="14" thickBot="1">
      <c r="A503" s="108"/>
      <c r="B503" s="108"/>
      <c r="C503" s="108"/>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8"/>
      <c r="Z503" s="108"/>
      <c r="AA503" s="108"/>
    </row>
    <row r="504" spans="1:27" ht="15" thickBot="1">
      <c r="A504" s="108"/>
      <c r="B504" s="108"/>
      <c r="C504" s="150" t="s">
        <v>524</v>
      </c>
      <c r="D504" s="149" t="s">
        <v>525</v>
      </c>
      <c r="E504" s="130"/>
      <c r="F504" s="108"/>
      <c r="G504" s="108"/>
      <c r="H504" s="108"/>
      <c r="I504" s="108"/>
      <c r="J504" s="108"/>
      <c r="K504" s="108"/>
      <c r="L504" s="108"/>
      <c r="M504" s="108"/>
      <c r="N504" s="108"/>
      <c r="O504" s="108"/>
      <c r="P504" s="108"/>
      <c r="Q504" s="108"/>
      <c r="R504" s="108"/>
      <c r="S504" s="108"/>
      <c r="T504" s="108"/>
      <c r="U504" s="108"/>
      <c r="V504" s="108"/>
      <c r="W504" s="108"/>
      <c r="X504" s="108"/>
      <c r="Y504" s="108"/>
      <c r="Z504" s="108"/>
      <c r="AA504" s="108"/>
    </row>
    <row r="505" spans="1:27" ht="15.5" customHeight="1">
      <c r="A505" s="108"/>
      <c r="B505" s="108"/>
      <c r="C505" s="148" t="s">
        <v>941</v>
      </c>
      <c r="D505" s="147">
        <v>1</v>
      </c>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c r="AA505" s="108"/>
    </row>
    <row r="506" spans="1:27" ht="15.5" customHeight="1">
      <c r="A506" s="108"/>
      <c r="B506" s="108"/>
      <c r="C506" s="146" t="s">
        <v>526</v>
      </c>
      <c r="D506" s="144">
        <v>25</v>
      </c>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c r="AA506" s="108"/>
    </row>
    <row r="507" spans="1:27" ht="15.5" customHeight="1">
      <c r="A507" s="108"/>
      <c r="B507" s="108"/>
      <c r="C507" s="146" t="s">
        <v>527</v>
      </c>
      <c r="D507" s="144">
        <v>298</v>
      </c>
      <c r="F507" s="108"/>
      <c r="G507" s="108"/>
      <c r="H507" s="108"/>
      <c r="I507" s="108"/>
      <c r="J507" s="108"/>
      <c r="K507" s="108"/>
      <c r="L507" s="108"/>
      <c r="M507" s="108"/>
      <c r="N507" s="108"/>
      <c r="O507" s="108"/>
      <c r="P507" s="108"/>
      <c r="Q507" s="108"/>
      <c r="R507" s="108"/>
      <c r="S507" s="108"/>
      <c r="T507" s="108"/>
      <c r="U507" s="108"/>
      <c r="V507" s="108"/>
      <c r="W507" s="108"/>
      <c r="X507" s="108"/>
      <c r="Y507" s="108"/>
      <c r="Z507" s="108"/>
      <c r="AA507" s="108"/>
    </row>
    <row r="508" spans="1:27" ht="15.5" customHeight="1">
      <c r="A508" s="108"/>
      <c r="B508" s="108"/>
      <c r="C508" s="146" t="s">
        <v>942</v>
      </c>
      <c r="D508" s="144">
        <v>14800</v>
      </c>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c r="AA508" s="108"/>
    </row>
    <row r="509" spans="1:27" ht="15.5" customHeight="1">
      <c r="A509" s="108"/>
      <c r="B509" s="108"/>
      <c r="C509" s="146" t="s">
        <v>943</v>
      </c>
      <c r="D509" s="144">
        <v>675</v>
      </c>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c r="AA509" s="108"/>
    </row>
    <row r="510" spans="1:27" ht="15.5" customHeight="1">
      <c r="A510" s="108"/>
      <c r="B510" s="108"/>
      <c r="C510" s="146" t="s">
        <v>944</v>
      </c>
      <c r="D510" s="144">
        <v>92</v>
      </c>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c r="AA510" s="108"/>
    </row>
    <row r="511" spans="1:27" ht="15.5" customHeight="1">
      <c r="A511" s="108"/>
      <c r="B511" s="108"/>
      <c r="C511" s="146" t="s">
        <v>945</v>
      </c>
      <c r="D511" s="144">
        <v>3500</v>
      </c>
      <c r="E511" s="108"/>
      <c r="F511" s="108"/>
      <c r="G511" s="2168"/>
      <c r="H511" s="2168"/>
      <c r="I511" s="2168"/>
      <c r="J511" s="2168"/>
      <c r="K511" s="2168"/>
      <c r="L511" s="2168"/>
      <c r="M511" s="2168"/>
      <c r="N511" s="108"/>
      <c r="O511" s="108"/>
      <c r="P511" s="108"/>
      <c r="Q511" s="108"/>
      <c r="R511" s="108"/>
      <c r="S511" s="108"/>
      <c r="T511" s="108"/>
      <c r="U511" s="108"/>
      <c r="V511" s="108"/>
      <c r="W511" s="108"/>
      <c r="X511" s="108"/>
      <c r="Y511" s="108"/>
      <c r="Z511" s="108"/>
      <c r="AA511" s="108"/>
    </row>
    <row r="512" spans="1:27" ht="15.5" customHeight="1">
      <c r="A512" s="108"/>
      <c r="B512" s="108"/>
      <c r="C512" s="146" t="s">
        <v>946</v>
      </c>
      <c r="D512" s="144">
        <v>1100</v>
      </c>
      <c r="E512" s="108"/>
      <c r="F512" s="108"/>
      <c r="G512" s="2168"/>
      <c r="H512" s="2168"/>
      <c r="I512" s="2168"/>
      <c r="J512" s="2168"/>
      <c r="K512" s="2168"/>
      <c r="L512" s="2168"/>
      <c r="M512" s="2168"/>
      <c r="N512" s="108"/>
      <c r="O512" s="108"/>
      <c r="P512" s="108"/>
      <c r="Q512" s="108"/>
      <c r="R512" s="108"/>
      <c r="S512" s="108"/>
      <c r="T512" s="108"/>
      <c r="U512" s="108"/>
      <c r="V512" s="108"/>
      <c r="W512" s="108"/>
      <c r="X512" s="108"/>
      <c r="Y512" s="108"/>
      <c r="Z512" s="108"/>
      <c r="AA512" s="108"/>
    </row>
    <row r="513" spans="1:27" ht="15.5" customHeight="1">
      <c r="A513" s="108"/>
      <c r="B513" s="108"/>
      <c r="C513" s="146" t="s">
        <v>947</v>
      </c>
      <c r="D513" s="144">
        <v>1430</v>
      </c>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c r="AA513" s="108"/>
    </row>
    <row r="514" spans="1:27" ht="15.5" customHeight="1">
      <c r="A514" s="108"/>
      <c r="B514" s="108"/>
      <c r="C514" s="146" t="s">
        <v>948</v>
      </c>
      <c r="D514" s="144">
        <v>353</v>
      </c>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c r="AA514" s="108"/>
    </row>
    <row r="515" spans="1:27" ht="15.5" customHeight="1">
      <c r="A515" s="108"/>
      <c r="B515" s="108"/>
      <c r="C515" s="119" t="s">
        <v>949</v>
      </c>
      <c r="D515" s="144">
        <v>4470</v>
      </c>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c r="AA515" s="108"/>
    </row>
    <row r="516" spans="1:27" ht="15.5" customHeight="1">
      <c r="A516" s="108"/>
      <c r="B516" s="108"/>
      <c r="C516" s="146" t="s">
        <v>950</v>
      </c>
      <c r="D516" s="144">
        <v>53</v>
      </c>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c r="AA516" s="108"/>
    </row>
    <row r="517" spans="1:27" ht="15.5" customHeight="1">
      <c r="A517" s="108"/>
      <c r="B517" s="108"/>
      <c r="C517" s="146" t="s">
        <v>951</v>
      </c>
      <c r="D517" s="144">
        <v>124</v>
      </c>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c r="AA517" s="108"/>
    </row>
    <row r="518" spans="1:27" ht="15.5" customHeight="1">
      <c r="A518" s="108"/>
      <c r="B518" s="108"/>
      <c r="C518" s="146" t="s">
        <v>952</v>
      </c>
      <c r="D518" s="144">
        <v>12</v>
      </c>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c r="AA518" s="108"/>
    </row>
    <row r="519" spans="1:27" ht="15.5" customHeight="1">
      <c r="A519" s="108"/>
      <c r="B519" s="108"/>
      <c r="C519" s="146" t="s">
        <v>953</v>
      </c>
      <c r="D519" s="144">
        <v>3220</v>
      </c>
      <c r="E519" s="108"/>
      <c r="F519" s="108"/>
      <c r="G519" s="2168"/>
      <c r="H519" s="2168"/>
      <c r="I519" s="2168"/>
      <c r="J519" s="2168"/>
      <c r="K519" s="2168"/>
      <c r="L519" s="2168"/>
      <c r="M519" s="2168"/>
      <c r="N519" s="108"/>
      <c r="O519" s="108"/>
      <c r="P519" s="108"/>
      <c r="Q519" s="108"/>
      <c r="R519" s="108"/>
      <c r="S519" s="108"/>
      <c r="T519" s="108"/>
      <c r="U519" s="108"/>
      <c r="V519" s="108"/>
      <c r="W519" s="108"/>
      <c r="X519" s="108"/>
      <c r="Y519" s="108"/>
      <c r="Z519" s="108"/>
      <c r="AA519" s="108"/>
    </row>
    <row r="520" spans="1:27" ht="15.5" customHeight="1">
      <c r="A520" s="108"/>
      <c r="B520" s="108"/>
      <c r="C520" s="146" t="s">
        <v>954</v>
      </c>
      <c r="D520" s="144">
        <v>1340</v>
      </c>
      <c r="E520" s="108"/>
      <c r="F520" s="108"/>
      <c r="G520" s="2168"/>
      <c r="H520" s="2168"/>
      <c r="I520" s="2168"/>
      <c r="J520" s="2168"/>
      <c r="K520" s="2168"/>
      <c r="L520" s="2168"/>
      <c r="M520" s="2168"/>
      <c r="N520" s="108"/>
      <c r="O520" s="108"/>
      <c r="P520" s="108"/>
      <c r="Q520" s="108"/>
      <c r="R520" s="108"/>
      <c r="S520" s="108"/>
      <c r="T520" s="108"/>
      <c r="U520" s="108"/>
      <c r="V520" s="108"/>
      <c r="W520" s="108"/>
      <c r="X520" s="108"/>
      <c r="Y520" s="108"/>
      <c r="Z520" s="108"/>
      <c r="AA520" s="108"/>
    </row>
    <row r="521" spans="1:27" ht="15.5" customHeight="1">
      <c r="A521" s="108"/>
      <c r="B521" s="108"/>
      <c r="C521" s="146" t="s">
        <v>955</v>
      </c>
      <c r="D521" s="144">
        <v>1370</v>
      </c>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c r="AA521" s="108"/>
    </row>
    <row r="522" spans="1:27" ht="15.5" customHeight="1">
      <c r="A522" s="108"/>
      <c r="B522" s="108"/>
      <c r="C522" s="146" t="s">
        <v>956</v>
      </c>
      <c r="D522" s="144">
        <v>9810</v>
      </c>
      <c r="E522" s="108"/>
      <c r="F522" s="108"/>
      <c r="G522" s="108"/>
      <c r="H522" s="108"/>
      <c r="I522" s="108"/>
      <c r="J522" s="108"/>
      <c r="K522" s="108"/>
      <c r="L522" s="108"/>
      <c r="M522" s="108"/>
      <c r="N522" s="108"/>
      <c r="O522" s="108"/>
      <c r="P522" s="108"/>
      <c r="Q522" s="108"/>
      <c r="R522" s="108"/>
      <c r="S522" s="108"/>
      <c r="T522" s="108"/>
      <c r="U522" s="108"/>
      <c r="V522" s="108"/>
      <c r="W522" s="108"/>
      <c r="X522" s="108"/>
      <c r="Y522" s="108"/>
      <c r="Z522" s="108"/>
      <c r="AA522" s="108"/>
    </row>
    <row r="523" spans="1:27" ht="15.5" customHeight="1">
      <c r="A523" s="108"/>
      <c r="B523" s="108"/>
      <c r="C523" s="119" t="s">
        <v>957</v>
      </c>
      <c r="D523" s="144">
        <v>693</v>
      </c>
      <c r="E523" s="108"/>
      <c r="F523" s="108"/>
      <c r="G523" s="108"/>
      <c r="H523" s="108"/>
      <c r="I523" s="108"/>
      <c r="J523" s="108"/>
      <c r="K523" s="108"/>
      <c r="L523" s="108"/>
      <c r="M523" s="108"/>
      <c r="N523" s="108"/>
      <c r="O523" s="108"/>
      <c r="P523" s="108"/>
      <c r="Q523" s="108"/>
      <c r="R523" s="108"/>
      <c r="S523" s="108"/>
      <c r="T523" s="108"/>
      <c r="U523" s="108"/>
      <c r="V523" s="108"/>
      <c r="W523" s="108"/>
      <c r="X523" s="108"/>
      <c r="Y523" s="108"/>
      <c r="Z523" s="108"/>
      <c r="AA523" s="108"/>
    </row>
    <row r="524" spans="1:27" ht="15.5" customHeight="1">
      <c r="A524" s="108"/>
      <c r="B524" s="108"/>
      <c r="C524" s="146" t="s">
        <v>958</v>
      </c>
      <c r="D524" s="144">
        <v>1030</v>
      </c>
      <c r="E524" s="108"/>
      <c r="F524" s="108"/>
      <c r="G524" s="108"/>
      <c r="H524" s="108"/>
      <c r="I524" s="108"/>
      <c r="J524" s="108"/>
      <c r="K524" s="108"/>
      <c r="L524" s="108"/>
      <c r="M524" s="108"/>
      <c r="N524" s="108"/>
      <c r="O524" s="108"/>
      <c r="P524" s="108"/>
      <c r="Q524" s="108"/>
      <c r="R524" s="108"/>
      <c r="S524" s="108"/>
      <c r="T524" s="108"/>
      <c r="U524" s="108"/>
      <c r="V524" s="108"/>
      <c r="W524" s="108"/>
      <c r="X524" s="108"/>
      <c r="Y524" s="108"/>
      <c r="Z524" s="108"/>
      <c r="AA524" s="108"/>
    </row>
    <row r="525" spans="1:27" ht="15.5" customHeight="1">
      <c r="A525" s="108"/>
      <c r="B525" s="108"/>
      <c r="C525" s="146" t="s">
        <v>959</v>
      </c>
      <c r="D525" s="144">
        <v>794</v>
      </c>
      <c r="E525" s="108"/>
      <c r="F525" s="108"/>
      <c r="G525" s="108"/>
      <c r="H525" s="108"/>
      <c r="I525" s="108"/>
      <c r="J525" s="108"/>
      <c r="K525" s="108"/>
      <c r="L525" s="108"/>
      <c r="M525" s="108"/>
      <c r="N525" s="108"/>
      <c r="O525" s="108"/>
      <c r="P525" s="108"/>
      <c r="Q525" s="108"/>
      <c r="R525" s="108"/>
      <c r="S525" s="108"/>
      <c r="T525" s="108"/>
      <c r="U525" s="108"/>
      <c r="V525" s="108"/>
      <c r="W525" s="108"/>
      <c r="X525" s="108"/>
      <c r="Y525" s="108"/>
      <c r="Z525" s="108"/>
      <c r="AA525" s="108"/>
    </row>
    <row r="526" spans="1:27" ht="15.5" customHeight="1">
      <c r="A526" s="108"/>
      <c r="B526" s="108"/>
      <c r="C526" s="119" t="s">
        <v>960</v>
      </c>
      <c r="D526" s="144">
        <v>1640</v>
      </c>
      <c r="E526" s="108"/>
      <c r="F526" s="108"/>
      <c r="G526" s="108"/>
      <c r="H526" s="108"/>
      <c r="I526" s="108"/>
      <c r="J526" s="108"/>
      <c r="K526" s="108"/>
      <c r="L526" s="108"/>
      <c r="M526" s="108"/>
      <c r="N526" s="108"/>
      <c r="O526" s="108"/>
      <c r="P526" s="108"/>
      <c r="Q526" s="108"/>
      <c r="R526" s="108"/>
      <c r="S526" s="108"/>
      <c r="T526" s="108"/>
      <c r="U526" s="108"/>
      <c r="V526" s="108"/>
      <c r="W526" s="108"/>
      <c r="X526" s="108"/>
      <c r="Y526" s="108"/>
      <c r="Z526" s="108"/>
      <c r="AA526" s="108"/>
    </row>
    <row r="527" spans="1:27" ht="15.5" customHeight="1">
      <c r="A527" s="108"/>
      <c r="B527" s="108"/>
      <c r="C527" s="146" t="s">
        <v>961</v>
      </c>
      <c r="D527" s="144">
        <v>22800</v>
      </c>
      <c r="E527" s="108"/>
      <c r="F527" s="108"/>
      <c r="G527" s="108"/>
      <c r="H527" s="108"/>
      <c r="I527" s="108"/>
      <c r="J527" s="108"/>
      <c r="K527" s="108"/>
      <c r="L527" s="108"/>
      <c r="M527" s="108"/>
      <c r="N527" s="108"/>
      <c r="O527" s="108"/>
      <c r="P527" s="108"/>
      <c r="Q527" s="108"/>
      <c r="R527" s="108"/>
      <c r="S527" s="108"/>
      <c r="T527" s="108"/>
      <c r="U527" s="108"/>
      <c r="V527" s="108"/>
      <c r="W527" s="108"/>
      <c r="X527" s="108"/>
      <c r="Y527" s="108"/>
      <c r="Z527" s="108"/>
      <c r="AA527" s="108"/>
    </row>
    <row r="528" spans="1:27" ht="15.5" customHeight="1">
      <c r="A528" s="108"/>
      <c r="B528" s="108"/>
      <c r="C528" s="146" t="s">
        <v>962</v>
      </c>
      <c r="D528" s="144">
        <v>17200</v>
      </c>
      <c r="E528" s="108"/>
      <c r="F528" s="108"/>
      <c r="G528" s="108"/>
      <c r="H528" s="108"/>
      <c r="I528" s="108"/>
      <c r="J528" s="108"/>
      <c r="K528" s="108"/>
      <c r="L528" s="108"/>
      <c r="M528" s="108"/>
      <c r="N528" s="108"/>
      <c r="O528" s="108"/>
      <c r="P528" s="108"/>
      <c r="Q528" s="108"/>
      <c r="R528" s="108"/>
      <c r="S528" s="108"/>
      <c r="T528" s="108"/>
      <c r="U528" s="108"/>
      <c r="V528" s="108"/>
      <c r="W528" s="108"/>
      <c r="X528" s="108"/>
      <c r="Y528" s="108"/>
      <c r="Z528" s="108"/>
      <c r="AA528" s="108"/>
    </row>
    <row r="529" spans="1:27" ht="15.5" customHeight="1">
      <c r="A529" s="108"/>
      <c r="B529" s="108"/>
      <c r="C529" s="119" t="s">
        <v>963</v>
      </c>
      <c r="D529" s="144">
        <v>7390</v>
      </c>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c r="AA529" s="108"/>
    </row>
    <row r="530" spans="1:27" ht="15.5" customHeight="1">
      <c r="A530" s="108"/>
      <c r="B530" s="108"/>
      <c r="C530" s="119" t="s">
        <v>964</v>
      </c>
      <c r="D530" s="144">
        <v>12200</v>
      </c>
      <c r="E530" s="108"/>
      <c r="F530" s="108"/>
      <c r="G530" s="108"/>
      <c r="H530" s="108"/>
      <c r="I530" s="108"/>
      <c r="J530" s="108"/>
      <c r="K530" s="108"/>
      <c r="L530" s="108"/>
      <c r="M530" s="108"/>
      <c r="N530" s="108"/>
      <c r="O530" s="108"/>
      <c r="P530" s="108"/>
      <c r="Q530" s="108"/>
      <c r="R530" s="108"/>
      <c r="S530" s="108"/>
      <c r="T530" s="108"/>
      <c r="U530" s="108"/>
      <c r="V530" s="108"/>
      <c r="W530" s="108"/>
      <c r="X530" s="108"/>
      <c r="Y530" s="108"/>
      <c r="Z530" s="108"/>
      <c r="AA530" s="108"/>
    </row>
    <row r="531" spans="1:27" ht="15.5" customHeight="1">
      <c r="A531" s="108"/>
      <c r="B531" s="108"/>
      <c r="C531" s="119" t="s">
        <v>965</v>
      </c>
      <c r="D531" s="144">
        <v>8830</v>
      </c>
      <c r="E531" s="108"/>
      <c r="F531" s="108"/>
      <c r="G531" s="108"/>
      <c r="H531" s="108"/>
      <c r="I531" s="108"/>
      <c r="J531" s="108"/>
      <c r="K531" s="108"/>
      <c r="L531" s="108"/>
      <c r="M531" s="108"/>
      <c r="N531" s="108"/>
      <c r="O531" s="108"/>
      <c r="P531" s="108"/>
      <c r="Q531" s="108"/>
      <c r="R531" s="108"/>
      <c r="S531" s="108"/>
      <c r="T531" s="108"/>
      <c r="U531" s="108"/>
      <c r="V531" s="108"/>
      <c r="W531" s="108"/>
      <c r="X531" s="108"/>
      <c r="Y531" s="108"/>
      <c r="Z531" s="108"/>
      <c r="AA531" s="108"/>
    </row>
    <row r="532" spans="1:27" ht="15.5" customHeight="1">
      <c r="A532" s="108"/>
      <c r="B532" s="108"/>
      <c r="C532" s="119" t="s">
        <v>966</v>
      </c>
      <c r="D532" s="145">
        <v>10300</v>
      </c>
      <c r="E532" s="108"/>
      <c r="F532" s="108"/>
      <c r="G532" s="108"/>
      <c r="H532" s="108"/>
      <c r="I532" s="108"/>
      <c r="J532" s="108"/>
      <c r="K532" s="108"/>
      <c r="L532" s="108"/>
      <c r="M532" s="108"/>
      <c r="N532" s="108"/>
      <c r="O532" s="108"/>
      <c r="P532" s="108"/>
      <c r="Q532" s="108"/>
      <c r="R532" s="108"/>
      <c r="S532" s="108"/>
      <c r="T532" s="108"/>
      <c r="U532" s="108"/>
      <c r="V532" s="108"/>
      <c r="W532" s="108"/>
      <c r="X532" s="108"/>
      <c r="Y532" s="108"/>
      <c r="Z532" s="108"/>
      <c r="AA532" s="108"/>
    </row>
    <row r="533" spans="1:27" ht="15.5" customHeight="1">
      <c r="A533" s="108"/>
      <c r="B533" s="108"/>
      <c r="C533" s="119" t="s">
        <v>967</v>
      </c>
      <c r="D533" s="144">
        <v>8860</v>
      </c>
      <c r="E533" s="108"/>
      <c r="F533" s="108"/>
      <c r="G533" s="108"/>
      <c r="H533" s="108"/>
      <c r="I533" s="108"/>
      <c r="J533" s="108"/>
      <c r="K533" s="108"/>
      <c r="L533" s="108"/>
      <c r="M533" s="108"/>
      <c r="N533" s="108"/>
      <c r="O533" s="108"/>
      <c r="P533" s="108"/>
      <c r="Q533" s="108"/>
      <c r="R533" s="108"/>
      <c r="S533" s="108"/>
      <c r="T533" s="108"/>
      <c r="U533" s="108"/>
      <c r="V533" s="108"/>
      <c r="W533" s="108"/>
      <c r="X533" s="108"/>
      <c r="Y533" s="108"/>
      <c r="Z533" s="108"/>
      <c r="AA533" s="108"/>
    </row>
    <row r="534" spans="1:27" ht="15.5" customHeight="1">
      <c r="A534" s="108"/>
      <c r="B534" s="108"/>
      <c r="C534" s="119" t="s">
        <v>968</v>
      </c>
      <c r="D534" s="144">
        <v>9160</v>
      </c>
      <c r="E534" s="108"/>
      <c r="F534" s="108"/>
      <c r="G534" s="108"/>
      <c r="H534" s="108"/>
      <c r="I534" s="108"/>
      <c r="J534" s="108"/>
      <c r="K534" s="108"/>
      <c r="L534" s="108"/>
      <c r="M534" s="108"/>
      <c r="N534" s="142"/>
      <c r="O534" s="108"/>
      <c r="P534" s="108"/>
      <c r="Q534" s="108"/>
      <c r="R534" s="108"/>
      <c r="S534" s="108"/>
      <c r="T534" s="108"/>
      <c r="U534" s="108"/>
      <c r="V534" s="108"/>
      <c r="W534" s="108"/>
      <c r="X534" s="108"/>
      <c r="Y534" s="108"/>
      <c r="Z534" s="108"/>
      <c r="AA534" s="108"/>
    </row>
    <row r="535" spans="1:27" ht="15.5" customHeight="1">
      <c r="A535" s="108"/>
      <c r="B535" s="108"/>
      <c r="C535" s="119" t="s">
        <v>969</v>
      </c>
      <c r="D535" s="144">
        <v>9300</v>
      </c>
      <c r="E535" s="108"/>
      <c r="F535" s="108"/>
      <c r="G535" s="108"/>
      <c r="H535" s="108"/>
      <c r="I535" s="108"/>
      <c r="J535" s="108"/>
      <c r="K535" s="108"/>
      <c r="L535" s="108"/>
      <c r="M535" s="108"/>
      <c r="N535" s="108"/>
      <c r="O535" s="108"/>
      <c r="P535" s="108"/>
      <c r="Q535" s="108"/>
      <c r="R535" s="108"/>
      <c r="S535" s="108"/>
      <c r="T535" s="108"/>
      <c r="U535" s="108"/>
      <c r="V535" s="108"/>
      <c r="W535" s="108"/>
      <c r="X535" s="108"/>
      <c r="Y535" s="108"/>
      <c r="Z535" s="108"/>
      <c r="AA535" s="108"/>
    </row>
    <row r="536" spans="1:27" ht="15.5" customHeight="1" thickBot="1">
      <c r="A536" s="108"/>
      <c r="B536" s="108"/>
      <c r="C536" s="114" t="s">
        <v>970</v>
      </c>
      <c r="D536" s="143" t="s">
        <v>971</v>
      </c>
      <c r="E536" s="108"/>
      <c r="F536" s="108"/>
      <c r="G536" s="108"/>
      <c r="H536" s="108"/>
      <c r="I536" s="108"/>
      <c r="J536" s="108"/>
      <c r="K536" s="108"/>
      <c r="L536" s="108"/>
      <c r="M536" s="108"/>
      <c r="N536" s="142"/>
      <c r="O536" s="108"/>
      <c r="P536" s="108"/>
      <c r="Q536" s="108"/>
      <c r="R536" s="108"/>
      <c r="S536" s="108"/>
      <c r="T536" s="108"/>
      <c r="U536" s="108"/>
      <c r="V536" s="108"/>
      <c r="W536" s="108"/>
      <c r="X536" s="108"/>
      <c r="Y536" s="108"/>
      <c r="Z536" s="108"/>
      <c r="AA536" s="108"/>
    </row>
    <row r="537" spans="1:27" ht="73.5" customHeight="1">
      <c r="A537" s="108"/>
      <c r="B537" s="108"/>
      <c r="C537" s="2151" t="s">
        <v>972</v>
      </c>
      <c r="D537" s="2151"/>
      <c r="E537" s="2151"/>
      <c r="F537" s="2151"/>
      <c r="G537" s="2151"/>
      <c r="H537" s="2151"/>
      <c r="I537" s="2151"/>
      <c r="J537" s="2151"/>
      <c r="K537" s="2151"/>
      <c r="L537" s="2151"/>
      <c r="M537" s="108"/>
      <c r="N537" s="108"/>
      <c r="O537" s="108"/>
      <c r="P537" s="108"/>
      <c r="Q537" s="108"/>
      <c r="R537" s="108"/>
      <c r="S537" s="108"/>
      <c r="T537" s="108"/>
      <c r="U537" s="108"/>
      <c r="V537" s="108"/>
      <c r="W537" s="108"/>
      <c r="X537" s="108"/>
      <c r="Y537" s="108"/>
      <c r="Z537" s="108"/>
      <c r="AA537" s="108"/>
    </row>
    <row r="538" spans="1:27">
      <c r="A538" s="108"/>
      <c r="B538" s="108"/>
      <c r="C538" s="108"/>
      <c r="D538" s="108"/>
      <c r="E538" s="108"/>
      <c r="F538" s="108"/>
      <c r="G538" s="108"/>
      <c r="H538" s="108"/>
      <c r="I538" s="108"/>
      <c r="J538" s="108"/>
      <c r="K538" s="108"/>
      <c r="L538" s="108"/>
      <c r="M538" s="108"/>
      <c r="N538" s="108"/>
      <c r="O538" s="108"/>
      <c r="P538" s="108"/>
      <c r="Q538" s="108"/>
      <c r="R538" s="108"/>
      <c r="S538" s="108"/>
      <c r="T538" s="108"/>
      <c r="U538" s="108"/>
      <c r="V538" s="108"/>
      <c r="W538" s="108"/>
      <c r="X538" s="108"/>
      <c r="Y538" s="108"/>
      <c r="Z538" s="108"/>
      <c r="AA538" s="108"/>
    </row>
    <row r="539" spans="1:27" ht="16">
      <c r="B539" s="141" t="s">
        <v>973</v>
      </c>
      <c r="C539" s="140" t="s">
        <v>974</v>
      </c>
      <c r="D539" s="139"/>
      <c r="E539" s="139"/>
      <c r="F539" s="139"/>
      <c r="G539" s="139"/>
      <c r="H539" s="139"/>
      <c r="I539" s="139"/>
      <c r="J539" s="139"/>
      <c r="K539" s="139"/>
      <c r="L539" s="138"/>
      <c r="M539" s="108"/>
      <c r="N539" s="108"/>
      <c r="O539" s="108"/>
      <c r="P539" s="108"/>
      <c r="Q539" s="108"/>
      <c r="R539" s="108"/>
      <c r="S539" s="108"/>
      <c r="T539" s="108"/>
      <c r="U539" s="108"/>
      <c r="V539" s="108"/>
      <c r="W539" s="108"/>
      <c r="X539" s="108"/>
      <c r="Y539" s="108"/>
      <c r="Z539" s="108"/>
      <c r="AA539" s="108"/>
    </row>
    <row r="540" spans="1:27" ht="17" thickBot="1">
      <c r="A540" s="108"/>
      <c r="B540" s="137"/>
      <c r="C540" s="136"/>
      <c r="D540" s="108"/>
      <c r="E540" s="108"/>
      <c r="F540" s="108"/>
      <c r="G540" s="108"/>
      <c r="H540" s="108"/>
      <c r="I540" s="108"/>
      <c r="J540" s="108"/>
      <c r="K540" s="108"/>
      <c r="L540" s="108"/>
      <c r="M540" s="108"/>
      <c r="N540" s="108"/>
      <c r="O540" s="108"/>
      <c r="P540" s="108"/>
      <c r="Q540" s="108"/>
      <c r="R540" s="108"/>
      <c r="S540" s="108"/>
      <c r="T540" s="108"/>
      <c r="U540" s="108"/>
      <c r="V540" s="108"/>
      <c r="W540" s="108"/>
      <c r="X540" s="108"/>
      <c r="Y540" s="108"/>
      <c r="Z540" s="108"/>
      <c r="AA540" s="108"/>
    </row>
    <row r="541" spans="1:27" ht="15" thickBot="1">
      <c r="A541" s="108"/>
      <c r="B541" s="108"/>
      <c r="C541" s="135" t="s">
        <v>975</v>
      </c>
      <c r="D541" s="134" t="s">
        <v>976</v>
      </c>
      <c r="E541" s="133" t="s">
        <v>977</v>
      </c>
      <c r="F541" s="132"/>
      <c r="G541" s="132"/>
      <c r="H541" s="131"/>
      <c r="I541" s="130"/>
      <c r="J541" s="108"/>
      <c r="K541" s="108"/>
      <c r="L541" s="108"/>
      <c r="M541" s="108"/>
      <c r="N541" s="108"/>
      <c r="O541" s="108"/>
      <c r="P541" s="108"/>
      <c r="Q541" s="108"/>
      <c r="R541" s="108"/>
      <c r="S541" s="108"/>
      <c r="T541" s="108"/>
      <c r="U541" s="108"/>
      <c r="V541" s="108"/>
      <c r="W541" s="108"/>
      <c r="X541" s="108"/>
      <c r="Y541" s="108"/>
      <c r="Z541" s="108"/>
      <c r="AA541" s="108"/>
    </row>
    <row r="542" spans="1:27">
      <c r="A542" s="108"/>
      <c r="B542" s="108"/>
      <c r="C542" s="129" t="s">
        <v>978</v>
      </c>
      <c r="D542" s="128">
        <v>16</v>
      </c>
      <c r="E542" s="127" t="s">
        <v>979</v>
      </c>
      <c r="F542" s="126"/>
      <c r="G542" s="126"/>
      <c r="H542" s="125"/>
      <c r="I542" s="109"/>
      <c r="J542" s="108"/>
      <c r="K542" s="108"/>
      <c r="L542" s="108"/>
      <c r="M542" s="108"/>
      <c r="N542" s="108"/>
      <c r="O542" s="108"/>
      <c r="P542" s="108"/>
      <c r="Q542" s="108"/>
      <c r="R542" s="108"/>
      <c r="S542" s="108"/>
      <c r="T542" s="108"/>
      <c r="U542" s="108"/>
      <c r="V542" s="108"/>
      <c r="W542" s="108"/>
      <c r="X542" s="108"/>
      <c r="Y542" s="108"/>
      <c r="Z542" s="108"/>
      <c r="AA542" s="108"/>
    </row>
    <row r="543" spans="1:27">
      <c r="A543" s="108"/>
      <c r="B543" s="108"/>
      <c r="C543" s="119" t="s">
        <v>980</v>
      </c>
      <c r="D543" s="118">
        <v>14</v>
      </c>
      <c r="E543" s="117" t="s">
        <v>981</v>
      </c>
      <c r="F543" s="116"/>
      <c r="G543" s="116"/>
      <c r="H543" s="115"/>
      <c r="I543" s="109"/>
      <c r="J543" s="108"/>
      <c r="K543" s="108"/>
      <c r="L543" s="108"/>
      <c r="M543" s="108"/>
      <c r="N543" s="108"/>
      <c r="O543" s="108"/>
      <c r="P543" s="108"/>
      <c r="Q543" s="108"/>
      <c r="R543" s="108"/>
      <c r="S543" s="108"/>
      <c r="T543" s="108"/>
      <c r="U543" s="108"/>
      <c r="V543" s="108"/>
      <c r="W543" s="108"/>
      <c r="X543" s="108"/>
      <c r="Y543" s="108"/>
      <c r="Z543" s="108"/>
      <c r="AA543" s="108"/>
    </row>
    <row r="544" spans="1:27">
      <c r="A544" s="108"/>
      <c r="B544" s="108"/>
      <c r="C544" s="119" t="s">
        <v>982</v>
      </c>
      <c r="D544" s="118">
        <v>19</v>
      </c>
      <c r="E544" s="117" t="s">
        <v>983</v>
      </c>
      <c r="F544" s="116"/>
      <c r="G544" s="116"/>
      <c r="H544" s="115"/>
      <c r="I544" s="109"/>
      <c r="J544" s="108"/>
      <c r="K544" s="108"/>
      <c r="L544" s="108"/>
      <c r="M544" s="108"/>
      <c r="N544" s="108"/>
      <c r="O544" s="108"/>
      <c r="P544" s="108"/>
      <c r="Q544" s="108"/>
      <c r="R544" s="108"/>
      <c r="S544" s="108"/>
      <c r="T544" s="108"/>
      <c r="U544" s="108"/>
      <c r="V544" s="108"/>
      <c r="W544" s="108"/>
      <c r="X544" s="108"/>
      <c r="Y544" s="108"/>
      <c r="Z544" s="108"/>
      <c r="AA544" s="108"/>
    </row>
    <row r="545" spans="1:27">
      <c r="A545" s="108"/>
      <c r="B545" s="108"/>
      <c r="C545" s="119" t="s">
        <v>984</v>
      </c>
      <c r="D545" s="118">
        <v>2100</v>
      </c>
      <c r="E545" s="117" t="s">
        <v>985</v>
      </c>
      <c r="F545" s="116"/>
      <c r="G545" s="116"/>
      <c r="H545" s="115"/>
      <c r="I545" s="109"/>
      <c r="J545" s="108"/>
      <c r="K545" s="108"/>
      <c r="L545" s="108"/>
      <c r="M545" s="108"/>
      <c r="N545" s="108"/>
      <c r="O545" s="108"/>
      <c r="P545" s="108"/>
      <c r="Q545" s="108"/>
      <c r="R545" s="108"/>
      <c r="S545" s="108"/>
      <c r="T545" s="108"/>
      <c r="U545" s="108"/>
      <c r="V545" s="108"/>
      <c r="W545" s="108"/>
      <c r="X545" s="108"/>
      <c r="Y545" s="108"/>
      <c r="Z545" s="108"/>
      <c r="AA545" s="108"/>
    </row>
    <row r="546" spans="1:27">
      <c r="A546" s="108"/>
      <c r="B546" s="108"/>
      <c r="C546" s="119" t="s">
        <v>986</v>
      </c>
      <c r="D546" s="118">
        <v>1330</v>
      </c>
      <c r="E546" s="117" t="s">
        <v>987</v>
      </c>
      <c r="F546" s="116"/>
      <c r="G546" s="116"/>
      <c r="H546" s="115"/>
      <c r="I546" s="109"/>
      <c r="J546" s="108"/>
      <c r="K546" s="108"/>
      <c r="L546" s="108"/>
      <c r="M546" s="108"/>
      <c r="N546" s="108"/>
      <c r="O546" s="108"/>
      <c r="P546" s="108"/>
      <c r="Q546" s="108"/>
      <c r="R546" s="108"/>
      <c r="S546" s="108"/>
      <c r="T546" s="108"/>
      <c r="U546" s="108"/>
      <c r="V546" s="108"/>
      <c r="W546" s="108"/>
      <c r="X546" s="108"/>
      <c r="Y546" s="108"/>
      <c r="Z546" s="108"/>
      <c r="AA546" s="108"/>
    </row>
    <row r="547" spans="1:27">
      <c r="A547" s="108"/>
      <c r="B547" s="108"/>
      <c r="C547" s="119" t="s">
        <v>988</v>
      </c>
      <c r="D547" s="118">
        <v>3444</v>
      </c>
      <c r="E547" s="117" t="s">
        <v>989</v>
      </c>
      <c r="F547" s="116"/>
      <c r="G547" s="116"/>
      <c r="H547" s="115"/>
      <c r="I547" s="109"/>
      <c r="J547" s="108"/>
      <c r="K547" s="108"/>
      <c r="L547" s="108"/>
      <c r="M547" s="108"/>
      <c r="N547" s="108"/>
      <c r="O547" s="108"/>
      <c r="P547" s="108"/>
      <c r="Q547" s="108"/>
      <c r="R547" s="108"/>
      <c r="S547" s="108"/>
      <c r="T547" s="108"/>
      <c r="U547" s="108"/>
      <c r="V547" s="108"/>
      <c r="W547" s="108"/>
      <c r="X547" s="108"/>
      <c r="Y547" s="108"/>
      <c r="Z547" s="108"/>
      <c r="AA547" s="108"/>
    </row>
    <row r="548" spans="1:27">
      <c r="A548" s="108"/>
      <c r="B548" s="108"/>
      <c r="C548" s="119" t="s">
        <v>990</v>
      </c>
      <c r="D548" s="118">
        <v>3922</v>
      </c>
      <c r="E548" s="117" t="s">
        <v>991</v>
      </c>
      <c r="F548" s="116"/>
      <c r="G548" s="116"/>
      <c r="H548" s="115"/>
      <c r="I548" s="109"/>
      <c r="J548" s="108"/>
      <c r="K548" s="108"/>
      <c r="L548" s="108"/>
      <c r="M548" s="108"/>
      <c r="N548" s="108"/>
      <c r="O548" s="108"/>
      <c r="P548" s="108"/>
      <c r="Q548" s="108"/>
      <c r="R548" s="108"/>
      <c r="S548" s="108"/>
      <c r="T548" s="108"/>
      <c r="U548" s="108"/>
      <c r="V548" s="108"/>
      <c r="W548" s="108"/>
      <c r="X548" s="108"/>
      <c r="Y548" s="108"/>
      <c r="Z548" s="108"/>
      <c r="AA548" s="108"/>
    </row>
    <row r="549" spans="1:27">
      <c r="A549" s="108"/>
      <c r="B549" s="108"/>
      <c r="C549" s="119" t="s">
        <v>992</v>
      </c>
      <c r="D549" s="118">
        <v>0</v>
      </c>
      <c r="E549" s="117" t="s">
        <v>993</v>
      </c>
      <c r="F549" s="116"/>
      <c r="G549" s="116"/>
      <c r="H549" s="115"/>
      <c r="I549" s="109"/>
      <c r="J549" s="108"/>
      <c r="K549" s="108"/>
      <c r="L549" s="108"/>
      <c r="M549" s="108"/>
      <c r="N549" s="108"/>
      <c r="O549" s="108"/>
      <c r="P549" s="108"/>
      <c r="Q549" s="108"/>
      <c r="R549" s="108"/>
      <c r="S549" s="108"/>
      <c r="T549" s="108"/>
      <c r="U549" s="108"/>
      <c r="V549" s="108"/>
      <c r="W549" s="108"/>
      <c r="X549" s="108"/>
      <c r="Y549" s="108"/>
      <c r="Z549" s="108"/>
      <c r="AA549" s="108"/>
    </row>
    <row r="550" spans="1:27">
      <c r="A550" s="108"/>
      <c r="B550" s="108"/>
      <c r="C550" s="119" t="s">
        <v>994</v>
      </c>
      <c r="D550" s="118">
        <v>2107</v>
      </c>
      <c r="E550" s="117" t="s">
        <v>995</v>
      </c>
      <c r="F550" s="116"/>
      <c r="G550" s="116"/>
      <c r="H550" s="115"/>
      <c r="I550" s="109"/>
      <c r="J550" s="108"/>
      <c r="K550" s="108"/>
      <c r="L550" s="108"/>
      <c r="M550" s="108"/>
      <c r="N550" s="108"/>
      <c r="O550" s="108"/>
      <c r="P550" s="108"/>
      <c r="Q550" s="108"/>
      <c r="R550" s="108"/>
      <c r="S550" s="108"/>
      <c r="T550" s="108"/>
      <c r="U550" s="108"/>
      <c r="V550" s="108"/>
      <c r="W550" s="108"/>
      <c r="X550" s="108"/>
      <c r="Y550" s="108"/>
      <c r="Z550" s="108"/>
      <c r="AA550" s="108"/>
    </row>
    <row r="551" spans="1:27">
      <c r="A551" s="108"/>
      <c r="B551" s="108"/>
      <c r="C551" s="119" t="s">
        <v>996</v>
      </c>
      <c r="D551" s="118">
        <v>2804</v>
      </c>
      <c r="E551" s="117" t="s">
        <v>997</v>
      </c>
      <c r="F551" s="116"/>
      <c r="G551" s="116"/>
      <c r="H551" s="115"/>
      <c r="I551" s="109"/>
      <c r="J551" s="108"/>
      <c r="K551" s="108"/>
      <c r="L551" s="108"/>
      <c r="M551" s="108"/>
      <c r="N551" s="108"/>
      <c r="O551" s="108"/>
      <c r="P551" s="108"/>
      <c r="Q551" s="108"/>
      <c r="R551" s="108"/>
      <c r="S551" s="108"/>
      <c r="T551" s="108"/>
      <c r="U551" s="108"/>
      <c r="V551" s="108"/>
      <c r="W551" s="108"/>
      <c r="X551" s="108"/>
      <c r="Y551" s="108"/>
      <c r="Z551" s="108"/>
      <c r="AA551" s="108"/>
    </row>
    <row r="552" spans="1:27">
      <c r="A552" s="108"/>
      <c r="B552" s="108"/>
      <c r="C552" s="119" t="s">
        <v>998</v>
      </c>
      <c r="D552" s="118">
        <v>1774</v>
      </c>
      <c r="E552" s="117" t="s">
        <v>999</v>
      </c>
      <c r="F552" s="116"/>
      <c r="G552" s="116"/>
      <c r="H552" s="115"/>
      <c r="I552" s="109"/>
      <c r="J552" s="108"/>
      <c r="K552" s="108"/>
      <c r="L552" s="108"/>
      <c r="M552" s="108"/>
      <c r="N552" s="108"/>
      <c r="O552" s="108"/>
      <c r="P552" s="108"/>
      <c r="Q552" s="108"/>
      <c r="R552" s="108"/>
      <c r="S552" s="108"/>
      <c r="T552" s="108"/>
      <c r="U552" s="108"/>
      <c r="V552" s="108"/>
      <c r="W552" s="108"/>
      <c r="X552" s="108"/>
      <c r="Y552" s="108"/>
      <c r="Z552" s="108"/>
      <c r="AA552" s="108"/>
    </row>
    <row r="553" spans="1:27">
      <c r="A553" s="108"/>
      <c r="B553" s="108"/>
      <c r="C553" s="119" t="s">
        <v>1000</v>
      </c>
      <c r="D553" s="118">
        <v>1627</v>
      </c>
      <c r="E553" s="117" t="s">
        <v>1001</v>
      </c>
      <c r="F553" s="116"/>
      <c r="G553" s="116"/>
      <c r="H553" s="115"/>
      <c r="I553" s="109"/>
      <c r="J553" s="108"/>
      <c r="K553" s="108"/>
      <c r="L553" s="108"/>
      <c r="M553" s="108"/>
      <c r="N553" s="108"/>
      <c r="O553" s="108"/>
      <c r="P553" s="108"/>
      <c r="Q553" s="108"/>
      <c r="R553" s="108"/>
      <c r="S553" s="108"/>
      <c r="T553" s="108"/>
      <c r="U553" s="108"/>
      <c r="V553" s="108"/>
      <c r="W553" s="108"/>
      <c r="X553" s="108"/>
      <c r="Y553" s="108"/>
      <c r="Z553" s="108"/>
      <c r="AA553" s="108"/>
    </row>
    <row r="554" spans="1:27">
      <c r="A554" s="108"/>
      <c r="B554" s="108"/>
      <c r="C554" s="119" t="s">
        <v>1002</v>
      </c>
      <c r="D554" s="118">
        <v>1552</v>
      </c>
      <c r="E554" s="117" t="s">
        <v>1003</v>
      </c>
      <c r="F554" s="116"/>
      <c r="G554" s="116"/>
      <c r="H554" s="115"/>
      <c r="I554" s="109"/>
      <c r="J554" s="108"/>
      <c r="K554" s="108"/>
      <c r="L554" s="108"/>
      <c r="M554" s="108"/>
      <c r="N554" s="108"/>
      <c r="O554" s="108"/>
      <c r="P554" s="108"/>
      <c r="Q554" s="108"/>
      <c r="R554" s="108"/>
      <c r="S554" s="108"/>
      <c r="T554" s="108"/>
      <c r="U554" s="108"/>
      <c r="V554" s="108"/>
      <c r="W554" s="108"/>
      <c r="X554" s="108"/>
      <c r="Y554" s="108"/>
      <c r="Z554" s="108"/>
      <c r="AA554" s="108"/>
    </row>
    <row r="555" spans="1:27">
      <c r="A555" s="108"/>
      <c r="B555" s="108"/>
      <c r="C555" s="119" t="s">
        <v>1004</v>
      </c>
      <c r="D555" s="118">
        <v>2301</v>
      </c>
      <c r="E555" s="117" t="s">
        <v>1005</v>
      </c>
      <c r="F555" s="116"/>
      <c r="G555" s="116"/>
      <c r="H555" s="115"/>
      <c r="I555" s="109"/>
      <c r="J555" s="108"/>
      <c r="K555" s="108"/>
      <c r="L555" s="108"/>
      <c r="M555" s="108"/>
      <c r="N555" s="108"/>
      <c r="O555" s="108"/>
      <c r="P555" s="108"/>
      <c r="Q555" s="108"/>
      <c r="R555" s="108"/>
      <c r="S555" s="108"/>
      <c r="T555" s="108"/>
      <c r="U555" s="108"/>
      <c r="V555" s="108"/>
      <c r="W555" s="108"/>
      <c r="X555" s="108"/>
      <c r="Y555" s="108"/>
      <c r="Z555" s="108"/>
      <c r="AA555" s="108"/>
    </row>
    <row r="556" spans="1:27">
      <c r="A556" s="108"/>
      <c r="B556" s="108"/>
      <c r="C556" s="119" t="s">
        <v>1006</v>
      </c>
      <c r="D556" s="118">
        <v>0</v>
      </c>
      <c r="E556" s="117" t="s">
        <v>1007</v>
      </c>
      <c r="F556" s="116"/>
      <c r="G556" s="116"/>
      <c r="H556" s="115"/>
      <c r="I556" s="109"/>
      <c r="J556" s="108"/>
      <c r="K556" s="108"/>
      <c r="L556" s="108"/>
      <c r="M556" s="108"/>
      <c r="N556" s="108"/>
      <c r="O556" s="108"/>
      <c r="P556" s="108"/>
      <c r="Q556" s="108"/>
      <c r="R556" s="108"/>
      <c r="S556" s="108"/>
      <c r="T556" s="108"/>
      <c r="U556" s="108"/>
      <c r="V556" s="108"/>
      <c r="W556" s="108"/>
      <c r="X556" s="108"/>
      <c r="Y556" s="108"/>
      <c r="Z556" s="108"/>
      <c r="AA556" s="108"/>
    </row>
    <row r="557" spans="1:27">
      <c r="A557" s="108"/>
      <c r="B557" s="108"/>
      <c r="C557" s="119" t="s">
        <v>1008</v>
      </c>
      <c r="D557" s="118">
        <v>2088</v>
      </c>
      <c r="E557" s="117" t="s">
        <v>1009</v>
      </c>
      <c r="F557" s="116"/>
      <c r="G557" s="116"/>
      <c r="H557" s="115"/>
      <c r="I557" s="109"/>
      <c r="J557" s="108"/>
      <c r="K557" s="108"/>
      <c r="L557" s="108"/>
      <c r="M557" s="108"/>
      <c r="N557" s="108"/>
      <c r="O557" s="108"/>
      <c r="P557" s="108"/>
      <c r="Q557" s="108"/>
      <c r="R557" s="108"/>
      <c r="S557" s="108"/>
      <c r="T557" s="108"/>
      <c r="U557" s="108"/>
      <c r="V557" s="108"/>
      <c r="W557" s="108"/>
      <c r="X557" s="108"/>
      <c r="Y557" s="108"/>
      <c r="Z557" s="108"/>
      <c r="AA557" s="108"/>
    </row>
    <row r="558" spans="1:27">
      <c r="A558" s="108"/>
      <c r="B558" s="108"/>
      <c r="C558" s="119" t="s">
        <v>1010</v>
      </c>
      <c r="D558" s="118">
        <v>2229</v>
      </c>
      <c r="E558" s="117" t="s">
        <v>1011</v>
      </c>
      <c r="F558" s="116"/>
      <c r="G558" s="116"/>
      <c r="H558" s="115"/>
      <c r="I558" s="109"/>
      <c r="J558" s="108"/>
      <c r="K558" s="108"/>
      <c r="L558" s="108"/>
      <c r="M558" s="108"/>
      <c r="N558" s="108"/>
      <c r="O558" s="108"/>
      <c r="P558" s="108"/>
      <c r="Q558" s="108"/>
      <c r="R558" s="108"/>
      <c r="S558" s="108"/>
      <c r="T558" s="108"/>
      <c r="U558" s="108"/>
      <c r="V558" s="108"/>
      <c r="W558" s="108"/>
      <c r="X558" s="108"/>
      <c r="Y558" s="108"/>
      <c r="Z558" s="108"/>
      <c r="AA558" s="108"/>
    </row>
    <row r="559" spans="1:27">
      <c r="A559" s="108"/>
      <c r="B559" s="108"/>
      <c r="C559" s="119" t="s">
        <v>1012</v>
      </c>
      <c r="D559" s="118">
        <v>14</v>
      </c>
      <c r="E559" s="117" t="s">
        <v>1013</v>
      </c>
      <c r="F559" s="116"/>
      <c r="G559" s="116"/>
      <c r="H559" s="115"/>
      <c r="I559" s="109"/>
      <c r="J559" s="108"/>
      <c r="K559" s="108"/>
      <c r="L559" s="108"/>
      <c r="M559" s="108"/>
      <c r="N559" s="108"/>
      <c r="O559" s="108"/>
      <c r="P559" s="108"/>
      <c r="Q559" s="108"/>
      <c r="R559" s="108"/>
      <c r="S559" s="108"/>
      <c r="T559" s="108"/>
      <c r="U559" s="108"/>
      <c r="V559" s="108"/>
      <c r="W559" s="108"/>
      <c r="X559" s="108"/>
      <c r="Y559" s="108"/>
      <c r="Z559" s="108"/>
      <c r="AA559" s="108"/>
    </row>
    <row r="560" spans="1:27">
      <c r="A560" s="108"/>
      <c r="B560" s="108"/>
      <c r="C560" s="119" t="s">
        <v>1014</v>
      </c>
      <c r="D560" s="118">
        <v>4</v>
      </c>
      <c r="E560" s="117" t="s">
        <v>1015</v>
      </c>
      <c r="F560" s="116"/>
      <c r="G560" s="116"/>
      <c r="H560" s="115"/>
      <c r="I560" s="109"/>
      <c r="J560" s="108"/>
      <c r="K560" s="108"/>
      <c r="L560" s="108"/>
      <c r="M560" s="108"/>
      <c r="N560" s="108"/>
      <c r="O560" s="108"/>
      <c r="P560" s="108"/>
      <c r="Q560" s="108"/>
      <c r="R560" s="108"/>
      <c r="S560" s="108"/>
      <c r="T560" s="108"/>
      <c r="U560" s="108"/>
      <c r="V560" s="108"/>
      <c r="W560" s="108"/>
      <c r="X560" s="108"/>
      <c r="Y560" s="108"/>
      <c r="Z560" s="108"/>
      <c r="AA560" s="108"/>
    </row>
    <row r="561" spans="1:27">
      <c r="A561" s="108"/>
      <c r="B561" s="108"/>
      <c r="C561" s="119" t="s">
        <v>1016</v>
      </c>
      <c r="D561" s="118">
        <v>2053</v>
      </c>
      <c r="E561" s="117" t="s">
        <v>1017</v>
      </c>
      <c r="F561" s="116"/>
      <c r="G561" s="116"/>
      <c r="H561" s="115"/>
      <c r="I561" s="109"/>
      <c r="J561" s="108"/>
      <c r="K561" s="108"/>
      <c r="L561" s="108"/>
      <c r="M561" s="108"/>
      <c r="N561" s="108"/>
      <c r="O561" s="108"/>
      <c r="P561" s="108"/>
      <c r="Q561" s="108"/>
      <c r="R561" s="108"/>
      <c r="S561" s="108"/>
      <c r="T561" s="108"/>
      <c r="U561" s="108"/>
      <c r="V561" s="108"/>
      <c r="W561" s="108"/>
      <c r="X561" s="108"/>
      <c r="Y561" s="108"/>
      <c r="Z561" s="108"/>
      <c r="AA561" s="108"/>
    </row>
    <row r="562" spans="1:27">
      <c r="A562" s="108"/>
      <c r="B562" s="108"/>
      <c r="C562" s="119" t="s">
        <v>1018</v>
      </c>
      <c r="D562" s="118">
        <v>0</v>
      </c>
      <c r="E562" s="117" t="s">
        <v>1019</v>
      </c>
      <c r="F562" s="116"/>
      <c r="G562" s="116"/>
      <c r="H562" s="115"/>
      <c r="I562" s="109"/>
      <c r="J562" s="108"/>
      <c r="K562" s="108"/>
      <c r="L562" s="108"/>
      <c r="M562" s="108"/>
      <c r="N562" s="108"/>
      <c r="O562" s="108"/>
      <c r="P562" s="108"/>
      <c r="Q562" s="108"/>
      <c r="R562" s="108"/>
      <c r="S562" s="108"/>
      <c r="T562" s="108"/>
      <c r="U562" s="108"/>
      <c r="V562" s="108"/>
      <c r="W562" s="108"/>
      <c r="X562" s="108"/>
      <c r="Y562" s="108"/>
      <c r="Z562" s="108"/>
      <c r="AA562" s="108"/>
    </row>
    <row r="563" spans="1:27">
      <c r="A563" s="108"/>
      <c r="B563" s="108"/>
      <c r="C563" s="119" t="s">
        <v>1020</v>
      </c>
      <c r="D563" s="118">
        <v>0</v>
      </c>
      <c r="E563" s="117" t="s">
        <v>1021</v>
      </c>
      <c r="F563" s="116"/>
      <c r="G563" s="116"/>
      <c r="H563" s="115"/>
      <c r="I563" s="109"/>
      <c r="J563" s="108"/>
      <c r="K563" s="108"/>
      <c r="L563" s="108"/>
      <c r="M563" s="108"/>
      <c r="N563" s="108"/>
      <c r="O563" s="108"/>
      <c r="P563" s="108"/>
      <c r="Q563" s="108"/>
      <c r="R563" s="108"/>
      <c r="S563" s="108"/>
      <c r="T563" s="108"/>
      <c r="U563" s="108"/>
      <c r="V563" s="108"/>
      <c r="W563" s="108"/>
      <c r="X563" s="108"/>
      <c r="Y563" s="108"/>
      <c r="Z563" s="108"/>
      <c r="AA563" s="108"/>
    </row>
    <row r="564" spans="1:27">
      <c r="A564" s="108"/>
      <c r="B564" s="108"/>
      <c r="C564" s="119" t="s">
        <v>1022</v>
      </c>
      <c r="D564" s="118">
        <v>2346</v>
      </c>
      <c r="E564" s="117" t="s">
        <v>1023</v>
      </c>
      <c r="F564" s="116"/>
      <c r="G564" s="116"/>
      <c r="H564" s="115"/>
      <c r="I564" s="109"/>
      <c r="J564" s="108"/>
      <c r="K564" s="108"/>
      <c r="L564" s="108"/>
      <c r="M564" s="108"/>
      <c r="N564" s="108"/>
      <c r="O564" s="108"/>
      <c r="P564" s="108"/>
      <c r="Q564" s="108"/>
      <c r="R564" s="108"/>
      <c r="S564" s="108"/>
      <c r="T564" s="108"/>
      <c r="U564" s="108"/>
      <c r="V564" s="108"/>
      <c r="W564" s="108"/>
      <c r="X564" s="108"/>
      <c r="Y564" s="108"/>
      <c r="Z564" s="108"/>
      <c r="AA564" s="108"/>
    </row>
    <row r="565" spans="1:27">
      <c r="A565" s="108"/>
      <c r="B565" s="108"/>
      <c r="C565" s="119" t="s">
        <v>1024</v>
      </c>
      <c r="D565" s="118">
        <v>3143</v>
      </c>
      <c r="E565" s="117" t="s">
        <v>1025</v>
      </c>
      <c r="F565" s="116"/>
      <c r="G565" s="116"/>
      <c r="H565" s="115"/>
      <c r="I565" s="109"/>
      <c r="J565" s="108"/>
      <c r="K565" s="108"/>
      <c r="L565" s="108"/>
      <c r="M565" s="108"/>
      <c r="N565" s="108"/>
      <c r="O565" s="108"/>
      <c r="P565" s="108"/>
      <c r="Q565" s="108"/>
      <c r="R565" s="108"/>
      <c r="S565" s="108"/>
      <c r="T565" s="108"/>
      <c r="U565" s="108"/>
      <c r="V565" s="108"/>
      <c r="W565" s="108"/>
      <c r="X565" s="108"/>
      <c r="Y565" s="108"/>
      <c r="Z565" s="108"/>
      <c r="AA565" s="108"/>
    </row>
    <row r="566" spans="1:27">
      <c r="A566" s="108"/>
      <c r="B566" s="108"/>
      <c r="C566" s="119" t="s">
        <v>1026</v>
      </c>
      <c r="D566" s="118">
        <v>2729</v>
      </c>
      <c r="E566" s="117" t="s">
        <v>1027</v>
      </c>
      <c r="F566" s="116"/>
      <c r="G566" s="116"/>
      <c r="H566" s="115"/>
      <c r="I566" s="109"/>
      <c r="J566" s="108"/>
      <c r="K566" s="108"/>
      <c r="L566" s="108"/>
      <c r="M566" s="108"/>
      <c r="N566" s="108"/>
      <c r="O566" s="108"/>
      <c r="P566" s="108"/>
      <c r="Q566" s="108"/>
      <c r="R566" s="108"/>
      <c r="S566" s="108"/>
      <c r="T566" s="108"/>
      <c r="U566" s="108"/>
      <c r="V566" s="108"/>
      <c r="W566" s="108"/>
      <c r="X566" s="108"/>
      <c r="Y566" s="108"/>
      <c r="Z566" s="108"/>
      <c r="AA566" s="108"/>
    </row>
    <row r="567" spans="1:27">
      <c r="A567" s="108"/>
      <c r="B567" s="108"/>
      <c r="C567" s="119" t="s">
        <v>1028</v>
      </c>
      <c r="D567" s="118">
        <v>2280</v>
      </c>
      <c r="E567" s="117" t="s">
        <v>1029</v>
      </c>
      <c r="F567" s="116"/>
      <c r="G567" s="116"/>
      <c r="H567" s="115"/>
      <c r="I567" s="109"/>
      <c r="J567" s="108"/>
      <c r="K567" s="108"/>
      <c r="L567" s="108"/>
      <c r="M567" s="108"/>
      <c r="N567" s="108"/>
      <c r="O567" s="108"/>
      <c r="P567" s="108"/>
      <c r="Q567" s="108"/>
      <c r="R567" s="108"/>
      <c r="S567" s="108"/>
      <c r="T567" s="108"/>
      <c r="U567" s="108"/>
      <c r="V567" s="108"/>
      <c r="W567" s="108"/>
      <c r="X567" s="108"/>
      <c r="Y567" s="108"/>
      <c r="Z567" s="108"/>
      <c r="AA567" s="108"/>
    </row>
    <row r="568" spans="1:27">
      <c r="A568" s="108"/>
      <c r="B568" s="108"/>
      <c r="C568" s="119" t="s">
        <v>1030</v>
      </c>
      <c r="D568" s="118">
        <v>2440</v>
      </c>
      <c r="E568" s="123" t="s">
        <v>1031</v>
      </c>
      <c r="F568" s="122"/>
      <c r="G568" s="122"/>
      <c r="H568" s="121"/>
      <c r="I568" s="109"/>
      <c r="J568" s="108"/>
      <c r="K568" s="108"/>
      <c r="L568" s="108"/>
      <c r="M568" s="108"/>
      <c r="N568" s="108"/>
      <c r="O568" s="108"/>
      <c r="P568" s="108"/>
      <c r="Q568" s="108"/>
      <c r="R568" s="108"/>
      <c r="S568" s="108"/>
      <c r="T568" s="108"/>
      <c r="U568" s="108"/>
      <c r="V568" s="108"/>
      <c r="W568" s="108"/>
      <c r="X568" s="108"/>
      <c r="Y568" s="108"/>
      <c r="Z568" s="108"/>
      <c r="AA568" s="108"/>
    </row>
    <row r="569" spans="1:27">
      <c r="A569" s="108"/>
      <c r="B569" s="108"/>
      <c r="C569" s="119" t="s">
        <v>1032</v>
      </c>
      <c r="D569" s="118">
        <v>1508</v>
      </c>
      <c r="E569" s="123" t="s">
        <v>1033</v>
      </c>
      <c r="F569" s="122"/>
      <c r="G569" s="122"/>
      <c r="H569" s="121"/>
      <c r="I569" s="109"/>
      <c r="J569" s="108"/>
      <c r="K569" s="108"/>
      <c r="L569" s="108"/>
      <c r="M569" s="108"/>
      <c r="N569" s="108"/>
      <c r="O569" s="108"/>
      <c r="P569" s="108"/>
      <c r="Q569" s="108"/>
      <c r="R569" s="108"/>
      <c r="S569" s="108"/>
      <c r="T569" s="108"/>
      <c r="U569" s="108"/>
      <c r="V569" s="108"/>
      <c r="W569" s="108"/>
      <c r="X569" s="108"/>
      <c r="Y569" s="108"/>
      <c r="Z569" s="108"/>
      <c r="AA569" s="108"/>
    </row>
    <row r="570" spans="1:27">
      <c r="A570" s="108"/>
      <c r="B570" s="108"/>
      <c r="C570" s="119" t="s">
        <v>1034</v>
      </c>
      <c r="D570" s="118">
        <v>3607</v>
      </c>
      <c r="E570" s="117" t="s">
        <v>1035</v>
      </c>
      <c r="F570" s="116"/>
      <c r="G570" s="116"/>
      <c r="H570" s="115"/>
      <c r="I570" s="109"/>
      <c r="J570" s="108"/>
      <c r="K570" s="108"/>
      <c r="L570" s="108"/>
      <c r="M570" s="108"/>
      <c r="N570" s="108"/>
      <c r="O570" s="108"/>
      <c r="P570" s="108"/>
      <c r="Q570" s="108"/>
      <c r="R570" s="108"/>
      <c r="S570" s="108"/>
      <c r="T570" s="108"/>
      <c r="U570" s="108"/>
      <c r="V570" s="108"/>
      <c r="W570" s="108"/>
      <c r="X570" s="108"/>
      <c r="Y570" s="108"/>
      <c r="Z570" s="108"/>
      <c r="AA570" s="108"/>
    </row>
    <row r="571" spans="1:27">
      <c r="A571" s="108"/>
      <c r="B571" s="108"/>
      <c r="C571" s="119" t="s">
        <v>1036</v>
      </c>
      <c r="D571" s="124">
        <v>3245</v>
      </c>
      <c r="E571" s="123" t="s">
        <v>1037</v>
      </c>
      <c r="F571" s="122"/>
      <c r="G571" s="122"/>
      <c r="H571" s="121"/>
      <c r="I571" s="109"/>
      <c r="J571" s="108"/>
      <c r="K571" s="108"/>
      <c r="L571" s="108"/>
      <c r="M571" s="108"/>
      <c r="N571" s="108"/>
      <c r="O571" s="108"/>
      <c r="P571" s="108"/>
      <c r="Q571" s="108"/>
      <c r="R571" s="108"/>
      <c r="S571" s="108"/>
      <c r="T571" s="108"/>
      <c r="U571" s="108"/>
      <c r="V571" s="108"/>
      <c r="W571" s="108"/>
      <c r="X571" s="108"/>
      <c r="Y571" s="108"/>
      <c r="Z571" s="108"/>
      <c r="AA571" s="108"/>
    </row>
    <row r="572" spans="1:27">
      <c r="A572" s="108"/>
      <c r="B572" s="108"/>
      <c r="C572" s="120" t="s">
        <v>1038</v>
      </c>
      <c r="D572" s="118">
        <v>32</v>
      </c>
      <c r="E572" s="117" t="s">
        <v>1039</v>
      </c>
      <c r="F572" s="116"/>
      <c r="G572" s="116"/>
      <c r="H572" s="115"/>
      <c r="I572" s="109"/>
      <c r="J572" s="108"/>
      <c r="K572" s="108"/>
      <c r="L572" s="108"/>
      <c r="M572" s="108"/>
      <c r="N572" s="108"/>
      <c r="O572" s="108"/>
      <c r="P572" s="108"/>
      <c r="Q572" s="108"/>
      <c r="R572" s="108"/>
      <c r="S572" s="108"/>
      <c r="T572" s="108"/>
      <c r="U572" s="108"/>
      <c r="V572" s="108"/>
      <c r="W572" s="108"/>
      <c r="X572" s="108"/>
      <c r="Y572" s="108"/>
      <c r="Z572" s="108"/>
      <c r="AA572" s="108"/>
    </row>
    <row r="573" spans="1:27">
      <c r="A573" s="108"/>
      <c r="B573" s="108"/>
      <c r="C573" s="120" t="s">
        <v>1040</v>
      </c>
      <c r="D573" s="118">
        <v>0</v>
      </c>
      <c r="E573" s="117" t="s">
        <v>1041</v>
      </c>
      <c r="F573" s="116"/>
      <c r="G573" s="116"/>
      <c r="H573" s="115"/>
      <c r="I573" s="109"/>
      <c r="J573" s="108"/>
      <c r="K573" s="108"/>
      <c r="L573" s="108"/>
      <c r="M573" s="108"/>
      <c r="N573" s="108"/>
      <c r="O573" s="108"/>
      <c r="P573" s="108"/>
      <c r="Q573" s="108"/>
      <c r="R573" s="108"/>
      <c r="S573" s="108"/>
      <c r="T573" s="108"/>
      <c r="U573" s="108"/>
      <c r="V573" s="108"/>
      <c r="W573" s="108"/>
      <c r="X573" s="108"/>
      <c r="Y573" s="108"/>
      <c r="Z573" s="108"/>
      <c r="AA573" s="108"/>
    </row>
    <row r="574" spans="1:27">
      <c r="A574" s="108"/>
      <c r="B574" s="108"/>
      <c r="C574" s="120" t="s">
        <v>1042</v>
      </c>
      <c r="D574" s="118">
        <v>325</v>
      </c>
      <c r="E574" s="117" t="s">
        <v>1043</v>
      </c>
      <c r="F574" s="116"/>
      <c r="G574" s="116"/>
      <c r="H574" s="115"/>
      <c r="I574" s="109"/>
      <c r="J574" s="108"/>
      <c r="K574" s="108"/>
      <c r="L574" s="108"/>
      <c r="M574" s="108"/>
      <c r="N574" s="108"/>
      <c r="O574" s="108"/>
      <c r="P574" s="108"/>
      <c r="Q574" s="108"/>
      <c r="R574" s="108"/>
      <c r="S574" s="108"/>
      <c r="T574" s="108"/>
      <c r="U574" s="108"/>
      <c r="V574" s="108"/>
      <c r="W574" s="108"/>
      <c r="X574" s="108"/>
      <c r="Y574" s="108"/>
      <c r="Z574" s="108"/>
      <c r="AA574" s="108"/>
    </row>
    <row r="575" spans="1:27">
      <c r="A575" s="108"/>
      <c r="B575" s="108"/>
      <c r="C575" s="120" t="s">
        <v>1044</v>
      </c>
      <c r="D575" s="118">
        <v>3985</v>
      </c>
      <c r="E575" s="117" t="s">
        <v>1045</v>
      </c>
      <c r="F575" s="116"/>
      <c r="G575" s="116"/>
      <c r="H575" s="115"/>
      <c r="I575" s="109"/>
      <c r="J575" s="108"/>
      <c r="K575" s="108"/>
      <c r="L575" s="108"/>
      <c r="M575" s="108"/>
      <c r="N575" s="108"/>
      <c r="O575" s="108"/>
      <c r="P575" s="108"/>
      <c r="Q575" s="108"/>
      <c r="R575" s="108"/>
      <c r="S575" s="108"/>
      <c r="T575" s="108"/>
      <c r="U575" s="108"/>
      <c r="V575" s="108"/>
      <c r="W575" s="108"/>
      <c r="X575" s="108"/>
      <c r="Y575" s="108"/>
      <c r="Z575" s="108"/>
      <c r="AA575" s="108"/>
    </row>
    <row r="576" spans="1:27">
      <c r="A576" s="108"/>
      <c r="B576" s="108"/>
      <c r="C576" s="119" t="s">
        <v>1046</v>
      </c>
      <c r="D576" s="118">
        <v>13214</v>
      </c>
      <c r="E576" s="117" t="s">
        <v>1047</v>
      </c>
      <c r="F576" s="116"/>
      <c r="G576" s="116"/>
      <c r="H576" s="115"/>
      <c r="I576" s="109"/>
      <c r="J576" s="108"/>
      <c r="K576" s="108"/>
      <c r="L576" s="108"/>
      <c r="M576" s="108"/>
      <c r="N576" s="108"/>
      <c r="O576" s="108"/>
      <c r="P576" s="108"/>
      <c r="Q576" s="108"/>
      <c r="R576" s="108"/>
      <c r="S576" s="108"/>
      <c r="T576" s="108"/>
      <c r="U576" s="108"/>
      <c r="V576" s="108"/>
      <c r="W576" s="108"/>
      <c r="X576" s="108"/>
      <c r="Y576" s="108"/>
      <c r="Z576" s="108"/>
      <c r="AA576" s="108"/>
    </row>
    <row r="577" spans="1:27" ht="14" thickBot="1">
      <c r="A577" s="108"/>
      <c r="B577" s="108"/>
      <c r="C577" s="114" t="s">
        <v>1048</v>
      </c>
      <c r="D577" s="113">
        <v>13396</v>
      </c>
      <c r="E577" s="112" t="s">
        <v>1049</v>
      </c>
      <c r="F577" s="111"/>
      <c r="G577" s="111"/>
      <c r="H577" s="110"/>
      <c r="I577" s="109"/>
      <c r="J577" s="108"/>
      <c r="K577" s="108"/>
      <c r="L577" s="108"/>
      <c r="M577" s="108"/>
      <c r="N577" s="108"/>
      <c r="O577" s="108"/>
      <c r="P577" s="108"/>
      <c r="Q577" s="108"/>
      <c r="R577" s="108"/>
      <c r="S577" s="108"/>
      <c r="T577" s="108"/>
      <c r="U577" s="108"/>
      <c r="V577" s="108"/>
      <c r="W577" s="108"/>
      <c r="X577" s="108"/>
      <c r="Y577" s="108"/>
      <c r="Z577" s="108"/>
      <c r="AA577" s="108"/>
    </row>
    <row r="578" spans="1:27" s="103" customFormat="1" ht="41.25" customHeight="1">
      <c r="A578" s="104"/>
      <c r="B578" s="107"/>
      <c r="C578" s="2151" t="s">
        <v>1050</v>
      </c>
      <c r="D578" s="2151"/>
      <c r="E578" s="2151"/>
      <c r="F578" s="2151"/>
      <c r="G578" s="2151"/>
      <c r="H578" s="2151"/>
      <c r="I578" s="2151"/>
      <c r="J578" s="2151"/>
      <c r="K578" s="2151"/>
      <c r="L578" s="2151"/>
      <c r="M578" s="105"/>
      <c r="N578" s="104"/>
      <c r="O578" s="104"/>
      <c r="P578" s="104"/>
      <c r="Q578" s="104"/>
      <c r="R578" s="104"/>
      <c r="S578" s="104"/>
      <c r="T578" s="104"/>
      <c r="U578" s="104"/>
      <c r="V578" s="104"/>
      <c r="W578" s="104"/>
      <c r="X578" s="104"/>
      <c r="Y578" s="104"/>
      <c r="Z578" s="104"/>
      <c r="AA578" s="104"/>
    </row>
  </sheetData>
  <mergeCells count="55">
    <mergeCell ref="C483:K483"/>
    <mergeCell ref="C497:L497"/>
    <mergeCell ref="C498:L498"/>
    <mergeCell ref="C537:L537"/>
    <mergeCell ref="C578:L578"/>
    <mergeCell ref="B500:L500"/>
    <mergeCell ref="G519:M519"/>
    <mergeCell ref="G511:M511"/>
    <mergeCell ref="G512:M512"/>
    <mergeCell ref="G520:M520"/>
    <mergeCell ref="C355:J355"/>
    <mergeCell ref="B399:L399"/>
    <mergeCell ref="B400:L400"/>
    <mergeCell ref="C356:J356"/>
    <mergeCell ref="C318:H318"/>
    <mergeCell ref="H322:J322"/>
    <mergeCell ref="C480:L480"/>
    <mergeCell ref="B2:L2"/>
    <mergeCell ref="C235:C237"/>
    <mergeCell ref="C238:C240"/>
    <mergeCell ref="C226:C228"/>
    <mergeCell ref="C5:L5"/>
    <mergeCell ref="D10:H10"/>
    <mergeCell ref="C91:K91"/>
    <mergeCell ref="C111:K111"/>
    <mergeCell ref="C93:K93"/>
    <mergeCell ref="C403:L403"/>
    <mergeCell ref="C412:L412"/>
    <mergeCell ref="C413:L413"/>
    <mergeCell ref="C416:K416"/>
    <mergeCell ref="D417:I417"/>
    <mergeCell ref="C479:L479"/>
    <mergeCell ref="C114:K114"/>
    <mergeCell ref="D235:D237"/>
    <mergeCell ref="D238:D240"/>
    <mergeCell ref="C113:K113"/>
    <mergeCell ref="C230:L230"/>
    <mergeCell ref="C276:C279"/>
    <mergeCell ref="C281:C282"/>
    <mergeCell ref="C241:C242"/>
    <mergeCell ref="C271:L271"/>
    <mergeCell ref="D241:D242"/>
    <mergeCell ref="C243:C247"/>
    <mergeCell ref="C248:C252"/>
    <mergeCell ref="C253:C256"/>
    <mergeCell ref="C257:C262"/>
    <mergeCell ref="C263:C268"/>
    <mergeCell ref="C306:C308"/>
    <mergeCell ref="C309:C311"/>
    <mergeCell ref="C312:C315"/>
    <mergeCell ref="C283:C288"/>
    <mergeCell ref="C289:C294"/>
    <mergeCell ref="C295:C298"/>
    <mergeCell ref="C299:C301"/>
    <mergeCell ref="C302:C305"/>
  </mergeCells>
  <hyperlinks>
    <hyperlink ref="C92" r:id="rId1" xr:uid="{E15DE27D-2345-43C3-B62C-C92BF81943C3}"/>
    <hyperlink ref="C112" r:id="rId2" xr:uid="{29E34109-5002-4880-BC64-92B95C63E3AA}"/>
    <hyperlink ref="C354" r:id="rId3" xr:uid="{C06FCA84-A55A-48F3-980E-3A6BAF1B67EA}"/>
    <hyperlink ref="C317" r:id="rId4" xr:uid="{EC7095EC-E16E-472B-B197-2207D5B3BD28}"/>
    <hyperlink ref="C270" r:id="rId5" xr:uid="{68EF563E-3B57-4E77-A6B9-F51C9F87EBC2}"/>
    <hyperlink ref="C357" r:id="rId6" xr:uid="{3DF2D670-120F-45C8-9DA4-9CB36ABC72FE}"/>
  </hyperlinks>
  <printOptions horizontalCentered="1"/>
  <pageMargins left="0" right="0" top="0.4" bottom="0.4" header="0.2" footer="0.2"/>
  <pageSetup scale="40" fitToHeight="7" orientation="portrait" cellComments="atEnd" verticalDpi="4294967292" r:id="rId7"/>
  <headerFooter differentFirst="1" alignWithMargins="0">
    <oddHeader>&amp;L&amp;"Verdana,Bold"&amp;11&amp;KFF0000Red text indicates an update 
from the 2022 version of this document.&amp;CEmission Factors for Greenhouse Gas Inventories
Last Modified: 16 March 2023</oddHeader>
    <oddFooter>Page &amp;P of &amp;N</oddFooter>
  </headerFooter>
  <rowBreaks count="6" manualBreakCount="6">
    <brk id="96" max="11" man="1"/>
    <brk id="231" max="11" man="1"/>
    <brk id="319" max="11" man="1"/>
    <brk id="398" max="11" man="1"/>
    <brk id="413" max="11" man="1"/>
    <brk id="499" max="11" man="1"/>
  </rowBreaks>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DA19A-045E-40A4-9B4B-485E9E52175F}">
  <sheetPr codeName="Sheet16"/>
  <dimension ref="A1:E67"/>
  <sheetViews>
    <sheetView workbookViewId="0"/>
  </sheetViews>
  <sheetFormatPr baseColWidth="10" defaultColWidth="8.83203125" defaultRowHeight="15"/>
  <cols>
    <col min="1" max="1" width="28.33203125" customWidth="1"/>
    <col min="2" max="3" width="20.6640625" customWidth="1"/>
    <col min="4" max="4" width="17.6640625" customWidth="1"/>
  </cols>
  <sheetData>
    <row r="1" spans="1:5">
      <c r="A1" s="3" t="s">
        <v>1092</v>
      </c>
    </row>
    <row r="3" spans="1:5">
      <c r="A3" s="18" t="s">
        <v>1093</v>
      </c>
      <c r="B3" s="19"/>
      <c r="C3" s="19"/>
      <c r="D3" s="19"/>
      <c r="E3" s="19"/>
    </row>
    <row r="5" spans="1:5">
      <c r="A5" s="3" t="s">
        <v>619</v>
      </c>
      <c r="B5" t="s">
        <v>341</v>
      </c>
    </row>
    <row r="6" spans="1:5">
      <c r="B6" s="16">
        <v>2018</v>
      </c>
    </row>
    <row r="7" spans="1:5">
      <c r="B7" t="s">
        <v>342</v>
      </c>
    </row>
    <row r="8" spans="1:5">
      <c r="B8" s="10" t="s">
        <v>343</v>
      </c>
    </row>
    <row r="11" spans="1:5">
      <c r="A11" s="3" t="s">
        <v>1094</v>
      </c>
    </row>
    <row r="12" spans="1:5">
      <c r="A12" s="20" t="s">
        <v>1095</v>
      </c>
    </row>
    <row r="14" spans="1:5">
      <c r="A14" t="s">
        <v>1096</v>
      </c>
    </row>
    <row r="16" spans="1:5">
      <c r="A16" s="3" t="s">
        <v>1097</v>
      </c>
    </row>
    <row r="17" spans="1:4">
      <c r="A17" t="s">
        <v>1098</v>
      </c>
      <c r="B17">
        <v>8.81</v>
      </c>
      <c r="C17" t="s">
        <v>1099</v>
      </c>
    </row>
    <row r="18" spans="1:4">
      <c r="B18">
        <f>B17/10^3</f>
        <v>8.8100000000000001E-3</v>
      </c>
      <c r="C18" t="s">
        <v>1100</v>
      </c>
    </row>
    <row r="19" spans="1:4">
      <c r="A19" t="s">
        <v>1101</v>
      </c>
      <c r="B19" s="23">
        <f>B18/'Region-Independent Data'!$B$11</f>
        <v>9.2736842105263159E-3</v>
      </c>
      <c r="C19" t="s">
        <v>1100</v>
      </c>
      <c r="D19" t="s">
        <v>1102</v>
      </c>
    </row>
    <row r="22" spans="1:4">
      <c r="A22" s="3" t="s">
        <v>1103</v>
      </c>
    </row>
    <row r="23" spans="1:4">
      <c r="A23" t="s">
        <v>1098</v>
      </c>
      <c r="B23">
        <v>5.25</v>
      </c>
      <c r="C23" t="s">
        <v>1099</v>
      </c>
    </row>
    <row r="24" spans="1:4">
      <c r="B24">
        <f>B23/10^3</f>
        <v>5.2500000000000003E-3</v>
      </c>
      <c r="C24" t="s">
        <v>1100</v>
      </c>
    </row>
    <row r="25" spans="1:4">
      <c r="A25" t="s">
        <v>1101</v>
      </c>
      <c r="B25">
        <f>B24/'Region-Independent Data'!$B$11</f>
        <v>5.5263157894736847E-3</v>
      </c>
      <c r="C25" t="s">
        <v>1100</v>
      </c>
    </row>
    <row r="27" spans="1:4">
      <c r="A27" t="s">
        <v>1104</v>
      </c>
      <c r="B27">
        <v>366</v>
      </c>
      <c r="C27" t="s">
        <v>1105</v>
      </c>
    </row>
    <row r="28" spans="1:4">
      <c r="B28">
        <f>B27*'Unit Conversions'!E15</f>
        <v>1.3175634001968439</v>
      </c>
      <c r="C28" t="s">
        <v>1099</v>
      </c>
    </row>
    <row r="29" spans="1:4">
      <c r="B29">
        <f>B28/10^3</f>
        <v>1.3175634001968439E-3</v>
      </c>
      <c r="C29" t="s">
        <v>1100</v>
      </c>
    </row>
    <row r="31" spans="1:4">
      <c r="A31" t="s">
        <v>1106</v>
      </c>
      <c r="B31" s="23">
        <f>SUM(B25,B29)</f>
        <v>6.8438791896705282E-3</v>
      </c>
      <c r="C31" t="s">
        <v>1100</v>
      </c>
    </row>
    <row r="37" spans="1:5">
      <c r="A37" s="8" t="s">
        <v>1107</v>
      </c>
      <c r="B37" s="9"/>
      <c r="C37" s="9"/>
      <c r="D37" s="9"/>
      <c r="E37" s="9"/>
    </row>
    <row r="39" spans="1:5">
      <c r="A39" s="3" t="s">
        <v>1108</v>
      </c>
      <c r="B39" t="s">
        <v>387</v>
      </c>
    </row>
    <row r="40" spans="1:5">
      <c r="B40" s="16">
        <v>2020</v>
      </c>
    </row>
    <row r="41" spans="1:5">
      <c r="B41" t="s">
        <v>1109</v>
      </c>
    </row>
    <row r="42" spans="1:5">
      <c r="B42" s="10" t="s">
        <v>1110</v>
      </c>
    </row>
    <row r="43" spans="1:5">
      <c r="B43" t="s">
        <v>1111</v>
      </c>
    </row>
    <row r="45" spans="1:5">
      <c r="A45" s="18" t="s">
        <v>1112</v>
      </c>
      <c r="B45" s="19"/>
      <c r="C45" s="19"/>
      <c r="D45" s="19"/>
      <c r="E45" s="19"/>
    </row>
    <row r="47" spans="1:5">
      <c r="A47" s="3" t="s">
        <v>1113</v>
      </c>
      <c r="B47" s="3" t="s">
        <v>51</v>
      </c>
      <c r="C47" s="3" t="s">
        <v>1114</v>
      </c>
      <c r="D47" s="3" t="s">
        <v>41</v>
      </c>
    </row>
    <row r="48" spans="1:5">
      <c r="A48" t="s">
        <v>1115</v>
      </c>
      <c r="B48" s="16">
        <v>0.01</v>
      </c>
      <c r="C48" s="16">
        <v>0.13</v>
      </c>
      <c r="D48" t="s">
        <v>1116</v>
      </c>
    </row>
    <row r="49" spans="1:5">
      <c r="A49" t="s">
        <v>1117</v>
      </c>
      <c r="B49" s="16">
        <v>0.03</v>
      </c>
      <c r="C49" s="16">
        <v>0.17</v>
      </c>
      <c r="D49" t="s">
        <v>1116</v>
      </c>
    </row>
    <row r="51" spans="1:5">
      <c r="A51" t="s">
        <v>1115</v>
      </c>
      <c r="B51" s="16">
        <f>B48*'Unit Conversions'!$E$3</f>
        <v>4.1868000000000005E-4</v>
      </c>
      <c r="C51" s="16">
        <f>C48*'Unit Conversions'!$E$3</f>
        <v>5.4428400000000009E-3</v>
      </c>
      <c r="D51" t="s">
        <v>1100</v>
      </c>
      <c r="E51" s="17" t="s">
        <v>1118</v>
      </c>
    </row>
    <row r="52" spans="1:5">
      <c r="A52" t="s">
        <v>1117</v>
      </c>
      <c r="B52" s="16">
        <f>B49*'Unit Conversions'!$E$3</f>
        <v>1.2560399999999999E-3</v>
      </c>
      <c r="C52" s="16">
        <f>C49*'Unit Conversions'!$E$3</f>
        <v>7.1175600000000011E-3</v>
      </c>
      <c r="D52" t="s">
        <v>1100</v>
      </c>
      <c r="E52" s="17" t="s">
        <v>1118</v>
      </c>
    </row>
    <row r="54" spans="1:5">
      <c r="A54" s="18" t="s">
        <v>1119</v>
      </c>
      <c r="B54" s="19"/>
      <c r="C54" s="19"/>
      <c r="D54" s="19"/>
      <c r="E54" s="19"/>
    </row>
    <row r="55" spans="1:5">
      <c r="A55" t="s">
        <v>1120</v>
      </c>
      <c r="B55" s="10" t="s">
        <v>1121</v>
      </c>
    </row>
    <row r="57" spans="1:5">
      <c r="A57" t="s">
        <v>1115</v>
      </c>
      <c r="B57" t="s">
        <v>1122</v>
      </c>
      <c r="C57" t="s">
        <v>1123</v>
      </c>
    </row>
    <row r="58" spans="1:5">
      <c r="A58" t="s">
        <v>1117</v>
      </c>
      <c r="B58" t="s">
        <v>1124</v>
      </c>
      <c r="C58" t="s">
        <v>1125</v>
      </c>
    </row>
    <row r="62" spans="1:5">
      <c r="A62" s="18" t="s">
        <v>1126</v>
      </c>
      <c r="B62" s="22"/>
      <c r="C62" s="19"/>
      <c r="D62" s="19"/>
      <c r="E62" s="19"/>
    </row>
    <row r="64" spans="1:5">
      <c r="A64" t="s">
        <v>1115</v>
      </c>
      <c r="B64" s="23">
        <f>B51+C51/'Region-Independent Data'!$B$11</f>
        <v>6.1479852631578964E-3</v>
      </c>
      <c r="C64" t="s">
        <v>1100</v>
      </c>
    </row>
    <row r="65" spans="1:5">
      <c r="A65" t="s">
        <v>1117</v>
      </c>
      <c r="B65" s="23">
        <f>B52+C52/'Region-Independent Data'!$B$10</f>
        <v>3.6285600000000003E-3</v>
      </c>
      <c r="C65" t="s">
        <v>1100</v>
      </c>
    </row>
    <row r="66" spans="1:5">
      <c r="B66" s="16"/>
      <c r="C66" s="16"/>
      <c r="E66" s="17"/>
    </row>
    <row r="67" spans="1:5">
      <c r="A67" t="s">
        <v>1127</v>
      </c>
      <c r="B67" s="16"/>
      <c r="C67" s="16"/>
      <c r="E67" s="17"/>
    </row>
  </sheetData>
  <hyperlinks>
    <hyperlink ref="B42" r:id="rId1" xr:uid="{1700BD94-307D-4DA6-931F-CDFF6C74B95B}"/>
    <hyperlink ref="B55" r:id="rId2" xr:uid="{583E7609-38D1-4FBB-8154-FCDB7F611F33}"/>
    <hyperlink ref="B8" r:id="rId3" xr:uid="{445E4561-2001-4BC8-AC32-1D34641177B0}"/>
  </hyperlinks>
  <pageMargins left="0.7" right="0.7" top="0.75" bottom="0.75" header="0.3" footer="0.3"/>
  <pageSetup orientation="portrait" horizontalDpi="0" verticalDpi="0"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24908-FDBA-400B-B125-8084B4A6EB03}">
  <sheetPr codeName="Sheet17"/>
  <dimension ref="A1:E34"/>
  <sheetViews>
    <sheetView workbookViewId="0"/>
  </sheetViews>
  <sheetFormatPr baseColWidth="10" defaultColWidth="8.83203125" defaultRowHeight="15"/>
  <cols>
    <col min="1" max="1" width="69.33203125" customWidth="1"/>
    <col min="2" max="2" width="12.33203125" customWidth="1"/>
    <col min="3" max="3" width="23.33203125" style="15" customWidth="1"/>
    <col min="4" max="4" width="15.83203125" style="15" customWidth="1"/>
    <col min="5" max="5" width="53" customWidth="1"/>
  </cols>
  <sheetData>
    <row r="1" spans="1:5">
      <c r="A1" s="453" t="s">
        <v>1128</v>
      </c>
    </row>
    <row r="2" spans="1:5">
      <c r="B2" s="13" t="s">
        <v>1129</v>
      </c>
      <c r="C2" s="14" t="s">
        <v>1130</v>
      </c>
      <c r="D2" s="14" t="s">
        <v>1131</v>
      </c>
      <c r="E2" s="3" t="s">
        <v>1132</v>
      </c>
    </row>
    <row r="3" spans="1:5">
      <c r="A3" t="s">
        <v>1133</v>
      </c>
      <c r="B3">
        <v>35.5</v>
      </c>
      <c r="C3" s="15" t="s">
        <v>1134</v>
      </c>
      <c r="D3" s="15" t="s">
        <v>122</v>
      </c>
    </row>
    <row r="4" spans="1:5">
      <c r="A4" t="s">
        <v>1133</v>
      </c>
      <c r="B4">
        <f>B3*10^3</f>
        <v>35500</v>
      </c>
      <c r="C4" s="15" t="s">
        <v>121</v>
      </c>
      <c r="D4" s="15" t="s">
        <v>122</v>
      </c>
    </row>
    <row r="5" spans="1:5">
      <c r="A5" t="s">
        <v>1135</v>
      </c>
      <c r="B5">
        <v>1033</v>
      </c>
      <c r="C5" s="15" t="s">
        <v>1136</v>
      </c>
      <c r="D5" s="15" t="s">
        <v>122</v>
      </c>
      <c r="E5" t="s">
        <v>1137</v>
      </c>
    </row>
    <row r="6" spans="1:5">
      <c r="A6" t="s">
        <v>1138</v>
      </c>
      <c r="B6">
        <f>B5*365</f>
        <v>377045</v>
      </c>
      <c r="C6" s="15" t="s">
        <v>1139</v>
      </c>
      <c r="D6" s="15" t="s">
        <v>122</v>
      </c>
    </row>
    <row r="8" spans="1:5">
      <c r="A8" t="s">
        <v>1140</v>
      </c>
      <c r="B8">
        <v>89</v>
      </c>
      <c r="C8" s="15" t="s">
        <v>1136</v>
      </c>
      <c r="D8" s="15" t="s">
        <v>1141</v>
      </c>
    </row>
    <row r="9" spans="1:5">
      <c r="A9" t="s">
        <v>1142</v>
      </c>
      <c r="B9">
        <f>B8*365</f>
        <v>32485</v>
      </c>
      <c r="C9" s="15" t="s">
        <v>1139</v>
      </c>
      <c r="D9" s="15" t="s">
        <v>1141</v>
      </c>
    </row>
    <row r="11" spans="1:5">
      <c r="A11" t="s">
        <v>1143</v>
      </c>
      <c r="B11" s="11">
        <f>B9*(B4/B6)</f>
        <v>3058.5672797676671</v>
      </c>
      <c r="C11" s="15" t="s">
        <v>121</v>
      </c>
      <c r="D11" s="15" t="s">
        <v>122</v>
      </c>
    </row>
    <row r="15" spans="1:5">
      <c r="A15" s="24" t="s">
        <v>4953</v>
      </c>
    </row>
    <row r="17" spans="1:4">
      <c r="A17" s="3" t="s">
        <v>619</v>
      </c>
      <c r="B17" s="13" t="s">
        <v>306</v>
      </c>
      <c r="C17" s="14" t="s">
        <v>4957</v>
      </c>
      <c r="D17" s="14" t="s">
        <v>4958</v>
      </c>
    </row>
    <row r="18" spans="1:4">
      <c r="A18" t="s">
        <v>387</v>
      </c>
      <c r="B18">
        <v>2010</v>
      </c>
      <c r="C18" s="15">
        <v>123.6</v>
      </c>
      <c r="D18" s="1969">
        <f>C18*($B$34/$C$34)</f>
        <v>634.07841700256506</v>
      </c>
    </row>
    <row r="19" spans="1:4">
      <c r="A19" s="16">
        <v>2023</v>
      </c>
      <c r="B19">
        <v>2011</v>
      </c>
      <c r="C19" s="15">
        <v>135.9</v>
      </c>
      <c r="D19" s="1969">
        <f t="shared" ref="D19:D30" si="0">C19*($B$34/$C$34)</f>
        <v>697.17845364602431</v>
      </c>
    </row>
    <row r="20" spans="1:4">
      <c r="A20" t="s">
        <v>4954</v>
      </c>
      <c r="B20">
        <v>2012</v>
      </c>
      <c r="C20" s="15">
        <v>155.4</v>
      </c>
      <c r="D20" s="1969">
        <f t="shared" si="0"/>
        <v>797.21509710516682</v>
      </c>
    </row>
    <row r="21" spans="1:4">
      <c r="A21" t="s">
        <v>4955</v>
      </c>
      <c r="B21">
        <v>2013</v>
      </c>
      <c r="C21" s="15">
        <v>158.9</v>
      </c>
      <c r="D21" s="1969">
        <f t="shared" si="0"/>
        <v>815.17039208501296</v>
      </c>
    </row>
    <row r="22" spans="1:4">
      <c r="A22" t="s">
        <v>4956</v>
      </c>
      <c r="B22">
        <v>2014</v>
      </c>
      <c r="C22" s="15">
        <v>164.2</v>
      </c>
      <c r="D22" s="1969">
        <f t="shared" si="0"/>
        <v>842.35983876877981</v>
      </c>
    </row>
    <row r="23" spans="1:4">
      <c r="B23">
        <v>2015</v>
      </c>
      <c r="C23" s="15">
        <v>127.3</v>
      </c>
      <c r="D23" s="1969">
        <f t="shared" si="0"/>
        <v>653.05972883840241</v>
      </c>
    </row>
    <row r="24" spans="1:4">
      <c r="B24">
        <v>2016</v>
      </c>
      <c r="C24" s="15">
        <v>101.3</v>
      </c>
      <c r="D24" s="1969">
        <f t="shared" si="0"/>
        <v>519.67753755954561</v>
      </c>
    </row>
    <row r="25" spans="1:4">
      <c r="B25">
        <v>2017</v>
      </c>
      <c r="C25" s="15">
        <v>109.4</v>
      </c>
      <c r="D25" s="1969">
        <f t="shared" si="0"/>
        <v>561.23122022718951</v>
      </c>
    </row>
    <row r="26" spans="1:4">
      <c r="B26">
        <v>2018</v>
      </c>
      <c r="C26" s="15">
        <v>113.1</v>
      </c>
      <c r="D26" s="1969">
        <f t="shared" si="0"/>
        <v>580.21253206302674</v>
      </c>
    </row>
    <row r="27" spans="1:4">
      <c r="B27">
        <v>2019</v>
      </c>
      <c r="C27" s="15">
        <v>107</v>
      </c>
      <c r="D27" s="1969">
        <f t="shared" si="0"/>
        <v>548.91901795529498</v>
      </c>
    </row>
    <row r="28" spans="1:4">
      <c r="B28">
        <v>2020</v>
      </c>
      <c r="C28" s="15">
        <v>79.2</v>
      </c>
      <c r="D28" s="1969">
        <f t="shared" si="0"/>
        <v>406.30267497251742</v>
      </c>
    </row>
    <row r="29" spans="1:4">
      <c r="B29">
        <v>2021</v>
      </c>
      <c r="C29" s="15">
        <v>90.2</v>
      </c>
      <c r="D29" s="1969">
        <f t="shared" si="0"/>
        <v>462.73360205203375</v>
      </c>
    </row>
    <row r="30" spans="1:4">
      <c r="B30">
        <v>2022</v>
      </c>
      <c r="C30" s="15">
        <v>97.7</v>
      </c>
      <c r="D30" s="1969">
        <f t="shared" si="0"/>
        <v>501.20923415170398</v>
      </c>
    </row>
    <row r="31" spans="1:4">
      <c r="B31" s="13" t="s">
        <v>4959</v>
      </c>
      <c r="D31" s="1970">
        <f>SUM(D18:D30)</f>
        <v>8019.3477464272628</v>
      </c>
    </row>
    <row r="33" spans="2:3">
      <c r="B33" s="3" t="s">
        <v>4958</v>
      </c>
      <c r="C33" s="14" t="s">
        <v>4957</v>
      </c>
    </row>
    <row r="34" spans="2:3">
      <c r="B34">
        <v>1400</v>
      </c>
      <c r="C34" s="15">
        <v>272.89999999999998</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6C0A9-DDCB-43D5-9E0A-7CA87588E336}">
  <sheetPr codeName="Sheet2">
    <tabColor rgb="FF92D050"/>
  </sheetPr>
  <dimension ref="A1:H64"/>
  <sheetViews>
    <sheetView zoomScale="130" zoomScaleNormal="130" workbookViewId="0">
      <selection activeCell="B6" sqref="B6"/>
    </sheetView>
  </sheetViews>
  <sheetFormatPr baseColWidth="10" defaultColWidth="8.83203125" defaultRowHeight="15"/>
  <cols>
    <col min="1" max="1" width="55.5" customWidth="1"/>
    <col min="2" max="7" width="18.5" style="15" customWidth="1"/>
    <col min="8" max="8" width="76.33203125" customWidth="1"/>
    <col min="9" max="9" width="34.6640625" customWidth="1"/>
  </cols>
  <sheetData>
    <row r="1" spans="1:8">
      <c r="A1" s="1" t="s">
        <v>4754</v>
      </c>
      <c r="B1" s="461"/>
      <c r="C1" s="461"/>
      <c r="D1" s="461"/>
      <c r="E1" s="461"/>
      <c r="F1" s="461"/>
      <c r="G1" s="461"/>
      <c r="H1" s="2"/>
    </row>
    <row r="2" spans="1:8">
      <c r="A2" t="s">
        <v>5940</v>
      </c>
    </row>
    <row r="3" spans="1:8">
      <c r="A3" t="s">
        <v>5518</v>
      </c>
    </row>
    <row r="4" spans="1:8">
      <c r="A4" s="3"/>
      <c r="B4" s="14"/>
      <c r="C4" s="14"/>
      <c r="D4" s="14"/>
      <c r="E4" s="14"/>
      <c r="F4" s="14"/>
      <c r="G4" s="14"/>
      <c r="H4" s="3"/>
    </row>
    <row r="5" spans="1:8">
      <c r="A5" s="24" t="s">
        <v>0</v>
      </c>
      <c r="B5" s="26"/>
      <c r="C5" s="26"/>
      <c r="D5" s="26"/>
      <c r="E5" s="26"/>
      <c r="F5" s="26"/>
      <c r="G5" s="26"/>
      <c r="H5" s="25"/>
    </row>
    <row r="6" spans="1:8">
      <c r="A6" t="s">
        <v>1</v>
      </c>
      <c r="B6" s="59" t="s">
        <v>2</v>
      </c>
      <c r="H6" t="s">
        <v>3</v>
      </c>
    </row>
    <row r="7" spans="1:8">
      <c r="A7" t="s">
        <v>4</v>
      </c>
      <c r="B7" s="59" t="s">
        <v>5452</v>
      </c>
      <c r="H7" t="s">
        <v>5</v>
      </c>
    </row>
    <row r="8" spans="1:8">
      <c r="A8" t="s">
        <v>6</v>
      </c>
      <c r="B8" s="59" t="s">
        <v>5454</v>
      </c>
      <c r="H8" t="s">
        <v>7</v>
      </c>
    </row>
    <row r="9" spans="1:8">
      <c r="A9" t="s">
        <v>5507</v>
      </c>
      <c r="B9" s="59" t="s">
        <v>5452</v>
      </c>
      <c r="H9" t="s">
        <v>5508</v>
      </c>
    </row>
    <row r="11" spans="1:8">
      <c r="A11" s="24" t="s">
        <v>5641</v>
      </c>
      <c r="B11" s="1744"/>
      <c r="C11" s="1744"/>
      <c r="D11" s="1744"/>
      <c r="E11" s="1744"/>
      <c r="F11" s="1744"/>
      <c r="G11" s="1744"/>
      <c r="H11" s="25"/>
    </row>
    <row r="12" spans="1:8">
      <c r="A12" t="s">
        <v>4865</v>
      </c>
      <c r="B12" s="1986">
        <v>0</v>
      </c>
      <c r="H12" t="s">
        <v>8</v>
      </c>
    </row>
    <row r="13" spans="1:8">
      <c r="A13" t="s">
        <v>4866</v>
      </c>
      <c r="B13" s="1986">
        <v>0</v>
      </c>
      <c r="H13" t="s">
        <v>9</v>
      </c>
    </row>
    <row r="15" spans="1:8" ht="32">
      <c r="A15" s="1" t="s">
        <v>2048</v>
      </c>
      <c r="B15" s="458" t="s">
        <v>4750</v>
      </c>
      <c r="C15" s="458" t="s">
        <v>5449</v>
      </c>
      <c r="D15" s="458" t="s">
        <v>4751</v>
      </c>
      <c r="E15" s="458" t="s">
        <v>4752</v>
      </c>
      <c r="F15" s="458" t="s">
        <v>5643</v>
      </c>
      <c r="G15" s="458" t="s">
        <v>5517</v>
      </c>
      <c r="H15" s="2"/>
    </row>
    <row r="16" spans="1:8">
      <c r="A16" s="24" t="s">
        <v>5911</v>
      </c>
      <c r="B16" s="1744"/>
      <c r="C16" s="1744"/>
      <c r="D16" s="1744"/>
      <c r="E16" s="1744"/>
      <c r="F16" s="1744"/>
      <c r="G16" s="1744" t="s">
        <v>4753</v>
      </c>
      <c r="H16" s="25"/>
    </row>
    <row r="17" spans="1:8">
      <c r="A17" t="s">
        <v>10</v>
      </c>
      <c r="B17" s="1985">
        <v>1</v>
      </c>
      <c r="C17" s="1746">
        <v>1</v>
      </c>
      <c r="D17" s="1746">
        <v>1</v>
      </c>
      <c r="E17" s="1746">
        <v>1</v>
      </c>
      <c r="F17" s="1746">
        <v>1</v>
      </c>
      <c r="G17" s="1986">
        <v>0</v>
      </c>
      <c r="H17" t="s">
        <v>11</v>
      </c>
    </row>
    <row r="18" spans="1:8">
      <c r="A18" t="s">
        <v>12</v>
      </c>
      <c r="B18" s="1746">
        <f t="shared" ref="B18:F18" si="0">1-B17</f>
        <v>0</v>
      </c>
      <c r="C18" s="1746">
        <f t="shared" si="0"/>
        <v>0</v>
      </c>
      <c r="D18" s="1746">
        <f t="shared" si="0"/>
        <v>0</v>
      </c>
      <c r="E18" s="1746">
        <f t="shared" si="0"/>
        <v>0</v>
      </c>
      <c r="F18" s="1746">
        <f t="shared" si="0"/>
        <v>0</v>
      </c>
      <c r="G18" s="468">
        <f>1-G17</f>
        <v>1</v>
      </c>
    </row>
    <row r="20" spans="1:8">
      <c r="A20" s="24" t="s">
        <v>13</v>
      </c>
      <c r="B20" s="1744"/>
      <c r="C20" s="1744"/>
      <c r="D20" s="1744"/>
      <c r="E20" s="1744"/>
      <c r="F20" s="1744"/>
      <c r="G20" s="1744" t="s">
        <v>4753</v>
      </c>
      <c r="H20" s="25"/>
    </row>
    <row r="21" spans="1:8">
      <c r="A21" t="s">
        <v>10</v>
      </c>
      <c r="B21" s="1985">
        <v>1</v>
      </c>
      <c r="C21" s="1746">
        <v>0.67</v>
      </c>
      <c r="D21" s="1746">
        <v>0.5</v>
      </c>
      <c r="E21" s="1746">
        <v>0.5</v>
      </c>
      <c r="F21" s="1746">
        <v>0.25</v>
      </c>
      <c r="G21" s="1986">
        <v>0</v>
      </c>
      <c r="H21" t="s">
        <v>14</v>
      </c>
    </row>
    <row r="22" spans="1:8">
      <c r="A22" t="s">
        <v>4864</v>
      </c>
      <c r="B22" s="1985">
        <v>0</v>
      </c>
      <c r="C22" s="1746">
        <v>0.33</v>
      </c>
      <c r="D22" s="1746">
        <v>0</v>
      </c>
      <c r="E22" s="1746">
        <v>0</v>
      </c>
      <c r="F22" s="1746">
        <v>0.25</v>
      </c>
      <c r="G22" s="1986">
        <v>0</v>
      </c>
    </row>
    <row r="23" spans="1:8">
      <c r="A23" t="s">
        <v>15</v>
      </c>
      <c r="B23" s="1985">
        <v>0</v>
      </c>
      <c r="C23" s="1746">
        <v>0</v>
      </c>
      <c r="D23" s="1746">
        <v>0</v>
      </c>
      <c r="E23" s="1746">
        <v>0.5</v>
      </c>
      <c r="F23" s="1746">
        <v>0.25</v>
      </c>
      <c r="G23" s="1986">
        <v>0</v>
      </c>
    </row>
    <row r="24" spans="1:8">
      <c r="A24" t="s">
        <v>16</v>
      </c>
      <c r="B24" s="1985">
        <v>0</v>
      </c>
      <c r="C24" s="1746">
        <v>0</v>
      </c>
      <c r="D24" s="1746">
        <v>0.5</v>
      </c>
      <c r="E24" s="1746">
        <v>0</v>
      </c>
      <c r="F24" s="1746">
        <v>0.25</v>
      </c>
      <c r="G24" s="1986">
        <v>0</v>
      </c>
      <c r="H24" t="s">
        <v>5448</v>
      </c>
    </row>
    <row r="25" spans="1:8">
      <c r="A25" t="s">
        <v>12</v>
      </c>
      <c r="B25" s="1746">
        <f t="shared" ref="B25:F25" si="1">1-SUM(B21:B24)</f>
        <v>0</v>
      </c>
      <c r="C25" s="1746">
        <f t="shared" si="1"/>
        <v>0</v>
      </c>
      <c r="D25" s="1746">
        <f t="shared" si="1"/>
        <v>0</v>
      </c>
      <c r="E25" s="1746">
        <f t="shared" si="1"/>
        <v>0</v>
      </c>
      <c r="F25" s="1746">
        <f t="shared" si="1"/>
        <v>0</v>
      </c>
      <c r="G25" s="468">
        <f>1-SUM(G21:G24)</f>
        <v>1</v>
      </c>
    </row>
    <row r="27" spans="1:8">
      <c r="A27" s="24" t="s">
        <v>17</v>
      </c>
      <c r="B27" s="1744"/>
      <c r="C27" s="1744"/>
      <c r="D27" s="1744"/>
      <c r="E27" s="1744"/>
      <c r="F27" s="1744"/>
      <c r="G27" s="1744" t="s">
        <v>4753</v>
      </c>
      <c r="H27" s="25"/>
    </row>
    <row r="28" spans="1:8">
      <c r="A28" t="s">
        <v>10</v>
      </c>
      <c r="B28" s="1985">
        <v>1</v>
      </c>
      <c r="C28" s="1746">
        <v>0</v>
      </c>
      <c r="D28" s="1746">
        <v>0</v>
      </c>
      <c r="E28" s="1746">
        <v>0</v>
      </c>
      <c r="F28" s="1746">
        <v>0.25</v>
      </c>
      <c r="G28" s="1986">
        <v>0</v>
      </c>
      <c r="H28" t="s">
        <v>18</v>
      </c>
    </row>
    <row r="29" spans="1:8">
      <c r="A29" t="s">
        <v>4864</v>
      </c>
      <c r="B29" s="1985">
        <v>0</v>
      </c>
      <c r="C29" s="1746">
        <v>1</v>
      </c>
      <c r="D29" s="1746">
        <v>0</v>
      </c>
      <c r="E29" s="1746">
        <v>0</v>
      </c>
      <c r="F29" s="1746">
        <v>0.25</v>
      </c>
      <c r="G29" s="1986">
        <v>0</v>
      </c>
    </row>
    <row r="30" spans="1:8">
      <c r="A30" t="s">
        <v>15</v>
      </c>
      <c r="B30" s="1985">
        <v>0</v>
      </c>
      <c r="C30" s="1746">
        <v>0</v>
      </c>
      <c r="D30" s="1746">
        <v>0</v>
      </c>
      <c r="E30" s="1746">
        <v>1</v>
      </c>
      <c r="F30" s="1746">
        <v>0.25</v>
      </c>
      <c r="G30" s="1986">
        <v>0</v>
      </c>
    </row>
    <row r="31" spans="1:8">
      <c r="A31" t="s">
        <v>16</v>
      </c>
      <c r="B31" s="1985">
        <v>0</v>
      </c>
      <c r="C31" s="1746">
        <v>0</v>
      </c>
      <c r="D31" s="1746">
        <v>1</v>
      </c>
      <c r="E31" s="1746">
        <v>0</v>
      </c>
      <c r="F31" s="1746">
        <v>0.25</v>
      </c>
      <c r="G31" s="1986">
        <v>0</v>
      </c>
      <c r="H31" t="s">
        <v>5448</v>
      </c>
    </row>
    <row r="32" spans="1:8">
      <c r="A32" t="s">
        <v>12</v>
      </c>
      <c r="B32" s="1746">
        <f t="shared" ref="B32:F32" si="2">1-SUM(B28:B31)</f>
        <v>0</v>
      </c>
      <c r="C32" s="1746">
        <f t="shared" si="2"/>
        <v>0</v>
      </c>
      <c r="D32" s="1746">
        <f t="shared" si="2"/>
        <v>0</v>
      </c>
      <c r="E32" s="1746">
        <f t="shared" si="2"/>
        <v>0</v>
      </c>
      <c r="F32" s="1746">
        <f t="shared" si="2"/>
        <v>0</v>
      </c>
      <c r="G32" s="468">
        <f>1-SUM(G28:G31)</f>
        <v>1</v>
      </c>
    </row>
    <row r="34" spans="1:8">
      <c r="A34" s="24" t="s">
        <v>19</v>
      </c>
      <c r="B34" s="1744"/>
      <c r="C34" s="1744"/>
      <c r="D34" s="1744"/>
      <c r="E34" s="1744"/>
      <c r="F34" s="1744"/>
      <c r="G34" s="1744" t="s">
        <v>4753</v>
      </c>
      <c r="H34" s="25"/>
    </row>
    <row r="35" spans="1:8">
      <c r="A35" t="s">
        <v>20</v>
      </c>
      <c r="B35" s="1985">
        <v>0.45</v>
      </c>
      <c r="C35" s="1746">
        <v>0</v>
      </c>
      <c r="D35" s="1746">
        <v>1</v>
      </c>
      <c r="E35" s="1746">
        <v>0</v>
      </c>
      <c r="F35" s="1746">
        <v>0.34</v>
      </c>
      <c r="G35" s="1986">
        <v>0</v>
      </c>
    </row>
    <row r="36" spans="1:8">
      <c r="A36" t="s">
        <v>21</v>
      </c>
      <c r="B36" s="1985">
        <v>0.55000000000000004</v>
      </c>
      <c r="C36" s="1746">
        <v>1</v>
      </c>
      <c r="D36" s="1746">
        <v>0</v>
      </c>
      <c r="E36" s="1746">
        <v>0</v>
      </c>
      <c r="F36" s="1746">
        <v>0.33</v>
      </c>
      <c r="G36" s="1986">
        <v>0</v>
      </c>
    </row>
    <row r="37" spans="1:8">
      <c r="A37" t="s">
        <v>4869</v>
      </c>
      <c r="B37" s="1985">
        <v>0</v>
      </c>
      <c r="C37" s="1746">
        <v>0</v>
      </c>
      <c r="D37" s="1746">
        <v>0</v>
      </c>
      <c r="E37" s="1746">
        <v>1</v>
      </c>
      <c r="F37" s="1746">
        <v>0.33</v>
      </c>
      <c r="G37" s="1986">
        <v>0</v>
      </c>
      <c r="H37" t="s">
        <v>4870</v>
      </c>
    </row>
    <row r="38" spans="1:8">
      <c r="A38" t="s">
        <v>12</v>
      </c>
      <c r="B38" s="1746">
        <f>1-SUM(B35:B37)</f>
        <v>0</v>
      </c>
      <c r="C38" s="1746">
        <f>1-SUM(C35:C37)</f>
        <v>0</v>
      </c>
      <c r="D38" s="1746">
        <f t="shared" ref="D38:E38" si="3">1-SUM(D35:D37)</f>
        <v>0</v>
      </c>
      <c r="E38" s="1746">
        <f t="shared" si="3"/>
        <v>0</v>
      </c>
      <c r="F38" s="1746">
        <f>1-SUM(F35:F37)</f>
        <v>0</v>
      </c>
      <c r="G38" s="468">
        <f>1-SUM(G35:G37)</f>
        <v>1</v>
      </c>
    </row>
    <row r="40" spans="1:8">
      <c r="A40" s="24" t="s">
        <v>22</v>
      </c>
      <c r="B40" s="1744"/>
      <c r="C40" s="1744"/>
      <c r="D40" s="1744"/>
      <c r="E40" s="1744"/>
      <c r="F40" s="1744"/>
      <c r="G40" s="1744" t="s">
        <v>4753</v>
      </c>
      <c r="H40" s="25"/>
    </row>
    <row r="41" spans="1:8">
      <c r="A41" t="s">
        <v>23</v>
      </c>
      <c r="B41" s="1985">
        <v>0.5</v>
      </c>
      <c r="C41" s="1746">
        <v>0.5</v>
      </c>
      <c r="D41" s="1746">
        <v>1</v>
      </c>
      <c r="E41" s="1746">
        <v>0.5</v>
      </c>
      <c r="F41" s="1746">
        <v>0.5</v>
      </c>
      <c r="G41" s="1986">
        <v>0</v>
      </c>
    </row>
    <row r="42" spans="1:8">
      <c r="A42" t="s">
        <v>24</v>
      </c>
      <c r="B42" s="1985">
        <v>0.5</v>
      </c>
      <c r="C42" s="1746">
        <v>0.5</v>
      </c>
      <c r="D42" s="1746">
        <v>0</v>
      </c>
      <c r="E42" s="1746">
        <v>0.5</v>
      </c>
      <c r="F42" s="1746">
        <v>0.5</v>
      </c>
      <c r="G42" s="1986">
        <v>0</v>
      </c>
    </row>
    <row r="43" spans="1:8">
      <c r="A43" t="s">
        <v>12</v>
      </c>
      <c r="B43" s="1746">
        <f t="shared" ref="B43:F43" si="4">1-SUM(B41:B42)</f>
        <v>0</v>
      </c>
      <c r="C43" s="1746">
        <f t="shared" si="4"/>
        <v>0</v>
      </c>
      <c r="D43" s="1746">
        <f t="shared" si="4"/>
        <v>0</v>
      </c>
      <c r="E43" s="1746">
        <f t="shared" si="4"/>
        <v>0</v>
      </c>
      <c r="F43" s="1746">
        <f t="shared" si="4"/>
        <v>0</v>
      </c>
      <c r="G43" s="468">
        <f>1-SUM(G41:G42)</f>
        <v>1</v>
      </c>
      <c r="H43" t="s">
        <v>25</v>
      </c>
    </row>
    <row r="45" spans="1:8">
      <c r="A45" s="24" t="s">
        <v>26</v>
      </c>
      <c r="B45" s="1744"/>
      <c r="C45" s="1744"/>
      <c r="D45" s="1744"/>
      <c r="E45" s="1744"/>
      <c r="F45" s="1744"/>
      <c r="G45" s="1744" t="s">
        <v>4753</v>
      </c>
      <c r="H45" s="25"/>
    </row>
    <row r="46" spans="1:8">
      <c r="A46" t="s">
        <v>4868</v>
      </c>
      <c r="B46" s="1985">
        <v>0</v>
      </c>
      <c r="C46" s="1746">
        <v>1</v>
      </c>
      <c r="D46" s="1746">
        <v>0.8</v>
      </c>
      <c r="E46" s="1746">
        <v>0</v>
      </c>
      <c r="F46" s="1746">
        <v>0.34</v>
      </c>
      <c r="G46" s="1986">
        <v>0</v>
      </c>
      <c r="H46" t="s">
        <v>5941</v>
      </c>
    </row>
    <row r="47" spans="1:8">
      <c r="A47" t="s">
        <v>5451</v>
      </c>
      <c r="B47" s="1985">
        <v>0.5</v>
      </c>
      <c r="C47" s="1746">
        <v>0</v>
      </c>
      <c r="D47" s="1746">
        <v>0.1</v>
      </c>
      <c r="E47" s="1746">
        <v>0</v>
      </c>
      <c r="F47" s="1746">
        <v>0.33</v>
      </c>
      <c r="G47" s="1986">
        <v>0</v>
      </c>
      <c r="H47" t="s">
        <v>5941</v>
      </c>
    </row>
    <row r="48" spans="1:8">
      <c r="A48" t="s">
        <v>4867</v>
      </c>
      <c r="B48" s="1985">
        <v>0.5</v>
      </c>
      <c r="C48" s="1746">
        <v>0</v>
      </c>
      <c r="D48" s="1746">
        <v>0.1</v>
      </c>
      <c r="E48" s="1746">
        <v>0</v>
      </c>
      <c r="F48" s="1746">
        <v>0.33</v>
      </c>
      <c r="G48" s="1986">
        <v>0</v>
      </c>
      <c r="H48" t="s">
        <v>5941</v>
      </c>
    </row>
    <row r="49" spans="1:8">
      <c r="A49" t="s">
        <v>5580</v>
      </c>
      <c r="B49" s="1746">
        <f t="shared" ref="B49:F49" si="5">1-SUM(B46:B48)</f>
        <v>0</v>
      </c>
      <c r="C49" s="1746">
        <f t="shared" si="5"/>
        <v>0</v>
      </c>
      <c r="D49" s="1746">
        <f t="shared" si="5"/>
        <v>0</v>
      </c>
      <c r="E49" s="1746">
        <f t="shared" si="5"/>
        <v>1</v>
      </c>
      <c r="F49" s="1746">
        <f t="shared" si="5"/>
        <v>0</v>
      </c>
      <c r="G49" s="468">
        <f>1-SUM(G46:G48)</f>
        <v>1</v>
      </c>
      <c r="H49" t="s">
        <v>5581</v>
      </c>
    </row>
    <row r="51" spans="1:8">
      <c r="A51" s="24" t="s">
        <v>5550</v>
      </c>
      <c r="B51" s="26"/>
      <c r="C51" s="26"/>
      <c r="D51" s="26"/>
      <c r="E51" s="26"/>
      <c r="F51" s="26"/>
      <c r="G51" s="1744" t="s">
        <v>4753</v>
      </c>
      <c r="H51" s="25"/>
    </row>
    <row r="52" spans="1:8">
      <c r="A52" t="s">
        <v>5551</v>
      </c>
      <c r="B52" s="1985">
        <v>1</v>
      </c>
      <c r="C52" s="1985">
        <v>1</v>
      </c>
      <c r="D52" s="1985">
        <v>1</v>
      </c>
      <c r="E52" s="1985">
        <v>1</v>
      </c>
      <c r="F52" s="1985">
        <v>1</v>
      </c>
      <c r="G52" s="1986">
        <v>0</v>
      </c>
      <c r="H52" t="s">
        <v>5942</v>
      </c>
    </row>
    <row r="53" spans="1:8">
      <c r="A53" t="s">
        <v>12</v>
      </c>
      <c r="B53" s="1985">
        <f>1-B52</f>
        <v>0</v>
      </c>
      <c r="C53" s="1985">
        <f t="shared" ref="C53:F53" si="6">1-C52</f>
        <v>0</v>
      </c>
      <c r="D53" s="1985">
        <f t="shared" si="6"/>
        <v>0</v>
      </c>
      <c r="E53" s="1985">
        <f t="shared" si="6"/>
        <v>0</v>
      </c>
      <c r="F53" s="1985">
        <f t="shared" si="6"/>
        <v>0</v>
      </c>
      <c r="G53" s="468">
        <f>1-G52</f>
        <v>1</v>
      </c>
    </row>
    <row r="55" spans="1:8">
      <c r="A55" s="24" t="s">
        <v>29</v>
      </c>
      <c r="B55" s="1744"/>
      <c r="C55" s="1744"/>
      <c r="D55" s="1744"/>
      <c r="E55" s="1744"/>
      <c r="F55" s="1744"/>
      <c r="G55" s="1744" t="s">
        <v>4753</v>
      </c>
      <c r="H55" s="25"/>
    </row>
    <row r="56" spans="1:8">
      <c r="A56" t="s">
        <v>30</v>
      </c>
      <c r="B56" s="1746">
        <v>0.3</v>
      </c>
      <c r="C56" s="1746">
        <v>0.3</v>
      </c>
      <c r="D56" s="1746">
        <v>0.3</v>
      </c>
      <c r="E56" s="1746">
        <v>0.3</v>
      </c>
      <c r="F56" s="1746">
        <v>0.3</v>
      </c>
      <c r="G56" s="1986">
        <v>0.3</v>
      </c>
    </row>
    <row r="57" spans="1:8">
      <c r="A57" t="s">
        <v>31</v>
      </c>
      <c r="B57" s="1746">
        <v>0.05</v>
      </c>
      <c r="C57" s="1746">
        <v>0.05</v>
      </c>
      <c r="D57" s="1746">
        <v>0.05</v>
      </c>
      <c r="E57" s="1746">
        <v>0.05</v>
      </c>
      <c r="F57" s="1746">
        <v>0.05</v>
      </c>
      <c r="G57" s="1986">
        <v>0.05</v>
      </c>
    </row>
    <row r="58" spans="1:8">
      <c r="A58" t="s">
        <v>32</v>
      </c>
      <c r="B58" s="1746">
        <v>0.3</v>
      </c>
      <c r="C58" s="1746">
        <v>0.3</v>
      </c>
      <c r="D58" s="1746">
        <v>0.3</v>
      </c>
      <c r="E58" s="1746">
        <v>0.3</v>
      </c>
      <c r="F58" s="1746">
        <v>0.3</v>
      </c>
      <c r="G58" s="1986">
        <v>0.3</v>
      </c>
    </row>
    <row r="59" spans="1:8">
      <c r="A59" t="s">
        <v>33</v>
      </c>
      <c r="B59" s="1746">
        <v>0.03</v>
      </c>
      <c r="C59" s="1746">
        <v>0.03</v>
      </c>
      <c r="D59" s="1746">
        <v>0.03</v>
      </c>
      <c r="E59" s="1746">
        <v>0.03</v>
      </c>
      <c r="F59" s="1746">
        <v>0.03</v>
      </c>
      <c r="G59" s="1986">
        <v>0.03</v>
      </c>
    </row>
    <row r="60" spans="1:8">
      <c r="A60" t="s">
        <v>34</v>
      </c>
      <c r="B60" s="1746">
        <v>0.02</v>
      </c>
      <c r="C60" s="1746">
        <v>0.02</v>
      </c>
      <c r="D60" s="1746">
        <v>0.02</v>
      </c>
      <c r="E60" s="1746">
        <v>0.02</v>
      </c>
      <c r="F60" s="1746">
        <v>0.02</v>
      </c>
      <c r="G60" s="1986">
        <v>0.02</v>
      </c>
    </row>
    <row r="61" spans="1:8">
      <c r="A61" t="s">
        <v>35</v>
      </c>
      <c r="B61" s="1746">
        <v>0.1</v>
      </c>
      <c r="C61" s="1746">
        <v>0.1</v>
      </c>
      <c r="D61" s="1746">
        <v>0.1</v>
      </c>
      <c r="E61" s="1746">
        <v>0.1</v>
      </c>
      <c r="F61" s="1746">
        <v>0.1</v>
      </c>
      <c r="G61" s="1986">
        <v>0.1</v>
      </c>
    </row>
    <row r="62" spans="1:8">
      <c r="A62" t="s">
        <v>36</v>
      </c>
      <c r="B62" s="1746">
        <v>0.1</v>
      </c>
      <c r="C62" s="1746">
        <v>0.1</v>
      </c>
      <c r="D62" s="1746">
        <v>0.1</v>
      </c>
      <c r="E62" s="1746">
        <v>0.1</v>
      </c>
      <c r="F62" s="1746">
        <v>0.1</v>
      </c>
      <c r="G62" s="1986">
        <v>0.1</v>
      </c>
    </row>
    <row r="63" spans="1:8">
      <c r="A63" t="s">
        <v>37</v>
      </c>
      <c r="B63" s="1746">
        <v>0.1</v>
      </c>
      <c r="C63" s="1746">
        <v>0.1</v>
      </c>
      <c r="D63" s="1746">
        <v>0.1</v>
      </c>
      <c r="E63" s="1746">
        <v>0.1</v>
      </c>
      <c r="F63" s="1746">
        <v>0.1</v>
      </c>
      <c r="G63" s="1986">
        <v>0.1</v>
      </c>
    </row>
    <row r="64" spans="1:8">
      <c r="A64" t="s">
        <v>12</v>
      </c>
      <c r="B64" s="1746">
        <f t="shared" ref="B64" si="7">1-SUM(B56:B63)</f>
        <v>0</v>
      </c>
      <c r="C64" s="1746">
        <f t="shared" ref="C64:F64" si="8">1-SUM(C56:C63)</f>
        <v>0</v>
      </c>
      <c r="D64" s="1746">
        <f t="shared" si="8"/>
        <v>0</v>
      </c>
      <c r="E64" s="1746">
        <f t="shared" si="8"/>
        <v>0</v>
      </c>
      <c r="F64" s="1746">
        <f t="shared" si="8"/>
        <v>0</v>
      </c>
      <c r="G64" s="468">
        <f>1-SUM(G56:G63)</f>
        <v>0</v>
      </c>
    </row>
  </sheetData>
  <conditionalFormatting sqref="B18:G18">
    <cfRule type="cellIs" dxfId="25" priority="8" operator="lessThan">
      <formula>0</formula>
    </cfRule>
  </conditionalFormatting>
  <conditionalFormatting sqref="B25:G25">
    <cfRule type="cellIs" dxfId="24" priority="7" operator="lessThan">
      <formula>0</formula>
    </cfRule>
  </conditionalFormatting>
  <conditionalFormatting sqref="B32:G32">
    <cfRule type="cellIs" dxfId="23" priority="6" operator="lessThan">
      <formula>0</formula>
    </cfRule>
  </conditionalFormatting>
  <conditionalFormatting sqref="B38:G38">
    <cfRule type="cellIs" dxfId="22" priority="5" operator="lessThan">
      <formula>0</formula>
    </cfRule>
  </conditionalFormatting>
  <conditionalFormatting sqref="B43:G43">
    <cfRule type="cellIs" dxfId="21" priority="4" operator="lessThan">
      <formula>0</formula>
    </cfRule>
  </conditionalFormatting>
  <conditionalFormatting sqref="B49:G49">
    <cfRule type="cellIs" dxfId="20" priority="3" operator="lessThan">
      <formula>0</formula>
    </cfRule>
  </conditionalFormatting>
  <conditionalFormatting sqref="B64:G64">
    <cfRule type="cellIs" dxfId="19" priority="2" operator="lessThan">
      <formula>0</formula>
    </cfRule>
  </conditionalFormatting>
  <conditionalFormatting sqref="G53">
    <cfRule type="cellIs" dxfId="18" priority="1" operator="lessThan">
      <formula>0</formula>
    </cfRule>
  </conditionalFormatting>
  <dataValidations count="1">
    <dataValidation type="decimal" allowBlank="1" showInputMessage="1" showErrorMessage="1" sqref="G35:G37 G17 G21:G24 G28:G31 B12:B13" xr:uid="{45EFAE9B-6F56-4551-8EE6-DCACC20E3677}">
      <formula1>0</formula1>
      <formula2>1</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978553B8-3E0B-4A7F-AC81-916CB6DAF513}">
          <x14:formula1>
            <xm:f>'Drop Down Menu Options'!$A$14:$A$18</xm:f>
          </x14:formula1>
          <xm:sqref>B6</xm:sqref>
        </x14:dataValidation>
        <x14:dataValidation type="list" allowBlank="1" showInputMessage="1" showErrorMessage="1" xr:uid="{D117DE66-E745-4928-9C3F-B098D7185235}">
          <x14:formula1>
            <xm:f>'Drop Down Menu Options'!$A$21:$A$22</xm:f>
          </x14:formula1>
          <xm:sqref>B7:B9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26256-FA7F-49B3-9241-596A9757BA2A}">
  <sheetPr codeName="Sheet18"/>
  <dimension ref="A1:E11"/>
  <sheetViews>
    <sheetView workbookViewId="0"/>
  </sheetViews>
  <sheetFormatPr baseColWidth="10" defaultColWidth="8.83203125" defaultRowHeight="15"/>
  <cols>
    <col min="1" max="1" width="24.33203125" customWidth="1"/>
    <col min="2" max="5" width="21.33203125" customWidth="1"/>
  </cols>
  <sheetData>
    <row r="1" spans="1:5">
      <c r="A1" s="453" t="s">
        <v>1144</v>
      </c>
    </row>
    <row r="3" spans="1:5">
      <c r="A3" s="24" t="s">
        <v>1145</v>
      </c>
      <c r="B3" s="25"/>
      <c r="C3" s="25"/>
      <c r="D3" s="25"/>
      <c r="E3" s="25"/>
    </row>
    <row r="4" spans="1:5" ht="17">
      <c r="A4" s="453" t="s">
        <v>1146</v>
      </c>
      <c r="B4" s="453" t="s">
        <v>1147</v>
      </c>
    </row>
    <row r="5" spans="1:5">
      <c r="B5" s="2169" t="s">
        <v>1148</v>
      </c>
      <c r="C5" s="2169"/>
      <c r="D5" s="2169"/>
      <c r="E5" s="2169"/>
    </row>
    <row r="6" spans="1:5">
      <c r="A6" s="3" t="s">
        <v>1149</v>
      </c>
      <c r="B6" s="13" t="s">
        <v>1150</v>
      </c>
      <c r="C6" s="13" t="s">
        <v>1151</v>
      </c>
      <c r="D6" s="13" t="s">
        <v>1152</v>
      </c>
      <c r="E6" s="13" t="s">
        <v>1153</v>
      </c>
    </row>
    <row r="7" spans="1:5">
      <c r="A7" t="s">
        <v>1154</v>
      </c>
      <c r="B7">
        <v>79</v>
      </c>
      <c r="C7">
        <v>37</v>
      </c>
      <c r="D7">
        <v>72</v>
      </c>
    </row>
    <row r="8" spans="1:5">
      <c r="A8" t="s">
        <v>1155</v>
      </c>
      <c r="B8">
        <v>42</v>
      </c>
      <c r="C8">
        <v>20</v>
      </c>
      <c r="D8">
        <v>70</v>
      </c>
    </row>
    <row r="9" spans="1:5">
      <c r="A9" t="s">
        <v>1156</v>
      </c>
      <c r="B9">
        <v>124</v>
      </c>
      <c r="C9">
        <v>59</v>
      </c>
      <c r="D9">
        <v>344</v>
      </c>
    </row>
    <row r="10" spans="1:5">
      <c r="A10" t="s">
        <v>1157</v>
      </c>
      <c r="B10">
        <v>418</v>
      </c>
      <c r="C10">
        <v>196</v>
      </c>
      <c r="E10">
        <v>1544</v>
      </c>
    </row>
    <row r="11" spans="1:5">
      <c r="A11" t="s">
        <v>1158</v>
      </c>
      <c r="B11">
        <v>754</v>
      </c>
      <c r="C11">
        <v>311</v>
      </c>
      <c r="E11">
        <v>750</v>
      </c>
    </row>
  </sheetData>
  <mergeCells count="1">
    <mergeCell ref="B5:E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8A9F0-2528-4B49-AFE4-077402BBC8B3}">
  <sheetPr codeName="Sheet19"/>
  <dimension ref="A1:F105"/>
  <sheetViews>
    <sheetView workbookViewId="0"/>
  </sheetViews>
  <sheetFormatPr baseColWidth="10" defaultColWidth="8.83203125" defaultRowHeight="15"/>
  <cols>
    <col min="1" max="1" width="26.6640625" customWidth="1"/>
    <col min="2" max="2" width="18.33203125" style="15" customWidth="1"/>
    <col min="3" max="3" width="29" customWidth="1"/>
    <col min="5" max="5" width="30" customWidth="1"/>
  </cols>
  <sheetData>
    <row r="1" spans="1:6">
      <c r="A1" s="453" t="s">
        <v>1159</v>
      </c>
    </row>
    <row r="3" spans="1:6">
      <c r="A3" s="1" t="s">
        <v>1160</v>
      </c>
      <c r="B3" s="451" t="s">
        <v>1161</v>
      </c>
      <c r="C3" s="1" t="s">
        <v>1162</v>
      </c>
      <c r="E3" s="1" t="s">
        <v>1163</v>
      </c>
      <c r="F3" s="452" t="s">
        <v>1164</v>
      </c>
    </row>
    <row r="4" spans="1:6">
      <c r="A4" t="s">
        <v>1165</v>
      </c>
      <c r="B4" s="477">
        <v>1250000</v>
      </c>
      <c r="C4" t="s">
        <v>1166</v>
      </c>
      <c r="E4" t="s">
        <v>1167</v>
      </c>
      <c r="F4">
        <f>SUMIFS(B:B,C:C,E4)</f>
        <v>47580</v>
      </c>
    </row>
    <row r="5" spans="1:6">
      <c r="A5" t="s">
        <v>1168</v>
      </c>
      <c r="B5" s="477">
        <v>320000</v>
      </c>
      <c r="C5" t="s">
        <v>1166</v>
      </c>
      <c r="E5" t="s">
        <v>1169</v>
      </c>
      <c r="F5">
        <f>SUMIFS(B:B,C:C,E5)</f>
        <v>1500</v>
      </c>
    </row>
    <row r="6" spans="1:6">
      <c r="A6" t="s">
        <v>1170</v>
      </c>
      <c r="B6" s="477">
        <v>240000</v>
      </c>
      <c r="C6" t="s">
        <v>1166</v>
      </c>
      <c r="E6" t="s">
        <v>1171</v>
      </c>
      <c r="F6">
        <f>SUMIFS(B:B,C:C,E6)</f>
        <v>18000</v>
      </c>
    </row>
    <row r="7" spans="1:6">
      <c r="A7" t="s">
        <v>1172</v>
      </c>
      <c r="B7" s="477">
        <v>240000</v>
      </c>
      <c r="C7" t="s">
        <v>1166</v>
      </c>
      <c r="E7" t="s">
        <v>1166</v>
      </c>
      <c r="F7">
        <f>SUMIFS(B:B,C:C,E7)</f>
        <v>3045000</v>
      </c>
    </row>
    <row r="8" spans="1:6">
      <c r="A8" t="s">
        <v>1173</v>
      </c>
      <c r="B8" s="477">
        <v>240000</v>
      </c>
      <c r="C8" t="s">
        <v>1166</v>
      </c>
      <c r="E8" t="s">
        <v>1174</v>
      </c>
      <c r="F8">
        <f>SUMIFS(B:B,C:C,E8)</f>
        <v>578660</v>
      </c>
    </row>
    <row r="9" spans="1:6">
      <c r="A9" t="s">
        <v>1175</v>
      </c>
      <c r="B9" s="477">
        <v>240000</v>
      </c>
      <c r="C9" t="s">
        <v>1166</v>
      </c>
    </row>
    <row r="10" spans="1:6">
      <c r="A10" t="s">
        <v>1176</v>
      </c>
      <c r="B10" s="477">
        <v>220000</v>
      </c>
      <c r="C10" t="s">
        <v>1166</v>
      </c>
    </row>
    <row r="11" spans="1:6">
      <c r="A11" t="s">
        <v>1177</v>
      </c>
      <c r="B11" s="477">
        <v>200000</v>
      </c>
      <c r="C11" t="s">
        <v>1174</v>
      </c>
    </row>
    <row r="12" spans="1:6">
      <c r="A12" t="s">
        <v>1178</v>
      </c>
      <c r="B12" s="477">
        <v>120000</v>
      </c>
      <c r="C12" t="s">
        <v>1174</v>
      </c>
    </row>
    <row r="13" spans="1:6">
      <c r="A13" t="s">
        <v>1179</v>
      </c>
      <c r="B13" s="477">
        <v>120000</v>
      </c>
      <c r="C13" t="s">
        <v>1174</v>
      </c>
    </row>
    <row r="14" spans="1:6">
      <c r="A14" t="s">
        <v>1180</v>
      </c>
      <c r="B14" s="477">
        <v>120000</v>
      </c>
      <c r="C14" t="s">
        <v>1166</v>
      </c>
    </row>
    <row r="15" spans="1:6">
      <c r="A15" t="s">
        <v>1181</v>
      </c>
      <c r="B15" s="477">
        <v>80000</v>
      </c>
      <c r="C15" t="s">
        <v>1166</v>
      </c>
    </row>
    <row r="16" spans="1:6">
      <c r="A16" t="s">
        <v>1182</v>
      </c>
      <c r="B16" s="477">
        <v>40000</v>
      </c>
      <c r="C16" t="s">
        <v>1166</v>
      </c>
    </row>
    <row r="17" spans="1:3">
      <c r="A17" t="s">
        <v>1183</v>
      </c>
      <c r="B17" s="477">
        <v>40000</v>
      </c>
      <c r="C17" t="s">
        <v>1167</v>
      </c>
    </row>
    <row r="18" spans="1:3">
      <c r="A18" t="s">
        <v>1183</v>
      </c>
      <c r="B18" s="477">
        <v>40000</v>
      </c>
      <c r="C18" t="s">
        <v>1174</v>
      </c>
    </row>
    <row r="19" spans="1:3">
      <c r="A19" t="s">
        <v>1184</v>
      </c>
      <c r="B19" s="477">
        <v>35000</v>
      </c>
      <c r="C19" t="s">
        <v>1166</v>
      </c>
    </row>
    <row r="20" spans="1:3">
      <c r="A20" t="s">
        <v>1185</v>
      </c>
      <c r="B20" s="477">
        <v>25000</v>
      </c>
      <c r="C20" t="s">
        <v>1174</v>
      </c>
    </row>
    <row r="21" spans="1:3">
      <c r="A21" t="s">
        <v>1186</v>
      </c>
      <c r="B21" s="477">
        <v>20000</v>
      </c>
      <c r="C21" t="s">
        <v>1174</v>
      </c>
    </row>
    <row r="22" spans="1:3">
      <c r="A22" t="s">
        <v>1187</v>
      </c>
      <c r="B22" s="477">
        <v>20000</v>
      </c>
      <c r="C22" t="s">
        <v>1166</v>
      </c>
    </row>
    <row r="23" spans="1:3">
      <c r="A23" t="s">
        <v>1188</v>
      </c>
      <c r="B23" s="477">
        <v>10000</v>
      </c>
      <c r="C23" t="s">
        <v>1174</v>
      </c>
    </row>
    <row r="24" spans="1:3">
      <c r="A24" t="s">
        <v>1188</v>
      </c>
      <c r="B24" s="477">
        <v>10000</v>
      </c>
      <c r="C24" t="s">
        <v>1174</v>
      </c>
    </row>
    <row r="25" spans="1:3">
      <c r="A25" t="s">
        <v>1165</v>
      </c>
      <c r="B25" s="477">
        <v>5000</v>
      </c>
      <c r="C25" t="s">
        <v>1174</v>
      </c>
    </row>
    <row r="26" spans="1:3">
      <c r="A26" t="s">
        <v>1189</v>
      </c>
      <c r="B26" s="477">
        <v>5000</v>
      </c>
      <c r="C26" t="s">
        <v>1174</v>
      </c>
    </row>
    <row r="27" spans="1:3">
      <c r="A27" t="s">
        <v>1190</v>
      </c>
      <c r="B27" s="477">
        <v>5000</v>
      </c>
      <c r="C27" t="s">
        <v>1174</v>
      </c>
    </row>
    <row r="28" spans="1:3">
      <c r="A28" t="s">
        <v>1183</v>
      </c>
      <c r="B28" s="477">
        <v>5000</v>
      </c>
      <c r="C28" t="s">
        <v>1171</v>
      </c>
    </row>
    <row r="29" spans="1:3">
      <c r="A29" t="s">
        <v>1191</v>
      </c>
      <c r="B29" s="477">
        <v>5000</v>
      </c>
      <c r="C29" t="s">
        <v>1174</v>
      </c>
    </row>
    <row r="30" spans="1:3">
      <c r="A30" t="s">
        <v>1192</v>
      </c>
      <c r="B30" s="477">
        <v>4000</v>
      </c>
      <c r="C30" t="s">
        <v>1171</v>
      </c>
    </row>
    <row r="31" spans="1:3">
      <c r="A31" t="s">
        <v>1193</v>
      </c>
      <c r="B31" s="477">
        <v>2000</v>
      </c>
      <c r="C31" t="s">
        <v>1174</v>
      </c>
    </row>
    <row r="32" spans="1:3">
      <c r="A32" t="s">
        <v>1194</v>
      </c>
      <c r="B32" s="477">
        <v>2000</v>
      </c>
      <c r="C32" t="s">
        <v>1174</v>
      </c>
    </row>
    <row r="33" spans="1:3">
      <c r="A33" t="s">
        <v>1195</v>
      </c>
      <c r="B33" s="477">
        <v>2000</v>
      </c>
      <c r="C33" t="s">
        <v>1174</v>
      </c>
    </row>
    <row r="34" spans="1:3">
      <c r="A34" t="s">
        <v>1196</v>
      </c>
      <c r="B34" s="477">
        <v>2000</v>
      </c>
      <c r="C34" t="s">
        <v>1171</v>
      </c>
    </row>
    <row r="35" spans="1:3">
      <c r="A35" t="s">
        <v>1197</v>
      </c>
      <c r="B35" s="477">
        <v>1500</v>
      </c>
      <c r="C35" t="s">
        <v>1171</v>
      </c>
    </row>
    <row r="36" spans="1:3">
      <c r="A36" t="s">
        <v>1198</v>
      </c>
      <c r="B36" s="477">
        <v>1250</v>
      </c>
      <c r="C36" t="s">
        <v>1169</v>
      </c>
    </row>
    <row r="37" spans="1:3">
      <c r="A37" t="s">
        <v>1199</v>
      </c>
      <c r="B37" s="477">
        <v>1250</v>
      </c>
      <c r="C37" t="s">
        <v>1171</v>
      </c>
    </row>
    <row r="38" spans="1:3">
      <c r="A38" t="s">
        <v>1200</v>
      </c>
      <c r="B38" s="477">
        <v>1250</v>
      </c>
      <c r="C38" t="s">
        <v>1174</v>
      </c>
    </row>
    <row r="39" spans="1:3">
      <c r="A39" t="s">
        <v>1201</v>
      </c>
      <c r="B39" s="477">
        <v>1000</v>
      </c>
      <c r="C39" t="s">
        <v>1174</v>
      </c>
    </row>
    <row r="40" spans="1:3">
      <c r="A40" t="s">
        <v>1202</v>
      </c>
      <c r="B40" s="477">
        <v>1000</v>
      </c>
      <c r="C40" t="s">
        <v>1171</v>
      </c>
    </row>
    <row r="41" spans="1:3">
      <c r="A41" t="s">
        <v>1203</v>
      </c>
      <c r="B41" s="477">
        <v>1000</v>
      </c>
      <c r="C41" t="s">
        <v>1171</v>
      </c>
    </row>
    <row r="42" spans="1:3">
      <c r="A42" t="s">
        <v>1204</v>
      </c>
      <c r="B42" s="477">
        <v>1000</v>
      </c>
      <c r="C42" t="s">
        <v>1171</v>
      </c>
    </row>
    <row r="43" spans="1:3">
      <c r="A43" t="s">
        <v>1205</v>
      </c>
      <c r="B43" s="477">
        <v>1000</v>
      </c>
      <c r="C43" t="s">
        <v>1174</v>
      </c>
    </row>
    <row r="44" spans="1:3">
      <c r="A44" t="s">
        <v>1206</v>
      </c>
      <c r="B44" s="477">
        <v>1000</v>
      </c>
      <c r="C44" t="s">
        <v>1174</v>
      </c>
    </row>
    <row r="45" spans="1:3">
      <c r="A45" t="s">
        <v>1207</v>
      </c>
      <c r="B45" s="477">
        <v>1000</v>
      </c>
      <c r="C45" t="s">
        <v>1171</v>
      </c>
    </row>
    <row r="46" spans="1:3">
      <c r="A46" t="s">
        <v>1200</v>
      </c>
      <c r="B46" s="15">
        <v>900</v>
      </c>
      <c r="C46" t="s">
        <v>1174</v>
      </c>
    </row>
    <row r="47" spans="1:3">
      <c r="A47" t="s">
        <v>1208</v>
      </c>
      <c r="B47" s="15">
        <v>500</v>
      </c>
      <c r="C47" t="s">
        <v>1174</v>
      </c>
    </row>
    <row r="48" spans="1:3">
      <c r="A48" t="s">
        <v>1209</v>
      </c>
      <c r="B48" s="15">
        <v>500</v>
      </c>
      <c r="C48" t="s">
        <v>1174</v>
      </c>
    </row>
    <row r="49" spans="1:3">
      <c r="A49" t="s">
        <v>1210</v>
      </c>
      <c r="B49" s="15">
        <v>500</v>
      </c>
      <c r="C49" t="s">
        <v>1167</v>
      </c>
    </row>
    <row r="50" spans="1:3">
      <c r="A50" t="s">
        <v>1200</v>
      </c>
      <c r="B50" s="15">
        <v>250</v>
      </c>
      <c r="C50" t="s">
        <v>1169</v>
      </c>
    </row>
    <row r="51" spans="1:3">
      <c r="A51" t="s">
        <v>1211</v>
      </c>
      <c r="B51" s="15">
        <v>250</v>
      </c>
      <c r="C51" t="s">
        <v>1171</v>
      </c>
    </row>
    <row r="52" spans="1:3">
      <c r="A52" t="s">
        <v>1212</v>
      </c>
      <c r="B52" s="15">
        <v>250</v>
      </c>
      <c r="C52" t="s">
        <v>1174</v>
      </c>
    </row>
    <row r="53" spans="1:3">
      <c r="A53" t="s">
        <v>1213</v>
      </c>
      <c r="B53" s="15">
        <v>180</v>
      </c>
      <c r="C53" t="s">
        <v>1167</v>
      </c>
    </row>
    <row r="54" spans="1:3">
      <c r="A54" t="s">
        <v>1213</v>
      </c>
      <c r="B54" s="15">
        <v>180</v>
      </c>
      <c r="C54" t="s">
        <v>1167</v>
      </c>
    </row>
    <row r="55" spans="1:3">
      <c r="A55" t="s">
        <v>1214</v>
      </c>
      <c r="B55" s="15">
        <v>180</v>
      </c>
      <c r="C55" t="s">
        <v>1174</v>
      </c>
    </row>
    <row r="56" spans="1:3">
      <c r="A56" t="s">
        <v>1200</v>
      </c>
      <c r="B56" s="15">
        <v>180</v>
      </c>
      <c r="C56" t="s">
        <v>1167</v>
      </c>
    </row>
    <row r="57" spans="1:3">
      <c r="A57" t="s">
        <v>1200</v>
      </c>
      <c r="B57" s="15">
        <v>180</v>
      </c>
      <c r="C57" t="s">
        <v>1167</v>
      </c>
    </row>
    <row r="58" spans="1:3">
      <c r="A58" t="s">
        <v>1200</v>
      </c>
      <c r="B58" s="15">
        <v>180</v>
      </c>
      <c r="C58" t="s">
        <v>1167</v>
      </c>
    </row>
    <row r="59" spans="1:3">
      <c r="A59" t="s">
        <v>1200</v>
      </c>
      <c r="B59" s="15">
        <v>180</v>
      </c>
      <c r="C59" t="s">
        <v>1167</v>
      </c>
    </row>
    <row r="60" spans="1:3">
      <c r="A60" t="s">
        <v>1200</v>
      </c>
      <c r="B60" s="15">
        <v>180</v>
      </c>
      <c r="C60" t="s">
        <v>1167</v>
      </c>
    </row>
    <row r="61" spans="1:3">
      <c r="A61" t="s">
        <v>1200</v>
      </c>
      <c r="B61" s="15">
        <v>180</v>
      </c>
      <c r="C61" t="s">
        <v>1167</v>
      </c>
    </row>
    <row r="62" spans="1:3">
      <c r="A62" t="s">
        <v>1215</v>
      </c>
      <c r="B62" s="15">
        <v>180</v>
      </c>
      <c r="C62" t="s">
        <v>1167</v>
      </c>
    </row>
    <row r="63" spans="1:3">
      <c r="A63" t="s">
        <v>1216</v>
      </c>
      <c r="B63" s="15">
        <v>180</v>
      </c>
      <c r="C63" t="s">
        <v>1167</v>
      </c>
    </row>
    <row r="64" spans="1:3">
      <c r="A64" t="s">
        <v>1217</v>
      </c>
      <c r="B64" s="15">
        <v>180</v>
      </c>
      <c r="C64" t="s">
        <v>1167</v>
      </c>
    </row>
    <row r="65" spans="1:3">
      <c r="A65" t="s">
        <v>1218</v>
      </c>
      <c r="B65" s="15">
        <v>180</v>
      </c>
      <c r="C65" t="s">
        <v>1167</v>
      </c>
    </row>
    <row r="66" spans="1:3">
      <c r="A66" t="s">
        <v>1219</v>
      </c>
      <c r="B66" s="15">
        <v>180</v>
      </c>
      <c r="C66" t="s">
        <v>1167</v>
      </c>
    </row>
    <row r="67" spans="1:3">
      <c r="A67" t="s">
        <v>1219</v>
      </c>
      <c r="B67" s="15">
        <v>180</v>
      </c>
      <c r="C67" t="s">
        <v>1174</v>
      </c>
    </row>
    <row r="68" spans="1:3">
      <c r="A68" t="s">
        <v>1220</v>
      </c>
      <c r="B68" s="15">
        <v>180</v>
      </c>
      <c r="C68" t="s">
        <v>1167</v>
      </c>
    </row>
    <row r="69" spans="1:3">
      <c r="A69" t="s">
        <v>1220</v>
      </c>
      <c r="B69" s="15">
        <v>180</v>
      </c>
      <c r="C69" t="s">
        <v>1167</v>
      </c>
    </row>
    <row r="70" spans="1:3">
      <c r="A70" t="s">
        <v>1220</v>
      </c>
      <c r="B70" s="15">
        <v>180</v>
      </c>
      <c r="C70" t="s">
        <v>1167</v>
      </c>
    </row>
    <row r="71" spans="1:3">
      <c r="A71" t="s">
        <v>1221</v>
      </c>
      <c r="B71" s="15">
        <v>180</v>
      </c>
      <c r="C71" t="s">
        <v>1167</v>
      </c>
    </row>
    <row r="72" spans="1:3">
      <c r="A72" t="s">
        <v>1222</v>
      </c>
      <c r="B72" s="15">
        <v>180</v>
      </c>
      <c r="C72" t="s">
        <v>1167</v>
      </c>
    </row>
    <row r="73" spans="1:3">
      <c r="A73" t="s">
        <v>1223</v>
      </c>
      <c r="B73" s="15">
        <v>180</v>
      </c>
      <c r="C73" t="s">
        <v>1174</v>
      </c>
    </row>
    <row r="74" spans="1:3">
      <c r="A74" t="s">
        <v>1224</v>
      </c>
      <c r="B74" s="15">
        <v>180</v>
      </c>
      <c r="C74" t="s">
        <v>1167</v>
      </c>
    </row>
    <row r="75" spans="1:3">
      <c r="A75" t="s">
        <v>1225</v>
      </c>
      <c r="B75" s="15">
        <v>180</v>
      </c>
      <c r="C75" t="s">
        <v>1167</v>
      </c>
    </row>
    <row r="76" spans="1:3">
      <c r="A76" t="s">
        <v>1226</v>
      </c>
      <c r="B76" s="15">
        <v>180</v>
      </c>
      <c r="C76" t="s">
        <v>1167</v>
      </c>
    </row>
    <row r="77" spans="1:3">
      <c r="A77" t="s">
        <v>1227</v>
      </c>
      <c r="B77" s="15">
        <v>180</v>
      </c>
      <c r="C77" t="s">
        <v>1167</v>
      </c>
    </row>
    <row r="78" spans="1:3">
      <c r="A78" t="s">
        <v>1227</v>
      </c>
      <c r="B78" s="15">
        <v>180</v>
      </c>
      <c r="C78" t="s">
        <v>1167</v>
      </c>
    </row>
    <row r="79" spans="1:3">
      <c r="A79" t="s">
        <v>1227</v>
      </c>
      <c r="B79" s="15">
        <v>180</v>
      </c>
      <c r="C79" t="s">
        <v>1167</v>
      </c>
    </row>
    <row r="80" spans="1:3">
      <c r="A80" t="s">
        <v>1228</v>
      </c>
      <c r="B80" s="15">
        <v>180</v>
      </c>
      <c r="C80" t="s">
        <v>1167</v>
      </c>
    </row>
    <row r="81" spans="1:3">
      <c r="A81" t="s">
        <v>1228</v>
      </c>
      <c r="B81" s="15">
        <v>180</v>
      </c>
      <c r="C81" t="s">
        <v>1167</v>
      </c>
    </row>
    <row r="82" spans="1:3">
      <c r="A82" t="s">
        <v>1229</v>
      </c>
      <c r="B82" s="15">
        <v>180</v>
      </c>
      <c r="C82" t="s">
        <v>1167</v>
      </c>
    </row>
    <row r="83" spans="1:3">
      <c r="A83" t="s">
        <v>1230</v>
      </c>
      <c r="B83" s="15">
        <v>180</v>
      </c>
      <c r="C83" t="s">
        <v>1174</v>
      </c>
    </row>
    <row r="84" spans="1:3">
      <c r="A84" t="s">
        <v>1231</v>
      </c>
      <c r="B84" s="15">
        <v>180</v>
      </c>
      <c r="C84" t="s">
        <v>1167</v>
      </c>
    </row>
    <row r="85" spans="1:3">
      <c r="A85" t="s">
        <v>1232</v>
      </c>
      <c r="B85" s="15">
        <v>180</v>
      </c>
      <c r="C85" t="s">
        <v>1174</v>
      </c>
    </row>
    <row r="86" spans="1:3">
      <c r="A86" t="s">
        <v>1233</v>
      </c>
      <c r="B86" s="15">
        <v>120</v>
      </c>
      <c r="C86" t="s">
        <v>1167</v>
      </c>
    </row>
    <row r="87" spans="1:3">
      <c r="A87" t="s">
        <v>1200</v>
      </c>
      <c r="B87" s="15">
        <v>120</v>
      </c>
      <c r="C87" t="s">
        <v>1174</v>
      </c>
    </row>
    <row r="88" spans="1:3">
      <c r="A88" t="s">
        <v>1200</v>
      </c>
      <c r="B88" s="15">
        <v>120</v>
      </c>
      <c r="C88" t="s">
        <v>1167</v>
      </c>
    </row>
    <row r="89" spans="1:3">
      <c r="A89" t="s">
        <v>1200</v>
      </c>
      <c r="B89" s="15">
        <v>120</v>
      </c>
      <c r="C89" t="s">
        <v>1167</v>
      </c>
    </row>
    <row r="90" spans="1:3">
      <c r="A90" t="s">
        <v>1234</v>
      </c>
      <c r="B90" s="15">
        <v>120</v>
      </c>
      <c r="C90" t="s">
        <v>1167</v>
      </c>
    </row>
    <row r="91" spans="1:3">
      <c r="A91" t="s">
        <v>1235</v>
      </c>
      <c r="B91" s="15">
        <v>120</v>
      </c>
      <c r="C91" t="s">
        <v>1167</v>
      </c>
    </row>
    <row r="92" spans="1:3">
      <c r="A92" t="s">
        <v>1236</v>
      </c>
      <c r="B92" s="15">
        <v>120</v>
      </c>
      <c r="C92" t="s">
        <v>1167</v>
      </c>
    </row>
    <row r="93" spans="1:3">
      <c r="A93" t="s">
        <v>1236</v>
      </c>
      <c r="B93" s="15">
        <v>120</v>
      </c>
      <c r="C93" t="s">
        <v>1167</v>
      </c>
    </row>
    <row r="94" spans="1:3">
      <c r="A94" t="s">
        <v>1237</v>
      </c>
      <c r="B94" s="15">
        <v>120</v>
      </c>
      <c r="C94" t="s">
        <v>1167</v>
      </c>
    </row>
    <row r="95" spans="1:3">
      <c r="A95" t="s">
        <v>1223</v>
      </c>
      <c r="B95" s="15">
        <v>120</v>
      </c>
      <c r="C95" t="s">
        <v>1167</v>
      </c>
    </row>
    <row r="96" spans="1:3">
      <c r="A96" t="s">
        <v>1238</v>
      </c>
      <c r="B96" s="15">
        <v>120</v>
      </c>
      <c r="C96" t="s">
        <v>1167</v>
      </c>
    </row>
    <row r="97" spans="1:3">
      <c r="A97" t="s">
        <v>1239</v>
      </c>
      <c r="B97" s="15">
        <v>120</v>
      </c>
      <c r="C97" t="s">
        <v>1167</v>
      </c>
    </row>
    <row r="98" spans="1:3">
      <c r="A98" t="s">
        <v>1239</v>
      </c>
      <c r="B98" s="15">
        <v>120</v>
      </c>
      <c r="C98" t="s">
        <v>1167</v>
      </c>
    </row>
    <row r="99" spans="1:3">
      <c r="A99" t="s">
        <v>1239</v>
      </c>
      <c r="B99" s="15">
        <v>120</v>
      </c>
      <c r="C99" t="s">
        <v>1174</v>
      </c>
    </row>
    <row r="100" spans="1:3">
      <c r="A100" t="s">
        <v>1240</v>
      </c>
      <c r="B100" s="15">
        <v>120</v>
      </c>
      <c r="C100" t="s">
        <v>1167</v>
      </c>
    </row>
    <row r="101" spans="1:3">
      <c r="A101" t="s">
        <v>1241</v>
      </c>
      <c r="B101" s="15">
        <v>120</v>
      </c>
      <c r="C101" t="s">
        <v>1167</v>
      </c>
    </row>
    <row r="102" spans="1:3">
      <c r="A102" t="s">
        <v>1242</v>
      </c>
      <c r="B102" s="15">
        <v>120</v>
      </c>
      <c r="C102" t="s">
        <v>1167</v>
      </c>
    </row>
    <row r="103" spans="1:3">
      <c r="A103" t="s">
        <v>1242</v>
      </c>
      <c r="B103" s="15">
        <v>120</v>
      </c>
      <c r="C103" t="s">
        <v>1167</v>
      </c>
    </row>
    <row r="104" spans="1:3">
      <c r="A104" t="s">
        <v>1243</v>
      </c>
      <c r="B104" s="15">
        <v>120</v>
      </c>
      <c r="C104" t="s">
        <v>1167</v>
      </c>
    </row>
    <row r="105" spans="1:3">
      <c r="A105" t="s">
        <v>1244</v>
      </c>
      <c r="B105" s="15">
        <v>120</v>
      </c>
      <c r="C105" t="s">
        <v>1174</v>
      </c>
    </row>
  </sheetData>
  <autoFilter ref="A3:C105" xr:uid="{C378A9F0-2528-4B49-AFE4-077402BBC8B3}"/>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9A189-0A14-4491-97A5-2B394D7028C4}">
  <sheetPr codeName="Sheet20">
    <pageSetUpPr fitToPage="1"/>
  </sheetPr>
  <dimension ref="A1:L1880"/>
  <sheetViews>
    <sheetView showGridLines="0" zoomScaleNormal="100" workbookViewId="0">
      <pane ySplit="12" topLeftCell="A167" activePane="bottomLeft" state="frozen"/>
      <selection pane="bottomLeft"/>
    </sheetView>
  </sheetViews>
  <sheetFormatPr baseColWidth="10" defaultColWidth="11" defaultRowHeight="12"/>
  <cols>
    <col min="1" max="1" width="9.33203125" style="60" customWidth="1"/>
    <col min="2" max="2" width="50.6640625" style="60" customWidth="1"/>
    <col min="3" max="3" width="9.6640625" style="60" customWidth="1"/>
    <col min="4" max="4" width="11" style="60"/>
    <col min="5" max="5" width="9.6640625" style="60" customWidth="1"/>
    <col min="6" max="6" width="11" style="60"/>
    <col min="7" max="7" width="8.33203125" style="60" customWidth="1"/>
    <col min="8" max="8" width="15.6640625" style="60" customWidth="1"/>
    <col min="9" max="9" width="14.33203125" style="60" customWidth="1"/>
    <col min="10" max="10" width="7.5" style="60" customWidth="1"/>
    <col min="11" max="16384" width="11" style="60"/>
  </cols>
  <sheetData>
    <row r="1" spans="1:10">
      <c r="A1" s="60" t="s">
        <v>1245</v>
      </c>
    </row>
    <row r="2" spans="1:10">
      <c r="A2" s="60" t="s">
        <v>1246</v>
      </c>
    </row>
    <row r="3" spans="1:10" s="94" customFormat="1" ht="16">
      <c r="A3" s="95" t="s">
        <v>1247</v>
      </c>
    </row>
    <row r="4" spans="1:10" s="92" customFormat="1">
      <c r="A4" s="93" t="s">
        <v>1248</v>
      </c>
    </row>
    <row r="5" spans="1:10" s="92" customFormat="1">
      <c r="A5" s="93" t="s">
        <v>1249</v>
      </c>
    </row>
    <row r="6" spans="1:10" s="92" customFormat="1">
      <c r="A6" s="93" t="s">
        <v>1250</v>
      </c>
    </row>
    <row r="7" spans="1:10" s="92" customFormat="1">
      <c r="A7" s="93" t="s">
        <v>1251</v>
      </c>
    </row>
    <row r="8" spans="1:10">
      <c r="A8" s="91"/>
    </row>
    <row r="9" spans="1:10" s="73" customFormat="1">
      <c r="A9" s="89"/>
      <c r="B9" s="88" t="s">
        <v>1252</v>
      </c>
      <c r="C9" s="88" t="s">
        <v>1252</v>
      </c>
      <c r="D9" s="88"/>
      <c r="E9" s="88" t="s">
        <v>1252</v>
      </c>
      <c r="F9" s="88" t="s">
        <v>1253</v>
      </c>
      <c r="G9" s="88" t="s">
        <v>1252</v>
      </c>
      <c r="H9" s="88" t="s">
        <v>1252</v>
      </c>
      <c r="I9" s="90"/>
      <c r="J9" s="88" t="s">
        <v>1252</v>
      </c>
    </row>
    <row r="10" spans="1:10" s="73" customFormat="1">
      <c r="A10" s="89" t="s">
        <v>1252</v>
      </c>
      <c r="B10" s="88" t="s">
        <v>1252</v>
      </c>
      <c r="C10" s="88"/>
      <c r="D10" s="88"/>
      <c r="E10" s="90"/>
      <c r="F10" s="88" t="s">
        <v>1254</v>
      </c>
      <c r="G10" s="88"/>
      <c r="H10" s="90"/>
      <c r="I10" s="88" t="s">
        <v>1255</v>
      </c>
      <c r="J10" s="88"/>
    </row>
    <row r="11" spans="1:10" s="73" customFormat="1">
      <c r="A11" s="89" t="s">
        <v>1256</v>
      </c>
      <c r="B11" s="88" t="s">
        <v>1252</v>
      </c>
      <c r="C11" s="90" t="s">
        <v>1252</v>
      </c>
      <c r="D11" s="88" t="s">
        <v>1257</v>
      </c>
      <c r="E11" s="88" t="s">
        <v>1258</v>
      </c>
      <c r="F11" s="88" t="s">
        <v>1259</v>
      </c>
      <c r="G11" s="90" t="s">
        <v>1260</v>
      </c>
      <c r="H11" s="88" t="s">
        <v>1261</v>
      </c>
      <c r="I11" s="88" t="s">
        <v>1262</v>
      </c>
      <c r="J11" s="88" t="s">
        <v>1252</v>
      </c>
    </row>
    <row r="12" spans="1:10" s="73" customFormat="1" ht="13" thickBot="1">
      <c r="A12" s="89" t="s">
        <v>1263</v>
      </c>
      <c r="B12" s="89" t="s">
        <v>1264</v>
      </c>
      <c r="C12" s="88" t="s">
        <v>1265</v>
      </c>
      <c r="D12" s="88" t="s">
        <v>1266</v>
      </c>
      <c r="E12" s="88" t="s">
        <v>1254</v>
      </c>
      <c r="F12" s="88" t="s">
        <v>1267</v>
      </c>
      <c r="G12" s="88" t="s">
        <v>1268</v>
      </c>
      <c r="H12" s="88" t="s">
        <v>1269</v>
      </c>
      <c r="I12" s="88" t="s">
        <v>1270</v>
      </c>
      <c r="J12" s="88" t="s">
        <v>1271</v>
      </c>
    </row>
    <row r="13" spans="1:10" ht="12.75" customHeight="1" thickTop="1">
      <c r="A13" s="87"/>
      <c r="B13" s="86"/>
      <c r="C13" s="85"/>
      <c r="D13" s="85"/>
      <c r="E13" s="85"/>
      <c r="F13" s="85"/>
      <c r="G13" s="85"/>
      <c r="H13" s="85"/>
      <c r="I13" s="85"/>
      <c r="J13" s="85"/>
    </row>
    <row r="14" spans="1:10" ht="12.75" customHeight="1">
      <c r="A14" s="83" t="s">
        <v>1272</v>
      </c>
      <c r="B14" s="84" t="s">
        <v>1272</v>
      </c>
      <c r="C14" s="83" t="s">
        <v>1273</v>
      </c>
      <c r="D14" s="82"/>
      <c r="E14" s="82"/>
      <c r="F14" s="82"/>
      <c r="G14" s="82"/>
      <c r="H14" s="82"/>
      <c r="I14" s="82"/>
      <c r="J14" s="82"/>
    </row>
    <row r="15" spans="1:10" ht="12.75" customHeight="1">
      <c r="A15" s="80"/>
      <c r="B15" s="81"/>
      <c r="C15" s="80"/>
      <c r="D15" s="79"/>
      <c r="E15" s="79"/>
      <c r="F15" s="79"/>
      <c r="G15" s="79"/>
      <c r="H15" s="79"/>
      <c r="I15" s="79"/>
      <c r="J15" s="79"/>
    </row>
    <row r="16" spans="1:10" s="73" customFormat="1" ht="12.75" customHeight="1">
      <c r="A16" s="69" t="s">
        <v>1274</v>
      </c>
      <c r="B16" s="69" t="s">
        <v>1275</v>
      </c>
      <c r="C16" s="78"/>
      <c r="D16" s="78"/>
      <c r="E16" s="78"/>
      <c r="F16" s="78"/>
      <c r="G16" s="78"/>
      <c r="H16" s="78"/>
      <c r="I16" s="78"/>
      <c r="J16" s="78"/>
    </row>
    <row r="17" spans="1:10" s="73" customFormat="1" ht="12.75" customHeight="1">
      <c r="A17" s="69"/>
      <c r="B17" s="69"/>
      <c r="C17" s="78"/>
      <c r="D17" s="78"/>
      <c r="E17" s="78"/>
      <c r="F17" s="78"/>
      <c r="G17" s="78"/>
      <c r="H17" s="78"/>
      <c r="I17" s="78"/>
      <c r="J17" s="78"/>
    </row>
    <row r="18" spans="1:10" s="73" customFormat="1" ht="12.75" customHeight="1">
      <c r="A18" s="69"/>
      <c r="B18" s="69"/>
      <c r="C18" s="78"/>
      <c r="D18" s="78"/>
      <c r="E18" s="78"/>
      <c r="F18" s="78"/>
      <c r="G18" s="78"/>
      <c r="H18" s="78"/>
      <c r="I18" s="78"/>
      <c r="J18" s="78"/>
    </row>
    <row r="19" spans="1:10" ht="12.75" customHeight="1">
      <c r="A19" s="71"/>
      <c r="B19" s="69" t="s">
        <v>1276</v>
      </c>
      <c r="C19" s="68">
        <v>14859</v>
      </c>
      <c r="D19" s="68">
        <v>2591</v>
      </c>
      <c r="E19" s="68">
        <v>17</v>
      </c>
      <c r="F19" s="68">
        <v>86</v>
      </c>
      <c r="G19" s="68">
        <v>6362</v>
      </c>
      <c r="H19" s="68">
        <v>64</v>
      </c>
      <c r="I19" s="68">
        <v>432</v>
      </c>
      <c r="J19" s="68">
        <v>5307</v>
      </c>
    </row>
    <row r="20" spans="1:10" ht="12.75" customHeight="1">
      <c r="A20" s="71"/>
      <c r="B20" s="69" t="s">
        <v>1277</v>
      </c>
      <c r="C20" s="68" t="s">
        <v>1278</v>
      </c>
      <c r="D20" s="68">
        <v>33</v>
      </c>
      <c r="E20" s="68">
        <v>11</v>
      </c>
      <c r="F20" s="68">
        <v>8</v>
      </c>
      <c r="G20" s="68">
        <v>2570</v>
      </c>
      <c r="H20" s="68">
        <v>9</v>
      </c>
      <c r="I20" s="68">
        <v>189</v>
      </c>
      <c r="J20" s="68" t="s">
        <v>1278</v>
      </c>
    </row>
    <row r="21" spans="1:10" ht="12.75" customHeight="1">
      <c r="A21" s="71"/>
      <c r="B21" s="71" t="s">
        <v>1279</v>
      </c>
      <c r="C21" s="68" t="s">
        <v>1278</v>
      </c>
      <c r="D21" s="68">
        <v>33</v>
      </c>
      <c r="E21" s="68">
        <v>6</v>
      </c>
      <c r="F21" s="68">
        <v>3</v>
      </c>
      <c r="G21" s="68">
        <v>823</v>
      </c>
      <c r="H21" s="68">
        <v>5</v>
      </c>
      <c r="I21" s="68">
        <v>14</v>
      </c>
      <c r="J21" s="68" t="s">
        <v>1278</v>
      </c>
    </row>
    <row r="22" spans="1:10" ht="12.75" customHeight="1">
      <c r="A22" s="71"/>
      <c r="B22" s="71" t="s">
        <v>1280</v>
      </c>
      <c r="C22" s="68" t="s">
        <v>1278</v>
      </c>
      <c r="D22" s="68">
        <v>0</v>
      </c>
      <c r="E22" s="68">
        <v>5</v>
      </c>
      <c r="F22" s="68">
        <v>5</v>
      </c>
      <c r="G22" s="68">
        <v>1746</v>
      </c>
      <c r="H22" s="68">
        <v>4</v>
      </c>
      <c r="I22" s="68">
        <v>175</v>
      </c>
      <c r="J22" s="68" t="s">
        <v>1278</v>
      </c>
    </row>
    <row r="23" spans="1:10" ht="12.75" customHeight="1">
      <c r="A23" s="71"/>
      <c r="B23" s="69" t="s">
        <v>1281</v>
      </c>
      <c r="C23" s="68" t="s">
        <v>1278</v>
      </c>
      <c r="D23" s="68">
        <v>2040</v>
      </c>
      <c r="E23" s="68">
        <v>5</v>
      </c>
      <c r="F23" s="68">
        <v>35</v>
      </c>
      <c r="G23" s="68">
        <v>3268</v>
      </c>
      <c r="H23" s="68" t="s">
        <v>1282</v>
      </c>
      <c r="I23" s="68">
        <v>243</v>
      </c>
      <c r="J23" s="68" t="s">
        <v>1278</v>
      </c>
    </row>
    <row r="24" spans="1:10" ht="12.75" customHeight="1">
      <c r="A24" s="71"/>
      <c r="B24" s="71" t="s">
        <v>1283</v>
      </c>
      <c r="C24" s="68" t="s">
        <v>1278</v>
      </c>
      <c r="D24" s="68">
        <v>272</v>
      </c>
      <c r="E24" s="68">
        <v>5</v>
      </c>
      <c r="F24" s="68">
        <v>13</v>
      </c>
      <c r="G24" s="68">
        <v>2810</v>
      </c>
      <c r="H24" s="68">
        <v>22</v>
      </c>
      <c r="I24" s="68">
        <v>178</v>
      </c>
      <c r="J24" s="68" t="s">
        <v>1278</v>
      </c>
    </row>
    <row r="25" spans="1:10" ht="12.75" customHeight="1">
      <c r="A25" s="71"/>
      <c r="B25" s="71" t="s">
        <v>1284</v>
      </c>
      <c r="C25" s="68" t="s">
        <v>1278</v>
      </c>
      <c r="D25" s="68">
        <v>223</v>
      </c>
      <c r="E25" s="68" t="s">
        <v>1285</v>
      </c>
      <c r="F25" s="68" t="s">
        <v>1285</v>
      </c>
      <c r="G25" s="68">
        <v>24</v>
      </c>
      <c r="H25" s="68" t="s">
        <v>1285</v>
      </c>
      <c r="I25" s="68">
        <v>3</v>
      </c>
      <c r="J25" s="68" t="s">
        <v>1278</v>
      </c>
    </row>
    <row r="26" spans="1:10" ht="12.75" customHeight="1">
      <c r="A26" s="71"/>
      <c r="B26" s="71" t="s">
        <v>1286</v>
      </c>
      <c r="C26" s="68" t="s">
        <v>1278</v>
      </c>
      <c r="D26" s="68">
        <v>1313</v>
      </c>
      <c r="E26" s="68" t="s">
        <v>1285</v>
      </c>
      <c r="F26" s="68">
        <v>14</v>
      </c>
      <c r="G26" s="68">
        <v>171</v>
      </c>
      <c r="H26" s="68">
        <v>2</v>
      </c>
      <c r="I26" s="68">
        <v>15</v>
      </c>
      <c r="J26" s="68" t="s">
        <v>1278</v>
      </c>
    </row>
    <row r="27" spans="1:10" ht="12.75" customHeight="1">
      <c r="A27" s="71"/>
      <c r="B27" s="71" t="s">
        <v>1287</v>
      </c>
      <c r="C27" s="68" t="s">
        <v>1278</v>
      </c>
      <c r="D27" s="68">
        <v>161</v>
      </c>
      <c r="E27" s="68" t="s">
        <v>1278</v>
      </c>
      <c r="F27" s="68" t="s">
        <v>1278</v>
      </c>
      <c r="G27" s="68" t="s">
        <v>1278</v>
      </c>
      <c r="H27" s="68" t="s">
        <v>1278</v>
      </c>
      <c r="I27" s="68" t="s">
        <v>1278</v>
      </c>
      <c r="J27" s="68" t="s">
        <v>1278</v>
      </c>
    </row>
    <row r="28" spans="1:10" ht="12.75" customHeight="1">
      <c r="A28" s="71"/>
      <c r="B28" s="71" t="s">
        <v>1288</v>
      </c>
      <c r="C28" s="68" t="s">
        <v>1278</v>
      </c>
      <c r="D28" s="68">
        <v>71</v>
      </c>
      <c r="E28" s="68" t="s">
        <v>1285</v>
      </c>
      <c r="F28" s="68">
        <v>8</v>
      </c>
      <c r="G28" s="68">
        <v>263</v>
      </c>
      <c r="H28" s="68" t="s">
        <v>1282</v>
      </c>
      <c r="I28" s="68">
        <v>46</v>
      </c>
      <c r="J28" s="68" t="s">
        <v>1278</v>
      </c>
    </row>
    <row r="29" spans="1:10" ht="12.75" customHeight="1">
      <c r="A29" s="71"/>
      <c r="B29" s="69" t="s">
        <v>1289</v>
      </c>
      <c r="C29" s="68" t="s">
        <v>1278</v>
      </c>
      <c r="D29" s="68">
        <v>483</v>
      </c>
      <c r="E29" s="68">
        <v>1</v>
      </c>
      <c r="F29" s="68">
        <v>43</v>
      </c>
      <c r="G29" s="68">
        <v>481</v>
      </c>
      <c r="H29" s="68" t="s">
        <v>1282</v>
      </c>
      <c r="I29" s="68">
        <v>1</v>
      </c>
      <c r="J29" s="68" t="s">
        <v>1278</v>
      </c>
    </row>
    <row r="30" spans="1:10" ht="12.75" customHeight="1">
      <c r="A30" s="71"/>
      <c r="B30" s="71" t="s">
        <v>1290</v>
      </c>
      <c r="C30" s="68" t="s">
        <v>1278</v>
      </c>
      <c r="D30" s="68">
        <v>241</v>
      </c>
      <c r="E30" s="68" t="s">
        <v>1285</v>
      </c>
      <c r="F30" s="68">
        <v>2</v>
      </c>
      <c r="G30" s="68">
        <v>386</v>
      </c>
      <c r="H30" s="68" t="s">
        <v>1282</v>
      </c>
      <c r="I30" s="68" t="s">
        <v>1285</v>
      </c>
      <c r="J30" s="68" t="s">
        <v>1278</v>
      </c>
    </row>
    <row r="31" spans="1:10" ht="12.75" customHeight="1">
      <c r="A31" s="71"/>
      <c r="B31" s="71" t="s">
        <v>1291</v>
      </c>
      <c r="C31" s="68" t="s">
        <v>1278</v>
      </c>
      <c r="D31" s="68">
        <v>165</v>
      </c>
      <c r="E31" s="68" t="s">
        <v>1278</v>
      </c>
      <c r="F31" s="68" t="s">
        <v>1278</v>
      </c>
      <c r="G31" s="68" t="s">
        <v>1278</v>
      </c>
      <c r="H31" s="68" t="s">
        <v>1278</v>
      </c>
      <c r="I31" s="68" t="s">
        <v>1278</v>
      </c>
      <c r="J31" s="68" t="s">
        <v>1278</v>
      </c>
    </row>
    <row r="32" spans="1:10" ht="12.75" customHeight="1">
      <c r="A32" s="71"/>
      <c r="B32" s="71" t="s">
        <v>1292</v>
      </c>
      <c r="C32" s="68" t="s">
        <v>1278</v>
      </c>
      <c r="D32" s="68">
        <v>50</v>
      </c>
      <c r="E32" s="68">
        <v>0</v>
      </c>
      <c r="F32" s="68" t="s">
        <v>1285</v>
      </c>
      <c r="G32" s="68">
        <v>52</v>
      </c>
      <c r="H32" s="68" t="s">
        <v>1285</v>
      </c>
      <c r="I32" s="68" t="s">
        <v>1285</v>
      </c>
      <c r="J32" s="68" t="s">
        <v>1278</v>
      </c>
    </row>
    <row r="33" spans="1:10" ht="12.75" customHeight="1">
      <c r="A33" s="71"/>
      <c r="B33" s="71" t="s">
        <v>1293</v>
      </c>
      <c r="C33" s="68" t="s">
        <v>1278</v>
      </c>
      <c r="D33" s="68">
        <v>14</v>
      </c>
      <c r="E33" s="68" t="s">
        <v>1278</v>
      </c>
      <c r="F33" s="68">
        <v>33</v>
      </c>
      <c r="G33" s="68">
        <v>3</v>
      </c>
      <c r="H33" s="68">
        <v>18</v>
      </c>
      <c r="I33" s="68" t="s">
        <v>1278</v>
      </c>
      <c r="J33" s="68" t="s">
        <v>1278</v>
      </c>
    </row>
    <row r="34" spans="1:10" ht="12.75" customHeight="1">
      <c r="A34" s="71"/>
      <c r="B34" s="71" t="s">
        <v>1294</v>
      </c>
      <c r="C34" s="68" t="s">
        <v>1278</v>
      </c>
      <c r="D34" s="68" t="s">
        <v>1278</v>
      </c>
      <c r="E34" s="68" t="s">
        <v>1285</v>
      </c>
      <c r="F34" s="68">
        <v>3</v>
      </c>
      <c r="G34" s="68">
        <v>28</v>
      </c>
      <c r="H34" s="68" t="s">
        <v>1285</v>
      </c>
      <c r="I34" s="68" t="s">
        <v>1285</v>
      </c>
      <c r="J34" s="68" t="s">
        <v>1278</v>
      </c>
    </row>
    <row r="35" spans="1:10" ht="12.75" customHeight="1">
      <c r="A35" s="71"/>
      <c r="B35" s="71" t="s">
        <v>1295</v>
      </c>
      <c r="C35" s="68" t="s">
        <v>1278</v>
      </c>
      <c r="D35" s="68">
        <v>12</v>
      </c>
      <c r="E35" s="68" t="s">
        <v>1285</v>
      </c>
      <c r="F35" s="68">
        <v>4</v>
      </c>
      <c r="G35" s="68">
        <v>12</v>
      </c>
      <c r="H35" s="68">
        <v>1</v>
      </c>
      <c r="I35" s="68">
        <v>0</v>
      </c>
      <c r="J35" s="68" t="s">
        <v>1278</v>
      </c>
    </row>
    <row r="36" spans="1:10" ht="12.75" customHeight="1">
      <c r="A36" s="71"/>
      <c r="B36" s="69" t="s">
        <v>1296</v>
      </c>
      <c r="C36" s="68">
        <v>5389</v>
      </c>
      <c r="D36" s="68">
        <v>36</v>
      </c>
      <c r="E36" s="68" t="s">
        <v>1285</v>
      </c>
      <c r="F36" s="68" t="s">
        <v>1285</v>
      </c>
      <c r="G36" s="68">
        <v>43</v>
      </c>
      <c r="H36" s="68">
        <v>3</v>
      </c>
      <c r="I36" s="68">
        <v>0</v>
      </c>
      <c r="J36" s="68">
        <v>5307</v>
      </c>
    </row>
    <row r="37" spans="1:10" ht="12.75" customHeight="1">
      <c r="A37" s="71"/>
      <c r="B37" s="71"/>
      <c r="C37" s="68"/>
      <c r="D37" s="68"/>
      <c r="E37" s="68"/>
      <c r="F37" s="68"/>
      <c r="G37" s="68"/>
      <c r="H37" s="68"/>
      <c r="I37" s="68"/>
      <c r="J37" s="68"/>
    </row>
    <row r="38" spans="1:10" s="73" customFormat="1" ht="12.75" customHeight="1">
      <c r="A38" s="69" t="s">
        <v>1297</v>
      </c>
      <c r="B38" s="69" t="s">
        <v>1298</v>
      </c>
      <c r="C38" s="78"/>
      <c r="D38" s="78"/>
      <c r="E38" s="78"/>
      <c r="F38" s="78"/>
      <c r="G38" s="78"/>
      <c r="H38" s="78"/>
      <c r="I38" s="78"/>
      <c r="J38" s="78"/>
    </row>
    <row r="39" spans="1:10" ht="12.75" customHeight="1">
      <c r="A39" s="71"/>
      <c r="B39" s="71"/>
      <c r="C39" s="77"/>
      <c r="D39" s="77"/>
      <c r="E39" s="77"/>
      <c r="F39" s="77"/>
      <c r="G39" s="77"/>
      <c r="H39" s="77"/>
      <c r="I39" s="77"/>
      <c r="J39" s="77"/>
    </row>
    <row r="40" spans="1:10" ht="12.75" customHeight="1">
      <c r="A40" s="71"/>
      <c r="B40" s="71"/>
      <c r="C40" s="77"/>
      <c r="D40" s="77"/>
      <c r="E40" s="77"/>
      <c r="F40" s="77"/>
      <c r="G40" s="77"/>
      <c r="H40" s="77"/>
      <c r="I40" s="77"/>
      <c r="J40" s="77"/>
    </row>
    <row r="41" spans="1:10" ht="12.75" customHeight="1">
      <c r="A41" s="71"/>
      <c r="B41" s="69" t="s">
        <v>1276</v>
      </c>
      <c r="C41" s="68">
        <v>1144</v>
      </c>
      <c r="D41" s="68">
        <v>314</v>
      </c>
      <c r="E41" s="68" t="s">
        <v>1285</v>
      </c>
      <c r="F41" s="68">
        <v>14</v>
      </c>
      <c r="G41" s="68">
        <v>669</v>
      </c>
      <c r="H41" s="68">
        <v>7</v>
      </c>
      <c r="I41" s="68">
        <v>47</v>
      </c>
      <c r="J41" s="68">
        <v>93</v>
      </c>
    </row>
    <row r="42" spans="1:10" ht="12.75" customHeight="1">
      <c r="A42" s="71"/>
      <c r="B42" s="69" t="s">
        <v>1277</v>
      </c>
      <c r="C42" s="68" t="s">
        <v>1278</v>
      </c>
      <c r="D42" s="68">
        <v>8</v>
      </c>
      <c r="E42" s="68" t="s">
        <v>1285</v>
      </c>
      <c r="F42" s="68">
        <v>2</v>
      </c>
      <c r="G42" s="68">
        <v>388</v>
      </c>
      <c r="H42" s="68">
        <v>3</v>
      </c>
      <c r="I42" s="68">
        <v>37</v>
      </c>
      <c r="J42" s="68" t="s">
        <v>1278</v>
      </c>
    </row>
    <row r="43" spans="1:10" ht="12.75" customHeight="1">
      <c r="A43" s="71"/>
      <c r="B43" s="71" t="s">
        <v>1279</v>
      </c>
      <c r="C43" s="68" t="s">
        <v>1278</v>
      </c>
      <c r="D43" s="68">
        <v>8</v>
      </c>
      <c r="E43" s="68" t="s">
        <v>1285</v>
      </c>
      <c r="F43" s="68">
        <v>1</v>
      </c>
      <c r="G43" s="68">
        <v>136</v>
      </c>
      <c r="H43" s="68">
        <v>2</v>
      </c>
      <c r="I43" s="68">
        <v>5</v>
      </c>
      <c r="J43" s="68" t="s">
        <v>1278</v>
      </c>
    </row>
    <row r="44" spans="1:10" ht="12.75" customHeight="1">
      <c r="A44" s="71"/>
      <c r="B44" s="71" t="s">
        <v>1280</v>
      </c>
      <c r="C44" s="68" t="s">
        <v>1278</v>
      </c>
      <c r="D44" s="68">
        <v>0</v>
      </c>
      <c r="E44" s="68" t="s">
        <v>1285</v>
      </c>
      <c r="F44" s="68">
        <v>1</v>
      </c>
      <c r="G44" s="68">
        <v>252</v>
      </c>
      <c r="H44" s="68">
        <v>1</v>
      </c>
      <c r="I44" s="68">
        <v>32</v>
      </c>
      <c r="J44" s="68" t="s">
        <v>1278</v>
      </c>
    </row>
    <row r="45" spans="1:10" ht="12.75" customHeight="1">
      <c r="A45" s="71"/>
      <c r="B45" s="69" t="s">
        <v>1281</v>
      </c>
      <c r="C45" s="68" t="s">
        <v>1278</v>
      </c>
      <c r="D45" s="68">
        <v>230</v>
      </c>
      <c r="E45" s="68" t="s">
        <v>1285</v>
      </c>
      <c r="F45" s="68" t="s">
        <v>1299</v>
      </c>
      <c r="G45" s="68">
        <v>199</v>
      </c>
      <c r="H45" s="68">
        <v>2</v>
      </c>
      <c r="I45" s="68">
        <v>10</v>
      </c>
      <c r="J45" s="68" t="s">
        <v>1278</v>
      </c>
    </row>
    <row r="46" spans="1:10" ht="12.75" customHeight="1">
      <c r="A46" s="71"/>
      <c r="B46" s="71" t="s">
        <v>1283</v>
      </c>
      <c r="C46" s="68" t="s">
        <v>1278</v>
      </c>
      <c r="D46" s="68">
        <v>11</v>
      </c>
      <c r="E46" s="68" t="s">
        <v>1285</v>
      </c>
      <c r="F46" s="68" t="s">
        <v>1299</v>
      </c>
      <c r="G46" s="68">
        <v>167</v>
      </c>
      <c r="H46" s="68" t="s">
        <v>1299</v>
      </c>
      <c r="I46" s="68">
        <v>10</v>
      </c>
      <c r="J46" s="68" t="s">
        <v>1278</v>
      </c>
    </row>
    <row r="47" spans="1:10" ht="12.75" customHeight="1">
      <c r="A47" s="71"/>
      <c r="B47" s="71" t="s">
        <v>1284</v>
      </c>
      <c r="C47" s="68" t="s">
        <v>1278</v>
      </c>
      <c r="D47" s="68">
        <v>83</v>
      </c>
      <c r="E47" s="68" t="s">
        <v>1285</v>
      </c>
      <c r="F47" s="68" t="s">
        <v>1285</v>
      </c>
      <c r="G47" s="68">
        <v>4</v>
      </c>
      <c r="H47" s="68" t="s">
        <v>1285</v>
      </c>
      <c r="I47" s="68">
        <v>0</v>
      </c>
      <c r="J47" s="68" t="s">
        <v>1278</v>
      </c>
    </row>
    <row r="48" spans="1:10" ht="12.75" customHeight="1">
      <c r="A48" s="71"/>
      <c r="B48" s="71" t="s">
        <v>1286</v>
      </c>
      <c r="C48" s="68" t="s">
        <v>1278</v>
      </c>
      <c r="D48" s="68">
        <v>130</v>
      </c>
      <c r="E48" s="68" t="s">
        <v>1285</v>
      </c>
      <c r="F48" s="68" t="s">
        <v>1285</v>
      </c>
      <c r="G48" s="68">
        <v>14</v>
      </c>
      <c r="H48" s="68" t="s">
        <v>1285</v>
      </c>
      <c r="I48" s="68">
        <v>0</v>
      </c>
      <c r="J48" s="68" t="s">
        <v>1278</v>
      </c>
    </row>
    <row r="49" spans="1:10" ht="12.75" customHeight="1">
      <c r="A49" s="71"/>
      <c r="B49" s="71" t="s">
        <v>1287</v>
      </c>
      <c r="C49" s="68" t="s">
        <v>1278</v>
      </c>
      <c r="D49" s="68">
        <v>2</v>
      </c>
      <c r="E49" s="68" t="s">
        <v>1278</v>
      </c>
      <c r="F49" s="68" t="s">
        <v>1278</v>
      </c>
      <c r="G49" s="68" t="s">
        <v>1278</v>
      </c>
      <c r="H49" s="68" t="s">
        <v>1278</v>
      </c>
      <c r="I49" s="68" t="s">
        <v>1278</v>
      </c>
      <c r="J49" s="68" t="s">
        <v>1278</v>
      </c>
    </row>
    <row r="50" spans="1:10" ht="12.75" customHeight="1">
      <c r="A50" s="71"/>
      <c r="B50" s="71" t="s">
        <v>1288</v>
      </c>
      <c r="C50" s="68" t="s">
        <v>1278</v>
      </c>
      <c r="D50" s="68">
        <v>3</v>
      </c>
      <c r="E50" s="68">
        <v>0</v>
      </c>
      <c r="F50" s="68" t="s">
        <v>1299</v>
      </c>
      <c r="G50" s="68">
        <v>14</v>
      </c>
      <c r="H50" s="68" t="s">
        <v>1285</v>
      </c>
      <c r="I50" s="68">
        <v>0</v>
      </c>
      <c r="J50" s="68" t="s">
        <v>1278</v>
      </c>
    </row>
    <row r="51" spans="1:10" ht="12.75" customHeight="1">
      <c r="A51" s="71"/>
      <c r="B51" s="69" t="s">
        <v>1289</v>
      </c>
      <c r="C51" s="68" t="s">
        <v>1278</v>
      </c>
      <c r="D51" s="68">
        <v>71</v>
      </c>
      <c r="E51" s="68" t="s">
        <v>1285</v>
      </c>
      <c r="F51" s="68">
        <v>7</v>
      </c>
      <c r="G51" s="68">
        <v>77</v>
      </c>
      <c r="H51" s="68">
        <v>2</v>
      </c>
      <c r="I51" s="68" t="s">
        <v>1285</v>
      </c>
      <c r="J51" s="68" t="s">
        <v>1278</v>
      </c>
    </row>
    <row r="52" spans="1:10" ht="12.75" customHeight="1">
      <c r="A52" s="71"/>
      <c r="B52" s="71" t="s">
        <v>1290</v>
      </c>
      <c r="C52" s="68" t="s">
        <v>1278</v>
      </c>
      <c r="D52" s="68">
        <v>33</v>
      </c>
      <c r="E52" s="68" t="s">
        <v>1285</v>
      </c>
      <c r="F52" s="68" t="s">
        <v>1299</v>
      </c>
      <c r="G52" s="68">
        <v>53</v>
      </c>
      <c r="H52" s="68">
        <v>1</v>
      </c>
      <c r="I52" s="68">
        <v>0</v>
      </c>
      <c r="J52" s="68" t="s">
        <v>1278</v>
      </c>
    </row>
    <row r="53" spans="1:10" ht="12.75" customHeight="1">
      <c r="A53" s="71"/>
      <c r="B53" s="71" t="s">
        <v>1291</v>
      </c>
      <c r="C53" s="68" t="s">
        <v>1278</v>
      </c>
      <c r="D53" s="68">
        <v>28</v>
      </c>
      <c r="E53" s="68" t="s">
        <v>1278</v>
      </c>
      <c r="F53" s="68" t="s">
        <v>1278</v>
      </c>
      <c r="G53" s="68" t="s">
        <v>1278</v>
      </c>
      <c r="H53" s="68" t="s">
        <v>1278</v>
      </c>
      <c r="I53" s="68" t="s">
        <v>1278</v>
      </c>
      <c r="J53" s="68" t="s">
        <v>1278</v>
      </c>
    </row>
    <row r="54" spans="1:10" ht="12.75" customHeight="1">
      <c r="A54" s="71"/>
      <c r="B54" s="71" t="s">
        <v>1292</v>
      </c>
      <c r="C54" s="68" t="s">
        <v>1278</v>
      </c>
      <c r="D54" s="68">
        <v>6</v>
      </c>
      <c r="E54" s="68">
        <v>0</v>
      </c>
      <c r="F54" s="68" t="s">
        <v>1285</v>
      </c>
      <c r="G54" s="68">
        <v>23</v>
      </c>
      <c r="H54" s="68" t="s">
        <v>1285</v>
      </c>
      <c r="I54" s="68">
        <v>0</v>
      </c>
      <c r="J54" s="68" t="s">
        <v>1278</v>
      </c>
    </row>
    <row r="55" spans="1:10" ht="12.75" customHeight="1">
      <c r="A55" s="71"/>
      <c r="B55" s="71" t="s">
        <v>1293</v>
      </c>
      <c r="C55" s="68" t="s">
        <v>1278</v>
      </c>
      <c r="D55" s="68">
        <v>3</v>
      </c>
      <c r="E55" s="68" t="s">
        <v>1278</v>
      </c>
      <c r="F55" s="68">
        <v>2</v>
      </c>
      <c r="G55" s="68" t="s">
        <v>1285</v>
      </c>
      <c r="H55" s="68">
        <v>1</v>
      </c>
      <c r="I55" s="68" t="s">
        <v>1278</v>
      </c>
      <c r="J55" s="68" t="s">
        <v>1278</v>
      </c>
    </row>
    <row r="56" spans="1:10" ht="12.75" customHeight="1">
      <c r="A56" s="71"/>
      <c r="B56" s="71" t="s">
        <v>1294</v>
      </c>
      <c r="C56" s="68" t="s">
        <v>1278</v>
      </c>
      <c r="D56" s="68" t="s">
        <v>1278</v>
      </c>
      <c r="E56" s="68">
        <v>0</v>
      </c>
      <c r="F56" s="68">
        <v>2</v>
      </c>
      <c r="G56" s="68" t="s">
        <v>1285</v>
      </c>
      <c r="H56" s="68" t="s">
        <v>1285</v>
      </c>
      <c r="I56" s="68" t="s">
        <v>1285</v>
      </c>
      <c r="J56" s="68" t="s">
        <v>1278</v>
      </c>
    </row>
    <row r="57" spans="1:10" ht="12.75" customHeight="1">
      <c r="A57" s="71"/>
      <c r="B57" s="71" t="s">
        <v>1295</v>
      </c>
      <c r="C57" s="68" t="s">
        <v>1278</v>
      </c>
      <c r="D57" s="68">
        <v>1</v>
      </c>
      <c r="E57" s="68">
        <v>0</v>
      </c>
      <c r="F57" s="68">
        <v>1</v>
      </c>
      <c r="G57" s="68" t="s">
        <v>1285</v>
      </c>
      <c r="H57" s="68" t="s">
        <v>1285</v>
      </c>
      <c r="I57" s="68">
        <v>0</v>
      </c>
      <c r="J57" s="68" t="s">
        <v>1278</v>
      </c>
    </row>
    <row r="58" spans="1:10" ht="12.75" customHeight="1">
      <c r="A58" s="71"/>
      <c r="B58" s="69" t="s">
        <v>1296</v>
      </c>
      <c r="C58" s="68">
        <v>103</v>
      </c>
      <c r="D58" s="68">
        <v>5</v>
      </c>
      <c r="E58" s="68">
        <v>0</v>
      </c>
      <c r="F58" s="68">
        <v>0</v>
      </c>
      <c r="G58" s="68">
        <v>5</v>
      </c>
      <c r="H58" s="68" t="s">
        <v>1285</v>
      </c>
      <c r="I58" s="68">
        <v>0</v>
      </c>
      <c r="J58" s="68">
        <v>93</v>
      </c>
    </row>
    <row r="59" spans="1:10" ht="12.75" customHeight="1">
      <c r="A59" s="71"/>
      <c r="B59" s="71"/>
      <c r="C59" s="68"/>
      <c r="D59" s="68"/>
      <c r="E59" s="68"/>
      <c r="F59" s="68"/>
      <c r="G59" s="68"/>
      <c r="H59" s="68"/>
      <c r="I59" s="68"/>
      <c r="J59" s="68"/>
    </row>
    <row r="60" spans="1:10" s="73" customFormat="1" ht="12.75" customHeight="1">
      <c r="A60" s="69" t="s">
        <v>1300</v>
      </c>
      <c r="B60" s="69" t="s">
        <v>1301</v>
      </c>
      <c r="C60" s="74"/>
      <c r="D60" s="74"/>
      <c r="E60" s="74"/>
      <c r="F60" s="74"/>
      <c r="G60" s="74"/>
      <c r="H60" s="74"/>
      <c r="I60" s="74"/>
      <c r="J60" s="74"/>
    </row>
    <row r="61" spans="1:10" ht="12.75" customHeight="1">
      <c r="A61" s="71"/>
      <c r="B61" s="71"/>
      <c r="C61" s="68"/>
      <c r="D61" s="68"/>
      <c r="E61" s="68"/>
      <c r="F61" s="68"/>
      <c r="G61" s="68"/>
      <c r="H61" s="68"/>
      <c r="I61" s="68"/>
      <c r="J61" s="68"/>
    </row>
    <row r="62" spans="1:10" ht="12.75" customHeight="1">
      <c r="A62" s="71"/>
      <c r="B62" s="71"/>
      <c r="C62" s="68"/>
      <c r="D62" s="68"/>
      <c r="E62" s="68"/>
      <c r="F62" s="68"/>
      <c r="G62" s="68"/>
      <c r="H62" s="68"/>
      <c r="I62" s="68"/>
      <c r="J62" s="68"/>
    </row>
    <row r="63" spans="1:10" ht="12.75" customHeight="1">
      <c r="A63" s="71"/>
      <c r="B63" s="69" t="s">
        <v>1276</v>
      </c>
      <c r="C63" s="68">
        <v>246</v>
      </c>
      <c r="D63" s="68">
        <v>50</v>
      </c>
      <c r="E63" s="68" t="s">
        <v>1285</v>
      </c>
      <c r="F63" s="68">
        <v>1</v>
      </c>
      <c r="G63" s="68">
        <v>149</v>
      </c>
      <c r="H63" s="68" t="s">
        <v>1285</v>
      </c>
      <c r="I63" s="68">
        <v>19</v>
      </c>
      <c r="J63" s="68">
        <v>27</v>
      </c>
    </row>
    <row r="64" spans="1:10" ht="12.75" customHeight="1">
      <c r="A64" s="71"/>
      <c r="B64" s="69" t="s">
        <v>1277</v>
      </c>
      <c r="C64" s="68" t="s">
        <v>1278</v>
      </c>
      <c r="D64" s="68">
        <v>2</v>
      </c>
      <c r="E64" s="68">
        <v>0</v>
      </c>
      <c r="F64" s="68" t="s">
        <v>1285</v>
      </c>
      <c r="G64" s="68">
        <v>99</v>
      </c>
      <c r="H64" s="68" t="s">
        <v>1285</v>
      </c>
      <c r="I64" s="68">
        <v>19</v>
      </c>
      <c r="J64" s="68" t="s">
        <v>1278</v>
      </c>
    </row>
    <row r="65" spans="1:10" ht="12.75" customHeight="1">
      <c r="A65" s="71"/>
      <c r="B65" s="71" t="s">
        <v>1279</v>
      </c>
      <c r="C65" s="68" t="s">
        <v>1278</v>
      </c>
      <c r="D65" s="68">
        <v>2</v>
      </c>
      <c r="E65" s="68">
        <v>0</v>
      </c>
      <c r="F65" s="68" t="s">
        <v>1285</v>
      </c>
      <c r="G65" s="68">
        <v>36</v>
      </c>
      <c r="H65" s="68">
        <v>0</v>
      </c>
      <c r="I65" s="68">
        <v>5</v>
      </c>
      <c r="J65" s="68" t="s">
        <v>1278</v>
      </c>
    </row>
    <row r="66" spans="1:10" ht="12.75" customHeight="1">
      <c r="A66" s="71"/>
      <c r="B66" s="71" t="s">
        <v>1280</v>
      </c>
      <c r="C66" s="68" t="s">
        <v>1278</v>
      </c>
      <c r="D66" s="68">
        <v>0</v>
      </c>
      <c r="E66" s="68">
        <v>0</v>
      </c>
      <c r="F66" s="68" t="s">
        <v>1285</v>
      </c>
      <c r="G66" s="68">
        <v>63</v>
      </c>
      <c r="H66" s="68" t="s">
        <v>1285</v>
      </c>
      <c r="I66" s="68">
        <v>14</v>
      </c>
      <c r="J66" s="68" t="s">
        <v>1278</v>
      </c>
    </row>
    <row r="67" spans="1:10" ht="12.75" customHeight="1">
      <c r="A67" s="71"/>
      <c r="B67" s="69" t="s">
        <v>1281</v>
      </c>
      <c r="C67" s="68" t="s">
        <v>1278</v>
      </c>
      <c r="D67" s="68">
        <v>43</v>
      </c>
      <c r="E67" s="68" t="s">
        <v>1285</v>
      </c>
      <c r="F67" s="68" t="s">
        <v>1285</v>
      </c>
      <c r="G67" s="68">
        <v>45</v>
      </c>
      <c r="H67" s="68" t="s">
        <v>1285</v>
      </c>
      <c r="I67" s="68">
        <v>0</v>
      </c>
      <c r="J67" s="68" t="s">
        <v>1278</v>
      </c>
    </row>
    <row r="68" spans="1:10" ht="12.75" customHeight="1">
      <c r="A68" s="71"/>
      <c r="B68" s="71" t="s">
        <v>1283</v>
      </c>
      <c r="C68" s="68" t="s">
        <v>1278</v>
      </c>
      <c r="D68" s="68">
        <v>2</v>
      </c>
      <c r="E68" s="68" t="s">
        <v>1285</v>
      </c>
      <c r="F68" s="68" t="s">
        <v>1285</v>
      </c>
      <c r="G68" s="68">
        <v>39</v>
      </c>
      <c r="H68" s="68" t="s">
        <v>1285</v>
      </c>
      <c r="I68" s="68">
        <v>0</v>
      </c>
      <c r="J68" s="68" t="s">
        <v>1278</v>
      </c>
    </row>
    <row r="69" spans="1:10" ht="12.75" customHeight="1">
      <c r="A69" s="71"/>
      <c r="B69" s="71" t="s">
        <v>1284</v>
      </c>
      <c r="C69" s="68" t="s">
        <v>1278</v>
      </c>
      <c r="D69" s="68">
        <v>5</v>
      </c>
      <c r="E69" s="68">
        <v>0</v>
      </c>
      <c r="F69" s="68">
        <v>0</v>
      </c>
      <c r="G69" s="68" t="s">
        <v>1285</v>
      </c>
      <c r="H69" s="68" t="s">
        <v>1285</v>
      </c>
      <c r="I69" s="68">
        <v>0</v>
      </c>
      <c r="J69" s="68" t="s">
        <v>1278</v>
      </c>
    </row>
    <row r="70" spans="1:10" ht="12.75" customHeight="1">
      <c r="A70" s="71"/>
      <c r="B70" s="71" t="s">
        <v>1286</v>
      </c>
      <c r="C70" s="68" t="s">
        <v>1278</v>
      </c>
      <c r="D70" s="68">
        <v>34</v>
      </c>
      <c r="E70" s="68">
        <v>0</v>
      </c>
      <c r="F70" s="68" t="s">
        <v>1285</v>
      </c>
      <c r="G70" s="68">
        <v>4</v>
      </c>
      <c r="H70" s="68" t="s">
        <v>1285</v>
      </c>
      <c r="I70" s="68">
        <v>0</v>
      </c>
      <c r="J70" s="68" t="s">
        <v>1278</v>
      </c>
    </row>
    <row r="71" spans="1:10" ht="12.75" customHeight="1">
      <c r="A71" s="71"/>
      <c r="B71" s="71" t="s">
        <v>1287</v>
      </c>
      <c r="C71" s="68" t="s">
        <v>1278</v>
      </c>
      <c r="D71" s="68" t="s">
        <v>1285</v>
      </c>
      <c r="E71" s="68" t="s">
        <v>1278</v>
      </c>
      <c r="F71" s="68" t="s">
        <v>1278</v>
      </c>
      <c r="G71" s="68" t="s">
        <v>1278</v>
      </c>
      <c r="H71" s="68" t="s">
        <v>1278</v>
      </c>
      <c r="I71" s="68" t="s">
        <v>1278</v>
      </c>
      <c r="J71" s="68" t="s">
        <v>1278</v>
      </c>
    </row>
    <row r="72" spans="1:10" ht="12.75" customHeight="1">
      <c r="A72" s="71"/>
      <c r="B72" s="71" t="s">
        <v>1288</v>
      </c>
      <c r="C72" s="68" t="s">
        <v>1278</v>
      </c>
      <c r="D72" s="68">
        <v>1</v>
      </c>
      <c r="E72" s="68">
        <v>0</v>
      </c>
      <c r="F72" s="68" t="s">
        <v>1285</v>
      </c>
      <c r="G72" s="68">
        <v>3</v>
      </c>
      <c r="H72" s="68" t="s">
        <v>1285</v>
      </c>
      <c r="I72" s="68">
        <v>0</v>
      </c>
      <c r="J72" s="68" t="s">
        <v>1278</v>
      </c>
    </row>
    <row r="73" spans="1:10" ht="12.75" customHeight="1">
      <c r="A73" s="71"/>
      <c r="B73" s="69" t="s">
        <v>1289</v>
      </c>
      <c r="C73" s="68" t="s">
        <v>1278</v>
      </c>
      <c r="D73" s="68">
        <v>5</v>
      </c>
      <c r="E73" s="68" t="s">
        <v>1285</v>
      </c>
      <c r="F73" s="68" t="s">
        <v>1285</v>
      </c>
      <c r="G73" s="68">
        <v>5</v>
      </c>
      <c r="H73" s="68" t="s">
        <v>1285</v>
      </c>
      <c r="I73" s="68">
        <v>0</v>
      </c>
      <c r="J73" s="68" t="s">
        <v>1278</v>
      </c>
    </row>
    <row r="74" spans="1:10" ht="12.75" customHeight="1">
      <c r="A74" s="71"/>
      <c r="B74" s="71" t="s">
        <v>1290</v>
      </c>
      <c r="C74" s="68" t="s">
        <v>1278</v>
      </c>
      <c r="D74" s="68">
        <v>2</v>
      </c>
      <c r="E74" s="68" t="s">
        <v>1285</v>
      </c>
      <c r="F74" s="68" t="s">
        <v>1285</v>
      </c>
      <c r="G74" s="68">
        <v>4</v>
      </c>
      <c r="H74" s="68" t="s">
        <v>1285</v>
      </c>
      <c r="I74" s="68">
        <v>0</v>
      </c>
      <c r="J74" s="68" t="s">
        <v>1278</v>
      </c>
    </row>
    <row r="75" spans="1:10" ht="12.75" customHeight="1">
      <c r="A75" s="71"/>
      <c r="B75" s="71" t="s">
        <v>1291</v>
      </c>
      <c r="C75" s="68" t="s">
        <v>1278</v>
      </c>
      <c r="D75" s="68">
        <v>2</v>
      </c>
      <c r="E75" s="68" t="s">
        <v>1278</v>
      </c>
      <c r="F75" s="68" t="s">
        <v>1278</v>
      </c>
      <c r="G75" s="68" t="s">
        <v>1278</v>
      </c>
      <c r="H75" s="68" t="s">
        <v>1278</v>
      </c>
      <c r="I75" s="68" t="s">
        <v>1278</v>
      </c>
      <c r="J75" s="68" t="s">
        <v>1278</v>
      </c>
    </row>
    <row r="76" spans="1:10" ht="12.75" customHeight="1">
      <c r="A76" s="71"/>
      <c r="B76" s="71" t="s">
        <v>1292</v>
      </c>
      <c r="C76" s="68" t="s">
        <v>1278</v>
      </c>
      <c r="D76" s="68">
        <v>1</v>
      </c>
      <c r="E76" s="68">
        <v>0</v>
      </c>
      <c r="F76" s="68" t="s">
        <v>1285</v>
      </c>
      <c r="G76" s="68" t="s">
        <v>1285</v>
      </c>
      <c r="H76" s="68" t="s">
        <v>1285</v>
      </c>
      <c r="I76" s="68">
        <v>0</v>
      </c>
      <c r="J76" s="68" t="s">
        <v>1278</v>
      </c>
    </row>
    <row r="77" spans="1:10" ht="12.75" customHeight="1">
      <c r="A77" s="71"/>
      <c r="B77" s="71" t="s">
        <v>1293</v>
      </c>
      <c r="C77" s="68" t="s">
        <v>1278</v>
      </c>
      <c r="D77" s="68" t="s">
        <v>1285</v>
      </c>
      <c r="E77" s="68" t="s">
        <v>1278</v>
      </c>
      <c r="F77" s="68" t="s">
        <v>1285</v>
      </c>
      <c r="G77" s="68" t="s">
        <v>1285</v>
      </c>
      <c r="H77" s="68" t="s">
        <v>1285</v>
      </c>
      <c r="I77" s="68" t="s">
        <v>1278</v>
      </c>
      <c r="J77" s="68" t="s">
        <v>1278</v>
      </c>
    </row>
    <row r="78" spans="1:10" ht="12.75" customHeight="1">
      <c r="A78" s="71"/>
      <c r="B78" s="71" t="s">
        <v>1294</v>
      </c>
      <c r="C78" s="68" t="s">
        <v>1278</v>
      </c>
      <c r="D78" s="68" t="s">
        <v>1278</v>
      </c>
      <c r="E78" s="68">
        <v>0</v>
      </c>
      <c r="F78" s="68" t="s">
        <v>1285</v>
      </c>
      <c r="G78" s="68" t="s">
        <v>1285</v>
      </c>
      <c r="H78" s="68" t="s">
        <v>1285</v>
      </c>
      <c r="I78" s="68">
        <v>0</v>
      </c>
      <c r="J78" s="68" t="s">
        <v>1278</v>
      </c>
    </row>
    <row r="79" spans="1:10" ht="12.75" customHeight="1">
      <c r="A79" s="71"/>
      <c r="B79" s="71" t="s">
        <v>1295</v>
      </c>
      <c r="C79" s="68" t="s">
        <v>1278</v>
      </c>
      <c r="D79" s="68" t="s">
        <v>1285</v>
      </c>
      <c r="E79" s="68">
        <v>0</v>
      </c>
      <c r="F79" s="68" t="s">
        <v>1285</v>
      </c>
      <c r="G79" s="68" t="s">
        <v>1285</v>
      </c>
      <c r="H79" s="68" t="s">
        <v>1285</v>
      </c>
      <c r="I79" s="68">
        <v>0</v>
      </c>
      <c r="J79" s="68" t="s">
        <v>1278</v>
      </c>
    </row>
    <row r="80" spans="1:10" ht="12.75" customHeight="1">
      <c r="A80" s="71"/>
      <c r="B80" s="69" t="s">
        <v>1296</v>
      </c>
      <c r="C80" s="68">
        <v>28</v>
      </c>
      <c r="D80" s="68" t="s">
        <v>1285</v>
      </c>
      <c r="E80" s="68">
        <v>0</v>
      </c>
      <c r="F80" s="68">
        <v>0</v>
      </c>
      <c r="G80" s="68" t="s">
        <v>1299</v>
      </c>
      <c r="H80" s="68" t="s">
        <v>1285</v>
      </c>
      <c r="I80" s="68">
        <v>0</v>
      </c>
      <c r="J80" s="68">
        <v>27</v>
      </c>
    </row>
    <row r="81" spans="1:10" ht="12.75" customHeight="1">
      <c r="A81" s="71"/>
      <c r="B81" s="71"/>
      <c r="C81" s="68"/>
      <c r="D81" s="68"/>
      <c r="E81" s="68"/>
      <c r="F81" s="68"/>
      <c r="G81" s="68"/>
      <c r="H81" s="68"/>
      <c r="I81" s="68"/>
      <c r="J81" s="68"/>
    </row>
    <row r="82" spans="1:10" s="73" customFormat="1" ht="12.75" customHeight="1">
      <c r="A82" s="69" t="s">
        <v>1302</v>
      </c>
      <c r="B82" s="69" t="s">
        <v>1303</v>
      </c>
      <c r="C82" s="74"/>
      <c r="D82" s="74"/>
      <c r="E82" s="74"/>
      <c r="F82" s="74"/>
      <c r="G82" s="74"/>
      <c r="H82" s="74"/>
      <c r="I82" s="74"/>
      <c r="J82" s="74"/>
    </row>
    <row r="83" spans="1:10" ht="12.75" customHeight="1">
      <c r="A83" s="71"/>
      <c r="B83" s="71"/>
      <c r="C83" s="68"/>
      <c r="D83" s="68"/>
      <c r="E83" s="68"/>
      <c r="F83" s="68"/>
      <c r="G83" s="68"/>
      <c r="H83" s="68"/>
      <c r="I83" s="68"/>
      <c r="J83" s="68"/>
    </row>
    <row r="84" spans="1:10" ht="12.75" customHeight="1">
      <c r="A84" s="71"/>
      <c r="B84" s="71"/>
      <c r="C84" s="68"/>
      <c r="D84" s="68"/>
      <c r="E84" s="68"/>
      <c r="F84" s="68"/>
      <c r="G84" s="68"/>
      <c r="H84" s="68"/>
      <c r="I84" s="68"/>
      <c r="J84" s="68"/>
    </row>
    <row r="85" spans="1:10" ht="12.75" customHeight="1">
      <c r="A85" s="71"/>
      <c r="B85" s="69" t="s">
        <v>1276</v>
      </c>
      <c r="C85" s="68">
        <v>111</v>
      </c>
      <c r="D85" s="68">
        <v>21</v>
      </c>
      <c r="E85" s="68">
        <v>0</v>
      </c>
      <c r="F85" s="68" t="s">
        <v>1285</v>
      </c>
      <c r="G85" s="68">
        <v>61</v>
      </c>
      <c r="H85" s="68" t="s">
        <v>1285</v>
      </c>
      <c r="I85" s="68">
        <v>10</v>
      </c>
      <c r="J85" s="68">
        <v>18</v>
      </c>
    </row>
    <row r="86" spans="1:10" ht="12.75" customHeight="1">
      <c r="A86" s="71"/>
      <c r="B86" s="69" t="s">
        <v>1277</v>
      </c>
      <c r="C86" s="68" t="s">
        <v>1278</v>
      </c>
      <c r="D86" s="68">
        <v>1</v>
      </c>
      <c r="E86" s="68">
        <v>0</v>
      </c>
      <c r="F86" s="68">
        <v>0</v>
      </c>
      <c r="G86" s="68">
        <v>44</v>
      </c>
      <c r="H86" s="68">
        <v>0</v>
      </c>
      <c r="I86" s="68">
        <v>10</v>
      </c>
      <c r="J86" s="68" t="s">
        <v>1278</v>
      </c>
    </row>
    <row r="87" spans="1:10" ht="12.75" customHeight="1">
      <c r="A87" s="71"/>
      <c r="B87" s="71" t="s">
        <v>1279</v>
      </c>
      <c r="C87" s="68" t="s">
        <v>1278</v>
      </c>
      <c r="D87" s="68">
        <v>1</v>
      </c>
      <c r="E87" s="68">
        <v>0</v>
      </c>
      <c r="F87" s="68">
        <v>0</v>
      </c>
      <c r="G87" s="68">
        <v>8</v>
      </c>
      <c r="H87" s="68">
        <v>0</v>
      </c>
      <c r="I87" s="68">
        <v>1</v>
      </c>
      <c r="J87" s="68" t="s">
        <v>1278</v>
      </c>
    </row>
    <row r="88" spans="1:10" ht="12.75" customHeight="1">
      <c r="A88" s="71"/>
      <c r="B88" s="71" t="s">
        <v>1280</v>
      </c>
      <c r="C88" s="68" t="s">
        <v>1278</v>
      </c>
      <c r="D88" s="68">
        <v>0</v>
      </c>
      <c r="E88" s="68">
        <v>0</v>
      </c>
      <c r="F88" s="68">
        <v>0</v>
      </c>
      <c r="G88" s="68">
        <v>36</v>
      </c>
      <c r="H88" s="68">
        <v>0</v>
      </c>
      <c r="I88" s="68">
        <v>9</v>
      </c>
      <c r="J88" s="68" t="s">
        <v>1278</v>
      </c>
    </row>
    <row r="89" spans="1:10" ht="12.75" customHeight="1">
      <c r="A89" s="71"/>
      <c r="B89" s="69" t="s">
        <v>1281</v>
      </c>
      <c r="C89" s="68" t="s">
        <v>1278</v>
      </c>
      <c r="D89" s="68">
        <v>19</v>
      </c>
      <c r="E89" s="68">
        <v>0</v>
      </c>
      <c r="F89" s="68" t="s">
        <v>1285</v>
      </c>
      <c r="G89" s="68">
        <v>17</v>
      </c>
      <c r="H89" s="68" t="s">
        <v>1285</v>
      </c>
      <c r="I89" s="68">
        <v>0</v>
      </c>
      <c r="J89" s="68" t="s">
        <v>1278</v>
      </c>
    </row>
    <row r="90" spans="1:10" ht="12.75" customHeight="1">
      <c r="A90" s="71"/>
      <c r="B90" s="71" t="s">
        <v>1283</v>
      </c>
      <c r="C90" s="68" t="s">
        <v>1278</v>
      </c>
      <c r="D90" s="68" t="s">
        <v>1285</v>
      </c>
      <c r="E90" s="68">
        <v>0</v>
      </c>
      <c r="F90" s="68">
        <v>0</v>
      </c>
      <c r="G90" s="68">
        <v>16</v>
      </c>
      <c r="H90" s="68" t="s">
        <v>1285</v>
      </c>
      <c r="I90" s="68">
        <v>0</v>
      </c>
      <c r="J90" s="68" t="s">
        <v>1278</v>
      </c>
    </row>
    <row r="91" spans="1:10" ht="12.75" customHeight="1">
      <c r="A91" s="71"/>
      <c r="B91" s="71" t="s">
        <v>1284</v>
      </c>
      <c r="C91" s="68" t="s">
        <v>1278</v>
      </c>
      <c r="D91" s="68">
        <v>4</v>
      </c>
      <c r="E91" s="68">
        <v>0</v>
      </c>
      <c r="F91" s="68">
        <v>0</v>
      </c>
      <c r="G91" s="68" t="s">
        <v>1285</v>
      </c>
      <c r="H91" s="68">
        <v>0</v>
      </c>
      <c r="I91" s="68">
        <v>0</v>
      </c>
      <c r="J91" s="68" t="s">
        <v>1278</v>
      </c>
    </row>
    <row r="92" spans="1:10" ht="12.75" customHeight="1">
      <c r="A92" s="71"/>
      <c r="B92" s="71" t="s">
        <v>1286</v>
      </c>
      <c r="C92" s="68" t="s">
        <v>1278</v>
      </c>
      <c r="D92" s="68">
        <v>15</v>
      </c>
      <c r="E92" s="68">
        <v>0</v>
      </c>
      <c r="F92" s="68" t="s">
        <v>1285</v>
      </c>
      <c r="G92" s="68">
        <v>0</v>
      </c>
      <c r="H92" s="68" t="s">
        <v>1285</v>
      </c>
      <c r="I92" s="68">
        <v>0</v>
      </c>
      <c r="J92" s="68" t="s">
        <v>1278</v>
      </c>
    </row>
    <row r="93" spans="1:10" ht="12.75" customHeight="1">
      <c r="A93" s="71"/>
      <c r="B93" s="71" t="s">
        <v>1287</v>
      </c>
      <c r="C93" s="68" t="s">
        <v>1278</v>
      </c>
      <c r="D93" s="68" t="s">
        <v>1285</v>
      </c>
      <c r="E93" s="68" t="s">
        <v>1278</v>
      </c>
      <c r="F93" s="68" t="s">
        <v>1278</v>
      </c>
      <c r="G93" s="68" t="s">
        <v>1278</v>
      </c>
      <c r="H93" s="68" t="s">
        <v>1278</v>
      </c>
      <c r="I93" s="68" t="s">
        <v>1278</v>
      </c>
      <c r="J93" s="68" t="s">
        <v>1278</v>
      </c>
    </row>
    <row r="94" spans="1:10" ht="12.75" customHeight="1">
      <c r="A94" s="71"/>
      <c r="B94" s="71" t="s">
        <v>1288</v>
      </c>
      <c r="C94" s="68" t="s">
        <v>1278</v>
      </c>
      <c r="D94" s="68">
        <v>0</v>
      </c>
      <c r="E94" s="68">
        <v>0</v>
      </c>
      <c r="F94" s="68" t="s">
        <v>1285</v>
      </c>
      <c r="G94" s="68" t="s">
        <v>1285</v>
      </c>
      <c r="H94" s="68">
        <v>0</v>
      </c>
      <c r="I94" s="68">
        <v>0</v>
      </c>
      <c r="J94" s="68" t="s">
        <v>1278</v>
      </c>
    </row>
    <row r="95" spans="1:10" ht="12.75" customHeight="1">
      <c r="A95" s="71"/>
      <c r="B95" s="69" t="s">
        <v>1289</v>
      </c>
      <c r="C95" s="68" t="s">
        <v>1278</v>
      </c>
      <c r="D95" s="68">
        <v>1</v>
      </c>
      <c r="E95" s="68">
        <v>0</v>
      </c>
      <c r="F95" s="68" t="s">
        <v>1285</v>
      </c>
      <c r="G95" s="68">
        <v>1</v>
      </c>
      <c r="H95" s="68" t="s">
        <v>1285</v>
      </c>
      <c r="I95" s="68">
        <v>0</v>
      </c>
      <c r="J95" s="68" t="s">
        <v>1278</v>
      </c>
    </row>
    <row r="96" spans="1:10" ht="12.75" customHeight="1">
      <c r="A96" s="71"/>
      <c r="B96" s="71" t="s">
        <v>1290</v>
      </c>
      <c r="C96" s="68" t="s">
        <v>1278</v>
      </c>
      <c r="D96" s="68" t="s">
        <v>1285</v>
      </c>
      <c r="E96" s="68">
        <v>0</v>
      </c>
      <c r="F96" s="68" t="s">
        <v>1285</v>
      </c>
      <c r="G96" s="68" t="s">
        <v>1285</v>
      </c>
      <c r="H96" s="68" t="s">
        <v>1285</v>
      </c>
      <c r="I96" s="68">
        <v>0</v>
      </c>
      <c r="J96" s="68" t="s">
        <v>1278</v>
      </c>
    </row>
    <row r="97" spans="1:10" ht="12.75" customHeight="1">
      <c r="A97" s="71"/>
      <c r="B97" s="71" t="s">
        <v>1291</v>
      </c>
      <c r="C97" s="68" t="s">
        <v>1278</v>
      </c>
      <c r="D97" s="68" t="s">
        <v>1285</v>
      </c>
      <c r="E97" s="68" t="s">
        <v>1278</v>
      </c>
      <c r="F97" s="68" t="s">
        <v>1278</v>
      </c>
      <c r="G97" s="68" t="s">
        <v>1278</v>
      </c>
      <c r="H97" s="68" t="s">
        <v>1278</v>
      </c>
      <c r="I97" s="68" t="s">
        <v>1278</v>
      </c>
      <c r="J97" s="68" t="s">
        <v>1278</v>
      </c>
    </row>
    <row r="98" spans="1:10" ht="12.75" customHeight="1">
      <c r="A98" s="71"/>
      <c r="B98" s="71" t="s">
        <v>1292</v>
      </c>
      <c r="C98" s="68" t="s">
        <v>1278</v>
      </c>
      <c r="D98" s="68" t="s">
        <v>1285</v>
      </c>
      <c r="E98" s="68">
        <v>0</v>
      </c>
      <c r="F98" s="68" t="s">
        <v>1285</v>
      </c>
      <c r="G98" s="68" t="s">
        <v>1285</v>
      </c>
      <c r="H98" s="68" t="s">
        <v>1285</v>
      </c>
      <c r="I98" s="68">
        <v>0</v>
      </c>
      <c r="J98" s="68" t="s">
        <v>1278</v>
      </c>
    </row>
    <row r="99" spans="1:10" ht="12.75" customHeight="1">
      <c r="A99" s="71"/>
      <c r="B99" s="71" t="s">
        <v>1293</v>
      </c>
      <c r="C99" s="68" t="s">
        <v>1278</v>
      </c>
      <c r="D99" s="68" t="s">
        <v>1285</v>
      </c>
      <c r="E99" s="68" t="s">
        <v>1278</v>
      </c>
      <c r="F99" s="68" t="s">
        <v>1285</v>
      </c>
      <c r="G99" s="68" t="s">
        <v>1285</v>
      </c>
      <c r="H99" s="68" t="s">
        <v>1285</v>
      </c>
      <c r="I99" s="68" t="s">
        <v>1278</v>
      </c>
      <c r="J99" s="68" t="s">
        <v>1278</v>
      </c>
    </row>
    <row r="100" spans="1:10" ht="12.75" customHeight="1">
      <c r="A100" s="71"/>
      <c r="B100" s="71" t="s">
        <v>1294</v>
      </c>
      <c r="C100" s="68" t="s">
        <v>1278</v>
      </c>
      <c r="D100" s="68" t="s">
        <v>1278</v>
      </c>
      <c r="E100" s="68">
        <v>0</v>
      </c>
      <c r="F100" s="68" t="s">
        <v>1285</v>
      </c>
      <c r="G100" s="68" t="s">
        <v>1285</v>
      </c>
      <c r="H100" s="68">
        <v>0</v>
      </c>
      <c r="I100" s="68">
        <v>0</v>
      </c>
      <c r="J100" s="68" t="s">
        <v>1278</v>
      </c>
    </row>
    <row r="101" spans="1:10" ht="12.75" customHeight="1">
      <c r="A101" s="71"/>
      <c r="B101" s="71" t="s">
        <v>1295</v>
      </c>
      <c r="C101" s="68" t="s">
        <v>1278</v>
      </c>
      <c r="D101" s="68">
        <v>0</v>
      </c>
      <c r="E101" s="68">
        <v>0</v>
      </c>
      <c r="F101" s="68" t="s">
        <v>1285</v>
      </c>
      <c r="G101" s="68">
        <v>0</v>
      </c>
      <c r="H101" s="68" t="s">
        <v>1285</v>
      </c>
      <c r="I101" s="68">
        <v>0</v>
      </c>
      <c r="J101" s="68" t="s">
        <v>1278</v>
      </c>
    </row>
    <row r="102" spans="1:10" ht="12.75" customHeight="1">
      <c r="A102" s="71"/>
      <c r="B102" s="69" t="s">
        <v>1296</v>
      </c>
      <c r="C102" s="68">
        <v>18</v>
      </c>
      <c r="D102" s="68">
        <v>0</v>
      </c>
      <c r="E102" s="68">
        <v>0</v>
      </c>
      <c r="F102" s="68">
        <v>0</v>
      </c>
      <c r="G102" s="68">
        <v>0</v>
      </c>
      <c r="H102" s="68">
        <v>0</v>
      </c>
      <c r="I102" s="68">
        <v>0</v>
      </c>
      <c r="J102" s="68">
        <v>18</v>
      </c>
    </row>
    <row r="103" spans="1:10" ht="12.75" customHeight="1">
      <c r="A103" s="71"/>
      <c r="B103" s="71"/>
      <c r="C103" s="68"/>
      <c r="D103" s="68"/>
      <c r="E103" s="68"/>
      <c r="F103" s="68"/>
      <c r="G103" s="68"/>
      <c r="H103" s="68"/>
      <c r="I103" s="68"/>
      <c r="J103" s="68"/>
    </row>
    <row r="104" spans="1:10" s="73" customFormat="1" ht="12.75" customHeight="1">
      <c r="A104" s="69" t="s">
        <v>1304</v>
      </c>
      <c r="B104" s="69" t="s">
        <v>1305</v>
      </c>
      <c r="C104" s="74"/>
      <c r="D104" s="74"/>
      <c r="E104" s="74"/>
      <c r="F104" s="74"/>
      <c r="G104" s="74"/>
      <c r="H104" s="74"/>
      <c r="I104" s="74"/>
      <c r="J104" s="74"/>
    </row>
    <row r="105" spans="1:10" ht="12.75" customHeight="1">
      <c r="A105" s="71"/>
      <c r="B105" s="71"/>
      <c r="C105" s="68"/>
      <c r="D105" s="68"/>
      <c r="E105" s="68"/>
      <c r="F105" s="68"/>
      <c r="G105" s="68"/>
      <c r="H105" s="68"/>
      <c r="I105" s="68"/>
      <c r="J105" s="68"/>
    </row>
    <row r="106" spans="1:10" ht="12.75" customHeight="1">
      <c r="A106" s="71"/>
      <c r="B106" s="71"/>
      <c r="C106" s="68"/>
      <c r="D106" s="68"/>
      <c r="E106" s="68"/>
      <c r="F106" s="68"/>
      <c r="G106" s="68"/>
      <c r="H106" s="68"/>
      <c r="I106" s="68"/>
      <c r="J106" s="68"/>
    </row>
    <row r="107" spans="1:10" ht="12.75" customHeight="1">
      <c r="A107" s="71"/>
      <c r="B107" s="69" t="s">
        <v>1276</v>
      </c>
      <c r="C107" s="68">
        <v>106</v>
      </c>
      <c r="D107" s="68">
        <v>4</v>
      </c>
      <c r="E107" s="68" t="s">
        <v>1285</v>
      </c>
      <c r="F107" s="68" t="s">
        <v>1285</v>
      </c>
      <c r="G107" s="68">
        <v>33</v>
      </c>
      <c r="H107" s="68" t="s">
        <v>1285</v>
      </c>
      <c r="I107" s="68">
        <v>29</v>
      </c>
      <c r="J107" s="68">
        <v>40</v>
      </c>
    </row>
    <row r="108" spans="1:10" ht="12.75" customHeight="1">
      <c r="A108" s="71"/>
      <c r="B108" s="69" t="s">
        <v>1277</v>
      </c>
      <c r="C108" s="68" t="s">
        <v>1278</v>
      </c>
      <c r="D108" s="68">
        <v>1</v>
      </c>
      <c r="E108" s="68" t="s">
        <v>1285</v>
      </c>
      <c r="F108" s="68" t="s">
        <v>1285</v>
      </c>
      <c r="G108" s="68">
        <v>25</v>
      </c>
      <c r="H108" s="68">
        <v>0</v>
      </c>
      <c r="I108" s="68">
        <v>18</v>
      </c>
      <c r="J108" s="68" t="s">
        <v>1278</v>
      </c>
    </row>
    <row r="109" spans="1:10" ht="12.75" customHeight="1">
      <c r="A109" s="71"/>
      <c r="B109" s="71" t="s">
        <v>1279</v>
      </c>
      <c r="C109" s="68" t="s">
        <v>1278</v>
      </c>
      <c r="D109" s="68">
        <v>1</v>
      </c>
      <c r="E109" s="68" t="s">
        <v>1285</v>
      </c>
      <c r="F109" s="68" t="s">
        <v>1285</v>
      </c>
      <c r="G109" s="68">
        <v>4</v>
      </c>
      <c r="H109" s="68">
        <v>0</v>
      </c>
      <c r="I109" s="68" t="s">
        <v>1285</v>
      </c>
      <c r="J109" s="68" t="s">
        <v>1278</v>
      </c>
    </row>
    <row r="110" spans="1:10" ht="12.75" customHeight="1">
      <c r="A110" s="71"/>
      <c r="B110" s="71" t="s">
        <v>1280</v>
      </c>
      <c r="C110" s="68" t="s">
        <v>1278</v>
      </c>
      <c r="D110" s="68">
        <v>0</v>
      </c>
      <c r="E110" s="68" t="s">
        <v>1285</v>
      </c>
      <c r="F110" s="68" t="s">
        <v>1285</v>
      </c>
      <c r="G110" s="68">
        <v>20</v>
      </c>
      <c r="H110" s="68">
        <v>0</v>
      </c>
      <c r="I110" s="68">
        <v>18</v>
      </c>
      <c r="J110" s="68" t="s">
        <v>1278</v>
      </c>
    </row>
    <row r="111" spans="1:10" ht="12.75" customHeight="1">
      <c r="A111" s="71"/>
      <c r="B111" s="69" t="s">
        <v>1281</v>
      </c>
      <c r="C111" s="68" t="s">
        <v>1278</v>
      </c>
      <c r="D111" s="68">
        <v>3</v>
      </c>
      <c r="E111" s="68">
        <v>0</v>
      </c>
      <c r="F111" s="68" t="s">
        <v>1285</v>
      </c>
      <c r="G111" s="68">
        <v>8</v>
      </c>
      <c r="H111" s="68" t="s">
        <v>1285</v>
      </c>
      <c r="I111" s="68">
        <v>10</v>
      </c>
      <c r="J111" s="68" t="s">
        <v>1278</v>
      </c>
    </row>
    <row r="112" spans="1:10" ht="12.75" customHeight="1">
      <c r="A112" s="71"/>
      <c r="B112" s="71" t="s">
        <v>1283</v>
      </c>
      <c r="C112" s="68" t="s">
        <v>1278</v>
      </c>
      <c r="D112" s="68" t="s">
        <v>1285</v>
      </c>
      <c r="E112" s="68">
        <v>0</v>
      </c>
      <c r="F112" s="68">
        <v>0</v>
      </c>
      <c r="G112" s="68">
        <v>8</v>
      </c>
      <c r="H112" s="68">
        <v>0</v>
      </c>
      <c r="I112" s="68">
        <v>10</v>
      </c>
      <c r="J112" s="68" t="s">
        <v>1278</v>
      </c>
    </row>
    <row r="113" spans="1:10" ht="12.75" customHeight="1">
      <c r="A113" s="71"/>
      <c r="B113" s="71" t="s">
        <v>1284</v>
      </c>
      <c r="C113" s="68" t="s">
        <v>1278</v>
      </c>
      <c r="D113" s="68" t="s">
        <v>1285</v>
      </c>
      <c r="E113" s="68">
        <v>0</v>
      </c>
      <c r="F113" s="68">
        <v>0</v>
      </c>
      <c r="G113" s="68" t="s">
        <v>1285</v>
      </c>
      <c r="H113" s="68">
        <v>0</v>
      </c>
      <c r="I113" s="68">
        <v>0</v>
      </c>
      <c r="J113" s="68" t="s">
        <v>1278</v>
      </c>
    </row>
    <row r="114" spans="1:10" ht="12.75" customHeight="1">
      <c r="A114" s="71"/>
      <c r="B114" s="71" t="s">
        <v>1286</v>
      </c>
      <c r="C114" s="68" t="s">
        <v>1278</v>
      </c>
      <c r="D114" s="68">
        <v>3</v>
      </c>
      <c r="E114" s="68">
        <v>0</v>
      </c>
      <c r="F114" s="68" t="s">
        <v>1285</v>
      </c>
      <c r="G114" s="68" t="s">
        <v>1285</v>
      </c>
      <c r="H114" s="68">
        <v>0</v>
      </c>
      <c r="I114" s="68">
        <v>0</v>
      </c>
      <c r="J114" s="68" t="s">
        <v>1278</v>
      </c>
    </row>
    <row r="115" spans="1:10" ht="12.75" customHeight="1">
      <c r="A115" s="71"/>
      <c r="B115" s="71" t="s">
        <v>1287</v>
      </c>
      <c r="C115" s="68" t="s">
        <v>1278</v>
      </c>
      <c r="D115" s="68" t="s">
        <v>1285</v>
      </c>
      <c r="E115" s="68" t="s">
        <v>1278</v>
      </c>
      <c r="F115" s="68" t="s">
        <v>1278</v>
      </c>
      <c r="G115" s="68" t="s">
        <v>1278</v>
      </c>
      <c r="H115" s="68" t="s">
        <v>1278</v>
      </c>
      <c r="I115" s="68" t="s">
        <v>1278</v>
      </c>
      <c r="J115" s="68" t="s">
        <v>1278</v>
      </c>
    </row>
    <row r="116" spans="1:10" ht="12.75" customHeight="1">
      <c r="A116" s="71"/>
      <c r="B116" s="71" t="s">
        <v>1288</v>
      </c>
      <c r="C116" s="68" t="s">
        <v>1278</v>
      </c>
      <c r="D116" s="68" t="s">
        <v>1285</v>
      </c>
      <c r="E116" s="68">
        <v>0</v>
      </c>
      <c r="F116" s="68" t="s">
        <v>1285</v>
      </c>
      <c r="G116" s="68" t="s">
        <v>1285</v>
      </c>
      <c r="H116" s="68" t="s">
        <v>1285</v>
      </c>
      <c r="I116" s="68">
        <v>0</v>
      </c>
      <c r="J116" s="68" t="s">
        <v>1278</v>
      </c>
    </row>
    <row r="117" spans="1:10" ht="12.75" customHeight="1">
      <c r="A117" s="71"/>
      <c r="B117" s="69" t="s">
        <v>1289</v>
      </c>
      <c r="C117" s="68" t="s">
        <v>1278</v>
      </c>
      <c r="D117" s="68" t="s">
        <v>1285</v>
      </c>
      <c r="E117" s="68">
        <v>0</v>
      </c>
      <c r="F117" s="68" t="s">
        <v>1285</v>
      </c>
      <c r="G117" s="68" t="s">
        <v>1285</v>
      </c>
      <c r="H117" s="68" t="s">
        <v>1285</v>
      </c>
      <c r="I117" s="68" t="s">
        <v>1285</v>
      </c>
      <c r="J117" s="68" t="s">
        <v>1278</v>
      </c>
    </row>
    <row r="118" spans="1:10" ht="12.75" customHeight="1">
      <c r="A118" s="71"/>
      <c r="B118" s="71" t="s">
        <v>1290</v>
      </c>
      <c r="C118" s="68" t="s">
        <v>1278</v>
      </c>
      <c r="D118" s="68" t="s">
        <v>1285</v>
      </c>
      <c r="E118" s="68">
        <v>0</v>
      </c>
      <c r="F118" s="68">
        <v>0</v>
      </c>
      <c r="G118" s="68" t="s">
        <v>1285</v>
      </c>
      <c r="H118" s="68" t="s">
        <v>1285</v>
      </c>
      <c r="I118" s="68">
        <v>0</v>
      </c>
      <c r="J118" s="68" t="s">
        <v>1278</v>
      </c>
    </row>
    <row r="119" spans="1:10" ht="12.75" customHeight="1">
      <c r="A119" s="71"/>
      <c r="B119" s="71" t="s">
        <v>1291</v>
      </c>
      <c r="C119" s="68" t="s">
        <v>1278</v>
      </c>
      <c r="D119" s="68" t="s">
        <v>1285</v>
      </c>
      <c r="E119" s="68" t="s">
        <v>1278</v>
      </c>
      <c r="F119" s="68" t="s">
        <v>1278</v>
      </c>
      <c r="G119" s="68" t="s">
        <v>1278</v>
      </c>
      <c r="H119" s="68" t="s">
        <v>1278</v>
      </c>
      <c r="I119" s="68" t="s">
        <v>1278</v>
      </c>
      <c r="J119" s="68" t="s">
        <v>1278</v>
      </c>
    </row>
    <row r="120" spans="1:10" ht="12.75" customHeight="1">
      <c r="A120" s="71"/>
      <c r="B120" s="71" t="s">
        <v>1292</v>
      </c>
      <c r="C120" s="68" t="s">
        <v>1278</v>
      </c>
      <c r="D120" s="68" t="s">
        <v>1285</v>
      </c>
      <c r="E120" s="68">
        <v>0</v>
      </c>
      <c r="F120" s="68" t="s">
        <v>1285</v>
      </c>
      <c r="G120" s="68" t="s">
        <v>1285</v>
      </c>
      <c r="H120" s="68" t="s">
        <v>1285</v>
      </c>
      <c r="I120" s="68">
        <v>0</v>
      </c>
      <c r="J120" s="68" t="s">
        <v>1278</v>
      </c>
    </row>
    <row r="121" spans="1:10" ht="12.75" customHeight="1">
      <c r="A121" s="71"/>
      <c r="B121" s="71" t="s">
        <v>1293</v>
      </c>
      <c r="C121" s="68" t="s">
        <v>1278</v>
      </c>
      <c r="D121" s="68" t="s">
        <v>1285</v>
      </c>
      <c r="E121" s="68" t="s">
        <v>1278</v>
      </c>
      <c r="F121" s="68" t="s">
        <v>1285</v>
      </c>
      <c r="G121" s="68" t="s">
        <v>1285</v>
      </c>
      <c r="H121" s="68" t="s">
        <v>1285</v>
      </c>
      <c r="I121" s="68" t="s">
        <v>1278</v>
      </c>
      <c r="J121" s="68" t="s">
        <v>1278</v>
      </c>
    </row>
    <row r="122" spans="1:10" ht="12.75" customHeight="1">
      <c r="A122" s="71"/>
      <c r="B122" s="71" t="s">
        <v>1294</v>
      </c>
      <c r="C122" s="68" t="s">
        <v>1278</v>
      </c>
      <c r="D122" s="68" t="s">
        <v>1278</v>
      </c>
      <c r="E122" s="68">
        <v>0</v>
      </c>
      <c r="F122" s="68" t="s">
        <v>1285</v>
      </c>
      <c r="G122" s="68">
        <v>0</v>
      </c>
      <c r="H122" s="68">
        <v>0</v>
      </c>
      <c r="I122" s="68" t="s">
        <v>1285</v>
      </c>
      <c r="J122" s="68" t="s">
        <v>1278</v>
      </c>
    </row>
    <row r="123" spans="1:10" ht="12.75" customHeight="1">
      <c r="A123" s="71"/>
      <c r="B123" s="71" t="s">
        <v>1295</v>
      </c>
      <c r="C123" s="68" t="s">
        <v>1278</v>
      </c>
      <c r="D123" s="68" t="s">
        <v>1285</v>
      </c>
      <c r="E123" s="68">
        <v>0</v>
      </c>
      <c r="F123" s="68" t="s">
        <v>1285</v>
      </c>
      <c r="G123" s="68">
        <v>0</v>
      </c>
      <c r="H123" s="68">
        <v>0</v>
      </c>
      <c r="I123" s="68">
        <v>0</v>
      </c>
      <c r="J123" s="68" t="s">
        <v>1278</v>
      </c>
    </row>
    <row r="124" spans="1:10" ht="12.75" customHeight="1">
      <c r="A124" s="71"/>
      <c r="B124" s="69" t="s">
        <v>1296</v>
      </c>
      <c r="C124" s="68">
        <v>40</v>
      </c>
      <c r="D124" s="68">
        <v>0</v>
      </c>
      <c r="E124" s="68">
        <v>0</v>
      </c>
      <c r="F124" s="68">
        <v>0</v>
      </c>
      <c r="G124" s="68">
        <v>0</v>
      </c>
      <c r="H124" s="68">
        <v>0</v>
      </c>
      <c r="I124" s="68">
        <v>0</v>
      </c>
      <c r="J124" s="68">
        <v>40</v>
      </c>
    </row>
    <row r="125" spans="1:10" ht="12.75" customHeight="1">
      <c r="A125" s="71"/>
      <c r="B125" s="71"/>
      <c r="C125" s="68"/>
      <c r="D125" s="68"/>
      <c r="E125" s="68"/>
      <c r="F125" s="68"/>
      <c r="G125" s="68"/>
      <c r="H125" s="68"/>
      <c r="I125" s="68"/>
      <c r="J125" s="68"/>
    </row>
    <row r="126" spans="1:10" s="73" customFormat="1" ht="12.75" customHeight="1">
      <c r="A126" s="69" t="s">
        <v>1306</v>
      </c>
      <c r="B126" s="69" t="s">
        <v>1307</v>
      </c>
      <c r="C126" s="74"/>
      <c r="D126" s="74"/>
      <c r="E126" s="74"/>
      <c r="F126" s="74"/>
      <c r="G126" s="74"/>
      <c r="H126" s="74"/>
      <c r="I126" s="74"/>
      <c r="J126" s="74"/>
    </row>
    <row r="127" spans="1:10" ht="12.75" customHeight="1">
      <c r="A127" s="71"/>
      <c r="B127" s="71"/>
      <c r="C127" s="68"/>
      <c r="D127" s="68"/>
      <c r="E127" s="68"/>
      <c r="F127" s="68"/>
      <c r="G127" s="68"/>
      <c r="H127" s="68"/>
      <c r="I127" s="68"/>
      <c r="J127" s="68"/>
    </row>
    <row r="128" spans="1:10" ht="12.75" customHeight="1">
      <c r="A128" s="71"/>
      <c r="B128" s="71"/>
      <c r="C128" s="68"/>
      <c r="D128" s="68"/>
      <c r="E128" s="68"/>
      <c r="F128" s="68"/>
      <c r="G128" s="68"/>
      <c r="H128" s="68"/>
      <c r="I128" s="68"/>
      <c r="J128" s="68"/>
    </row>
    <row r="129" spans="1:10" ht="12.75" customHeight="1">
      <c r="A129" s="71"/>
      <c r="B129" s="69" t="s">
        <v>1276</v>
      </c>
      <c r="C129" s="68">
        <v>129</v>
      </c>
      <c r="D129" s="68">
        <v>34</v>
      </c>
      <c r="E129" s="68" t="s">
        <v>1285</v>
      </c>
      <c r="F129" s="68" t="s">
        <v>1285</v>
      </c>
      <c r="G129" s="68">
        <v>92</v>
      </c>
      <c r="H129" s="68">
        <v>1</v>
      </c>
      <c r="I129" s="68">
        <v>0</v>
      </c>
      <c r="J129" s="68">
        <v>2</v>
      </c>
    </row>
    <row r="130" spans="1:10" ht="12.75" customHeight="1">
      <c r="A130" s="71"/>
      <c r="B130" s="69" t="s">
        <v>1277</v>
      </c>
      <c r="C130" s="68" t="s">
        <v>1278</v>
      </c>
      <c r="D130" s="68">
        <v>1</v>
      </c>
      <c r="E130" s="68">
        <v>0</v>
      </c>
      <c r="F130" s="68" t="s">
        <v>1285</v>
      </c>
      <c r="G130" s="68">
        <v>59</v>
      </c>
      <c r="H130" s="68">
        <v>1</v>
      </c>
      <c r="I130" s="68">
        <v>0</v>
      </c>
      <c r="J130" s="68" t="s">
        <v>1278</v>
      </c>
    </row>
    <row r="131" spans="1:10" ht="12.75" customHeight="1">
      <c r="A131" s="71"/>
      <c r="B131" s="71" t="s">
        <v>1279</v>
      </c>
      <c r="C131" s="68" t="s">
        <v>1278</v>
      </c>
      <c r="D131" s="68">
        <v>1</v>
      </c>
      <c r="E131" s="68">
        <v>0</v>
      </c>
      <c r="F131" s="68">
        <v>0</v>
      </c>
      <c r="G131" s="68">
        <v>18</v>
      </c>
      <c r="H131" s="68" t="s">
        <v>1285</v>
      </c>
      <c r="I131" s="68">
        <v>0</v>
      </c>
      <c r="J131" s="68" t="s">
        <v>1278</v>
      </c>
    </row>
    <row r="132" spans="1:10" ht="12.75" customHeight="1">
      <c r="A132" s="71"/>
      <c r="B132" s="71" t="s">
        <v>1280</v>
      </c>
      <c r="C132" s="68" t="s">
        <v>1278</v>
      </c>
      <c r="D132" s="68">
        <v>0</v>
      </c>
      <c r="E132" s="68">
        <v>0</v>
      </c>
      <c r="F132" s="68" t="s">
        <v>1285</v>
      </c>
      <c r="G132" s="68">
        <v>41</v>
      </c>
      <c r="H132" s="68" t="s">
        <v>1285</v>
      </c>
      <c r="I132" s="68">
        <v>0</v>
      </c>
      <c r="J132" s="68" t="s">
        <v>1278</v>
      </c>
    </row>
    <row r="133" spans="1:10" ht="12.75" customHeight="1">
      <c r="A133" s="71"/>
      <c r="B133" s="69" t="s">
        <v>1281</v>
      </c>
      <c r="C133" s="68" t="s">
        <v>1278</v>
      </c>
      <c r="D133" s="68">
        <v>26</v>
      </c>
      <c r="E133" s="68" t="s">
        <v>1285</v>
      </c>
      <c r="F133" s="68" t="s">
        <v>1285</v>
      </c>
      <c r="G133" s="68">
        <v>24</v>
      </c>
      <c r="H133" s="68" t="s">
        <v>1285</v>
      </c>
      <c r="I133" s="68">
        <v>0</v>
      </c>
      <c r="J133" s="68" t="s">
        <v>1278</v>
      </c>
    </row>
    <row r="134" spans="1:10" ht="12.75" customHeight="1">
      <c r="A134" s="71"/>
      <c r="B134" s="71" t="s">
        <v>1283</v>
      </c>
      <c r="C134" s="68" t="s">
        <v>1278</v>
      </c>
      <c r="D134" s="68">
        <v>1</v>
      </c>
      <c r="E134" s="68" t="s">
        <v>1285</v>
      </c>
      <c r="F134" s="68" t="s">
        <v>1285</v>
      </c>
      <c r="G134" s="68">
        <v>22</v>
      </c>
      <c r="H134" s="68" t="s">
        <v>1285</v>
      </c>
      <c r="I134" s="68">
        <v>0</v>
      </c>
      <c r="J134" s="68" t="s">
        <v>1278</v>
      </c>
    </row>
    <row r="135" spans="1:10" ht="12.75" customHeight="1">
      <c r="A135" s="71"/>
      <c r="B135" s="71" t="s">
        <v>1284</v>
      </c>
      <c r="C135" s="68" t="s">
        <v>1278</v>
      </c>
      <c r="D135" s="68">
        <v>13</v>
      </c>
      <c r="E135" s="68">
        <v>0</v>
      </c>
      <c r="F135" s="68" t="s">
        <v>1285</v>
      </c>
      <c r="G135" s="68">
        <v>1</v>
      </c>
      <c r="H135" s="68" t="s">
        <v>1285</v>
      </c>
      <c r="I135" s="68">
        <v>0</v>
      </c>
      <c r="J135" s="68" t="s">
        <v>1278</v>
      </c>
    </row>
    <row r="136" spans="1:10" ht="12.75" customHeight="1">
      <c r="A136" s="71"/>
      <c r="B136" s="71" t="s">
        <v>1286</v>
      </c>
      <c r="C136" s="68" t="s">
        <v>1278</v>
      </c>
      <c r="D136" s="68">
        <v>11</v>
      </c>
      <c r="E136" s="68">
        <v>0</v>
      </c>
      <c r="F136" s="68" t="s">
        <v>1285</v>
      </c>
      <c r="G136" s="68">
        <v>1</v>
      </c>
      <c r="H136" s="68" t="s">
        <v>1285</v>
      </c>
      <c r="I136" s="68">
        <v>0</v>
      </c>
      <c r="J136" s="68" t="s">
        <v>1278</v>
      </c>
    </row>
    <row r="137" spans="1:10" ht="12.75" customHeight="1">
      <c r="A137" s="71"/>
      <c r="B137" s="71" t="s">
        <v>1287</v>
      </c>
      <c r="C137" s="68" t="s">
        <v>1278</v>
      </c>
      <c r="D137" s="68" t="s">
        <v>1285</v>
      </c>
      <c r="E137" s="68" t="s">
        <v>1278</v>
      </c>
      <c r="F137" s="68" t="s">
        <v>1278</v>
      </c>
      <c r="G137" s="68" t="s">
        <v>1278</v>
      </c>
      <c r="H137" s="68" t="s">
        <v>1278</v>
      </c>
      <c r="I137" s="68" t="s">
        <v>1278</v>
      </c>
      <c r="J137" s="68" t="s">
        <v>1278</v>
      </c>
    </row>
    <row r="138" spans="1:10" ht="12.75" customHeight="1">
      <c r="A138" s="71"/>
      <c r="B138" s="71" t="s">
        <v>1288</v>
      </c>
      <c r="C138" s="68" t="s">
        <v>1278</v>
      </c>
      <c r="D138" s="68">
        <v>1</v>
      </c>
      <c r="E138" s="68">
        <v>0</v>
      </c>
      <c r="F138" s="68" t="s">
        <v>1285</v>
      </c>
      <c r="G138" s="68" t="s">
        <v>1285</v>
      </c>
      <c r="H138" s="68" t="s">
        <v>1285</v>
      </c>
      <c r="I138" s="68">
        <v>0</v>
      </c>
      <c r="J138" s="68" t="s">
        <v>1278</v>
      </c>
    </row>
    <row r="139" spans="1:10" ht="12.75" customHeight="1">
      <c r="A139" s="71"/>
      <c r="B139" s="69" t="s">
        <v>1289</v>
      </c>
      <c r="C139" s="68" t="s">
        <v>1278</v>
      </c>
      <c r="D139" s="68">
        <v>7</v>
      </c>
      <c r="E139" s="68" t="s">
        <v>1285</v>
      </c>
      <c r="F139" s="68" t="s">
        <v>1285</v>
      </c>
      <c r="G139" s="68">
        <v>8</v>
      </c>
      <c r="H139" s="68" t="s">
        <v>1285</v>
      </c>
      <c r="I139" s="68">
        <v>0</v>
      </c>
      <c r="J139" s="68" t="s">
        <v>1278</v>
      </c>
    </row>
    <row r="140" spans="1:10" ht="12.75" customHeight="1">
      <c r="A140" s="71"/>
      <c r="B140" s="71" t="s">
        <v>1290</v>
      </c>
      <c r="C140" s="68" t="s">
        <v>1278</v>
      </c>
      <c r="D140" s="68">
        <v>3</v>
      </c>
      <c r="E140" s="68" t="s">
        <v>1285</v>
      </c>
      <c r="F140" s="68" t="s">
        <v>1285</v>
      </c>
      <c r="G140" s="68">
        <v>6</v>
      </c>
      <c r="H140" s="68" t="s">
        <v>1285</v>
      </c>
      <c r="I140" s="68">
        <v>0</v>
      </c>
      <c r="J140" s="68" t="s">
        <v>1278</v>
      </c>
    </row>
    <row r="141" spans="1:10" ht="12.75" customHeight="1">
      <c r="A141" s="71"/>
      <c r="B141" s="71" t="s">
        <v>1291</v>
      </c>
      <c r="C141" s="68" t="s">
        <v>1278</v>
      </c>
      <c r="D141" s="68">
        <v>2</v>
      </c>
      <c r="E141" s="68" t="s">
        <v>1278</v>
      </c>
      <c r="F141" s="68" t="s">
        <v>1278</v>
      </c>
      <c r="G141" s="68" t="s">
        <v>1278</v>
      </c>
      <c r="H141" s="68" t="s">
        <v>1278</v>
      </c>
      <c r="I141" s="68" t="s">
        <v>1278</v>
      </c>
      <c r="J141" s="68" t="s">
        <v>1278</v>
      </c>
    </row>
    <row r="142" spans="1:10" ht="12.75" customHeight="1">
      <c r="A142" s="71"/>
      <c r="B142" s="71" t="s">
        <v>1292</v>
      </c>
      <c r="C142" s="68" t="s">
        <v>1278</v>
      </c>
      <c r="D142" s="68">
        <v>1</v>
      </c>
      <c r="E142" s="68">
        <v>0</v>
      </c>
      <c r="F142" s="68" t="s">
        <v>1285</v>
      </c>
      <c r="G142" s="68">
        <v>2</v>
      </c>
      <c r="H142" s="68" t="s">
        <v>1285</v>
      </c>
      <c r="I142" s="68">
        <v>0</v>
      </c>
      <c r="J142" s="68" t="s">
        <v>1278</v>
      </c>
    </row>
    <row r="143" spans="1:10" ht="12.75" customHeight="1">
      <c r="A143" s="71"/>
      <c r="B143" s="71" t="s">
        <v>1293</v>
      </c>
      <c r="C143" s="68" t="s">
        <v>1278</v>
      </c>
      <c r="D143" s="68" t="s">
        <v>1285</v>
      </c>
      <c r="E143" s="68" t="s">
        <v>1278</v>
      </c>
      <c r="F143" s="68" t="s">
        <v>1285</v>
      </c>
      <c r="G143" s="68" t="s">
        <v>1285</v>
      </c>
      <c r="H143" s="68" t="s">
        <v>1285</v>
      </c>
      <c r="I143" s="68" t="s">
        <v>1278</v>
      </c>
      <c r="J143" s="68" t="s">
        <v>1278</v>
      </c>
    </row>
    <row r="144" spans="1:10" ht="12.75" customHeight="1">
      <c r="A144" s="71"/>
      <c r="B144" s="71" t="s">
        <v>1294</v>
      </c>
      <c r="C144" s="68" t="s">
        <v>1278</v>
      </c>
      <c r="D144" s="68" t="s">
        <v>1278</v>
      </c>
      <c r="E144" s="68">
        <v>0</v>
      </c>
      <c r="F144" s="68" t="s">
        <v>1285</v>
      </c>
      <c r="G144" s="68" t="s">
        <v>1285</v>
      </c>
      <c r="H144" s="68" t="s">
        <v>1285</v>
      </c>
      <c r="I144" s="68">
        <v>0</v>
      </c>
      <c r="J144" s="68" t="s">
        <v>1278</v>
      </c>
    </row>
    <row r="145" spans="1:10" ht="12.75" customHeight="1">
      <c r="A145" s="71"/>
      <c r="B145" s="71" t="s">
        <v>1295</v>
      </c>
      <c r="C145" s="68" t="s">
        <v>1278</v>
      </c>
      <c r="D145" s="68" t="s">
        <v>1285</v>
      </c>
      <c r="E145" s="68">
        <v>0</v>
      </c>
      <c r="F145" s="68" t="s">
        <v>1285</v>
      </c>
      <c r="G145" s="68" t="s">
        <v>1285</v>
      </c>
      <c r="H145" s="68" t="s">
        <v>1285</v>
      </c>
      <c r="I145" s="68">
        <v>0</v>
      </c>
      <c r="J145" s="68" t="s">
        <v>1278</v>
      </c>
    </row>
    <row r="146" spans="1:10" ht="12.75" customHeight="1">
      <c r="A146" s="71"/>
      <c r="B146" s="69" t="s">
        <v>1296</v>
      </c>
      <c r="C146" s="68">
        <v>3</v>
      </c>
      <c r="D146" s="68" t="s">
        <v>1285</v>
      </c>
      <c r="E146" s="68">
        <v>0</v>
      </c>
      <c r="F146" s="68">
        <v>0</v>
      </c>
      <c r="G146" s="68">
        <v>1</v>
      </c>
      <c r="H146" s="68" t="s">
        <v>1285</v>
      </c>
      <c r="I146" s="68">
        <v>0</v>
      </c>
      <c r="J146" s="68">
        <v>2</v>
      </c>
    </row>
    <row r="147" spans="1:10" ht="12.75" customHeight="1">
      <c r="A147" s="71"/>
      <c r="B147" s="71"/>
      <c r="C147" s="68"/>
      <c r="D147" s="68"/>
      <c r="E147" s="68"/>
      <c r="F147" s="68"/>
      <c r="G147" s="68"/>
      <c r="H147" s="68"/>
      <c r="I147" s="68"/>
      <c r="J147" s="68"/>
    </row>
    <row r="148" spans="1:10" s="73" customFormat="1" ht="12.75" customHeight="1">
      <c r="A148" s="69" t="s">
        <v>1308</v>
      </c>
      <c r="B148" s="69" t="s">
        <v>1309</v>
      </c>
      <c r="C148" s="74"/>
      <c r="D148" s="74"/>
      <c r="E148" s="74"/>
      <c r="F148" s="74"/>
      <c r="G148" s="74"/>
      <c r="H148" s="74"/>
      <c r="I148" s="74"/>
      <c r="J148" s="74"/>
    </row>
    <row r="149" spans="1:10" ht="12.75" customHeight="1">
      <c r="A149" s="71"/>
      <c r="B149" s="71"/>
      <c r="C149" s="68"/>
      <c r="D149" s="68"/>
      <c r="E149" s="68"/>
      <c r="F149" s="68"/>
      <c r="G149" s="68"/>
      <c r="H149" s="68"/>
      <c r="I149" s="68"/>
      <c r="J149" s="68"/>
    </row>
    <row r="150" spans="1:10" ht="12.75" customHeight="1">
      <c r="A150" s="71"/>
      <c r="B150" s="71"/>
      <c r="C150" s="68"/>
      <c r="D150" s="68"/>
      <c r="E150" s="68"/>
      <c r="F150" s="68"/>
      <c r="G150" s="68"/>
      <c r="H150" s="68"/>
      <c r="I150" s="68"/>
      <c r="J150" s="68"/>
    </row>
    <row r="151" spans="1:10" ht="12.75" customHeight="1">
      <c r="A151" s="71"/>
      <c r="B151" s="69" t="s">
        <v>1276</v>
      </c>
      <c r="C151" s="68">
        <v>122</v>
      </c>
      <c r="D151" s="68">
        <v>39</v>
      </c>
      <c r="E151" s="68" t="s">
        <v>1285</v>
      </c>
      <c r="F151" s="68">
        <v>1</v>
      </c>
      <c r="G151" s="68">
        <v>79</v>
      </c>
      <c r="H151" s="68">
        <v>2</v>
      </c>
      <c r="I151" s="68">
        <v>0</v>
      </c>
      <c r="J151" s="68">
        <v>1</v>
      </c>
    </row>
    <row r="152" spans="1:10" ht="12.75" customHeight="1">
      <c r="A152" s="71"/>
      <c r="B152" s="69" t="s">
        <v>1277</v>
      </c>
      <c r="C152" s="68" t="s">
        <v>1278</v>
      </c>
      <c r="D152" s="68">
        <v>1</v>
      </c>
      <c r="E152" s="68" t="s">
        <v>1285</v>
      </c>
      <c r="F152" s="68" t="s">
        <v>1285</v>
      </c>
      <c r="G152" s="68">
        <v>47</v>
      </c>
      <c r="H152" s="68">
        <v>1</v>
      </c>
      <c r="I152" s="68">
        <v>0</v>
      </c>
      <c r="J152" s="68" t="s">
        <v>1278</v>
      </c>
    </row>
    <row r="153" spans="1:10" ht="12.75" customHeight="1">
      <c r="A153" s="71"/>
      <c r="B153" s="71" t="s">
        <v>1279</v>
      </c>
      <c r="C153" s="68" t="s">
        <v>1278</v>
      </c>
      <c r="D153" s="68">
        <v>1</v>
      </c>
      <c r="E153" s="68" t="s">
        <v>1285</v>
      </c>
      <c r="F153" s="68" t="s">
        <v>1285</v>
      </c>
      <c r="G153" s="68">
        <v>21</v>
      </c>
      <c r="H153" s="68" t="s">
        <v>1285</v>
      </c>
      <c r="I153" s="68">
        <v>0</v>
      </c>
      <c r="J153" s="68" t="s">
        <v>1278</v>
      </c>
    </row>
    <row r="154" spans="1:10" ht="12.75" customHeight="1">
      <c r="A154" s="71"/>
      <c r="B154" s="71" t="s">
        <v>1280</v>
      </c>
      <c r="C154" s="68" t="s">
        <v>1278</v>
      </c>
      <c r="D154" s="68">
        <v>0</v>
      </c>
      <c r="E154" s="68">
        <v>0</v>
      </c>
      <c r="F154" s="68" t="s">
        <v>1285</v>
      </c>
      <c r="G154" s="68">
        <v>26</v>
      </c>
      <c r="H154" s="68" t="s">
        <v>1285</v>
      </c>
      <c r="I154" s="68">
        <v>0</v>
      </c>
      <c r="J154" s="68" t="s">
        <v>1278</v>
      </c>
    </row>
    <row r="155" spans="1:10" ht="12.75" customHeight="1">
      <c r="A155" s="71"/>
      <c r="B155" s="69" t="s">
        <v>1281</v>
      </c>
      <c r="C155" s="68" t="s">
        <v>1278</v>
      </c>
      <c r="D155" s="68">
        <v>29</v>
      </c>
      <c r="E155" s="68" t="s">
        <v>1285</v>
      </c>
      <c r="F155" s="68" t="s">
        <v>1285</v>
      </c>
      <c r="G155" s="68">
        <v>25</v>
      </c>
      <c r="H155" s="68">
        <v>1</v>
      </c>
      <c r="I155" s="68">
        <v>0</v>
      </c>
      <c r="J155" s="68" t="s">
        <v>1278</v>
      </c>
    </row>
    <row r="156" spans="1:10" ht="12.75" customHeight="1">
      <c r="A156" s="71"/>
      <c r="B156" s="71" t="s">
        <v>1283</v>
      </c>
      <c r="C156" s="68" t="s">
        <v>1278</v>
      </c>
      <c r="D156" s="68">
        <v>2</v>
      </c>
      <c r="E156" s="68">
        <v>0</v>
      </c>
      <c r="F156" s="68" t="s">
        <v>1285</v>
      </c>
      <c r="G156" s="68">
        <v>22</v>
      </c>
      <c r="H156" s="68" t="s">
        <v>1285</v>
      </c>
      <c r="I156" s="68">
        <v>0</v>
      </c>
      <c r="J156" s="68" t="s">
        <v>1278</v>
      </c>
    </row>
    <row r="157" spans="1:10" ht="12.75" customHeight="1">
      <c r="A157" s="71"/>
      <c r="B157" s="71" t="s">
        <v>1284</v>
      </c>
      <c r="C157" s="68" t="s">
        <v>1278</v>
      </c>
      <c r="D157" s="68">
        <v>12</v>
      </c>
      <c r="E157" s="68" t="s">
        <v>1285</v>
      </c>
      <c r="F157" s="68" t="s">
        <v>1285</v>
      </c>
      <c r="G157" s="68">
        <v>1</v>
      </c>
      <c r="H157" s="68" t="s">
        <v>1285</v>
      </c>
      <c r="I157" s="68">
        <v>0</v>
      </c>
      <c r="J157" s="68" t="s">
        <v>1278</v>
      </c>
    </row>
    <row r="158" spans="1:10" ht="12.75" customHeight="1">
      <c r="A158" s="71"/>
      <c r="B158" s="71" t="s">
        <v>1286</v>
      </c>
      <c r="C158" s="68" t="s">
        <v>1278</v>
      </c>
      <c r="D158" s="68">
        <v>14</v>
      </c>
      <c r="E158" s="68" t="s">
        <v>1285</v>
      </c>
      <c r="F158" s="68" t="s">
        <v>1285</v>
      </c>
      <c r="G158" s="68">
        <v>1</v>
      </c>
      <c r="H158" s="68" t="s">
        <v>1285</v>
      </c>
      <c r="I158" s="68">
        <v>0</v>
      </c>
      <c r="J158" s="68" t="s">
        <v>1278</v>
      </c>
    </row>
    <row r="159" spans="1:10" ht="12.75" customHeight="1">
      <c r="A159" s="71"/>
      <c r="B159" s="71" t="s">
        <v>1287</v>
      </c>
      <c r="C159" s="68" t="s">
        <v>1278</v>
      </c>
      <c r="D159" s="68" t="s">
        <v>1285</v>
      </c>
      <c r="E159" s="68" t="s">
        <v>1278</v>
      </c>
      <c r="F159" s="68" t="s">
        <v>1278</v>
      </c>
      <c r="G159" s="68" t="s">
        <v>1278</v>
      </c>
      <c r="H159" s="68" t="s">
        <v>1278</v>
      </c>
      <c r="I159" s="68" t="s">
        <v>1278</v>
      </c>
      <c r="J159" s="68" t="s">
        <v>1278</v>
      </c>
    </row>
    <row r="160" spans="1:10" ht="12.75" customHeight="1">
      <c r="A160" s="71"/>
      <c r="B160" s="71" t="s">
        <v>1288</v>
      </c>
      <c r="C160" s="68" t="s">
        <v>1278</v>
      </c>
      <c r="D160" s="68" t="s">
        <v>1285</v>
      </c>
      <c r="E160" s="68">
        <v>0</v>
      </c>
      <c r="F160" s="68" t="s">
        <v>1285</v>
      </c>
      <c r="G160" s="68">
        <v>1</v>
      </c>
      <c r="H160" s="68">
        <v>0</v>
      </c>
      <c r="I160" s="68">
        <v>0</v>
      </c>
      <c r="J160" s="68" t="s">
        <v>1278</v>
      </c>
    </row>
    <row r="161" spans="1:10" ht="12.75" customHeight="1">
      <c r="A161" s="71"/>
      <c r="B161" s="69" t="s">
        <v>1289</v>
      </c>
      <c r="C161" s="68" t="s">
        <v>1278</v>
      </c>
      <c r="D161" s="68">
        <v>8</v>
      </c>
      <c r="E161" s="68" t="s">
        <v>1285</v>
      </c>
      <c r="F161" s="68" t="s">
        <v>1285</v>
      </c>
      <c r="G161" s="68">
        <v>5</v>
      </c>
      <c r="H161" s="68" t="s">
        <v>1285</v>
      </c>
      <c r="I161" s="68">
        <v>0</v>
      </c>
      <c r="J161" s="68" t="s">
        <v>1278</v>
      </c>
    </row>
    <row r="162" spans="1:10" ht="12.75" customHeight="1">
      <c r="A162" s="71"/>
      <c r="B162" s="71" t="s">
        <v>1290</v>
      </c>
      <c r="C162" s="68" t="s">
        <v>1278</v>
      </c>
      <c r="D162" s="68">
        <v>4</v>
      </c>
      <c r="E162" s="68" t="s">
        <v>1285</v>
      </c>
      <c r="F162" s="68" t="s">
        <v>1285</v>
      </c>
      <c r="G162" s="68">
        <v>4</v>
      </c>
      <c r="H162" s="68" t="s">
        <v>1285</v>
      </c>
      <c r="I162" s="68">
        <v>0</v>
      </c>
      <c r="J162" s="68" t="s">
        <v>1278</v>
      </c>
    </row>
    <row r="163" spans="1:10" ht="12.75" customHeight="1">
      <c r="A163" s="71"/>
      <c r="B163" s="71" t="s">
        <v>1291</v>
      </c>
      <c r="C163" s="68" t="s">
        <v>1278</v>
      </c>
      <c r="D163" s="68">
        <v>3</v>
      </c>
      <c r="E163" s="68" t="s">
        <v>1278</v>
      </c>
      <c r="F163" s="68" t="s">
        <v>1278</v>
      </c>
      <c r="G163" s="68" t="s">
        <v>1278</v>
      </c>
      <c r="H163" s="68" t="s">
        <v>1278</v>
      </c>
      <c r="I163" s="68" t="s">
        <v>1278</v>
      </c>
      <c r="J163" s="68" t="s">
        <v>1278</v>
      </c>
    </row>
    <row r="164" spans="1:10" ht="12.75" customHeight="1">
      <c r="A164" s="71"/>
      <c r="B164" s="71" t="s">
        <v>1292</v>
      </c>
      <c r="C164" s="68" t="s">
        <v>1278</v>
      </c>
      <c r="D164" s="68">
        <v>1</v>
      </c>
      <c r="E164" s="68">
        <v>0</v>
      </c>
      <c r="F164" s="68" t="s">
        <v>1285</v>
      </c>
      <c r="G164" s="68">
        <v>1</v>
      </c>
      <c r="H164" s="68" t="s">
        <v>1285</v>
      </c>
      <c r="I164" s="68">
        <v>0</v>
      </c>
      <c r="J164" s="68" t="s">
        <v>1278</v>
      </c>
    </row>
    <row r="165" spans="1:10" ht="12.75" customHeight="1">
      <c r="A165" s="71"/>
      <c r="B165" s="71" t="s">
        <v>1293</v>
      </c>
      <c r="C165" s="68" t="s">
        <v>1278</v>
      </c>
      <c r="D165" s="68">
        <v>1</v>
      </c>
      <c r="E165" s="68" t="s">
        <v>1278</v>
      </c>
      <c r="F165" s="68" t="s">
        <v>1285</v>
      </c>
      <c r="G165" s="68" t="s">
        <v>1285</v>
      </c>
      <c r="H165" s="68" t="s">
        <v>1285</v>
      </c>
      <c r="I165" s="68" t="s">
        <v>1278</v>
      </c>
      <c r="J165" s="68" t="s">
        <v>1278</v>
      </c>
    </row>
    <row r="166" spans="1:10" ht="12.75" customHeight="1">
      <c r="A166" s="71"/>
      <c r="B166" s="71" t="s">
        <v>1294</v>
      </c>
      <c r="C166" s="68" t="s">
        <v>1278</v>
      </c>
      <c r="D166" s="68" t="s">
        <v>1278</v>
      </c>
      <c r="E166" s="68">
        <v>0</v>
      </c>
      <c r="F166" s="68" t="s">
        <v>1285</v>
      </c>
      <c r="G166" s="68" t="s">
        <v>1285</v>
      </c>
      <c r="H166" s="68">
        <v>0</v>
      </c>
      <c r="I166" s="68">
        <v>0</v>
      </c>
      <c r="J166" s="68" t="s">
        <v>1278</v>
      </c>
    </row>
    <row r="167" spans="1:10" ht="12.75" customHeight="1">
      <c r="A167" s="71"/>
      <c r="B167" s="71" t="s">
        <v>1295</v>
      </c>
      <c r="C167" s="68" t="s">
        <v>1278</v>
      </c>
      <c r="D167" s="68" t="s">
        <v>1285</v>
      </c>
      <c r="E167" s="68">
        <v>0</v>
      </c>
      <c r="F167" s="68" t="s">
        <v>1285</v>
      </c>
      <c r="G167" s="68" t="s">
        <v>1285</v>
      </c>
      <c r="H167" s="68" t="s">
        <v>1285</v>
      </c>
      <c r="I167" s="68">
        <v>0</v>
      </c>
      <c r="J167" s="68" t="s">
        <v>1278</v>
      </c>
    </row>
    <row r="168" spans="1:10" ht="12.75" customHeight="1">
      <c r="A168" s="71"/>
      <c r="B168" s="69" t="s">
        <v>1296</v>
      </c>
      <c r="C168" s="68">
        <v>3</v>
      </c>
      <c r="D168" s="68">
        <v>1</v>
      </c>
      <c r="E168" s="68">
        <v>0</v>
      </c>
      <c r="F168" s="68">
        <v>0</v>
      </c>
      <c r="G168" s="68">
        <v>1</v>
      </c>
      <c r="H168" s="68" t="s">
        <v>1285</v>
      </c>
      <c r="I168" s="68">
        <v>0</v>
      </c>
      <c r="J168" s="68">
        <v>1</v>
      </c>
    </row>
    <row r="169" spans="1:10" ht="12.75" customHeight="1">
      <c r="A169" s="71"/>
      <c r="B169" s="71"/>
      <c r="C169" s="68"/>
      <c r="D169" s="68"/>
      <c r="E169" s="68"/>
      <c r="F169" s="68"/>
      <c r="G169" s="68"/>
      <c r="H169" s="68"/>
      <c r="I169" s="68"/>
      <c r="J169" s="68"/>
    </row>
    <row r="170" spans="1:10" s="73" customFormat="1" ht="12.75" customHeight="1">
      <c r="A170" s="69" t="s">
        <v>1310</v>
      </c>
      <c r="B170" s="69" t="s">
        <v>1311</v>
      </c>
      <c r="C170" s="74"/>
      <c r="D170" s="74"/>
      <c r="E170" s="74"/>
      <c r="F170" s="74"/>
      <c r="G170" s="74"/>
      <c r="H170" s="74"/>
      <c r="I170" s="74"/>
      <c r="J170" s="74"/>
    </row>
    <row r="171" spans="1:10" ht="12.75" customHeight="1">
      <c r="A171" s="71"/>
      <c r="B171" s="71"/>
      <c r="C171" s="68"/>
      <c r="D171" s="68"/>
      <c r="E171" s="68"/>
      <c r="F171" s="68"/>
      <c r="G171" s="68"/>
      <c r="H171" s="68"/>
      <c r="I171" s="68"/>
      <c r="J171" s="68"/>
    </row>
    <row r="172" spans="1:10" ht="12.75" customHeight="1">
      <c r="A172" s="71"/>
      <c r="B172" s="71"/>
      <c r="C172" s="68"/>
      <c r="D172" s="68"/>
      <c r="E172" s="68"/>
      <c r="F172" s="68"/>
      <c r="G172" s="68"/>
      <c r="H172" s="68"/>
      <c r="I172" s="68"/>
      <c r="J172" s="68"/>
    </row>
    <row r="173" spans="1:10" ht="12.75" customHeight="1">
      <c r="A173" s="71"/>
      <c r="B173" s="69" t="s">
        <v>1276</v>
      </c>
      <c r="C173" s="68">
        <v>278</v>
      </c>
      <c r="D173" s="68">
        <v>108</v>
      </c>
      <c r="E173" s="68" t="s">
        <v>1285</v>
      </c>
      <c r="F173" s="68">
        <v>3</v>
      </c>
      <c r="G173" s="68">
        <v>149</v>
      </c>
      <c r="H173" s="68">
        <v>2</v>
      </c>
      <c r="I173" s="68">
        <v>0</v>
      </c>
      <c r="J173" s="68">
        <v>16</v>
      </c>
    </row>
    <row r="174" spans="1:10" ht="12.75" customHeight="1">
      <c r="A174" s="71"/>
      <c r="B174" s="69" t="s">
        <v>1277</v>
      </c>
      <c r="C174" s="68" t="s">
        <v>1278</v>
      </c>
      <c r="D174" s="68">
        <v>2</v>
      </c>
      <c r="E174" s="68" t="s">
        <v>1285</v>
      </c>
      <c r="F174" s="68">
        <v>1</v>
      </c>
      <c r="G174" s="68">
        <v>89</v>
      </c>
      <c r="H174" s="68">
        <v>1</v>
      </c>
      <c r="I174" s="68">
        <v>0</v>
      </c>
      <c r="J174" s="68" t="s">
        <v>1278</v>
      </c>
    </row>
    <row r="175" spans="1:10" ht="12.75" customHeight="1">
      <c r="A175" s="71"/>
      <c r="B175" s="71" t="s">
        <v>1279</v>
      </c>
      <c r="C175" s="68" t="s">
        <v>1278</v>
      </c>
      <c r="D175" s="68">
        <v>2</v>
      </c>
      <c r="E175" s="68" t="s">
        <v>1285</v>
      </c>
      <c r="F175" s="68" t="s">
        <v>1285</v>
      </c>
      <c r="G175" s="68">
        <v>38</v>
      </c>
      <c r="H175" s="68">
        <v>1</v>
      </c>
      <c r="I175" s="68">
        <v>0</v>
      </c>
      <c r="J175" s="68" t="s">
        <v>1278</v>
      </c>
    </row>
    <row r="176" spans="1:10" ht="12.75" customHeight="1">
      <c r="A176" s="71"/>
      <c r="B176" s="71" t="s">
        <v>1280</v>
      </c>
      <c r="C176" s="68" t="s">
        <v>1278</v>
      </c>
      <c r="D176" s="68">
        <v>0</v>
      </c>
      <c r="E176" s="68">
        <v>0</v>
      </c>
      <c r="F176" s="68" t="s">
        <v>1285</v>
      </c>
      <c r="G176" s="68">
        <v>51</v>
      </c>
      <c r="H176" s="68" t="s">
        <v>1285</v>
      </c>
      <c r="I176" s="68">
        <v>0</v>
      </c>
      <c r="J176" s="68" t="s">
        <v>1278</v>
      </c>
    </row>
    <row r="177" spans="1:10" ht="12.75" customHeight="1">
      <c r="A177" s="71"/>
      <c r="B177" s="69" t="s">
        <v>1281</v>
      </c>
      <c r="C177" s="68" t="s">
        <v>1278</v>
      </c>
      <c r="D177" s="68">
        <v>74</v>
      </c>
      <c r="E177" s="68">
        <v>0</v>
      </c>
      <c r="F177" s="68" t="s">
        <v>1299</v>
      </c>
      <c r="G177" s="68">
        <v>33</v>
      </c>
      <c r="H177" s="68" t="s">
        <v>1285</v>
      </c>
      <c r="I177" s="68">
        <v>0</v>
      </c>
      <c r="J177" s="68" t="s">
        <v>1278</v>
      </c>
    </row>
    <row r="178" spans="1:10" ht="12.75" customHeight="1">
      <c r="A178" s="71"/>
      <c r="B178" s="71" t="s">
        <v>1283</v>
      </c>
      <c r="C178" s="68" t="s">
        <v>1278</v>
      </c>
      <c r="D178" s="68">
        <v>2</v>
      </c>
      <c r="E178" s="68">
        <v>0</v>
      </c>
      <c r="F178" s="68" t="s">
        <v>1285</v>
      </c>
      <c r="G178" s="68">
        <v>25</v>
      </c>
      <c r="H178" s="68" t="s">
        <v>1285</v>
      </c>
      <c r="I178" s="68">
        <v>0</v>
      </c>
      <c r="J178" s="68" t="s">
        <v>1278</v>
      </c>
    </row>
    <row r="179" spans="1:10" ht="12.75" customHeight="1">
      <c r="A179" s="71"/>
      <c r="B179" s="71" t="s">
        <v>1284</v>
      </c>
      <c r="C179" s="68" t="s">
        <v>1278</v>
      </c>
      <c r="D179" s="68">
        <v>40</v>
      </c>
      <c r="E179" s="68">
        <v>0</v>
      </c>
      <c r="F179" s="68" t="s">
        <v>1285</v>
      </c>
      <c r="G179" s="68">
        <v>2</v>
      </c>
      <c r="H179" s="68" t="s">
        <v>1285</v>
      </c>
      <c r="I179" s="68">
        <v>0</v>
      </c>
      <c r="J179" s="68" t="s">
        <v>1278</v>
      </c>
    </row>
    <row r="180" spans="1:10" ht="12.75" customHeight="1">
      <c r="A180" s="71"/>
      <c r="B180" s="71" t="s">
        <v>1286</v>
      </c>
      <c r="C180" s="68" t="s">
        <v>1278</v>
      </c>
      <c r="D180" s="68">
        <v>31</v>
      </c>
      <c r="E180" s="68">
        <v>0</v>
      </c>
      <c r="F180" s="68" t="s">
        <v>1285</v>
      </c>
      <c r="G180" s="68">
        <v>2</v>
      </c>
      <c r="H180" s="68" t="s">
        <v>1285</v>
      </c>
      <c r="I180" s="68">
        <v>0</v>
      </c>
      <c r="J180" s="68" t="s">
        <v>1278</v>
      </c>
    </row>
    <row r="181" spans="1:10" ht="12.75" customHeight="1">
      <c r="A181" s="71"/>
      <c r="B181" s="71" t="s">
        <v>1287</v>
      </c>
      <c r="C181" s="68" t="s">
        <v>1278</v>
      </c>
      <c r="D181" s="68" t="s">
        <v>1285</v>
      </c>
      <c r="E181" s="68" t="s">
        <v>1278</v>
      </c>
      <c r="F181" s="68" t="s">
        <v>1278</v>
      </c>
      <c r="G181" s="68" t="s">
        <v>1278</v>
      </c>
      <c r="H181" s="68" t="s">
        <v>1278</v>
      </c>
      <c r="I181" s="68" t="s">
        <v>1278</v>
      </c>
      <c r="J181" s="68" t="s">
        <v>1278</v>
      </c>
    </row>
    <row r="182" spans="1:10" ht="12.75" customHeight="1">
      <c r="A182" s="71"/>
      <c r="B182" s="71" t="s">
        <v>1288</v>
      </c>
      <c r="C182" s="68" t="s">
        <v>1278</v>
      </c>
      <c r="D182" s="68">
        <v>1</v>
      </c>
      <c r="E182" s="68">
        <v>0</v>
      </c>
      <c r="F182" s="68" t="s">
        <v>1285</v>
      </c>
      <c r="G182" s="68">
        <v>4</v>
      </c>
      <c r="H182" s="68" t="s">
        <v>1285</v>
      </c>
      <c r="I182" s="68">
        <v>0</v>
      </c>
      <c r="J182" s="68" t="s">
        <v>1278</v>
      </c>
    </row>
    <row r="183" spans="1:10" ht="12.75" customHeight="1">
      <c r="A183" s="71"/>
      <c r="B183" s="69" t="s">
        <v>1289</v>
      </c>
      <c r="C183" s="68" t="s">
        <v>1278</v>
      </c>
      <c r="D183" s="68" t="s">
        <v>1299</v>
      </c>
      <c r="E183" s="68">
        <v>0</v>
      </c>
      <c r="F183" s="68">
        <v>2</v>
      </c>
      <c r="G183" s="68">
        <v>26</v>
      </c>
      <c r="H183" s="68" t="s">
        <v>1285</v>
      </c>
      <c r="I183" s="68">
        <v>0</v>
      </c>
      <c r="J183" s="68" t="s">
        <v>1278</v>
      </c>
    </row>
    <row r="184" spans="1:10" ht="12.75" customHeight="1">
      <c r="A184" s="71"/>
      <c r="B184" s="71" t="s">
        <v>1290</v>
      </c>
      <c r="C184" s="68" t="s">
        <v>1278</v>
      </c>
      <c r="D184" s="68" t="s">
        <v>1299</v>
      </c>
      <c r="E184" s="68">
        <v>0</v>
      </c>
      <c r="F184" s="68" t="s">
        <v>1285</v>
      </c>
      <c r="G184" s="68">
        <v>13</v>
      </c>
      <c r="H184" s="68" t="s">
        <v>1285</v>
      </c>
      <c r="I184" s="68">
        <v>0</v>
      </c>
      <c r="J184" s="68" t="s">
        <v>1278</v>
      </c>
    </row>
    <row r="185" spans="1:10" ht="12.75" customHeight="1">
      <c r="A185" s="71"/>
      <c r="B185" s="71" t="s">
        <v>1291</v>
      </c>
      <c r="C185" s="68" t="s">
        <v>1278</v>
      </c>
      <c r="D185" s="68" t="s">
        <v>1299</v>
      </c>
      <c r="E185" s="68" t="s">
        <v>1278</v>
      </c>
      <c r="F185" s="68" t="s">
        <v>1278</v>
      </c>
      <c r="G185" s="68" t="s">
        <v>1278</v>
      </c>
      <c r="H185" s="68" t="s">
        <v>1278</v>
      </c>
      <c r="I185" s="68" t="s">
        <v>1278</v>
      </c>
      <c r="J185" s="68" t="s">
        <v>1278</v>
      </c>
    </row>
    <row r="186" spans="1:10" ht="12.75" customHeight="1">
      <c r="A186" s="71"/>
      <c r="B186" s="71" t="s">
        <v>1292</v>
      </c>
      <c r="C186" s="68" t="s">
        <v>1278</v>
      </c>
      <c r="D186" s="68">
        <v>2</v>
      </c>
      <c r="E186" s="68">
        <v>0</v>
      </c>
      <c r="F186" s="68" t="s">
        <v>1285</v>
      </c>
      <c r="G186" s="68">
        <v>13</v>
      </c>
      <c r="H186" s="68" t="s">
        <v>1285</v>
      </c>
      <c r="I186" s="68">
        <v>0</v>
      </c>
      <c r="J186" s="68" t="s">
        <v>1278</v>
      </c>
    </row>
    <row r="187" spans="1:10" ht="12.75" customHeight="1">
      <c r="A187" s="71"/>
      <c r="B187" s="71" t="s">
        <v>1293</v>
      </c>
      <c r="C187" s="68" t="s">
        <v>1278</v>
      </c>
      <c r="D187" s="68">
        <v>1</v>
      </c>
      <c r="E187" s="68" t="s">
        <v>1278</v>
      </c>
      <c r="F187" s="68">
        <v>1</v>
      </c>
      <c r="G187" s="68" t="s">
        <v>1285</v>
      </c>
      <c r="H187" s="68" t="s">
        <v>1285</v>
      </c>
      <c r="I187" s="68" t="s">
        <v>1278</v>
      </c>
      <c r="J187" s="68" t="s">
        <v>1278</v>
      </c>
    </row>
    <row r="188" spans="1:10" ht="12.75" customHeight="1">
      <c r="A188" s="71"/>
      <c r="B188" s="71" t="s">
        <v>1294</v>
      </c>
      <c r="C188" s="68" t="s">
        <v>1278</v>
      </c>
      <c r="D188" s="68" t="s">
        <v>1278</v>
      </c>
      <c r="E188" s="68">
        <v>0</v>
      </c>
      <c r="F188" s="68" t="s">
        <v>1285</v>
      </c>
      <c r="G188" s="68" t="s">
        <v>1285</v>
      </c>
      <c r="H188" s="68" t="s">
        <v>1285</v>
      </c>
      <c r="I188" s="68">
        <v>0</v>
      </c>
      <c r="J188" s="68" t="s">
        <v>1278</v>
      </c>
    </row>
    <row r="189" spans="1:10" ht="12.75" customHeight="1">
      <c r="A189" s="71"/>
      <c r="B189" s="71" t="s">
        <v>1295</v>
      </c>
      <c r="C189" s="68" t="s">
        <v>1278</v>
      </c>
      <c r="D189" s="68" t="s">
        <v>1285</v>
      </c>
      <c r="E189" s="68">
        <v>0</v>
      </c>
      <c r="F189" s="68" t="s">
        <v>1285</v>
      </c>
      <c r="G189" s="68" t="s">
        <v>1285</v>
      </c>
      <c r="H189" s="68" t="s">
        <v>1285</v>
      </c>
      <c r="I189" s="68">
        <v>0</v>
      </c>
      <c r="J189" s="68" t="s">
        <v>1278</v>
      </c>
    </row>
    <row r="190" spans="1:10" ht="12.75" customHeight="1">
      <c r="A190" s="71"/>
      <c r="B190" s="69" t="s">
        <v>1296</v>
      </c>
      <c r="C190" s="68">
        <v>18</v>
      </c>
      <c r="D190" s="68" t="s">
        <v>1285</v>
      </c>
      <c r="E190" s="68">
        <v>0</v>
      </c>
      <c r="F190" s="68">
        <v>0</v>
      </c>
      <c r="G190" s="68">
        <v>1</v>
      </c>
      <c r="H190" s="68" t="s">
        <v>1285</v>
      </c>
      <c r="I190" s="68">
        <v>0</v>
      </c>
      <c r="J190" s="68">
        <v>16</v>
      </c>
    </row>
    <row r="191" spans="1:10" ht="12.75" customHeight="1">
      <c r="A191" s="71"/>
      <c r="B191" s="71"/>
      <c r="C191" s="68"/>
      <c r="D191" s="68"/>
      <c r="E191" s="68"/>
      <c r="F191" s="68"/>
      <c r="G191" s="68"/>
      <c r="H191" s="68"/>
      <c r="I191" s="68"/>
      <c r="J191" s="68"/>
    </row>
    <row r="192" spans="1:10" s="73" customFormat="1" ht="12.75" customHeight="1">
      <c r="A192" s="69" t="s">
        <v>1312</v>
      </c>
      <c r="B192" s="69" t="s">
        <v>1313</v>
      </c>
      <c r="C192" s="74"/>
      <c r="D192" s="74"/>
      <c r="E192" s="74"/>
      <c r="F192" s="74"/>
      <c r="G192" s="74"/>
      <c r="H192" s="74"/>
      <c r="I192" s="74"/>
      <c r="J192" s="74"/>
    </row>
    <row r="193" spans="1:10" ht="12.75" customHeight="1">
      <c r="A193" s="71"/>
      <c r="B193" s="71"/>
      <c r="C193" s="68"/>
      <c r="D193" s="68"/>
      <c r="E193" s="68"/>
      <c r="F193" s="68"/>
      <c r="G193" s="68"/>
      <c r="H193" s="68"/>
      <c r="I193" s="68"/>
      <c r="J193" s="68"/>
    </row>
    <row r="194" spans="1:10" ht="12.75" customHeight="1">
      <c r="A194" s="71"/>
      <c r="B194" s="71"/>
      <c r="C194" s="68"/>
      <c r="D194" s="68"/>
      <c r="E194" s="68"/>
      <c r="F194" s="68"/>
      <c r="G194" s="68"/>
      <c r="H194" s="68"/>
      <c r="I194" s="68"/>
      <c r="J194" s="68"/>
    </row>
    <row r="195" spans="1:10" ht="12.75" customHeight="1">
      <c r="A195" s="71"/>
      <c r="B195" s="69" t="s">
        <v>1276</v>
      </c>
      <c r="C195" s="68">
        <v>118</v>
      </c>
      <c r="D195" s="68">
        <v>49</v>
      </c>
      <c r="E195" s="68" t="s">
        <v>1285</v>
      </c>
      <c r="F195" s="68" t="s">
        <v>1285</v>
      </c>
      <c r="G195" s="68">
        <v>54</v>
      </c>
      <c r="H195" s="68">
        <v>1</v>
      </c>
      <c r="I195" s="68" t="s">
        <v>1285</v>
      </c>
      <c r="J195" s="68" t="s">
        <v>1299</v>
      </c>
    </row>
    <row r="196" spans="1:10" ht="12.75" customHeight="1">
      <c r="A196" s="71"/>
      <c r="B196" s="69" t="s">
        <v>1277</v>
      </c>
      <c r="C196" s="68" t="s">
        <v>1278</v>
      </c>
      <c r="D196" s="68">
        <v>1</v>
      </c>
      <c r="E196" s="68" t="s">
        <v>1285</v>
      </c>
      <c r="F196" s="68" t="s">
        <v>1285</v>
      </c>
      <c r="G196" s="68">
        <v>35</v>
      </c>
      <c r="H196" s="68" t="s">
        <v>1285</v>
      </c>
      <c r="I196" s="68" t="s">
        <v>1285</v>
      </c>
      <c r="J196" s="68" t="s">
        <v>1278</v>
      </c>
    </row>
    <row r="197" spans="1:10" ht="12.75" customHeight="1">
      <c r="A197" s="71"/>
      <c r="B197" s="71" t="s">
        <v>1279</v>
      </c>
      <c r="C197" s="68" t="s">
        <v>1278</v>
      </c>
      <c r="D197" s="68">
        <v>1</v>
      </c>
      <c r="E197" s="68" t="s">
        <v>1285</v>
      </c>
      <c r="F197" s="68" t="s">
        <v>1285</v>
      </c>
      <c r="G197" s="68">
        <v>18</v>
      </c>
      <c r="H197" s="68" t="s">
        <v>1285</v>
      </c>
      <c r="I197" s="68" t="s">
        <v>1285</v>
      </c>
      <c r="J197" s="68" t="s">
        <v>1278</v>
      </c>
    </row>
    <row r="198" spans="1:10" ht="12.75" customHeight="1">
      <c r="A198" s="71"/>
      <c r="B198" s="71" t="s">
        <v>1280</v>
      </c>
      <c r="C198" s="68" t="s">
        <v>1278</v>
      </c>
      <c r="D198" s="68">
        <v>0</v>
      </c>
      <c r="E198" s="68" t="s">
        <v>1285</v>
      </c>
      <c r="F198" s="68" t="s">
        <v>1285</v>
      </c>
      <c r="G198" s="68">
        <v>17</v>
      </c>
      <c r="H198" s="68" t="s">
        <v>1285</v>
      </c>
      <c r="I198" s="68" t="s">
        <v>1285</v>
      </c>
      <c r="J198" s="68" t="s">
        <v>1278</v>
      </c>
    </row>
    <row r="199" spans="1:10" ht="12.75" customHeight="1">
      <c r="A199" s="71"/>
      <c r="B199" s="69" t="s">
        <v>1281</v>
      </c>
      <c r="C199" s="68" t="s">
        <v>1278</v>
      </c>
      <c r="D199" s="68">
        <v>37</v>
      </c>
      <c r="E199" s="68">
        <v>0</v>
      </c>
      <c r="F199" s="68" t="s">
        <v>1285</v>
      </c>
      <c r="G199" s="68">
        <v>14</v>
      </c>
      <c r="H199" s="68" t="s">
        <v>1285</v>
      </c>
      <c r="I199" s="68" t="s">
        <v>1285</v>
      </c>
      <c r="J199" s="68" t="s">
        <v>1278</v>
      </c>
    </row>
    <row r="200" spans="1:10" ht="12.75" customHeight="1">
      <c r="A200" s="71"/>
      <c r="B200" s="71" t="s">
        <v>1283</v>
      </c>
      <c r="C200" s="68" t="s">
        <v>1278</v>
      </c>
      <c r="D200" s="68">
        <v>1</v>
      </c>
      <c r="E200" s="68">
        <v>0</v>
      </c>
      <c r="F200" s="68" t="s">
        <v>1285</v>
      </c>
      <c r="G200" s="68">
        <v>12</v>
      </c>
      <c r="H200" s="68" t="s">
        <v>1285</v>
      </c>
      <c r="I200" s="68" t="s">
        <v>1285</v>
      </c>
      <c r="J200" s="68" t="s">
        <v>1278</v>
      </c>
    </row>
    <row r="201" spans="1:10" ht="12.75" customHeight="1">
      <c r="A201" s="71"/>
      <c r="B201" s="71" t="s">
        <v>1284</v>
      </c>
      <c r="C201" s="68" t="s">
        <v>1278</v>
      </c>
      <c r="D201" s="68">
        <v>9</v>
      </c>
      <c r="E201" s="68">
        <v>0</v>
      </c>
      <c r="F201" s="68" t="s">
        <v>1285</v>
      </c>
      <c r="G201" s="68" t="s">
        <v>1285</v>
      </c>
      <c r="H201" s="68" t="s">
        <v>1285</v>
      </c>
      <c r="I201" s="68">
        <v>0</v>
      </c>
      <c r="J201" s="68" t="s">
        <v>1278</v>
      </c>
    </row>
    <row r="202" spans="1:10" ht="12.75" customHeight="1">
      <c r="A202" s="71"/>
      <c r="B202" s="71" t="s">
        <v>1286</v>
      </c>
      <c r="C202" s="68" t="s">
        <v>1278</v>
      </c>
      <c r="D202" s="68">
        <v>24</v>
      </c>
      <c r="E202" s="68">
        <v>0</v>
      </c>
      <c r="F202" s="68" t="s">
        <v>1285</v>
      </c>
      <c r="G202" s="68">
        <v>1</v>
      </c>
      <c r="H202" s="68" t="s">
        <v>1285</v>
      </c>
      <c r="I202" s="68">
        <v>0</v>
      </c>
      <c r="J202" s="68" t="s">
        <v>1278</v>
      </c>
    </row>
    <row r="203" spans="1:10" ht="12.75" customHeight="1">
      <c r="A203" s="71"/>
      <c r="B203" s="71" t="s">
        <v>1287</v>
      </c>
      <c r="C203" s="68" t="s">
        <v>1278</v>
      </c>
      <c r="D203" s="68" t="s">
        <v>1285</v>
      </c>
      <c r="E203" s="68" t="s">
        <v>1278</v>
      </c>
      <c r="F203" s="68" t="s">
        <v>1278</v>
      </c>
      <c r="G203" s="68" t="s">
        <v>1278</v>
      </c>
      <c r="H203" s="68" t="s">
        <v>1278</v>
      </c>
      <c r="I203" s="68" t="s">
        <v>1278</v>
      </c>
      <c r="J203" s="68" t="s">
        <v>1278</v>
      </c>
    </row>
    <row r="204" spans="1:10" ht="12.75" customHeight="1">
      <c r="A204" s="71"/>
      <c r="B204" s="71" t="s">
        <v>1288</v>
      </c>
      <c r="C204" s="68" t="s">
        <v>1278</v>
      </c>
      <c r="D204" s="68">
        <v>1</v>
      </c>
      <c r="E204" s="68">
        <v>0</v>
      </c>
      <c r="F204" s="68" t="s">
        <v>1285</v>
      </c>
      <c r="G204" s="68">
        <v>1</v>
      </c>
      <c r="H204" s="68" t="s">
        <v>1285</v>
      </c>
      <c r="I204" s="68">
        <v>0</v>
      </c>
      <c r="J204" s="68" t="s">
        <v>1278</v>
      </c>
    </row>
    <row r="205" spans="1:10" ht="12.75" customHeight="1">
      <c r="A205" s="71"/>
      <c r="B205" s="69" t="s">
        <v>1289</v>
      </c>
      <c r="C205" s="68" t="s">
        <v>1278</v>
      </c>
      <c r="D205" s="68">
        <v>11</v>
      </c>
      <c r="E205" s="68" t="s">
        <v>1285</v>
      </c>
      <c r="F205" s="68" t="s">
        <v>1285</v>
      </c>
      <c r="G205" s="68">
        <v>6</v>
      </c>
      <c r="H205" s="68">
        <v>1</v>
      </c>
      <c r="I205" s="68" t="s">
        <v>1285</v>
      </c>
      <c r="J205" s="68" t="s">
        <v>1278</v>
      </c>
    </row>
    <row r="206" spans="1:10" ht="12.75" customHeight="1">
      <c r="A206" s="71"/>
      <c r="B206" s="71" t="s">
        <v>1290</v>
      </c>
      <c r="C206" s="68" t="s">
        <v>1278</v>
      </c>
      <c r="D206" s="68">
        <v>5</v>
      </c>
      <c r="E206" s="68">
        <v>0</v>
      </c>
      <c r="F206" s="68" t="s">
        <v>1285</v>
      </c>
      <c r="G206" s="68">
        <v>4</v>
      </c>
      <c r="H206" s="68" t="s">
        <v>1285</v>
      </c>
      <c r="I206" s="68" t="s">
        <v>1285</v>
      </c>
      <c r="J206" s="68" t="s">
        <v>1278</v>
      </c>
    </row>
    <row r="207" spans="1:10" ht="12.75" customHeight="1">
      <c r="A207" s="71"/>
      <c r="B207" s="71" t="s">
        <v>1291</v>
      </c>
      <c r="C207" s="68" t="s">
        <v>1278</v>
      </c>
      <c r="D207" s="68">
        <v>4</v>
      </c>
      <c r="E207" s="68" t="s">
        <v>1278</v>
      </c>
      <c r="F207" s="68" t="s">
        <v>1278</v>
      </c>
      <c r="G207" s="68" t="s">
        <v>1278</v>
      </c>
      <c r="H207" s="68" t="s">
        <v>1278</v>
      </c>
      <c r="I207" s="68" t="s">
        <v>1278</v>
      </c>
      <c r="J207" s="68" t="s">
        <v>1278</v>
      </c>
    </row>
    <row r="208" spans="1:10" ht="12.75" customHeight="1">
      <c r="A208" s="71"/>
      <c r="B208" s="71" t="s">
        <v>1292</v>
      </c>
      <c r="C208" s="68" t="s">
        <v>1278</v>
      </c>
      <c r="D208" s="68">
        <v>1</v>
      </c>
      <c r="E208" s="68">
        <v>0</v>
      </c>
      <c r="F208" s="68">
        <v>0</v>
      </c>
      <c r="G208" s="68">
        <v>1</v>
      </c>
      <c r="H208" s="68" t="s">
        <v>1285</v>
      </c>
      <c r="I208" s="68">
        <v>0</v>
      </c>
      <c r="J208" s="68" t="s">
        <v>1278</v>
      </c>
    </row>
    <row r="209" spans="1:10" ht="12.75" customHeight="1">
      <c r="A209" s="71"/>
      <c r="B209" s="71" t="s">
        <v>1293</v>
      </c>
      <c r="C209" s="68" t="s">
        <v>1278</v>
      </c>
      <c r="D209" s="68">
        <v>1</v>
      </c>
      <c r="E209" s="68" t="s">
        <v>1278</v>
      </c>
      <c r="F209" s="68" t="s">
        <v>1285</v>
      </c>
      <c r="G209" s="68" t="s">
        <v>1285</v>
      </c>
      <c r="H209" s="68" t="s">
        <v>1285</v>
      </c>
      <c r="I209" s="68" t="s">
        <v>1278</v>
      </c>
      <c r="J209" s="68" t="s">
        <v>1278</v>
      </c>
    </row>
    <row r="210" spans="1:10" ht="12.75" customHeight="1">
      <c r="A210" s="71"/>
      <c r="B210" s="71" t="s">
        <v>1294</v>
      </c>
      <c r="C210" s="68" t="s">
        <v>1278</v>
      </c>
      <c r="D210" s="68" t="s">
        <v>1278</v>
      </c>
      <c r="E210" s="68">
        <v>0</v>
      </c>
      <c r="F210" s="68" t="s">
        <v>1285</v>
      </c>
      <c r="G210" s="68" t="s">
        <v>1285</v>
      </c>
      <c r="H210" s="68" t="s">
        <v>1285</v>
      </c>
      <c r="I210" s="68">
        <v>0</v>
      </c>
      <c r="J210" s="68" t="s">
        <v>1278</v>
      </c>
    </row>
    <row r="211" spans="1:10" ht="12.75" customHeight="1">
      <c r="A211" s="71"/>
      <c r="B211" s="71" t="s">
        <v>1295</v>
      </c>
      <c r="C211" s="68" t="s">
        <v>1278</v>
      </c>
      <c r="D211" s="68" t="s">
        <v>1285</v>
      </c>
      <c r="E211" s="68" t="s">
        <v>1285</v>
      </c>
      <c r="F211" s="68" t="s">
        <v>1285</v>
      </c>
      <c r="G211" s="68" t="s">
        <v>1285</v>
      </c>
      <c r="H211" s="68" t="s">
        <v>1285</v>
      </c>
      <c r="I211" s="68">
        <v>0</v>
      </c>
      <c r="J211" s="68" t="s">
        <v>1278</v>
      </c>
    </row>
    <row r="212" spans="1:10" ht="12.75" customHeight="1">
      <c r="A212" s="71"/>
      <c r="B212" s="69" t="s">
        <v>1296</v>
      </c>
      <c r="C212" s="68" t="s">
        <v>1299</v>
      </c>
      <c r="D212" s="68" t="s">
        <v>1285</v>
      </c>
      <c r="E212" s="68">
        <v>0</v>
      </c>
      <c r="F212" s="68">
        <v>0</v>
      </c>
      <c r="G212" s="68" t="s">
        <v>1285</v>
      </c>
      <c r="H212" s="68" t="s">
        <v>1285</v>
      </c>
      <c r="I212" s="68">
        <v>0</v>
      </c>
      <c r="J212" s="68" t="s">
        <v>1299</v>
      </c>
    </row>
    <row r="213" spans="1:10" ht="12.75" customHeight="1">
      <c r="A213" s="71"/>
      <c r="B213" s="71"/>
      <c r="C213" s="68"/>
      <c r="D213" s="68"/>
      <c r="E213" s="68"/>
      <c r="F213" s="68"/>
      <c r="G213" s="68"/>
      <c r="H213" s="68"/>
      <c r="I213" s="68"/>
      <c r="J213" s="68"/>
    </row>
    <row r="214" spans="1:10" s="73" customFormat="1" ht="12.75" customHeight="1">
      <c r="A214" s="69" t="s">
        <v>1314</v>
      </c>
      <c r="B214" s="69" t="s">
        <v>1315</v>
      </c>
      <c r="C214" s="74"/>
      <c r="D214" s="74"/>
      <c r="E214" s="74"/>
      <c r="F214" s="74"/>
      <c r="G214" s="74"/>
      <c r="H214" s="74"/>
      <c r="I214" s="74"/>
      <c r="J214" s="74"/>
    </row>
    <row r="215" spans="1:10" ht="12.75" customHeight="1">
      <c r="A215" s="71"/>
      <c r="B215" s="71"/>
      <c r="C215" s="68"/>
      <c r="D215" s="68"/>
      <c r="E215" s="68"/>
      <c r="F215" s="68"/>
      <c r="G215" s="68"/>
      <c r="H215" s="68"/>
      <c r="I215" s="68"/>
      <c r="J215" s="68"/>
    </row>
    <row r="216" spans="1:10" ht="12.75" customHeight="1">
      <c r="A216" s="71"/>
      <c r="B216" s="71"/>
      <c r="C216" s="68"/>
      <c r="D216" s="68"/>
      <c r="E216" s="68"/>
      <c r="F216" s="68"/>
      <c r="G216" s="68"/>
      <c r="H216" s="68"/>
      <c r="I216" s="68"/>
      <c r="J216" s="68"/>
    </row>
    <row r="217" spans="1:10" ht="12.75" customHeight="1">
      <c r="A217" s="71"/>
      <c r="B217" s="69" t="s">
        <v>1276</v>
      </c>
      <c r="C217" s="68">
        <v>111</v>
      </c>
      <c r="D217" s="68">
        <v>46</v>
      </c>
      <c r="E217" s="68" t="s">
        <v>1285</v>
      </c>
      <c r="F217" s="68" t="s">
        <v>1285</v>
      </c>
      <c r="G217" s="68">
        <v>50</v>
      </c>
      <c r="H217" s="68">
        <v>1</v>
      </c>
      <c r="I217" s="68" t="s">
        <v>1285</v>
      </c>
      <c r="J217" s="68" t="s">
        <v>1299</v>
      </c>
    </row>
    <row r="218" spans="1:10" ht="12.75" customHeight="1">
      <c r="A218" s="71"/>
      <c r="B218" s="69" t="s">
        <v>1277</v>
      </c>
      <c r="C218" s="68" t="s">
        <v>1278</v>
      </c>
      <c r="D218" s="68">
        <v>1</v>
      </c>
      <c r="E218" s="68" t="s">
        <v>1285</v>
      </c>
      <c r="F218" s="68" t="s">
        <v>1285</v>
      </c>
      <c r="G218" s="68">
        <v>32</v>
      </c>
      <c r="H218" s="68" t="s">
        <v>1285</v>
      </c>
      <c r="I218" s="68" t="s">
        <v>1285</v>
      </c>
      <c r="J218" s="68" t="s">
        <v>1278</v>
      </c>
    </row>
    <row r="219" spans="1:10" ht="12.75" customHeight="1">
      <c r="A219" s="71"/>
      <c r="B219" s="71" t="s">
        <v>1279</v>
      </c>
      <c r="C219" s="68" t="s">
        <v>1278</v>
      </c>
      <c r="D219" s="68">
        <v>1</v>
      </c>
      <c r="E219" s="68">
        <v>0</v>
      </c>
      <c r="F219" s="68" t="s">
        <v>1285</v>
      </c>
      <c r="G219" s="68">
        <v>16</v>
      </c>
      <c r="H219" s="68" t="s">
        <v>1285</v>
      </c>
      <c r="I219" s="68" t="s">
        <v>1285</v>
      </c>
      <c r="J219" s="68" t="s">
        <v>1278</v>
      </c>
    </row>
    <row r="220" spans="1:10" ht="12.75" customHeight="1">
      <c r="A220" s="71"/>
      <c r="B220" s="71" t="s">
        <v>1280</v>
      </c>
      <c r="C220" s="68" t="s">
        <v>1278</v>
      </c>
      <c r="D220" s="68">
        <v>0</v>
      </c>
      <c r="E220" s="68" t="s">
        <v>1285</v>
      </c>
      <c r="F220" s="68" t="s">
        <v>1285</v>
      </c>
      <c r="G220" s="68">
        <v>16</v>
      </c>
      <c r="H220" s="68" t="s">
        <v>1285</v>
      </c>
      <c r="I220" s="68" t="s">
        <v>1285</v>
      </c>
      <c r="J220" s="68" t="s">
        <v>1278</v>
      </c>
    </row>
    <row r="221" spans="1:10" ht="12.75" customHeight="1">
      <c r="A221" s="71"/>
      <c r="B221" s="69" t="s">
        <v>1281</v>
      </c>
      <c r="C221" s="68" t="s">
        <v>1278</v>
      </c>
      <c r="D221" s="68">
        <v>35</v>
      </c>
      <c r="E221" s="68">
        <v>0</v>
      </c>
      <c r="F221" s="68" t="s">
        <v>1285</v>
      </c>
      <c r="G221" s="68">
        <v>13</v>
      </c>
      <c r="H221" s="68" t="s">
        <v>1285</v>
      </c>
      <c r="I221" s="68" t="s">
        <v>1285</v>
      </c>
      <c r="J221" s="68" t="s">
        <v>1278</v>
      </c>
    </row>
    <row r="222" spans="1:10" ht="12.75" customHeight="1">
      <c r="A222" s="71"/>
      <c r="B222" s="71" t="s">
        <v>1283</v>
      </c>
      <c r="C222" s="68" t="s">
        <v>1278</v>
      </c>
      <c r="D222" s="68">
        <v>1</v>
      </c>
      <c r="E222" s="68">
        <v>0</v>
      </c>
      <c r="F222" s="68" t="s">
        <v>1285</v>
      </c>
      <c r="G222" s="68">
        <v>11</v>
      </c>
      <c r="H222" s="68" t="s">
        <v>1285</v>
      </c>
      <c r="I222" s="68" t="s">
        <v>1285</v>
      </c>
      <c r="J222" s="68" t="s">
        <v>1278</v>
      </c>
    </row>
    <row r="223" spans="1:10" ht="12.75" customHeight="1">
      <c r="A223" s="71"/>
      <c r="B223" s="71" t="s">
        <v>1284</v>
      </c>
      <c r="C223" s="68" t="s">
        <v>1278</v>
      </c>
      <c r="D223" s="68">
        <v>9</v>
      </c>
      <c r="E223" s="68">
        <v>0</v>
      </c>
      <c r="F223" s="68" t="s">
        <v>1285</v>
      </c>
      <c r="G223" s="68" t="s">
        <v>1285</v>
      </c>
      <c r="H223" s="68" t="s">
        <v>1285</v>
      </c>
      <c r="I223" s="68">
        <v>0</v>
      </c>
      <c r="J223" s="68" t="s">
        <v>1278</v>
      </c>
    </row>
    <row r="224" spans="1:10" ht="12.75" customHeight="1">
      <c r="A224" s="71"/>
      <c r="B224" s="71" t="s">
        <v>1286</v>
      </c>
      <c r="C224" s="68" t="s">
        <v>1278</v>
      </c>
      <c r="D224" s="68">
        <v>23</v>
      </c>
      <c r="E224" s="68">
        <v>0</v>
      </c>
      <c r="F224" s="68" t="s">
        <v>1285</v>
      </c>
      <c r="G224" s="68">
        <v>1</v>
      </c>
      <c r="H224" s="68" t="s">
        <v>1285</v>
      </c>
      <c r="I224" s="68">
        <v>0</v>
      </c>
      <c r="J224" s="68" t="s">
        <v>1278</v>
      </c>
    </row>
    <row r="225" spans="1:10" ht="12.75" customHeight="1">
      <c r="A225" s="71"/>
      <c r="B225" s="71" t="s">
        <v>1287</v>
      </c>
      <c r="C225" s="68" t="s">
        <v>1278</v>
      </c>
      <c r="D225" s="68" t="s">
        <v>1285</v>
      </c>
      <c r="E225" s="68" t="s">
        <v>1278</v>
      </c>
      <c r="F225" s="68" t="s">
        <v>1278</v>
      </c>
      <c r="G225" s="68" t="s">
        <v>1278</v>
      </c>
      <c r="H225" s="68" t="s">
        <v>1278</v>
      </c>
      <c r="I225" s="68" t="s">
        <v>1278</v>
      </c>
      <c r="J225" s="68" t="s">
        <v>1278</v>
      </c>
    </row>
    <row r="226" spans="1:10" ht="12.75" customHeight="1">
      <c r="A226" s="71"/>
      <c r="B226" s="71" t="s">
        <v>1288</v>
      </c>
      <c r="C226" s="68" t="s">
        <v>1278</v>
      </c>
      <c r="D226" s="68">
        <v>1</v>
      </c>
      <c r="E226" s="68">
        <v>0</v>
      </c>
      <c r="F226" s="68" t="s">
        <v>1285</v>
      </c>
      <c r="G226" s="68">
        <v>1</v>
      </c>
      <c r="H226" s="68" t="s">
        <v>1285</v>
      </c>
      <c r="I226" s="68">
        <v>0</v>
      </c>
      <c r="J226" s="68" t="s">
        <v>1278</v>
      </c>
    </row>
    <row r="227" spans="1:10" ht="12.75" customHeight="1">
      <c r="A227" s="71"/>
      <c r="B227" s="69" t="s">
        <v>1289</v>
      </c>
      <c r="C227" s="68" t="s">
        <v>1278</v>
      </c>
      <c r="D227" s="68">
        <v>10</v>
      </c>
      <c r="E227" s="68" t="s">
        <v>1285</v>
      </c>
      <c r="F227" s="68" t="s">
        <v>1285</v>
      </c>
      <c r="G227" s="68">
        <v>5</v>
      </c>
      <c r="H227" s="68">
        <v>1</v>
      </c>
      <c r="I227" s="68" t="s">
        <v>1285</v>
      </c>
      <c r="J227" s="68" t="s">
        <v>1278</v>
      </c>
    </row>
    <row r="228" spans="1:10" ht="12.75" customHeight="1">
      <c r="A228" s="71"/>
      <c r="B228" s="71" t="s">
        <v>1290</v>
      </c>
      <c r="C228" s="68" t="s">
        <v>1278</v>
      </c>
      <c r="D228" s="68">
        <v>5</v>
      </c>
      <c r="E228" s="68">
        <v>0</v>
      </c>
      <c r="F228" s="68" t="s">
        <v>1285</v>
      </c>
      <c r="G228" s="68">
        <v>4</v>
      </c>
      <c r="H228" s="68" t="s">
        <v>1285</v>
      </c>
      <c r="I228" s="68" t="s">
        <v>1285</v>
      </c>
      <c r="J228" s="68" t="s">
        <v>1278</v>
      </c>
    </row>
    <row r="229" spans="1:10" ht="12.75" customHeight="1">
      <c r="A229" s="71"/>
      <c r="B229" s="71" t="s">
        <v>1291</v>
      </c>
      <c r="C229" s="68" t="s">
        <v>1278</v>
      </c>
      <c r="D229" s="68">
        <v>3</v>
      </c>
      <c r="E229" s="68" t="s">
        <v>1278</v>
      </c>
      <c r="F229" s="68" t="s">
        <v>1278</v>
      </c>
      <c r="G229" s="68" t="s">
        <v>1278</v>
      </c>
      <c r="H229" s="68" t="s">
        <v>1278</v>
      </c>
      <c r="I229" s="68" t="s">
        <v>1278</v>
      </c>
      <c r="J229" s="68" t="s">
        <v>1278</v>
      </c>
    </row>
    <row r="230" spans="1:10" ht="12.75" customHeight="1">
      <c r="A230" s="71"/>
      <c r="B230" s="71" t="s">
        <v>1292</v>
      </c>
      <c r="C230" s="68" t="s">
        <v>1278</v>
      </c>
      <c r="D230" s="68">
        <v>1</v>
      </c>
      <c r="E230" s="68">
        <v>0</v>
      </c>
      <c r="F230" s="68">
        <v>0</v>
      </c>
      <c r="G230" s="68">
        <v>1</v>
      </c>
      <c r="H230" s="68" t="s">
        <v>1285</v>
      </c>
      <c r="I230" s="68">
        <v>0</v>
      </c>
      <c r="J230" s="68" t="s">
        <v>1278</v>
      </c>
    </row>
    <row r="231" spans="1:10" ht="12.75" customHeight="1">
      <c r="A231" s="71"/>
      <c r="B231" s="71" t="s">
        <v>1293</v>
      </c>
      <c r="C231" s="68" t="s">
        <v>1278</v>
      </c>
      <c r="D231" s="68">
        <v>1</v>
      </c>
      <c r="E231" s="68" t="s">
        <v>1278</v>
      </c>
      <c r="F231" s="68" t="s">
        <v>1285</v>
      </c>
      <c r="G231" s="68" t="s">
        <v>1285</v>
      </c>
      <c r="H231" s="68" t="s">
        <v>1285</v>
      </c>
      <c r="I231" s="68" t="s">
        <v>1278</v>
      </c>
      <c r="J231" s="68" t="s">
        <v>1278</v>
      </c>
    </row>
    <row r="232" spans="1:10" ht="12.75" customHeight="1">
      <c r="A232" s="71"/>
      <c r="B232" s="71" t="s">
        <v>1294</v>
      </c>
      <c r="C232" s="68" t="s">
        <v>1278</v>
      </c>
      <c r="D232" s="68" t="s">
        <v>1278</v>
      </c>
      <c r="E232" s="68">
        <v>0</v>
      </c>
      <c r="F232" s="68" t="s">
        <v>1285</v>
      </c>
      <c r="G232" s="68" t="s">
        <v>1285</v>
      </c>
      <c r="H232" s="68" t="s">
        <v>1285</v>
      </c>
      <c r="I232" s="68">
        <v>0</v>
      </c>
      <c r="J232" s="68" t="s">
        <v>1278</v>
      </c>
    </row>
    <row r="233" spans="1:10" ht="12.75" customHeight="1">
      <c r="A233" s="71"/>
      <c r="B233" s="71" t="s">
        <v>1295</v>
      </c>
      <c r="C233" s="68" t="s">
        <v>1278</v>
      </c>
      <c r="D233" s="68" t="s">
        <v>1285</v>
      </c>
      <c r="E233" s="68" t="s">
        <v>1285</v>
      </c>
      <c r="F233" s="68" t="s">
        <v>1285</v>
      </c>
      <c r="G233" s="68" t="s">
        <v>1285</v>
      </c>
      <c r="H233" s="68" t="s">
        <v>1285</v>
      </c>
      <c r="I233" s="68">
        <v>0</v>
      </c>
      <c r="J233" s="68" t="s">
        <v>1278</v>
      </c>
    </row>
    <row r="234" spans="1:10" ht="12.75" customHeight="1">
      <c r="A234" s="71"/>
      <c r="B234" s="69" t="s">
        <v>1296</v>
      </c>
      <c r="C234" s="68" t="s">
        <v>1299</v>
      </c>
      <c r="D234" s="68" t="s">
        <v>1285</v>
      </c>
      <c r="E234" s="68">
        <v>0</v>
      </c>
      <c r="F234" s="68">
        <v>0</v>
      </c>
      <c r="G234" s="68" t="s">
        <v>1285</v>
      </c>
      <c r="H234" s="68" t="s">
        <v>1285</v>
      </c>
      <c r="I234" s="68">
        <v>0</v>
      </c>
      <c r="J234" s="68" t="s">
        <v>1299</v>
      </c>
    </row>
    <row r="235" spans="1:10" ht="12.75" customHeight="1">
      <c r="A235" s="71"/>
      <c r="B235" s="71"/>
      <c r="C235" s="68"/>
      <c r="D235" s="68"/>
      <c r="E235" s="68"/>
      <c r="F235" s="68"/>
      <c r="G235" s="68"/>
      <c r="H235" s="68"/>
      <c r="I235" s="68"/>
      <c r="J235" s="68"/>
    </row>
    <row r="236" spans="1:10" s="73" customFormat="1" ht="12.75" customHeight="1">
      <c r="A236" s="69" t="s">
        <v>1316</v>
      </c>
      <c r="B236" s="69" t="s">
        <v>1317</v>
      </c>
      <c r="C236" s="74"/>
      <c r="D236" s="74"/>
      <c r="E236" s="74"/>
      <c r="F236" s="74"/>
      <c r="G236" s="74"/>
      <c r="H236" s="74"/>
      <c r="I236" s="74"/>
      <c r="J236" s="74"/>
    </row>
    <row r="237" spans="1:10" ht="12.75" customHeight="1">
      <c r="A237" s="71"/>
      <c r="B237" s="71"/>
      <c r="C237" s="68"/>
      <c r="D237" s="68"/>
      <c r="E237" s="68"/>
      <c r="F237" s="68"/>
      <c r="G237" s="68"/>
      <c r="H237" s="68"/>
      <c r="I237" s="68"/>
      <c r="J237" s="68"/>
    </row>
    <row r="238" spans="1:10" ht="12.75" customHeight="1">
      <c r="A238" s="71"/>
      <c r="B238" s="71"/>
      <c r="C238" s="68"/>
      <c r="D238" s="68"/>
      <c r="E238" s="68"/>
      <c r="F238" s="68"/>
      <c r="G238" s="68"/>
      <c r="H238" s="68"/>
      <c r="I238" s="68"/>
      <c r="J238" s="68"/>
    </row>
    <row r="239" spans="1:10" ht="12.75" customHeight="1">
      <c r="A239" s="71"/>
      <c r="B239" s="69" t="s">
        <v>1276</v>
      </c>
      <c r="C239" s="68">
        <v>7</v>
      </c>
      <c r="D239" s="68">
        <v>3</v>
      </c>
      <c r="E239" s="68" t="s">
        <v>1285</v>
      </c>
      <c r="F239" s="68" t="s">
        <v>1285</v>
      </c>
      <c r="G239" s="68">
        <v>4</v>
      </c>
      <c r="H239" s="68" t="s">
        <v>1285</v>
      </c>
      <c r="I239" s="68">
        <v>0</v>
      </c>
      <c r="J239" s="68" t="s">
        <v>1285</v>
      </c>
    </row>
    <row r="240" spans="1:10" ht="12.75" customHeight="1">
      <c r="A240" s="71"/>
      <c r="B240" s="69" t="s">
        <v>1277</v>
      </c>
      <c r="C240" s="68" t="s">
        <v>1278</v>
      </c>
      <c r="D240" s="68" t="s">
        <v>1285</v>
      </c>
      <c r="E240" s="68" t="s">
        <v>1285</v>
      </c>
      <c r="F240" s="68" t="s">
        <v>1285</v>
      </c>
      <c r="G240" s="68">
        <v>3</v>
      </c>
      <c r="H240" s="68" t="s">
        <v>1285</v>
      </c>
      <c r="I240" s="68">
        <v>0</v>
      </c>
      <c r="J240" s="68" t="s">
        <v>1278</v>
      </c>
    </row>
    <row r="241" spans="1:10" ht="12.75" customHeight="1">
      <c r="A241" s="71"/>
      <c r="B241" s="71" t="s">
        <v>1279</v>
      </c>
      <c r="C241" s="68" t="s">
        <v>1278</v>
      </c>
      <c r="D241" s="68" t="s">
        <v>1285</v>
      </c>
      <c r="E241" s="68" t="s">
        <v>1285</v>
      </c>
      <c r="F241" s="68" t="s">
        <v>1285</v>
      </c>
      <c r="G241" s="68">
        <v>2</v>
      </c>
      <c r="H241" s="68" t="s">
        <v>1285</v>
      </c>
      <c r="I241" s="68">
        <v>0</v>
      </c>
      <c r="J241" s="68" t="s">
        <v>1278</v>
      </c>
    </row>
    <row r="242" spans="1:10" ht="12.75" customHeight="1">
      <c r="A242" s="71"/>
      <c r="B242" s="71" t="s">
        <v>1280</v>
      </c>
      <c r="C242" s="68" t="s">
        <v>1278</v>
      </c>
      <c r="D242" s="68">
        <v>0</v>
      </c>
      <c r="E242" s="68">
        <v>0</v>
      </c>
      <c r="F242" s="68" t="s">
        <v>1285</v>
      </c>
      <c r="G242" s="68">
        <v>1</v>
      </c>
      <c r="H242" s="68" t="s">
        <v>1285</v>
      </c>
      <c r="I242" s="68">
        <v>0</v>
      </c>
      <c r="J242" s="68" t="s">
        <v>1278</v>
      </c>
    </row>
    <row r="243" spans="1:10" ht="12.75" customHeight="1">
      <c r="A243" s="71"/>
      <c r="B243" s="69" t="s">
        <v>1281</v>
      </c>
      <c r="C243" s="68" t="s">
        <v>1278</v>
      </c>
      <c r="D243" s="68">
        <v>2</v>
      </c>
      <c r="E243" s="68">
        <v>0</v>
      </c>
      <c r="F243" s="68" t="s">
        <v>1285</v>
      </c>
      <c r="G243" s="68">
        <v>1</v>
      </c>
      <c r="H243" s="68" t="s">
        <v>1285</v>
      </c>
      <c r="I243" s="68">
        <v>0</v>
      </c>
      <c r="J243" s="68" t="s">
        <v>1278</v>
      </c>
    </row>
    <row r="244" spans="1:10" ht="12.75" customHeight="1">
      <c r="A244" s="71"/>
      <c r="B244" s="71" t="s">
        <v>1283</v>
      </c>
      <c r="C244" s="68" t="s">
        <v>1278</v>
      </c>
      <c r="D244" s="68" t="s">
        <v>1285</v>
      </c>
      <c r="E244" s="68">
        <v>0</v>
      </c>
      <c r="F244" s="68">
        <v>0</v>
      </c>
      <c r="G244" s="68" t="s">
        <v>1285</v>
      </c>
      <c r="H244" s="68" t="s">
        <v>1285</v>
      </c>
      <c r="I244" s="68">
        <v>0</v>
      </c>
      <c r="J244" s="68" t="s">
        <v>1278</v>
      </c>
    </row>
    <row r="245" spans="1:10" ht="12.75" customHeight="1">
      <c r="A245" s="71"/>
      <c r="B245" s="71" t="s">
        <v>1284</v>
      </c>
      <c r="C245" s="68" t="s">
        <v>1278</v>
      </c>
      <c r="D245" s="68" t="s">
        <v>1285</v>
      </c>
      <c r="E245" s="68">
        <v>0</v>
      </c>
      <c r="F245" s="68">
        <v>0</v>
      </c>
      <c r="G245" s="68">
        <v>0</v>
      </c>
      <c r="H245" s="68">
        <v>0</v>
      </c>
      <c r="I245" s="68">
        <v>0</v>
      </c>
      <c r="J245" s="68" t="s">
        <v>1278</v>
      </c>
    </row>
    <row r="246" spans="1:10" ht="12.75" customHeight="1">
      <c r="A246" s="71"/>
      <c r="B246" s="71" t="s">
        <v>1286</v>
      </c>
      <c r="C246" s="68" t="s">
        <v>1278</v>
      </c>
      <c r="D246" s="68">
        <v>1</v>
      </c>
      <c r="E246" s="68">
        <v>0</v>
      </c>
      <c r="F246" s="68" t="s">
        <v>1285</v>
      </c>
      <c r="G246" s="68" t="s">
        <v>1285</v>
      </c>
      <c r="H246" s="68" t="s">
        <v>1285</v>
      </c>
      <c r="I246" s="68">
        <v>0</v>
      </c>
      <c r="J246" s="68" t="s">
        <v>1278</v>
      </c>
    </row>
    <row r="247" spans="1:10" ht="12.75" customHeight="1">
      <c r="A247" s="71"/>
      <c r="B247" s="71" t="s">
        <v>1287</v>
      </c>
      <c r="C247" s="68" t="s">
        <v>1278</v>
      </c>
      <c r="D247" s="68" t="s">
        <v>1285</v>
      </c>
      <c r="E247" s="68" t="s">
        <v>1278</v>
      </c>
      <c r="F247" s="68" t="s">
        <v>1278</v>
      </c>
      <c r="G247" s="68" t="s">
        <v>1278</v>
      </c>
      <c r="H247" s="68" t="s">
        <v>1278</v>
      </c>
      <c r="I247" s="68" t="s">
        <v>1278</v>
      </c>
      <c r="J247" s="68" t="s">
        <v>1278</v>
      </c>
    </row>
    <row r="248" spans="1:10" ht="12.75" customHeight="1">
      <c r="A248" s="71"/>
      <c r="B248" s="71" t="s">
        <v>1288</v>
      </c>
      <c r="C248" s="68" t="s">
        <v>1278</v>
      </c>
      <c r="D248" s="68" t="s">
        <v>1285</v>
      </c>
      <c r="E248" s="68">
        <v>0</v>
      </c>
      <c r="F248" s="68">
        <v>0</v>
      </c>
      <c r="G248" s="68" t="s">
        <v>1285</v>
      </c>
      <c r="H248" s="68">
        <v>0</v>
      </c>
      <c r="I248" s="68">
        <v>0</v>
      </c>
      <c r="J248" s="68" t="s">
        <v>1278</v>
      </c>
    </row>
    <row r="249" spans="1:10" ht="12.75" customHeight="1">
      <c r="A249" s="71"/>
      <c r="B249" s="69" t="s">
        <v>1289</v>
      </c>
      <c r="C249" s="68" t="s">
        <v>1278</v>
      </c>
      <c r="D249" s="68">
        <v>1</v>
      </c>
      <c r="E249" s="68">
        <v>0</v>
      </c>
      <c r="F249" s="68" t="s">
        <v>1285</v>
      </c>
      <c r="G249" s="68" t="s">
        <v>1285</v>
      </c>
      <c r="H249" s="68" t="s">
        <v>1285</v>
      </c>
      <c r="I249" s="68">
        <v>0</v>
      </c>
      <c r="J249" s="68" t="s">
        <v>1278</v>
      </c>
    </row>
    <row r="250" spans="1:10" ht="12.75" customHeight="1">
      <c r="A250" s="71"/>
      <c r="B250" s="71" t="s">
        <v>1290</v>
      </c>
      <c r="C250" s="68" t="s">
        <v>1278</v>
      </c>
      <c r="D250" s="68">
        <v>1</v>
      </c>
      <c r="E250" s="68">
        <v>0</v>
      </c>
      <c r="F250" s="68" t="s">
        <v>1285</v>
      </c>
      <c r="G250" s="68" t="s">
        <v>1285</v>
      </c>
      <c r="H250" s="68" t="s">
        <v>1285</v>
      </c>
      <c r="I250" s="68">
        <v>0</v>
      </c>
      <c r="J250" s="68" t="s">
        <v>1278</v>
      </c>
    </row>
    <row r="251" spans="1:10" ht="12.75" customHeight="1">
      <c r="A251" s="71"/>
      <c r="B251" s="71" t="s">
        <v>1291</v>
      </c>
      <c r="C251" s="68" t="s">
        <v>1278</v>
      </c>
      <c r="D251" s="68" t="s">
        <v>1285</v>
      </c>
      <c r="E251" s="68" t="s">
        <v>1278</v>
      </c>
      <c r="F251" s="68" t="s">
        <v>1278</v>
      </c>
      <c r="G251" s="68" t="s">
        <v>1278</v>
      </c>
      <c r="H251" s="68" t="s">
        <v>1278</v>
      </c>
      <c r="I251" s="68" t="s">
        <v>1278</v>
      </c>
      <c r="J251" s="68" t="s">
        <v>1278</v>
      </c>
    </row>
    <row r="252" spans="1:10" ht="12.75" customHeight="1">
      <c r="A252" s="71"/>
      <c r="B252" s="71" t="s">
        <v>1292</v>
      </c>
      <c r="C252" s="68" t="s">
        <v>1278</v>
      </c>
      <c r="D252" s="68" t="s">
        <v>1285</v>
      </c>
      <c r="E252" s="68">
        <v>0</v>
      </c>
      <c r="F252" s="68">
        <v>0</v>
      </c>
      <c r="G252" s="68" t="s">
        <v>1285</v>
      </c>
      <c r="H252" s="68" t="s">
        <v>1285</v>
      </c>
      <c r="I252" s="68">
        <v>0</v>
      </c>
      <c r="J252" s="68" t="s">
        <v>1278</v>
      </c>
    </row>
    <row r="253" spans="1:10" ht="12.75" customHeight="1">
      <c r="A253" s="71"/>
      <c r="B253" s="71" t="s">
        <v>1293</v>
      </c>
      <c r="C253" s="68" t="s">
        <v>1278</v>
      </c>
      <c r="D253" s="68" t="s">
        <v>1285</v>
      </c>
      <c r="E253" s="68" t="s">
        <v>1278</v>
      </c>
      <c r="F253" s="68" t="s">
        <v>1285</v>
      </c>
      <c r="G253" s="68" t="s">
        <v>1285</v>
      </c>
      <c r="H253" s="68" t="s">
        <v>1285</v>
      </c>
      <c r="I253" s="68" t="s">
        <v>1278</v>
      </c>
      <c r="J253" s="68" t="s">
        <v>1278</v>
      </c>
    </row>
    <row r="254" spans="1:10" ht="12.75" customHeight="1">
      <c r="A254" s="71"/>
      <c r="B254" s="71" t="s">
        <v>1294</v>
      </c>
      <c r="C254" s="68" t="s">
        <v>1278</v>
      </c>
      <c r="D254" s="68" t="s">
        <v>1278</v>
      </c>
      <c r="E254" s="68">
        <v>0</v>
      </c>
      <c r="F254" s="68" t="s">
        <v>1285</v>
      </c>
      <c r="G254" s="68">
        <v>0</v>
      </c>
      <c r="H254" s="68">
        <v>0</v>
      </c>
      <c r="I254" s="68">
        <v>0</v>
      </c>
      <c r="J254" s="68" t="s">
        <v>1278</v>
      </c>
    </row>
    <row r="255" spans="1:10" ht="12.75" customHeight="1">
      <c r="A255" s="71"/>
      <c r="B255" s="71" t="s">
        <v>1295</v>
      </c>
      <c r="C255" s="68" t="s">
        <v>1278</v>
      </c>
      <c r="D255" s="68" t="s">
        <v>1285</v>
      </c>
      <c r="E255" s="68">
        <v>0</v>
      </c>
      <c r="F255" s="68" t="s">
        <v>1285</v>
      </c>
      <c r="G255" s="68" t="s">
        <v>1285</v>
      </c>
      <c r="H255" s="68" t="s">
        <v>1285</v>
      </c>
      <c r="I255" s="68">
        <v>0</v>
      </c>
      <c r="J255" s="68" t="s">
        <v>1278</v>
      </c>
    </row>
    <row r="256" spans="1:10" ht="12.75" customHeight="1">
      <c r="A256" s="71"/>
      <c r="B256" s="69" t="s">
        <v>1296</v>
      </c>
      <c r="C256" s="68" t="s">
        <v>1285</v>
      </c>
      <c r="D256" s="68" t="s">
        <v>1285</v>
      </c>
      <c r="E256" s="68">
        <v>0</v>
      </c>
      <c r="F256" s="68">
        <v>0</v>
      </c>
      <c r="G256" s="68">
        <v>0</v>
      </c>
      <c r="H256" s="68">
        <v>0</v>
      </c>
      <c r="I256" s="68">
        <v>0</v>
      </c>
      <c r="J256" s="68" t="s">
        <v>1285</v>
      </c>
    </row>
    <row r="257" spans="1:10" ht="12.75" customHeight="1">
      <c r="A257" s="71"/>
      <c r="B257" s="71"/>
      <c r="C257" s="68"/>
      <c r="D257" s="68"/>
      <c r="E257" s="68"/>
      <c r="F257" s="68"/>
      <c r="G257" s="68"/>
      <c r="H257" s="68"/>
      <c r="I257" s="68"/>
      <c r="J257" s="68"/>
    </row>
    <row r="258" spans="1:10" s="73" customFormat="1" ht="12.75" customHeight="1">
      <c r="A258" s="69" t="s">
        <v>1318</v>
      </c>
      <c r="B258" s="69" t="s">
        <v>1319</v>
      </c>
      <c r="C258" s="74"/>
      <c r="D258" s="74"/>
      <c r="E258" s="74"/>
      <c r="F258" s="74"/>
      <c r="G258" s="74"/>
      <c r="H258" s="74"/>
      <c r="I258" s="74"/>
      <c r="J258" s="74"/>
    </row>
    <row r="259" spans="1:10" ht="12.75" customHeight="1">
      <c r="A259" s="71"/>
      <c r="B259" s="71"/>
      <c r="C259" s="68"/>
      <c r="D259" s="68"/>
      <c r="E259" s="68"/>
      <c r="F259" s="68"/>
      <c r="G259" s="68"/>
      <c r="H259" s="68"/>
      <c r="I259" s="68"/>
      <c r="J259" s="68"/>
    </row>
    <row r="260" spans="1:10" ht="12.75" customHeight="1">
      <c r="A260" s="71"/>
      <c r="B260" s="71"/>
      <c r="C260" s="68"/>
      <c r="D260" s="68"/>
      <c r="E260" s="68"/>
      <c r="F260" s="68"/>
      <c r="G260" s="68"/>
      <c r="H260" s="68"/>
      <c r="I260" s="68"/>
      <c r="J260" s="68"/>
    </row>
    <row r="261" spans="1:10" ht="12.75" customHeight="1">
      <c r="A261" s="71"/>
      <c r="B261" s="69" t="s">
        <v>1276</v>
      </c>
      <c r="C261" s="68">
        <v>64</v>
      </c>
      <c r="D261" s="68">
        <v>37</v>
      </c>
      <c r="E261" s="68" t="s">
        <v>1285</v>
      </c>
      <c r="F261" s="68" t="s">
        <v>1285</v>
      </c>
      <c r="G261" s="68">
        <v>23</v>
      </c>
      <c r="H261" s="68">
        <v>1</v>
      </c>
      <c r="I261" s="68">
        <v>1</v>
      </c>
      <c r="J261" s="68">
        <v>1</v>
      </c>
    </row>
    <row r="262" spans="1:10" ht="12.75" customHeight="1">
      <c r="A262" s="71"/>
      <c r="B262" s="69" t="s">
        <v>1277</v>
      </c>
      <c r="C262" s="68" t="s">
        <v>1278</v>
      </c>
      <c r="D262" s="68">
        <v>1</v>
      </c>
      <c r="E262" s="68" t="s">
        <v>1285</v>
      </c>
      <c r="F262" s="68" t="s">
        <v>1285</v>
      </c>
      <c r="G262" s="68">
        <v>11</v>
      </c>
      <c r="H262" s="68">
        <v>1</v>
      </c>
      <c r="I262" s="68">
        <v>1</v>
      </c>
      <c r="J262" s="68" t="s">
        <v>1278</v>
      </c>
    </row>
    <row r="263" spans="1:10" ht="12.75" customHeight="1">
      <c r="A263" s="71"/>
      <c r="B263" s="71" t="s">
        <v>1279</v>
      </c>
      <c r="C263" s="68" t="s">
        <v>1278</v>
      </c>
      <c r="D263" s="68">
        <v>1</v>
      </c>
      <c r="E263" s="68" t="s">
        <v>1285</v>
      </c>
      <c r="F263" s="68" t="s">
        <v>1285</v>
      </c>
      <c r="G263" s="68">
        <v>7</v>
      </c>
      <c r="H263" s="68" t="s">
        <v>1285</v>
      </c>
      <c r="I263" s="68">
        <v>1</v>
      </c>
      <c r="J263" s="68" t="s">
        <v>1278</v>
      </c>
    </row>
    <row r="264" spans="1:10" ht="12.75" customHeight="1">
      <c r="A264" s="71"/>
      <c r="B264" s="71" t="s">
        <v>1280</v>
      </c>
      <c r="C264" s="68" t="s">
        <v>1278</v>
      </c>
      <c r="D264" s="68">
        <v>0</v>
      </c>
      <c r="E264" s="68" t="s">
        <v>1285</v>
      </c>
      <c r="F264" s="68" t="s">
        <v>1285</v>
      </c>
      <c r="G264" s="68">
        <v>5</v>
      </c>
      <c r="H264" s="68" t="s">
        <v>1285</v>
      </c>
      <c r="I264" s="68">
        <v>1</v>
      </c>
      <c r="J264" s="68" t="s">
        <v>1278</v>
      </c>
    </row>
    <row r="265" spans="1:10" ht="12.75" customHeight="1">
      <c r="A265" s="71"/>
      <c r="B265" s="69" t="s">
        <v>1281</v>
      </c>
      <c r="C265" s="68" t="s">
        <v>1278</v>
      </c>
      <c r="D265" s="68">
        <v>27</v>
      </c>
      <c r="E265" s="68">
        <v>0</v>
      </c>
      <c r="F265" s="68" t="s">
        <v>1285</v>
      </c>
      <c r="G265" s="68">
        <v>9</v>
      </c>
      <c r="H265" s="68" t="s">
        <v>1285</v>
      </c>
      <c r="I265" s="68">
        <v>0</v>
      </c>
      <c r="J265" s="68" t="s">
        <v>1278</v>
      </c>
    </row>
    <row r="266" spans="1:10" ht="12.75" customHeight="1">
      <c r="A266" s="71"/>
      <c r="B266" s="71" t="s">
        <v>1283</v>
      </c>
      <c r="C266" s="68" t="s">
        <v>1278</v>
      </c>
      <c r="D266" s="68">
        <v>3</v>
      </c>
      <c r="E266" s="68">
        <v>0</v>
      </c>
      <c r="F266" s="68" t="s">
        <v>1285</v>
      </c>
      <c r="G266" s="68">
        <v>9</v>
      </c>
      <c r="H266" s="68" t="s">
        <v>1285</v>
      </c>
      <c r="I266" s="68">
        <v>0</v>
      </c>
      <c r="J266" s="68" t="s">
        <v>1278</v>
      </c>
    </row>
    <row r="267" spans="1:10" ht="12.75" customHeight="1">
      <c r="A267" s="71"/>
      <c r="B267" s="71" t="s">
        <v>1284</v>
      </c>
      <c r="C267" s="68" t="s">
        <v>1278</v>
      </c>
      <c r="D267" s="68">
        <v>2</v>
      </c>
      <c r="E267" s="68">
        <v>0</v>
      </c>
      <c r="F267" s="68">
        <v>0</v>
      </c>
      <c r="G267" s="68" t="s">
        <v>1285</v>
      </c>
      <c r="H267" s="68">
        <v>0</v>
      </c>
      <c r="I267" s="68">
        <v>0</v>
      </c>
      <c r="J267" s="68" t="s">
        <v>1278</v>
      </c>
    </row>
    <row r="268" spans="1:10" ht="12.75" customHeight="1">
      <c r="A268" s="71"/>
      <c r="B268" s="71" t="s">
        <v>1286</v>
      </c>
      <c r="C268" s="68" t="s">
        <v>1278</v>
      </c>
      <c r="D268" s="68">
        <v>21</v>
      </c>
      <c r="E268" s="68">
        <v>0</v>
      </c>
      <c r="F268" s="68" t="s">
        <v>1285</v>
      </c>
      <c r="G268" s="68">
        <v>1</v>
      </c>
      <c r="H268" s="68" t="s">
        <v>1285</v>
      </c>
      <c r="I268" s="68">
        <v>0</v>
      </c>
      <c r="J268" s="68" t="s">
        <v>1278</v>
      </c>
    </row>
    <row r="269" spans="1:10" ht="12.75" customHeight="1">
      <c r="A269" s="71"/>
      <c r="B269" s="71" t="s">
        <v>1287</v>
      </c>
      <c r="C269" s="68" t="s">
        <v>1278</v>
      </c>
      <c r="D269" s="68" t="s">
        <v>1285</v>
      </c>
      <c r="E269" s="68" t="s">
        <v>1278</v>
      </c>
      <c r="F269" s="68" t="s">
        <v>1278</v>
      </c>
      <c r="G269" s="68" t="s">
        <v>1278</v>
      </c>
      <c r="H269" s="68" t="s">
        <v>1278</v>
      </c>
      <c r="I269" s="68" t="s">
        <v>1278</v>
      </c>
      <c r="J269" s="68" t="s">
        <v>1278</v>
      </c>
    </row>
    <row r="270" spans="1:10" ht="12.75" customHeight="1">
      <c r="A270" s="71"/>
      <c r="B270" s="71" t="s">
        <v>1288</v>
      </c>
      <c r="C270" s="68" t="s">
        <v>1278</v>
      </c>
      <c r="D270" s="68">
        <v>1</v>
      </c>
      <c r="E270" s="68">
        <v>0</v>
      </c>
      <c r="F270" s="68">
        <v>0</v>
      </c>
      <c r="G270" s="68" t="s">
        <v>1285</v>
      </c>
      <c r="H270" s="68" t="s">
        <v>1285</v>
      </c>
      <c r="I270" s="68">
        <v>0</v>
      </c>
      <c r="J270" s="68" t="s">
        <v>1278</v>
      </c>
    </row>
    <row r="271" spans="1:10" ht="12.75" customHeight="1">
      <c r="A271" s="71"/>
      <c r="B271" s="69" t="s">
        <v>1289</v>
      </c>
      <c r="C271" s="68" t="s">
        <v>1278</v>
      </c>
      <c r="D271" s="68">
        <v>10</v>
      </c>
      <c r="E271" s="68">
        <v>0</v>
      </c>
      <c r="F271" s="68" t="s">
        <v>1285</v>
      </c>
      <c r="G271" s="68">
        <v>2</v>
      </c>
      <c r="H271" s="68" t="s">
        <v>1285</v>
      </c>
      <c r="I271" s="68">
        <v>0</v>
      </c>
      <c r="J271" s="68" t="s">
        <v>1278</v>
      </c>
    </row>
    <row r="272" spans="1:10" ht="12.75" customHeight="1">
      <c r="A272" s="71"/>
      <c r="B272" s="71" t="s">
        <v>1290</v>
      </c>
      <c r="C272" s="68" t="s">
        <v>1278</v>
      </c>
      <c r="D272" s="68">
        <v>6</v>
      </c>
      <c r="E272" s="68">
        <v>0</v>
      </c>
      <c r="F272" s="68" t="s">
        <v>1285</v>
      </c>
      <c r="G272" s="68">
        <v>2</v>
      </c>
      <c r="H272" s="68" t="s">
        <v>1285</v>
      </c>
      <c r="I272" s="68">
        <v>0</v>
      </c>
      <c r="J272" s="68" t="s">
        <v>1278</v>
      </c>
    </row>
    <row r="273" spans="1:10" ht="12.75" customHeight="1">
      <c r="A273" s="71"/>
      <c r="B273" s="71" t="s">
        <v>1291</v>
      </c>
      <c r="C273" s="68" t="s">
        <v>1278</v>
      </c>
      <c r="D273" s="68">
        <v>2</v>
      </c>
      <c r="E273" s="68" t="s">
        <v>1278</v>
      </c>
      <c r="F273" s="68" t="s">
        <v>1278</v>
      </c>
      <c r="G273" s="68" t="s">
        <v>1278</v>
      </c>
      <c r="H273" s="68" t="s">
        <v>1278</v>
      </c>
      <c r="I273" s="68" t="s">
        <v>1278</v>
      </c>
      <c r="J273" s="68" t="s">
        <v>1278</v>
      </c>
    </row>
    <row r="274" spans="1:10" ht="12.75" customHeight="1">
      <c r="A274" s="71"/>
      <c r="B274" s="71" t="s">
        <v>1292</v>
      </c>
      <c r="C274" s="68" t="s">
        <v>1278</v>
      </c>
      <c r="D274" s="68">
        <v>1</v>
      </c>
      <c r="E274" s="68">
        <v>0</v>
      </c>
      <c r="F274" s="68" t="s">
        <v>1285</v>
      </c>
      <c r="G274" s="68" t="s">
        <v>1285</v>
      </c>
      <c r="H274" s="68" t="s">
        <v>1285</v>
      </c>
      <c r="I274" s="68">
        <v>0</v>
      </c>
      <c r="J274" s="68" t="s">
        <v>1278</v>
      </c>
    </row>
    <row r="275" spans="1:10" ht="12.75" customHeight="1">
      <c r="A275" s="71"/>
      <c r="B275" s="71" t="s">
        <v>1293</v>
      </c>
      <c r="C275" s="68" t="s">
        <v>1278</v>
      </c>
      <c r="D275" s="68" t="s">
        <v>1285</v>
      </c>
      <c r="E275" s="68" t="s">
        <v>1278</v>
      </c>
      <c r="F275" s="68" t="s">
        <v>1285</v>
      </c>
      <c r="G275" s="68" t="s">
        <v>1285</v>
      </c>
      <c r="H275" s="68" t="s">
        <v>1285</v>
      </c>
      <c r="I275" s="68" t="s">
        <v>1278</v>
      </c>
      <c r="J275" s="68" t="s">
        <v>1278</v>
      </c>
    </row>
    <row r="276" spans="1:10" ht="12.75" customHeight="1">
      <c r="A276" s="71"/>
      <c r="B276" s="71" t="s">
        <v>1294</v>
      </c>
      <c r="C276" s="68" t="s">
        <v>1278</v>
      </c>
      <c r="D276" s="68" t="s">
        <v>1278</v>
      </c>
      <c r="E276" s="68">
        <v>0</v>
      </c>
      <c r="F276" s="68">
        <v>0</v>
      </c>
      <c r="G276" s="68" t="s">
        <v>1285</v>
      </c>
      <c r="H276" s="68">
        <v>0</v>
      </c>
      <c r="I276" s="68">
        <v>0</v>
      </c>
      <c r="J276" s="68" t="s">
        <v>1278</v>
      </c>
    </row>
    <row r="277" spans="1:10" ht="12.75" customHeight="1">
      <c r="A277" s="71"/>
      <c r="B277" s="71" t="s">
        <v>1295</v>
      </c>
      <c r="C277" s="68" t="s">
        <v>1278</v>
      </c>
      <c r="D277" s="68" t="s">
        <v>1285</v>
      </c>
      <c r="E277" s="68">
        <v>0</v>
      </c>
      <c r="F277" s="68" t="s">
        <v>1285</v>
      </c>
      <c r="G277" s="68">
        <v>0</v>
      </c>
      <c r="H277" s="68" t="s">
        <v>1285</v>
      </c>
      <c r="I277" s="68">
        <v>0</v>
      </c>
      <c r="J277" s="68" t="s">
        <v>1278</v>
      </c>
    </row>
    <row r="278" spans="1:10" ht="12.75" customHeight="1">
      <c r="A278" s="71"/>
      <c r="B278" s="69" t="s">
        <v>1296</v>
      </c>
      <c r="C278" s="68">
        <v>1</v>
      </c>
      <c r="D278" s="68" t="s">
        <v>1285</v>
      </c>
      <c r="E278" s="68">
        <v>0</v>
      </c>
      <c r="F278" s="68">
        <v>0</v>
      </c>
      <c r="G278" s="68">
        <v>0</v>
      </c>
      <c r="H278" s="68" t="s">
        <v>1285</v>
      </c>
      <c r="I278" s="68">
        <v>0</v>
      </c>
      <c r="J278" s="68">
        <v>1</v>
      </c>
    </row>
    <row r="279" spans="1:10" ht="12.75" customHeight="1">
      <c r="A279" s="71"/>
      <c r="B279" s="71"/>
      <c r="C279" s="68"/>
      <c r="D279" s="68"/>
      <c r="E279" s="68"/>
      <c r="F279" s="68"/>
      <c r="G279" s="68"/>
      <c r="H279" s="68"/>
      <c r="I279" s="68"/>
      <c r="J279" s="68"/>
    </row>
    <row r="280" spans="1:10" s="73" customFormat="1" ht="12.75" customHeight="1">
      <c r="A280" s="69" t="s">
        <v>1320</v>
      </c>
      <c r="B280" s="69" t="s">
        <v>1321</v>
      </c>
      <c r="C280" s="74"/>
      <c r="D280" s="74"/>
      <c r="E280" s="74"/>
      <c r="F280" s="74"/>
      <c r="G280" s="74"/>
      <c r="H280" s="74"/>
      <c r="I280" s="74"/>
      <c r="J280" s="74"/>
    </row>
    <row r="281" spans="1:10" ht="12.75" customHeight="1">
      <c r="A281" s="71"/>
      <c r="B281" s="71"/>
      <c r="C281" s="68"/>
      <c r="D281" s="68"/>
      <c r="E281" s="68"/>
      <c r="F281" s="68"/>
      <c r="G281" s="68"/>
      <c r="H281" s="68"/>
      <c r="I281" s="68"/>
      <c r="J281" s="68"/>
    </row>
    <row r="282" spans="1:10" ht="12.75" customHeight="1">
      <c r="A282" s="71"/>
      <c r="B282" s="71"/>
      <c r="C282" s="68"/>
      <c r="D282" s="68"/>
      <c r="E282" s="68"/>
      <c r="F282" s="68"/>
      <c r="G282" s="68"/>
      <c r="H282" s="68"/>
      <c r="I282" s="68"/>
      <c r="J282" s="68"/>
    </row>
    <row r="283" spans="1:10" ht="12.75" customHeight="1">
      <c r="A283" s="71"/>
      <c r="B283" s="69" t="s">
        <v>1276</v>
      </c>
      <c r="C283" s="68">
        <v>22</v>
      </c>
      <c r="D283" s="68">
        <v>10</v>
      </c>
      <c r="E283" s="68">
        <v>0</v>
      </c>
      <c r="F283" s="68" t="s">
        <v>1285</v>
      </c>
      <c r="G283" s="68">
        <v>11</v>
      </c>
      <c r="H283" s="68" t="s">
        <v>1285</v>
      </c>
      <c r="I283" s="68" t="s">
        <v>1285</v>
      </c>
      <c r="J283" s="68" t="s">
        <v>1285</v>
      </c>
    </row>
    <row r="284" spans="1:10" ht="12.75" customHeight="1">
      <c r="A284" s="71"/>
      <c r="B284" s="69" t="s">
        <v>1277</v>
      </c>
      <c r="C284" s="68" t="s">
        <v>1278</v>
      </c>
      <c r="D284" s="68" t="s">
        <v>1285</v>
      </c>
      <c r="E284" s="68">
        <v>0</v>
      </c>
      <c r="F284" s="68" t="s">
        <v>1285</v>
      </c>
      <c r="G284" s="68">
        <v>4</v>
      </c>
      <c r="H284" s="68" t="s">
        <v>1285</v>
      </c>
      <c r="I284" s="68">
        <v>0</v>
      </c>
      <c r="J284" s="68" t="s">
        <v>1278</v>
      </c>
    </row>
    <row r="285" spans="1:10" ht="12.75" customHeight="1">
      <c r="A285" s="71"/>
      <c r="B285" s="71" t="s">
        <v>1279</v>
      </c>
      <c r="C285" s="68" t="s">
        <v>1278</v>
      </c>
      <c r="D285" s="68" t="s">
        <v>1285</v>
      </c>
      <c r="E285" s="68">
        <v>0</v>
      </c>
      <c r="F285" s="68" t="s">
        <v>1285</v>
      </c>
      <c r="G285" s="68">
        <v>4</v>
      </c>
      <c r="H285" s="68" t="s">
        <v>1285</v>
      </c>
      <c r="I285" s="68">
        <v>0</v>
      </c>
      <c r="J285" s="68" t="s">
        <v>1278</v>
      </c>
    </row>
    <row r="286" spans="1:10" ht="12.75" customHeight="1">
      <c r="A286" s="71"/>
      <c r="B286" s="71" t="s">
        <v>1280</v>
      </c>
      <c r="C286" s="68" t="s">
        <v>1278</v>
      </c>
      <c r="D286" s="68">
        <v>0</v>
      </c>
      <c r="E286" s="68">
        <v>0</v>
      </c>
      <c r="F286" s="68" t="s">
        <v>1285</v>
      </c>
      <c r="G286" s="68" t="s">
        <v>1285</v>
      </c>
      <c r="H286" s="68">
        <v>0</v>
      </c>
      <c r="I286" s="68">
        <v>0</v>
      </c>
      <c r="J286" s="68" t="s">
        <v>1278</v>
      </c>
    </row>
    <row r="287" spans="1:10" ht="12.75" customHeight="1">
      <c r="A287" s="71"/>
      <c r="B287" s="69" t="s">
        <v>1281</v>
      </c>
      <c r="C287" s="68" t="s">
        <v>1278</v>
      </c>
      <c r="D287" s="68">
        <v>7</v>
      </c>
      <c r="E287" s="68">
        <v>0</v>
      </c>
      <c r="F287" s="68" t="s">
        <v>1285</v>
      </c>
      <c r="G287" s="68">
        <v>6</v>
      </c>
      <c r="H287" s="68" t="s">
        <v>1285</v>
      </c>
      <c r="I287" s="68" t="s">
        <v>1285</v>
      </c>
      <c r="J287" s="68" t="s">
        <v>1278</v>
      </c>
    </row>
    <row r="288" spans="1:10" ht="12.75" customHeight="1">
      <c r="A288" s="71"/>
      <c r="B288" s="71" t="s">
        <v>1283</v>
      </c>
      <c r="C288" s="68" t="s">
        <v>1278</v>
      </c>
      <c r="D288" s="68">
        <v>1</v>
      </c>
      <c r="E288" s="68">
        <v>0</v>
      </c>
      <c r="F288" s="68" t="s">
        <v>1285</v>
      </c>
      <c r="G288" s="68">
        <v>5</v>
      </c>
      <c r="H288" s="68" t="s">
        <v>1285</v>
      </c>
      <c r="I288" s="68" t="s">
        <v>1285</v>
      </c>
      <c r="J288" s="68" t="s">
        <v>1278</v>
      </c>
    </row>
    <row r="289" spans="1:10" ht="12.75" customHeight="1">
      <c r="A289" s="71"/>
      <c r="B289" s="71" t="s">
        <v>1284</v>
      </c>
      <c r="C289" s="68" t="s">
        <v>1278</v>
      </c>
      <c r="D289" s="68" t="s">
        <v>1285</v>
      </c>
      <c r="E289" s="68">
        <v>0</v>
      </c>
      <c r="F289" s="68">
        <v>0</v>
      </c>
      <c r="G289" s="68">
        <v>0</v>
      </c>
      <c r="H289" s="68">
        <v>0</v>
      </c>
      <c r="I289" s="68">
        <v>0</v>
      </c>
      <c r="J289" s="68" t="s">
        <v>1278</v>
      </c>
    </row>
    <row r="290" spans="1:10" ht="12.75" customHeight="1">
      <c r="A290" s="71"/>
      <c r="B290" s="71" t="s">
        <v>1286</v>
      </c>
      <c r="C290" s="68" t="s">
        <v>1278</v>
      </c>
      <c r="D290" s="68">
        <v>6</v>
      </c>
      <c r="E290" s="68">
        <v>0</v>
      </c>
      <c r="F290" s="68">
        <v>0</v>
      </c>
      <c r="G290" s="68" t="s">
        <v>1299</v>
      </c>
      <c r="H290" s="68" t="s">
        <v>1285</v>
      </c>
      <c r="I290" s="68">
        <v>0</v>
      </c>
      <c r="J290" s="68" t="s">
        <v>1278</v>
      </c>
    </row>
    <row r="291" spans="1:10" ht="12.75" customHeight="1">
      <c r="A291" s="71"/>
      <c r="B291" s="71" t="s">
        <v>1287</v>
      </c>
      <c r="C291" s="68" t="s">
        <v>1278</v>
      </c>
      <c r="D291" s="68" t="s">
        <v>1285</v>
      </c>
      <c r="E291" s="68" t="s">
        <v>1278</v>
      </c>
      <c r="F291" s="68" t="s">
        <v>1278</v>
      </c>
      <c r="G291" s="68" t="s">
        <v>1278</v>
      </c>
      <c r="H291" s="68" t="s">
        <v>1278</v>
      </c>
      <c r="I291" s="68" t="s">
        <v>1278</v>
      </c>
      <c r="J291" s="68" t="s">
        <v>1278</v>
      </c>
    </row>
    <row r="292" spans="1:10" ht="12.75" customHeight="1">
      <c r="A292" s="71"/>
      <c r="B292" s="71" t="s">
        <v>1288</v>
      </c>
      <c r="C292" s="68" t="s">
        <v>1278</v>
      </c>
      <c r="D292" s="68" t="s">
        <v>1285</v>
      </c>
      <c r="E292" s="68">
        <v>0</v>
      </c>
      <c r="F292" s="68" t="s">
        <v>1285</v>
      </c>
      <c r="G292" s="68">
        <v>0</v>
      </c>
      <c r="H292" s="68">
        <v>0</v>
      </c>
      <c r="I292" s="68">
        <v>0</v>
      </c>
      <c r="J292" s="68" t="s">
        <v>1278</v>
      </c>
    </row>
    <row r="293" spans="1:10" ht="12.75" customHeight="1">
      <c r="A293" s="71"/>
      <c r="B293" s="69" t="s">
        <v>1289</v>
      </c>
      <c r="C293" s="68" t="s">
        <v>1278</v>
      </c>
      <c r="D293" s="68">
        <v>2</v>
      </c>
      <c r="E293" s="68">
        <v>0</v>
      </c>
      <c r="F293" s="68" t="s">
        <v>1285</v>
      </c>
      <c r="G293" s="68">
        <v>1</v>
      </c>
      <c r="H293" s="68" t="s">
        <v>1285</v>
      </c>
      <c r="I293" s="68">
        <v>0</v>
      </c>
      <c r="J293" s="68" t="s">
        <v>1278</v>
      </c>
    </row>
    <row r="294" spans="1:10" ht="12.75" customHeight="1">
      <c r="A294" s="71"/>
      <c r="B294" s="71" t="s">
        <v>1290</v>
      </c>
      <c r="C294" s="68" t="s">
        <v>1278</v>
      </c>
      <c r="D294" s="68">
        <v>1</v>
      </c>
      <c r="E294" s="68">
        <v>0</v>
      </c>
      <c r="F294" s="68" t="s">
        <v>1285</v>
      </c>
      <c r="G294" s="68">
        <v>1</v>
      </c>
      <c r="H294" s="68" t="s">
        <v>1285</v>
      </c>
      <c r="I294" s="68">
        <v>0</v>
      </c>
      <c r="J294" s="68" t="s">
        <v>1278</v>
      </c>
    </row>
    <row r="295" spans="1:10" ht="12.75" customHeight="1">
      <c r="A295" s="71"/>
      <c r="B295" s="71" t="s">
        <v>1291</v>
      </c>
      <c r="C295" s="68" t="s">
        <v>1278</v>
      </c>
      <c r="D295" s="68">
        <v>1</v>
      </c>
      <c r="E295" s="68" t="s">
        <v>1278</v>
      </c>
      <c r="F295" s="68" t="s">
        <v>1278</v>
      </c>
      <c r="G295" s="68" t="s">
        <v>1278</v>
      </c>
      <c r="H295" s="68" t="s">
        <v>1278</v>
      </c>
      <c r="I295" s="68" t="s">
        <v>1278</v>
      </c>
      <c r="J295" s="68" t="s">
        <v>1278</v>
      </c>
    </row>
    <row r="296" spans="1:10" ht="12.75" customHeight="1">
      <c r="A296" s="71"/>
      <c r="B296" s="71" t="s">
        <v>1292</v>
      </c>
      <c r="C296" s="68" t="s">
        <v>1278</v>
      </c>
      <c r="D296" s="68" t="s">
        <v>1285</v>
      </c>
      <c r="E296" s="68">
        <v>0</v>
      </c>
      <c r="F296" s="68" t="s">
        <v>1285</v>
      </c>
      <c r="G296" s="68" t="s">
        <v>1285</v>
      </c>
      <c r="H296" s="68">
        <v>0</v>
      </c>
      <c r="I296" s="68">
        <v>0</v>
      </c>
      <c r="J296" s="68" t="s">
        <v>1278</v>
      </c>
    </row>
    <row r="297" spans="1:10" ht="12.75" customHeight="1">
      <c r="A297" s="71"/>
      <c r="B297" s="71" t="s">
        <v>1293</v>
      </c>
      <c r="C297" s="68" t="s">
        <v>1278</v>
      </c>
      <c r="D297" s="68" t="s">
        <v>1285</v>
      </c>
      <c r="E297" s="68" t="s">
        <v>1278</v>
      </c>
      <c r="F297" s="68" t="s">
        <v>1285</v>
      </c>
      <c r="G297" s="68">
        <v>0</v>
      </c>
      <c r="H297" s="68" t="s">
        <v>1285</v>
      </c>
      <c r="I297" s="68" t="s">
        <v>1278</v>
      </c>
      <c r="J297" s="68" t="s">
        <v>1278</v>
      </c>
    </row>
    <row r="298" spans="1:10" ht="12.75" customHeight="1">
      <c r="A298" s="71"/>
      <c r="B298" s="71" t="s">
        <v>1294</v>
      </c>
      <c r="C298" s="68" t="s">
        <v>1278</v>
      </c>
      <c r="D298" s="68" t="s">
        <v>1278</v>
      </c>
      <c r="E298" s="68">
        <v>0</v>
      </c>
      <c r="F298" s="68">
        <v>0</v>
      </c>
      <c r="G298" s="68">
        <v>0</v>
      </c>
      <c r="H298" s="68">
        <v>0</v>
      </c>
      <c r="I298" s="68">
        <v>0</v>
      </c>
      <c r="J298" s="68" t="s">
        <v>1278</v>
      </c>
    </row>
    <row r="299" spans="1:10" ht="12.75" customHeight="1">
      <c r="A299" s="71"/>
      <c r="B299" s="71" t="s">
        <v>1295</v>
      </c>
      <c r="C299" s="68" t="s">
        <v>1278</v>
      </c>
      <c r="D299" s="68" t="s">
        <v>1285</v>
      </c>
      <c r="E299" s="68">
        <v>0</v>
      </c>
      <c r="F299" s="68">
        <v>0</v>
      </c>
      <c r="G299" s="68">
        <v>0</v>
      </c>
      <c r="H299" s="68">
        <v>0</v>
      </c>
      <c r="I299" s="68">
        <v>0</v>
      </c>
      <c r="J299" s="68" t="s">
        <v>1278</v>
      </c>
    </row>
    <row r="300" spans="1:10" ht="12.75" customHeight="1">
      <c r="A300" s="71"/>
      <c r="B300" s="69" t="s">
        <v>1296</v>
      </c>
      <c r="C300" s="68" t="s">
        <v>1285</v>
      </c>
      <c r="D300" s="68" t="s">
        <v>1285</v>
      </c>
      <c r="E300" s="68">
        <v>0</v>
      </c>
      <c r="F300" s="68">
        <v>0</v>
      </c>
      <c r="G300" s="68" t="s">
        <v>1285</v>
      </c>
      <c r="H300" s="68" t="s">
        <v>1285</v>
      </c>
      <c r="I300" s="68">
        <v>0</v>
      </c>
      <c r="J300" s="68" t="s">
        <v>1285</v>
      </c>
    </row>
    <row r="301" spans="1:10" ht="12.75" customHeight="1">
      <c r="A301" s="71"/>
      <c r="B301" s="71"/>
      <c r="C301" s="68"/>
      <c r="D301" s="68"/>
      <c r="E301" s="68"/>
      <c r="F301" s="68"/>
      <c r="G301" s="68"/>
      <c r="H301" s="68"/>
      <c r="I301" s="68"/>
      <c r="J301" s="68"/>
    </row>
    <row r="302" spans="1:10" s="73" customFormat="1" ht="12.75" customHeight="1">
      <c r="A302" s="69" t="s">
        <v>1322</v>
      </c>
      <c r="B302" s="69" t="s">
        <v>1323</v>
      </c>
      <c r="C302" s="74"/>
      <c r="D302" s="74"/>
      <c r="E302" s="74"/>
      <c r="F302" s="74"/>
      <c r="G302" s="74"/>
      <c r="H302" s="74"/>
      <c r="I302" s="74"/>
      <c r="J302" s="74"/>
    </row>
    <row r="303" spans="1:10" s="73" customFormat="1" ht="12.75" customHeight="1">
      <c r="A303" s="69"/>
      <c r="B303" s="69"/>
      <c r="C303" s="74"/>
      <c r="D303" s="74"/>
      <c r="E303" s="74"/>
      <c r="F303" s="74"/>
      <c r="G303" s="74"/>
      <c r="H303" s="74"/>
      <c r="I303" s="74"/>
      <c r="J303" s="74"/>
    </row>
    <row r="304" spans="1:10" s="73" customFormat="1" ht="12.75" customHeight="1">
      <c r="A304" s="69"/>
      <c r="B304" s="69"/>
      <c r="C304" s="74"/>
      <c r="D304" s="74"/>
      <c r="E304" s="74"/>
      <c r="F304" s="74"/>
      <c r="G304" s="74"/>
      <c r="H304" s="74"/>
      <c r="I304" s="74"/>
      <c r="J304" s="74"/>
    </row>
    <row r="305" spans="1:10" ht="12.75" customHeight="1">
      <c r="A305" s="71"/>
      <c r="B305" s="69" t="s">
        <v>1276</v>
      </c>
      <c r="C305" s="68">
        <v>4</v>
      </c>
      <c r="D305" s="68">
        <v>2</v>
      </c>
      <c r="E305" s="68">
        <v>0</v>
      </c>
      <c r="F305" s="68" t="s">
        <v>1285</v>
      </c>
      <c r="G305" s="68">
        <v>2</v>
      </c>
      <c r="H305" s="68" t="s">
        <v>1285</v>
      </c>
      <c r="I305" s="68" t="s">
        <v>1285</v>
      </c>
      <c r="J305" s="68" t="s">
        <v>1285</v>
      </c>
    </row>
    <row r="306" spans="1:10" ht="12.75" customHeight="1">
      <c r="A306" s="71"/>
      <c r="B306" s="69" t="s">
        <v>1277</v>
      </c>
      <c r="C306" s="68" t="s">
        <v>1278</v>
      </c>
      <c r="D306" s="68" t="s">
        <v>1285</v>
      </c>
      <c r="E306" s="68">
        <v>0</v>
      </c>
      <c r="F306" s="68">
        <v>0</v>
      </c>
      <c r="G306" s="68">
        <v>1</v>
      </c>
      <c r="H306" s="68" t="s">
        <v>1285</v>
      </c>
      <c r="I306" s="68">
        <v>0</v>
      </c>
      <c r="J306" s="68" t="s">
        <v>1278</v>
      </c>
    </row>
    <row r="307" spans="1:10" ht="12.75" customHeight="1">
      <c r="A307" s="71"/>
      <c r="B307" s="71" t="s">
        <v>1279</v>
      </c>
      <c r="C307" s="68" t="s">
        <v>1278</v>
      </c>
      <c r="D307" s="68" t="s">
        <v>1285</v>
      </c>
      <c r="E307" s="68">
        <v>0</v>
      </c>
      <c r="F307" s="68">
        <v>0</v>
      </c>
      <c r="G307" s="68" t="s">
        <v>1285</v>
      </c>
      <c r="H307" s="68" t="s">
        <v>1285</v>
      </c>
      <c r="I307" s="68">
        <v>0</v>
      </c>
      <c r="J307" s="68" t="s">
        <v>1278</v>
      </c>
    </row>
    <row r="308" spans="1:10" ht="12.75" customHeight="1">
      <c r="A308" s="71"/>
      <c r="B308" s="71" t="s">
        <v>1280</v>
      </c>
      <c r="C308" s="68" t="s">
        <v>1278</v>
      </c>
      <c r="D308" s="68">
        <v>0</v>
      </c>
      <c r="E308" s="68">
        <v>0</v>
      </c>
      <c r="F308" s="68">
        <v>0</v>
      </c>
      <c r="G308" s="68" t="s">
        <v>1285</v>
      </c>
      <c r="H308" s="68" t="s">
        <v>1285</v>
      </c>
      <c r="I308" s="68">
        <v>0</v>
      </c>
      <c r="J308" s="68" t="s">
        <v>1278</v>
      </c>
    </row>
    <row r="309" spans="1:10" ht="12.75" customHeight="1">
      <c r="A309" s="71"/>
      <c r="B309" s="69" t="s">
        <v>1281</v>
      </c>
      <c r="C309" s="68" t="s">
        <v>1278</v>
      </c>
      <c r="D309" s="68">
        <v>1</v>
      </c>
      <c r="E309" s="68">
        <v>0</v>
      </c>
      <c r="F309" s="68" t="s">
        <v>1285</v>
      </c>
      <c r="G309" s="68">
        <v>1</v>
      </c>
      <c r="H309" s="68" t="s">
        <v>1285</v>
      </c>
      <c r="I309" s="68">
        <v>0</v>
      </c>
      <c r="J309" s="68" t="s">
        <v>1278</v>
      </c>
    </row>
    <row r="310" spans="1:10" ht="12.75" customHeight="1">
      <c r="A310" s="71"/>
      <c r="B310" s="71" t="s">
        <v>1283</v>
      </c>
      <c r="C310" s="68" t="s">
        <v>1278</v>
      </c>
      <c r="D310" s="68" t="s">
        <v>1285</v>
      </c>
      <c r="E310" s="68">
        <v>0</v>
      </c>
      <c r="F310" s="68">
        <v>0</v>
      </c>
      <c r="G310" s="68" t="s">
        <v>1285</v>
      </c>
      <c r="H310" s="68" t="s">
        <v>1285</v>
      </c>
      <c r="I310" s="68">
        <v>0</v>
      </c>
      <c r="J310" s="68" t="s">
        <v>1278</v>
      </c>
    </row>
    <row r="311" spans="1:10" ht="12.75" customHeight="1">
      <c r="A311" s="71"/>
      <c r="B311" s="71" t="s">
        <v>1284</v>
      </c>
      <c r="C311" s="68" t="s">
        <v>1278</v>
      </c>
      <c r="D311" s="68" t="s">
        <v>1285</v>
      </c>
      <c r="E311" s="68">
        <v>0</v>
      </c>
      <c r="F311" s="68">
        <v>0</v>
      </c>
      <c r="G311" s="68" t="s">
        <v>1285</v>
      </c>
      <c r="H311" s="68">
        <v>0</v>
      </c>
      <c r="I311" s="68">
        <v>0</v>
      </c>
      <c r="J311" s="68" t="s">
        <v>1278</v>
      </c>
    </row>
    <row r="312" spans="1:10" ht="12.75" customHeight="1">
      <c r="A312" s="71"/>
      <c r="B312" s="71" t="s">
        <v>1286</v>
      </c>
      <c r="C312" s="68" t="s">
        <v>1278</v>
      </c>
      <c r="D312" s="68">
        <v>1</v>
      </c>
      <c r="E312" s="68">
        <v>0</v>
      </c>
      <c r="F312" s="68">
        <v>0</v>
      </c>
      <c r="G312" s="68" t="s">
        <v>1285</v>
      </c>
      <c r="H312" s="68">
        <v>0</v>
      </c>
      <c r="I312" s="68">
        <v>0</v>
      </c>
      <c r="J312" s="68" t="s">
        <v>1278</v>
      </c>
    </row>
    <row r="313" spans="1:10" ht="12.75" customHeight="1">
      <c r="A313" s="71"/>
      <c r="B313" s="71" t="s">
        <v>1287</v>
      </c>
      <c r="C313" s="68" t="s">
        <v>1278</v>
      </c>
      <c r="D313" s="68" t="s">
        <v>1285</v>
      </c>
      <c r="E313" s="68" t="s">
        <v>1278</v>
      </c>
      <c r="F313" s="68" t="s">
        <v>1278</v>
      </c>
      <c r="G313" s="68" t="s">
        <v>1278</v>
      </c>
      <c r="H313" s="68" t="s">
        <v>1278</v>
      </c>
      <c r="I313" s="68" t="s">
        <v>1278</v>
      </c>
      <c r="J313" s="68" t="s">
        <v>1278</v>
      </c>
    </row>
    <row r="314" spans="1:10" ht="12.75" customHeight="1">
      <c r="A314" s="71"/>
      <c r="B314" s="71" t="s">
        <v>1288</v>
      </c>
      <c r="C314" s="68" t="s">
        <v>1278</v>
      </c>
      <c r="D314" s="68" t="s">
        <v>1285</v>
      </c>
      <c r="E314" s="68">
        <v>0</v>
      </c>
      <c r="F314" s="68" t="s">
        <v>1285</v>
      </c>
      <c r="G314" s="68">
        <v>0</v>
      </c>
      <c r="H314" s="68">
        <v>0</v>
      </c>
      <c r="I314" s="68">
        <v>0</v>
      </c>
      <c r="J314" s="68" t="s">
        <v>1278</v>
      </c>
    </row>
    <row r="315" spans="1:10" ht="12.75" customHeight="1">
      <c r="A315" s="71"/>
      <c r="B315" s="69" t="s">
        <v>1289</v>
      </c>
      <c r="C315" s="68" t="s">
        <v>1278</v>
      </c>
      <c r="D315" s="68">
        <v>1</v>
      </c>
      <c r="E315" s="68">
        <v>0</v>
      </c>
      <c r="F315" s="68">
        <v>0</v>
      </c>
      <c r="G315" s="68" t="s">
        <v>1285</v>
      </c>
      <c r="H315" s="68" t="s">
        <v>1285</v>
      </c>
      <c r="I315" s="68" t="s">
        <v>1285</v>
      </c>
      <c r="J315" s="68" t="s">
        <v>1278</v>
      </c>
    </row>
    <row r="316" spans="1:10" ht="12.75" customHeight="1">
      <c r="A316" s="71"/>
      <c r="B316" s="71" t="s">
        <v>1290</v>
      </c>
      <c r="C316" s="68" t="s">
        <v>1278</v>
      </c>
      <c r="D316" s="68">
        <v>1</v>
      </c>
      <c r="E316" s="68">
        <v>0</v>
      </c>
      <c r="F316" s="68">
        <v>0</v>
      </c>
      <c r="G316" s="68" t="s">
        <v>1285</v>
      </c>
      <c r="H316" s="68" t="s">
        <v>1285</v>
      </c>
      <c r="I316" s="68" t="s">
        <v>1285</v>
      </c>
      <c r="J316" s="68" t="s">
        <v>1278</v>
      </c>
    </row>
    <row r="317" spans="1:10" ht="12.75" customHeight="1">
      <c r="A317" s="71"/>
      <c r="B317" s="71" t="s">
        <v>1291</v>
      </c>
      <c r="C317" s="68" t="s">
        <v>1278</v>
      </c>
      <c r="D317" s="68" t="s">
        <v>1285</v>
      </c>
      <c r="E317" s="68" t="s">
        <v>1278</v>
      </c>
      <c r="F317" s="68" t="s">
        <v>1278</v>
      </c>
      <c r="G317" s="68" t="s">
        <v>1278</v>
      </c>
      <c r="H317" s="68" t="s">
        <v>1278</v>
      </c>
      <c r="I317" s="68" t="s">
        <v>1278</v>
      </c>
      <c r="J317" s="68" t="s">
        <v>1278</v>
      </c>
    </row>
    <row r="318" spans="1:10" ht="12.75" customHeight="1">
      <c r="A318" s="71"/>
      <c r="B318" s="71" t="s">
        <v>1292</v>
      </c>
      <c r="C318" s="68" t="s">
        <v>1278</v>
      </c>
      <c r="D318" s="68" t="s">
        <v>1285</v>
      </c>
      <c r="E318" s="68">
        <v>0</v>
      </c>
      <c r="F318" s="68">
        <v>0</v>
      </c>
      <c r="G318" s="68" t="s">
        <v>1285</v>
      </c>
      <c r="H318" s="68">
        <v>0</v>
      </c>
      <c r="I318" s="68">
        <v>0</v>
      </c>
      <c r="J318" s="68" t="s">
        <v>1278</v>
      </c>
    </row>
    <row r="319" spans="1:10" ht="12.75" customHeight="1">
      <c r="A319" s="71"/>
      <c r="B319" s="71" t="s">
        <v>1293</v>
      </c>
      <c r="C319" s="68" t="s">
        <v>1278</v>
      </c>
      <c r="D319" s="68" t="s">
        <v>1285</v>
      </c>
      <c r="E319" s="68" t="s">
        <v>1278</v>
      </c>
      <c r="F319" s="68">
        <v>0</v>
      </c>
      <c r="G319" s="68">
        <v>0</v>
      </c>
      <c r="H319" s="68" t="s">
        <v>1285</v>
      </c>
      <c r="I319" s="68" t="s">
        <v>1278</v>
      </c>
      <c r="J319" s="68" t="s">
        <v>1278</v>
      </c>
    </row>
    <row r="320" spans="1:10" ht="12.75" customHeight="1">
      <c r="A320" s="71"/>
      <c r="B320" s="71" t="s">
        <v>1294</v>
      </c>
      <c r="C320" s="68" t="s">
        <v>1278</v>
      </c>
      <c r="D320" s="68" t="s">
        <v>1278</v>
      </c>
      <c r="E320" s="68">
        <v>0</v>
      </c>
      <c r="F320" s="68">
        <v>0</v>
      </c>
      <c r="G320" s="68">
        <v>0</v>
      </c>
      <c r="H320" s="68">
        <v>0</v>
      </c>
      <c r="I320" s="68">
        <v>0</v>
      </c>
      <c r="J320" s="68" t="s">
        <v>1278</v>
      </c>
    </row>
    <row r="321" spans="1:10" ht="12.75" customHeight="1">
      <c r="A321" s="71"/>
      <c r="B321" s="71" t="s">
        <v>1295</v>
      </c>
      <c r="C321" s="68" t="s">
        <v>1278</v>
      </c>
      <c r="D321" s="68" t="s">
        <v>1285</v>
      </c>
      <c r="E321" s="68">
        <v>0</v>
      </c>
      <c r="F321" s="68">
        <v>0</v>
      </c>
      <c r="G321" s="68" t="s">
        <v>1285</v>
      </c>
      <c r="H321" s="68" t="s">
        <v>1285</v>
      </c>
      <c r="I321" s="68">
        <v>0</v>
      </c>
      <c r="J321" s="68" t="s">
        <v>1278</v>
      </c>
    </row>
    <row r="322" spans="1:10" ht="12.75" customHeight="1">
      <c r="A322" s="71"/>
      <c r="B322" s="69" t="s">
        <v>1296</v>
      </c>
      <c r="C322" s="68" t="s">
        <v>1285</v>
      </c>
      <c r="D322" s="68" t="s">
        <v>1285</v>
      </c>
      <c r="E322" s="68">
        <v>0</v>
      </c>
      <c r="F322" s="68">
        <v>0</v>
      </c>
      <c r="G322" s="68" t="s">
        <v>1285</v>
      </c>
      <c r="H322" s="68" t="s">
        <v>1285</v>
      </c>
      <c r="I322" s="68">
        <v>0</v>
      </c>
      <c r="J322" s="68" t="s">
        <v>1285</v>
      </c>
    </row>
    <row r="323" spans="1:10" ht="12.75" customHeight="1">
      <c r="A323" s="71"/>
      <c r="B323" s="69"/>
      <c r="C323" s="68"/>
      <c r="D323" s="68"/>
      <c r="E323" s="68"/>
      <c r="F323" s="68"/>
      <c r="G323" s="68"/>
      <c r="H323" s="68"/>
      <c r="I323" s="68"/>
      <c r="J323" s="68"/>
    </row>
    <row r="324" spans="1:10" s="73" customFormat="1" ht="12.75" customHeight="1">
      <c r="A324" s="69" t="s">
        <v>1324</v>
      </c>
      <c r="B324" s="69" t="s">
        <v>1325</v>
      </c>
      <c r="C324" s="74"/>
      <c r="D324" s="74"/>
      <c r="E324" s="74"/>
      <c r="F324" s="74"/>
      <c r="G324" s="74"/>
      <c r="H324" s="74"/>
      <c r="I324" s="74"/>
      <c r="J324" s="74"/>
    </row>
    <row r="325" spans="1:10" s="73" customFormat="1" ht="12.75" customHeight="1">
      <c r="A325" s="69"/>
      <c r="B325" s="69"/>
      <c r="C325" s="74"/>
      <c r="D325" s="74"/>
      <c r="E325" s="74"/>
      <c r="F325" s="74"/>
      <c r="G325" s="74"/>
      <c r="H325" s="74"/>
      <c r="I325" s="74"/>
      <c r="J325" s="74"/>
    </row>
    <row r="326" spans="1:10" s="73" customFormat="1" ht="12.75" customHeight="1">
      <c r="A326" s="69"/>
      <c r="B326" s="69"/>
      <c r="C326" s="74"/>
      <c r="D326" s="74"/>
      <c r="E326" s="74"/>
      <c r="F326" s="74"/>
      <c r="G326" s="74"/>
      <c r="H326" s="74"/>
      <c r="I326" s="74"/>
      <c r="J326" s="74"/>
    </row>
    <row r="327" spans="1:10" ht="12.75" customHeight="1">
      <c r="A327" s="71"/>
      <c r="B327" s="69" t="s">
        <v>1276</v>
      </c>
      <c r="C327" s="68">
        <v>2</v>
      </c>
      <c r="D327" s="68">
        <v>1</v>
      </c>
      <c r="E327" s="68">
        <v>0</v>
      </c>
      <c r="F327" s="68" t="s">
        <v>1285</v>
      </c>
      <c r="G327" s="68">
        <v>1</v>
      </c>
      <c r="H327" s="68" t="s">
        <v>1285</v>
      </c>
      <c r="I327" s="68">
        <v>0</v>
      </c>
      <c r="J327" s="68" t="s">
        <v>1285</v>
      </c>
    </row>
    <row r="328" spans="1:10" ht="12.75" customHeight="1">
      <c r="A328" s="71"/>
      <c r="B328" s="69" t="s">
        <v>1277</v>
      </c>
      <c r="C328" s="68" t="s">
        <v>1278</v>
      </c>
      <c r="D328" s="68" t="s">
        <v>1285</v>
      </c>
      <c r="E328" s="68">
        <v>0</v>
      </c>
      <c r="F328" s="68" t="s">
        <v>1285</v>
      </c>
      <c r="G328" s="68" t="s">
        <v>1285</v>
      </c>
      <c r="H328" s="68" t="s">
        <v>1285</v>
      </c>
      <c r="I328" s="68">
        <v>0</v>
      </c>
      <c r="J328" s="68" t="s">
        <v>1278</v>
      </c>
    </row>
    <row r="329" spans="1:10" ht="12.75" customHeight="1">
      <c r="A329" s="71"/>
      <c r="B329" s="71" t="s">
        <v>1279</v>
      </c>
      <c r="C329" s="68" t="s">
        <v>1278</v>
      </c>
      <c r="D329" s="68" t="s">
        <v>1285</v>
      </c>
      <c r="E329" s="68">
        <v>0</v>
      </c>
      <c r="F329" s="68" t="s">
        <v>1285</v>
      </c>
      <c r="G329" s="68" t="s">
        <v>1285</v>
      </c>
      <c r="H329" s="68">
        <v>0</v>
      </c>
      <c r="I329" s="68">
        <v>0</v>
      </c>
      <c r="J329" s="68" t="s">
        <v>1278</v>
      </c>
    </row>
    <row r="330" spans="1:10" ht="12.75" customHeight="1">
      <c r="A330" s="71"/>
      <c r="B330" s="71" t="s">
        <v>1280</v>
      </c>
      <c r="C330" s="68" t="s">
        <v>1278</v>
      </c>
      <c r="D330" s="68">
        <v>0</v>
      </c>
      <c r="E330" s="68">
        <v>0</v>
      </c>
      <c r="F330" s="68" t="s">
        <v>1285</v>
      </c>
      <c r="G330" s="68" t="s">
        <v>1285</v>
      </c>
      <c r="H330" s="68" t="s">
        <v>1285</v>
      </c>
      <c r="I330" s="68">
        <v>0</v>
      </c>
      <c r="J330" s="68" t="s">
        <v>1278</v>
      </c>
    </row>
    <row r="331" spans="1:10" ht="12.75" customHeight="1">
      <c r="A331" s="71"/>
      <c r="B331" s="69" t="s">
        <v>1281</v>
      </c>
      <c r="C331" s="68" t="s">
        <v>1278</v>
      </c>
      <c r="D331" s="68" t="s">
        <v>1285</v>
      </c>
      <c r="E331" s="68">
        <v>0</v>
      </c>
      <c r="F331" s="68">
        <v>0</v>
      </c>
      <c r="G331" s="68" t="s">
        <v>1285</v>
      </c>
      <c r="H331" s="68" t="s">
        <v>1285</v>
      </c>
      <c r="I331" s="68">
        <v>0</v>
      </c>
      <c r="J331" s="68" t="s">
        <v>1278</v>
      </c>
    </row>
    <row r="332" spans="1:10" ht="12.75" customHeight="1">
      <c r="A332" s="71"/>
      <c r="B332" s="71" t="s">
        <v>1283</v>
      </c>
      <c r="C332" s="68" t="s">
        <v>1278</v>
      </c>
      <c r="D332" s="68" t="s">
        <v>1285</v>
      </c>
      <c r="E332" s="68">
        <v>0</v>
      </c>
      <c r="F332" s="68">
        <v>0</v>
      </c>
      <c r="G332" s="68" t="s">
        <v>1285</v>
      </c>
      <c r="H332" s="68" t="s">
        <v>1285</v>
      </c>
      <c r="I332" s="68">
        <v>0</v>
      </c>
      <c r="J332" s="68" t="s">
        <v>1278</v>
      </c>
    </row>
    <row r="333" spans="1:10" ht="12.75" customHeight="1">
      <c r="A333" s="71"/>
      <c r="B333" s="71" t="s">
        <v>1284</v>
      </c>
      <c r="C333" s="68" t="s">
        <v>1278</v>
      </c>
      <c r="D333" s="68" t="s">
        <v>1285</v>
      </c>
      <c r="E333" s="68">
        <v>0</v>
      </c>
      <c r="F333" s="68">
        <v>0</v>
      </c>
      <c r="G333" s="68" t="s">
        <v>1285</v>
      </c>
      <c r="H333" s="68">
        <v>0</v>
      </c>
      <c r="I333" s="68">
        <v>0</v>
      </c>
      <c r="J333" s="68" t="s">
        <v>1278</v>
      </c>
    </row>
    <row r="334" spans="1:10" ht="12.75" customHeight="1">
      <c r="A334" s="71"/>
      <c r="B334" s="71" t="s">
        <v>1286</v>
      </c>
      <c r="C334" s="68" t="s">
        <v>1278</v>
      </c>
      <c r="D334" s="68" t="s">
        <v>1285</v>
      </c>
      <c r="E334" s="68">
        <v>0</v>
      </c>
      <c r="F334" s="68">
        <v>0</v>
      </c>
      <c r="G334" s="68" t="s">
        <v>1285</v>
      </c>
      <c r="H334" s="68" t="s">
        <v>1285</v>
      </c>
      <c r="I334" s="68">
        <v>0</v>
      </c>
      <c r="J334" s="68" t="s">
        <v>1278</v>
      </c>
    </row>
    <row r="335" spans="1:10" ht="12.75" customHeight="1">
      <c r="A335" s="71"/>
      <c r="B335" s="71" t="s">
        <v>1287</v>
      </c>
      <c r="C335" s="68" t="s">
        <v>1278</v>
      </c>
      <c r="D335" s="68" t="s">
        <v>1285</v>
      </c>
      <c r="E335" s="68" t="s">
        <v>1278</v>
      </c>
      <c r="F335" s="68" t="s">
        <v>1278</v>
      </c>
      <c r="G335" s="68" t="s">
        <v>1278</v>
      </c>
      <c r="H335" s="68" t="s">
        <v>1278</v>
      </c>
      <c r="I335" s="68" t="s">
        <v>1278</v>
      </c>
      <c r="J335" s="68" t="s">
        <v>1278</v>
      </c>
    </row>
    <row r="336" spans="1:10" ht="12.75" customHeight="1">
      <c r="A336" s="71"/>
      <c r="B336" s="71" t="s">
        <v>1288</v>
      </c>
      <c r="C336" s="68" t="s">
        <v>1278</v>
      </c>
      <c r="D336" s="68" t="s">
        <v>1285</v>
      </c>
      <c r="E336" s="68">
        <v>0</v>
      </c>
      <c r="F336" s="68">
        <v>0</v>
      </c>
      <c r="G336" s="68" t="s">
        <v>1285</v>
      </c>
      <c r="H336" s="68">
        <v>0</v>
      </c>
      <c r="I336" s="68">
        <v>0</v>
      </c>
      <c r="J336" s="68" t="s">
        <v>1278</v>
      </c>
    </row>
    <row r="337" spans="1:10" ht="12.75" customHeight="1">
      <c r="A337" s="71"/>
      <c r="B337" s="69" t="s">
        <v>1289</v>
      </c>
      <c r="C337" s="68" t="s">
        <v>1278</v>
      </c>
      <c r="D337" s="68" t="s">
        <v>1285</v>
      </c>
      <c r="E337" s="68">
        <v>0</v>
      </c>
      <c r="F337" s="68" t="s">
        <v>1285</v>
      </c>
      <c r="G337" s="68" t="s">
        <v>1285</v>
      </c>
      <c r="H337" s="68" t="s">
        <v>1285</v>
      </c>
      <c r="I337" s="68">
        <v>0</v>
      </c>
      <c r="J337" s="68" t="s">
        <v>1278</v>
      </c>
    </row>
    <row r="338" spans="1:10" ht="12.75" customHeight="1">
      <c r="A338" s="71"/>
      <c r="B338" s="71" t="s">
        <v>1290</v>
      </c>
      <c r="C338" s="68" t="s">
        <v>1278</v>
      </c>
      <c r="D338" s="68" t="s">
        <v>1285</v>
      </c>
      <c r="E338" s="68">
        <v>0</v>
      </c>
      <c r="F338" s="68" t="s">
        <v>1285</v>
      </c>
      <c r="G338" s="68" t="s">
        <v>1285</v>
      </c>
      <c r="H338" s="68" t="s">
        <v>1285</v>
      </c>
      <c r="I338" s="68">
        <v>0</v>
      </c>
      <c r="J338" s="68" t="s">
        <v>1278</v>
      </c>
    </row>
    <row r="339" spans="1:10" ht="12.75" customHeight="1">
      <c r="A339" s="71"/>
      <c r="B339" s="71" t="s">
        <v>1291</v>
      </c>
      <c r="C339" s="68" t="s">
        <v>1278</v>
      </c>
      <c r="D339" s="68" t="s">
        <v>1285</v>
      </c>
      <c r="E339" s="68" t="s">
        <v>1278</v>
      </c>
      <c r="F339" s="68" t="s">
        <v>1278</v>
      </c>
      <c r="G339" s="68" t="s">
        <v>1278</v>
      </c>
      <c r="H339" s="68" t="s">
        <v>1278</v>
      </c>
      <c r="I339" s="68" t="s">
        <v>1278</v>
      </c>
      <c r="J339" s="68" t="s">
        <v>1278</v>
      </c>
    </row>
    <row r="340" spans="1:10" ht="12.75" customHeight="1">
      <c r="A340" s="71"/>
      <c r="B340" s="71" t="s">
        <v>1292</v>
      </c>
      <c r="C340" s="68" t="s">
        <v>1278</v>
      </c>
      <c r="D340" s="68" t="s">
        <v>1285</v>
      </c>
      <c r="E340" s="68">
        <v>0</v>
      </c>
      <c r="F340" s="68">
        <v>0</v>
      </c>
      <c r="G340" s="68" t="s">
        <v>1285</v>
      </c>
      <c r="H340" s="68" t="s">
        <v>1285</v>
      </c>
      <c r="I340" s="68">
        <v>0</v>
      </c>
      <c r="J340" s="68" t="s">
        <v>1278</v>
      </c>
    </row>
    <row r="341" spans="1:10" ht="12.75" customHeight="1">
      <c r="A341" s="71"/>
      <c r="B341" s="71" t="s">
        <v>1293</v>
      </c>
      <c r="C341" s="68" t="s">
        <v>1278</v>
      </c>
      <c r="D341" s="68" t="s">
        <v>1285</v>
      </c>
      <c r="E341" s="68" t="s">
        <v>1278</v>
      </c>
      <c r="F341" s="68" t="s">
        <v>1285</v>
      </c>
      <c r="G341" s="68">
        <v>0</v>
      </c>
      <c r="H341" s="68" t="s">
        <v>1285</v>
      </c>
      <c r="I341" s="68" t="s">
        <v>1278</v>
      </c>
      <c r="J341" s="68" t="s">
        <v>1278</v>
      </c>
    </row>
    <row r="342" spans="1:10" ht="12.75" customHeight="1">
      <c r="A342" s="71"/>
      <c r="B342" s="71" t="s">
        <v>1294</v>
      </c>
      <c r="C342" s="68" t="s">
        <v>1278</v>
      </c>
      <c r="D342" s="68" t="s">
        <v>1278</v>
      </c>
      <c r="E342" s="68">
        <v>0</v>
      </c>
      <c r="F342" s="68" t="s">
        <v>1285</v>
      </c>
      <c r="G342" s="68">
        <v>0</v>
      </c>
      <c r="H342" s="68">
        <v>0</v>
      </c>
      <c r="I342" s="68">
        <v>0</v>
      </c>
      <c r="J342" s="68" t="s">
        <v>1278</v>
      </c>
    </row>
    <row r="343" spans="1:10" ht="12.75" customHeight="1">
      <c r="A343" s="71"/>
      <c r="B343" s="71" t="s">
        <v>1295</v>
      </c>
      <c r="C343" s="68" t="s">
        <v>1278</v>
      </c>
      <c r="D343" s="68" t="s">
        <v>1285</v>
      </c>
      <c r="E343" s="68">
        <v>0</v>
      </c>
      <c r="F343" s="68" t="s">
        <v>1285</v>
      </c>
      <c r="G343" s="68" t="s">
        <v>1285</v>
      </c>
      <c r="H343" s="68">
        <v>0</v>
      </c>
      <c r="I343" s="68">
        <v>0</v>
      </c>
      <c r="J343" s="68" t="s">
        <v>1278</v>
      </c>
    </row>
    <row r="344" spans="1:10" ht="12.75" customHeight="1">
      <c r="A344" s="71"/>
      <c r="B344" s="69" t="s">
        <v>1296</v>
      </c>
      <c r="C344" s="68" t="s">
        <v>1285</v>
      </c>
      <c r="D344" s="68" t="s">
        <v>1285</v>
      </c>
      <c r="E344" s="68">
        <v>0</v>
      </c>
      <c r="F344" s="68">
        <v>0</v>
      </c>
      <c r="G344" s="68" t="s">
        <v>1285</v>
      </c>
      <c r="H344" s="68" t="s">
        <v>1285</v>
      </c>
      <c r="I344" s="68">
        <v>0</v>
      </c>
      <c r="J344" s="68" t="s">
        <v>1285</v>
      </c>
    </row>
    <row r="345" spans="1:10" ht="12.75" customHeight="1">
      <c r="A345" s="71"/>
      <c r="B345" s="69"/>
      <c r="C345" s="68"/>
      <c r="D345" s="68"/>
      <c r="E345" s="68"/>
      <c r="F345" s="68"/>
      <c r="G345" s="68"/>
      <c r="H345" s="68"/>
      <c r="I345" s="68"/>
      <c r="J345" s="68"/>
    </row>
    <row r="346" spans="1:10" s="73" customFormat="1" ht="12.75" customHeight="1">
      <c r="A346" s="69" t="s">
        <v>1326</v>
      </c>
      <c r="B346" s="69" t="s">
        <v>1327</v>
      </c>
      <c r="C346" s="74"/>
      <c r="D346" s="74"/>
      <c r="E346" s="74"/>
      <c r="F346" s="74"/>
      <c r="G346" s="74"/>
      <c r="H346" s="74"/>
      <c r="I346" s="74"/>
      <c r="J346" s="74"/>
    </row>
    <row r="347" spans="1:10" s="73" customFormat="1" ht="12.75" customHeight="1">
      <c r="A347" s="69"/>
      <c r="B347" s="69"/>
      <c r="C347" s="74"/>
      <c r="D347" s="74"/>
      <c r="E347" s="74"/>
      <c r="F347" s="74"/>
      <c r="G347" s="74"/>
      <c r="H347" s="74"/>
      <c r="I347" s="74"/>
      <c r="J347" s="74"/>
    </row>
    <row r="348" spans="1:10" s="73" customFormat="1" ht="12.75" customHeight="1">
      <c r="A348" s="69"/>
      <c r="B348" s="69"/>
      <c r="C348" s="74"/>
      <c r="D348" s="74"/>
      <c r="E348" s="74"/>
      <c r="F348" s="74"/>
      <c r="G348" s="74"/>
      <c r="H348" s="74"/>
      <c r="I348" s="74"/>
      <c r="J348" s="74"/>
    </row>
    <row r="349" spans="1:10" ht="12.75" customHeight="1">
      <c r="A349" s="71"/>
      <c r="B349" s="69" t="s">
        <v>1276</v>
      </c>
      <c r="C349" s="68">
        <v>387</v>
      </c>
      <c r="D349" s="68">
        <v>71</v>
      </c>
      <c r="E349" s="68" t="s">
        <v>1285</v>
      </c>
      <c r="F349" s="68">
        <v>11</v>
      </c>
      <c r="G349" s="68">
        <v>67</v>
      </c>
      <c r="H349" s="68">
        <v>4</v>
      </c>
      <c r="I349" s="68" t="s">
        <v>1285</v>
      </c>
      <c r="J349" s="68">
        <v>233</v>
      </c>
    </row>
    <row r="350" spans="1:10" ht="12.75" customHeight="1">
      <c r="A350" s="71"/>
      <c r="B350" s="69" t="s">
        <v>1277</v>
      </c>
      <c r="C350" s="68" t="s">
        <v>1278</v>
      </c>
      <c r="D350" s="68">
        <v>1</v>
      </c>
      <c r="E350" s="68" t="s">
        <v>1285</v>
      </c>
      <c r="F350" s="68" t="s">
        <v>1285</v>
      </c>
      <c r="G350" s="68">
        <v>19</v>
      </c>
      <c r="H350" s="68" t="s">
        <v>1285</v>
      </c>
      <c r="I350" s="68" t="s">
        <v>1285</v>
      </c>
      <c r="J350" s="68" t="s">
        <v>1278</v>
      </c>
    </row>
    <row r="351" spans="1:10" ht="12.75" customHeight="1">
      <c r="A351" s="71"/>
      <c r="B351" s="71" t="s">
        <v>1279</v>
      </c>
      <c r="C351" s="68" t="s">
        <v>1278</v>
      </c>
      <c r="D351" s="68">
        <v>1</v>
      </c>
      <c r="E351" s="68">
        <v>0</v>
      </c>
      <c r="F351" s="68" t="s">
        <v>1285</v>
      </c>
      <c r="G351" s="68">
        <v>4</v>
      </c>
      <c r="H351" s="68" t="s">
        <v>1285</v>
      </c>
      <c r="I351" s="68">
        <v>0</v>
      </c>
      <c r="J351" s="68" t="s">
        <v>1278</v>
      </c>
    </row>
    <row r="352" spans="1:10" ht="12.75" customHeight="1">
      <c r="A352" s="71"/>
      <c r="B352" s="71" t="s">
        <v>1280</v>
      </c>
      <c r="C352" s="68" t="s">
        <v>1278</v>
      </c>
      <c r="D352" s="68">
        <v>0</v>
      </c>
      <c r="E352" s="68" t="s">
        <v>1285</v>
      </c>
      <c r="F352" s="68" t="s">
        <v>1285</v>
      </c>
      <c r="G352" s="68">
        <v>15</v>
      </c>
      <c r="H352" s="68" t="s">
        <v>1285</v>
      </c>
      <c r="I352" s="68" t="s">
        <v>1285</v>
      </c>
      <c r="J352" s="68" t="s">
        <v>1278</v>
      </c>
    </row>
    <row r="353" spans="1:10" ht="12.75" customHeight="1">
      <c r="A353" s="71"/>
      <c r="B353" s="69" t="s">
        <v>1281</v>
      </c>
      <c r="C353" s="68" t="s">
        <v>1278</v>
      </c>
      <c r="D353" s="68">
        <v>58</v>
      </c>
      <c r="E353" s="68" t="s">
        <v>1285</v>
      </c>
      <c r="F353" s="68" t="s">
        <v>1299</v>
      </c>
      <c r="G353" s="68">
        <v>40</v>
      </c>
      <c r="H353" s="68">
        <v>1</v>
      </c>
      <c r="I353" s="68" t="s">
        <v>1285</v>
      </c>
      <c r="J353" s="68" t="s">
        <v>1278</v>
      </c>
    </row>
    <row r="354" spans="1:10" ht="12.75" customHeight="1">
      <c r="A354" s="71"/>
      <c r="B354" s="71" t="s">
        <v>1283</v>
      </c>
      <c r="C354" s="68" t="s">
        <v>1278</v>
      </c>
      <c r="D354" s="68">
        <v>3</v>
      </c>
      <c r="E354" s="68" t="s">
        <v>1285</v>
      </c>
      <c r="F354" s="68" t="s">
        <v>1285</v>
      </c>
      <c r="G354" s="68">
        <v>34</v>
      </c>
      <c r="H354" s="68" t="s">
        <v>1285</v>
      </c>
      <c r="I354" s="68" t="s">
        <v>1285</v>
      </c>
      <c r="J354" s="68" t="s">
        <v>1278</v>
      </c>
    </row>
    <row r="355" spans="1:10" ht="12.75" customHeight="1">
      <c r="A355" s="71"/>
      <c r="B355" s="71" t="s">
        <v>1284</v>
      </c>
      <c r="C355" s="68" t="s">
        <v>1278</v>
      </c>
      <c r="D355" s="68">
        <v>1</v>
      </c>
      <c r="E355" s="68">
        <v>0</v>
      </c>
      <c r="F355" s="68" t="s">
        <v>1285</v>
      </c>
      <c r="G355" s="68" t="s">
        <v>1285</v>
      </c>
      <c r="H355" s="68" t="s">
        <v>1285</v>
      </c>
      <c r="I355" s="68">
        <v>0</v>
      </c>
      <c r="J355" s="68" t="s">
        <v>1278</v>
      </c>
    </row>
    <row r="356" spans="1:10" ht="12.75" customHeight="1">
      <c r="A356" s="71"/>
      <c r="B356" s="71" t="s">
        <v>1286</v>
      </c>
      <c r="C356" s="68" t="s">
        <v>1278</v>
      </c>
      <c r="D356" s="68">
        <v>53</v>
      </c>
      <c r="E356" s="68" t="s">
        <v>1285</v>
      </c>
      <c r="F356" s="68">
        <v>1</v>
      </c>
      <c r="G356" s="68">
        <v>2</v>
      </c>
      <c r="H356" s="68" t="s">
        <v>1285</v>
      </c>
      <c r="I356" s="68">
        <v>0</v>
      </c>
      <c r="J356" s="68" t="s">
        <v>1278</v>
      </c>
    </row>
    <row r="357" spans="1:10" ht="12.75" customHeight="1">
      <c r="A357" s="71"/>
      <c r="B357" s="71" t="s">
        <v>1287</v>
      </c>
      <c r="C357" s="68" t="s">
        <v>1278</v>
      </c>
      <c r="D357" s="68" t="s">
        <v>1285</v>
      </c>
      <c r="E357" s="68" t="s">
        <v>1278</v>
      </c>
      <c r="F357" s="68" t="s">
        <v>1278</v>
      </c>
      <c r="G357" s="68" t="s">
        <v>1278</v>
      </c>
      <c r="H357" s="68" t="s">
        <v>1278</v>
      </c>
      <c r="I357" s="68" t="s">
        <v>1278</v>
      </c>
      <c r="J357" s="68" t="s">
        <v>1278</v>
      </c>
    </row>
    <row r="358" spans="1:10" ht="12.75" customHeight="1">
      <c r="A358" s="71"/>
      <c r="B358" s="71" t="s">
        <v>1288</v>
      </c>
      <c r="C358" s="68" t="s">
        <v>1278</v>
      </c>
      <c r="D358" s="68" t="s">
        <v>1285</v>
      </c>
      <c r="E358" s="68">
        <v>0</v>
      </c>
      <c r="F358" s="68" t="s">
        <v>1299</v>
      </c>
      <c r="G358" s="68">
        <v>4</v>
      </c>
      <c r="H358" s="68" t="s">
        <v>1285</v>
      </c>
      <c r="I358" s="68">
        <v>0</v>
      </c>
      <c r="J358" s="68" t="s">
        <v>1278</v>
      </c>
    </row>
    <row r="359" spans="1:10" ht="12.75" customHeight="1">
      <c r="A359" s="71"/>
      <c r="B359" s="69" t="s">
        <v>1289</v>
      </c>
      <c r="C359" s="68" t="s">
        <v>1278</v>
      </c>
      <c r="D359" s="68">
        <v>11</v>
      </c>
      <c r="E359" s="68" t="s">
        <v>1285</v>
      </c>
      <c r="F359" s="68">
        <v>6</v>
      </c>
      <c r="G359" s="68">
        <v>8</v>
      </c>
      <c r="H359" s="68">
        <v>3</v>
      </c>
      <c r="I359" s="68" t="s">
        <v>1285</v>
      </c>
      <c r="J359" s="68" t="s">
        <v>1278</v>
      </c>
    </row>
    <row r="360" spans="1:10" ht="12.75" customHeight="1">
      <c r="A360" s="71"/>
      <c r="B360" s="71" t="s">
        <v>1290</v>
      </c>
      <c r="C360" s="68" t="s">
        <v>1278</v>
      </c>
      <c r="D360" s="68">
        <v>5</v>
      </c>
      <c r="E360" s="68" t="s">
        <v>1285</v>
      </c>
      <c r="F360" s="68" t="s">
        <v>1285</v>
      </c>
      <c r="G360" s="68">
        <v>6</v>
      </c>
      <c r="H360" s="68" t="s">
        <v>1285</v>
      </c>
      <c r="I360" s="68" t="s">
        <v>1285</v>
      </c>
      <c r="J360" s="68" t="s">
        <v>1278</v>
      </c>
    </row>
    <row r="361" spans="1:10" ht="12.75" customHeight="1">
      <c r="A361" s="71"/>
      <c r="B361" s="71" t="s">
        <v>1291</v>
      </c>
      <c r="C361" s="68" t="s">
        <v>1278</v>
      </c>
      <c r="D361" s="68">
        <v>5</v>
      </c>
      <c r="E361" s="68" t="s">
        <v>1278</v>
      </c>
      <c r="F361" s="68" t="s">
        <v>1278</v>
      </c>
      <c r="G361" s="68" t="s">
        <v>1278</v>
      </c>
      <c r="H361" s="68" t="s">
        <v>1278</v>
      </c>
      <c r="I361" s="68" t="s">
        <v>1278</v>
      </c>
      <c r="J361" s="68" t="s">
        <v>1278</v>
      </c>
    </row>
    <row r="362" spans="1:10" ht="12.75" customHeight="1">
      <c r="A362" s="71"/>
      <c r="B362" s="71" t="s">
        <v>1292</v>
      </c>
      <c r="C362" s="68" t="s">
        <v>1278</v>
      </c>
      <c r="D362" s="68">
        <v>1</v>
      </c>
      <c r="E362" s="68">
        <v>0</v>
      </c>
      <c r="F362" s="68" t="s">
        <v>1285</v>
      </c>
      <c r="G362" s="68" t="s">
        <v>1285</v>
      </c>
      <c r="H362" s="68" t="s">
        <v>1285</v>
      </c>
      <c r="I362" s="68">
        <v>0</v>
      </c>
      <c r="J362" s="68" t="s">
        <v>1278</v>
      </c>
    </row>
    <row r="363" spans="1:10" ht="12.75" customHeight="1">
      <c r="A363" s="71"/>
      <c r="B363" s="71" t="s">
        <v>1293</v>
      </c>
      <c r="C363" s="68" t="s">
        <v>1278</v>
      </c>
      <c r="D363" s="68" t="s">
        <v>1285</v>
      </c>
      <c r="E363" s="68" t="s">
        <v>1278</v>
      </c>
      <c r="F363" s="68">
        <v>6</v>
      </c>
      <c r="G363" s="68" t="s">
        <v>1285</v>
      </c>
      <c r="H363" s="68">
        <v>3</v>
      </c>
      <c r="I363" s="68" t="s">
        <v>1278</v>
      </c>
      <c r="J363" s="68" t="s">
        <v>1278</v>
      </c>
    </row>
    <row r="364" spans="1:10" ht="12.75" customHeight="1">
      <c r="A364" s="71"/>
      <c r="B364" s="71" t="s">
        <v>1294</v>
      </c>
      <c r="C364" s="68" t="s">
        <v>1278</v>
      </c>
      <c r="D364" s="68" t="s">
        <v>1278</v>
      </c>
      <c r="E364" s="68">
        <v>0</v>
      </c>
      <c r="F364" s="68" t="s">
        <v>1285</v>
      </c>
      <c r="G364" s="68" t="s">
        <v>1285</v>
      </c>
      <c r="H364" s="68" t="s">
        <v>1285</v>
      </c>
      <c r="I364" s="68">
        <v>0</v>
      </c>
      <c r="J364" s="68" t="s">
        <v>1278</v>
      </c>
    </row>
    <row r="365" spans="1:10" ht="12.75" customHeight="1">
      <c r="A365" s="71"/>
      <c r="B365" s="71" t="s">
        <v>1295</v>
      </c>
      <c r="C365" s="68" t="s">
        <v>1278</v>
      </c>
      <c r="D365" s="68" t="s">
        <v>1285</v>
      </c>
      <c r="E365" s="68">
        <v>0</v>
      </c>
      <c r="F365" s="68" t="s">
        <v>1285</v>
      </c>
      <c r="G365" s="68">
        <v>1</v>
      </c>
      <c r="H365" s="68" t="s">
        <v>1285</v>
      </c>
      <c r="I365" s="68">
        <v>0</v>
      </c>
      <c r="J365" s="68" t="s">
        <v>1278</v>
      </c>
    </row>
    <row r="366" spans="1:10" ht="12.75" customHeight="1">
      <c r="A366" s="71"/>
      <c r="B366" s="69" t="s">
        <v>1296</v>
      </c>
      <c r="C366" s="68">
        <v>235</v>
      </c>
      <c r="D366" s="68">
        <v>1</v>
      </c>
      <c r="E366" s="68">
        <v>0</v>
      </c>
      <c r="F366" s="68">
        <v>0</v>
      </c>
      <c r="G366" s="68" t="s">
        <v>1285</v>
      </c>
      <c r="H366" s="68" t="s">
        <v>1285</v>
      </c>
      <c r="I366" s="68">
        <v>0</v>
      </c>
      <c r="J366" s="68">
        <v>233</v>
      </c>
    </row>
    <row r="367" spans="1:10" ht="12.75" customHeight="1">
      <c r="A367" s="71"/>
      <c r="B367" s="69"/>
      <c r="C367" s="68"/>
      <c r="D367" s="68"/>
      <c r="E367" s="68"/>
      <c r="F367" s="68"/>
      <c r="G367" s="68"/>
      <c r="H367" s="68"/>
      <c r="I367" s="68"/>
      <c r="J367" s="68"/>
    </row>
    <row r="368" spans="1:10" s="73" customFormat="1" ht="12.75" customHeight="1">
      <c r="A368" s="69" t="s">
        <v>1328</v>
      </c>
      <c r="B368" s="69" t="s">
        <v>1329</v>
      </c>
      <c r="C368" s="74"/>
      <c r="D368" s="74"/>
      <c r="E368" s="74"/>
      <c r="F368" s="74"/>
      <c r="G368" s="74"/>
      <c r="H368" s="74"/>
      <c r="I368" s="74"/>
      <c r="J368" s="74"/>
    </row>
    <row r="369" spans="1:10" s="73" customFormat="1" ht="12.75" customHeight="1">
      <c r="A369" s="69"/>
      <c r="B369" s="69"/>
      <c r="C369" s="74"/>
      <c r="D369" s="74"/>
      <c r="E369" s="74"/>
      <c r="F369" s="74"/>
      <c r="G369" s="74"/>
      <c r="H369" s="74"/>
      <c r="I369" s="74"/>
      <c r="J369" s="74"/>
    </row>
    <row r="370" spans="1:10" s="73" customFormat="1" ht="12.75" customHeight="1">
      <c r="A370" s="69"/>
      <c r="B370" s="69"/>
      <c r="C370" s="74"/>
      <c r="D370" s="74"/>
      <c r="E370" s="74"/>
      <c r="F370" s="74"/>
      <c r="G370" s="74"/>
      <c r="H370" s="74"/>
      <c r="I370" s="74"/>
      <c r="J370" s="74"/>
    </row>
    <row r="371" spans="1:10" ht="12.75" customHeight="1">
      <c r="A371" s="71"/>
      <c r="B371" s="69" t="s">
        <v>1276</v>
      </c>
      <c r="C371" s="68">
        <v>161</v>
      </c>
      <c r="D371" s="68">
        <v>25</v>
      </c>
      <c r="E371" s="68" t="s">
        <v>1285</v>
      </c>
      <c r="F371" s="68">
        <v>5</v>
      </c>
      <c r="G371" s="68">
        <v>18</v>
      </c>
      <c r="H371" s="68" t="s">
        <v>1285</v>
      </c>
      <c r="I371" s="68">
        <v>0</v>
      </c>
      <c r="J371" s="68">
        <v>114</v>
      </c>
    </row>
    <row r="372" spans="1:10" ht="12.75" customHeight="1">
      <c r="A372" s="71"/>
      <c r="B372" s="69" t="s">
        <v>1277</v>
      </c>
      <c r="C372" s="68" t="s">
        <v>1278</v>
      </c>
      <c r="D372" s="68" t="s">
        <v>1285</v>
      </c>
      <c r="E372" s="68" t="s">
        <v>1285</v>
      </c>
      <c r="F372" s="68" t="s">
        <v>1285</v>
      </c>
      <c r="G372" s="68">
        <v>6</v>
      </c>
      <c r="H372" s="68" t="s">
        <v>1285</v>
      </c>
      <c r="I372" s="68">
        <v>0</v>
      </c>
      <c r="J372" s="68" t="s">
        <v>1278</v>
      </c>
    </row>
    <row r="373" spans="1:10" ht="12.75" customHeight="1">
      <c r="A373" s="71"/>
      <c r="B373" s="71" t="s">
        <v>1279</v>
      </c>
      <c r="C373" s="68" t="s">
        <v>1278</v>
      </c>
      <c r="D373" s="68" t="s">
        <v>1285</v>
      </c>
      <c r="E373" s="68">
        <v>0</v>
      </c>
      <c r="F373" s="68" t="s">
        <v>1285</v>
      </c>
      <c r="G373" s="68">
        <v>1</v>
      </c>
      <c r="H373" s="68" t="s">
        <v>1285</v>
      </c>
      <c r="I373" s="68">
        <v>0</v>
      </c>
      <c r="J373" s="68" t="s">
        <v>1278</v>
      </c>
    </row>
    <row r="374" spans="1:10" ht="12.75" customHeight="1">
      <c r="A374" s="71"/>
      <c r="B374" s="71" t="s">
        <v>1280</v>
      </c>
      <c r="C374" s="68" t="s">
        <v>1278</v>
      </c>
      <c r="D374" s="68">
        <v>0</v>
      </c>
      <c r="E374" s="68" t="s">
        <v>1285</v>
      </c>
      <c r="F374" s="68" t="s">
        <v>1285</v>
      </c>
      <c r="G374" s="68">
        <v>5</v>
      </c>
      <c r="H374" s="68" t="s">
        <v>1285</v>
      </c>
      <c r="I374" s="68">
        <v>0</v>
      </c>
      <c r="J374" s="68" t="s">
        <v>1278</v>
      </c>
    </row>
    <row r="375" spans="1:10" ht="12.75" customHeight="1">
      <c r="A375" s="71"/>
      <c r="B375" s="69" t="s">
        <v>1281</v>
      </c>
      <c r="C375" s="68" t="s">
        <v>1278</v>
      </c>
      <c r="D375" s="68">
        <v>21</v>
      </c>
      <c r="E375" s="68">
        <v>0</v>
      </c>
      <c r="F375" s="68">
        <v>1</v>
      </c>
      <c r="G375" s="68" t="s">
        <v>1299</v>
      </c>
      <c r="H375" s="68" t="s">
        <v>1285</v>
      </c>
      <c r="I375" s="68">
        <v>0</v>
      </c>
      <c r="J375" s="68" t="s">
        <v>1278</v>
      </c>
    </row>
    <row r="376" spans="1:10" ht="12.75" customHeight="1">
      <c r="A376" s="71"/>
      <c r="B376" s="71" t="s">
        <v>1283</v>
      </c>
      <c r="C376" s="68" t="s">
        <v>1278</v>
      </c>
      <c r="D376" s="68">
        <v>1</v>
      </c>
      <c r="E376" s="68">
        <v>0</v>
      </c>
      <c r="F376" s="68" t="s">
        <v>1285</v>
      </c>
      <c r="G376" s="68" t="s">
        <v>1299</v>
      </c>
      <c r="H376" s="68" t="s">
        <v>1285</v>
      </c>
      <c r="I376" s="68">
        <v>0</v>
      </c>
      <c r="J376" s="68" t="s">
        <v>1278</v>
      </c>
    </row>
    <row r="377" spans="1:10" ht="12.75" customHeight="1">
      <c r="A377" s="71"/>
      <c r="B377" s="71" t="s">
        <v>1284</v>
      </c>
      <c r="C377" s="68" t="s">
        <v>1278</v>
      </c>
      <c r="D377" s="68" t="s">
        <v>1285</v>
      </c>
      <c r="E377" s="68">
        <v>0</v>
      </c>
      <c r="F377" s="68" t="s">
        <v>1285</v>
      </c>
      <c r="G377" s="68" t="s">
        <v>1285</v>
      </c>
      <c r="H377" s="68">
        <v>0</v>
      </c>
      <c r="I377" s="68">
        <v>0</v>
      </c>
      <c r="J377" s="68" t="s">
        <v>1278</v>
      </c>
    </row>
    <row r="378" spans="1:10" ht="12.75" customHeight="1">
      <c r="A378" s="71"/>
      <c r="B378" s="71" t="s">
        <v>1286</v>
      </c>
      <c r="C378" s="68" t="s">
        <v>1278</v>
      </c>
      <c r="D378" s="68">
        <v>20</v>
      </c>
      <c r="E378" s="68">
        <v>0</v>
      </c>
      <c r="F378" s="68">
        <v>1</v>
      </c>
      <c r="G378" s="68" t="s">
        <v>1285</v>
      </c>
      <c r="H378" s="68" t="s">
        <v>1285</v>
      </c>
      <c r="I378" s="68">
        <v>0</v>
      </c>
      <c r="J378" s="68" t="s">
        <v>1278</v>
      </c>
    </row>
    <row r="379" spans="1:10" ht="12.75" customHeight="1">
      <c r="A379" s="71"/>
      <c r="B379" s="71" t="s">
        <v>1287</v>
      </c>
      <c r="C379" s="68" t="s">
        <v>1278</v>
      </c>
      <c r="D379" s="68" t="s">
        <v>1285</v>
      </c>
      <c r="E379" s="68" t="s">
        <v>1278</v>
      </c>
      <c r="F379" s="68" t="s">
        <v>1278</v>
      </c>
      <c r="G379" s="68" t="s">
        <v>1278</v>
      </c>
      <c r="H379" s="68" t="s">
        <v>1278</v>
      </c>
      <c r="I379" s="68" t="s">
        <v>1278</v>
      </c>
      <c r="J379" s="68" t="s">
        <v>1278</v>
      </c>
    </row>
    <row r="380" spans="1:10" ht="12.75" customHeight="1">
      <c r="A380" s="71"/>
      <c r="B380" s="71" t="s">
        <v>1288</v>
      </c>
      <c r="C380" s="68" t="s">
        <v>1278</v>
      </c>
      <c r="D380" s="68" t="s">
        <v>1285</v>
      </c>
      <c r="E380" s="68">
        <v>0</v>
      </c>
      <c r="F380" s="68" t="s">
        <v>1285</v>
      </c>
      <c r="G380" s="68">
        <v>0</v>
      </c>
      <c r="H380" s="68" t="s">
        <v>1285</v>
      </c>
      <c r="I380" s="68">
        <v>0</v>
      </c>
      <c r="J380" s="68" t="s">
        <v>1278</v>
      </c>
    </row>
    <row r="381" spans="1:10" ht="12.75" customHeight="1">
      <c r="A381" s="71"/>
      <c r="B381" s="69" t="s">
        <v>1289</v>
      </c>
      <c r="C381" s="68" t="s">
        <v>1278</v>
      </c>
      <c r="D381" s="68">
        <v>3</v>
      </c>
      <c r="E381" s="68" t="s">
        <v>1285</v>
      </c>
      <c r="F381" s="68">
        <v>4</v>
      </c>
      <c r="G381" s="68">
        <v>1</v>
      </c>
      <c r="H381" s="68" t="s">
        <v>1285</v>
      </c>
      <c r="I381" s="68">
        <v>0</v>
      </c>
      <c r="J381" s="68" t="s">
        <v>1278</v>
      </c>
    </row>
    <row r="382" spans="1:10" ht="12.75" customHeight="1">
      <c r="A382" s="71"/>
      <c r="B382" s="71" t="s">
        <v>1290</v>
      </c>
      <c r="C382" s="68" t="s">
        <v>1278</v>
      </c>
      <c r="D382" s="68">
        <v>1</v>
      </c>
      <c r="E382" s="68" t="s">
        <v>1285</v>
      </c>
      <c r="F382" s="68" t="s">
        <v>1285</v>
      </c>
      <c r="G382" s="68">
        <v>1</v>
      </c>
      <c r="H382" s="68" t="s">
        <v>1285</v>
      </c>
      <c r="I382" s="68">
        <v>0</v>
      </c>
      <c r="J382" s="68" t="s">
        <v>1278</v>
      </c>
    </row>
    <row r="383" spans="1:10" ht="12.75" customHeight="1">
      <c r="A383" s="71"/>
      <c r="B383" s="71" t="s">
        <v>1291</v>
      </c>
      <c r="C383" s="68" t="s">
        <v>1278</v>
      </c>
      <c r="D383" s="68">
        <v>1</v>
      </c>
      <c r="E383" s="68" t="s">
        <v>1278</v>
      </c>
      <c r="F383" s="68" t="s">
        <v>1278</v>
      </c>
      <c r="G383" s="68" t="s">
        <v>1278</v>
      </c>
      <c r="H383" s="68" t="s">
        <v>1278</v>
      </c>
      <c r="I383" s="68" t="s">
        <v>1278</v>
      </c>
      <c r="J383" s="68" t="s">
        <v>1278</v>
      </c>
    </row>
    <row r="384" spans="1:10" ht="12.75" customHeight="1">
      <c r="A384" s="71"/>
      <c r="B384" s="71" t="s">
        <v>1292</v>
      </c>
      <c r="C384" s="68" t="s">
        <v>1278</v>
      </c>
      <c r="D384" s="68">
        <v>1</v>
      </c>
      <c r="E384" s="68">
        <v>0</v>
      </c>
      <c r="F384" s="68" t="s">
        <v>1285</v>
      </c>
      <c r="G384" s="68" t="s">
        <v>1285</v>
      </c>
      <c r="H384" s="68" t="s">
        <v>1285</v>
      </c>
      <c r="I384" s="68">
        <v>0</v>
      </c>
      <c r="J384" s="68" t="s">
        <v>1278</v>
      </c>
    </row>
    <row r="385" spans="1:10" ht="12.75" customHeight="1">
      <c r="A385" s="71"/>
      <c r="B385" s="71" t="s">
        <v>1293</v>
      </c>
      <c r="C385" s="68" t="s">
        <v>1278</v>
      </c>
      <c r="D385" s="68" t="s">
        <v>1285</v>
      </c>
      <c r="E385" s="68" t="s">
        <v>1278</v>
      </c>
      <c r="F385" s="68">
        <v>4</v>
      </c>
      <c r="G385" s="68" t="s">
        <v>1285</v>
      </c>
      <c r="H385" s="68" t="s">
        <v>1285</v>
      </c>
      <c r="I385" s="68" t="s">
        <v>1278</v>
      </c>
      <c r="J385" s="68" t="s">
        <v>1278</v>
      </c>
    </row>
    <row r="386" spans="1:10" ht="12.75" customHeight="1">
      <c r="A386" s="71"/>
      <c r="B386" s="71" t="s">
        <v>1294</v>
      </c>
      <c r="C386" s="68" t="s">
        <v>1278</v>
      </c>
      <c r="D386" s="68" t="s">
        <v>1278</v>
      </c>
      <c r="E386" s="68">
        <v>0</v>
      </c>
      <c r="F386" s="68" t="s">
        <v>1285</v>
      </c>
      <c r="G386" s="68" t="s">
        <v>1285</v>
      </c>
      <c r="H386" s="68" t="s">
        <v>1285</v>
      </c>
      <c r="I386" s="68">
        <v>0</v>
      </c>
      <c r="J386" s="68" t="s">
        <v>1278</v>
      </c>
    </row>
    <row r="387" spans="1:10" ht="12.75" customHeight="1">
      <c r="A387" s="71"/>
      <c r="B387" s="71" t="s">
        <v>1295</v>
      </c>
      <c r="C387" s="68" t="s">
        <v>1278</v>
      </c>
      <c r="D387" s="68" t="s">
        <v>1285</v>
      </c>
      <c r="E387" s="68">
        <v>0</v>
      </c>
      <c r="F387" s="68" t="s">
        <v>1285</v>
      </c>
      <c r="G387" s="68">
        <v>0</v>
      </c>
      <c r="H387" s="68" t="s">
        <v>1285</v>
      </c>
      <c r="I387" s="68">
        <v>0</v>
      </c>
      <c r="J387" s="68" t="s">
        <v>1278</v>
      </c>
    </row>
    <row r="388" spans="1:10" ht="12.75" customHeight="1">
      <c r="A388" s="71"/>
      <c r="B388" s="69" t="s">
        <v>1296</v>
      </c>
      <c r="C388" s="68">
        <v>114</v>
      </c>
      <c r="D388" s="68" t="s">
        <v>1285</v>
      </c>
      <c r="E388" s="68">
        <v>0</v>
      </c>
      <c r="F388" s="68">
        <v>0</v>
      </c>
      <c r="G388" s="68" t="s">
        <v>1285</v>
      </c>
      <c r="H388" s="68" t="s">
        <v>1285</v>
      </c>
      <c r="I388" s="68">
        <v>0</v>
      </c>
      <c r="J388" s="68">
        <v>114</v>
      </c>
    </row>
    <row r="389" spans="1:10" ht="12.75" customHeight="1">
      <c r="A389" s="71"/>
      <c r="B389" s="69"/>
      <c r="C389" s="68"/>
      <c r="D389" s="68"/>
      <c r="E389" s="68"/>
      <c r="F389" s="68"/>
      <c r="G389" s="68"/>
      <c r="H389" s="68"/>
      <c r="I389" s="68"/>
      <c r="J389" s="68"/>
    </row>
    <row r="390" spans="1:10" s="73" customFormat="1" ht="12.75" customHeight="1">
      <c r="A390" s="69" t="s">
        <v>1330</v>
      </c>
      <c r="B390" s="69" t="s">
        <v>1331</v>
      </c>
      <c r="C390" s="74"/>
      <c r="D390" s="74"/>
      <c r="E390" s="74"/>
      <c r="F390" s="74"/>
      <c r="G390" s="74"/>
      <c r="H390" s="74"/>
      <c r="I390" s="74"/>
      <c r="J390" s="74"/>
    </row>
    <row r="391" spans="1:10" s="73" customFormat="1" ht="12.75" customHeight="1">
      <c r="A391" s="69"/>
      <c r="B391" s="69"/>
      <c r="C391" s="74"/>
      <c r="D391" s="74"/>
      <c r="E391" s="74"/>
      <c r="F391" s="74"/>
      <c r="G391" s="74"/>
      <c r="H391" s="74"/>
      <c r="I391" s="74"/>
      <c r="J391" s="74"/>
    </row>
    <row r="392" spans="1:10" s="73" customFormat="1" ht="12.75" customHeight="1">
      <c r="A392" s="69"/>
      <c r="B392" s="69"/>
      <c r="C392" s="74"/>
      <c r="D392" s="74"/>
      <c r="E392" s="74"/>
      <c r="F392" s="74"/>
      <c r="G392" s="74"/>
      <c r="H392" s="74"/>
      <c r="I392" s="74"/>
      <c r="J392" s="74"/>
    </row>
    <row r="393" spans="1:10" ht="12.75" customHeight="1">
      <c r="A393" s="71"/>
      <c r="B393" s="69" t="s">
        <v>1276</v>
      </c>
      <c r="C393" s="68">
        <v>139</v>
      </c>
      <c r="D393" s="68">
        <v>23</v>
      </c>
      <c r="E393" s="68" t="s">
        <v>1285</v>
      </c>
      <c r="F393" s="68">
        <v>1</v>
      </c>
      <c r="G393" s="68">
        <v>32</v>
      </c>
      <c r="H393" s="68">
        <v>1</v>
      </c>
      <c r="I393" s="68" t="s">
        <v>1285</v>
      </c>
      <c r="J393" s="68">
        <v>83</v>
      </c>
    </row>
    <row r="394" spans="1:10" ht="12.75" customHeight="1">
      <c r="A394" s="71"/>
      <c r="B394" s="69" t="s">
        <v>1277</v>
      </c>
      <c r="C394" s="68" t="s">
        <v>1278</v>
      </c>
      <c r="D394" s="68" t="s">
        <v>1285</v>
      </c>
      <c r="E394" s="68">
        <v>0</v>
      </c>
      <c r="F394" s="68" t="s">
        <v>1285</v>
      </c>
      <c r="G394" s="68">
        <v>9</v>
      </c>
      <c r="H394" s="68" t="s">
        <v>1285</v>
      </c>
      <c r="I394" s="68" t="s">
        <v>1285</v>
      </c>
      <c r="J394" s="68" t="s">
        <v>1278</v>
      </c>
    </row>
    <row r="395" spans="1:10" ht="12.75" customHeight="1">
      <c r="A395" s="71"/>
      <c r="B395" s="71" t="s">
        <v>1279</v>
      </c>
      <c r="C395" s="68" t="s">
        <v>1278</v>
      </c>
      <c r="D395" s="68" t="s">
        <v>1285</v>
      </c>
      <c r="E395" s="68">
        <v>0</v>
      </c>
      <c r="F395" s="68" t="s">
        <v>1285</v>
      </c>
      <c r="G395" s="68">
        <v>3</v>
      </c>
      <c r="H395" s="68" t="s">
        <v>1285</v>
      </c>
      <c r="I395" s="68">
        <v>0</v>
      </c>
      <c r="J395" s="68" t="s">
        <v>1278</v>
      </c>
    </row>
    <row r="396" spans="1:10" ht="12.75" customHeight="1">
      <c r="A396" s="71"/>
      <c r="B396" s="71" t="s">
        <v>1280</v>
      </c>
      <c r="C396" s="68" t="s">
        <v>1278</v>
      </c>
      <c r="D396" s="68">
        <v>0</v>
      </c>
      <c r="E396" s="68">
        <v>0</v>
      </c>
      <c r="F396" s="68" t="s">
        <v>1285</v>
      </c>
      <c r="G396" s="68">
        <v>7</v>
      </c>
      <c r="H396" s="68" t="s">
        <v>1285</v>
      </c>
      <c r="I396" s="68" t="s">
        <v>1285</v>
      </c>
      <c r="J396" s="68" t="s">
        <v>1278</v>
      </c>
    </row>
    <row r="397" spans="1:10" ht="12.75" customHeight="1">
      <c r="A397" s="71"/>
      <c r="B397" s="69" t="s">
        <v>1281</v>
      </c>
      <c r="C397" s="68" t="s">
        <v>1278</v>
      </c>
      <c r="D397" s="68">
        <v>19</v>
      </c>
      <c r="E397" s="68" t="s">
        <v>1285</v>
      </c>
      <c r="F397" s="68" t="s">
        <v>1285</v>
      </c>
      <c r="G397" s="68">
        <v>20</v>
      </c>
      <c r="H397" s="68" t="s">
        <v>1285</v>
      </c>
      <c r="I397" s="68">
        <v>0</v>
      </c>
      <c r="J397" s="68" t="s">
        <v>1278</v>
      </c>
    </row>
    <row r="398" spans="1:10" ht="12.75" customHeight="1">
      <c r="A398" s="71"/>
      <c r="B398" s="71" t="s">
        <v>1283</v>
      </c>
      <c r="C398" s="68" t="s">
        <v>1278</v>
      </c>
      <c r="D398" s="68">
        <v>1</v>
      </c>
      <c r="E398" s="68" t="s">
        <v>1285</v>
      </c>
      <c r="F398" s="68" t="s">
        <v>1285</v>
      </c>
      <c r="G398" s="68">
        <v>15</v>
      </c>
      <c r="H398" s="68" t="s">
        <v>1285</v>
      </c>
      <c r="I398" s="68">
        <v>0</v>
      </c>
      <c r="J398" s="68" t="s">
        <v>1278</v>
      </c>
    </row>
    <row r="399" spans="1:10" ht="12.75" customHeight="1">
      <c r="A399" s="71"/>
      <c r="B399" s="71" t="s">
        <v>1284</v>
      </c>
      <c r="C399" s="68" t="s">
        <v>1278</v>
      </c>
      <c r="D399" s="68" t="s">
        <v>1285</v>
      </c>
      <c r="E399" s="68">
        <v>0</v>
      </c>
      <c r="F399" s="68">
        <v>0</v>
      </c>
      <c r="G399" s="68" t="s">
        <v>1285</v>
      </c>
      <c r="H399" s="68">
        <v>0</v>
      </c>
      <c r="I399" s="68">
        <v>0</v>
      </c>
      <c r="J399" s="68" t="s">
        <v>1278</v>
      </c>
    </row>
    <row r="400" spans="1:10" ht="12.75" customHeight="1">
      <c r="A400" s="71"/>
      <c r="B400" s="71" t="s">
        <v>1286</v>
      </c>
      <c r="C400" s="68" t="s">
        <v>1278</v>
      </c>
      <c r="D400" s="68">
        <v>18</v>
      </c>
      <c r="E400" s="68" t="s">
        <v>1285</v>
      </c>
      <c r="F400" s="68" t="s">
        <v>1285</v>
      </c>
      <c r="G400" s="68">
        <v>1</v>
      </c>
      <c r="H400" s="68" t="s">
        <v>1285</v>
      </c>
      <c r="I400" s="68">
        <v>0</v>
      </c>
      <c r="J400" s="68" t="s">
        <v>1278</v>
      </c>
    </row>
    <row r="401" spans="1:10" ht="12.75" customHeight="1">
      <c r="A401" s="71"/>
      <c r="B401" s="71" t="s">
        <v>1287</v>
      </c>
      <c r="C401" s="68" t="s">
        <v>1278</v>
      </c>
      <c r="D401" s="68" t="s">
        <v>1285</v>
      </c>
      <c r="E401" s="68" t="s">
        <v>1278</v>
      </c>
      <c r="F401" s="68" t="s">
        <v>1278</v>
      </c>
      <c r="G401" s="68" t="s">
        <v>1278</v>
      </c>
      <c r="H401" s="68" t="s">
        <v>1278</v>
      </c>
      <c r="I401" s="68" t="s">
        <v>1278</v>
      </c>
      <c r="J401" s="68" t="s">
        <v>1278</v>
      </c>
    </row>
    <row r="402" spans="1:10" ht="12.75" customHeight="1">
      <c r="A402" s="71"/>
      <c r="B402" s="71" t="s">
        <v>1288</v>
      </c>
      <c r="C402" s="68" t="s">
        <v>1278</v>
      </c>
      <c r="D402" s="68" t="s">
        <v>1285</v>
      </c>
      <c r="E402" s="68">
        <v>0</v>
      </c>
      <c r="F402" s="68" t="s">
        <v>1285</v>
      </c>
      <c r="G402" s="68">
        <v>4</v>
      </c>
      <c r="H402" s="68" t="s">
        <v>1285</v>
      </c>
      <c r="I402" s="68">
        <v>0</v>
      </c>
      <c r="J402" s="68" t="s">
        <v>1278</v>
      </c>
    </row>
    <row r="403" spans="1:10" ht="12.75" customHeight="1">
      <c r="A403" s="71"/>
      <c r="B403" s="69" t="s">
        <v>1289</v>
      </c>
      <c r="C403" s="68" t="s">
        <v>1278</v>
      </c>
      <c r="D403" s="68">
        <v>3</v>
      </c>
      <c r="E403" s="68">
        <v>0</v>
      </c>
      <c r="F403" s="68">
        <v>1</v>
      </c>
      <c r="G403" s="68">
        <v>2</v>
      </c>
      <c r="H403" s="68">
        <v>1</v>
      </c>
      <c r="I403" s="68">
        <v>0</v>
      </c>
      <c r="J403" s="68" t="s">
        <v>1278</v>
      </c>
    </row>
    <row r="404" spans="1:10" ht="12.75" customHeight="1">
      <c r="A404" s="71"/>
      <c r="B404" s="71" t="s">
        <v>1290</v>
      </c>
      <c r="C404" s="68" t="s">
        <v>1278</v>
      </c>
      <c r="D404" s="68">
        <v>1</v>
      </c>
      <c r="E404" s="68">
        <v>0</v>
      </c>
      <c r="F404" s="68" t="s">
        <v>1285</v>
      </c>
      <c r="G404" s="68">
        <v>1</v>
      </c>
      <c r="H404" s="68" t="s">
        <v>1285</v>
      </c>
      <c r="I404" s="68">
        <v>0</v>
      </c>
      <c r="J404" s="68" t="s">
        <v>1278</v>
      </c>
    </row>
    <row r="405" spans="1:10" ht="12.75" customHeight="1">
      <c r="A405" s="71"/>
      <c r="B405" s="71" t="s">
        <v>1291</v>
      </c>
      <c r="C405" s="68" t="s">
        <v>1278</v>
      </c>
      <c r="D405" s="68">
        <v>1</v>
      </c>
      <c r="E405" s="68" t="s">
        <v>1278</v>
      </c>
      <c r="F405" s="68" t="s">
        <v>1278</v>
      </c>
      <c r="G405" s="68" t="s">
        <v>1278</v>
      </c>
      <c r="H405" s="68" t="s">
        <v>1278</v>
      </c>
      <c r="I405" s="68" t="s">
        <v>1278</v>
      </c>
      <c r="J405" s="68" t="s">
        <v>1278</v>
      </c>
    </row>
    <row r="406" spans="1:10" ht="12.75" customHeight="1">
      <c r="A406" s="71"/>
      <c r="B406" s="71" t="s">
        <v>1292</v>
      </c>
      <c r="C406" s="68" t="s">
        <v>1278</v>
      </c>
      <c r="D406" s="68" t="s">
        <v>1285</v>
      </c>
      <c r="E406" s="68">
        <v>0</v>
      </c>
      <c r="F406" s="68" t="s">
        <v>1285</v>
      </c>
      <c r="G406" s="68" t="s">
        <v>1285</v>
      </c>
      <c r="H406" s="68" t="s">
        <v>1285</v>
      </c>
      <c r="I406" s="68">
        <v>0</v>
      </c>
      <c r="J406" s="68" t="s">
        <v>1278</v>
      </c>
    </row>
    <row r="407" spans="1:10" ht="12.75" customHeight="1">
      <c r="A407" s="71"/>
      <c r="B407" s="71" t="s">
        <v>1293</v>
      </c>
      <c r="C407" s="68" t="s">
        <v>1278</v>
      </c>
      <c r="D407" s="68" t="s">
        <v>1285</v>
      </c>
      <c r="E407" s="68" t="s">
        <v>1278</v>
      </c>
      <c r="F407" s="68">
        <v>1</v>
      </c>
      <c r="G407" s="68" t="s">
        <v>1285</v>
      </c>
      <c r="H407" s="68">
        <v>1</v>
      </c>
      <c r="I407" s="68" t="s">
        <v>1278</v>
      </c>
      <c r="J407" s="68" t="s">
        <v>1278</v>
      </c>
    </row>
    <row r="408" spans="1:10" ht="12.75" customHeight="1">
      <c r="A408" s="71"/>
      <c r="B408" s="71" t="s">
        <v>1294</v>
      </c>
      <c r="C408" s="68" t="s">
        <v>1278</v>
      </c>
      <c r="D408" s="68" t="s">
        <v>1278</v>
      </c>
      <c r="E408" s="68">
        <v>0</v>
      </c>
      <c r="F408" s="68" t="s">
        <v>1285</v>
      </c>
      <c r="G408" s="68" t="s">
        <v>1285</v>
      </c>
      <c r="H408" s="68" t="s">
        <v>1285</v>
      </c>
      <c r="I408" s="68">
        <v>0</v>
      </c>
      <c r="J408" s="68" t="s">
        <v>1278</v>
      </c>
    </row>
    <row r="409" spans="1:10" ht="12.75" customHeight="1">
      <c r="A409" s="71"/>
      <c r="B409" s="71" t="s">
        <v>1295</v>
      </c>
      <c r="C409" s="68" t="s">
        <v>1278</v>
      </c>
      <c r="D409" s="68" t="s">
        <v>1285</v>
      </c>
      <c r="E409" s="68">
        <v>0</v>
      </c>
      <c r="F409" s="68" t="s">
        <v>1285</v>
      </c>
      <c r="G409" s="68">
        <v>1</v>
      </c>
      <c r="H409" s="68" t="s">
        <v>1285</v>
      </c>
      <c r="I409" s="68">
        <v>0</v>
      </c>
      <c r="J409" s="68" t="s">
        <v>1278</v>
      </c>
    </row>
    <row r="410" spans="1:10" ht="12.75" customHeight="1">
      <c r="A410" s="71"/>
      <c r="B410" s="69" t="s">
        <v>1296</v>
      </c>
      <c r="C410" s="68">
        <v>83</v>
      </c>
      <c r="D410" s="68" t="s">
        <v>1285</v>
      </c>
      <c r="E410" s="68">
        <v>0</v>
      </c>
      <c r="F410" s="68">
        <v>0</v>
      </c>
      <c r="G410" s="68" t="s">
        <v>1285</v>
      </c>
      <c r="H410" s="68" t="s">
        <v>1285</v>
      </c>
      <c r="I410" s="68">
        <v>0</v>
      </c>
      <c r="J410" s="68">
        <v>83</v>
      </c>
    </row>
    <row r="411" spans="1:10" ht="12.75" customHeight="1">
      <c r="A411" s="71"/>
      <c r="B411" s="69"/>
      <c r="C411" s="68"/>
      <c r="D411" s="68"/>
      <c r="E411" s="68"/>
      <c r="F411" s="68"/>
      <c r="G411" s="68"/>
      <c r="H411" s="68"/>
      <c r="I411" s="68"/>
      <c r="J411" s="68"/>
    </row>
    <row r="412" spans="1:10" s="73" customFormat="1" ht="12.75" customHeight="1">
      <c r="A412" s="69" t="s">
        <v>1332</v>
      </c>
      <c r="B412" s="69" t="s">
        <v>1333</v>
      </c>
      <c r="C412" s="74"/>
      <c r="D412" s="74"/>
      <c r="E412" s="74"/>
      <c r="F412" s="74"/>
      <c r="G412" s="74"/>
      <c r="H412" s="74"/>
      <c r="I412" s="74"/>
      <c r="J412" s="74"/>
    </row>
    <row r="413" spans="1:10" s="73" customFormat="1" ht="12.75" customHeight="1">
      <c r="A413" s="69"/>
      <c r="B413" s="69"/>
      <c r="C413" s="74"/>
      <c r="D413" s="74"/>
      <c r="E413" s="74"/>
      <c r="F413" s="74"/>
      <c r="G413" s="74"/>
      <c r="H413" s="74"/>
      <c r="I413" s="74"/>
      <c r="J413" s="74"/>
    </row>
    <row r="414" spans="1:10" s="73" customFormat="1" ht="12.75" customHeight="1">
      <c r="A414" s="69"/>
      <c r="B414" s="69"/>
      <c r="C414" s="74"/>
      <c r="D414" s="74"/>
      <c r="E414" s="74"/>
      <c r="F414" s="74"/>
      <c r="G414" s="74"/>
      <c r="H414" s="74"/>
      <c r="I414" s="74"/>
      <c r="J414" s="74"/>
    </row>
    <row r="415" spans="1:10" ht="12.75" customHeight="1">
      <c r="A415" s="71"/>
      <c r="B415" s="69" t="s">
        <v>1276</v>
      </c>
      <c r="C415" s="68">
        <v>78</v>
      </c>
      <c r="D415" s="68">
        <v>15</v>
      </c>
      <c r="E415" s="68" t="s">
        <v>1285</v>
      </c>
      <c r="F415" s="68" t="s">
        <v>1285</v>
      </c>
      <c r="G415" s="68">
        <v>20</v>
      </c>
      <c r="H415" s="68" t="s">
        <v>1285</v>
      </c>
      <c r="I415" s="68">
        <v>0</v>
      </c>
      <c r="J415" s="68">
        <v>42</v>
      </c>
    </row>
    <row r="416" spans="1:10" ht="12.75" customHeight="1">
      <c r="A416" s="71"/>
      <c r="B416" s="69" t="s">
        <v>1277</v>
      </c>
      <c r="C416" s="68" t="s">
        <v>1278</v>
      </c>
      <c r="D416" s="68" t="s">
        <v>1285</v>
      </c>
      <c r="E416" s="68">
        <v>0</v>
      </c>
      <c r="F416" s="68" t="s">
        <v>1285</v>
      </c>
      <c r="G416" s="68">
        <v>5</v>
      </c>
      <c r="H416" s="68" t="s">
        <v>1285</v>
      </c>
      <c r="I416" s="68">
        <v>0</v>
      </c>
      <c r="J416" s="68" t="s">
        <v>1278</v>
      </c>
    </row>
    <row r="417" spans="1:10" ht="12.75" customHeight="1">
      <c r="A417" s="71"/>
      <c r="B417" s="71" t="s">
        <v>1279</v>
      </c>
      <c r="C417" s="68" t="s">
        <v>1278</v>
      </c>
      <c r="D417" s="68" t="s">
        <v>1285</v>
      </c>
      <c r="E417" s="68">
        <v>0</v>
      </c>
      <c r="F417" s="68" t="s">
        <v>1285</v>
      </c>
      <c r="G417" s="68">
        <v>2</v>
      </c>
      <c r="H417" s="68" t="s">
        <v>1285</v>
      </c>
      <c r="I417" s="68">
        <v>0</v>
      </c>
      <c r="J417" s="68" t="s">
        <v>1278</v>
      </c>
    </row>
    <row r="418" spans="1:10" ht="12.75" customHeight="1">
      <c r="A418" s="71"/>
      <c r="B418" s="71" t="s">
        <v>1280</v>
      </c>
      <c r="C418" s="68" t="s">
        <v>1278</v>
      </c>
      <c r="D418" s="68">
        <v>0</v>
      </c>
      <c r="E418" s="68">
        <v>0</v>
      </c>
      <c r="F418" s="68">
        <v>0</v>
      </c>
      <c r="G418" s="68">
        <v>3</v>
      </c>
      <c r="H418" s="68" t="s">
        <v>1285</v>
      </c>
      <c r="I418" s="68">
        <v>0</v>
      </c>
      <c r="J418" s="68" t="s">
        <v>1278</v>
      </c>
    </row>
    <row r="419" spans="1:10" ht="12.75" customHeight="1">
      <c r="A419" s="71"/>
      <c r="B419" s="69" t="s">
        <v>1281</v>
      </c>
      <c r="C419" s="68" t="s">
        <v>1278</v>
      </c>
      <c r="D419" s="68">
        <v>13</v>
      </c>
      <c r="E419" s="68" t="s">
        <v>1285</v>
      </c>
      <c r="F419" s="68" t="s">
        <v>1285</v>
      </c>
      <c r="G419" s="68">
        <v>14</v>
      </c>
      <c r="H419" s="68" t="s">
        <v>1285</v>
      </c>
      <c r="I419" s="68">
        <v>0</v>
      </c>
      <c r="J419" s="68" t="s">
        <v>1278</v>
      </c>
    </row>
    <row r="420" spans="1:10" ht="12.75" customHeight="1">
      <c r="A420" s="71"/>
      <c r="B420" s="71" t="s">
        <v>1283</v>
      </c>
      <c r="C420" s="68" t="s">
        <v>1278</v>
      </c>
      <c r="D420" s="68" t="s">
        <v>1285</v>
      </c>
      <c r="E420" s="68" t="s">
        <v>1285</v>
      </c>
      <c r="F420" s="68" t="s">
        <v>1285</v>
      </c>
      <c r="G420" s="68">
        <v>10</v>
      </c>
      <c r="H420" s="68" t="s">
        <v>1285</v>
      </c>
      <c r="I420" s="68">
        <v>0</v>
      </c>
      <c r="J420" s="68" t="s">
        <v>1278</v>
      </c>
    </row>
    <row r="421" spans="1:10" ht="12.75" customHeight="1">
      <c r="A421" s="71"/>
      <c r="B421" s="71" t="s">
        <v>1284</v>
      </c>
      <c r="C421" s="68" t="s">
        <v>1278</v>
      </c>
      <c r="D421" s="68" t="s">
        <v>1285</v>
      </c>
      <c r="E421" s="68">
        <v>0</v>
      </c>
      <c r="F421" s="68">
        <v>0</v>
      </c>
      <c r="G421" s="68">
        <v>0</v>
      </c>
      <c r="H421" s="68">
        <v>0</v>
      </c>
      <c r="I421" s="68">
        <v>0</v>
      </c>
      <c r="J421" s="68" t="s">
        <v>1278</v>
      </c>
    </row>
    <row r="422" spans="1:10" ht="12.75" customHeight="1">
      <c r="A422" s="71"/>
      <c r="B422" s="71" t="s">
        <v>1286</v>
      </c>
      <c r="C422" s="68" t="s">
        <v>1278</v>
      </c>
      <c r="D422" s="68">
        <v>12</v>
      </c>
      <c r="E422" s="68" t="s">
        <v>1285</v>
      </c>
      <c r="F422" s="68" t="s">
        <v>1285</v>
      </c>
      <c r="G422" s="68">
        <v>1</v>
      </c>
      <c r="H422" s="68" t="s">
        <v>1285</v>
      </c>
      <c r="I422" s="68">
        <v>0</v>
      </c>
      <c r="J422" s="68" t="s">
        <v>1278</v>
      </c>
    </row>
    <row r="423" spans="1:10" ht="12.75" customHeight="1">
      <c r="A423" s="71"/>
      <c r="B423" s="71" t="s">
        <v>1287</v>
      </c>
      <c r="C423" s="68" t="s">
        <v>1278</v>
      </c>
      <c r="D423" s="68" t="s">
        <v>1285</v>
      </c>
      <c r="E423" s="68" t="s">
        <v>1278</v>
      </c>
      <c r="F423" s="68" t="s">
        <v>1278</v>
      </c>
      <c r="G423" s="68" t="s">
        <v>1278</v>
      </c>
      <c r="H423" s="68" t="s">
        <v>1278</v>
      </c>
      <c r="I423" s="68" t="s">
        <v>1278</v>
      </c>
      <c r="J423" s="68" t="s">
        <v>1278</v>
      </c>
    </row>
    <row r="424" spans="1:10" ht="12.75" customHeight="1">
      <c r="A424" s="71"/>
      <c r="B424" s="71" t="s">
        <v>1288</v>
      </c>
      <c r="C424" s="68" t="s">
        <v>1278</v>
      </c>
      <c r="D424" s="68" t="s">
        <v>1285</v>
      </c>
      <c r="E424" s="68">
        <v>0</v>
      </c>
      <c r="F424" s="68">
        <v>0</v>
      </c>
      <c r="G424" s="68">
        <v>4</v>
      </c>
      <c r="H424" s="68">
        <v>0</v>
      </c>
      <c r="I424" s="68">
        <v>0</v>
      </c>
      <c r="J424" s="68" t="s">
        <v>1278</v>
      </c>
    </row>
    <row r="425" spans="1:10" ht="12.75" customHeight="1">
      <c r="A425" s="71"/>
      <c r="B425" s="69" t="s">
        <v>1289</v>
      </c>
      <c r="C425" s="68" t="s">
        <v>1278</v>
      </c>
      <c r="D425" s="68">
        <v>2</v>
      </c>
      <c r="E425" s="68">
        <v>0</v>
      </c>
      <c r="F425" s="68" t="s">
        <v>1285</v>
      </c>
      <c r="G425" s="68">
        <v>1</v>
      </c>
      <c r="H425" s="68" t="s">
        <v>1285</v>
      </c>
      <c r="I425" s="68">
        <v>0</v>
      </c>
      <c r="J425" s="68" t="s">
        <v>1278</v>
      </c>
    </row>
    <row r="426" spans="1:10" ht="12.75" customHeight="1">
      <c r="A426" s="71"/>
      <c r="B426" s="71" t="s">
        <v>1290</v>
      </c>
      <c r="C426" s="68" t="s">
        <v>1278</v>
      </c>
      <c r="D426" s="68">
        <v>1</v>
      </c>
      <c r="E426" s="68">
        <v>0</v>
      </c>
      <c r="F426" s="68" t="s">
        <v>1285</v>
      </c>
      <c r="G426" s="68" t="s">
        <v>1285</v>
      </c>
      <c r="H426" s="68" t="s">
        <v>1285</v>
      </c>
      <c r="I426" s="68">
        <v>0</v>
      </c>
      <c r="J426" s="68" t="s">
        <v>1278</v>
      </c>
    </row>
    <row r="427" spans="1:10" ht="12.75" customHeight="1">
      <c r="A427" s="71"/>
      <c r="B427" s="71" t="s">
        <v>1291</v>
      </c>
      <c r="C427" s="68" t="s">
        <v>1278</v>
      </c>
      <c r="D427" s="68">
        <v>1</v>
      </c>
      <c r="E427" s="68" t="s">
        <v>1278</v>
      </c>
      <c r="F427" s="68" t="s">
        <v>1278</v>
      </c>
      <c r="G427" s="68" t="s">
        <v>1278</v>
      </c>
      <c r="H427" s="68" t="s">
        <v>1278</v>
      </c>
      <c r="I427" s="68" t="s">
        <v>1278</v>
      </c>
      <c r="J427" s="68" t="s">
        <v>1278</v>
      </c>
    </row>
    <row r="428" spans="1:10" ht="12.75" customHeight="1">
      <c r="A428" s="71"/>
      <c r="B428" s="71" t="s">
        <v>1292</v>
      </c>
      <c r="C428" s="68" t="s">
        <v>1278</v>
      </c>
      <c r="D428" s="68" t="s">
        <v>1285</v>
      </c>
      <c r="E428" s="68">
        <v>0</v>
      </c>
      <c r="F428" s="68" t="s">
        <v>1285</v>
      </c>
      <c r="G428" s="68" t="s">
        <v>1285</v>
      </c>
      <c r="H428" s="68" t="s">
        <v>1285</v>
      </c>
      <c r="I428" s="68">
        <v>0</v>
      </c>
      <c r="J428" s="68" t="s">
        <v>1278</v>
      </c>
    </row>
    <row r="429" spans="1:10" ht="12.75" customHeight="1">
      <c r="A429" s="71"/>
      <c r="B429" s="71" t="s">
        <v>1293</v>
      </c>
      <c r="C429" s="68" t="s">
        <v>1278</v>
      </c>
      <c r="D429" s="68" t="s">
        <v>1285</v>
      </c>
      <c r="E429" s="68" t="s">
        <v>1278</v>
      </c>
      <c r="F429" s="68" t="s">
        <v>1285</v>
      </c>
      <c r="G429" s="68">
        <v>0</v>
      </c>
      <c r="H429" s="68" t="s">
        <v>1285</v>
      </c>
      <c r="I429" s="68" t="s">
        <v>1278</v>
      </c>
      <c r="J429" s="68" t="s">
        <v>1278</v>
      </c>
    </row>
    <row r="430" spans="1:10" ht="12.75" customHeight="1">
      <c r="A430" s="71"/>
      <c r="B430" s="71" t="s">
        <v>1294</v>
      </c>
      <c r="C430" s="68" t="s">
        <v>1278</v>
      </c>
      <c r="D430" s="68" t="s">
        <v>1278</v>
      </c>
      <c r="E430" s="68">
        <v>0</v>
      </c>
      <c r="F430" s="68" t="s">
        <v>1285</v>
      </c>
      <c r="G430" s="68" t="s">
        <v>1285</v>
      </c>
      <c r="H430" s="68">
        <v>0</v>
      </c>
      <c r="I430" s="68">
        <v>0</v>
      </c>
      <c r="J430" s="68" t="s">
        <v>1278</v>
      </c>
    </row>
    <row r="431" spans="1:10" ht="12.75" customHeight="1">
      <c r="A431" s="71"/>
      <c r="B431" s="71" t="s">
        <v>1295</v>
      </c>
      <c r="C431" s="68" t="s">
        <v>1278</v>
      </c>
      <c r="D431" s="68" t="s">
        <v>1285</v>
      </c>
      <c r="E431" s="68">
        <v>0</v>
      </c>
      <c r="F431" s="68">
        <v>0</v>
      </c>
      <c r="G431" s="68">
        <v>1</v>
      </c>
      <c r="H431" s="68" t="s">
        <v>1285</v>
      </c>
      <c r="I431" s="68">
        <v>0</v>
      </c>
      <c r="J431" s="68" t="s">
        <v>1278</v>
      </c>
    </row>
    <row r="432" spans="1:10" ht="12.75" customHeight="1">
      <c r="A432" s="71"/>
      <c r="B432" s="69" t="s">
        <v>1296</v>
      </c>
      <c r="C432" s="68">
        <v>42</v>
      </c>
      <c r="D432" s="68">
        <v>0</v>
      </c>
      <c r="E432" s="68">
        <v>0</v>
      </c>
      <c r="F432" s="68">
        <v>0</v>
      </c>
      <c r="G432" s="68">
        <v>0</v>
      </c>
      <c r="H432" s="68">
        <v>0</v>
      </c>
      <c r="I432" s="68">
        <v>0</v>
      </c>
      <c r="J432" s="68">
        <v>42</v>
      </c>
    </row>
    <row r="433" spans="1:10" ht="12.75" customHeight="1">
      <c r="A433" s="71"/>
      <c r="B433" s="69"/>
      <c r="C433" s="68"/>
      <c r="D433" s="68"/>
      <c r="E433" s="68"/>
      <c r="F433" s="68"/>
      <c r="G433" s="68"/>
      <c r="H433" s="68"/>
      <c r="I433" s="68"/>
      <c r="J433" s="68"/>
    </row>
    <row r="434" spans="1:10" s="73" customFormat="1" ht="12.75" customHeight="1">
      <c r="A434" s="69" t="s">
        <v>1334</v>
      </c>
      <c r="B434" s="69" t="s">
        <v>1335</v>
      </c>
      <c r="C434" s="74"/>
      <c r="D434" s="74"/>
      <c r="E434" s="74"/>
      <c r="F434" s="74"/>
      <c r="G434" s="74"/>
      <c r="H434" s="74"/>
      <c r="I434" s="74"/>
      <c r="J434" s="74"/>
    </row>
    <row r="435" spans="1:10" s="73" customFormat="1" ht="12.75" customHeight="1">
      <c r="A435" s="69"/>
      <c r="B435" s="69"/>
      <c r="C435" s="74"/>
      <c r="D435" s="74"/>
      <c r="E435" s="74"/>
      <c r="F435" s="74"/>
      <c r="G435" s="74"/>
      <c r="H435" s="74"/>
      <c r="I435" s="74"/>
      <c r="J435" s="74"/>
    </row>
    <row r="436" spans="1:10" s="73" customFormat="1" ht="12.75" customHeight="1">
      <c r="A436" s="69"/>
      <c r="B436" s="69"/>
      <c r="C436" s="74"/>
      <c r="D436" s="74"/>
      <c r="E436" s="74"/>
      <c r="F436" s="74"/>
      <c r="G436" s="74"/>
      <c r="H436" s="74"/>
      <c r="I436" s="74"/>
      <c r="J436" s="74"/>
    </row>
    <row r="437" spans="1:10" ht="12.75" customHeight="1">
      <c r="A437" s="71"/>
      <c r="B437" s="69" t="s">
        <v>1276</v>
      </c>
      <c r="C437" s="68">
        <v>78</v>
      </c>
      <c r="D437" s="68">
        <v>22</v>
      </c>
      <c r="E437" s="68" t="s">
        <v>1285</v>
      </c>
      <c r="F437" s="68" t="s">
        <v>1299</v>
      </c>
      <c r="G437" s="68">
        <v>15</v>
      </c>
      <c r="H437" s="68">
        <v>1</v>
      </c>
      <c r="I437" s="68" t="s">
        <v>1285</v>
      </c>
      <c r="J437" s="68">
        <v>35</v>
      </c>
    </row>
    <row r="438" spans="1:10" ht="12.75" customHeight="1">
      <c r="A438" s="71"/>
      <c r="B438" s="69" t="s">
        <v>1277</v>
      </c>
      <c r="C438" s="68" t="s">
        <v>1278</v>
      </c>
      <c r="D438" s="68">
        <v>1</v>
      </c>
      <c r="E438" s="68">
        <v>0</v>
      </c>
      <c r="F438" s="68" t="s">
        <v>1285</v>
      </c>
      <c r="G438" s="68">
        <v>2</v>
      </c>
      <c r="H438" s="68" t="s">
        <v>1285</v>
      </c>
      <c r="I438" s="68">
        <v>0</v>
      </c>
      <c r="J438" s="68" t="s">
        <v>1278</v>
      </c>
    </row>
    <row r="439" spans="1:10" ht="12.75" customHeight="1">
      <c r="A439" s="71"/>
      <c r="B439" s="71" t="s">
        <v>1279</v>
      </c>
      <c r="C439" s="68" t="s">
        <v>1278</v>
      </c>
      <c r="D439" s="68">
        <v>1</v>
      </c>
      <c r="E439" s="68">
        <v>0</v>
      </c>
      <c r="F439" s="68" t="s">
        <v>1285</v>
      </c>
      <c r="G439" s="68">
        <v>1</v>
      </c>
      <c r="H439" s="68" t="s">
        <v>1285</v>
      </c>
      <c r="I439" s="68">
        <v>0</v>
      </c>
      <c r="J439" s="68" t="s">
        <v>1278</v>
      </c>
    </row>
    <row r="440" spans="1:10" ht="12.75" customHeight="1">
      <c r="A440" s="71"/>
      <c r="B440" s="71" t="s">
        <v>1280</v>
      </c>
      <c r="C440" s="68" t="s">
        <v>1278</v>
      </c>
      <c r="D440" s="68">
        <v>0</v>
      </c>
      <c r="E440" s="68">
        <v>0</v>
      </c>
      <c r="F440" s="68" t="s">
        <v>1285</v>
      </c>
      <c r="G440" s="68">
        <v>2</v>
      </c>
      <c r="H440" s="68" t="s">
        <v>1285</v>
      </c>
      <c r="I440" s="68">
        <v>0</v>
      </c>
      <c r="J440" s="68" t="s">
        <v>1278</v>
      </c>
    </row>
    <row r="441" spans="1:10" ht="12.75" customHeight="1">
      <c r="A441" s="71"/>
      <c r="B441" s="69" t="s">
        <v>1281</v>
      </c>
      <c r="C441" s="68" t="s">
        <v>1278</v>
      </c>
      <c r="D441" s="68">
        <v>16</v>
      </c>
      <c r="E441" s="68">
        <v>0</v>
      </c>
      <c r="F441" s="68" t="s">
        <v>1299</v>
      </c>
      <c r="G441" s="68">
        <v>8</v>
      </c>
      <c r="H441" s="68" t="s">
        <v>1285</v>
      </c>
      <c r="I441" s="68" t="s">
        <v>1285</v>
      </c>
      <c r="J441" s="68" t="s">
        <v>1278</v>
      </c>
    </row>
    <row r="442" spans="1:10" ht="12.75" customHeight="1">
      <c r="A442" s="71"/>
      <c r="B442" s="71" t="s">
        <v>1283</v>
      </c>
      <c r="C442" s="68" t="s">
        <v>1278</v>
      </c>
      <c r="D442" s="68">
        <v>1</v>
      </c>
      <c r="E442" s="68">
        <v>0</v>
      </c>
      <c r="F442" s="68" t="s">
        <v>1285</v>
      </c>
      <c r="G442" s="68">
        <v>7</v>
      </c>
      <c r="H442" s="68" t="s">
        <v>1285</v>
      </c>
      <c r="I442" s="68" t="s">
        <v>1285</v>
      </c>
      <c r="J442" s="68" t="s">
        <v>1278</v>
      </c>
    </row>
    <row r="443" spans="1:10" ht="12.75" customHeight="1">
      <c r="A443" s="71"/>
      <c r="B443" s="71" t="s">
        <v>1284</v>
      </c>
      <c r="C443" s="68" t="s">
        <v>1278</v>
      </c>
      <c r="D443" s="68" t="s">
        <v>1285</v>
      </c>
      <c r="E443" s="68">
        <v>0</v>
      </c>
      <c r="F443" s="68" t="s">
        <v>1285</v>
      </c>
      <c r="G443" s="68" t="s">
        <v>1285</v>
      </c>
      <c r="H443" s="68" t="s">
        <v>1285</v>
      </c>
      <c r="I443" s="68">
        <v>0</v>
      </c>
      <c r="J443" s="68" t="s">
        <v>1278</v>
      </c>
    </row>
    <row r="444" spans="1:10" ht="12.75" customHeight="1">
      <c r="A444" s="71"/>
      <c r="B444" s="71" t="s">
        <v>1286</v>
      </c>
      <c r="C444" s="68" t="s">
        <v>1278</v>
      </c>
      <c r="D444" s="68">
        <v>14</v>
      </c>
      <c r="E444" s="68">
        <v>0</v>
      </c>
      <c r="F444" s="68" t="s">
        <v>1285</v>
      </c>
      <c r="G444" s="68" t="s">
        <v>1299</v>
      </c>
      <c r="H444" s="68" t="s">
        <v>1285</v>
      </c>
      <c r="I444" s="68">
        <v>0</v>
      </c>
      <c r="J444" s="68" t="s">
        <v>1278</v>
      </c>
    </row>
    <row r="445" spans="1:10" ht="12.75" customHeight="1">
      <c r="A445" s="71"/>
      <c r="B445" s="71" t="s">
        <v>1287</v>
      </c>
      <c r="C445" s="68" t="s">
        <v>1278</v>
      </c>
      <c r="D445" s="68" t="s">
        <v>1285</v>
      </c>
      <c r="E445" s="68" t="s">
        <v>1278</v>
      </c>
      <c r="F445" s="68" t="s">
        <v>1278</v>
      </c>
      <c r="G445" s="68" t="s">
        <v>1278</v>
      </c>
      <c r="H445" s="68" t="s">
        <v>1278</v>
      </c>
      <c r="I445" s="68" t="s">
        <v>1278</v>
      </c>
      <c r="J445" s="68" t="s">
        <v>1278</v>
      </c>
    </row>
    <row r="446" spans="1:10" ht="12.75" customHeight="1">
      <c r="A446" s="71"/>
      <c r="B446" s="71" t="s">
        <v>1288</v>
      </c>
      <c r="C446" s="68" t="s">
        <v>1278</v>
      </c>
      <c r="D446" s="68" t="s">
        <v>1285</v>
      </c>
      <c r="E446" s="68">
        <v>0</v>
      </c>
      <c r="F446" s="68" t="s">
        <v>1299</v>
      </c>
      <c r="G446" s="68" t="s">
        <v>1285</v>
      </c>
      <c r="H446" s="68" t="s">
        <v>1285</v>
      </c>
      <c r="I446" s="68">
        <v>0</v>
      </c>
      <c r="J446" s="68" t="s">
        <v>1278</v>
      </c>
    </row>
    <row r="447" spans="1:10" ht="12.75" customHeight="1">
      <c r="A447" s="71"/>
      <c r="B447" s="69" t="s">
        <v>1289</v>
      </c>
      <c r="C447" s="68" t="s">
        <v>1278</v>
      </c>
      <c r="D447" s="68">
        <v>5</v>
      </c>
      <c r="E447" s="68" t="s">
        <v>1285</v>
      </c>
      <c r="F447" s="68">
        <v>1</v>
      </c>
      <c r="G447" s="68">
        <v>5</v>
      </c>
      <c r="H447" s="68">
        <v>1</v>
      </c>
      <c r="I447" s="68" t="s">
        <v>1285</v>
      </c>
      <c r="J447" s="68" t="s">
        <v>1278</v>
      </c>
    </row>
    <row r="448" spans="1:10" ht="12.75" customHeight="1">
      <c r="A448" s="71"/>
      <c r="B448" s="71" t="s">
        <v>1290</v>
      </c>
      <c r="C448" s="68" t="s">
        <v>1278</v>
      </c>
      <c r="D448" s="68">
        <v>2</v>
      </c>
      <c r="E448" s="68" t="s">
        <v>1285</v>
      </c>
      <c r="F448" s="68" t="s">
        <v>1285</v>
      </c>
      <c r="G448" s="68">
        <v>4</v>
      </c>
      <c r="H448" s="68" t="s">
        <v>1285</v>
      </c>
      <c r="I448" s="68" t="s">
        <v>1285</v>
      </c>
      <c r="J448" s="68" t="s">
        <v>1278</v>
      </c>
    </row>
    <row r="449" spans="1:10" ht="12.75" customHeight="1">
      <c r="A449" s="71"/>
      <c r="B449" s="71" t="s">
        <v>1291</v>
      </c>
      <c r="C449" s="68" t="s">
        <v>1278</v>
      </c>
      <c r="D449" s="68">
        <v>2</v>
      </c>
      <c r="E449" s="68" t="s">
        <v>1278</v>
      </c>
      <c r="F449" s="68" t="s">
        <v>1278</v>
      </c>
      <c r="G449" s="68" t="s">
        <v>1278</v>
      </c>
      <c r="H449" s="68" t="s">
        <v>1278</v>
      </c>
      <c r="I449" s="68" t="s">
        <v>1278</v>
      </c>
      <c r="J449" s="68" t="s">
        <v>1278</v>
      </c>
    </row>
    <row r="450" spans="1:10" ht="12.75" customHeight="1">
      <c r="A450" s="71"/>
      <c r="B450" s="71" t="s">
        <v>1292</v>
      </c>
      <c r="C450" s="68" t="s">
        <v>1278</v>
      </c>
      <c r="D450" s="68">
        <v>1</v>
      </c>
      <c r="E450" s="68">
        <v>0</v>
      </c>
      <c r="F450" s="68">
        <v>0</v>
      </c>
      <c r="G450" s="68" t="s">
        <v>1285</v>
      </c>
      <c r="H450" s="68" t="s">
        <v>1285</v>
      </c>
      <c r="I450" s="68">
        <v>0</v>
      </c>
      <c r="J450" s="68" t="s">
        <v>1278</v>
      </c>
    </row>
    <row r="451" spans="1:10" ht="12.75" customHeight="1">
      <c r="A451" s="71"/>
      <c r="B451" s="71" t="s">
        <v>1293</v>
      </c>
      <c r="C451" s="68" t="s">
        <v>1278</v>
      </c>
      <c r="D451" s="68" t="s">
        <v>1285</v>
      </c>
      <c r="E451" s="68" t="s">
        <v>1278</v>
      </c>
      <c r="F451" s="68">
        <v>1</v>
      </c>
      <c r="G451" s="68" t="s">
        <v>1285</v>
      </c>
      <c r="H451" s="68">
        <v>1</v>
      </c>
      <c r="I451" s="68" t="s">
        <v>1278</v>
      </c>
      <c r="J451" s="68" t="s">
        <v>1278</v>
      </c>
    </row>
    <row r="452" spans="1:10" ht="12.75" customHeight="1">
      <c r="A452" s="71"/>
      <c r="B452" s="71" t="s">
        <v>1294</v>
      </c>
      <c r="C452" s="68" t="s">
        <v>1278</v>
      </c>
      <c r="D452" s="68" t="s">
        <v>1278</v>
      </c>
      <c r="E452" s="68">
        <v>0</v>
      </c>
      <c r="F452" s="68" t="s">
        <v>1285</v>
      </c>
      <c r="G452" s="68" t="s">
        <v>1285</v>
      </c>
      <c r="H452" s="68">
        <v>0</v>
      </c>
      <c r="I452" s="68">
        <v>0</v>
      </c>
      <c r="J452" s="68" t="s">
        <v>1278</v>
      </c>
    </row>
    <row r="453" spans="1:10" ht="12.75" customHeight="1">
      <c r="A453" s="71"/>
      <c r="B453" s="71" t="s">
        <v>1295</v>
      </c>
      <c r="C453" s="68" t="s">
        <v>1278</v>
      </c>
      <c r="D453" s="68" t="s">
        <v>1285</v>
      </c>
      <c r="E453" s="68">
        <v>0</v>
      </c>
      <c r="F453" s="68" t="s">
        <v>1285</v>
      </c>
      <c r="G453" s="68" t="s">
        <v>1285</v>
      </c>
      <c r="H453" s="68" t="s">
        <v>1285</v>
      </c>
      <c r="I453" s="68">
        <v>0</v>
      </c>
      <c r="J453" s="68" t="s">
        <v>1278</v>
      </c>
    </row>
    <row r="454" spans="1:10" ht="12.75" customHeight="1">
      <c r="A454" s="71"/>
      <c r="B454" s="69" t="s">
        <v>1296</v>
      </c>
      <c r="C454" s="68">
        <v>35</v>
      </c>
      <c r="D454" s="68" t="s">
        <v>1285</v>
      </c>
      <c r="E454" s="68">
        <v>0</v>
      </c>
      <c r="F454" s="68">
        <v>0</v>
      </c>
      <c r="G454" s="68" t="s">
        <v>1285</v>
      </c>
      <c r="H454" s="68" t="s">
        <v>1285</v>
      </c>
      <c r="I454" s="68">
        <v>0</v>
      </c>
      <c r="J454" s="68">
        <v>35</v>
      </c>
    </row>
    <row r="455" spans="1:10" ht="12.75" customHeight="1">
      <c r="A455" s="71"/>
      <c r="B455" s="69"/>
      <c r="C455" s="68"/>
      <c r="D455" s="68"/>
      <c r="E455" s="68"/>
      <c r="F455" s="68"/>
      <c r="G455" s="68"/>
      <c r="H455" s="68"/>
      <c r="I455" s="68"/>
      <c r="J455" s="68"/>
    </row>
    <row r="456" spans="1:10" s="73" customFormat="1" ht="12.75" customHeight="1">
      <c r="A456" s="69" t="s">
        <v>1336</v>
      </c>
      <c r="B456" s="69" t="s">
        <v>1337</v>
      </c>
      <c r="C456" s="74"/>
      <c r="D456" s="74"/>
      <c r="E456" s="74"/>
      <c r="F456" s="74"/>
      <c r="G456" s="74"/>
      <c r="H456" s="74"/>
      <c r="I456" s="74"/>
      <c r="J456" s="74"/>
    </row>
    <row r="457" spans="1:10" s="73" customFormat="1" ht="12.75" customHeight="1">
      <c r="A457" s="69"/>
      <c r="B457" s="69"/>
      <c r="C457" s="74"/>
      <c r="D457" s="74"/>
      <c r="E457" s="74"/>
      <c r="F457" s="74"/>
      <c r="G457" s="74"/>
      <c r="H457" s="74"/>
      <c r="I457" s="74"/>
      <c r="J457" s="74"/>
    </row>
    <row r="458" spans="1:10" s="73" customFormat="1" ht="12.75" customHeight="1">
      <c r="A458" s="69"/>
      <c r="B458" s="69"/>
      <c r="C458" s="74"/>
      <c r="D458" s="74"/>
      <c r="E458" s="74"/>
      <c r="F458" s="74"/>
      <c r="G458" s="74"/>
      <c r="H458" s="74"/>
      <c r="I458" s="74"/>
      <c r="J458" s="74"/>
    </row>
    <row r="459" spans="1:10" ht="12.75" customHeight="1">
      <c r="A459" s="71"/>
      <c r="B459" s="69" t="s">
        <v>1276</v>
      </c>
      <c r="C459" s="68">
        <v>2039</v>
      </c>
      <c r="D459" s="68">
        <v>174</v>
      </c>
      <c r="E459" s="68">
        <v>9</v>
      </c>
      <c r="F459" s="68">
        <v>4</v>
      </c>
      <c r="G459" s="68">
        <v>572</v>
      </c>
      <c r="H459" s="68">
        <v>3</v>
      </c>
      <c r="I459" s="68">
        <v>54</v>
      </c>
      <c r="J459" s="68">
        <v>1223</v>
      </c>
    </row>
    <row r="460" spans="1:10" ht="12.75" customHeight="1">
      <c r="A460" s="71"/>
      <c r="B460" s="69" t="s">
        <v>1277</v>
      </c>
      <c r="C460" s="68" t="s">
        <v>1278</v>
      </c>
      <c r="D460" s="68">
        <v>5</v>
      </c>
      <c r="E460" s="68">
        <v>7</v>
      </c>
      <c r="F460" s="68">
        <v>2</v>
      </c>
      <c r="G460" s="68">
        <v>386</v>
      </c>
      <c r="H460" s="68" t="s">
        <v>1285</v>
      </c>
      <c r="I460" s="68">
        <v>52</v>
      </c>
      <c r="J460" s="68" t="s">
        <v>1278</v>
      </c>
    </row>
    <row r="461" spans="1:10" ht="12.75" customHeight="1">
      <c r="A461" s="71"/>
      <c r="B461" s="71" t="s">
        <v>1279</v>
      </c>
      <c r="C461" s="68" t="s">
        <v>1278</v>
      </c>
      <c r="D461" s="68">
        <v>5</v>
      </c>
      <c r="E461" s="68">
        <v>1</v>
      </c>
      <c r="F461" s="68" t="s">
        <v>1285</v>
      </c>
      <c r="G461" s="68">
        <v>65</v>
      </c>
      <c r="H461" s="68" t="s">
        <v>1285</v>
      </c>
      <c r="I461" s="68">
        <v>1</v>
      </c>
      <c r="J461" s="68" t="s">
        <v>1278</v>
      </c>
    </row>
    <row r="462" spans="1:10" ht="12.75" customHeight="1">
      <c r="A462" s="71"/>
      <c r="B462" s="71" t="s">
        <v>1280</v>
      </c>
      <c r="C462" s="68" t="s">
        <v>1278</v>
      </c>
      <c r="D462" s="68">
        <v>0</v>
      </c>
      <c r="E462" s="68">
        <v>5</v>
      </c>
      <c r="F462" s="68">
        <v>2</v>
      </c>
      <c r="G462" s="68">
        <v>321</v>
      </c>
      <c r="H462" s="68" t="s">
        <v>1285</v>
      </c>
      <c r="I462" s="68">
        <v>51</v>
      </c>
      <c r="J462" s="68" t="s">
        <v>1278</v>
      </c>
    </row>
    <row r="463" spans="1:10" ht="12.75" customHeight="1">
      <c r="A463" s="71"/>
      <c r="B463" s="69" t="s">
        <v>1281</v>
      </c>
      <c r="C463" s="68" t="s">
        <v>1278</v>
      </c>
      <c r="D463" s="68">
        <v>146</v>
      </c>
      <c r="E463" s="68">
        <v>2</v>
      </c>
      <c r="F463" s="68" t="s">
        <v>1285</v>
      </c>
      <c r="G463" s="68">
        <v>158</v>
      </c>
      <c r="H463" s="68" t="s">
        <v>1285</v>
      </c>
      <c r="I463" s="68">
        <v>1</v>
      </c>
      <c r="J463" s="68" t="s">
        <v>1278</v>
      </c>
    </row>
    <row r="464" spans="1:10" ht="12.75" customHeight="1">
      <c r="A464" s="71"/>
      <c r="B464" s="71" t="s">
        <v>1283</v>
      </c>
      <c r="C464" s="68" t="s">
        <v>1278</v>
      </c>
      <c r="D464" s="68">
        <v>5</v>
      </c>
      <c r="E464" s="68">
        <v>2</v>
      </c>
      <c r="F464" s="68" t="s">
        <v>1285</v>
      </c>
      <c r="G464" s="68">
        <v>143</v>
      </c>
      <c r="H464" s="68" t="s">
        <v>1285</v>
      </c>
      <c r="I464" s="68">
        <v>0</v>
      </c>
      <c r="J464" s="68" t="s">
        <v>1278</v>
      </c>
    </row>
    <row r="465" spans="1:10" ht="12.75" customHeight="1">
      <c r="A465" s="71"/>
      <c r="B465" s="71" t="s">
        <v>1284</v>
      </c>
      <c r="C465" s="68" t="s">
        <v>1278</v>
      </c>
      <c r="D465" s="68">
        <v>5</v>
      </c>
      <c r="E465" s="68">
        <v>0</v>
      </c>
      <c r="F465" s="68">
        <v>0</v>
      </c>
      <c r="G465" s="68" t="s">
        <v>1285</v>
      </c>
      <c r="H465" s="68" t="s">
        <v>1285</v>
      </c>
      <c r="I465" s="68">
        <v>0</v>
      </c>
      <c r="J465" s="68" t="s">
        <v>1278</v>
      </c>
    </row>
    <row r="466" spans="1:10" ht="12.75" customHeight="1">
      <c r="A466" s="71"/>
      <c r="B466" s="71" t="s">
        <v>1286</v>
      </c>
      <c r="C466" s="68" t="s">
        <v>1278</v>
      </c>
      <c r="D466" s="68">
        <v>133</v>
      </c>
      <c r="E466" s="68">
        <v>0</v>
      </c>
      <c r="F466" s="68" t="s">
        <v>1285</v>
      </c>
      <c r="G466" s="68">
        <v>7</v>
      </c>
      <c r="H466" s="68" t="s">
        <v>1285</v>
      </c>
      <c r="I466" s="68">
        <v>1</v>
      </c>
      <c r="J466" s="68" t="s">
        <v>1278</v>
      </c>
    </row>
    <row r="467" spans="1:10" ht="12.75" customHeight="1">
      <c r="A467" s="71"/>
      <c r="B467" s="71" t="s">
        <v>1287</v>
      </c>
      <c r="C467" s="68" t="s">
        <v>1278</v>
      </c>
      <c r="D467" s="68">
        <v>2</v>
      </c>
      <c r="E467" s="68" t="s">
        <v>1278</v>
      </c>
      <c r="F467" s="68" t="s">
        <v>1278</v>
      </c>
      <c r="G467" s="68" t="s">
        <v>1278</v>
      </c>
      <c r="H467" s="68" t="s">
        <v>1278</v>
      </c>
      <c r="I467" s="68" t="s">
        <v>1278</v>
      </c>
      <c r="J467" s="68" t="s">
        <v>1278</v>
      </c>
    </row>
    <row r="468" spans="1:10" ht="12.75" customHeight="1">
      <c r="A468" s="71"/>
      <c r="B468" s="71" t="s">
        <v>1288</v>
      </c>
      <c r="C468" s="68" t="s">
        <v>1278</v>
      </c>
      <c r="D468" s="68">
        <v>1</v>
      </c>
      <c r="E468" s="68">
        <v>0</v>
      </c>
      <c r="F468" s="68" t="s">
        <v>1285</v>
      </c>
      <c r="G468" s="68">
        <v>7</v>
      </c>
      <c r="H468" s="68" t="s">
        <v>1285</v>
      </c>
      <c r="I468" s="68" t="s">
        <v>1285</v>
      </c>
      <c r="J468" s="68" t="s">
        <v>1278</v>
      </c>
    </row>
    <row r="469" spans="1:10" ht="12.75" customHeight="1">
      <c r="A469" s="71"/>
      <c r="B469" s="69" t="s">
        <v>1289</v>
      </c>
      <c r="C469" s="68" t="s">
        <v>1278</v>
      </c>
      <c r="D469" s="68">
        <v>22</v>
      </c>
      <c r="E469" s="68" t="s">
        <v>1285</v>
      </c>
      <c r="F469" s="68">
        <v>2</v>
      </c>
      <c r="G469" s="68">
        <v>27</v>
      </c>
      <c r="H469" s="68">
        <v>2</v>
      </c>
      <c r="I469" s="68">
        <v>0</v>
      </c>
      <c r="J469" s="68" t="s">
        <v>1278</v>
      </c>
    </row>
    <row r="470" spans="1:10" ht="12.75" customHeight="1">
      <c r="A470" s="71"/>
      <c r="B470" s="71" t="s">
        <v>1290</v>
      </c>
      <c r="C470" s="68" t="s">
        <v>1278</v>
      </c>
      <c r="D470" s="68">
        <v>10</v>
      </c>
      <c r="E470" s="68" t="s">
        <v>1285</v>
      </c>
      <c r="F470" s="68" t="s">
        <v>1285</v>
      </c>
      <c r="G470" s="68">
        <v>18</v>
      </c>
      <c r="H470" s="68" t="s">
        <v>1285</v>
      </c>
      <c r="I470" s="68">
        <v>0</v>
      </c>
      <c r="J470" s="68" t="s">
        <v>1278</v>
      </c>
    </row>
    <row r="471" spans="1:10" ht="12.75" customHeight="1">
      <c r="A471" s="71"/>
      <c r="B471" s="71" t="s">
        <v>1291</v>
      </c>
      <c r="C471" s="68" t="s">
        <v>1278</v>
      </c>
      <c r="D471" s="68">
        <v>9</v>
      </c>
      <c r="E471" s="68" t="s">
        <v>1278</v>
      </c>
      <c r="F471" s="68" t="s">
        <v>1278</v>
      </c>
      <c r="G471" s="68" t="s">
        <v>1278</v>
      </c>
      <c r="H471" s="68" t="s">
        <v>1278</v>
      </c>
      <c r="I471" s="68" t="s">
        <v>1278</v>
      </c>
      <c r="J471" s="68" t="s">
        <v>1278</v>
      </c>
    </row>
    <row r="472" spans="1:10" ht="12.75" customHeight="1">
      <c r="A472" s="71"/>
      <c r="B472" s="71" t="s">
        <v>1292</v>
      </c>
      <c r="C472" s="68" t="s">
        <v>1278</v>
      </c>
      <c r="D472" s="68">
        <v>3</v>
      </c>
      <c r="E472" s="68">
        <v>0</v>
      </c>
      <c r="F472" s="68" t="s">
        <v>1285</v>
      </c>
      <c r="G472" s="68">
        <v>2</v>
      </c>
      <c r="H472" s="68" t="s">
        <v>1285</v>
      </c>
      <c r="I472" s="68">
        <v>0</v>
      </c>
      <c r="J472" s="68" t="s">
        <v>1278</v>
      </c>
    </row>
    <row r="473" spans="1:10" ht="12.75" customHeight="1">
      <c r="A473" s="71"/>
      <c r="B473" s="71" t="s">
        <v>1293</v>
      </c>
      <c r="C473" s="68" t="s">
        <v>1278</v>
      </c>
      <c r="D473" s="68">
        <v>1</v>
      </c>
      <c r="E473" s="68" t="s">
        <v>1278</v>
      </c>
      <c r="F473" s="68">
        <v>2</v>
      </c>
      <c r="G473" s="68" t="s">
        <v>1285</v>
      </c>
      <c r="H473" s="68">
        <v>2</v>
      </c>
      <c r="I473" s="68" t="s">
        <v>1278</v>
      </c>
      <c r="J473" s="68" t="s">
        <v>1278</v>
      </c>
    </row>
    <row r="474" spans="1:10" ht="12.75" customHeight="1">
      <c r="A474" s="71"/>
      <c r="B474" s="71" t="s">
        <v>1294</v>
      </c>
      <c r="C474" s="68" t="s">
        <v>1278</v>
      </c>
      <c r="D474" s="68" t="s">
        <v>1278</v>
      </c>
      <c r="E474" s="68" t="s">
        <v>1285</v>
      </c>
      <c r="F474" s="68" t="s">
        <v>1285</v>
      </c>
      <c r="G474" s="68">
        <v>6</v>
      </c>
      <c r="H474" s="68" t="s">
        <v>1285</v>
      </c>
      <c r="I474" s="68">
        <v>0</v>
      </c>
      <c r="J474" s="68" t="s">
        <v>1278</v>
      </c>
    </row>
    <row r="475" spans="1:10" ht="12.75" customHeight="1">
      <c r="A475" s="71"/>
      <c r="B475" s="71" t="s">
        <v>1295</v>
      </c>
      <c r="C475" s="68" t="s">
        <v>1278</v>
      </c>
      <c r="D475" s="68" t="s">
        <v>1285</v>
      </c>
      <c r="E475" s="68">
        <v>0</v>
      </c>
      <c r="F475" s="68" t="s">
        <v>1285</v>
      </c>
      <c r="G475" s="68" t="s">
        <v>1285</v>
      </c>
      <c r="H475" s="68" t="s">
        <v>1285</v>
      </c>
      <c r="I475" s="68">
        <v>0</v>
      </c>
      <c r="J475" s="68" t="s">
        <v>1278</v>
      </c>
    </row>
    <row r="476" spans="1:10" ht="12.75" customHeight="1">
      <c r="A476" s="71"/>
      <c r="B476" s="69" t="s">
        <v>1296</v>
      </c>
      <c r="C476" s="68">
        <v>1226</v>
      </c>
      <c r="D476" s="68" t="s">
        <v>1299</v>
      </c>
      <c r="E476" s="68" t="s">
        <v>1285</v>
      </c>
      <c r="F476" s="68" t="s">
        <v>1285</v>
      </c>
      <c r="G476" s="68" t="s">
        <v>1299</v>
      </c>
      <c r="H476" s="68" t="s">
        <v>1285</v>
      </c>
      <c r="I476" s="68">
        <v>0</v>
      </c>
      <c r="J476" s="68">
        <v>1223</v>
      </c>
    </row>
    <row r="477" spans="1:10" ht="12.75" customHeight="1">
      <c r="A477" s="71"/>
      <c r="B477" s="69"/>
      <c r="C477" s="68"/>
      <c r="D477" s="68"/>
      <c r="E477" s="68"/>
      <c r="F477" s="68"/>
      <c r="G477" s="68"/>
      <c r="H477" s="68"/>
      <c r="I477" s="68"/>
      <c r="J477" s="68"/>
    </row>
    <row r="478" spans="1:10" s="73" customFormat="1" ht="12.75" customHeight="1">
      <c r="A478" s="69" t="s">
        <v>1338</v>
      </c>
      <c r="B478" s="69" t="s">
        <v>1339</v>
      </c>
      <c r="C478" s="74"/>
      <c r="D478" s="74"/>
      <c r="E478" s="74"/>
      <c r="F478" s="74"/>
      <c r="G478" s="74"/>
      <c r="H478" s="74"/>
      <c r="I478" s="74"/>
      <c r="J478" s="74"/>
    </row>
    <row r="479" spans="1:10" s="73" customFormat="1" ht="12.75" customHeight="1">
      <c r="A479" s="69"/>
      <c r="B479" s="69"/>
      <c r="C479" s="74"/>
      <c r="D479" s="74"/>
      <c r="E479" s="74"/>
      <c r="F479" s="74"/>
      <c r="G479" s="74"/>
      <c r="H479" s="74"/>
      <c r="I479" s="74"/>
      <c r="J479" s="74"/>
    </row>
    <row r="480" spans="1:10" s="73" customFormat="1" ht="12.75" customHeight="1">
      <c r="A480" s="69"/>
      <c r="B480" s="69"/>
      <c r="C480" s="74"/>
      <c r="D480" s="74"/>
      <c r="E480" s="74"/>
      <c r="F480" s="74"/>
      <c r="G480" s="74"/>
      <c r="H480" s="74"/>
      <c r="I480" s="74"/>
      <c r="J480" s="74"/>
    </row>
    <row r="481" spans="1:10" ht="12.75" customHeight="1">
      <c r="A481" s="71"/>
      <c r="B481" s="69" t="s">
        <v>1276</v>
      </c>
      <c r="C481" s="68">
        <v>292</v>
      </c>
      <c r="D481" s="68">
        <v>5</v>
      </c>
      <c r="E481" s="68">
        <v>3</v>
      </c>
      <c r="F481" s="68">
        <v>1</v>
      </c>
      <c r="G481" s="68">
        <v>40</v>
      </c>
      <c r="H481" s="68" t="s">
        <v>1285</v>
      </c>
      <c r="I481" s="68" t="s">
        <v>1285</v>
      </c>
      <c r="J481" s="68">
        <v>242</v>
      </c>
    </row>
    <row r="482" spans="1:10" ht="12.75" customHeight="1">
      <c r="A482" s="71"/>
      <c r="B482" s="69" t="s">
        <v>1277</v>
      </c>
      <c r="C482" s="68" t="s">
        <v>1278</v>
      </c>
      <c r="D482" s="68" t="s">
        <v>1285</v>
      </c>
      <c r="E482" s="68">
        <v>2</v>
      </c>
      <c r="F482" s="68" t="s">
        <v>1285</v>
      </c>
      <c r="G482" s="68">
        <v>21</v>
      </c>
      <c r="H482" s="68" t="s">
        <v>1285</v>
      </c>
      <c r="I482" s="68" t="s">
        <v>1285</v>
      </c>
      <c r="J482" s="68" t="s">
        <v>1278</v>
      </c>
    </row>
    <row r="483" spans="1:10" ht="12.75" customHeight="1">
      <c r="A483" s="71"/>
      <c r="B483" s="71" t="s">
        <v>1279</v>
      </c>
      <c r="C483" s="68" t="s">
        <v>1278</v>
      </c>
      <c r="D483" s="68" t="s">
        <v>1285</v>
      </c>
      <c r="E483" s="68">
        <v>0</v>
      </c>
      <c r="F483" s="68" t="s">
        <v>1285</v>
      </c>
      <c r="G483" s="68">
        <v>1</v>
      </c>
      <c r="H483" s="68">
        <v>0</v>
      </c>
      <c r="I483" s="68">
        <v>0</v>
      </c>
      <c r="J483" s="68" t="s">
        <v>1278</v>
      </c>
    </row>
    <row r="484" spans="1:10" ht="12.75" customHeight="1">
      <c r="A484" s="71"/>
      <c r="B484" s="71" t="s">
        <v>1280</v>
      </c>
      <c r="C484" s="68" t="s">
        <v>1278</v>
      </c>
      <c r="D484" s="68">
        <v>0</v>
      </c>
      <c r="E484" s="68">
        <v>2</v>
      </c>
      <c r="F484" s="68" t="s">
        <v>1285</v>
      </c>
      <c r="G484" s="68">
        <v>21</v>
      </c>
      <c r="H484" s="68" t="s">
        <v>1285</v>
      </c>
      <c r="I484" s="68" t="s">
        <v>1285</v>
      </c>
      <c r="J484" s="68" t="s">
        <v>1278</v>
      </c>
    </row>
    <row r="485" spans="1:10" ht="12.75" customHeight="1">
      <c r="A485" s="71"/>
      <c r="B485" s="69" t="s">
        <v>1281</v>
      </c>
      <c r="C485" s="68" t="s">
        <v>1278</v>
      </c>
      <c r="D485" s="68">
        <v>5</v>
      </c>
      <c r="E485" s="68" t="s">
        <v>1285</v>
      </c>
      <c r="F485" s="68" t="s">
        <v>1285</v>
      </c>
      <c r="G485" s="68">
        <v>18</v>
      </c>
      <c r="H485" s="68">
        <v>0</v>
      </c>
      <c r="I485" s="68">
        <v>0</v>
      </c>
      <c r="J485" s="68" t="s">
        <v>1278</v>
      </c>
    </row>
    <row r="486" spans="1:10" ht="12.75" customHeight="1">
      <c r="A486" s="71"/>
      <c r="B486" s="71" t="s">
        <v>1283</v>
      </c>
      <c r="C486" s="68" t="s">
        <v>1278</v>
      </c>
      <c r="D486" s="68" t="s">
        <v>1285</v>
      </c>
      <c r="E486" s="68" t="s">
        <v>1285</v>
      </c>
      <c r="F486" s="68" t="s">
        <v>1285</v>
      </c>
      <c r="G486" s="68">
        <v>18</v>
      </c>
      <c r="H486" s="68">
        <v>0</v>
      </c>
      <c r="I486" s="68">
        <v>0</v>
      </c>
      <c r="J486" s="68" t="s">
        <v>1278</v>
      </c>
    </row>
    <row r="487" spans="1:10" ht="12.75" customHeight="1">
      <c r="A487" s="71"/>
      <c r="B487" s="71" t="s">
        <v>1284</v>
      </c>
      <c r="C487" s="68" t="s">
        <v>1278</v>
      </c>
      <c r="D487" s="68" t="s">
        <v>1285</v>
      </c>
      <c r="E487" s="68">
        <v>0</v>
      </c>
      <c r="F487" s="68">
        <v>0</v>
      </c>
      <c r="G487" s="68">
        <v>0</v>
      </c>
      <c r="H487" s="68">
        <v>0</v>
      </c>
      <c r="I487" s="68">
        <v>0</v>
      </c>
      <c r="J487" s="68" t="s">
        <v>1278</v>
      </c>
    </row>
    <row r="488" spans="1:10" ht="12.75" customHeight="1">
      <c r="A488" s="71"/>
      <c r="B488" s="71" t="s">
        <v>1286</v>
      </c>
      <c r="C488" s="68" t="s">
        <v>1278</v>
      </c>
      <c r="D488" s="68">
        <v>4</v>
      </c>
      <c r="E488" s="68">
        <v>0</v>
      </c>
      <c r="F488" s="68" t="s">
        <v>1285</v>
      </c>
      <c r="G488" s="68" t="s">
        <v>1285</v>
      </c>
      <c r="H488" s="68">
        <v>0</v>
      </c>
      <c r="I488" s="68">
        <v>0</v>
      </c>
      <c r="J488" s="68" t="s">
        <v>1278</v>
      </c>
    </row>
    <row r="489" spans="1:10" ht="12.75" customHeight="1">
      <c r="A489" s="71"/>
      <c r="B489" s="71" t="s">
        <v>1287</v>
      </c>
      <c r="C489" s="68" t="s">
        <v>1278</v>
      </c>
      <c r="D489" s="68" t="s">
        <v>1285</v>
      </c>
      <c r="E489" s="68" t="s">
        <v>1278</v>
      </c>
      <c r="F489" s="68" t="s">
        <v>1278</v>
      </c>
      <c r="G489" s="68" t="s">
        <v>1278</v>
      </c>
      <c r="H489" s="68" t="s">
        <v>1278</v>
      </c>
      <c r="I489" s="68" t="s">
        <v>1278</v>
      </c>
      <c r="J489" s="68" t="s">
        <v>1278</v>
      </c>
    </row>
    <row r="490" spans="1:10" ht="12.75" customHeight="1">
      <c r="A490" s="71"/>
      <c r="B490" s="71" t="s">
        <v>1288</v>
      </c>
      <c r="C490" s="68" t="s">
        <v>1278</v>
      </c>
      <c r="D490" s="68" t="s">
        <v>1285</v>
      </c>
      <c r="E490" s="68">
        <v>0</v>
      </c>
      <c r="F490" s="68">
        <v>0</v>
      </c>
      <c r="G490" s="68">
        <v>0</v>
      </c>
      <c r="H490" s="68">
        <v>0</v>
      </c>
      <c r="I490" s="68">
        <v>0</v>
      </c>
      <c r="J490" s="68" t="s">
        <v>1278</v>
      </c>
    </row>
    <row r="491" spans="1:10" ht="12.75" customHeight="1">
      <c r="A491" s="71"/>
      <c r="B491" s="69" t="s">
        <v>1289</v>
      </c>
      <c r="C491" s="68" t="s">
        <v>1278</v>
      </c>
      <c r="D491" s="68" t="s">
        <v>1285</v>
      </c>
      <c r="E491" s="68" t="s">
        <v>1285</v>
      </c>
      <c r="F491" s="68" t="s">
        <v>1285</v>
      </c>
      <c r="G491" s="68">
        <v>1</v>
      </c>
      <c r="H491" s="68" t="s">
        <v>1285</v>
      </c>
      <c r="I491" s="68">
        <v>0</v>
      </c>
      <c r="J491" s="68" t="s">
        <v>1278</v>
      </c>
    </row>
    <row r="492" spans="1:10" ht="12.75" customHeight="1">
      <c r="A492" s="71"/>
      <c r="B492" s="71" t="s">
        <v>1290</v>
      </c>
      <c r="C492" s="68" t="s">
        <v>1278</v>
      </c>
      <c r="D492" s="68" t="s">
        <v>1285</v>
      </c>
      <c r="E492" s="68">
        <v>0</v>
      </c>
      <c r="F492" s="68">
        <v>0</v>
      </c>
      <c r="G492" s="68" t="s">
        <v>1285</v>
      </c>
      <c r="H492" s="68" t="s">
        <v>1285</v>
      </c>
      <c r="I492" s="68">
        <v>0</v>
      </c>
      <c r="J492" s="68" t="s">
        <v>1278</v>
      </c>
    </row>
    <row r="493" spans="1:10" ht="12.75" customHeight="1">
      <c r="A493" s="71"/>
      <c r="B493" s="71" t="s">
        <v>1291</v>
      </c>
      <c r="C493" s="68" t="s">
        <v>1278</v>
      </c>
      <c r="D493" s="68" t="s">
        <v>1285</v>
      </c>
      <c r="E493" s="68" t="s">
        <v>1278</v>
      </c>
      <c r="F493" s="68" t="s">
        <v>1278</v>
      </c>
      <c r="G493" s="68" t="s">
        <v>1278</v>
      </c>
      <c r="H493" s="68" t="s">
        <v>1278</v>
      </c>
      <c r="I493" s="68" t="s">
        <v>1278</v>
      </c>
      <c r="J493" s="68" t="s">
        <v>1278</v>
      </c>
    </row>
    <row r="494" spans="1:10" ht="12.75" customHeight="1">
      <c r="A494" s="71"/>
      <c r="B494" s="71" t="s">
        <v>1292</v>
      </c>
      <c r="C494" s="68" t="s">
        <v>1278</v>
      </c>
      <c r="D494" s="68" t="s">
        <v>1285</v>
      </c>
      <c r="E494" s="68">
        <v>0</v>
      </c>
      <c r="F494" s="68">
        <v>0</v>
      </c>
      <c r="G494" s="68" t="s">
        <v>1285</v>
      </c>
      <c r="H494" s="68">
        <v>0</v>
      </c>
      <c r="I494" s="68">
        <v>0</v>
      </c>
      <c r="J494" s="68" t="s">
        <v>1278</v>
      </c>
    </row>
    <row r="495" spans="1:10" ht="12.75" customHeight="1">
      <c r="A495" s="71"/>
      <c r="B495" s="71" t="s">
        <v>1293</v>
      </c>
      <c r="C495" s="68" t="s">
        <v>1278</v>
      </c>
      <c r="D495" s="68" t="s">
        <v>1285</v>
      </c>
      <c r="E495" s="68" t="s">
        <v>1278</v>
      </c>
      <c r="F495" s="68" t="s">
        <v>1285</v>
      </c>
      <c r="G495" s="68">
        <v>0</v>
      </c>
      <c r="H495" s="68" t="s">
        <v>1285</v>
      </c>
      <c r="I495" s="68" t="s">
        <v>1278</v>
      </c>
      <c r="J495" s="68" t="s">
        <v>1278</v>
      </c>
    </row>
    <row r="496" spans="1:10" ht="12.75" customHeight="1">
      <c r="A496" s="71"/>
      <c r="B496" s="71" t="s">
        <v>1294</v>
      </c>
      <c r="C496" s="68" t="s">
        <v>1278</v>
      </c>
      <c r="D496" s="68" t="s">
        <v>1278</v>
      </c>
      <c r="E496" s="68" t="s">
        <v>1285</v>
      </c>
      <c r="F496" s="68" t="s">
        <v>1285</v>
      </c>
      <c r="G496" s="68">
        <v>1</v>
      </c>
      <c r="H496" s="68">
        <v>0</v>
      </c>
      <c r="I496" s="68">
        <v>0</v>
      </c>
      <c r="J496" s="68" t="s">
        <v>1278</v>
      </c>
    </row>
    <row r="497" spans="1:10" ht="12.75" customHeight="1">
      <c r="A497" s="71"/>
      <c r="B497" s="71" t="s">
        <v>1295</v>
      </c>
      <c r="C497" s="68" t="s">
        <v>1278</v>
      </c>
      <c r="D497" s="68">
        <v>0</v>
      </c>
      <c r="E497" s="68">
        <v>0</v>
      </c>
      <c r="F497" s="68">
        <v>0</v>
      </c>
      <c r="G497" s="68">
        <v>0</v>
      </c>
      <c r="H497" s="68">
        <v>0</v>
      </c>
      <c r="I497" s="68">
        <v>0</v>
      </c>
      <c r="J497" s="68" t="s">
        <v>1278</v>
      </c>
    </row>
    <row r="498" spans="1:10" ht="12.75" customHeight="1">
      <c r="A498" s="71"/>
      <c r="B498" s="69" t="s">
        <v>1296</v>
      </c>
      <c r="C498" s="68">
        <v>242</v>
      </c>
      <c r="D498" s="68">
        <v>0</v>
      </c>
      <c r="E498" s="68">
        <v>0</v>
      </c>
      <c r="F498" s="68" t="s">
        <v>1285</v>
      </c>
      <c r="G498" s="68">
        <v>0</v>
      </c>
      <c r="H498" s="68">
        <v>0</v>
      </c>
      <c r="I498" s="68">
        <v>0</v>
      </c>
      <c r="J498" s="68">
        <v>242</v>
      </c>
    </row>
    <row r="499" spans="1:10" ht="12.75" customHeight="1">
      <c r="A499" s="71"/>
      <c r="B499" s="69"/>
      <c r="C499" s="68"/>
      <c r="D499" s="68"/>
      <c r="E499" s="68"/>
      <c r="F499" s="68"/>
      <c r="G499" s="68"/>
      <c r="H499" s="68"/>
      <c r="I499" s="68"/>
      <c r="J499" s="68"/>
    </row>
    <row r="500" spans="1:10" s="73" customFormat="1" ht="12.75" customHeight="1">
      <c r="A500" s="69" t="s">
        <v>1340</v>
      </c>
      <c r="B500" s="69" t="s">
        <v>1341</v>
      </c>
      <c r="C500" s="74"/>
      <c r="D500" s="74"/>
      <c r="E500" s="74"/>
      <c r="F500" s="74"/>
      <c r="G500" s="74"/>
      <c r="H500" s="74"/>
      <c r="I500" s="74"/>
      <c r="J500" s="74"/>
    </row>
    <row r="501" spans="1:10" s="73" customFormat="1" ht="12.75" customHeight="1">
      <c r="A501" s="69"/>
      <c r="B501" s="69"/>
      <c r="C501" s="74"/>
      <c r="D501" s="74"/>
      <c r="E501" s="74"/>
      <c r="F501" s="74"/>
      <c r="G501" s="74"/>
      <c r="H501" s="74"/>
      <c r="I501" s="74"/>
      <c r="J501" s="74"/>
    </row>
    <row r="502" spans="1:10" s="73" customFormat="1" ht="12.75" customHeight="1">
      <c r="A502" s="69"/>
      <c r="B502" s="69"/>
      <c r="C502" s="74"/>
      <c r="D502" s="74"/>
      <c r="E502" s="74"/>
      <c r="F502" s="74"/>
      <c r="G502" s="74"/>
      <c r="H502" s="74"/>
      <c r="I502" s="74"/>
      <c r="J502" s="74"/>
    </row>
    <row r="503" spans="1:10" ht="12.75" customHeight="1">
      <c r="A503" s="71"/>
      <c r="B503" s="69" t="s">
        <v>1276</v>
      </c>
      <c r="C503" s="68">
        <v>696</v>
      </c>
      <c r="D503" s="68">
        <v>53</v>
      </c>
      <c r="E503" s="68">
        <v>3</v>
      </c>
      <c r="F503" s="68">
        <v>2</v>
      </c>
      <c r="G503" s="68">
        <v>224</v>
      </c>
      <c r="H503" s="68">
        <v>1</v>
      </c>
      <c r="I503" s="68">
        <v>39</v>
      </c>
      <c r="J503" s="68">
        <v>375</v>
      </c>
    </row>
    <row r="504" spans="1:10" ht="12.75" customHeight="1">
      <c r="A504" s="71"/>
      <c r="B504" s="69" t="s">
        <v>1277</v>
      </c>
      <c r="C504" s="68" t="s">
        <v>1278</v>
      </c>
      <c r="D504" s="68">
        <v>2</v>
      </c>
      <c r="E504" s="68">
        <v>3</v>
      </c>
      <c r="F504" s="68">
        <v>1</v>
      </c>
      <c r="G504" s="68">
        <v>154</v>
      </c>
      <c r="H504" s="68" t="s">
        <v>1285</v>
      </c>
      <c r="I504" s="68">
        <v>37</v>
      </c>
      <c r="J504" s="68" t="s">
        <v>1278</v>
      </c>
    </row>
    <row r="505" spans="1:10" ht="12.75" customHeight="1">
      <c r="A505" s="71"/>
      <c r="B505" s="71" t="s">
        <v>1279</v>
      </c>
      <c r="C505" s="68" t="s">
        <v>1278</v>
      </c>
      <c r="D505" s="68">
        <v>2</v>
      </c>
      <c r="E505" s="68">
        <v>1</v>
      </c>
      <c r="F505" s="68" t="s">
        <v>1285</v>
      </c>
      <c r="G505" s="68">
        <v>25</v>
      </c>
      <c r="H505" s="68" t="s">
        <v>1285</v>
      </c>
      <c r="I505" s="68" t="s">
        <v>1285</v>
      </c>
      <c r="J505" s="68" t="s">
        <v>1278</v>
      </c>
    </row>
    <row r="506" spans="1:10" ht="12.75" customHeight="1">
      <c r="A506" s="71"/>
      <c r="B506" s="71" t="s">
        <v>1280</v>
      </c>
      <c r="C506" s="68" t="s">
        <v>1278</v>
      </c>
      <c r="D506" s="68">
        <v>0</v>
      </c>
      <c r="E506" s="68">
        <v>1</v>
      </c>
      <c r="F506" s="68">
        <v>1</v>
      </c>
      <c r="G506" s="68">
        <v>129</v>
      </c>
      <c r="H506" s="68" t="s">
        <v>1285</v>
      </c>
      <c r="I506" s="68">
        <v>37</v>
      </c>
      <c r="J506" s="68" t="s">
        <v>1278</v>
      </c>
    </row>
    <row r="507" spans="1:10" ht="12.75" customHeight="1">
      <c r="A507" s="71"/>
      <c r="B507" s="69" t="s">
        <v>1281</v>
      </c>
      <c r="C507" s="68" t="s">
        <v>1278</v>
      </c>
      <c r="D507" s="68">
        <v>45</v>
      </c>
      <c r="E507" s="68">
        <v>1</v>
      </c>
      <c r="F507" s="68" t="s">
        <v>1285</v>
      </c>
      <c r="G507" s="68">
        <v>64</v>
      </c>
      <c r="H507" s="68" t="s">
        <v>1285</v>
      </c>
      <c r="I507" s="68">
        <v>1</v>
      </c>
      <c r="J507" s="68" t="s">
        <v>1278</v>
      </c>
    </row>
    <row r="508" spans="1:10" ht="12.75" customHeight="1">
      <c r="A508" s="71"/>
      <c r="B508" s="71" t="s">
        <v>1283</v>
      </c>
      <c r="C508" s="68" t="s">
        <v>1278</v>
      </c>
      <c r="D508" s="68">
        <v>2</v>
      </c>
      <c r="E508" s="68">
        <v>1</v>
      </c>
      <c r="F508" s="68" t="s">
        <v>1285</v>
      </c>
      <c r="G508" s="68">
        <v>56</v>
      </c>
      <c r="H508" s="68" t="s">
        <v>1285</v>
      </c>
      <c r="I508" s="68">
        <v>0</v>
      </c>
      <c r="J508" s="68" t="s">
        <v>1278</v>
      </c>
    </row>
    <row r="509" spans="1:10" ht="12.75" customHeight="1">
      <c r="A509" s="71"/>
      <c r="B509" s="71" t="s">
        <v>1284</v>
      </c>
      <c r="C509" s="68" t="s">
        <v>1278</v>
      </c>
      <c r="D509" s="68">
        <v>1</v>
      </c>
      <c r="E509" s="68">
        <v>0</v>
      </c>
      <c r="F509" s="68">
        <v>0</v>
      </c>
      <c r="G509" s="68">
        <v>0</v>
      </c>
      <c r="H509" s="68">
        <v>0</v>
      </c>
      <c r="I509" s="68">
        <v>0</v>
      </c>
      <c r="J509" s="68" t="s">
        <v>1278</v>
      </c>
    </row>
    <row r="510" spans="1:10" ht="12.75" customHeight="1">
      <c r="A510" s="71"/>
      <c r="B510" s="71" t="s">
        <v>1286</v>
      </c>
      <c r="C510" s="68" t="s">
        <v>1278</v>
      </c>
      <c r="D510" s="68">
        <v>42</v>
      </c>
      <c r="E510" s="68">
        <v>0</v>
      </c>
      <c r="F510" s="68" t="s">
        <v>1285</v>
      </c>
      <c r="G510" s="68">
        <v>2</v>
      </c>
      <c r="H510" s="68" t="s">
        <v>1285</v>
      </c>
      <c r="I510" s="68">
        <v>1</v>
      </c>
      <c r="J510" s="68" t="s">
        <v>1278</v>
      </c>
    </row>
    <row r="511" spans="1:10" ht="12.75" customHeight="1">
      <c r="A511" s="71"/>
      <c r="B511" s="71" t="s">
        <v>1287</v>
      </c>
      <c r="C511" s="68" t="s">
        <v>1278</v>
      </c>
      <c r="D511" s="68" t="s">
        <v>1285</v>
      </c>
      <c r="E511" s="68" t="s">
        <v>1278</v>
      </c>
      <c r="F511" s="68" t="s">
        <v>1278</v>
      </c>
      <c r="G511" s="68" t="s">
        <v>1278</v>
      </c>
      <c r="H511" s="68" t="s">
        <v>1278</v>
      </c>
      <c r="I511" s="68" t="s">
        <v>1278</v>
      </c>
      <c r="J511" s="68" t="s">
        <v>1278</v>
      </c>
    </row>
    <row r="512" spans="1:10" ht="12.75" customHeight="1">
      <c r="A512" s="71"/>
      <c r="B512" s="71" t="s">
        <v>1288</v>
      </c>
      <c r="C512" s="68" t="s">
        <v>1278</v>
      </c>
      <c r="D512" s="68" t="s">
        <v>1285</v>
      </c>
      <c r="E512" s="68">
        <v>0</v>
      </c>
      <c r="F512" s="68" t="s">
        <v>1285</v>
      </c>
      <c r="G512" s="68">
        <v>6</v>
      </c>
      <c r="H512" s="68">
        <v>0</v>
      </c>
      <c r="I512" s="68" t="s">
        <v>1285</v>
      </c>
      <c r="J512" s="68" t="s">
        <v>1278</v>
      </c>
    </row>
    <row r="513" spans="1:10" ht="12.75" customHeight="1">
      <c r="A513" s="71"/>
      <c r="B513" s="69" t="s">
        <v>1289</v>
      </c>
      <c r="C513" s="68" t="s">
        <v>1278</v>
      </c>
      <c r="D513" s="68">
        <v>6</v>
      </c>
      <c r="E513" s="68" t="s">
        <v>1285</v>
      </c>
      <c r="F513" s="68">
        <v>1</v>
      </c>
      <c r="G513" s="68">
        <v>7</v>
      </c>
      <c r="H513" s="68" t="s">
        <v>1285</v>
      </c>
      <c r="I513" s="68">
        <v>0</v>
      </c>
      <c r="J513" s="68" t="s">
        <v>1278</v>
      </c>
    </row>
    <row r="514" spans="1:10" ht="12.75" customHeight="1">
      <c r="A514" s="71"/>
      <c r="B514" s="71" t="s">
        <v>1290</v>
      </c>
      <c r="C514" s="68" t="s">
        <v>1278</v>
      </c>
      <c r="D514" s="68">
        <v>3</v>
      </c>
      <c r="E514" s="68" t="s">
        <v>1285</v>
      </c>
      <c r="F514" s="68" t="s">
        <v>1285</v>
      </c>
      <c r="G514" s="68">
        <v>3</v>
      </c>
      <c r="H514" s="68" t="s">
        <v>1285</v>
      </c>
      <c r="I514" s="68">
        <v>0</v>
      </c>
      <c r="J514" s="68" t="s">
        <v>1278</v>
      </c>
    </row>
    <row r="515" spans="1:10" ht="12.75" customHeight="1">
      <c r="A515" s="71"/>
      <c r="B515" s="71" t="s">
        <v>1291</v>
      </c>
      <c r="C515" s="68" t="s">
        <v>1278</v>
      </c>
      <c r="D515" s="68">
        <v>2</v>
      </c>
      <c r="E515" s="68" t="s">
        <v>1278</v>
      </c>
      <c r="F515" s="68" t="s">
        <v>1278</v>
      </c>
      <c r="G515" s="68" t="s">
        <v>1278</v>
      </c>
      <c r="H515" s="68" t="s">
        <v>1278</v>
      </c>
      <c r="I515" s="68" t="s">
        <v>1278</v>
      </c>
      <c r="J515" s="68" t="s">
        <v>1278</v>
      </c>
    </row>
    <row r="516" spans="1:10" ht="12.75" customHeight="1">
      <c r="A516" s="71"/>
      <c r="B516" s="71" t="s">
        <v>1292</v>
      </c>
      <c r="C516" s="68" t="s">
        <v>1278</v>
      </c>
      <c r="D516" s="68">
        <v>1</v>
      </c>
      <c r="E516" s="68">
        <v>0</v>
      </c>
      <c r="F516" s="68" t="s">
        <v>1285</v>
      </c>
      <c r="G516" s="68">
        <v>1</v>
      </c>
      <c r="H516" s="68" t="s">
        <v>1285</v>
      </c>
      <c r="I516" s="68">
        <v>0</v>
      </c>
      <c r="J516" s="68" t="s">
        <v>1278</v>
      </c>
    </row>
    <row r="517" spans="1:10" ht="12.75" customHeight="1">
      <c r="A517" s="71"/>
      <c r="B517" s="71" t="s">
        <v>1293</v>
      </c>
      <c r="C517" s="68" t="s">
        <v>1278</v>
      </c>
      <c r="D517" s="68" t="s">
        <v>1285</v>
      </c>
      <c r="E517" s="68" t="s">
        <v>1278</v>
      </c>
      <c r="F517" s="68">
        <v>1</v>
      </c>
      <c r="G517" s="68" t="s">
        <v>1285</v>
      </c>
      <c r="H517" s="68" t="s">
        <v>1285</v>
      </c>
      <c r="I517" s="68" t="s">
        <v>1278</v>
      </c>
      <c r="J517" s="68" t="s">
        <v>1278</v>
      </c>
    </row>
    <row r="518" spans="1:10" ht="12.75" customHeight="1">
      <c r="A518" s="71"/>
      <c r="B518" s="71" t="s">
        <v>1294</v>
      </c>
      <c r="C518" s="68" t="s">
        <v>1278</v>
      </c>
      <c r="D518" s="68" t="s">
        <v>1278</v>
      </c>
      <c r="E518" s="68">
        <v>0</v>
      </c>
      <c r="F518" s="68" t="s">
        <v>1285</v>
      </c>
      <c r="G518" s="68">
        <v>3</v>
      </c>
      <c r="H518" s="68">
        <v>0</v>
      </c>
      <c r="I518" s="68">
        <v>0</v>
      </c>
      <c r="J518" s="68" t="s">
        <v>1278</v>
      </c>
    </row>
    <row r="519" spans="1:10" ht="12.75" customHeight="1">
      <c r="A519" s="71"/>
      <c r="B519" s="71" t="s">
        <v>1295</v>
      </c>
      <c r="C519" s="68" t="s">
        <v>1278</v>
      </c>
      <c r="D519" s="68">
        <v>0</v>
      </c>
      <c r="E519" s="68">
        <v>0</v>
      </c>
      <c r="F519" s="68" t="s">
        <v>1285</v>
      </c>
      <c r="G519" s="68">
        <v>0</v>
      </c>
      <c r="H519" s="68" t="s">
        <v>1285</v>
      </c>
      <c r="I519" s="68">
        <v>0</v>
      </c>
      <c r="J519" s="68" t="s">
        <v>1278</v>
      </c>
    </row>
    <row r="520" spans="1:10" ht="12.75" customHeight="1">
      <c r="A520" s="71"/>
      <c r="B520" s="69" t="s">
        <v>1296</v>
      </c>
      <c r="C520" s="68">
        <v>375</v>
      </c>
      <c r="D520" s="68">
        <v>0</v>
      </c>
      <c r="E520" s="68">
        <v>0</v>
      </c>
      <c r="F520" s="68" t="s">
        <v>1285</v>
      </c>
      <c r="G520" s="68">
        <v>0</v>
      </c>
      <c r="H520" s="68" t="s">
        <v>1285</v>
      </c>
      <c r="I520" s="68">
        <v>0</v>
      </c>
      <c r="J520" s="68">
        <v>375</v>
      </c>
    </row>
    <row r="521" spans="1:10" ht="12.75" customHeight="1">
      <c r="A521" s="71"/>
      <c r="B521" s="69"/>
      <c r="C521" s="68"/>
      <c r="D521" s="68"/>
      <c r="E521" s="68"/>
      <c r="F521" s="68"/>
      <c r="G521" s="68"/>
      <c r="H521" s="68"/>
      <c r="I521" s="68"/>
      <c r="J521" s="68"/>
    </row>
    <row r="522" spans="1:10" s="73" customFormat="1" ht="12.75" customHeight="1">
      <c r="A522" s="69" t="s">
        <v>1342</v>
      </c>
      <c r="B522" s="69" t="s">
        <v>1343</v>
      </c>
      <c r="C522" s="74"/>
      <c r="D522" s="74"/>
      <c r="E522" s="74"/>
      <c r="F522" s="74"/>
      <c r="G522" s="74"/>
      <c r="H522" s="74"/>
      <c r="I522" s="74"/>
      <c r="J522" s="74"/>
    </row>
    <row r="523" spans="1:10" ht="12.75" customHeight="1">
      <c r="A523" s="71"/>
      <c r="B523" s="71"/>
      <c r="C523" s="68"/>
      <c r="D523" s="68"/>
      <c r="E523" s="68"/>
      <c r="F523" s="68"/>
      <c r="G523" s="68"/>
      <c r="H523" s="68"/>
      <c r="I523" s="68"/>
      <c r="J523" s="68"/>
    </row>
    <row r="524" spans="1:10" ht="12.75" customHeight="1">
      <c r="A524" s="71"/>
      <c r="B524" s="71"/>
      <c r="C524" s="68"/>
      <c r="D524" s="68"/>
      <c r="E524" s="68"/>
      <c r="F524" s="68"/>
      <c r="G524" s="68"/>
      <c r="H524" s="68"/>
      <c r="I524" s="68"/>
      <c r="J524" s="68"/>
    </row>
    <row r="525" spans="1:10" ht="12.75" customHeight="1">
      <c r="A525" s="71"/>
      <c r="B525" s="69" t="s">
        <v>1276</v>
      </c>
      <c r="C525" s="68">
        <v>35</v>
      </c>
      <c r="D525" s="68">
        <v>17</v>
      </c>
      <c r="E525" s="68">
        <v>0</v>
      </c>
      <c r="F525" s="68" t="s">
        <v>1285</v>
      </c>
      <c r="G525" s="68">
        <v>5</v>
      </c>
      <c r="H525" s="68" t="s">
        <v>1285</v>
      </c>
      <c r="I525" s="68">
        <v>0</v>
      </c>
      <c r="J525" s="68">
        <v>12</v>
      </c>
    </row>
    <row r="526" spans="1:10" ht="12.75" customHeight="1">
      <c r="A526" s="71"/>
      <c r="B526" s="69" t="s">
        <v>1277</v>
      </c>
      <c r="C526" s="68" t="s">
        <v>1278</v>
      </c>
      <c r="D526" s="68">
        <v>1</v>
      </c>
      <c r="E526" s="68">
        <v>0</v>
      </c>
      <c r="F526" s="68" t="s">
        <v>1285</v>
      </c>
      <c r="G526" s="68">
        <v>3</v>
      </c>
      <c r="H526" s="68" t="s">
        <v>1285</v>
      </c>
      <c r="I526" s="68">
        <v>0</v>
      </c>
      <c r="J526" s="68" t="s">
        <v>1278</v>
      </c>
    </row>
    <row r="527" spans="1:10" ht="12.75" customHeight="1">
      <c r="A527" s="71"/>
      <c r="B527" s="71" t="s">
        <v>1279</v>
      </c>
      <c r="C527" s="68" t="s">
        <v>1278</v>
      </c>
      <c r="D527" s="68">
        <v>1</v>
      </c>
      <c r="E527" s="68">
        <v>0</v>
      </c>
      <c r="F527" s="68">
        <v>0</v>
      </c>
      <c r="G527" s="68">
        <v>3</v>
      </c>
      <c r="H527" s="68" t="s">
        <v>1285</v>
      </c>
      <c r="I527" s="68">
        <v>0</v>
      </c>
      <c r="J527" s="68" t="s">
        <v>1278</v>
      </c>
    </row>
    <row r="528" spans="1:10" ht="12.75" customHeight="1">
      <c r="A528" s="71"/>
      <c r="B528" s="71" t="s">
        <v>1280</v>
      </c>
      <c r="C528" s="68" t="s">
        <v>1278</v>
      </c>
      <c r="D528" s="68">
        <v>0</v>
      </c>
      <c r="E528" s="68">
        <v>0</v>
      </c>
      <c r="F528" s="68" t="s">
        <v>1285</v>
      </c>
      <c r="G528" s="68" t="s">
        <v>1285</v>
      </c>
      <c r="H528" s="68">
        <v>0</v>
      </c>
      <c r="I528" s="68">
        <v>0</v>
      </c>
      <c r="J528" s="68" t="s">
        <v>1278</v>
      </c>
    </row>
    <row r="529" spans="1:10" ht="12.75" customHeight="1">
      <c r="A529" s="71"/>
      <c r="B529" s="69" t="s">
        <v>1281</v>
      </c>
      <c r="C529" s="68" t="s">
        <v>1278</v>
      </c>
      <c r="D529" s="68">
        <v>15</v>
      </c>
      <c r="E529" s="68">
        <v>0</v>
      </c>
      <c r="F529" s="68">
        <v>0</v>
      </c>
      <c r="G529" s="68">
        <v>2</v>
      </c>
      <c r="H529" s="68">
        <v>0</v>
      </c>
      <c r="I529" s="68">
        <v>0</v>
      </c>
      <c r="J529" s="68" t="s">
        <v>1278</v>
      </c>
    </row>
    <row r="530" spans="1:10" ht="12.75" customHeight="1">
      <c r="A530" s="71"/>
      <c r="B530" s="71" t="s">
        <v>1283</v>
      </c>
      <c r="C530" s="68" t="s">
        <v>1278</v>
      </c>
      <c r="D530" s="68" t="s">
        <v>1285</v>
      </c>
      <c r="E530" s="68">
        <v>0</v>
      </c>
      <c r="F530" s="68">
        <v>0</v>
      </c>
      <c r="G530" s="68">
        <v>2</v>
      </c>
      <c r="H530" s="68">
        <v>0</v>
      </c>
      <c r="I530" s="68">
        <v>0</v>
      </c>
      <c r="J530" s="68" t="s">
        <v>1278</v>
      </c>
    </row>
    <row r="531" spans="1:10" ht="12.75" customHeight="1">
      <c r="A531" s="71"/>
      <c r="B531" s="71" t="s">
        <v>1284</v>
      </c>
      <c r="C531" s="68" t="s">
        <v>1278</v>
      </c>
      <c r="D531" s="68" t="s">
        <v>1285</v>
      </c>
      <c r="E531" s="68">
        <v>0</v>
      </c>
      <c r="F531" s="68">
        <v>0</v>
      </c>
      <c r="G531" s="68">
        <v>0</v>
      </c>
      <c r="H531" s="68">
        <v>0</v>
      </c>
      <c r="I531" s="68">
        <v>0</v>
      </c>
      <c r="J531" s="68" t="s">
        <v>1278</v>
      </c>
    </row>
    <row r="532" spans="1:10" ht="12.75" customHeight="1">
      <c r="A532" s="71"/>
      <c r="B532" s="71" t="s">
        <v>1286</v>
      </c>
      <c r="C532" s="68" t="s">
        <v>1278</v>
      </c>
      <c r="D532" s="68">
        <v>15</v>
      </c>
      <c r="E532" s="68">
        <v>0</v>
      </c>
      <c r="F532" s="68">
        <v>0</v>
      </c>
      <c r="G532" s="68">
        <v>0</v>
      </c>
      <c r="H532" s="68">
        <v>0</v>
      </c>
      <c r="I532" s="68">
        <v>0</v>
      </c>
      <c r="J532" s="68" t="s">
        <v>1278</v>
      </c>
    </row>
    <row r="533" spans="1:10" ht="12.75" customHeight="1">
      <c r="A533" s="71"/>
      <c r="B533" s="71" t="s">
        <v>1287</v>
      </c>
      <c r="C533" s="68" t="s">
        <v>1278</v>
      </c>
      <c r="D533" s="68">
        <v>0</v>
      </c>
      <c r="E533" s="68" t="s">
        <v>1278</v>
      </c>
      <c r="F533" s="68" t="s">
        <v>1278</v>
      </c>
      <c r="G533" s="68" t="s">
        <v>1278</v>
      </c>
      <c r="H533" s="68" t="s">
        <v>1278</v>
      </c>
      <c r="I533" s="68" t="s">
        <v>1278</v>
      </c>
      <c r="J533" s="68" t="s">
        <v>1278</v>
      </c>
    </row>
    <row r="534" spans="1:10" ht="12.75" customHeight="1">
      <c r="A534" s="71"/>
      <c r="B534" s="71" t="s">
        <v>1288</v>
      </c>
      <c r="C534" s="68" t="s">
        <v>1278</v>
      </c>
      <c r="D534" s="68">
        <v>0</v>
      </c>
      <c r="E534" s="68">
        <v>0</v>
      </c>
      <c r="F534" s="68">
        <v>0</v>
      </c>
      <c r="G534" s="68">
        <v>0</v>
      </c>
      <c r="H534" s="68">
        <v>0</v>
      </c>
      <c r="I534" s="68">
        <v>0</v>
      </c>
      <c r="J534" s="68" t="s">
        <v>1278</v>
      </c>
    </row>
    <row r="535" spans="1:10" ht="12.75" customHeight="1">
      <c r="A535" s="71"/>
      <c r="B535" s="69" t="s">
        <v>1289</v>
      </c>
      <c r="C535" s="68" t="s">
        <v>1278</v>
      </c>
      <c r="D535" s="68">
        <v>1</v>
      </c>
      <c r="E535" s="68">
        <v>0</v>
      </c>
      <c r="F535" s="68" t="s">
        <v>1285</v>
      </c>
      <c r="G535" s="68" t="s">
        <v>1285</v>
      </c>
      <c r="H535" s="68" t="s">
        <v>1285</v>
      </c>
      <c r="I535" s="68">
        <v>0</v>
      </c>
      <c r="J535" s="68" t="s">
        <v>1278</v>
      </c>
    </row>
    <row r="536" spans="1:10" ht="12.75" customHeight="1">
      <c r="A536" s="71"/>
      <c r="B536" s="71" t="s">
        <v>1290</v>
      </c>
      <c r="C536" s="68" t="s">
        <v>1278</v>
      </c>
      <c r="D536" s="68" t="s">
        <v>1285</v>
      </c>
      <c r="E536" s="68">
        <v>0</v>
      </c>
      <c r="F536" s="68">
        <v>0</v>
      </c>
      <c r="G536" s="68" t="s">
        <v>1285</v>
      </c>
      <c r="H536" s="68">
        <v>0</v>
      </c>
      <c r="I536" s="68">
        <v>0</v>
      </c>
      <c r="J536" s="68" t="s">
        <v>1278</v>
      </c>
    </row>
    <row r="537" spans="1:10" ht="12.75" customHeight="1">
      <c r="A537" s="71"/>
      <c r="B537" s="71" t="s">
        <v>1291</v>
      </c>
      <c r="C537" s="68" t="s">
        <v>1278</v>
      </c>
      <c r="D537" s="68" t="s">
        <v>1285</v>
      </c>
      <c r="E537" s="68" t="s">
        <v>1278</v>
      </c>
      <c r="F537" s="68" t="s">
        <v>1278</v>
      </c>
      <c r="G537" s="68" t="s">
        <v>1278</v>
      </c>
      <c r="H537" s="68" t="s">
        <v>1278</v>
      </c>
      <c r="I537" s="68" t="s">
        <v>1278</v>
      </c>
      <c r="J537" s="68" t="s">
        <v>1278</v>
      </c>
    </row>
    <row r="538" spans="1:10" ht="12.75" customHeight="1">
      <c r="A538" s="71"/>
      <c r="B538" s="71" t="s">
        <v>1292</v>
      </c>
      <c r="C538" s="68" t="s">
        <v>1278</v>
      </c>
      <c r="D538" s="68">
        <v>0</v>
      </c>
      <c r="E538" s="68">
        <v>0</v>
      </c>
      <c r="F538" s="68">
        <v>0</v>
      </c>
      <c r="G538" s="68" t="s">
        <v>1285</v>
      </c>
      <c r="H538" s="68">
        <v>0</v>
      </c>
      <c r="I538" s="68">
        <v>0</v>
      </c>
      <c r="J538" s="68" t="s">
        <v>1278</v>
      </c>
    </row>
    <row r="539" spans="1:10" ht="12.75" customHeight="1">
      <c r="A539" s="71"/>
      <c r="B539" s="71" t="s">
        <v>1293</v>
      </c>
      <c r="C539" s="68" t="s">
        <v>1278</v>
      </c>
      <c r="D539" s="68">
        <v>0</v>
      </c>
      <c r="E539" s="68" t="s">
        <v>1278</v>
      </c>
      <c r="F539" s="68" t="s">
        <v>1285</v>
      </c>
      <c r="G539" s="68">
        <v>0</v>
      </c>
      <c r="H539" s="68" t="s">
        <v>1285</v>
      </c>
      <c r="I539" s="68" t="s">
        <v>1278</v>
      </c>
      <c r="J539" s="68" t="s">
        <v>1278</v>
      </c>
    </row>
    <row r="540" spans="1:10" ht="12.75" customHeight="1">
      <c r="A540" s="71"/>
      <c r="B540" s="71" t="s">
        <v>1294</v>
      </c>
      <c r="C540" s="68" t="s">
        <v>1278</v>
      </c>
      <c r="D540" s="68" t="s">
        <v>1278</v>
      </c>
      <c r="E540" s="68">
        <v>0</v>
      </c>
      <c r="F540" s="68">
        <v>0</v>
      </c>
      <c r="G540" s="68">
        <v>0</v>
      </c>
      <c r="H540" s="68">
        <v>0</v>
      </c>
      <c r="I540" s="68">
        <v>0</v>
      </c>
      <c r="J540" s="68" t="s">
        <v>1278</v>
      </c>
    </row>
    <row r="541" spans="1:10" ht="12.75" customHeight="1">
      <c r="A541" s="71"/>
      <c r="B541" s="71" t="s">
        <v>1295</v>
      </c>
      <c r="C541" s="68" t="s">
        <v>1278</v>
      </c>
      <c r="D541" s="68">
        <v>0</v>
      </c>
      <c r="E541" s="68">
        <v>0</v>
      </c>
      <c r="F541" s="68">
        <v>0</v>
      </c>
      <c r="G541" s="68">
        <v>0</v>
      </c>
      <c r="H541" s="68">
        <v>0</v>
      </c>
      <c r="I541" s="68">
        <v>0</v>
      </c>
      <c r="J541" s="68" t="s">
        <v>1278</v>
      </c>
    </row>
    <row r="542" spans="1:10" ht="12.75" customHeight="1">
      <c r="A542" s="71"/>
      <c r="B542" s="69" t="s">
        <v>1296</v>
      </c>
      <c r="C542" s="68">
        <v>12</v>
      </c>
      <c r="D542" s="68">
        <v>0</v>
      </c>
      <c r="E542" s="68">
        <v>0</v>
      </c>
      <c r="F542" s="68">
        <v>0</v>
      </c>
      <c r="G542" s="68">
        <v>0</v>
      </c>
      <c r="H542" s="68">
        <v>0</v>
      </c>
      <c r="I542" s="68">
        <v>0</v>
      </c>
      <c r="J542" s="68">
        <v>12</v>
      </c>
    </row>
    <row r="543" spans="1:10" ht="12.75" customHeight="1">
      <c r="A543" s="71"/>
      <c r="B543" s="69"/>
      <c r="C543" s="68"/>
      <c r="D543" s="68"/>
      <c r="E543" s="68"/>
      <c r="F543" s="68"/>
      <c r="G543" s="68"/>
      <c r="H543" s="68"/>
      <c r="I543" s="68"/>
      <c r="J543" s="68"/>
    </row>
    <row r="544" spans="1:10" s="73" customFormat="1" ht="12.75" customHeight="1">
      <c r="A544" s="69" t="s">
        <v>1344</v>
      </c>
      <c r="B544" s="69" t="s">
        <v>1345</v>
      </c>
      <c r="C544" s="74"/>
      <c r="D544" s="74"/>
      <c r="E544" s="74"/>
      <c r="F544" s="74"/>
      <c r="G544" s="74"/>
      <c r="H544" s="74"/>
      <c r="I544" s="74"/>
      <c r="J544" s="74"/>
    </row>
    <row r="545" spans="1:10" s="73" customFormat="1" ht="12.75" customHeight="1">
      <c r="A545" s="69"/>
      <c r="B545" s="69"/>
      <c r="C545" s="74"/>
      <c r="D545" s="74"/>
      <c r="E545" s="74"/>
      <c r="F545" s="74"/>
      <c r="G545" s="74"/>
      <c r="H545" s="74"/>
      <c r="I545" s="74"/>
      <c r="J545" s="74"/>
    </row>
    <row r="546" spans="1:10" s="73" customFormat="1" ht="12.75" customHeight="1">
      <c r="A546" s="69"/>
      <c r="B546" s="69"/>
      <c r="C546" s="74"/>
      <c r="D546" s="74"/>
      <c r="E546" s="74"/>
      <c r="F546" s="74"/>
      <c r="G546" s="74"/>
      <c r="H546" s="74"/>
      <c r="I546" s="74"/>
      <c r="J546" s="74"/>
    </row>
    <row r="547" spans="1:10" ht="12.75" customHeight="1">
      <c r="A547" s="71"/>
      <c r="B547" s="69" t="s">
        <v>1276</v>
      </c>
      <c r="C547" s="68">
        <v>897</v>
      </c>
      <c r="D547" s="68">
        <v>56</v>
      </c>
      <c r="E547" s="68">
        <v>3</v>
      </c>
      <c r="F547" s="68">
        <v>2</v>
      </c>
      <c r="G547" s="68">
        <v>235</v>
      </c>
      <c r="H547" s="68" t="s">
        <v>1285</v>
      </c>
      <c r="I547" s="68">
        <v>13</v>
      </c>
      <c r="J547" s="68">
        <v>588</v>
      </c>
    </row>
    <row r="548" spans="1:10" ht="12.75" customHeight="1">
      <c r="A548" s="71"/>
      <c r="B548" s="69" t="s">
        <v>1277</v>
      </c>
      <c r="C548" s="68" t="s">
        <v>1278</v>
      </c>
      <c r="D548" s="68">
        <v>2</v>
      </c>
      <c r="E548" s="68">
        <v>2</v>
      </c>
      <c r="F548" s="68">
        <v>1</v>
      </c>
      <c r="G548" s="68">
        <v>175</v>
      </c>
      <c r="H548" s="68" t="s">
        <v>1285</v>
      </c>
      <c r="I548" s="68">
        <v>13</v>
      </c>
      <c r="J548" s="68" t="s">
        <v>1278</v>
      </c>
    </row>
    <row r="549" spans="1:10" ht="12.75" customHeight="1">
      <c r="A549" s="71"/>
      <c r="B549" s="71" t="s">
        <v>1279</v>
      </c>
      <c r="C549" s="68" t="s">
        <v>1278</v>
      </c>
      <c r="D549" s="68">
        <v>2</v>
      </c>
      <c r="E549" s="68" t="s">
        <v>1285</v>
      </c>
      <c r="F549" s="68" t="s">
        <v>1285</v>
      </c>
      <c r="G549" s="68">
        <v>25</v>
      </c>
      <c r="H549" s="68">
        <v>0</v>
      </c>
      <c r="I549" s="68">
        <v>1</v>
      </c>
      <c r="J549" s="68" t="s">
        <v>1278</v>
      </c>
    </row>
    <row r="550" spans="1:10" ht="12.75" customHeight="1">
      <c r="A550" s="71"/>
      <c r="B550" s="71" t="s">
        <v>1280</v>
      </c>
      <c r="C550" s="68" t="s">
        <v>1278</v>
      </c>
      <c r="D550" s="68">
        <v>0</v>
      </c>
      <c r="E550" s="68">
        <v>2</v>
      </c>
      <c r="F550" s="68">
        <v>1</v>
      </c>
      <c r="G550" s="68">
        <v>150</v>
      </c>
      <c r="H550" s="68" t="s">
        <v>1285</v>
      </c>
      <c r="I550" s="68">
        <v>13</v>
      </c>
      <c r="J550" s="68" t="s">
        <v>1278</v>
      </c>
    </row>
    <row r="551" spans="1:10" ht="12.75" customHeight="1">
      <c r="A551" s="71"/>
      <c r="B551" s="69" t="s">
        <v>1281</v>
      </c>
      <c r="C551" s="68" t="s">
        <v>1278</v>
      </c>
      <c r="D551" s="68">
        <v>49</v>
      </c>
      <c r="E551" s="68">
        <v>1</v>
      </c>
      <c r="F551" s="68" t="s">
        <v>1285</v>
      </c>
      <c r="G551" s="68">
        <v>51</v>
      </c>
      <c r="H551" s="68" t="s">
        <v>1285</v>
      </c>
      <c r="I551" s="68">
        <v>0</v>
      </c>
      <c r="J551" s="68" t="s">
        <v>1278</v>
      </c>
    </row>
    <row r="552" spans="1:10" ht="12.75" customHeight="1">
      <c r="A552" s="71"/>
      <c r="B552" s="71" t="s">
        <v>1283</v>
      </c>
      <c r="C552" s="68" t="s">
        <v>1278</v>
      </c>
      <c r="D552" s="68">
        <v>1</v>
      </c>
      <c r="E552" s="68">
        <v>1</v>
      </c>
      <c r="F552" s="68" t="s">
        <v>1285</v>
      </c>
      <c r="G552" s="68">
        <v>48</v>
      </c>
      <c r="H552" s="68" t="s">
        <v>1285</v>
      </c>
      <c r="I552" s="68">
        <v>0</v>
      </c>
      <c r="J552" s="68" t="s">
        <v>1278</v>
      </c>
    </row>
    <row r="553" spans="1:10" ht="12.75" customHeight="1">
      <c r="A553" s="71"/>
      <c r="B553" s="71" t="s">
        <v>1284</v>
      </c>
      <c r="C553" s="68" t="s">
        <v>1278</v>
      </c>
      <c r="D553" s="68">
        <v>1</v>
      </c>
      <c r="E553" s="68">
        <v>0</v>
      </c>
      <c r="F553" s="68">
        <v>0</v>
      </c>
      <c r="G553" s="68" t="s">
        <v>1285</v>
      </c>
      <c r="H553" s="68">
        <v>0</v>
      </c>
      <c r="I553" s="68">
        <v>0</v>
      </c>
      <c r="J553" s="68" t="s">
        <v>1278</v>
      </c>
    </row>
    <row r="554" spans="1:10" ht="12.75" customHeight="1">
      <c r="A554" s="71"/>
      <c r="B554" s="71" t="s">
        <v>1286</v>
      </c>
      <c r="C554" s="68" t="s">
        <v>1278</v>
      </c>
      <c r="D554" s="68">
        <v>46</v>
      </c>
      <c r="E554" s="68">
        <v>0</v>
      </c>
      <c r="F554" s="68" t="s">
        <v>1285</v>
      </c>
      <c r="G554" s="68">
        <v>2</v>
      </c>
      <c r="H554" s="68" t="s">
        <v>1285</v>
      </c>
      <c r="I554" s="68">
        <v>0</v>
      </c>
      <c r="J554" s="68" t="s">
        <v>1278</v>
      </c>
    </row>
    <row r="555" spans="1:10" ht="12.75" customHeight="1">
      <c r="A555" s="71"/>
      <c r="B555" s="71" t="s">
        <v>1287</v>
      </c>
      <c r="C555" s="68" t="s">
        <v>1278</v>
      </c>
      <c r="D555" s="68" t="s">
        <v>1285</v>
      </c>
      <c r="E555" s="68" t="s">
        <v>1278</v>
      </c>
      <c r="F555" s="68" t="s">
        <v>1278</v>
      </c>
      <c r="G555" s="68" t="s">
        <v>1278</v>
      </c>
      <c r="H555" s="68" t="s">
        <v>1278</v>
      </c>
      <c r="I555" s="68" t="s">
        <v>1278</v>
      </c>
      <c r="J555" s="68" t="s">
        <v>1278</v>
      </c>
    </row>
    <row r="556" spans="1:10" ht="12.75" customHeight="1">
      <c r="A556" s="71"/>
      <c r="B556" s="71" t="s">
        <v>1288</v>
      </c>
      <c r="C556" s="68" t="s">
        <v>1278</v>
      </c>
      <c r="D556" s="68">
        <v>1</v>
      </c>
      <c r="E556" s="68">
        <v>0</v>
      </c>
      <c r="F556" s="68" t="s">
        <v>1285</v>
      </c>
      <c r="G556" s="68">
        <v>1</v>
      </c>
      <c r="H556" s="68" t="s">
        <v>1285</v>
      </c>
      <c r="I556" s="68">
        <v>0</v>
      </c>
      <c r="J556" s="68" t="s">
        <v>1278</v>
      </c>
    </row>
    <row r="557" spans="1:10" ht="12.75" customHeight="1">
      <c r="A557" s="71"/>
      <c r="B557" s="69" t="s">
        <v>1289</v>
      </c>
      <c r="C557" s="68" t="s">
        <v>1278</v>
      </c>
      <c r="D557" s="68">
        <v>5</v>
      </c>
      <c r="E557" s="68">
        <v>0</v>
      </c>
      <c r="F557" s="68">
        <v>1</v>
      </c>
      <c r="G557" s="68">
        <v>9</v>
      </c>
      <c r="H557" s="68" t="s">
        <v>1285</v>
      </c>
      <c r="I557" s="68">
        <v>0</v>
      </c>
      <c r="J557" s="68" t="s">
        <v>1278</v>
      </c>
    </row>
    <row r="558" spans="1:10" ht="12.75" customHeight="1">
      <c r="A558" s="71"/>
      <c r="B558" s="71" t="s">
        <v>1290</v>
      </c>
      <c r="C558" s="68" t="s">
        <v>1278</v>
      </c>
      <c r="D558" s="68">
        <v>2</v>
      </c>
      <c r="E558" s="68">
        <v>0</v>
      </c>
      <c r="F558" s="68" t="s">
        <v>1285</v>
      </c>
      <c r="G558" s="68">
        <v>5</v>
      </c>
      <c r="H558" s="68" t="s">
        <v>1285</v>
      </c>
      <c r="I558" s="68">
        <v>0</v>
      </c>
      <c r="J558" s="68" t="s">
        <v>1278</v>
      </c>
    </row>
    <row r="559" spans="1:10" ht="12.75" customHeight="1">
      <c r="A559" s="71"/>
      <c r="B559" s="71" t="s">
        <v>1291</v>
      </c>
      <c r="C559" s="68" t="s">
        <v>1278</v>
      </c>
      <c r="D559" s="68">
        <v>2</v>
      </c>
      <c r="E559" s="68" t="s">
        <v>1278</v>
      </c>
      <c r="F559" s="68" t="s">
        <v>1278</v>
      </c>
      <c r="G559" s="68" t="s">
        <v>1278</v>
      </c>
      <c r="H559" s="68" t="s">
        <v>1278</v>
      </c>
      <c r="I559" s="68" t="s">
        <v>1278</v>
      </c>
      <c r="J559" s="68" t="s">
        <v>1278</v>
      </c>
    </row>
    <row r="560" spans="1:10" ht="12.75" customHeight="1">
      <c r="A560" s="71"/>
      <c r="B560" s="71" t="s">
        <v>1292</v>
      </c>
      <c r="C560" s="68" t="s">
        <v>1278</v>
      </c>
      <c r="D560" s="68">
        <v>1</v>
      </c>
      <c r="E560" s="68">
        <v>0</v>
      </c>
      <c r="F560" s="68">
        <v>0</v>
      </c>
      <c r="G560" s="68">
        <v>1</v>
      </c>
      <c r="H560" s="68" t="s">
        <v>1285</v>
      </c>
      <c r="I560" s="68">
        <v>0</v>
      </c>
      <c r="J560" s="68" t="s">
        <v>1278</v>
      </c>
    </row>
    <row r="561" spans="1:10" ht="12.75" customHeight="1">
      <c r="A561" s="71"/>
      <c r="B561" s="71" t="s">
        <v>1293</v>
      </c>
      <c r="C561" s="68" t="s">
        <v>1278</v>
      </c>
      <c r="D561" s="68" t="s">
        <v>1285</v>
      </c>
      <c r="E561" s="68" t="s">
        <v>1278</v>
      </c>
      <c r="F561" s="68">
        <v>1</v>
      </c>
      <c r="G561" s="68" t="s">
        <v>1285</v>
      </c>
      <c r="H561" s="68" t="s">
        <v>1285</v>
      </c>
      <c r="I561" s="68" t="s">
        <v>1278</v>
      </c>
      <c r="J561" s="68" t="s">
        <v>1278</v>
      </c>
    </row>
    <row r="562" spans="1:10" ht="12.75" customHeight="1">
      <c r="A562" s="71"/>
      <c r="B562" s="71" t="s">
        <v>1294</v>
      </c>
      <c r="C562" s="68" t="s">
        <v>1278</v>
      </c>
      <c r="D562" s="68" t="s">
        <v>1278</v>
      </c>
      <c r="E562" s="68">
        <v>0</v>
      </c>
      <c r="F562" s="68">
        <v>0</v>
      </c>
      <c r="G562" s="68">
        <v>2</v>
      </c>
      <c r="H562" s="68">
        <v>0</v>
      </c>
      <c r="I562" s="68">
        <v>0</v>
      </c>
      <c r="J562" s="68" t="s">
        <v>1278</v>
      </c>
    </row>
    <row r="563" spans="1:10" ht="12.75" customHeight="1">
      <c r="A563" s="71"/>
      <c r="B563" s="71" t="s">
        <v>1295</v>
      </c>
      <c r="C563" s="68" t="s">
        <v>1278</v>
      </c>
      <c r="D563" s="68" t="s">
        <v>1285</v>
      </c>
      <c r="E563" s="68">
        <v>0</v>
      </c>
      <c r="F563" s="68" t="s">
        <v>1285</v>
      </c>
      <c r="G563" s="68">
        <v>0</v>
      </c>
      <c r="H563" s="68" t="s">
        <v>1285</v>
      </c>
      <c r="I563" s="68">
        <v>0</v>
      </c>
      <c r="J563" s="68" t="s">
        <v>1278</v>
      </c>
    </row>
    <row r="564" spans="1:10" ht="12.75" customHeight="1">
      <c r="A564" s="71"/>
      <c r="B564" s="69" t="s">
        <v>1296</v>
      </c>
      <c r="C564" s="68">
        <v>588</v>
      </c>
      <c r="D564" s="68">
        <v>0</v>
      </c>
      <c r="E564" s="68" t="s">
        <v>1285</v>
      </c>
      <c r="F564" s="68" t="s">
        <v>1285</v>
      </c>
      <c r="G564" s="68">
        <v>0</v>
      </c>
      <c r="H564" s="68" t="s">
        <v>1285</v>
      </c>
      <c r="I564" s="68">
        <v>0</v>
      </c>
      <c r="J564" s="68">
        <v>588</v>
      </c>
    </row>
    <row r="565" spans="1:10" ht="12.75" customHeight="1">
      <c r="A565" s="71"/>
      <c r="B565" s="69"/>
      <c r="C565" s="68"/>
      <c r="D565" s="68"/>
      <c r="E565" s="68"/>
      <c r="F565" s="68"/>
      <c r="G565" s="68"/>
      <c r="H565" s="68"/>
      <c r="I565" s="68"/>
      <c r="J565" s="68"/>
    </row>
    <row r="566" spans="1:10" s="73" customFormat="1" ht="12.75" customHeight="1">
      <c r="A566" s="69" t="s">
        <v>1346</v>
      </c>
      <c r="B566" s="69" t="s">
        <v>1347</v>
      </c>
      <c r="C566" s="74"/>
      <c r="D566" s="74"/>
      <c r="E566" s="74"/>
      <c r="F566" s="74"/>
      <c r="G566" s="74"/>
      <c r="H566" s="74"/>
      <c r="I566" s="74"/>
      <c r="J566" s="74"/>
    </row>
    <row r="567" spans="1:10" s="73" customFormat="1" ht="12.75" customHeight="1">
      <c r="A567" s="69"/>
      <c r="B567" s="69"/>
      <c r="C567" s="74"/>
      <c r="D567" s="74"/>
      <c r="E567" s="74"/>
      <c r="F567" s="74"/>
      <c r="G567" s="74"/>
      <c r="H567" s="74"/>
      <c r="I567" s="74"/>
      <c r="J567" s="74"/>
    </row>
    <row r="568" spans="1:10" s="73" customFormat="1" ht="12.75" customHeight="1">
      <c r="A568" s="69"/>
      <c r="B568" s="69"/>
      <c r="C568" s="74"/>
      <c r="D568" s="74"/>
      <c r="E568" s="74"/>
      <c r="F568" s="74"/>
      <c r="G568" s="74"/>
      <c r="H568" s="74"/>
      <c r="I568" s="74"/>
      <c r="J568" s="74"/>
    </row>
    <row r="569" spans="1:10" ht="12.75" customHeight="1">
      <c r="A569" s="71"/>
      <c r="B569" s="69" t="s">
        <v>1276</v>
      </c>
      <c r="C569" s="68">
        <v>59</v>
      </c>
      <c r="D569" s="68">
        <v>34</v>
      </c>
      <c r="E569" s="68" t="s">
        <v>1285</v>
      </c>
      <c r="F569" s="68" t="s">
        <v>1285</v>
      </c>
      <c r="G569" s="68">
        <v>24</v>
      </c>
      <c r="H569" s="68">
        <v>1</v>
      </c>
      <c r="I569" s="68">
        <v>0</v>
      </c>
      <c r="J569" s="68" t="s">
        <v>1285</v>
      </c>
    </row>
    <row r="570" spans="1:10" ht="12.75" customHeight="1">
      <c r="A570" s="71"/>
      <c r="B570" s="69" t="s">
        <v>1277</v>
      </c>
      <c r="C570" s="68" t="s">
        <v>1278</v>
      </c>
      <c r="D570" s="68" t="s">
        <v>1285</v>
      </c>
      <c r="E570" s="68">
        <v>0</v>
      </c>
      <c r="F570" s="68" t="s">
        <v>1285</v>
      </c>
      <c r="G570" s="68">
        <v>3</v>
      </c>
      <c r="H570" s="68" t="s">
        <v>1285</v>
      </c>
      <c r="I570" s="68">
        <v>0</v>
      </c>
      <c r="J570" s="68" t="s">
        <v>1278</v>
      </c>
    </row>
    <row r="571" spans="1:10" ht="12.75" customHeight="1">
      <c r="A571" s="71"/>
      <c r="B571" s="71" t="s">
        <v>1279</v>
      </c>
      <c r="C571" s="68" t="s">
        <v>1278</v>
      </c>
      <c r="D571" s="68" t="s">
        <v>1285</v>
      </c>
      <c r="E571" s="68">
        <v>0</v>
      </c>
      <c r="F571" s="68" t="s">
        <v>1285</v>
      </c>
      <c r="G571" s="68">
        <v>3</v>
      </c>
      <c r="H571" s="68" t="s">
        <v>1285</v>
      </c>
      <c r="I571" s="68">
        <v>0</v>
      </c>
      <c r="J571" s="68" t="s">
        <v>1278</v>
      </c>
    </row>
    <row r="572" spans="1:10" ht="12.75" customHeight="1">
      <c r="A572" s="71"/>
      <c r="B572" s="71" t="s">
        <v>1280</v>
      </c>
      <c r="C572" s="68" t="s">
        <v>1278</v>
      </c>
      <c r="D572" s="68">
        <v>0</v>
      </c>
      <c r="E572" s="68">
        <v>0</v>
      </c>
      <c r="F572" s="68">
        <v>0</v>
      </c>
      <c r="G572" s="68" t="s">
        <v>1299</v>
      </c>
      <c r="H572" s="68">
        <v>0</v>
      </c>
      <c r="I572" s="68">
        <v>0</v>
      </c>
      <c r="J572" s="68" t="s">
        <v>1278</v>
      </c>
    </row>
    <row r="573" spans="1:10" ht="12.75" customHeight="1">
      <c r="A573" s="71"/>
      <c r="B573" s="69" t="s">
        <v>1281</v>
      </c>
      <c r="C573" s="68" t="s">
        <v>1278</v>
      </c>
      <c r="D573" s="68">
        <v>23</v>
      </c>
      <c r="E573" s="68" t="s">
        <v>1285</v>
      </c>
      <c r="F573" s="68" t="s">
        <v>1285</v>
      </c>
      <c r="G573" s="68">
        <v>12</v>
      </c>
      <c r="H573" s="68" t="s">
        <v>1285</v>
      </c>
      <c r="I573" s="68">
        <v>0</v>
      </c>
      <c r="J573" s="68" t="s">
        <v>1278</v>
      </c>
    </row>
    <row r="574" spans="1:10" ht="12.75" customHeight="1">
      <c r="A574" s="71"/>
      <c r="B574" s="71" t="s">
        <v>1283</v>
      </c>
      <c r="C574" s="68" t="s">
        <v>1278</v>
      </c>
      <c r="D574" s="68">
        <v>1</v>
      </c>
      <c r="E574" s="68">
        <v>0</v>
      </c>
      <c r="F574" s="68" t="s">
        <v>1285</v>
      </c>
      <c r="G574" s="68">
        <v>8</v>
      </c>
      <c r="H574" s="68" t="s">
        <v>1285</v>
      </c>
      <c r="I574" s="68">
        <v>0</v>
      </c>
      <c r="J574" s="68" t="s">
        <v>1278</v>
      </c>
    </row>
    <row r="575" spans="1:10" ht="12.75" customHeight="1">
      <c r="A575" s="71"/>
      <c r="B575" s="71" t="s">
        <v>1284</v>
      </c>
      <c r="C575" s="68" t="s">
        <v>1278</v>
      </c>
      <c r="D575" s="68">
        <v>2</v>
      </c>
      <c r="E575" s="68">
        <v>0</v>
      </c>
      <c r="F575" s="68">
        <v>0</v>
      </c>
      <c r="G575" s="68" t="s">
        <v>1285</v>
      </c>
      <c r="H575" s="68">
        <v>0</v>
      </c>
      <c r="I575" s="68">
        <v>0</v>
      </c>
      <c r="J575" s="68" t="s">
        <v>1278</v>
      </c>
    </row>
    <row r="576" spans="1:10" ht="12.75" customHeight="1">
      <c r="A576" s="71"/>
      <c r="B576" s="71" t="s">
        <v>1286</v>
      </c>
      <c r="C576" s="68" t="s">
        <v>1278</v>
      </c>
      <c r="D576" s="68">
        <v>19</v>
      </c>
      <c r="E576" s="68">
        <v>0</v>
      </c>
      <c r="F576" s="68" t="s">
        <v>1285</v>
      </c>
      <c r="G576" s="68">
        <v>2</v>
      </c>
      <c r="H576" s="68" t="s">
        <v>1285</v>
      </c>
      <c r="I576" s="68">
        <v>0</v>
      </c>
      <c r="J576" s="68" t="s">
        <v>1278</v>
      </c>
    </row>
    <row r="577" spans="1:10" ht="12.75" customHeight="1">
      <c r="A577" s="71"/>
      <c r="B577" s="71" t="s">
        <v>1287</v>
      </c>
      <c r="C577" s="68" t="s">
        <v>1278</v>
      </c>
      <c r="D577" s="68" t="s">
        <v>1299</v>
      </c>
      <c r="E577" s="68" t="s">
        <v>1278</v>
      </c>
      <c r="F577" s="68" t="s">
        <v>1278</v>
      </c>
      <c r="G577" s="68" t="s">
        <v>1278</v>
      </c>
      <c r="H577" s="68" t="s">
        <v>1278</v>
      </c>
      <c r="I577" s="68" t="s">
        <v>1278</v>
      </c>
      <c r="J577" s="68" t="s">
        <v>1278</v>
      </c>
    </row>
    <row r="578" spans="1:10" ht="12.75" customHeight="1">
      <c r="A578" s="71"/>
      <c r="B578" s="71" t="s">
        <v>1288</v>
      </c>
      <c r="C578" s="68" t="s">
        <v>1278</v>
      </c>
      <c r="D578" s="68">
        <v>1</v>
      </c>
      <c r="E578" s="68" t="s">
        <v>1285</v>
      </c>
      <c r="F578" s="68">
        <v>0</v>
      </c>
      <c r="G578" s="68" t="s">
        <v>1299</v>
      </c>
      <c r="H578" s="68">
        <v>0</v>
      </c>
      <c r="I578" s="68">
        <v>0</v>
      </c>
      <c r="J578" s="68" t="s">
        <v>1278</v>
      </c>
    </row>
    <row r="579" spans="1:10" ht="12.75" customHeight="1">
      <c r="A579" s="71"/>
      <c r="B579" s="69" t="s">
        <v>1289</v>
      </c>
      <c r="C579" s="68" t="s">
        <v>1278</v>
      </c>
      <c r="D579" s="68">
        <v>10</v>
      </c>
      <c r="E579" s="68" t="s">
        <v>1285</v>
      </c>
      <c r="F579" s="68" t="s">
        <v>1285</v>
      </c>
      <c r="G579" s="68">
        <v>9</v>
      </c>
      <c r="H579" s="68" t="s">
        <v>1285</v>
      </c>
      <c r="I579" s="68">
        <v>0</v>
      </c>
      <c r="J579" s="68" t="s">
        <v>1278</v>
      </c>
    </row>
    <row r="580" spans="1:10" ht="12.75" customHeight="1">
      <c r="A580" s="71"/>
      <c r="B580" s="71" t="s">
        <v>1290</v>
      </c>
      <c r="C580" s="68" t="s">
        <v>1278</v>
      </c>
      <c r="D580" s="68">
        <v>6</v>
      </c>
      <c r="E580" s="68" t="s">
        <v>1285</v>
      </c>
      <c r="F580" s="68" t="s">
        <v>1285</v>
      </c>
      <c r="G580" s="68">
        <v>8</v>
      </c>
      <c r="H580" s="68" t="s">
        <v>1285</v>
      </c>
      <c r="I580" s="68">
        <v>0</v>
      </c>
      <c r="J580" s="68" t="s">
        <v>1278</v>
      </c>
    </row>
    <row r="581" spans="1:10" ht="12.75" customHeight="1">
      <c r="A581" s="71"/>
      <c r="B581" s="71" t="s">
        <v>1291</v>
      </c>
      <c r="C581" s="68" t="s">
        <v>1278</v>
      </c>
      <c r="D581" s="68">
        <v>3</v>
      </c>
      <c r="E581" s="68" t="s">
        <v>1278</v>
      </c>
      <c r="F581" s="68" t="s">
        <v>1278</v>
      </c>
      <c r="G581" s="68" t="s">
        <v>1278</v>
      </c>
      <c r="H581" s="68" t="s">
        <v>1278</v>
      </c>
      <c r="I581" s="68" t="s">
        <v>1278</v>
      </c>
      <c r="J581" s="68" t="s">
        <v>1278</v>
      </c>
    </row>
    <row r="582" spans="1:10" ht="12.75" customHeight="1">
      <c r="A582" s="71"/>
      <c r="B582" s="71" t="s">
        <v>1292</v>
      </c>
      <c r="C582" s="68" t="s">
        <v>1278</v>
      </c>
      <c r="D582" s="68">
        <v>1</v>
      </c>
      <c r="E582" s="68">
        <v>0</v>
      </c>
      <c r="F582" s="68" t="s">
        <v>1285</v>
      </c>
      <c r="G582" s="68" t="s">
        <v>1285</v>
      </c>
      <c r="H582" s="68" t="s">
        <v>1285</v>
      </c>
      <c r="I582" s="68">
        <v>0</v>
      </c>
      <c r="J582" s="68" t="s">
        <v>1278</v>
      </c>
    </row>
    <row r="583" spans="1:10" ht="12.75" customHeight="1">
      <c r="A583" s="71"/>
      <c r="B583" s="71" t="s">
        <v>1293</v>
      </c>
      <c r="C583" s="68" t="s">
        <v>1278</v>
      </c>
      <c r="D583" s="68" t="s">
        <v>1285</v>
      </c>
      <c r="E583" s="68" t="s">
        <v>1278</v>
      </c>
      <c r="F583" s="68" t="s">
        <v>1285</v>
      </c>
      <c r="G583" s="68" t="s">
        <v>1285</v>
      </c>
      <c r="H583" s="68" t="s">
        <v>1285</v>
      </c>
      <c r="I583" s="68" t="s">
        <v>1278</v>
      </c>
      <c r="J583" s="68" t="s">
        <v>1278</v>
      </c>
    </row>
    <row r="584" spans="1:10" ht="12.75" customHeight="1">
      <c r="A584" s="71"/>
      <c r="B584" s="71" t="s">
        <v>1294</v>
      </c>
      <c r="C584" s="68" t="s">
        <v>1278</v>
      </c>
      <c r="D584" s="68" t="s">
        <v>1278</v>
      </c>
      <c r="E584" s="68">
        <v>0</v>
      </c>
      <c r="F584" s="68" t="s">
        <v>1285</v>
      </c>
      <c r="G584" s="68" t="s">
        <v>1285</v>
      </c>
      <c r="H584" s="68">
        <v>0</v>
      </c>
      <c r="I584" s="68">
        <v>0</v>
      </c>
      <c r="J584" s="68" t="s">
        <v>1278</v>
      </c>
    </row>
    <row r="585" spans="1:10" ht="12.75" customHeight="1">
      <c r="A585" s="71"/>
      <c r="B585" s="71" t="s">
        <v>1295</v>
      </c>
      <c r="C585" s="68" t="s">
        <v>1278</v>
      </c>
      <c r="D585" s="68" t="s">
        <v>1285</v>
      </c>
      <c r="E585" s="68">
        <v>0</v>
      </c>
      <c r="F585" s="68" t="s">
        <v>1285</v>
      </c>
      <c r="G585" s="68" t="s">
        <v>1285</v>
      </c>
      <c r="H585" s="68" t="s">
        <v>1285</v>
      </c>
      <c r="I585" s="68">
        <v>0</v>
      </c>
      <c r="J585" s="68" t="s">
        <v>1278</v>
      </c>
    </row>
    <row r="586" spans="1:10" ht="12.75" customHeight="1">
      <c r="A586" s="71"/>
      <c r="B586" s="69" t="s">
        <v>1296</v>
      </c>
      <c r="C586" s="68">
        <v>1</v>
      </c>
      <c r="D586" s="68" t="s">
        <v>1285</v>
      </c>
      <c r="E586" s="68">
        <v>0</v>
      </c>
      <c r="F586" s="68" t="s">
        <v>1285</v>
      </c>
      <c r="G586" s="68" t="s">
        <v>1285</v>
      </c>
      <c r="H586" s="68" t="s">
        <v>1285</v>
      </c>
      <c r="I586" s="68">
        <v>0</v>
      </c>
      <c r="J586" s="68" t="s">
        <v>1285</v>
      </c>
    </row>
    <row r="587" spans="1:10" ht="12.75" customHeight="1">
      <c r="A587" s="71"/>
      <c r="B587" s="69"/>
      <c r="C587" s="68"/>
      <c r="D587" s="68"/>
      <c r="E587" s="68"/>
      <c r="F587" s="68"/>
      <c r="G587" s="68"/>
      <c r="H587" s="68"/>
      <c r="I587" s="68"/>
      <c r="J587" s="68"/>
    </row>
    <row r="588" spans="1:10" s="73" customFormat="1" ht="12.75" customHeight="1">
      <c r="A588" s="69" t="s">
        <v>1348</v>
      </c>
      <c r="B588" s="69" t="s">
        <v>1349</v>
      </c>
      <c r="C588" s="74"/>
      <c r="D588" s="74"/>
      <c r="E588" s="74"/>
      <c r="F588" s="74"/>
      <c r="G588" s="74"/>
      <c r="H588" s="74"/>
      <c r="I588" s="74"/>
      <c r="J588" s="74"/>
    </row>
    <row r="589" spans="1:10" s="73" customFormat="1" ht="12.75" customHeight="1">
      <c r="A589" s="69"/>
      <c r="B589" s="69"/>
      <c r="C589" s="74"/>
      <c r="D589" s="74"/>
      <c r="E589" s="74"/>
      <c r="F589" s="74"/>
      <c r="G589" s="74"/>
      <c r="H589" s="74"/>
      <c r="I589" s="74"/>
      <c r="J589" s="74"/>
    </row>
    <row r="590" spans="1:10" s="73" customFormat="1" ht="12.75" customHeight="1">
      <c r="A590" s="69"/>
      <c r="B590" s="69"/>
      <c r="C590" s="74"/>
      <c r="D590" s="74"/>
      <c r="E590" s="74"/>
      <c r="F590" s="74"/>
      <c r="G590" s="74"/>
      <c r="H590" s="74"/>
      <c r="I590" s="74"/>
      <c r="J590" s="74"/>
    </row>
    <row r="591" spans="1:10" ht="12.75" customHeight="1">
      <c r="A591" s="71"/>
      <c r="B591" s="69" t="s">
        <v>1276</v>
      </c>
      <c r="C591" s="68">
        <v>3517</v>
      </c>
      <c r="D591" s="68">
        <v>178</v>
      </c>
      <c r="E591" s="68">
        <v>3</v>
      </c>
      <c r="F591" s="68">
        <v>14</v>
      </c>
      <c r="G591" s="68">
        <v>1077</v>
      </c>
      <c r="H591" s="68">
        <v>19</v>
      </c>
      <c r="I591" s="68" t="s">
        <v>1285</v>
      </c>
      <c r="J591" s="68">
        <v>2226</v>
      </c>
    </row>
    <row r="592" spans="1:10" ht="12.75" customHeight="1">
      <c r="A592" s="71"/>
      <c r="B592" s="69" t="s">
        <v>1277</v>
      </c>
      <c r="C592" s="68" t="s">
        <v>1278</v>
      </c>
      <c r="D592" s="68">
        <v>1</v>
      </c>
      <c r="E592" s="68" t="s">
        <v>1285</v>
      </c>
      <c r="F592" s="68">
        <v>1</v>
      </c>
      <c r="G592" s="68">
        <v>342</v>
      </c>
      <c r="H592" s="68">
        <v>2</v>
      </c>
      <c r="I592" s="68">
        <v>0</v>
      </c>
      <c r="J592" s="68" t="s">
        <v>1278</v>
      </c>
    </row>
    <row r="593" spans="1:10" ht="12.75" customHeight="1">
      <c r="A593" s="71"/>
      <c r="B593" s="71" t="s">
        <v>1279</v>
      </c>
      <c r="C593" s="68" t="s">
        <v>1278</v>
      </c>
      <c r="D593" s="68">
        <v>1</v>
      </c>
      <c r="E593" s="68" t="s">
        <v>1285</v>
      </c>
      <c r="F593" s="68" t="s">
        <v>1285</v>
      </c>
      <c r="G593" s="68">
        <v>134</v>
      </c>
      <c r="H593" s="68">
        <v>2</v>
      </c>
      <c r="I593" s="68">
        <v>0</v>
      </c>
      <c r="J593" s="68" t="s">
        <v>1278</v>
      </c>
    </row>
    <row r="594" spans="1:10" ht="12.75" customHeight="1">
      <c r="A594" s="71"/>
      <c r="B594" s="71" t="s">
        <v>1280</v>
      </c>
      <c r="C594" s="68" t="s">
        <v>1278</v>
      </c>
      <c r="D594" s="68">
        <v>0</v>
      </c>
      <c r="E594" s="68">
        <v>0</v>
      </c>
      <c r="F594" s="68" t="s">
        <v>1285</v>
      </c>
      <c r="G594" s="68">
        <v>208</v>
      </c>
      <c r="H594" s="68">
        <v>1</v>
      </c>
      <c r="I594" s="68">
        <v>0</v>
      </c>
      <c r="J594" s="68" t="s">
        <v>1278</v>
      </c>
    </row>
    <row r="595" spans="1:10" ht="12.75" customHeight="1">
      <c r="A595" s="71"/>
      <c r="B595" s="69" t="s">
        <v>1281</v>
      </c>
      <c r="C595" s="68" t="s">
        <v>1278</v>
      </c>
      <c r="D595" s="68">
        <v>164</v>
      </c>
      <c r="E595" s="68">
        <v>3</v>
      </c>
      <c r="F595" s="68">
        <v>8</v>
      </c>
      <c r="G595" s="68">
        <v>696</v>
      </c>
      <c r="H595" s="68">
        <v>16</v>
      </c>
      <c r="I595" s="68" t="s">
        <v>1285</v>
      </c>
      <c r="J595" s="68" t="s">
        <v>1278</v>
      </c>
    </row>
    <row r="596" spans="1:10" ht="12.75" customHeight="1">
      <c r="A596" s="71"/>
      <c r="B596" s="71" t="s">
        <v>1283</v>
      </c>
      <c r="C596" s="68" t="s">
        <v>1278</v>
      </c>
      <c r="D596" s="68">
        <v>-2</v>
      </c>
      <c r="E596" s="68">
        <v>3</v>
      </c>
      <c r="F596" s="68">
        <v>4</v>
      </c>
      <c r="G596" s="68">
        <v>656</v>
      </c>
      <c r="H596" s="68">
        <v>15</v>
      </c>
      <c r="I596" s="68" t="s">
        <v>1285</v>
      </c>
      <c r="J596" s="68" t="s">
        <v>1278</v>
      </c>
    </row>
    <row r="597" spans="1:10" ht="12.75" customHeight="1">
      <c r="A597" s="71"/>
      <c r="B597" s="71" t="s">
        <v>1284</v>
      </c>
      <c r="C597" s="68" t="s">
        <v>1278</v>
      </c>
      <c r="D597" s="68">
        <v>7</v>
      </c>
      <c r="E597" s="68">
        <v>0</v>
      </c>
      <c r="F597" s="68" t="s">
        <v>1285</v>
      </c>
      <c r="G597" s="68">
        <v>1</v>
      </c>
      <c r="H597" s="68" t="s">
        <v>1285</v>
      </c>
      <c r="I597" s="68">
        <v>0</v>
      </c>
      <c r="J597" s="68" t="s">
        <v>1278</v>
      </c>
    </row>
    <row r="598" spans="1:10" ht="12.75" customHeight="1">
      <c r="A598" s="71"/>
      <c r="B598" s="71" t="s">
        <v>1286</v>
      </c>
      <c r="C598" s="68" t="s">
        <v>1278</v>
      </c>
      <c r="D598" s="68">
        <v>157</v>
      </c>
      <c r="E598" s="68">
        <v>0</v>
      </c>
      <c r="F598" s="68">
        <v>4</v>
      </c>
      <c r="G598" s="68">
        <v>15</v>
      </c>
      <c r="H598" s="68" t="s">
        <v>1299</v>
      </c>
      <c r="I598" s="68">
        <v>0</v>
      </c>
      <c r="J598" s="68" t="s">
        <v>1278</v>
      </c>
    </row>
    <row r="599" spans="1:10" ht="12.75" customHeight="1">
      <c r="A599" s="71"/>
      <c r="B599" s="71" t="s">
        <v>1287</v>
      </c>
      <c r="C599" s="68" t="s">
        <v>1278</v>
      </c>
      <c r="D599" s="68">
        <v>1</v>
      </c>
      <c r="E599" s="68" t="s">
        <v>1278</v>
      </c>
      <c r="F599" s="68" t="s">
        <v>1278</v>
      </c>
      <c r="G599" s="68" t="s">
        <v>1278</v>
      </c>
      <c r="H599" s="68" t="s">
        <v>1278</v>
      </c>
      <c r="I599" s="68" t="s">
        <v>1278</v>
      </c>
      <c r="J599" s="68" t="s">
        <v>1278</v>
      </c>
    </row>
    <row r="600" spans="1:10" ht="12.75" customHeight="1">
      <c r="A600" s="71"/>
      <c r="B600" s="71" t="s">
        <v>1288</v>
      </c>
      <c r="C600" s="68" t="s">
        <v>1278</v>
      </c>
      <c r="D600" s="68">
        <v>1</v>
      </c>
      <c r="E600" s="68">
        <v>0</v>
      </c>
      <c r="F600" s="68" t="s">
        <v>1285</v>
      </c>
      <c r="G600" s="68">
        <v>24</v>
      </c>
      <c r="H600" s="68" t="s">
        <v>1285</v>
      </c>
      <c r="I600" s="68">
        <v>0</v>
      </c>
      <c r="J600" s="68" t="s">
        <v>1278</v>
      </c>
    </row>
    <row r="601" spans="1:10" ht="12.75" customHeight="1">
      <c r="A601" s="71"/>
      <c r="B601" s="69" t="s">
        <v>1289</v>
      </c>
      <c r="C601" s="68" t="s">
        <v>1278</v>
      </c>
      <c r="D601" s="68">
        <v>12</v>
      </c>
      <c r="E601" s="68">
        <v>0</v>
      </c>
      <c r="F601" s="68">
        <v>5</v>
      </c>
      <c r="G601" s="68">
        <v>29</v>
      </c>
      <c r="H601" s="68">
        <v>1</v>
      </c>
      <c r="I601" s="68">
        <v>0</v>
      </c>
      <c r="J601" s="68" t="s">
        <v>1278</v>
      </c>
    </row>
    <row r="602" spans="1:10" ht="12.75" customHeight="1">
      <c r="A602" s="71"/>
      <c r="B602" s="71" t="s">
        <v>1290</v>
      </c>
      <c r="C602" s="68" t="s">
        <v>1278</v>
      </c>
      <c r="D602" s="68">
        <v>6</v>
      </c>
      <c r="E602" s="68">
        <v>0</v>
      </c>
      <c r="F602" s="68" t="s">
        <v>1285</v>
      </c>
      <c r="G602" s="68">
        <v>7</v>
      </c>
      <c r="H602" s="68" t="s">
        <v>1285</v>
      </c>
      <c r="I602" s="68">
        <v>0</v>
      </c>
      <c r="J602" s="68" t="s">
        <v>1278</v>
      </c>
    </row>
    <row r="603" spans="1:10" ht="12.75" customHeight="1">
      <c r="A603" s="71"/>
      <c r="B603" s="71" t="s">
        <v>1291</v>
      </c>
      <c r="C603" s="68" t="s">
        <v>1278</v>
      </c>
      <c r="D603" s="68">
        <v>4</v>
      </c>
      <c r="E603" s="68" t="s">
        <v>1278</v>
      </c>
      <c r="F603" s="68" t="s">
        <v>1278</v>
      </c>
      <c r="G603" s="68" t="s">
        <v>1278</v>
      </c>
      <c r="H603" s="68" t="s">
        <v>1278</v>
      </c>
      <c r="I603" s="68" t="s">
        <v>1278</v>
      </c>
      <c r="J603" s="68" t="s">
        <v>1278</v>
      </c>
    </row>
    <row r="604" spans="1:10" ht="12.75" customHeight="1">
      <c r="A604" s="71"/>
      <c r="B604" s="71" t="s">
        <v>1292</v>
      </c>
      <c r="C604" s="68" t="s">
        <v>1278</v>
      </c>
      <c r="D604" s="68">
        <v>2</v>
      </c>
      <c r="E604" s="68">
        <v>0</v>
      </c>
      <c r="F604" s="68" t="s">
        <v>1285</v>
      </c>
      <c r="G604" s="68">
        <v>1</v>
      </c>
      <c r="H604" s="68" t="s">
        <v>1285</v>
      </c>
      <c r="I604" s="68">
        <v>0</v>
      </c>
      <c r="J604" s="68" t="s">
        <v>1278</v>
      </c>
    </row>
    <row r="605" spans="1:10" ht="12.75" customHeight="1">
      <c r="A605" s="71"/>
      <c r="B605" s="71" t="s">
        <v>1293</v>
      </c>
      <c r="C605" s="68" t="s">
        <v>1278</v>
      </c>
      <c r="D605" s="68" t="s">
        <v>1285</v>
      </c>
      <c r="E605" s="68" t="s">
        <v>1278</v>
      </c>
      <c r="F605" s="68">
        <v>4</v>
      </c>
      <c r="G605" s="68" t="s">
        <v>1285</v>
      </c>
      <c r="H605" s="68" t="s">
        <v>1285</v>
      </c>
      <c r="I605" s="68" t="s">
        <v>1278</v>
      </c>
      <c r="J605" s="68" t="s">
        <v>1278</v>
      </c>
    </row>
    <row r="606" spans="1:10" ht="12.75" customHeight="1">
      <c r="A606" s="71"/>
      <c r="B606" s="71" t="s">
        <v>1294</v>
      </c>
      <c r="C606" s="68" t="s">
        <v>1278</v>
      </c>
      <c r="D606" s="68" t="s">
        <v>1278</v>
      </c>
      <c r="E606" s="68">
        <v>0</v>
      </c>
      <c r="F606" s="68" t="s">
        <v>1285</v>
      </c>
      <c r="G606" s="68">
        <v>20</v>
      </c>
      <c r="H606" s="68" t="s">
        <v>1285</v>
      </c>
      <c r="I606" s="68">
        <v>0</v>
      </c>
      <c r="J606" s="68" t="s">
        <v>1278</v>
      </c>
    </row>
    <row r="607" spans="1:10" ht="12.75" customHeight="1">
      <c r="A607" s="71"/>
      <c r="B607" s="71" t="s">
        <v>1295</v>
      </c>
      <c r="C607" s="68" t="s">
        <v>1278</v>
      </c>
      <c r="D607" s="68" t="s">
        <v>1285</v>
      </c>
      <c r="E607" s="68">
        <v>0</v>
      </c>
      <c r="F607" s="68">
        <v>1</v>
      </c>
      <c r="G607" s="68">
        <v>1</v>
      </c>
      <c r="H607" s="68" t="s">
        <v>1285</v>
      </c>
      <c r="I607" s="68">
        <v>0</v>
      </c>
      <c r="J607" s="68" t="s">
        <v>1278</v>
      </c>
    </row>
    <row r="608" spans="1:10" ht="12.75" customHeight="1">
      <c r="A608" s="71"/>
      <c r="B608" s="69" t="s">
        <v>1296</v>
      </c>
      <c r="C608" s="68">
        <v>2237</v>
      </c>
      <c r="D608" s="68" t="s">
        <v>1285</v>
      </c>
      <c r="E608" s="68">
        <v>0</v>
      </c>
      <c r="F608" s="68" t="s">
        <v>1285</v>
      </c>
      <c r="G608" s="68">
        <v>10</v>
      </c>
      <c r="H608" s="68" t="s">
        <v>1285</v>
      </c>
      <c r="I608" s="68">
        <v>0</v>
      </c>
      <c r="J608" s="68">
        <v>2226</v>
      </c>
    </row>
    <row r="609" spans="1:10" ht="12.75" customHeight="1">
      <c r="A609" s="71"/>
      <c r="B609" s="69"/>
      <c r="C609" s="68"/>
      <c r="D609" s="68"/>
      <c r="E609" s="68"/>
      <c r="F609" s="68"/>
      <c r="G609" s="68"/>
      <c r="H609" s="68"/>
      <c r="I609" s="68"/>
      <c r="J609" s="68"/>
    </row>
    <row r="610" spans="1:10" s="73" customFormat="1" ht="12.75" customHeight="1">
      <c r="A610" s="69" t="s">
        <v>1350</v>
      </c>
      <c r="B610" s="69" t="s">
        <v>1351</v>
      </c>
      <c r="C610" s="74"/>
      <c r="D610" s="74"/>
      <c r="E610" s="74"/>
      <c r="F610" s="74"/>
      <c r="G610" s="74"/>
      <c r="H610" s="74"/>
      <c r="I610" s="74"/>
      <c r="J610" s="74"/>
    </row>
    <row r="611" spans="1:10" ht="12.75" customHeight="1">
      <c r="A611" s="71"/>
      <c r="B611" s="71"/>
      <c r="C611" s="68"/>
      <c r="D611" s="68"/>
      <c r="E611" s="68"/>
      <c r="F611" s="68"/>
      <c r="G611" s="68"/>
      <c r="H611" s="68"/>
      <c r="I611" s="68"/>
      <c r="J611" s="68"/>
    </row>
    <row r="612" spans="1:10" ht="12.75" customHeight="1">
      <c r="A612" s="71"/>
      <c r="B612" s="71"/>
      <c r="C612" s="68"/>
      <c r="D612" s="68"/>
      <c r="E612" s="68"/>
      <c r="F612" s="68"/>
      <c r="G612" s="68"/>
      <c r="H612" s="68"/>
      <c r="I612" s="68"/>
      <c r="J612" s="68"/>
    </row>
    <row r="613" spans="1:10" ht="12.75" customHeight="1">
      <c r="A613" s="71"/>
      <c r="B613" s="69" t="s">
        <v>1276</v>
      </c>
      <c r="C613" s="68">
        <v>3375</v>
      </c>
      <c r="D613" s="68">
        <v>165</v>
      </c>
      <c r="E613" s="68">
        <v>2</v>
      </c>
      <c r="F613" s="68">
        <v>5</v>
      </c>
      <c r="G613" s="68">
        <v>994</v>
      </c>
      <c r="H613" s="68">
        <v>16</v>
      </c>
      <c r="I613" s="68">
        <v>0</v>
      </c>
      <c r="J613" s="68">
        <v>2192</v>
      </c>
    </row>
    <row r="614" spans="1:10" ht="12.75" customHeight="1">
      <c r="A614" s="71"/>
      <c r="B614" s="69" t="s">
        <v>1277</v>
      </c>
      <c r="C614" s="68" t="s">
        <v>1278</v>
      </c>
      <c r="D614" s="68">
        <v>1</v>
      </c>
      <c r="E614" s="68" t="s">
        <v>1285</v>
      </c>
      <c r="F614" s="68" t="s">
        <v>1285</v>
      </c>
      <c r="G614" s="68">
        <v>323</v>
      </c>
      <c r="H614" s="68">
        <v>2</v>
      </c>
      <c r="I614" s="68">
        <v>0</v>
      </c>
      <c r="J614" s="68" t="s">
        <v>1278</v>
      </c>
    </row>
    <row r="615" spans="1:10" ht="12.75" customHeight="1">
      <c r="A615" s="71"/>
      <c r="B615" s="71" t="s">
        <v>1279</v>
      </c>
      <c r="C615" s="68" t="s">
        <v>1278</v>
      </c>
      <c r="D615" s="68">
        <v>1</v>
      </c>
      <c r="E615" s="68" t="s">
        <v>1285</v>
      </c>
      <c r="F615" s="68" t="s">
        <v>1285</v>
      </c>
      <c r="G615" s="68">
        <v>129</v>
      </c>
      <c r="H615" s="68">
        <v>2</v>
      </c>
      <c r="I615" s="68">
        <v>0</v>
      </c>
      <c r="J615" s="68" t="s">
        <v>1278</v>
      </c>
    </row>
    <row r="616" spans="1:10" ht="12.75" customHeight="1">
      <c r="A616" s="71"/>
      <c r="B616" s="71" t="s">
        <v>1280</v>
      </c>
      <c r="C616" s="68" t="s">
        <v>1278</v>
      </c>
      <c r="D616" s="68">
        <v>0</v>
      </c>
      <c r="E616" s="68">
        <v>0</v>
      </c>
      <c r="F616" s="68" t="s">
        <v>1285</v>
      </c>
      <c r="G616" s="68">
        <v>194</v>
      </c>
      <c r="H616" s="68">
        <v>1</v>
      </c>
      <c r="I616" s="68">
        <v>0</v>
      </c>
      <c r="J616" s="68" t="s">
        <v>1278</v>
      </c>
    </row>
    <row r="617" spans="1:10" ht="12.75" customHeight="1">
      <c r="A617" s="71"/>
      <c r="B617" s="69" t="s">
        <v>1281</v>
      </c>
      <c r="C617" s="68" t="s">
        <v>1278</v>
      </c>
      <c r="D617" s="68">
        <v>154</v>
      </c>
      <c r="E617" s="68">
        <v>2</v>
      </c>
      <c r="F617" s="68">
        <v>3</v>
      </c>
      <c r="G617" s="68">
        <v>636</v>
      </c>
      <c r="H617" s="68">
        <v>13</v>
      </c>
      <c r="I617" s="68">
        <v>0</v>
      </c>
      <c r="J617" s="68" t="s">
        <v>1278</v>
      </c>
    </row>
    <row r="618" spans="1:10" ht="12.75" customHeight="1">
      <c r="A618" s="71"/>
      <c r="B618" s="71" t="s">
        <v>1283</v>
      </c>
      <c r="C618" s="68" t="s">
        <v>1278</v>
      </c>
      <c r="D618" s="68">
        <v>-3</v>
      </c>
      <c r="E618" s="68">
        <v>2</v>
      </c>
      <c r="F618" s="68">
        <v>2</v>
      </c>
      <c r="G618" s="68">
        <v>604</v>
      </c>
      <c r="H618" s="68">
        <v>13</v>
      </c>
      <c r="I618" s="68">
        <v>0</v>
      </c>
      <c r="J618" s="68" t="s">
        <v>1278</v>
      </c>
    </row>
    <row r="619" spans="1:10" ht="12.75" customHeight="1">
      <c r="A619" s="71"/>
      <c r="B619" s="71" t="s">
        <v>1284</v>
      </c>
      <c r="C619" s="68" t="s">
        <v>1278</v>
      </c>
      <c r="D619" s="68">
        <v>7</v>
      </c>
      <c r="E619" s="68">
        <v>0</v>
      </c>
      <c r="F619" s="68">
        <v>0</v>
      </c>
      <c r="G619" s="68" t="s">
        <v>1285</v>
      </c>
      <c r="H619" s="68" t="s">
        <v>1285</v>
      </c>
      <c r="I619" s="68">
        <v>0</v>
      </c>
      <c r="J619" s="68" t="s">
        <v>1278</v>
      </c>
    </row>
    <row r="620" spans="1:10" ht="12.75" customHeight="1">
      <c r="A620" s="71"/>
      <c r="B620" s="71" t="s">
        <v>1286</v>
      </c>
      <c r="C620" s="68" t="s">
        <v>1278</v>
      </c>
      <c r="D620" s="68">
        <v>149</v>
      </c>
      <c r="E620" s="68">
        <v>0</v>
      </c>
      <c r="F620" s="68">
        <v>1</v>
      </c>
      <c r="G620" s="68">
        <v>10</v>
      </c>
      <c r="H620" s="68" t="s">
        <v>1285</v>
      </c>
      <c r="I620" s="68">
        <v>0</v>
      </c>
      <c r="J620" s="68" t="s">
        <v>1278</v>
      </c>
    </row>
    <row r="621" spans="1:10" ht="12.75" customHeight="1">
      <c r="A621" s="71"/>
      <c r="B621" s="71" t="s">
        <v>1287</v>
      </c>
      <c r="C621" s="68" t="s">
        <v>1278</v>
      </c>
      <c r="D621" s="68">
        <v>1</v>
      </c>
      <c r="E621" s="68" t="s">
        <v>1278</v>
      </c>
      <c r="F621" s="68" t="s">
        <v>1278</v>
      </c>
      <c r="G621" s="68" t="s">
        <v>1278</v>
      </c>
      <c r="H621" s="68" t="s">
        <v>1278</v>
      </c>
      <c r="I621" s="68" t="s">
        <v>1278</v>
      </c>
      <c r="J621" s="68" t="s">
        <v>1278</v>
      </c>
    </row>
    <row r="622" spans="1:10" ht="12.75" customHeight="1">
      <c r="A622" s="71"/>
      <c r="B622" s="71" t="s">
        <v>1288</v>
      </c>
      <c r="C622" s="68" t="s">
        <v>1278</v>
      </c>
      <c r="D622" s="68">
        <v>1</v>
      </c>
      <c r="E622" s="68">
        <v>0</v>
      </c>
      <c r="F622" s="68" t="s">
        <v>1285</v>
      </c>
      <c r="G622" s="68">
        <v>22</v>
      </c>
      <c r="H622" s="68" t="s">
        <v>1285</v>
      </c>
      <c r="I622" s="68">
        <v>0</v>
      </c>
      <c r="J622" s="68" t="s">
        <v>1278</v>
      </c>
    </row>
    <row r="623" spans="1:10" ht="12.75" customHeight="1">
      <c r="A623" s="71"/>
      <c r="B623" s="69" t="s">
        <v>1289</v>
      </c>
      <c r="C623" s="68" t="s">
        <v>1278</v>
      </c>
      <c r="D623" s="68">
        <v>10</v>
      </c>
      <c r="E623" s="68">
        <v>0</v>
      </c>
      <c r="F623" s="68">
        <v>2</v>
      </c>
      <c r="G623" s="68">
        <v>25</v>
      </c>
      <c r="H623" s="68" t="s">
        <v>1285</v>
      </c>
      <c r="I623" s="68">
        <v>0</v>
      </c>
      <c r="J623" s="68" t="s">
        <v>1278</v>
      </c>
    </row>
    <row r="624" spans="1:10" ht="12.75" customHeight="1">
      <c r="A624" s="71"/>
      <c r="B624" s="71" t="s">
        <v>1290</v>
      </c>
      <c r="C624" s="68" t="s">
        <v>1278</v>
      </c>
      <c r="D624" s="68">
        <v>5</v>
      </c>
      <c r="E624" s="68">
        <v>0</v>
      </c>
      <c r="F624" s="68" t="s">
        <v>1285</v>
      </c>
      <c r="G624" s="68">
        <v>5</v>
      </c>
      <c r="H624" s="68" t="s">
        <v>1285</v>
      </c>
      <c r="I624" s="68">
        <v>0</v>
      </c>
      <c r="J624" s="68" t="s">
        <v>1278</v>
      </c>
    </row>
    <row r="625" spans="1:10" ht="12.75" customHeight="1">
      <c r="A625" s="71"/>
      <c r="B625" s="71" t="s">
        <v>1291</v>
      </c>
      <c r="C625" s="68" t="s">
        <v>1278</v>
      </c>
      <c r="D625" s="68">
        <v>4</v>
      </c>
      <c r="E625" s="68" t="s">
        <v>1278</v>
      </c>
      <c r="F625" s="68" t="s">
        <v>1278</v>
      </c>
      <c r="G625" s="68" t="s">
        <v>1278</v>
      </c>
      <c r="H625" s="68" t="s">
        <v>1278</v>
      </c>
      <c r="I625" s="68" t="s">
        <v>1278</v>
      </c>
      <c r="J625" s="68" t="s">
        <v>1278</v>
      </c>
    </row>
    <row r="626" spans="1:10" ht="12.75" customHeight="1">
      <c r="A626" s="71"/>
      <c r="B626" s="71" t="s">
        <v>1292</v>
      </c>
      <c r="C626" s="68" t="s">
        <v>1278</v>
      </c>
      <c r="D626" s="68">
        <v>2</v>
      </c>
      <c r="E626" s="68">
        <v>0</v>
      </c>
      <c r="F626" s="68">
        <v>0</v>
      </c>
      <c r="G626" s="68" t="s">
        <v>1285</v>
      </c>
      <c r="H626" s="68" t="s">
        <v>1285</v>
      </c>
      <c r="I626" s="68">
        <v>0</v>
      </c>
      <c r="J626" s="68" t="s">
        <v>1278</v>
      </c>
    </row>
    <row r="627" spans="1:10" ht="12.75" customHeight="1">
      <c r="A627" s="71"/>
      <c r="B627" s="71" t="s">
        <v>1293</v>
      </c>
      <c r="C627" s="68" t="s">
        <v>1278</v>
      </c>
      <c r="D627" s="68" t="s">
        <v>1285</v>
      </c>
      <c r="E627" s="68" t="s">
        <v>1278</v>
      </c>
      <c r="F627" s="68">
        <v>2</v>
      </c>
      <c r="G627" s="68">
        <v>0</v>
      </c>
      <c r="H627" s="68" t="s">
        <v>1285</v>
      </c>
      <c r="I627" s="68" t="s">
        <v>1278</v>
      </c>
      <c r="J627" s="68" t="s">
        <v>1278</v>
      </c>
    </row>
    <row r="628" spans="1:10" ht="12.75" customHeight="1">
      <c r="A628" s="71"/>
      <c r="B628" s="71" t="s">
        <v>1294</v>
      </c>
      <c r="C628" s="68" t="s">
        <v>1278</v>
      </c>
      <c r="D628" s="68" t="s">
        <v>1278</v>
      </c>
      <c r="E628" s="68">
        <v>0</v>
      </c>
      <c r="F628" s="68" t="s">
        <v>1285</v>
      </c>
      <c r="G628" s="68">
        <v>20</v>
      </c>
      <c r="H628" s="68" t="s">
        <v>1285</v>
      </c>
      <c r="I628" s="68">
        <v>0</v>
      </c>
      <c r="J628" s="68" t="s">
        <v>1278</v>
      </c>
    </row>
    <row r="629" spans="1:10" ht="12.75" customHeight="1">
      <c r="A629" s="71"/>
      <c r="B629" s="71" t="s">
        <v>1295</v>
      </c>
      <c r="C629" s="68" t="s">
        <v>1278</v>
      </c>
      <c r="D629" s="68" t="s">
        <v>1285</v>
      </c>
      <c r="E629" s="68">
        <v>0</v>
      </c>
      <c r="F629" s="68" t="s">
        <v>1285</v>
      </c>
      <c r="G629" s="68" t="s">
        <v>1285</v>
      </c>
      <c r="H629" s="68" t="s">
        <v>1285</v>
      </c>
      <c r="I629" s="68">
        <v>0</v>
      </c>
      <c r="J629" s="68" t="s">
        <v>1278</v>
      </c>
    </row>
    <row r="630" spans="1:10" ht="12.75" customHeight="1">
      <c r="A630" s="71"/>
      <c r="B630" s="69" t="s">
        <v>1296</v>
      </c>
      <c r="C630" s="68">
        <v>2202</v>
      </c>
      <c r="D630" s="68" t="s">
        <v>1285</v>
      </c>
      <c r="E630" s="68">
        <v>0</v>
      </c>
      <c r="F630" s="68" t="s">
        <v>1285</v>
      </c>
      <c r="G630" s="68">
        <v>10</v>
      </c>
      <c r="H630" s="68" t="s">
        <v>1285</v>
      </c>
      <c r="I630" s="68">
        <v>0</v>
      </c>
      <c r="J630" s="68">
        <v>2192</v>
      </c>
    </row>
    <row r="631" spans="1:10" ht="12.75" customHeight="1">
      <c r="A631" s="71"/>
      <c r="B631" s="69"/>
      <c r="C631" s="68"/>
      <c r="D631" s="68"/>
      <c r="E631" s="68"/>
      <c r="F631" s="68"/>
      <c r="G631" s="68"/>
      <c r="H631" s="68"/>
      <c r="I631" s="68"/>
      <c r="J631" s="68"/>
    </row>
    <row r="632" spans="1:10" s="73" customFormat="1" ht="12.75" customHeight="1">
      <c r="A632" s="69" t="s">
        <v>1352</v>
      </c>
      <c r="B632" s="69" t="s">
        <v>1353</v>
      </c>
      <c r="C632" s="74"/>
      <c r="D632" s="74"/>
      <c r="E632" s="74"/>
      <c r="F632" s="74"/>
      <c r="G632" s="74"/>
      <c r="H632" s="74"/>
      <c r="I632" s="74"/>
      <c r="J632" s="74"/>
    </row>
    <row r="633" spans="1:10" ht="12.75" customHeight="1">
      <c r="A633" s="71"/>
      <c r="B633" s="71"/>
      <c r="C633" s="68"/>
      <c r="D633" s="68"/>
      <c r="E633" s="68"/>
      <c r="F633" s="68"/>
      <c r="G633" s="68"/>
      <c r="H633" s="68"/>
      <c r="I633" s="68"/>
      <c r="J633" s="68"/>
    </row>
    <row r="634" spans="1:10" ht="12.75" customHeight="1">
      <c r="A634" s="71"/>
      <c r="B634" s="71"/>
      <c r="C634" s="68"/>
      <c r="D634" s="68"/>
      <c r="E634" s="68"/>
      <c r="F634" s="68"/>
      <c r="G634" s="68"/>
      <c r="H634" s="68"/>
      <c r="I634" s="68"/>
      <c r="J634" s="68"/>
    </row>
    <row r="635" spans="1:10" ht="12.75" customHeight="1">
      <c r="A635" s="71"/>
      <c r="B635" s="69" t="s">
        <v>1276</v>
      </c>
      <c r="C635" s="68">
        <v>64</v>
      </c>
      <c r="D635" s="68">
        <v>5</v>
      </c>
      <c r="E635" s="68">
        <v>1</v>
      </c>
      <c r="F635" s="68">
        <v>8</v>
      </c>
      <c r="G635" s="68">
        <v>41</v>
      </c>
      <c r="H635" s="68">
        <v>3</v>
      </c>
      <c r="I635" s="68" t="s">
        <v>1285</v>
      </c>
      <c r="J635" s="68">
        <v>6</v>
      </c>
    </row>
    <row r="636" spans="1:10" ht="12.75" customHeight="1">
      <c r="A636" s="71"/>
      <c r="B636" s="69" t="s">
        <v>1277</v>
      </c>
      <c r="C636" s="68" t="s">
        <v>1278</v>
      </c>
      <c r="D636" s="68" t="s">
        <v>1285</v>
      </c>
      <c r="E636" s="68">
        <v>0</v>
      </c>
      <c r="F636" s="68" t="s">
        <v>1285</v>
      </c>
      <c r="G636" s="68">
        <v>4</v>
      </c>
      <c r="H636" s="68" t="s">
        <v>1285</v>
      </c>
      <c r="I636" s="68">
        <v>0</v>
      </c>
      <c r="J636" s="68" t="s">
        <v>1278</v>
      </c>
    </row>
    <row r="637" spans="1:10" ht="12.75" customHeight="1">
      <c r="A637" s="71"/>
      <c r="B637" s="71" t="s">
        <v>1279</v>
      </c>
      <c r="C637" s="68" t="s">
        <v>1278</v>
      </c>
      <c r="D637" s="68" t="s">
        <v>1285</v>
      </c>
      <c r="E637" s="68">
        <v>0</v>
      </c>
      <c r="F637" s="68" t="s">
        <v>1285</v>
      </c>
      <c r="G637" s="68">
        <v>1</v>
      </c>
      <c r="H637" s="68" t="s">
        <v>1285</v>
      </c>
      <c r="I637" s="68">
        <v>0</v>
      </c>
      <c r="J637" s="68" t="s">
        <v>1278</v>
      </c>
    </row>
    <row r="638" spans="1:10" ht="12.75" customHeight="1">
      <c r="A638" s="71"/>
      <c r="B638" s="71" t="s">
        <v>1280</v>
      </c>
      <c r="C638" s="68" t="s">
        <v>1278</v>
      </c>
      <c r="D638" s="68">
        <v>0</v>
      </c>
      <c r="E638" s="68">
        <v>0</v>
      </c>
      <c r="F638" s="68" t="s">
        <v>1285</v>
      </c>
      <c r="G638" s="68">
        <v>3</v>
      </c>
      <c r="H638" s="68" t="s">
        <v>1285</v>
      </c>
      <c r="I638" s="68">
        <v>0</v>
      </c>
      <c r="J638" s="68" t="s">
        <v>1278</v>
      </c>
    </row>
    <row r="639" spans="1:10" ht="12.75" customHeight="1">
      <c r="A639" s="71"/>
      <c r="B639" s="69" t="s">
        <v>1281</v>
      </c>
      <c r="C639" s="68" t="s">
        <v>1278</v>
      </c>
      <c r="D639" s="68">
        <v>4</v>
      </c>
      <c r="E639" s="68">
        <v>1</v>
      </c>
      <c r="F639" s="68">
        <v>6</v>
      </c>
      <c r="G639" s="68">
        <v>36</v>
      </c>
      <c r="H639" s="68">
        <v>3</v>
      </c>
      <c r="I639" s="68" t="s">
        <v>1285</v>
      </c>
      <c r="J639" s="68" t="s">
        <v>1278</v>
      </c>
    </row>
    <row r="640" spans="1:10" ht="12.75" customHeight="1">
      <c r="A640" s="71"/>
      <c r="B640" s="71" t="s">
        <v>1283</v>
      </c>
      <c r="C640" s="68" t="s">
        <v>1278</v>
      </c>
      <c r="D640" s="68" t="s">
        <v>1285</v>
      </c>
      <c r="E640" s="68">
        <v>1</v>
      </c>
      <c r="F640" s="68">
        <v>2</v>
      </c>
      <c r="G640" s="68">
        <v>31</v>
      </c>
      <c r="H640" s="68">
        <v>2</v>
      </c>
      <c r="I640" s="68" t="s">
        <v>1285</v>
      </c>
      <c r="J640" s="68" t="s">
        <v>1278</v>
      </c>
    </row>
    <row r="641" spans="1:10" ht="12.75" customHeight="1">
      <c r="A641" s="71"/>
      <c r="B641" s="71" t="s">
        <v>1284</v>
      </c>
      <c r="C641" s="68" t="s">
        <v>1278</v>
      </c>
      <c r="D641" s="68" t="s">
        <v>1285</v>
      </c>
      <c r="E641" s="68">
        <v>0</v>
      </c>
      <c r="F641" s="68" t="s">
        <v>1285</v>
      </c>
      <c r="G641" s="68" t="s">
        <v>1285</v>
      </c>
      <c r="H641" s="68">
        <v>0</v>
      </c>
      <c r="I641" s="68">
        <v>0</v>
      </c>
      <c r="J641" s="68" t="s">
        <v>1278</v>
      </c>
    </row>
    <row r="642" spans="1:10" ht="12.75" customHeight="1">
      <c r="A642" s="71"/>
      <c r="B642" s="71" t="s">
        <v>1286</v>
      </c>
      <c r="C642" s="68" t="s">
        <v>1278</v>
      </c>
      <c r="D642" s="68">
        <v>3</v>
      </c>
      <c r="E642" s="68">
        <v>0</v>
      </c>
      <c r="F642" s="68">
        <v>3</v>
      </c>
      <c r="G642" s="68">
        <v>4</v>
      </c>
      <c r="H642" s="68" t="s">
        <v>1299</v>
      </c>
      <c r="I642" s="68">
        <v>0</v>
      </c>
      <c r="J642" s="68" t="s">
        <v>1278</v>
      </c>
    </row>
    <row r="643" spans="1:10" ht="12.75" customHeight="1">
      <c r="A643" s="71"/>
      <c r="B643" s="71" t="s">
        <v>1287</v>
      </c>
      <c r="C643" s="68" t="s">
        <v>1278</v>
      </c>
      <c r="D643" s="68" t="s">
        <v>1285</v>
      </c>
      <c r="E643" s="68" t="s">
        <v>1278</v>
      </c>
      <c r="F643" s="68" t="s">
        <v>1278</v>
      </c>
      <c r="G643" s="68" t="s">
        <v>1278</v>
      </c>
      <c r="H643" s="68" t="s">
        <v>1278</v>
      </c>
      <c r="I643" s="68" t="s">
        <v>1278</v>
      </c>
      <c r="J643" s="68" t="s">
        <v>1278</v>
      </c>
    </row>
    <row r="644" spans="1:10" ht="12.75" customHeight="1">
      <c r="A644" s="71"/>
      <c r="B644" s="71" t="s">
        <v>1288</v>
      </c>
      <c r="C644" s="68" t="s">
        <v>1278</v>
      </c>
      <c r="D644" s="68" t="s">
        <v>1285</v>
      </c>
      <c r="E644" s="68">
        <v>0</v>
      </c>
      <c r="F644" s="68" t="s">
        <v>1285</v>
      </c>
      <c r="G644" s="68">
        <v>1</v>
      </c>
      <c r="H644" s="68" t="s">
        <v>1285</v>
      </c>
      <c r="I644" s="68">
        <v>0</v>
      </c>
      <c r="J644" s="68" t="s">
        <v>1278</v>
      </c>
    </row>
    <row r="645" spans="1:10" ht="12.75" customHeight="1">
      <c r="A645" s="71"/>
      <c r="B645" s="69" t="s">
        <v>1289</v>
      </c>
      <c r="C645" s="68" t="s">
        <v>1278</v>
      </c>
      <c r="D645" s="68">
        <v>1</v>
      </c>
      <c r="E645" s="68">
        <v>0</v>
      </c>
      <c r="F645" s="68">
        <v>2</v>
      </c>
      <c r="G645" s="68">
        <v>1</v>
      </c>
      <c r="H645" s="68" t="s">
        <v>1285</v>
      </c>
      <c r="I645" s="68">
        <v>0</v>
      </c>
      <c r="J645" s="68" t="s">
        <v>1278</v>
      </c>
    </row>
    <row r="646" spans="1:10" ht="12.75" customHeight="1">
      <c r="A646" s="71"/>
      <c r="B646" s="71" t="s">
        <v>1290</v>
      </c>
      <c r="C646" s="68" t="s">
        <v>1278</v>
      </c>
      <c r="D646" s="68" t="s">
        <v>1285</v>
      </c>
      <c r="E646" s="68">
        <v>0</v>
      </c>
      <c r="F646" s="68" t="s">
        <v>1285</v>
      </c>
      <c r="G646" s="68">
        <v>1</v>
      </c>
      <c r="H646" s="68" t="s">
        <v>1285</v>
      </c>
      <c r="I646" s="68">
        <v>0</v>
      </c>
      <c r="J646" s="68" t="s">
        <v>1278</v>
      </c>
    </row>
    <row r="647" spans="1:10" ht="12.75" customHeight="1">
      <c r="A647" s="71"/>
      <c r="B647" s="71" t="s">
        <v>1291</v>
      </c>
      <c r="C647" s="68" t="s">
        <v>1278</v>
      </c>
      <c r="D647" s="68" t="s">
        <v>1285</v>
      </c>
      <c r="E647" s="68" t="s">
        <v>1278</v>
      </c>
      <c r="F647" s="68" t="s">
        <v>1278</v>
      </c>
      <c r="G647" s="68" t="s">
        <v>1278</v>
      </c>
      <c r="H647" s="68" t="s">
        <v>1278</v>
      </c>
      <c r="I647" s="68" t="s">
        <v>1278</v>
      </c>
      <c r="J647" s="68" t="s">
        <v>1278</v>
      </c>
    </row>
    <row r="648" spans="1:10" ht="12.75" customHeight="1">
      <c r="A648" s="71"/>
      <c r="B648" s="71" t="s">
        <v>1292</v>
      </c>
      <c r="C648" s="68" t="s">
        <v>1278</v>
      </c>
      <c r="D648" s="68" t="s">
        <v>1285</v>
      </c>
      <c r="E648" s="68">
        <v>0</v>
      </c>
      <c r="F648" s="68" t="s">
        <v>1285</v>
      </c>
      <c r="G648" s="68" t="s">
        <v>1285</v>
      </c>
      <c r="H648" s="68" t="s">
        <v>1285</v>
      </c>
      <c r="I648" s="68">
        <v>0</v>
      </c>
      <c r="J648" s="68" t="s">
        <v>1278</v>
      </c>
    </row>
    <row r="649" spans="1:10" ht="12.75" customHeight="1">
      <c r="A649" s="71"/>
      <c r="B649" s="71" t="s">
        <v>1293</v>
      </c>
      <c r="C649" s="68" t="s">
        <v>1278</v>
      </c>
      <c r="D649" s="68" t="s">
        <v>1285</v>
      </c>
      <c r="E649" s="68" t="s">
        <v>1278</v>
      </c>
      <c r="F649" s="68">
        <v>2</v>
      </c>
      <c r="G649" s="68" t="s">
        <v>1285</v>
      </c>
      <c r="H649" s="68" t="s">
        <v>1285</v>
      </c>
      <c r="I649" s="68" t="s">
        <v>1278</v>
      </c>
      <c r="J649" s="68" t="s">
        <v>1278</v>
      </c>
    </row>
    <row r="650" spans="1:10" ht="12.75" customHeight="1">
      <c r="A650" s="71"/>
      <c r="B650" s="71" t="s">
        <v>1294</v>
      </c>
      <c r="C650" s="68" t="s">
        <v>1278</v>
      </c>
      <c r="D650" s="68" t="s">
        <v>1278</v>
      </c>
      <c r="E650" s="68">
        <v>0</v>
      </c>
      <c r="F650" s="68" t="s">
        <v>1285</v>
      </c>
      <c r="G650" s="68">
        <v>0</v>
      </c>
      <c r="H650" s="68">
        <v>0</v>
      </c>
      <c r="I650" s="68">
        <v>0</v>
      </c>
      <c r="J650" s="68" t="s">
        <v>1278</v>
      </c>
    </row>
    <row r="651" spans="1:10" ht="12.75" customHeight="1">
      <c r="A651" s="71"/>
      <c r="B651" s="71" t="s">
        <v>1295</v>
      </c>
      <c r="C651" s="68" t="s">
        <v>1278</v>
      </c>
      <c r="D651" s="68" t="s">
        <v>1285</v>
      </c>
      <c r="E651" s="68">
        <v>0</v>
      </c>
      <c r="F651" s="68" t="s">
        <v>1299</v>
      </c>
      <c r="G651" s="68" t="s">
        <v>1285</v>
      </c>
      <c r="H651" s="68" t="s">
        <v>1285</v>
      </c>
      <c r="I651" s="68">
        <v>0</v>
      </c>
      <c r="J651" s="68" t="s">
        <v>1278</v>
      </c>
    </row>
    <row r="652" spans="1:10" ht="12.75" customHeight="1">
      <c r="A652" s="71"/>
      <c r="B652" s="69" t="s">
        <v>1296</v>
      </c>
      <c r="C652" s="68">
        <v>6</v>
      </c>
      <c r="D652" s="68" t="s">
        <v>1285</v>
      </c>
      <c r="E652" s="68">
        <v>0</v>
      </c>
      <c r="F652" s="68">
        <v>0</v>
      </c>
      <c r="G652" s="68" t="s">
        <v>1285</v>
      </c>
      <c r="H652" s="68" t="s">
        <v>1285</v>
      </c>
      <c r="I652" s="68">
        <v>0</v>
      </c>
      <c r="J652" s="68">
        <v>6</v>
      </c>
    </row>
    <row r="653" spans="1:10" ht="12.75" customHeight="1">
      <c r="A653" s="71"/>
      <c r="B653" s="69"/>
      <c r="C653" s="68"/>
      <c r="D653" s="68"/>
      <c r="E653" s="68"/>
      <c r="F653" s="68"/>
      <c r="G653" s="68"/>
      <c r="H653" s="68"/>
      <c r="I653" s="68"/>
      <c r="J653" s="68"/>
    </row>
    <row r="654" spans="1:10" s="73" customFormat="1" ht="12.75" customHeight="1">
      <c r="A654" s="69" t="s">
        <v>1354</v>
      </c>
      <c r="B654" s="69" t="s">
        <v>1355</v>
      </c>
      <c r="C654" s="74"/>
      <c r="D654" s="74"/>
      <c r="E654" s="74"/>
      <c r="F654" s="74"/>
      <c r="G654" s="74"/>
      <c r="H654" s="74"/>
      <c r="I654" s="74"/>
      <c r="J654" s="74"/>
    </row>
    <row r="655" spans="1:10" ht="12.75" customHeight="1">
      <c r="A655" s="71"/>
      <c r="B655" s="71"/>
      <c r="C655" s="68"/>
      <c r="D655" s="68"/>
      <c r="E655" s="68"/>
      <c r="F655" s="68"/>
      <c r="G655" s="68"/>
      <c r="H655" s="68"/>
      <c r="I655" s="68"/>
      <c r="J655" s="68"/>
    </row>
    <row r="656" spans="1:10" ht="12.75" customHeight="1">
      <c r="A656" s="71"/>
      <c r="B656" s="71"/>
      <c r="C656" s="68"/>
      <c r="D656" s="68"/>
      <c r="E656" s="68"/>
      <c r="F656" s="68"/>
      <c r="G656" s="68"/>
      <c r="H656" s="68"/>
      <c r="I656" s="68"/>
      <c r="J656" s="68"/>
    </row>
    <row r="657" spans="1:10" ht="12.75" customHeight="1">
      <c r="A657" s="71"/>
      <c r="B657" s="69" t="s">
        <v>1276</v>
      </c>
      <c r="C657" s="68">
        <v>18</v>
      </c>
      <c r="D657" s="68">
        <v>3</v>
      </c>
      <c r="E657" s="68">
        <v>0</v>
      </c>
      <c r="F657" s="68" t="s">
        <v>1285</v>
      </c>
      <c r="G657" s="68">
        <v>14</v>
      </c>
      <c r="H657" s="68" t="s">
        <v>1285</v>
      </c>
      <c r="I657" s="68">
        <v>0</v>
      </c>
      <c r="J657" s="68" t="s">
        <v>1285</v>
      </c>
    </row>
    <row r="658" spans="1:10" ht="12.75" customHeight="1">
      <c r="A658" s="71"/>
      <c r="B658" s="69" t="s">
        <v>1277</v>
      </c>
      <c r="C658" s="68" t="s">
        <v>1278</v>
      </c>
      <c r="D658" s="68" t="s">
        <v>1285</v>
      </c>
      <c r="E658" s="68">
        <v>0</v>
      </c>
      <c r="F658" s="68" t="s">
        <v>1285</v>
      </c>
      <c r="G658" s="68">
        <v>3</v>
      </c>
      <c r="H658" s="68" t="s">
        <v>1285</v>
      </c>
      <c r="I658" s="68">
        <v>0</v>
      </c>
      <c r="J658" s="68" t="s">
        <v>1278</v>
      </c>
    </row>
    <row r="659" spans="1:10" ht="12.75" customHeight="1">
      <c r="A659" s="71"/>
      <c r="B659" s="71" t="s">
        <v>1279</v>
      </c>
      <c r="C659" s="68" t="s">
        <v>1278</v>
      </c>
      <c r="D659" s="68" t="s">
        <v>1285</v>
      </c>
      <c r="E659" s="68">
        <v>0</v>
      </c>
      <c r="F659" s="68" t="s">
        <v>1285</v>
      </c>
      <c r="G659" s="68">
        <v>1</v>
      </c>
      <c r="H659" s="68" t="s">
        <v>1285</v>
      </c>
      <c r="I659" s="68">
        <v>0</v>
      </c>
      <c r="J659" s="68" t="s">
        <v>1278</v>
      </c>
    </row>
    <row r="660" spans="1:10" ht="12.75" customHeight="1">
      <c r="A660" s="71"/>
      <c r="B660" s="71" t="s">
        <v>1280</v>
      </c>
      <c r="C660" s="68" t="s">
        <v>1278</v>
      </c>
      <c r="D660" s="68">
        <v>0</v>
      </c>
      <c r="E660" s="68">
        <v>0</v>
      </c>
      <c r="F660" s="68" t="s">
        <v>1285</v>
      </c>
      <c r="G660" s="68">
        <v>2</v>
      </c>
      <c r="H660" s="68" t="s">
        <v>1285</v>
      </c>
      <c r="I660" s="68">
        <v>0</v>
      </c>
      <c r="J660" s="68" t="s">
        <v>1278</v>
      </c>
    </row>
    <row r="661" spans="1:10" ht="12.75" customHeight="1">
      <c r="A661" s="71"/>
      <c r="B661" s="69" t="s">
        <v>1281</v>
      </c>
      <c r="C661" s="68" t="s">
        <v>1278</v>
      </c>
      <c r="D661" s="68">
        <v>2</v>
      </c>
      <c r="E661" s="68">
        <v>0</v>
      </c>
      <c r="F661" s="68" t="s">
        <v>1285</v>
      </c>
      <c r="G661" s="68">
        <v>10</v>
      </c>
      <c r="H661" s="68" t="s">
        <v>1285</v>
      </c>
      <c r="I661" s="68">
        <v>0</v>
      </c>
      <c r="J661" s="68" t="s">
        <v>1278</v>
      </c>
    </row>
    <row r="662" spans="1:10" ht="12.75" customHeight="1">
      <c r="A662" s="71"/>
      <c r="B662" s="71" t="s">
        <v>1283</v>
      </c>
      <c r="C662" s="68" t="s">
        <v>1278</v>
      </c>
      <c r="D662" s="68" t="s">
        <v>1285</v>
      </c>
      <c r="E662" s="68">
        <v>0</v>
      </c>
      <c r="F662" s="68" t="s">
        <v>1285</v>
      </c>
      <c r="G662" s="68">
        <v>8</v>
      </c>
      <c r="H662" s="68" t="s">
        <v>1285</v>
      </c>
      <c r="I662" s="68">
        <v>0</v>
      </c>
      <c r="J662" s="68" t="s">
        <v>1278</v>
      </c>
    </row>
    <row r="663" spans="1:10" ht="12.75" customHeight="1">
      <c r="A663" s="71"/>
      <c r="B663" s="71" t="s">
        <v>1284</v>
      </c>
      <c r="C663" s="68" t="s">
        <v>1278</v>
      </c>
      <c r="D663" s="68" t="s">
        <v>1285</v>
      </c>
      <c r="E663" s="68">
        <v>0</v>
      </c>
      <c r="F663" s="68">
        <v>0</v>
      </c>
      <c r="G663" s="68" t="s">
        <v>1285</v>
      </c>
      <c r="H663" s="68" t="s">
        <v>1285</v>
      </c>
      <c r="I663" s="68">
        <v>0</v>
      </c>
      <c r="J663" s="68" t="s">
        <v>1278</v>
      </c>
    </row>
    <row r="664" spans="1:10" ht="12.75" customHeight="1">
      <c r="A664" s="71"/>
      <c r="B664" s="71" t="s">
        <v>1286</v>
      </c>
      <c r="C664" s="68" t="s">
        <v>1278</v>
      </c>
      <c r="D664" s="68">
        <v>2</v>
      </c>
      <c r="E664" s="68">
        <v>0</v>
      </c>
      <c r="F664" s="68" t="s">
        <v>1285</v>
      </c>
      <c r="G664" s="68">
        <v>1</v>
      </c>
      <c r="H664" s="68" t="s">
        <v>1285</v>
      </c>
      <c r="I664" s="68">
        <v>0</v>
      </c>
      <c r="J664" s="68" t="s">
        <v>1278</v>
      </c>
    </row>
    <row r="665" spans="1:10" ht="12.75" customHeight="1">
      <c r="A665" s="71"/>
      <c r="B665" s="71" t="s">
        <v>1287</v>
      </c>
      <c r="C665" s="68" t="s">
        <v>1278</v>
      </c>
      <c r="D665" s="68" t="s">
        <v>1285</v>
      </c>
      <c r="E665" s="68" t="s">
        <v>1278</v>
      </c>
      <c r="F665" s="68" t="s">
        <v>1278</v>
      </c>
      <c r="G665" s="68" t="s">
        <v>1278</v>
      </c>
      <c r="H665" s="68" t="s">
        <v>1278</v>
      </c>
      <c r="I665" s="68" t="s">
        <v>1278</v>
      </c>
      <c r="J665" s="68" t="s">
        <v>1278</v>
      </c>
    </row>
    <row r="666" spans="1:10" ht="12.75" customHeight="1">
      <c r="A666" s="71"/>
      <c r="B666" s="71" t="s">
        <v>1288</v>
      </c>
      <c r="C666" s="68" t="s">
        <v>1278</v>
      </c>
      <c r="D666" s="68" t="s">
        <v>1285</v>
      </c>
      <c r="E666" s="68">
        <v>0</v>
      </c>
      <c r="F666" s="68" t="s">
        <v>1285</v>
      </c>
      <c r="G666" s="68" t="s">
        <v>1285</v>
      </c>
      <c r="H666" s="68" t="s">
        <v>1285</v>
      </c>
      <c r="I666" s="68">
        <v>0</v>
      </c>
      <c r="J666" s="68" t="s">
        <v>1278</v>
      </c>
    </row>
    <row r="667" spans="1:10" ht="12.75" customHeight="1">
      <c r="A667" s="71"/>
      <c r="B667" s="69" t="s">
        <v>1289</v>
      </c>
      <c r="C667" s="68" t="s">
        <v>1278</v>
      </c>
      <c r="D667" s="68">
        <v>1</v>
      </c>
      <c r="E667" s="68">
        <v>0</v>
      </c>
      <c r="F667" s="68" t="s">
        <v>1285</v>
      </c>
      <c r="G667" s="68">
        <v>1</v>
      </c>
      <c r="H667" s="68" t="s">
        <v>1285</v>
      </c>
      <c r="I667" s="68">
        <v>0</v>
      </c>
      <c r="J667" s="68" t="s">
        <v>1278</v>
      </c>
    </row>
    <row r="668" spans="1:10" ht="12.75" customHeight="1">
      <c r="A668" s="71"/>
      <c r="B668" s="71" t="s">
        <v>1290</v>
      </c>
      <c r="C668" s="68" t="s">
        <v>1278</v>
      </c>
      <c r="D668" s="68" t="s">
        <v>1285</v>
      </c>
      <c r="E668" s="68">
        <v>0</v>
      </c>
      <c r="F668" s="68" t="s">
        <v>1285</v>
      </c>
      <c r="G668" s="68">
        <v>1</v>
      </c>
      <c r="H668" s="68" t="s">
        <v>1285</v>
      </c>
      <c r="I668" s="68">
        <v>0</v>
      </c>
      <c r="J668" s="68" t="s">
        <v>1278</v>
      </c>
    </row>
    <row r="669" spans="1:10" ht="12.75" customHeight="1">
      <c r="A669" s="71"/>
      <c r="B669" s="71" t="s">
        <v>1291</v>
      </c>
      <c r="C669" s="68" t="s">
        <v>1278</v>
      </c>
      <c r="D669" s="68" t="s">
        <v>1285</v>
      </c>
      <c r="E669" s="68" t="s">
        <v>1278</v>
      </c>
      <c r="F669" s="68" t="s">
        <v>1278</v>
      </c>
      <c r="G669" s="68" t="s">
        <v>1278</v>
      </c>
      <c r="H669" s="68" t="s">
        <v>1278</v>
      </c>
      <c r="I669" s="68" t="s">
        <v>1278</v>
      </c>
      <c r="J669" s="68" t="s">
        <v>1278</v>
      </c>
    </row>
    <row r="670" spans="1:10" ht="12.75" customHeight="1">
      <c r="A670" s="71"/>
      <c r="B670" s="71" t="s">
        <v>1292</v>
      </c>
      <c r="C670" s="68" t="s">
        <v>1278</v>
      </c>
      <c r="D670" s="68" t="s">
        <v>1285</v>
      </c>
      <c r="E670" s="68">
        <v>0</v>
      </c>
      <c r="F670" s="68" t="s">
        <v>1285</v>
      </c>
      <c r="G670" s="68" t="s">
        <v>1285</v>
      </c>
      <c r="H670" s="68" t="s">
        <v>1285</v>
      </c>
      <c r="I670" s="68">
        <v>0</v>
      </c>
      <c r="J670" s="68" t="s">
        <v>1278</v>
      </c>
    </row>
    <row r="671" spans="1:10" ht="12.75" customHeight="1">
      <c r="A671" s="71"/>
      <c r="B671" s="71" t="s">
        <v>1293</v>
      </c>
      <c r="C671" s="68" t="s">
        <v>1278</v>
      </c>
      <c r="D671" s="68" t="s">
        <v>1285</v>
      </c>
      <c r="E671" s="68" t="s">
        <v>1278</v>
      </c>
      <c r="F671" s="68" t="s">
        <v>1285</v>
      </c>
      <c r="G671" s="68" t="s">
        <v>1285</v>
      </c>
      <c r="H671" s="68" t="s">
        <v>1285</v>
      </c>
      <c r="I671" s="68" t="s">
        <v>1278</v>
      </c>
      <c r="J671" s="68" t="s">
        <v>1278</v>
      </c>
    </row>
    <row r="672" spans="1:10" ht="12.75" customHeight="1">
      <c r="A672" s="71"/>
      <c r="B672" s="71" t="s">
        <v>1294</v>
      </c>
      <c r="C672" s="68" t="s">
        <v>1278</v>
      </c>
      <c r="D672" s="68" t="s">
        <v>1278</v>
      </c>
      <c r="E672" s="68">
        <v>0</v>
      </c>
      <c r="F672" s="68" t="s">
        <v>1285</v>
      </c>
      <c r="G672" s="68" t="s">
        <v>1285</v>
      </c>
      <c r="H672" s="68">
        <v>0</v>
      </c>
      <c r="I672" s="68">
        <v>0</v>
      </c>
      <c r="J672" s="68" t="s">
        <v>1278</v>
      </c>
    </row>
    <row r="673" spans="1:10" ht="12.75" customHeight="1">
      <c r="A673" s="71"/>
      <c r="B673" s="71" t="s">
        <v>1295</v>
      </c>
      <c r="C673" s="68" t="s">
        <v>1278</v>
      </c>
      <c r="D673" s="68" t="s">
        <v>1285</v>
      </c>
      <c r="E673" s="68">
        <v>0</v>
      </c>
      <c r="F673" s="68" t="s">
        <v>1285</v>
      </c>
      <c r="G673" s="68" t="s">
        <v>1285</v>
      </c>
      <c r="H673" s="68" t="s">
        <v>1285</v>
      </c>
      <c r="I673" s="68">
        <v>0</v>
      </c>
      <c r="J673" s="68" t="s">
        <v>1278</v>
      </c>
    </row>
    <row r="674" spans="1:10" ht="12.75" customHeight="1">
      <c r="A674" s="71"/>
      <c r="B674" s="69" t="s">
        <v>1296</v>
      </c>
      <c r="C674" s="68" t="s">
        <v>1285</v>
      </c>
      <c r="D674" s="68" t="s">
        <v>1285</v>
      </c>
      <c r="E674" s="68">
        <v>0</v>
      </c>
      <c r="F674" s="68">
        <v>0</v>
      </c>
      <c r="G674" s="68">
        <v>0</v>
      </c>
      <c r="H674" s="68" t="s">
        <v>1285</v>
      </c>
      <c r="I674" s="68">
        <v>0</v>
      </c>
      <c r="J674" s="68" t="s">
        <v>1285</v>
      </c>
    </row>
    <row r="675" spans="1:10" ht="12.75" customHeight="1">
      <c r="A675" s="71"/>
      <c r="B675" s="69"/>
      <c r="C675" s="68"/>
      <c r="D675" s="68"/>
      <c r="E675" s="68"/>
      <c r="F675" s="68"/>
      <c r="G675" s="68"/>
      <c r="H675" s="68"/>
      <c r="I675" s="68"/>
      <c r="J675" s="68"/>
    </row>
    <row r="676" spans="1:10" s="73" customFormat="1" ht="12.75" customHeight="1">
      <c r="A676" s="69" t="s">
        <v>1356</v>
      </c>
      <c r="B676" s="69" t="s">
        <v>1357</v>
      </c>
      <c r="C676" s="74"/>
      <c r="D676" s="74"/>
      <c r="E676" s="74"/>
      <c r="F676" s="74"/>
      <c r="G676" s="74"/>
      <c r="H676" s="74"/>
      <c r="I676" s="74"/>
      <c r="J676" s="74"/>
    </row>
    <row r="677" spans="1:10" ht="12.75" customHeight="1">
      <c r="A677" s="71"/>
      <c r="B677" s="71"/>
      <c r="C677" s="68"/>
      <c r="D677" s="68"/>
      <c r="E677" s="68"/>
      <c r="F677" s="68"/>
      <c r="G677" s="68"/>
      <c r="H677" s="68"/>
      <c r="I677" s="68"/>
      <c r="J677" s="68"/>
    </row>
    <row r="678" spans="1:10" ht="12.75" customHeight="1">
      <c r="A678" s="71"/>
      <c r="B678" s="71"/>
      <c r="C678" s="68"/>
      <c r="D678" s="68"/>
      <c r="E678" s="68"/>
      <c r="F678" s="68"/>
      <c r="G678" s="68"/>
      <c r="H678" s="68"/>
      <c r="I678" s="68"/>
      <c r="J678" s="68"/>
    </row>
    <row r="679" spans="1:10" ht="12.75" customHeight="1">
      <c r="A679" s="71"/>
      <c r="B679" s="69" t="s">
        <v>1276</v>
      </c>
      <c r="C679" s="68">
        <v>25</v>
      </c>
      <c r="D679" s="68">
        <v>5</v>
      </c>
      <c r="E679" s="68">
        <v>0</v>
      </c>
      <c r="F679" s="68" t="s">
        <v>1285</v>
      </c>
      <c r="G679" s="68">
        <v>19</v>
      </c>
      <c r="H679" s="68" t="s">
        <v>1285</v>
      </c>
      <c r="I679" s="68">
        <v>0</v>
      </c>
      <c r="J679" s="68">
        <v>1</v>
      </c>
    </row>
    <row r="680" spans="1:10" ht="12.75" customHeight="1">
      <c r="A680" s="71"/>
      <c r="B680" s="69" t="s">
        <v>1277</v>
      </c>
      <c r="C680" s="68" t="s">
        <v>1278</v>
      </c>
      <c r="D680" s="68" t="s">
        <v>1285</v>
      </c>
      <c r="E680" s="68">
        <v>0</v>
      </c>
      <c r="F680" s="68" t="s">
        <v>1285</v>
      </c>
      <c r="G680" s="68">
        <v>10</v>
      </c>
      <c r="H680" s="68" t="s">
        <v>1285</v>
      </c>
      <c r="I680" s="68">
        <v>0</v>
      </c>
      <c r="J680" s="68" t="s">
        <v>1278</v>
      </c>
    </row>
    <row r="681" spans="1:10" ht="12.75" customHeight="1">
      <c r="A681" s="71"/>
      <c r="B681" s="71" t="s">
        <v>1279</v>
      </c>
      <c r="C681" s="68" t="s">
        <v>1278</v>
      </c>
      <c r="D681" s="68" t="s">
        <v>1285</v>
      </c>
      <c r="E681" s="68">
        <v>0</v>
      </c>
      <c r="F681" s="68" t="s">
        <v>1285</v>
      </c>
      <c r="G681" s="68">
        <v>2</v>
      </c>
      <c r="H681" s="68">
        <v>0</v>
      </c>
      <c r="I681" s="68">
        <v>0</v>
      </c>
      <c r="J681" s="68" t="s">
        <v>1278</v>
      </c>
    </row>
    <row r="682" spans="1:10" ht="12.75" customHeight="1">
      <c r="A682" s="71"/>
      <c r="B682" s="71" t="s">
        <v>1280</v>
      </c>
      <c r="C682" s="68" t="s">
        <v>1278</v>
      </c>
      <c r="D682" s="68">
        <v>0</v>
      </c>
      <c r="E682" s="68">
        <v>0</v>
      </c>
      <c r="F682" s="68" t="s">
        <v>1285</v>
      </c>
      <c r="G682" s="68">
        <v>9</v>
      </c>
      <c r="H682" s="68" t="s">
        <v>1285</v>
      </c>
      <c r="I682" s="68">
        <v>0</v>
      </c>
      <c r="J682" s="68" t="s">
        <v>1278</v>
      </c>
    </row>
    <row r="683" spans="1:10" ht="12.75" customHeight="1">
      <c r="A683" s="71"/>
      <c r="B683" s="69" t="s">
        <v>1281</v>
      </c>
      <c r="C683" s="68" t="s">
        <v>1278</v>
      </c>
      <c r="D683" s="68">
        <v>4</v>
      </c>
      <c r="E683" s="68">
        <v>0</v>
      </c>
      <c r="F683" s="68" t="s">
        <v>1285</v>
      </c>
      <c r="G683" s="68">
        <v>8</v>
      </c>
      <c r="H683" s="68" t="s">
        <v>1285</v>
      </c>
      <c r="I683" s="68">
        <v>0</v>
      </c>
      <c r="J683" s="68" t="s">
        <v>1278</v>
      </c>
    </row>
    <row r="684" spans="1:10" ht="12.75" customHeight="1">
      <c r="A684" s="71"/>
      <c r="B684" s="71" t="s">
        <v>1283</v>
      </c>
      <c r="C684" s="68" t="s">
        <v>1278</v>
      </c>
      <c r="D684" s="68" t="s">
        <v>1285</v>
      </c>
      <c r="E684" s="68">
        <v>0</v>
      </c>
      <c r="F684" s="68" t="s">
        <v>1285</v>
      </c>
      <c r="G684" s="68">
        <v>7</v>
      </c>
      <c r="H684" s="68" t="s">
        <v>1285</v>
      </c>
      <c r="I684" s="68">
        <v>0</v>
      </c>
      <c r="J684" s="68" t="s">
        <v>1278</v>
      </c>
    </row>
    <row r="685" spans="1:10" ht="12.75" customHeight="1">
      <c r="A685" s="71"/>
      <c r="B685" s="71" t="s">
        <v>1284</v>
      </c>
      <c r="C685" s="68" t="s">
        <v>1278</v>
      </c>
      <c r="D685" s="68" t="s">
        <v>1285</v>
      </c>
      <c r="E685" s="68">
        <v>0</v>
      </c>
      <c r="F685" s="68">
        <v>0</v>
      </c>
      <c r="G685" s="68" t="s">
        <v>1285</v>
      </c>
      <c r="H685" s="68" t="s">
        <v>1285</v>
      </c>
      <c r="I685" s="68">
        <v>0</v>
      </c>
      <c r="J685" s="68" t="s">
        <v>1278</v>
      </c>
    </row>
    <row r="686" spans="1:10" ht="12.75" customHeight="1">
      <c r="A686" s="71"/>
      <c r="B686" s="71" t="s">
        <v>1286</v>
      </c>
      <c r="C686" s="68" t="s">
        <v>1278</v>
      </c>
      <c r="D686" s="68">
        <v>3</v>
      </c>
      <c r="E686" s="68">
        <v>0</v>
      </c>
      <c r="F686" s="68" t="s">
        <v>1285</v>
      </c>
      <c r="G686" s="68" t="s">
        <v>1285</v>
      </c>
      <c r="H686" s="68" t="s">
        <v>1285</v>
      </c>
      <c r="I686" s="68">
        <v>0</v>
      </c>
      <c r="J686" s="68" t="s">
        <v>1278</v>
      </c>
    </row>
    <row r="687" spans="1:10" ht="12.75" customHeight="1">
      <c r="A687" s="71"/>
      <c r="B687" s="71" t="s">
        <v>1287</v>
      </c>
      <c r="C687" s="68" t="s">
        <v>1278</v>
      </c>
      <c r="D687" s="68" t="s">
        <v>1285</v>
      </c>
      <c r="E687" s="68" t="s">
        <v>1278</v>
      </c>
      <c r="F687" s="68" t="s">
        <v>1278</v>
      </c>
      <c r="G687" s="68" t="s">
        <v>1278</v>
      </c>
      <c r="H687" s="68" t="s">
        <v>1278</v>
      </c>
      <c r="I687" s="68" t="s">
        <v>1278</v>
      </c>
      <c r="J687" s="68" t="s">
        <v>1278</v>
      </c>
    </row>
    <row r="688" spans="1:10" ht="12.75" customHeight="1">
      <c r="A688" s="71"/>
      <c r="B688" s="71" t="s">
        <v>1288</v>
      </c>
      <c r="C688" s="68" t="s">
        <v>1278</v>
      </c>
      <c r="D688" s="68" t="s">
        <v>1285</v>
      </c>
      <c r="E688" s="68">
        <v>0</v>
      </c>
      <c r="F688" s="68" t="s">
        <v>1285</v>
      </c>
      <c r="G688" s="68" t="s">
        <v>1285</v>
      </c>
      <c r="H688" s="68" t="s">
        <v>1285</v>
      </c>
      <c r="I688" s="68">
        <v>0</v>
      </c>
      <c r="J688" s="68" t="s">
        <v>1278</v>
      </c>
    </row>
    <row r="689" spans="1:10" ht="12.75" customHeight="1">
      <c r="A689" s="71"/>
      <c r="B689" s="69" t="s">
        <v>1289</v>
      </c>
      <c r="C689" s="68" t="s">
        <v>1278</v>
      </c>
      <c r="D689" s="68">
        <v>1</v>
      </c>
      <c r="E689" s="68">
        <v>0</v>
      </c>
      <c r="F689" s="68" t="s">
        <v>1285</v>
      </c>
      <c r="G689" s="68">
        <v>1</v>
      </c>
      <c r="H689" s="68" t="s">
        <v>1285</v>
      </c>
      <c r="I689" s="68">
        <v>0</v>
      </c>
      <c r="J689" s="68" t="s">
        <v>1278</v>
      </c>
    </row>
    <row r="690" spans="1:10" ht="12.75" customHeight="1">
      <c r="A690" s="71"/>
      <c r="B690" s="71" t="s">
        <v>1290</v>
      </c>
      <c r="C690" s="68" t="s">
        <v>1278</v>
      </c>
      <c r="D690" s="68" t="s">
        <v>1285</v>
      </c>
      <c r="E690" s="68">
        <v>0</v>
      </c>
      <c r="F690" s="68" t="s">
        <v>1285</v>
      </c>
      <c r="G690" s="68">
        <v>1</v>
      </c>
      <c r="H690" s="68" t="s">
        <v>1285</v>
      </c>
      <c r="I690" s="68">
        <v>0</v>
      </c>
      <c r="J690" s="68" t="s">
        <v>1278</v>
      </c>
    </row>
    <row r="691" spans="1:10" ht="12.75" customHeight="1">
      <c r="A691" s="71"/>
      <c r="B691" s="71" t="s">
        <v>1291</v>
      </c>
      <c r="C691" s="68" t="s">
        <v>1278</v>
      </c>
      <c r="D691" s="68" t="s">
        <v>1285</v>
      </c>
      <c r="E691" s="68" t="s">
        <v>1278</v>
      </c>
      <c r="F691" s="68" t="s">
        <v>1278</v>
      </c>
      <c r="G691" s="68" t="s">
        <v>1278</v>
      </c>
      <c r="H691" s="68" t="s">
        <v>1278</v>
      </c>
      <c r="I691" s="68" t="s">
        <v>1278</v>
      </c>
      <c r="J691" s="68" t="s">
        <v>1278</v>
      </c>
    </row>
    <row r="692" spans="1:10" ht="12.75" customHeight="1">
      <c r="A692" s="71"/>
      <c r="B692" s="71" t="s">
        <v>1292</v>
      </c>
      <c r="C692" s="68" t="s">
        <v>1278</v>
      </c>
      <c r="D692" s="68" t="s">
        <v>1285</v>
      </c>
      <c r="E692" s="68">
        <v>0</v>
      </c>
      <c r="F692" s="68" t="s">
        <v>1285</v>
      </c>
      <c r="G692" s="68" t="s">
        <v>1285</v>
      </c>
      <c r="H692" s="68" t="s">
        <v>1285</v>
      </c>
      <c r="I692" s="68">
        <v>0</v>
      </c>
      <c r="J692" s="68" t="s">
        <v>1278</v>
      </c>
    </row>
    <row r="693" spans="1:10" ht="12.75" customHeight="1">
      <c r="A693" s="71"/>
      <c r="B693" s="71" t="s">
        <v>1293</v>
      </c>
      <c r="C693" s="68" t="s">
        <v>1278</v>
      </c>
      <c r="D693" s="68" t="s">
        <v>1285</v>
      </c>
      <c r="E693" s="68" t="s">
        <v>1278</v>
      </c>
      <c r="F693" s="68" t="s">
        <v>1285</v>
      </c>
      <c r="G693" s="68" t="s">
        <v>1285</v>
      </c>
      <c r="H693" s="68" t="s">
        <v>1285</v>
      </c>
      <c r="I693" s="68" t="s">
        <v>1278</v>
      </c>
      <c r="J693" s="68" t="s">
        <v>1278</v>
      </c>
    </row>
    <row r="694" spans="1:10" ht="12.75" customHeight="1">
      <c r="A694" s="71"/>
      <c r="B694" s="71" t="s">
        <v>1294</v>
      </c>
      <c r="C694" s="68" t="s">
        <v>1278</v>
      </c>
      <c r="D694" s="68" t="s">
        <v>1278</v>
      </c>
      <c r="E694" s="68">
        <v>0</v>
      </c>
      <c r="F694" s="68" t="s">
        <v>1285</v>
      </c>
      <c r="G694" s="68" t="s">
        <v>1285</v>
      </c>
      <c r="H694" s="68">
        <v>0</v>
      </c>
      <c r="I694" s="68">
        <v>0</v>
      </c>
      <c r="J694" s="68" t="s">
        <v>1278</v>
      </c>
    </row>
    <row r="695" spans="1:10" ht="12.75" customHeight="1">
      <c r="A695" s="71"/>
      <c r="B695" s="71" t="s">
        <v>1295</v>
      </c>
      <c r="C695" s="68" t="s">
        <v>1278</v>
      </c>
      <c r="D695" s="68" t="s">
        <v>1285</v>
      </c>
      <c r="E695" s="68">
        <v>0</v>
      </c>
      <c r="F695" s="68" t="s">
        <v>1285</v>
      </c>
      <c r="G695" s="68" t="s">
        <v>1285</v>
      </c>
      <c r="H695" s="68" t="s">
        <v>1285</v>
      </c>
      <c r="I695" s="68">
        <v>0</v>
      </c>
      <c r="J695" s="68" t="s">
        <v>1278</v>
      </c>
    </row>
    <row r="696" spans="1:10" ht="12.75" customHeight="1">
      <c r="A696" s="71"/>
      <c r="B696" s="69" t="s">
        <v>1296</v>
      </c>
      <c r="C696" s="68">
        <v>1</v>
      </c>
      <c r="D696" s="68" t="s">
        <v>1285</v>
      </c>
      <c r="E696" s="68">
        <v>0</v>
      </c>
      <c r="F696" s="68" t="s">
        <v>1285</v>
      </c>
      <c r="G696" s="68">
        <v>0</v>
      </c>
      <c r="H696" s="68" t="s">
        <v>1285</v>
      </c>
      <c r="I696" s="68">
        <v>0</v>
      </c>
      <c r="J696" s="68">
        <v>1</v>
      </c>
    </row>
    <row r="697" spans="1:10" ht="12.75" customHeight="1">
      <c r="A697" s="71"/>
      <c r="B697" s="69"/>
      <c r="C697" s="68"/>
      <c r="D697" s="68"/>
      <c r="E697" s="68"/>
      <c r="F697" s="68"/>
      <c r="G697" s="68"/>
      <c r="H697" s="68"/>
      <c r="I697" s="68"/>
      <c r="J697" s="68"/>
    </row>
    <row r="698" spans="1:10" s="73" customFormat="1" ht="12.75" customHeight="1">
      <c r="A698" s="69" t="s">
        <v>1358</v>
      </c>
      <c r="B698" s="69" t="s">
        <v>1359</v>
      </c>
      <c r="C698" s="74"/>
      <c r="D698" s="74"/>
      <c r="E698" s="74"/>
      <c r="F698" s="74"/>
      <c r="G698" s="74"/>
      <c r="H698" s="74"/>
      <c r="I698" s="74"/>
      <c r="J698" s="74"/>
    </row>
    <row r="699" spans="1:10" s="73" customFormat="1" ht="12.75" customHeight="1">
      <c r="A699" s="69"/>
      <c r="B699" s="69"/>
      <c r="C699" s="74"/>
      <c r="D699" s="74"/>
      <c r="E699" s="74"/>
      <c r="F699" s="74"/>
      <c r="G699" s="74"/>
      <c r="H699" s="74"/>
      <c r="I699" s="74"/>
      <c r="J699" s="74"/>
    </row>
    <row r="700" spans="1:10" s="73" customFormat="1" ht="12.75" customHeight="1">
      <c r="A700" s="69"/>
      <c r="B700" s="69"/>
      <c r="C700" s="74"/>
      <c r="D700" s="74"/>
      <c r="E700" s="74"/>
      <c r="F700" s="74"/>
      <c r="G700" s="74"/>
      <c r="H700" s="74"/>
      <c r="I700" s="74"/>
      <c r="J700" s="74"/>
    </row>
    <row r="701" spans="1:10" ht="12.75" customHeight="1">
      <c r="A701" s="71"/>
      <c r="B701" s="69" t="s">
        <v>1276</v>
      </c>
      <c r="C701" s="68">
        <v>35</v>
      </c>
      <c r="D701" s="68" t="s">
        <v>1285</v>
      </c>
      <c r="E701" s="68">
        <v>0</v>
      </c>
      <c r="F701" s="68" t="s">
        <v>1285</v>
      </c>
      <c r="G701" s="68">
        <v>8</v>
      </c>
      <c r="H701" s="68" t="s">
        <v>1285</v>
      </c>
      <c r="I701" s="68">
        <v>0</v>
      </c>
      <c r="J701" s="68">
        <v>27</v>
      </c>
    </row>
    <row r="702" spans="1:10" ht="12.75" customHeight="1">
      <c r="A702" s="71"/>
      <c r="B702" s="69" t="s">
        <v>1277</v>
      </c>
      <c r="C702" s="68" t="s">
        <v>1278</v>
      </c>
      <c r="D702" s="68" t="s">
        <v>1285</v>
      </c>
      <c r="E702" s="68">
        <v>0</v>
      </c>
      <c r="F702" s="68" t="s">
        <v>1285</v>
      </c>
      <c r="G702" s="68">
        <v>1</v>
      </c>
      <c r="H702" s="68">
        <v>0</v>
      </c>
      <c r="I702" s="68">
        <v>0</v>
      </c>
      <c r="J702" s="68" t="s">
        <v>1278</v>
      </c>
    </row>
    <row r="703" spans="1:10" ht="12.75" customHeight="1">
      <c r="A703" s="71"/>
      <c r="B703" s="71" t="s">
        <v>1279</v>
      </c>
      <c r="C703" s="68" t="s">
        <v>1278</v>
      </c>
      <c r="D703" s="68" t="s">
        <v>1285</v>
      </c>
      <c r="E703" s="68">
        <v>0</v>
      </c>
      <c r="F703" s="68" t="s">
        <v>1285</v>
      </c>
      <c r="G703" s="68">
        <v>1</v>
      </c>
      <c r="H703" s="68">
        <v>0</v>
      </c>
      <c r="I703" s="68">
        <v>0</v>
      </c>
      <c r="J703" s="68" t="s">
        <v>1278</v>
      </c>
    </row>
    <row r="704" spans="1:10" ht="12.75" customHeight="1">
      <c r="A704" s="71"/>
      <c r="B704" s="71" t="s">
        <v>1280</v>
      </c>
      <c r="C704" s="68" t="s">
        <v>1278</v>
      </c>
      <c r="D704" s="68">
        <v>0</v>
      </c>
      <c r="E704" s="68">
        <v>0</v>
      </c>
      <c r="F704" s="68">
        <v>0</v>
      </c>
      <c r="G704" s="68" t="s">
        <v>1285</v>
      </c>
      <c r="H704" s="68">
        <v>0</v>
      </c>
      <c r="I704" s="68">
        <v>0</v>
      </c>
      <c r="J704" s="68" t="s">
        <v>1278</v>
      </c>
    </row>
    <row r="705" spans="1:10" ht="12.75" customHeight="1">
      <c r="A705" s="71"/>
      <c r="B705" s="69" t="s">
        <v>1281</v>
      </c>
      <c r="C705" s="68" t="s">
        <v>1278</v>
      </c>
      <c r="D705" s="68" t="s">
        <v>1285</v>
      </c>
      <c r="E705" s="68">
        <v>0</v>
      </c>
      <c r="F705" s="68" t="s">
        <v>1285</v>
      </c>
      <c r="G705" s="68">
        <v>6</v>
      </c>
      <c r="H705" s="68" t="s">
        <v>1285</v>
      </c>
      <c r="I705" s="68">
        <v>0</v>
      </c>
      <c r="J705" s="68" t="s">
        <v>1278</v>
      </c>
    </row>
    <row r="706" spans="1:10" ht="12.75" customHeight="1">
      <c r="A706" s="71"/>
      <c r="B706" s="71" t="s">
        <v>1283</v>
      </c>
      <c r="C706" s="68" t="s">
        <v>1278</v>
      </c>
      <c r="D706" s="68" t="s">
        <v>1285</v>
      </c>
      <c r="E706" s="68">
        <v>0</v>
      </c>
      <c r="F706" s="68" t="s">
        <v>1285</v>
      </c>
      <c r="G706" s="68">
        <v>5</v>
      </c>
      <c r="H706" s="68" t="s">
        <v>1285</v>
      </c>
      <c r="I706" s="68">
        <v>0</v>
      </c>
      <c r="J706" s="68" t="s">
        <v>1278</v>
      </c>
    </row>
    <row r="707" spans="1:10" ht="12.75" customHeight="1">
      <c r="A707" s="71"/>
      <c r="B707" s="71" t="s">
        <v>1284</v>
      </c>
      <c r="C707" s="68" t="s">
        <v>1278</v>
      </c>
      <c r="D707" s="68" t="s">
        <v>1285</v>
      </c>
      <c r="E707" s="68">
        <v>0</v>
      </c>
      <c r="F707" s="68">
        <v>0</v>
      </c>
      <c r="G707" s="68">
        <v>0</v>
      </c>
      <c r="H707" s="68">
        <v>0</v>
      </c>
      <c r="I707" s="68">
        <v>0</v>
      </c>
      <c r="J707" s="68" t="s">
        <v>1278</v>
      </c>
    </row>
    <row r="708" spans="1:10" ht="12.75" customHeight="1">
      <c r="A708" s="71"/>
      <c r="B708" s="71" t="s">
        <v>1286</v>
      </c>
      <c r="C708" s="68" t="s">
        <v>1278</v>
      </c>
      <c r="D708" s="68" t="s">
        <v>1285</v>
      </c>
      <c r="E708" s="68">
        <v>0</v>
      </c>
      <c r="F708" s="68" t="s">
        <v>1285</v>
      </c>
      <c r="G708" s="68" t="s">
        <v>1285</v>
      </c>
      <c r="H708" s="68" t="s">
        <v>1285</v>
      </c>
      <c r="I708" s="68">
        <v>0</v>
      </c>
      <c r="J708" s="68" t="s">
        <v>1278</v>
      </c>
    </row>
    <row r="709" spans="1:10" ht="12.75" customHeight="1">
      <c r="A709" s="71"/>
      <c r="B709" s="71" t="s">
        <v>1287</v>
      </c>
      <c r="C709" s="68" t="s">
        <v>1278</v>
      </c>
      <c r="D709" s="68" t="s">
        <v>1285</v>
      </c>
      <c r="E709" s="68" t="s">
        <v>1278</v>
      </c>
      <c r="F709" s="68" t="s">
        <v>1278</v>
      </c>
      <c r="G709" s="68" t="s">
        <v>1278</v>
      </c>
      <c r="H709" s="68" t="s">
        <v>1278</v>
      </c>
      <c r="I709" s="68" t="s">
        <v>1278</v>
      </c>
      <c r="J709" s="68" t="s">
        <v>1278</v>
      </c>
    </row>
    <row r="710" spans="1:10" ht="12.75" customHeight="1">
      <c r="A710" s="71"/>
      <c r="B710" s="71" t="s">
        <v>1288</v>
      </c>
      <c r="C710" s="68" t="s">
        <v>1278</v>
      </c>
      <c r="D710" s="68" t="s">
        <v>1285</v>
      </c>
      <c r="E710" s="68">
        <v>0</v>
      </c>
      <c r="F710" s="68" t="s">
        <v>1285</v>
      </c>
      <c r="G710" s="68">
        <v>1</v>
      </c>
      <c r="H710" s="68">
        <v>0</v>
      </c>
      <c r="I710" s="68">
        <v>0</v>
      </c>
      <c r="J710" s="68" t="s">
        <v>1278</v>
      </c>
    </row>
    <row r="711" spans="1:10" ht="12.75" customHeight="1">
      <c r="A711" s="71"/>
      <c r="B711" s="69" t="s">
        <v>1289</v>
      </c>
      <c r="C711" s="68" t="s">
        <v>1278</v>
      </c>
      <c r="D711" s="68" t="s">
        <v>1285</v>
      </c>
      <c r="E711" s="68">
        <v>0</v>
      </c>
      <c r="F711" s="68" t="s">
        <v>1285</v>
      </c>
      <c r="G711" s="68" t="s">
        <v>1285</v>
      </c>
      <c r="H711" s="68" t="s">
        <v>1285</v>
      </c>
      <c r="I711" s="68">
        <v>0</v>
      </c>
      <c r="J711" s="68" t="s">
        <v>1278</v>
      </c>
    </row>
    <row r="712" spans="1:10" ht="12.75" customHeight="1">
      <c r="A712" s="71"/>
      <c r="B712" s="71" t="s">
        <v>1290</v>
      </c>
      <c r="C712" s="68" t="s">
        <v>1278</v>
      </c>
      <c r="D712" s="68" t="s">
        <v>1285</v>
      </c>
      <c r="E712" s="68">
        <v>0</v>
      </c>
      <c r="F712" s="68">
        <v>0</v>
      </c>
      <c r="G712" s="68" t="s">
        <v>1285</v>
      </c>
      <c r="H712" s="68" t="s">
        <v>1285</v>
      </c>
      <c r="I712" s="68">
        <v>0</v>
      </c>
      <c r="J712" s="68" t="s">
        <v>1278</v>
      </c>
    </row>
    <row r="713" spans="1:10" ht="12.75" customHeight="1">
      <c r="A713" s="71"/>
      <c r="B713" s="71" t="s">
        <v>1291</v>
      </c>
      <c r="C713" s="68" t="s">
        <v>1278</v>
      </c>
      <c r="D713" s="68" t="s">
        <v>1285</v>
      </c>
      <c r="E713" s="68" t="s">
        <v>1278</v>
      </c>
      <c r="F713" s="68" t="s">
        <v>1278</v>
      </c>
      <c r="G713" s="68" t="s">
        <v>1278</v>
      </c>
      <c r="H713" s="68" t="s">
        <v>1278</v>
      </c>
      <c r="I713" s="68" t="s">
        <v>1278</v>
      </c>
      <c r="J713" s="68" t="s">
        <v>1278</v>
      </c>
    </row>
    <row r="714" spans="1:10" ht="12.75" customHeight="1">
      <c r="A714" s="71"/>
      <c r="B714" s="71" t="s">
        <v>1292</v>
      </c>
      <c r="C714" s="68" t="s">
        <v>1278</v>
      </c>
      <c r="D714" s="68" t="s">
        <v>1285</v>
      </c>
      <c r="E714" s="68">
        <v>0</v>
      </c>
      <c r="F714" s="68" t="s">
        <v>1285</v>
      </c>
      <c r="G714" s="68" t="s">
        <v>1285</v>
      </c>
      <c r="H714" s="68" t="s">
        <v>1285</v>
      </c>
      <c r="I714" s="68">
        <v>0</v>
      </c>
      <c r="J714" s="68" t="s">
        <v>1278</v>
      </c>
    </row>
    <row r="715" spans="1:10" ht="12.75" customHeight="1">
      <c r="A715" s="71"/>
      <c r="B715" s="71" t="s">
        <v>1293</v>
      </c>
      <c r="C715" s="68" t="s">
        <v>1278</v>
      </c>
      <c r="D715" s="68" t="s">
        <v>1285</v>
      </c>
      <c r="E715" s="68" t="s">
        <v>1278</v>
      </c>
      <c r="F715" s="68" t="s">
        <v>1285</v>
      </c>
      <c r="G715" s="68" t="s">
        <v>1285</v>
      </c>
      <c r="H715" s="68" t="s">
        <v>1285</v>
      </c>
      <c r="I715" s="68" t="s">
        <v>1278</v>
      </c>
      <c r="J715" s="68" t="s">
        <v>1278</v>
      </c>
    </row>
    <row r="716" spans="1:10" ht="12.75" customHeight="1">
      <c r="A716" s="71"/>
      <c r="B716" s="71" t="s">
        <v>1294</v>
      </c>
      <c r="C716" s="68" t="s">
        <v>1278</v>
      </c>
      <c r="D716" s="68" t="s">
        <v>1278</v>
      </c>
      <c r="E716" s="68">
        <v>0</v>
      </c>
      <c r="F716" s="68" t="s">
        <v>1285</v>
      </c>
      <c r="G716" s="68">
        <v>0</v>
      </c>
      <c r="H716" s="68" t="s">
        <v>1285</v>
      </c>
      <c r="I716" s="68">
        <v>0</v>
      </c>
      <c r="J716" s="68" t="s">
        <v>1278</v>
      </c>
    </row>
    <row r="717" spans="1:10" ht="12.75" customHeight="1">
      <c r="A717" s="71"/>
      <c r="B717" s="71" t="s">
        <v>1295</v>
      </c>
      <c r="C717" s="68" t="s">
        <v>1278</v>
      </c>
      <c r="D717" s="68" t="s">
        <v>1285</v>
      </c>
      <c r="E717" s="68">
        <v>0</v>
      </c>
      <c r="F717" s="68" t="s">
        <v>1285</v>
      </c>
      <c r="G717" s="68" t="s">
        <v>1285</v>
      </c>
      <c r="H717" s="68">
        <v>0</v>
      </c>
      <c r="I717" s="68">
        <v>0</v>
      </c>
      <c r="J717" s="68" t="s">
        <v>1278</v>
      </c>
    </row>
    <row r="718" spans="1:10" ht="12.75" customHeight="1">
      <c r="A718" s="71"/>
      <c r="B718" s="69" t="s">
        <v>1296</v>
      </c>
      <c r="C718" s="68">
        <v>27</v>
      </c>
      <c r="D718" s="68" t="s">
        <v>1285</v>
      </c>
      <c r="E718" s="68">
        <v>0</v>
      </c>
      <c r="F718" s="68">
        <v>0</v>
      </c>
      <c r="G718" s="68">
        <v>0</v>
      </c>
      <c r="H718" s="68" t="s">
        <v>1285</v>
      </c>
      <c r="I718" s="68">
        <v>0</v>
      </c>
      <c r="J718" s="68">
        <v>27</v>
      </c>
    </row>
    <row r="719" spans="1:10" ht="12.75" customHeight="1">
      <c r="A719" s="71"/>
      <c r="B719" s="69"/>
      <c r="C719" s="68"/>
      <c r="D719" s="68"/>
      <c r="E719" s="68"/>
      <c r="F719" s="68"/>
      <c r="G719" s="68"/>
      <c r="H719" s="68"/>
      <c r="I719" s="68"/>
      <c r="J719" s="68"/>
    </row>
    <row r="720" spans="1:10" s="73" customFormat="1" ht="12.75" customHeight="1">
      <c r="A720" s="69" t="s">
        <v>1360</v>
      </c>
      <c r="B720" s="69" t="s">
        <v>1361</v>
      </c>
      <c r="C720" s="74"/>
      <c r="D720" s="74"/>
      <c r="E720" s="74"/>
      <c r="F720" s="74"/>
      <c r="G720" s="74"/>
      <c r="H720" s="74"/>
      <c r="I720" s="74"/>
      <c r="J720" s="74"/>
    </row>
    <row r="721" spans="1:10" s="73" customFormat="1" ht="12.75" customHeight="1">
      <c r="A721" s="69"/>
      <c r="B721" s="69"/>
      <c r="C721" s="74"/>
      <c r="D721" s="74"/>
      <c r="E721" s="74"/>
      <c r="F721" s="74"/>
      <c r="G721" s="74"/>
      <c r="H721" s="74"/>
      <c r="I721" s="74"/>
      <c r="J721" s="74"/>
    </row>
    <row r="722" spans="1:10" s="73" customFormat="1" ht="12.75" customHeight="1">
      <c r="A722" s="69"/>
      <c r="B722" s="69"/>
      <c r="C722" s="74"/>
      <c r="D722" s="74"/>
      <c r="E722" s="74"/>
      <c r="F722" s="74"/>
      <c r="G722" s="74"/>
      <c r="H722" s="74"/>
      <c r="I722" s="74"/>
      <c r="J722" s="74"/>
    </row>
    <row r="723" spans="1:10" ht="12.75" customHeight="1">
      <c r="A723" s="71"/>
      <c r="B723" s="69" t="s">
        <v>1276</v>
      </c>
      <c r="C723" s="68">
        <v>3813</v>
      </c>
      <c r="D723" s="68">
        <v>501</v>
      </c>
      <c r="E723" s="68">
        <v>3</v>
      </c>
      <c r="F723" s="68">
        <v>6</v>
      </c>
      <c r="G723" s="68">
        <v>2344</v>
      </c>
      <c r="H723" s="68">
        <v>7</v>
      </c>
      <c r="I723" s="68">
        <v>113</v>
      </c>
      <c r="J723" s="68">
        <v>840</v>
      </c>
    </row>
    <row r="724" spans="1:10" ht="12.75" customHeight="1">
      <c r="A724" s="71"/>
      <c r="B724" s="69" t="s">
        <v>1277</v>
      </c>
      <c r="C724" s="68" t="s">
        <v>1278</v>
      </c>
      <c r="D724" s="68">
        <v>6</v>
      </c>
      <c r="E724" s="68">
        <v>2</v>
      </c>
      <c r="F724" s="68">
        <v>2</v>
      </c>
      <c r="G724" s="68">
        <v>1203</v>
      </c>
      <c r="H724" s="68">
        <v>1</v>
      </c>
      <c r="I724" s="68">
        <v>98</v>
      </c>
      <c r="J724" s="68" t="s">
        <v>1278</v>
      </c>
    </row>
    <row r="725" spans="1:10" ht="12.75" customHeight="1">
      <c r="A725" s="71"/>
      <c r="B725" s="71" t="s">
        <v>1279</v>
      </c>
      <c r="C725" s="68" t="s">
        <v>1278</v>
      </c>
      <c r="D725" s="68">
        <v>6</v>
      </c>
      <c r="E725" s="68">
        <v>2</v>
      </c>
      <c r="F725" s="68">
        <v>1</v>
      </c>
      <c r="G725" s="68">
        <v>389</v>
      </c>
      <c r="H725" s="68" t="s">
        <v>1285</v>
      </c>
      <c r="I725" s="68">
        <v>7</v>
      </c>
      <c r="J725" s="68" t="s">
        <v>1278</v>
      </c>
    </row>
    <row r="726" spans="1:10" ht="12.75" customHeight="1">
      <c r="A726" s="71"/>
      <c r="B726" s="71" t="s">
        <v>1280</v>
      </c>
      <c r="C726" s="68" t="s">
        <v>1278</v>
      </c>
      <c r="D726" s="68">
        <v>0</v>
      </c>
      <c r="E726" s="68" t="s">
        <v>1285</v>
      </c>
      <c r="F726" s="68">
        <v>1</v>
      </c>
      <c r="G726" s="68">
        <v>813</v>
      </c>
      <c r="H726" s="68">
        <v>1</v>
      </c>
      <c r="I726" s="68">
        <v>91</v>
      </c>
      <c r="J726" s="68" t="s">
        <v>1278</v>
      </c>
    </row>
    <row r="727" spans="1:10" ht="12.75" customHeight="1">
      <c r="A727" s="71"/>
      <c r="B727" s="69" t="s">
        <v>1281</v>
      </c>
      <c r="C727" s="68" t="s">
        <v>1278</v>
      </c>
      <c r="D727" s="68">
        <v>422</v>
      </c>
      <c r="E727" s="68" t="s">
        <v>1285</v>
      </c>
      <c r="F727" s="68">
        <v>1</v>
      </c>
      <c r="G727" s="68">
        <v>1054</v>
      </c>
      <c r="H727" s="68" t="s">
        <v>1282</v>
      </c>
      <c r="I727" s="68">
        <v>15</v>
      </c>
      <c r="J727" s="68" t="s">
        <v>1278</v>
      </c>
    </row>
    <row r="728" spans="1:10" ht="12.75" customHeight="1">
      <c r="A728" s="71"/>
      <c r="B728" s="71" t="s">
        <v>1283</v>
      </c>
      <c r="C728" s="68" t="s">
        <v>1278</v>
      </c>
      <c r="D728" s="68">
        <v>19</v>
      </c>
      <c r="E728" s="68" t="s">
        <v>1285</v>
      </c>
      <c r="F728" s="68" t="s">
        <v>1285</v>
      </c>
      <c r="G728" s="68">
        <v>797</v>
      </c>
      <c r="H728" s="68">
        <v>1</v>
      </c>
      <c r="I728" s="68">
        <v>7</v>
      </c>
      <c r="J728" s="68" t="s">
        <v>1278</v>
      </c>
    </row>
    <row r="729" spans="1:10" ht="12.75" customHeight="1">
      <c r="A729" s="71"/>
      <c r="B729" s="71" t="s">
        <v>1284</v>
      </c>
      <c r="C729" s="68" t="s">
        <v>1278</v>
      </c>
      <c r="D729" s="68">
        <v>46</v>
      </c>
      <c r="E729" s="68">
        <v>0</v>
      </c>
      <c r="F729" s="68" t="s">
        <v>1285</v>
      </c>
      <c r="G729" s="68">
        <v>9</v>
      </c>
      <c r="H729" s="68" t="s">
        <v>1285</v>
      </c>
      <c r="I729" s="68">
        <v>0</v>
      </c>
      <c r="J729" s="68" t="s">
        <v>1278</v>
      </c>
    </row>
    <row r="730" spans="1:10" ht="12.75" customHeight="1">
      <c r="A730" s="71"/>
      <c r="B730" s="71" t="s">
        <v>1286</v>
      </c>
      <c r="C730" s="68" t="s">
        <v>1278</v>
      </c>
      <c r="D730" s="68">
        <v>285</v>
      </c>
      <c r="E730" s="68">
        <v>0</v>
      </c>
      <c r="F730" s="68" t="s">
        <v>1285</v>
      </c>
      <c r="G730" s="68">
        <v>89</v>
      </c>
      <c r="H730" s="68" t="s">
        <v>1285</v>
      </c>
      <c r="I730" s="68">
        <v>0</v>
      </c>
      <c r="J730" s="68" t="s">
        <v>1278</v>
      </c>
    </row>
    <row r="731" spans="1:10" ht="12.75" customHeight="1">
      <c r="A731" s="71"/>
      <c r="B731" s="71" t="s">
        <v>1287</v>
      </c>
      <c r="C731" s="68" t="s">
        <v>1278</v>
      </c>
      <c r="D731" s="68">
        <v>61</v>
      </c>
      <c r="E731" s="68" t="s">
        <v>1278</v>
      </c>
      <c r="F731" s="68" t="s">
        <v>1278</v>
      </c>
      <c r="G731" s="68" t="s">
        <v>1278</v>
      </c>
      <c r="H731" s="68" t="s">
        <v>1278</v>
      </c>
      <c r="I731" s="68" t="s">
        <v>1278</v>
      </c>
      <c r="J731" s="68" t="s">
        <v>1278</v>
      </c>
    </row>
    <row r="732" spans="1:10" ht="12.75" customHeight="1">
      <c r="A732" s="71"/>
      <c r="B732" s="71" t="s">
        <v>1288</v>
      </c>
      <c r="C732" s="68" t="s">
        <v>1278</v>
      </c>
      <c r="D732" s="68">
        <v>11</v>
      </c>
      <c r="E732" s="68">
        <v>0</v>
      </c>
      <c r="F732" s="68" t="s">
        <v>1285</v>
      </c>
      <c r="G732" s="68">
        <v>160</v>
      </c>
      <c r="H732" s="68" t="s">
        <v>1282</v>
      </c>
      <c r="I732" s="68">
        <v>8</v>
      </c>
      <c r="J732" s="68" t="s">
        <v>1278</v>
      </c>
    </row>
    <row r="733" spans="1:10" ht="12.75" customHeight="1">
      <c r="A733" s="71"/>
      <c r="B733" s="69" t="s">
        <v>1289</v>
      </c>
      <c r="C733" s="68" t="s">
        <v>1278</v>
      </c>
      <c r="D733" s="68">
        <v>63</v>
      </c>
      <c r="E733" s="68">
        <v>0</v>
      </c>
      <c r="F733" s="68">
        <v>3</v>
      </c>
      <c r="G733" s="68">
        <v>71</v>
      </c>
      <c r="H733" s="68" t="s">
        <v>1282</v>
      </c>
      <c r="I733" s="68" t="s">
        <v>1285</v>
      </c>
      <c r="J733" s="68" t="s">
        <v>1278</v>
      </c>
    </row>
    <row r="734" spans="1:10" ht="12.75" customHeight="1">
      <c r="A734" s="71"/>
      <c r="B734" s="71" t="s">
        <v>1290</v>
      </c>
      <c r="C734" s="68" t="s">
        <v>1278</v>
      </c>
      <c r="D734" s="68">
        <v>33</v>
      </c>
      <c r="E734" s="68">
        <v>0</v>
      </c>
      <c r="F734" s="68" t="s">
        <v>1285</v>
      </c>
      <c r="G734" s="68">
        <v>57</v>
      </c>
      <c r="H734" s="68" t="s">
        <v>1282</v>
      </c>
      <c r="I734" s="68" t="s">
        <v>1285</v>
      </c>
      <c r="J734" s="68" t="s">
        <v>1278</v>
      </c>
    </row>
    <row r="735" spans="1:10" ht="12.75" customHeight="1">
      <c r="A735" s="71"/>
      <c r="B735" s="71" t="s">
        <v>1291</v>
      </c>
      <c r="C735" s="68" t="s">
        <v>1278</v>
      </c>
      <c r="D735" s="68">
        <v>19</v>
      </c>
      <c r="E735" s="68" t="s">
        <v>1278</v>
      </c>
      <c r="F735" s="68" t="s">
        <v>1278</v>
      </c>
      <c r="G735" s="68" t="s">
        <v>1278</v>
      </c>
      <c r="H735" s="68" t="s">
        <v>1278</v>
      </c>
      <c r="I735" s="68" t="s">
        <v>1278</v>
      </c>
      <c r="J735" s="68" t="s">
        <v>1278</v>
      </c>
    </row>
    <row r="736" spans="1:10" ht="12.75" customHeight="1">
      <c r="A736" s="71"/>
      <c r="B736" s="71" t="s">
        <v>1292</v>
      </c>
      <c r="C736" s="68" t="s">
        <v>1278</v>
      </c>
      <c r="D736" s="68">
        <v>7</v>
      </c>
      <c r="E736" s="68">
        <v>0</v>
      </c>
      <c r="F736" s="68" t="s">
        <v>1285</v>
      </c>
      <c r="G736" s="68">
        <v>11</v>
      </c>
      <c r="H736" s="68" t="s">
        <v>1285</v>
      </c>
      <c r="I736" s="68">
        <v>0</v>
      </c>
      <c r="J736" s="68" t="s">
        <v>1278</v>
      </c>
    </row>
    <row r="737" spans="1:10" ht="12.75" customHeight="1">
      <c r="A737" s="71"/>
      <c r="B737" s="71" t="s">
        <v>1293</v>
      </c>
      <c r="C737" s="68" t="s">
        <v>1278</v>
      </c>
      <c r="D737" s="68">
        <v>1</v>
      </c>
      <c r="E737" s="68" t="s">
        <v>1278</v>
      </c>
      <c r="F737" s="68">
        <v>2</v>
      </c>
      <c r="G737" s="68" t="s">
        <v>1285</v>
      </c>
      <c r="H737" s="68">
        <v>2</v>
      </c>
      <c r="I737" s="68" t="s">
        <v>1278</v>
      </c>
      <c r="J737" s="68" t="s">
        <v>1278</v>
      </c>
    </row>
    <row r="738" spans="1:10" ht="12.75" customHeight="1">
      <c r="A738" s="71"/>
      <c r="B738" s="71" t="s">
        <v>1294</v>
      </c>
      <c r="C738" s="68" t="s">
        <v>1278</v>
      </c>
      <c r="D738" s="68" t="s">
        <v>1278</v>
      </c>
      <c r="E738" s="68">
        <v>0</v>
      </c>
      <c r="F738" s="68" t="s">
        <v>1285</v>
      </c>
      <c r="G738" s="68">
        <v>1</v>
      </c>
      <c r="H738" s="68" t="s">
        <v>1285</v>
      </c>
      <c r="I738" s="68">
        <v>0</v>
      </c>
      <c r="J738" s="68" t="s">
        <v>1278</v>
      </c>
    </row>
    <row r="739" spans="1:10" ht="12.75" customHeight="1">
      <c r="A739" s="71"/>
      <c r="B739" s="71" t="s">
        <v>1295</v>
      </c>
      <c r="C739" s="68" t="s">
        <v>1278</v>
      </c>
      <c r="D739" s="68">
        <v>2</v>
      </c>
      <c r="E739" s="68">
        <v>0</v>
      </c>
      <c r="F739" s="68" t="s">
        <v>1285</v>
      </c>
      <c r="G739" s="68">
        <v>3</v>
      </c>
      <c r="H739" s="68" t="s">
        <v>1285</v>
      </c>
      <c r="I739" s="68">
        <v>0</v>
      </c>
      <c r="J739" s="68" t="s">
        <v>1278</v>
      </c>
    </row>
    <row r="740" spans="1:10" ht="12.75" customHeight="1">
      <c r="A740" s="71"/>
      <c r="B740" s="69" t="s">
        <v>1296</v>
      </c>
      <c r="C740" s="68">
        <v>867</v>
      </c>
      <c r="D740" s="68">
        <v>10</v>
      </c>
      <c r="E740" s="68" t="s">
        <v>1285</v>
      </c>
      <c r="F740" s="68" t="s">
        <v>1285</v>
      </c>
      <c r="G740" s="68">
        <v>16</v>
      </c>
      <c r="H740" s="68">
        <v>1</v>
      </c>
      <c r="I740" s="68">
        <v>0</v>
      </c>
      <c r="J740" s="68">
        <v>840</v>
      </c>
    </row>
    <row r="741" spans="1:10" ht="12.75" customHeight="1">
      <c r="A741" s="71"/>
      <c r="B741" s="69"/>
      <c r="C741" s="68"/>
      <c r="D741" s="68"/>
      <c r="E741" s="68"/>
      <c r="F741" s="68"/>
      <c r="G741" s="68"/>
      <c r="H741" s="68"/>
      <c r="I741" s="68"/>
      <c r="J741" s="68"/>
    </row>
    <row r="742" spans="1:10" s="73" customFormat="1" ht="12.75" customHeight="1">
      <c r="A742" s="69" t="s">
        <v>1362</v>
      </c>
      <c r="B742" s="69" t="s">
        <v>1363</v>
      </c>
      <c r="C742" s="74"/>
      <c r="D742" s="74"/>
      <c r="E742" s="74"/>
      <c r="F742" s="74"/>
      <c r="G742" s="74"/>
      <c r="H742" s="74"/>
      <c r="I742" s="74"/>
      <c r="J742" s="74"/>
    </row>
    <row r="743" spans="1:10" s="73" customFormat="1" ht="12.75" customHeight="1">
      <c r="A743" s="69"/>
      <c r="B743" s="69"/>
      <c r="C743" s="74"/>
      <c r="D743" s="74"/>
      <c r="E743" s="74"/>
      <c r="F743" s="74"/>
      <c r="G743" s="74"/>
      <c r="H743" s="74"/>
      <c r="I743" s="74"/>
      <c r="J743" s="74"/>
    </row>
    <row r="744" spans="1:10" s="73" customFormat="1" ht="12.75" customHeight="1">
      <c r="A744" s="69"/>
      <c r="B744" s="69"/>
      <c r="C744" s="74"/>
      <c r="D744" s="74"/>
      <c r="E744" s="74"/>
      <c r="F744" s="74"/>
      <c r="G744" s="74"/>
      <c r="H744" s="74"/>
      <c r="I744" s="74"/>
      <c r="J744" s="74"/>
    </row>
    <row r="745" spans="1:10" ht="12.75" customHeight="1">
      <c r="A745" s="71"/>
      <c r="B745" s="69" t="s">
        <v>1276</v>
      </c>
      <c r="C745" s="68">
        <v>569</v>
      </c>
      <c r="D745" s="68">
        <v>24</v>
      </c>
      <c r="E745" s="68">
        <v>0</v>
      </c>
      <c r="F745" s="68">
        <v>1</v>
      </c>
      <c r="G745" s="68">
        <v>304</v>
      </c>
      <c r="H745" s="68">
        <v>1</v>
      </c>
      <c r="I745" s="68">
        <v>0</v>
      </c>
      <c r="J745" s="68">
        <v>240</v>
      </c>
    </row>
    <row r="746" spans="1:10" ht="12.75" customHeight="1">
      <c r="A746" s="71"/>
      <c r="B746" s="69" t="s">
        <v>1277</v>
      </c>
      <c r="C746" s="68" t="s">
        <v>1278</v>
      </c>
      <c r="D746" s="68" t="s">
        <v>1285</v>
      </c>
      <c r="E746" s="68">
        <v>0</v>
      </c>
      <c r="F746" s="68" t="s">
        <v>1285</v>
      </c>
      <c r="G746" s="68">
        <v>125</v>
      </c>
      <c r="H746" s="68" t="s">
        <v>1285</v>
      </c>
      <c r="I746" s="68">
        <v>0</v>
      </c>
      <c r="J746" s="68" t="s">
        <v>1278</v>
      </c>
    </row>
    <row r="747" spans="1:10" ht="12.75" customHeight="1">
      <c r="A747" s="71"/>
      <c r="B747" s="71" t="s">
        <v>1279</v>
      </c>
      <c r="C747" s="68" t="s">
        <v>1278</v>
      </c>
      <c r="D747" s="68" t="s">
        <v>1285</v>
      </c>
      <c r="E747" s="68">
        <v>0</v>
      </c>
      <c r="F747" s="68" t="s">
        <v>1285</v>
      </c>
      <c r="G747" s="68">
        <v>36</v>
      </c>
      <c r="H747" s="68" t="s">
        <v>1285</v>
      </c>
      <c r="I747" s="68">
        <v>0</v>
      </c>
      <c r="J747" s="68" t="s">
        <v>1278</v>
      </c>
    </row>
    <row r="748" spans="1:10" ht="12.75" customHeight="1">
      <c r="A748" s="71"/>
      <c r="B748" s="71" t="s">
        <v>1280</v>
      </c>
      <c r="C748" s="68" t="s">
        <v>1278</v>
      </c>
      <c r="D748" s="68">
        <v>0</v>
      </c>
      <c r="E748" s="68">
        <v>0</v>
      </c>
      <c r="F748" s="68" t="s">
        <v>1285</v>
      </c>
      <c r="G748" s="68">
        <v>89</v>
      </c>
      <c r="H748" s="68" t="s">
        <v>1285</v>
      </c>
      <c r="I748" s="68">
        <v>0</v>
      </c>
      <c r="J748" s="68" t="s">
        <v>1278</v>
      </c>
    </row>
    <row r="749" spans="1:10" ht="12.75" customHeight="1">
      <c r="A749" s="71"/>
      <c r="B749" s="69" t="s">
        <v>1281</v>
      </c>
      <c r="C749" s="68" t="s">
        <v>1278</v>
      </c>
      <c r="D749" s="68">
        <v>22</v>
      </c>
      <c r="E749" s="68">
        <v>0</v>
      </c>
      <c r="F749" s="68" t="s">
        <v>1285</v>
      </c>
      <c r="G749" s="68">
        <v>178</v>
      </c>
      <c r="H749" s="68" t="s">
        <v>1285</v>
      </c>
      <c r="I749" s="68">
        <v>0</v>
      </c>
      <c r="J749" s="68" t="s">
        <v>1278</v>
      </c>
    </row>
    <row r="750" spans="1:10" ht="12.75" customHeight="1">
      <c r="A750" s="71"/>
      <c r="B750" s="71" t="s">
        <v>1283</v>
      </c>
      <c r="C750" s="68" t="s">
        <v>1278</v>
      </c>
      <c r="D750" s="68">
        <v>1</v>
      </c>
      <c r="E750" s="68">
        <v>0</v>
      </c>
      <c r="F750" s="68">
        <v>0</v>
      </c>
      <c r="G750" s="68">
        <v>145</v>
      </c>
      <c r="H750" s="68" t="s">
        <v>1285</v>
      </c>
      <c r="I750" s="68">
        <v>0</v>
      </c>
      <c r="J750" s="68" t="s">
        <v>1278</v>
      </c>
    </row>
    <row r="751" spans="1:10" ht="12.75" customHeight="1">
      <c r="A751" s="71"/>
      <c r="B751" s="71" t="s">
        <v>1284</v>
      </c>
      <c r="C751" s="68" t="s">
        <v>1278</v>
      </c>
      <c r="D751" s="68">
        <v>4</v>
      </c>
      <c r="E751" s="68">
        <v>0</v>
      </c>
      <c r="F751" s="68">
        <v>0</v>
      </c>
      <c r="G751" s="68">
        <v>4</v>
      </c>
      <c r="H751" s="68" t="s">
        <v>1285</v>
      </c>
      <c r="I751" s="68">
        <v>0</v>
      </c>
      <c r="J751" s="68" t="s">
        <v>1278</v>
      </c>
    </row>
    <row r="752" spans="1:10" ht="12.75" customHeight="1">
      <c r="A752" s="71"/>
      <c r="B752" s="71" t="s">
        <v>1286</v>
      </c>
      <c r="C752" s="68" t="s">
        <v>1278</v>
      </c>
      <c r="D752" s="68">
        <v>17</v>
      </c>
      <c r="E752" s="68">
        <v>0</v>
      </c>
      <c r="F752" s="68" t="s">
        <v>1285</v>
      </c>
      <c r="G752" s="68" t="s">
        <v>1282</v>
      </c>
      <c r="H752" s="68">
        <v>0</v>
      </c>
      <c r="I752" s="68">
        <v>0</v>
      </c>
      <c r="J752" s="68" t="s">
        <v>1278</v>
      </c>
    </row>
    <row r="753" spans="1:10" ht="12.75" customHeight="1">
      <c r="A753" s="71"/>
      <c r="B753" s="71" t="s">
        <v>1287</v>
      </c>
      <c r="C753" s="68" t="s">
        <v>1278</v>
      </c>
      <c r="D753" s="68" t="s">
        <v>1285</v>
      </c>
      <c r="E753" s="68" t="s">
        <v>1278</v>
      </c>
      <c r="F753" s="68" t="s">
        <v>1278</v>
      </c>
      <c r="G753" s="68" t="s">
        <v>1278</v>
      </c>
      <c r="H753" s="68" t="s">
        <v>1278</v>
      </c>
      <c r="I753" s="68" t="s">
        <v>1278</v>
      </c>
      <c r="J753" s="68" t="s">
        <v>1278</v>
      </c>
    </row>
    <row r="754" spans="1:10" ht="12.75" customHeight="1">
      <c r="A754" s="71"/>
      <c r="B754" s="71" t="s">
        <v>1288</v>
      </c>
      <c r="C754" s="68" t="s">
        <v>1278</v>
      </c>
      <c r="D754" s="68" t="s">
        <v>1285</v>
      </c>
      <c r="E754" s="68">
        <v>0</v>
      </c>
      <c r="F754" s="68" t="s">
        <v>1285</v>
      </c>
      <c r="G754" s="68" t="s">
        <v>1282</v>
      </c>
      <c r="H754" s="68" t="s">
        <v>1285</v>
      </c>
      <c r="I754" s="68">
        <v>0</v>
      </c>
      <c r="J754" s="68" t="s">
        <v>1278</v>
      </c>
    </row>
    <row r="755" spans="1:10" ht="12.75" customHeight="1">
      <c r="A755" s="71"/>
      <c r="B755" s="69" t="s">
        <v>1289</v>
      </c>
      <c r="C755" s="68" t="s">
        <v>1278</v>
      </c>
      <c r="D755" s="68">
        <v>1</v>
      </c>
      <c r="E755" s="68">
        <v>0</v>
      </c>
      <c r="F755" s="68" t="s">
        <v>1285</v>
      </c>
      <c r="G755" s="68">
        <v>1</v>
      </c>
      <c r="H755" s="68" t="s">
        <v>1285</v>
      </c>
      <c r="I755" s="68">
        <v>0</v>
      </c>
      <c r="J755" s="68" t="s">
        <v>1278</v>
      </c>
    </row>
    <row r="756" spans="1:10" ht="12.75" customHeight="1">
      <c r="A756" s="71"/>
      <c r="B756" s="71" t="s">
        <v>1290</v>
      </c>
      <c r="C756" s="68" t="s">
        <v>1278</v>
      </c>
      <c r="D756" s="68">
        <v>1</v>
      </c>
      <c r="E756" s="68">
        <v>0</v>
      </c>
      <c r="F756" s="68" t="s">
        <v>1285</v>
      </c>
      <c r="G756" s="68">
        <v>1</v>
      </c>
      <c r="H756" s="68" t="s">
        <v>1285</v>
      </c>
      <c r="I756" s="68">
        <v>0</v>
      </c>
      <c r="J756" s="68" t="s">
        <v>1278</v>
      </c>
    </row>
    <row r="757" spans="1:10" ht="12.75" customHeight="1">
      <c r="A757" s="71"/>
      <c r="B757" s="71" t="s">
        <v>1291</v>
      </c>
      <c r="C757" s="68" t="s">
        <v>1278</v>
      </c>
      <c r="D757" s="68" t="s">
        <v>1285</v>
      </c>
      <c r="E757" s="68" t="s">
        <v>1278</v>
      </c>
      <c r="F757" s="68" t="s">
        <v>1278</v>
      </c>
      <c r="G757" s="68" t="s">
        <v>1278</v>
      </c>
      <c r="H757" s="68" t="s">
        <v>1278</v>
      </c>
      <c r="I757" s="68" t="s">
        <v>1278</v>
      </c>
      <c r="J757" s="68" t="s">
        <v>1278</v>
      </c>
    </row>
    <row r="758" spans="1:10" ht="12.75" customHeight="1">
      <c r="A758" s="71"/>
      <c r="B758" s="71" t="s">
        <v>1292</v>
      </c>
      <c r="C758" s="68" t="s">
        <v>1278</v>
      </c>
      <c r="D758" s="68" t="s">
        <v>1285</v>
      </c>
      <c r="E758" s="68">
        <v>0</v>
      </c>
      <c r="F758" s="68">
        <v>0</v>
      </c>
      <c r="G758" s="68" t="s">
        <v>1285</v>
      </c>
      <c r="H758" s="68" t="s">
        <v>1285</v>
      </c>
      <c r="I758" s="68">
        <v>0</v>
      </c>
      <c r="J758" s="68" t="s">
        <v>1278</v>
      </c>
    </row>
    <row r="759" spans="1:10" ht="12.75" customHeight="1">
      <c r="A759" s="71"/>
      <c r="B759" s="71" t="s">
        <v>1293</v>
      </c>
      <c r="C759" s="68" t="s">
        <v>1278</v>
      </c>
      <c r="D759" s="68" t="s">
        <v>1285</v>
      </c>
      <c r="E759" s="68" t="s">
        <v>1278</v>
      </c>
      <c r="F759" s="68" t="s">
        <v>1285</v>
      </c>
      <c r="G759" s="68">
        <v>0</v>
      </c>
      <c r="H759" s="68" t="s">
        <v>1285</v>
      </c>
      <c r="I759" s="68" t="s">
        <v>1278</v>
      </c>
      <c r="J759" s="68" t="s">
        <v>1278</v>
      </c>
    </row>
    <row r="760" spans="1:10" ht="12.75" customHeight="1">
      <c r="A760" s="71"/>
      <c r="B760" s="71" t="s">
        <v>1294</v>
      </c>
      <c r="C760" s="68" t="s">
        <v>1278</v>
      </c>
      <c r="D760" s="68" t="s">
        <v>1278</v>
      </c>
      <c r="E760" s="68">
        <v>0</v>
      </c>
      <c r="F760" s="68" t="s">
        <v>1285</v>
      </c>
      <c r="G760" s="68" t="s">
        <v>1285</v>
      </c>
      <c r="H760" s="68">
        <v>0</v>
      </c>
      <c r="I760" s="68">
        <v>0</v>
      </c>
      <c r="J760" s="68" t="s">
        <v>1278</v>
      </c>
    </row>
    <row r="761" spans="1:10" ht="12.75" customHeight="1">
      <c r="A761" s="71"/>
      <c r="B761" s="71" t="s">
        <v>1295</v>
      </c>
      <c r="C761" s="68" t="s">
        <v>1278</v>
      </c>
      <c r="D761" s="68" t="s">
        <v>1285</v>
      </c>
      <c r="E761" s="68">
        <v>0</v>
      </c>
      <c r="F761" s="68" t="s">
        <v>1285</v>
      </c>
      <c r="G761" s="68">
        <v>1</v>
      </c>
      <c r="H761" s="68">
        <v>0</v>
      </c>
      <c r="I761" s="68">
        <v>0</v>
      </c>
      <c r="J761" s="68" t="s">
        <v>1278</v>
      </c>
    </row>
    <row r="762" spans="1:10" ht="12.75" customHeight="1">
      <c r="A762" s="71"/>
      <c r="B762" s="69" t="s">
        <v>1296</v>
      </c>
      <c r="C762" s="68">
        <v>240</v>
      </c>
      <c r="D762" s="68">
        <v>0</v>
      </c>
      <c r="E762" s="68">
        <v>0</v>
      </c>
      <c r="F762" s="68">
        <v>0</v>
      </c>
      <c r="G762" s="68">
        <v>0</v>
      </c>
      <c r="H762" s="68" t="s">
        <v>1285</v>
      </c>
      <c r="I762" s="68">
        <v>0</v>
      </c>
      <c r="J762" s="68">
        <v>240</v>
      </c>
    </row>
    <row r="763" spans="1:10" ht="12.75" customHeight="1">
      <c r="A763" s="71"/>
      <c r="B763" s="69"/>
      <c r="C763" s="68"/>
      <c r="D763" s="68"/>
      <c r="E763" s="68"/>
      <c r="F763" s="68"/>
      <c r="G763" s="68"/>
      <c r="H763" s="68"/>
      <c r="I763" s="68"/>
      <c r="J763" s="68"/>
    </row>
    <row r="764" spans="1:10" s="73" customFormat="1" ht="12.75" customHeight="1">
      <c r="A764" s="69" t="s">
        <v>1364</v>
      </c>
      <c r="B764" s="69" t="s">
        <v>1365</v>
      </c>
      <c r="C764" s="74"/>
      <c r="D764" s="74"/>
      <c r="E764" s="74"/>
      <c r="F764" s="74"/>
      <c r="G764" s="74"/>
      <c r="H764" s="74"/>
      <c r="I764" s="74"/>
      <c r="J764" s="74"/>
    </row>
    <row r="765" spans="1:10" ht="12.75" customHeight="1">
      <c r="A765" s="71"/>
      <c r="B765" s="71"/>
      <c r="C765" s="68"/>
      <c r="D765" s="68"/>
      <c r="E765" s="68"/>
      <c r="F765" s="68"/>
      <c r="G765" s="68"/>
      <c r="H765" s="68"/>
      <c r="I765" s="68"/>
      <c r="J765" s="68"/>
    </row>
    <row r="766" spans="1:10" ht="12.75" customHeight="1">
      <c r="A766" s="71"/>
      <c r="B766" s="71"/>
      <c r="C766" s="68"/>
      <c r="D766" s="68"/>
      <c r="E766" s="68"/>
      <c r="F766" s="68"/>
      <c r="G766" s="68"/>
      <c r="H766" s="68"/>
      <c r="I766" s="68"/>
      <c r="J766" s="68"/>
    </row>
    <row r="767" spans="1:10" ht="12.75" customHeight="1">
      <c r="A767" s="71"/>
      <c r="B767" s="69" t="s">
        <v>1276</v>
      </c>
      <c r="C767" s="68">
        <v>161</v>
      </c>
      <c r="D767" s="68">
        <v>74</v>
      </c>
      <c r="E767" s="68">
        <v>0</v>
      </c>
      <c r="F767" s="68" t="s">
        <v>1285</v>
      </c>
      <c r="G767" s="68">
        <v>83</v>
      </c>
      <c r="H767" s="68" t="s">
        <v>1285</v>
      </c>
      <c r="I767" s="68">
        <v>0</v>
      </c>
      <c r="J767" s="68">
        <v>4</v>
      </c>
    </row>
    <row r="768" spans="1:10" ht="12.75" customHeight="1">
      <c r="A768" s="71"/>
      <c r="B768" s="69" t="s">
        <v>1277</v>
      </c>
      <c r="C768" s="68" t="s">
        <v>1278</v>
      </c>
      <c r="D768" s="68" t="s">
        <v>1285</v>
      </c>
      <c r="E768" s="68">
        <v>0</v>
      </c>
      <c r="F768" s="68" t="s">
        <v>1285</v>
      </c>
      <c r="G768" s="68">
        <v>64</v>
      </c>
      <c r="H768" s="68">
        <v>0</v>
      </c>
      <c r="I768" s="68">
        <v>0</v>
      </c>
      <c r="J768" s="68" t="s">
        <v>1278</v>
      </c>
    </row>
    <row r="769" spans="1:10" ht="12.75" customHeight="1">
      <c r="A769" s="71"/>
      <c r="B769" s="71" t="s">
        <v>1279</v>
      </c>
      <c r="C769" s="68" t="s">
        <v>1278</v>
      </c>
      <c r="D769" s="68" t="s">
        <v>1285</v>
      </c>
      <c r="E769" s="68">
        <v>0</v>
      </c>
      <c r="F769" s="68" t="s">
        <v>1285</v>
      </c>
      <c r="G769" s="68">
        <v>9</v>
      </c>
      <c r="H769" s="68">
        <v>0</v>
      </c>
      <c r="I769" s="68">
        <v>0</v>
      </c>
      <c r="J769" s="68" t="s">
        <v>1278</v>
      </c>
    </row>
    <row r="770" spans="1:10" ht="12.75" customHeight="1">
      <c r="A770" s="71"/>
      <c r="B770" s="71" t="s">
        <v>1280</v>
      </c>
      <c r="C770" s="68" t="s">
        <v>1278</v>
      </c>
      <c r="D770" s="68">
        <v>0</v>
      </c>
      <c r="E770" s="68">
        <v>0</v>
      </c>
      <c r="F770" s="68">
        <v>0</v>
      </c>
      <c r="G770" s="68">
        <v>55</v>
      </c>
      <c r="H770" s="68">
        <v>0</v>
      </c>
      <c r="I770" s="68">
        <v>0</v>
      </c>
      <c r="J770" s="68" t="s">
        <v>1278</v>
      </c>
    </row>
    <row r="771" spans="1:10" ht="12.75" customHeight="1">
      <c r="A771" s="71"/>
      <c r="B771" s="69" t="s">
        <v>1281</v>
      </c>
      <c r="C771" s="68" t="s">
        <v>1278</v>
      </c>
      <c r="D771" s="68">
        <v>71</v>
      </c>
      <c r="E771" s="68">
        <v>0</v>
      </c>
      <c r="F771" s="68" t="s">
        <v>1285</v>
      </c>
      <c r="G771" s="68">
        <v>19</v>
      </c>
      <c r="H771" s="68" t="s">
        <v>1285</v>
      </c>
      <c r="I771" s="68">
        <v>0</v>
      </c>
      <c r="J771" s="68" t="s">
        <v>1278</v>
      </c>
    </row>
    <row r="772" spans="1:10" ht="12.75" customHeight="1">
      <c r="A772" s="71"/>
      <c r="B772" s="71" t="s">
        <v>1283</v>
      </c>
      <c r="C772" s="68" t="s">
        <v>1278</v>
      </c>
      <c r="D772" s="68" t="s">
        <v>1285</v>
      </c>
      <c r="E772" s="68">
        <v>0</v>
      </c>
      <c r="F772" s="68">
        <v>0</v>
      </c>
      <c r="G772" s="68">
        <v>5</v>
      </c>
      <c r="H772" s="68">
        <v>0</v>
      </c>
      <c r="I772" s="68">
        <v>0</v>
      </c>
      <c r="J772" s="68" t="s">
        <v>1278</v>
      </c>
    </row>
    <row r="773" spans="1:10" ht="12.75" customHeight="1">
      <c r="A773" s="71"/>
      <c r="B773" s="71" t="s">
        <v>1284</v>
      </c>
      <c r="C773" s="68" t="s">
        <v>1278</v>
      </c>
      <c r="D773" s="68">
        <v>2</v>
      </c>
      <c r="E773" s="68">
        <v>0</v>
      </c>
      <c r="F773" s="68">
        <v>0</v>
      </c>
      <c r="G773" s="68" t="s">
        <v>1285</v>
      </c>
      <c r="H773" s="68" t="s">
        <v>1285</v>
      </c>
      <c r="I773" s="68">
        <v>0</v>
      </c>
      <c r="J773" s="68" t="s">
        <v>1278</v>
      </c>
    </row>
    <row r="774" spans="1:10" ht="12.75" customHeight="1">
      <c r="A774" s="71"/>
      <c r="B774" s="71" t="s">
        <v>1286</v>
      </c>
      <c r="C774" s="68" t="s">
        <v>1278</v>
      </c>
      <c r="D774" s="68">
        <v>72</v>
      </c>
      <c r="E774" s="68">
        <v>0</v>
      </c>
      <c r="F774" s="68" t="s">
        <v>1285</v>
      </c>
      <c r="G774" s="68">
        <v>0</v>
      </c>
      <c r="H774" s="68">
        <v>0</v>
      </c>
      <c r="I774" s="68">
        <v>0</v>
      </c>
      <c r="J774" s="68" t="s">
        <v>1278</v>
      </c>
    </row>
    <row r="775" spans="1:10" ht="12.75" customHeight="1">
      <c r="A775" s="71"/>
      <c r="B775" s="71" t="s">
        <v>1287</v>
      </c>
      <c r="C775" s="68" t="s">
        <v>1278</v>
      </c>
      <c r="D775" s="68">
        <v>-4</v>
      </c>
      <c r="E775" s="68" t="s">
        <v>1278</v>
      </c>
      <c r="F775" s="68" t="s">
        <v>1278</v>
      </c>
      <c r="G775" s="68" t="s">
        <v>1278</v>
      </c>
      <c r="H775" s="68" t="s">
        <v>1278</v>
      </c>
      <c r="I775" s="68" t="s">
        <v>1278</v>
      </c>
      <c r="J775" s="68" t="s">
        <v>1278</v>
      </c>
    </row>
    <row r="776" spans="1:10" ht="12.75" customHeight="1">
      <c r="A776" s="71"/>
      <c r="B776" s="71" t="s">
        <v>1288</v>
      </c>
      <c r="C776" s="68" t="s">
        <v>1278</v>
      </c>
      <c r="D776" s="68">
        <v>1</v>
      </c>
      <c r="E776" s="68">
        <v>0</v>
      </c>
      <c r="F776" s="68">
        <v>0</v>
      </c>
      <c r="G776" s="68">
        <v>14</v>
      </c>
      <c r="H776" s="68">
        <v>0</v>
      </c>
      <c r="I776" s="68">
        <v>0</v>
      </c>
      <c r="J776" s="68" t="s">
        <v>1278</v>
      </c>
    </row>
    <row r="777" spans="1:10" ht="12.75" customHeight="1">
      <c r="A777" s="71"/>
      <c r="B777" s="69" t="s">
        <v>1289</v>
      </c>
      <c r="C777" s="68" t="s">
        <v>1278</v>
      </c>
      <c r="D777" s="68">
        <v>2</v>
      </c>
      <c r="E777" s="68">
        <v>0</v>
      </c>
      <c r="F777" s="68" t="s">
        <v>1285</v>
      </c>
      <c r="G777" s="68" t="s">
        <v>1285</v>
      </c>
      <c r="H777" s="68" t="s">
        <v>1285</v>
      </c>
      <c r="I777" s="68">
        <v>0</v>
      </c>
      <c r="J777" s="68" t="s">
        <v>1278</v>
      </c>
    </row>
    <row r="778" spans="1:10" ht="12.75" customHeight="1">
      <c r="A778" s="71"/>
      <c r="B778" s="71" t="s">
        <v>1290</v>
      </c>
      <c r="C778" s="68" t="s">
        <v>1278</v>
      </c>
      <c r="D778" s="68">
        <v>2</v>
      </c>
      <c r="E778" s="68">
        <v>0</v>
      </c>
      <c r="F778" s="68">
        <v>0</v>
      </c>
      <c r="G778" s="68" t="s">
        <v>1285</v>
      </c>
      <c r="H778" s="68" t="s">
        <v>1285</v>
      </c>
      <c r="I778" s="68">
        <v>0</v>
      </c>
      <c r="J778" s="68" t="s">
        <v>1278</v>
      </c>
    </row>
    <row r="779" spans="1:10" ht="12.75" customHeight="1">
      <c r="A779" s="71"/>
      <c r="B779" s="71" t="s">
        <v>1291</v>
      </c>
      <c r="C779" s="68" t="s">
        <v>1278</v>
      </c>
      <c r="D779" s="68" t="s">
        <v>1285</v>
      </c>
      <c r="E779" s="68" t="s">
        <v>1278</v>
      </c>
      <c r="F779" s="68" t="s">
        <v>1278</v>
      </c>
      <c r="G779" s="68" t="s">
        <v>1278</v>
      </c>
      <c r="H779" s="68" t="s">
        <v>1278</v>
      </c>
      <c r="I779" s="68" t="s">
        <v>1278</v>
      </c>
      <c r="J779" s="68" t="s">
        <v>1278</v>
      </c>
    </row>
    <row r="780" spans="1:10" ht="12.75" customHeight="1">
      <c r="A780" s="71"/>
      <c r="B780" s="71" t="s">
        <v>1292</v>
      </c>
      <c r="C780" s="68" t="s">
        <v>1278</v>
      </c>
      <c r="D780" s="68" t="s">
        <v>1285</v>
      </c>
      <c r="E780" s="68">
        <v>0</v>
      </c>
      <c r="F780" s="68">
        <v>0</v>
      </c>
      <c r="G780" s="68" t="s">
        <v>1285</v>
      </c>
      <c r="H780" s="68">
        <v>0</v>
      </c>
      <c r="I780" s="68">
        <v>0</v>
      </c>
      <c r="J780" s="68" t="s">
        <v>1278</v>
      </c>
    </row>
    <row r="781" spans="1:10" ht="12.75" customHeight="1">
      <c r="A781" s="71"/>
      <c r="B781" s="71" t="s">
        <v>1293</v>
      </c>
      <c r="C781" s="68" t="s">
        <v>1278</v>
      </c>
      <c r="D781" s="68" t="s">
        <v>1285</v>
      </c>
      <c r="E781" s="68" t="s">
        <v>1278</v>
      </c>
      <c r="F781" s="68" t="s">
        <v>1285</v>
      </c>
      <c r="G781" s="68">
        <v>0</v>
      </c>
      <c r="H781" s="68" t="s">
        <v>1285</v>
      </c>
      <c r="I781" s="68" t="s">
        <v>1278</v>
      </c>
      <c r="J781" s="68" t="s">
        <v>1278</v>
      </c>
    </row>
    <row r="782" spans="1:10" ht="12.75" customHeight="1">
      <c r="A782" s="71"/>
      <c r="B782" s="71" t="s">
        <v>1294</v>
      </c>
      <c r="C782" s="68" t="s">
        <v>1278</v>
      </c>
      <c r="D782" s="68" t="s">
        <v>1278</v>
      </c>
      <c r="E782" s="68">
        <v>0</v>
      </c>
      <c r="F782" s="68">
        <v>0</v>
      </c>
      <c r="G782" s="68">
        <v>0</v>
      </c>
      <c r="H782" s="68">
        <v>0</v>
      </c>
      <c r="I782" s="68">
        <v>0</v>
      </c>
      <c r="J782" s="68" t="s">
        <v>1278</v>
      </c>
    </row>
    <row r="783" spans="1:10" ht="12.75" customHeight="1">
      <c r="A783" s="71"/>
      <c r="B783" s="71" t="s">
        <v>1295</v>
      </c>
      <c r="C783" s="68" t="s">
        <v>1278</v>
      </c>
      <c r="D783" s="68" t="s">
        <v>1285</v>
      </c>
      <c r="E783" s="68">
        <v>0</v>
      </c>
      <c r="F783" s="68">
        <v>0</v>
      </c>
      <c r="G783" s="68" t="s">
        <v>1285</v>
      </c>
      <c r="H783" s="68" t="s">
        <v>1285</v>
      </c>
      <c r="I783" s="68">
        <v>0</v>
      </c>
      <c r="J783" s="68" t="s">
        <v>1278</v>
      </c>
    </row>
    <row r="784" spans="1:10" ht="12.75" customHeight="1">
      <c r="A784" s="71"/>
      <c r="B784" s="69" t="s">
        <v>1296</v>
      </c>
      <c r="C784" s="68">
        <v>4</v>
      </c>
      <c r="D784" s="68" t="s">
        <v>1285</v>
      </c>
      <c r="E784" s="68">
        <v>0</v>
      </c>
      <c r="F784" s="68" t="s">
        <v>1285</v>
      </c>
      <c r="G784" s="68">
        <v>0</v>
      </c>
      <c r="H784" s="68" t="s">
        <v>1285</v>
      </c>
      <c r="I784" s="68">
        <v>0</v>
      </c>
      <c r="J784" s="68">
        <v>4</v>
      </c>
    </row>
    <row r="785" spans="1:10" ht="12.75" customHeight="1">
      <c r="A785" s="71"/>
      <c r="B785" s="69"/>
      <c r="C785" s="68"/>
      <c r="D785" s="68"/>
      <c r="E785" s="68"/>
      <c r="F785" s="68"/>
      <c r="G785" s="68"/>
      <c r="H785" s="68"/>
      <c r="I785" s="68"/>
      <c r="J785" s="68"/>
    </row>
    <row r="786" spans="1:10" s="73" customFormat="1" ht="12.75" customHeight="1">
      <c r="A786" s="69" t="s">
        <v>1366</v>
      </c>
      <c r="B786" s="69" t="s">
        <v>1367</v>
      </c>
      <c r="C786" s="74"/>
      <c r="D786" s="74"/>
      <c r="E786" s="74"/>
      <c r="F786" s="74"/>
      <c r="G786" s="74"/>
      <c r="H786" s="74"/>
      <c r="I786" s="74"/>
      <c r="J786" s="74"/>
    </row>
    <row r="787" spans="1:10" s="73" customFormat="1" ht="12.75" customHeight="1">
      <c r="A787" s="69"/>
      <c r="B787" s="69"/>
      <c r="C787" s="74"/>
      <c r="D787" s="74"/>
      <c r="E787" s="74"/>
      <c r="F787" s="74"/>
      <c r="G787" s="74"/>
      <c r="H787" s="74"/>
      <c r="I787" s="74"/>
      <c r="J787" s="74"/>
    </row>
    <row r="788" spans="1:10" s="73" customFormat="1" ht="12.75" customHeight="1">
      <c r="A788" s="69"/>
      <c r="B788" s="69"/>
      <c r="C788" s="74"/>
      <c r="D788" s="74"/>
      <c r="E788" s="74"/>
      <c r="F788" s="74"/>
      <c r="G788" s="74"/>
      <c r="H788" s="74"/>
      <c r="I788" s="74"/>
      <c r="J788" s="74"/>
    </row>
    <row r="789" spans="1:10" ht="12.75" customHeight="1">
      <c r="A789" s="71"/>
      <c r="B789" s="69" t="s">
        <v>1276</v>
      </c>
      <c r="C789" s="68">
        <v>425</v>
      </c>
      <c r="D789" s="68">
        <v>101</v>
      </c>
      <c r="E789" s="68">
        <v>0</v>
      </c>
      <c r="F789" s="68" t="s">
        <v>1285</v>
      </c>
      <c r="G789" s="68">
        <v>218</v>
      </c>
      <c r="H789" s="68" t="s">
        <v>1285</v>
      </c>
      <c r="I789" s="68">
        <v>33</v>
      </c>
      <c r="J789" s="68">
        <v>72</v>
      </c>
    </row>
    <row r="790" spans="1:10" ht="12.75" customHeight="1">
      <c r="A790" s="71"/>
      <c r="B790" s="69" t="s">
        <v>1277</v>
      </c>
      <c r="C790" s="68" t="s">
        <v>1278</v>
      </c>
      <c r="D790" s="68" t="s">
        <v>1285</v>
      </c>
      <c r="E790" s="68">
        <v>0</v>
      </c>
      <c r="F790" s="68" t="s">
        <v>1285</v>
      </c>
      <c r="G790" s="68">
        <v>99</v>
      </c>
      <c r="H790" s="68" t="s">
        <v>1285</v>
      </c>
      <c r="I790" s="68">
        <v>30</v>
      </c>
      <c r="J790" s="68" t="s">
        <v>1278</v>
      </c>
    </row>
    <row r="791" spans="1:10" ht="12.75" customHeight="1">
      <c r="A791" s="71"/>
      <c r="B791" s="71" t="s">
        <v>1279</v>
      </c>
      <c r="C791" s="68" t="s">
        <v>1278</v>
      </c>
      <c r="D791" s="68" t="s">
        <v>1285</v>
      </c>
      <c r="E791" s="68">
        <v>0</v>
      </c>
      <c r="F791" s="68" t="s">
        <v>1285</v>
      </c>
      <c r="G791" s="68">
        <v>17</v>
      </c>
      <c r="H791" s="68" t="s">
        <v>1285</v>
      </c>
      <c r="I791" s="68">
        <v>4</v>
      </c>
      <c r="J791" s="68" t="s">
        <v>1278</v>
      </c>
    </row>
    <row r="792" spans="1:10" ht="12.75" customHeight="1">
      <c r="A792" s="71"/>
      <c r="B792" s="71" t="s">
        <v>1280</v>
      </c>
      <c r="C792" s="68" t="s">
        <v>1278</v>
      </c>
      <c r="D792" s="68">
        <v>0</v>
      </c>
      <c r="E792" s="68">
        <v>0</v>
      </c>
      <c r="F792" s="68" t="s">
        <v>1285</v>
      </c>
      <c r="G792" s="68">
        <v>82</v>
      </c>
      <c r="H792" s="68" t="s">
        <v>1285</v>
      </c>
      <c r="I792" s="68">
        <v>26</v>
      </c>
      <c r="J792" s="68" t="s">
        <v>1278</v>
      </c>
    </row>
    <row r="793" spans="1:10" ht="12.75" customHeight="1">
      <c r="A793" s="71"/>
      <c r="B793" s="69" t="s">
        <v>1281</v>
      </c>
      <c r="C793" s="68" t="s">
        <v>1278</v>
      </c>
      <c r="D793" s="68">
        <v>90</v>
      </c>
      <c r="E793" s="68">
        <v>0</v>
      </c>
      <c r="F793" s="68" t="s">
        <v>1285</v>
      </c>
      <c r="G793" s="68">
        <v>115</v>
      </c>
      <c r="H793" s="68" t="s">
        <v>1285</v>
      </c>
      <c r="I793" s="68">
        <v>3</v>
      </c>
      <c r="J793" s="68" t="s">
        <v>1278</v>
      </c>
    </row>
    <row r="794" spans="1:10" ht="12.75" customHeight="1">
      <c r="A794" s="71"/>
      <c r="B794" s="71" t="s">
        <v>1283</v>
      </c>
      <c r="C794" s="68" t="s">
        <v>1278</v>
      </c>
      <c r="D794" s="68">
        <v>7</v>
      </c>
      <c r="E794" s="68">
        <v>0</v>
      </c>
      <c r="F794" s="68">
        <v>0</v>
      </c>
      <c r="G794" s="68">
        <v>58</v>
      </c>
      <c r="H794" s="68" t="s">
        <v>1285</v>
      </c>
      <c r="I794" s="68">
        <v>3</v>
      </c>
      <c r="J794" s="68" t="s">
        <v>1278</v>
      </c>
    </row>
    <row r="795" spans="1:10" ht="12.75" customHeight="1">
      <c r="A795" s="71"/>
      <c r="B795" s="71" t="s">
        <v>1284</v>
      </c>
      <c r="C795" s="68" t="s">
        <v>1278</v>
      </c>
      <c r="D795" s="68">
        <v>4</v>
      </c>
      <c r="E795" s="68">
        <v>0</v>
      </c>
      <c r="F795" s="68">
        <v>0</v>
      </c>
      <c r="G795" s="68">
        <v>1</v>
      </c>
      <c r="H795" s="68">
        <v>0</v>
      </c>
      <c r="I795" s="68">
        <v>0</v>
      </c>
      <c r="J795" s="68" t="s">
        <v>1278</v>
      </c>
    </row>
    <row r="796" spans="1:10" ht="12.75" customHeight="1">
      <c r="A796" s="71"/>
      <c r="B796" s="71" t="s">
        <v>1286</v>
      </c>
      <c r="C796" s="68" t="s">
        <v>1278</v>
      </c>
      <c r="D796" s="68">
        <v>20</v>
      </c>
      <c r="E796" s="68">
        <v>0</v>
      </c>
      <c r="F796" s="68" t="s">
        <v>1285</v>
      </c>
      <c r="G796" s="68">
        <v>52</v>
      </c>
      <c r="H796" s="68" t="s">
        <v>1285</v>
      </c>
      <c r="I796" s="68">
        <v>0</v>
      </c>
      <c r="J796" s="68" t="s">
        <v>1278</v>
      </c>
    </row>
    <row r="797" spans="1:10" ht="12.75" customHeight="1">
      <c r="A797" s="71"/>
      <c r="B797" s="71" t="s">
        <v>1287</v>
      </c>
      <c r="C797" s="68" t="s">
        <v>1278</v>
      </c>
      <c r="D797" s="68">
        <v>55</v>
      </c>
      <c r="E797" s="68" t="s">
        <v>1278</v>
      </c>
      <c r="F797" s="68" t="s">
        <v>1278</v>
      </c>
      <c r="G797" s="68" t="s">
        <v>1278</v>
      </c>
      <c r="H797" s="68" t="s">
        <v>1278</v>
      </c>
      <c r="I797" s="68" t="s">
        <v>1278</v>
      </c>
      <c r="J797" s="68" t="s">
        <v>1278</v>
      </c>
    </row>
    <row r="798" spans="1:10" ht="12.75" customHeight="1">
      <c r="A798" s="71"/>
      <c r="B798" s="71" t="s">
        <v>1288</v>
      </c>
      <c r="C798" s="68" t="s">
        <v>1278</v>
      </c>
      <c r="D798" s="68">
        <v>5</v>
      </c>
      <c r="E798" s="68">
        <v>0</v>
      </c>
      <c r="F798" s="68" t="s">
        <v>1285</v>
      </c>
      <c r="G798" s="68">
        <v>5</v>
      </c>
      <c r="H798" s="68" t="s">
        <v>1285</v>
      </c>
      <c r="I798" s="68">
        <v>0</v>
      </c>
      <c r="J798" s="68" t="s">
        <v>1278</v>
      </c>
    </row>
    <row r="799" spans="1:10" ht="12.75" customHeight="1">
      <c r="A799" s="71"/>
      <c r="B799" s="69" t="s">
        <v>1289</v>
      </c>
      <c r="C799" s="68" t="s">
        <v>1278</v>
      </c>
      <c r="D799" s="68">
        <v>6</v>
      </c>
      <c r="E799" s="68">
        <v>0</v>
      </c>
      <c r="F799" s="68" t="s">
        <v>1285</v>
      </c>
      <c r="G799" s="68">
        <v>4</v>
      </c>
      <c r="H799" s="68" t="s">
        <v>1285</v>
      </c>
      <c r="I799" s="68">
        <v>0</v>
      </c>
      <c r="J799" s="68" t="s">
        <v>1278</v>
      </c>
    </row>
    <row r="800" spans="1:10" ht="12.75" customHeight="1">
      <c r="A800" s="71"/>
      <c r="B800" s="71" t="s">
        <v>1290</v>
      </c>
      <c r="C800" s="68" t="s">
        <v>1278</v>
      </c>
      <c r="D800" s="68">
        <v>3</v>
      </c>
      <c r="E800" s="68">
        <v>0</v>
      </c>
      <c r="F800" s="68" t="s">
        <v>1285</v>
      </c>
      <c r="G800" s="68">
        <v>3</v>
      </c>
      <c r="H800" s="68" t="s">
        <v>1285</v>
      </c>
      <c r="I800" s="68">
        <v>0</v>
      </c>
      <c r="J800" s="68" t="s">
        <v>1278</v>
      </c>
    </row>
    <row r="801" spans="1:10" ht="12.75" customHeight="1">
      <c r="A801" s="71"/>
      <c r="B801" s="71" t="s">
        <v>1291</v>
      </c>
      <c r="C801" s="68" t="s">
        <v>1278</v>
      </c>
      <c r="D801" s="68">
        <v>2</v>
      </c>
      <c r="E801" s="68" t="s">
        <v>1278</v>
      </c>
      <c r="F801" s="68" t="s">
        <v>1278</v>
      </c>
      <c r="G801" s="68" t="s">
        <v>1278</v>
      </c>
      <c r="H801" s="68" t="s">
        <v>1278</v>
      </c>
      <c r="I801" s="68" t="s">
        <v>1278</v>
      </c>
      <c r="J801" s="68" t="s">
        <v>1278</v>
      </c>
    </row>
    <row r="802" spans="1:10" ht="12.75" customHeight="1">
      <c r="A802" s="71"/>
      <c r="B802" s="71" t="s">
        <v>1292</v>
      </c>
      <c r="C802" s="68" t="s">
        <v>1278</v>
      </c>
      <c r="D802" s="68" t="s">
        <v>1285</v>
      </c>
      <c r="E802" s="68">
        <v>0</v>
      </c>
      <c r="F802" s="68" t="s">
        <v>1285</v>
      </c>
      <c r="G802" s="68" t="s">
        <v>1285</v>
      </c>
      <c r="H802" s="68">
        <v>0</v>
      </c>
      <c r="I802" s="68">
        <v>0</v>
      </c>
      <c r="J802" s="68" t="s">
        <v>1278</v>
      </c>
    </row>
    <row r="803" spans="1:10" ht="12.75" customHeight="1">
      <c r="A803" s="71"/>
      <c r="B803" s="71" t="s">
        <v>1293</v>
      </c>
      <c r="C803" s="68" t="s">
        <v>1278</v>
      </c>
      <c r="D803" s="68" t="s">
        <v>1285</v>
      </c>
      <c r="E803" s="68" t="s">
        <v>1278</v>
      </c>
      <c r="F803" s="68" t="s">
        <v>1285</v>
      </c>
      <c r="G803" s="68" t="s">
        <v>1285</v>
      </c>
      <c r="H803" s="68" t="s">
        <v>1285</v>
      </c>
      <c r="I803" s="68" t="s">
        <v>1278</v>
      </c>
      <c r="J803" s="68" t="s">
        <v>1278</v>
      </c>
    </row>
    <row r="804" spans="1:10" ht="12.75" customHeight="1">
      <c r="A804" s="71"/>
      <c r="B804" s="71" t="s">
        <v>1294</v>
      </c>
      <c r="C804" s="68" t="s">
        <v>1278</v>
      </c>
      <c r="D804" s="68" t="s">
        <v>1278</v>
      </c>
      <c r="E804" s="68">
        <v>0</v>
      </c>
      <c r="F804" s="68" t="s">
        <v>1285</v>
      </c>
      <c r="G804" s="68" t="s">
        <v>1285</v>
      </c>
      <c r="H804" s="68">
        <v>0</v>
      </c>
      <c r="I804" s="68">
        <v>0</v>
      </c>
      <c r="J804" s="68" t="s">
        <v>1278</v>
      </c>
    </row>
    <row r="805" spans="1:10" ht="12.75" customHeight="1">
      <c r="A805" s="71"/>
      <c r="B805" s="71" t="s">
        <v>1295</v>
      </c>
      <c r="C805" s="68" t="s">
        <v>1278</v>
      </c>
      <c r="D805" s="68" t="s">
        <v>1285</v>
      </c>
      <c r="E805" s="68">
        <v>0</v>
      </c>
      <c r="F805" s="68" t="s">
        <v>1285</v>
      </c>
      <c r="G805" s="68" t="s">
        <v>1299</v>
      </c>
      <c r="H805" s="68" t="s">
        <v>1285</v>
      </c>
      <c r="I805" s="68">
        <v>0</v>
      </c>
      <c r="J805" s="68" t="s">
        <v>1278</v>
      </c>
    </row>
    <row r="806" spans="1:10" ht="12.75" customHeight="1">
      <c r="A806" s="71"/>
      <c r="B806" s="69" t="s">
        <v>1296</v>
      </c>
      <c r="C806" s="68">
        <v>77</v>
      </c>
      <c r="D806" s="68">
        <v>5</v>
      </c>
      <c r="E806" s="68">
        <v>0</v>
      </c>
      <c r="F806" s="68">
        <v>0</v>
      </c>
      <c r="G806" s="68">
        <v>1</v>
      </c>
      <c r="H806" s="68" t="s">
        <v>1285</v>
      </c>
      <c r="I806" s="68">
        <v>0</v>
      </c>
      <c r="J806" s="68">
        <v>72</v>
      </c>
    </row>
    <row r="807" spans="1:10" ht="12.75" customHeight="1">
      <c r="A807" s="71"/>
      <c r="B807" s="69"/>
      <c r="C807" s="68"/>
      <c r="D807" s="68"/>
      <c r="E807" s="68"/>
      <c r="F807" s="68"/>
      <c r="G807" s="68"/>
      <c r="H807" s="68"/>
      <c r="I807" s="68"/>
      <c r="J807" s="68"/>
    </row>
    <row r="808" spans="1:10" s="73" customFormat="1" ht="12.75" customHeight="1">
      <c r="A808" s="69" t="s">
        <v>1368</v>
      </c>
      <c r="B808" s="69" t="s">
        <v>1369</v>
      </c>
      <c r="C808" s="74"/>
      <c r="D808" s="74"/>
      <c r="E808" s="74"/>
      <c r="F808" s="74"/>
      <c r="G808" s="74"/>
      <c r="H808" s="74"/>
      <c r="I808" s="74"/>
      <c r="J808" s="74"/>
    </row>
    <row r="809" spans="1:10" s="73" customFormat="1" ht="12.75" customHeight="1">
      <c r="A809" s="69"/>
      <c r="B809" s="69"/>
      <c r="C809" s="74"/>
      <c r="D809" s="74"/>
      <c r="E809" s="74"/>
      <c r="F809" s="74"/>
      <c r="G809" s="74"/>
      <c r="H809" s="74"/>
      <c r="I809" s="74"/>
      <c r="J809" s="74"/>
    </row>
    <row r="810" spans="1:10" s="73" customFormat="1" ht="12.75" customHeight="1">
      <c r="A810" s="69"/>
      <c r="B810" s="69"/>
      <c r="C810" s="74"/>
      <c r="D810" s="74"/>
      <c r="E810" s="74"/>
      <c r="F810" s="74"/>
      <c r="G810" s="74"/>
      <c r="H810" s="74"/>
      <c r="I810" s="74"/>
      <c r="J810" s="74"/>
    </row>
    <row r="811" spans="1:10" ht="12.75" customHeight="1">
      <c r="A811" s="71"/>
      <c r="B811" s="69" t="s">
        <v>1276</v>
      </c>
      <c r="C811" s="68">
        <v>453</v>
      </c>
      <c r="D811" s="68">
        <v>37</v>
      </c>
      <c r="E811" s="68">
        <v>0</v>
      </c>
      <c r="F811" s="68" t="s">
        <v>1285</v>
      </c>
      <c r="G811" s="68">
        <v>359</v>
      </c>
      <c r="H811" s="68" t="s">
        <v>1285</v>
      </c>
      <c r="I811" s="68">
        <v>44</v>
      </c>
      <c r="J811" s="68">
        <v>13</v>
      </c>
    </row>
    <row r="812" spans="1:10" ht="12.75" customHeight="1">
      <c r="A812" s="71"/>
      <c r="B812" s="69" t="s">
        <v>1277</v>
      </c>
      <c r="C812" s="68" t="s">
        <v>1278</v>
      </c>
      <c r="D812" s="68">
        <v>1</v>
      </c>
      <c r="E812" s="68">
        <v>0</v>
      </c>
      <c r="F812" s="68">
        <v>0</v>
      </c>
      <c r="G812" s="68">
        <v>205</v>
      </c>
      <c r="H812" s="68" t="s">
        <v>1285</v>
      </c>
      <c r="I812" s="68">
        <v>44</v>
      </c>
      <c r="J812" s="68" t="s">
        <v>1278</v>
      </c>
    </row>
    <row r="813" spans="1:10" ht="12.75" customHeight="1">
      <c r="A813" s="71"/>
      <c r="B813" s="71" t="s">
        <v>1279</v>
      </c>
      <c r="C813" s="68" t="s">
        <v>1278</v>
      </c>
      <c r="D813" s="68">
        <v>1</v>
      </c>
      <c r="E813" s="68">
        <v>0</v>
      </c>
      <c r="F813" s="68">
        <v>0</v>
      </c>
      <c r="G813" s="68">
        <v>115</v>
      </c>
      <c r="H813" s="68" t="s">
        <v>1285</v>
      </c>
      <c r="I813" s="68">
        <v>0</v>
      </c>
      <c r="J813" s="68" t="s">
        <v>1278</v>
      </c>
    </row>
    <row r="814" spans="1:10" ht="12.75" customHeight="1">
      <c r="A814" s="71"/>
      <c r="B814" s="71" t="s">
        <v>1280</v>
      </c>
      <c r="C814" s="68" t="s">
        <v>1278</v>
      </c>
      <c r="D814" s="68">
        <v>0</v>
      </c>
      <c r="E814" s="68">
        <v>0</v>
      </c>
      <c r="F814" s="68">
        <v>0</v>
      </c>
      <c r="G814" s="68">
        <v>90</v>
      </c>
      <c r="H814" s="68" t="s">
        <v>1285</v>
      </c>
      <c r="I814" s="68">
        <v>44</v>
      </c>
      <c r="J814" s="68" t="s">
        <v>1278</v>
      </c>
    </row>
    <row r="815" spans="1:10" ht="12.75" customHeight="1">
      <c r="A815" s="71"/>
      <c r="B815" s="69" t="s">
        <v>1281</v>
      </c>
      <c r="C815" s="68" t="s">
        <v>1278</v>
      </c>
      <c r="D815" s="68">
        <v>33</v>
      </c>
      <c r="E815" s="68">
        <v>0</v>
      </c>
      <c r="F815" s="68" t="s">
        <v>1285</v>
      </c>
      <c r="G815" s="68">
        <v>143</v>
      </c>
      <c r="H815" s="68" t="s">
        <v>1285</v>
      </c>
      <c r="I815" s="68">
        <v>0</v>
      </c>
      <c r="J815" s="68" t="s">
        <v>1278</v>
      </c>
    </row>
    <row r="816" spans="1:10" ht="12.75" customHeight="1">
      <c r="A816" s="71"/>
      <c r="B816" s="71" t="s">
        <v>1283</v>
      </c>
      <c r="C816" s="68" t="s">
        <v>1278</v>
      </c>
      <c r="D816" s="68">
        <v>1</v>
      </c>
      <c r="E816" s="68">
        <v>0</v>
      </c>
      <c r="F816" s="68">
        <v>0</v>
      </c>
      <c r="G816" s="68">
        <v>127</v>
      </c>
      <c r="H816" s="68" t="s">
        <v>1285</v>
      </c>
      <c r="I816" s="68">
        <v>0</v>
      </c>
      <c r="J816" s="68" t="s">
        <v>1278</v>
      </c>
    </row>
    <row r="817" spans="1:10" ht="12.75" customHeight="1">
      <c r="A817" s="71"/>
      <c r="B817" s="71" t="s">
        <v>1284</v>
      </c>
      <c r="C817" s="68" t="s">
        <v>1278</v>
      </c>
      <c r="D817" s="68">
        <v>5</v>
      </c>
      <c r="E817" s="68">
        <v>0</v>
      </c>
      <c r="F817" s="68" t="s">
        <v>1285</v>
      </c>
      <c r="G817" s="68">
        <v>1</v>
      </c>
      <c r="H817" s="68">
        <v>0</v>
      </c>
      <c r="I817" s="68">
        <v>0</v>
      </c>
      <c r="J817" s="68" t="s">
        <v>1278</v>
      </c>
    </row>
    <row r="818" spans="1:10" ht="12.75" customHeight="1">
      <c r="A818" s="71"/>
      <c r="B818" s="71" t="s">
        <v>1286</v>
      </c>
      <c r="C818" s="68" t="s">
        <v>1278</v>
      </c>
      <c r="D818" s="68">
        <v>26</v>
      </c>
      <c r="E818" s="68">
        <v>0</v>
      </c>
      <c r="F818" s="68" t="s">
        <v>1285</v>
      </c>
      <c r="G818" s="68">
        <v>1</v>
      </c>
      <c r="H818" s="68" t="s">
        <v>1285</v>
      </c>
      <c r="I818" s="68">
        <v>0</v>
      </c>
      <c r="J818" s="68" t="s">
        <v>1278</v>
      </c>
    </row>
    <row r="819" spans="1:10" ht="12.75" customHeight="1">
      <c r="A819" s="71"/>
      <c r="B819" s="71" t="s">
        <v>1287</v>
      </c>
      <c r="C819" s="68" t="s">
        <v>1278</v>
      </c>
      <c r="D819" s="68" t="s">
        <v>1299</v>
      </c>
      <c r="E819" s="68" t="s">
        <v>1278</v>
      </c>
      <c r="F819" s="68" t="s">
        <v>1278</v>
      </c>
      <c r="G819" s="68" t="s">
        <v>1278</v>
      </c>
      <c r="H819" s="68" t="s">
        <v>1278</v>
      </c>
      <c r="I819" s="68" t="s">
        <v>1278</v>
      </c>
      <c r="J819" s="68" t="s">
        <v>1278</v>
      </c>
    </row>
    <row r="820" spans="1:10" ht="12.75" customHeight="1">
      <c r="A820" s="71"/>
      <c r="B820" s="71" t="s">
        <v>1288</v>
      </c>
      <c r="C820" s="68" t="s">
        <v>1278</v>
      </c>
      <c r="D820" s="68" t="s">
        <v>1285</v>
      </c>
      <c r="E820" s="68">
        <v>0</v>
      </c>
      <c r="F820" s="68" t="s">
        <v>1285</v>
      </c>
      <c r="G820" s="68">
        <v>14</v>
      </c>
      <c r="H820" s="68">
        <v>0</v>
      </c>
      <c r="I820" s="68">
        <v>0</v>
      </c>
      <c r="J820" s="68" t="s">
        <v>1278</v>
      </c>
    </row>
    <row r="821" spans="1:10" ht="12.75" customHeight="1">
      <c r="A821" s="71"/>
      <c r="B821" s="69" t="s">
        <v>1289</v>
      </c>
      <c r="C821" s="68" t="s">
        <v>1278</v>
      </c>
      <c r="D821" s="68">
        <v>2</v>
      </c>
      <c r="E821" s="68">
        <v>0</v>
      </c>
      <c r="F821" s="68" t="s">
        <v>1285</v>
      </c>
      <c r="G821" s="68">
        <v>11</v>
      </c>
      <c r="H821" s="68" t="s">
        <v>1285</v>
      </c>
      <c r="I821" s="68">
        <v>0</v>
      </c>
      <c r="J821" s="68" t="s">
        <v>1278</v>
      </c>
    </row>
    <row r="822" spans="1:10" ht="12.75" customHeight="1">
      <c r="A822" s="71"/>
      <c r="B822" s="71" t="s">
        <v>1290</v>
      </c>
      <c r="C822" s="68" t="s">
        <v>1278</v>
      </c>
      <c r="D822" s="68">
        <v>1</v>
      </c>
      <c r="E822" s="68">
        <v>0</v>
      </c>
      <c r="F822" s="68" t="s">
        <v>1285</v>
      </c>
      <c r="G822" s="68">
        <v>7</v>
      </c>
      <c r="H822" s="68" t="s">
        <v>1285</v>
      </c>
      <c r="I822" s="68">
        <v>0</v>
      </c>
      <c r="J822" s="68" t="s">
        <v>1278</v>
      </c>
    </row>
    <row r="823" spans="1:10" ht="12.75" customHeight="1">
      <c r="A823" s="71"/>
      <c r="B823" s="71" t="s">
        <v>1291</v>
      </c>
      <c r="C823" s="68" t="s">
        <v>1278</v>
      </c>
      <c r="D823" s="68">
        <v>1</v>
      </c>
      <c r="E823" s="68" t="s">
        <v>1278</v>
      </c>
      <c r="F823" s="68" t="s">
        <v>1278</v>
      </c>
      <c r="G823" s="68" t="s">
        <v>1278</v>
      </c>
      <c r="H823" s="68" t="s">
        <v>1278</v>
      </c>
      <c r="I823" s="68" t="s">
        <v>1278</v>
      </c>
      <c r="J823" s="68" t="s">
        <v>1278</v>
      </c>
    </row>
    <row r="824" spans="1:10" ht="12.75" customHeight="1">
      <c r="A824" s="71"/>
      <c r="B824" s="71" t="s">
        <v>1292</v>
      </c>
      <c r="C824" s="68" t="s">
        <v>1278</v>
      </c>
      <c r="D824" s="68" t="s">
        <v>1285</v>
      </c>
      <c r="E824" s="68">
        <v>0</v>
      </c>
      <c r="F824" s="68" t="s">
        <v>1285</v>
      </c>
      <c r="G824" s="68">
        <v>4</v>
      </c>
      <c r="H824" s="68" t="s">
        <v>1285</v>
      </c>
      <c r="I824" s="68">
        <v>0</v>
      </c>
      <c r="J824" s="68" t="s">
        <v>1278</v>
      </c>
    </row>
    <row r="825" spans="1:10" ht="12.75" customHeight="1">
      <c r="A825" s="71"/>
      <c r="B825" s="71" t="s">
        <v>1293</v>
      </c>
      <c r="C825" s="68" t="s">
        <v>1278</v>
      </c>
      <c r="D825" s="68" t="s">
        <v>1285</v>
      </c>
      <c r="E825" s="68" t="s">
        <v>1278</v>
      </c>
      <c r="F825" s="68" t="s">
        <v>1285</v>
      </c>
      <c r="G825" s="68" t="s">
        <v>1285</v>
      </c>
      <c r="H825" s="68" t="s">
        <v>1285</v>
      </c>
      <c r="I825" s="68" t="s">
        <v>1278</v>
      </c>
      <c r="J825" s="68" t="s">
        <v>1278</v>
      </c>
    </row>
    <row r="826" spans="1:10" ht="12.75" customHeight="1">
      <c r="A826" s="71"/>
      <c r="B826" s="71" t="s">
        <v>1294</v>
      </c>
      <c r="C826" s="68" t="s">
        <v>1278</v>
      </c>
      <c r="D826" s="68" t="s">
        <v>1278</v>
      </c>
      <c r="E826" s="68">
        <v>0</v>
      </c>
      <c r="F826" s="68" t="s">
        <v>1285</v>
      </c>
      <c r="G826" s="68" t="s">
        <v>1285</v>
      </c>
      <c r="H826" s="68">
        <v>0</v>
      </c>
      <c r="I826" s="68">
        <v>0</v>
      </c>
      <c r="J826" s="68" t="s">
        <v>1278</v>
      </c>
    </row>
    <row r="827" spans="1:10" ht="12.75" customHeight="1">
      <c r="A827" s="71"/>
      <c r="B827" s="71" t="s">
        <v>1295</v>
      </c>
      <c r="C827" s="68" t="s">
        <v>1278</v>
      </c>
      <c r="D827" s="68" t="s">
        <v>1285</v>
      </c>
      <c r="E827" s="68">
        <v>0</v>
      </c>
      <c r="F827" s="68" t="s">
        <v>1285</v>
      </c>
      <c r="G827" s="68" t="s">
        <v>1285</v>
      </c>
      <c r="H827" s="68" t="s">
        <v>1285</v>
      </c>
      <c r="I827" s="68">
        <v>0</v>
      </c>
      <c r="J827" s="68" t="s">
        <v>1278</v>
      </c>
    </row>
    <row r="828" spans="1:10" ht="12.75" customHeight="1">
      <c r="A828" s="71"/>
      <c r="B828" s="69" t="s">
        <v>1296</v>
      </c>
      <c r="C828" s="68">
        <v>13</v>
      </c>
      <c r="D828" s="68">
        <v>0</v>
      </c>
      <c r="E828" s="68">
        <v>0</v>
      </c>
      <c r="F828" s="68">
        <v>0</v>
      </c>
      <c r="G828" s="68">
        <v>0</v>
      </c>
      <c r="H828" s="68" t="s">
        <v>1285</v>
      </c>
      <c r="I828" s="68">
        <v>0</v>
      </c>
      <c r="J828" s="68">
        <v>13</v>
      </c>
    </row>
    <row r="829" spans="1:10" ht="12.75" customHeight="1">
      <c r="A829" s="71"/>
      <c r="B829" s="69"/>
      <c r="C829" s="68"/>
      <c r="D829" s="68"/>
      <c r="E829" s="68"/>
      <c r="F829" s="68"/>
      <c r="G829" s="68"/>
      <c r="H829" s="68"/>
      <c r="I829" s="68"/>
      <c r="J829" s="68"/>
    </row>
    <row r="830" spans="1:10" s="73" customFormat="1" ht="12.75" customHeight="1">
      <c r="A830" s="69" t="s">
        <v>1370</v>
      </c>
      <c r="B830" s="69" t="s">
        <v>1371</v>
      </c>
      <c r="C830" s="74"/>
      <c r="D830" s="74"/>
      <c r="E830" s="74"/>
      <c r="F830" s="74"/>
      <c r="G830" s="74"/>
      <c r="H830" s="74"/>
      <c r="I830" s="74"/>
      <c r="J830" s="74"/>
    </row>
    <row r="831" spans="1:10" ht="12.75" customHeight="1">
      <c r="A831" s="71"/>
      <c r="B831" s="71"/>
      <c r="C831" s="68"/>
      <c r="D831" s="68"/>
      <c r="E831" s="68"/>
      <c r="F831" s="68"/>
      <c r="G831" s="68"/>
      <c r="H831" s="68"/>
      <c r="I831" s="68"/>
      <c r="J831" s="68"/>
    </row>
    <row r="832" spans="1:10" ht="12.75" customHeight="1">
      <c r="A832" s="71"/>
      <c r="B832" s="71"/>
      <c r="C832" s="68"/>
      <c r="D832" s="68"/>
      <c r="E832" s="68"/>
      <c r="F832" s="68"/>
      <c r="G832" s="68"/>
      <c r="H832" s="68"/>
      <c r="I832" s="68"/>
      <c r="J832" s="68"/>
    </row>
    <row r="833" spans="1:10" ht="12.75" customHeight="1">
      <c r="A833" s="71"/>
      <c r="B833" s="69" t="s">
        <v>1276</v>
      </c>
      <c r="C833" s="68">
        <v>88</v>
      </c>
      <c r="D833" s="68">
        <v>11</v>
      </c>
      <c r="E833" s="68">
        <v>0</v>
      </c>
      <c r="F833" s="68" t="s">
        <v>1285</v>
      </c>
      <c r="G833" s="68">
        <v>51</v>
      </c>
      <c r="H833" s="68" t="s">
        <v>1285</v>
      </c>
      <c r="I833" s="68">
        <v>0</v>
      </c>
      <c r="J833" s="68">
        <v>26</v>
      </c>
    </row>
    <row r="834" spans="1:10" ht="12.75" customHeight="1">
      <c r="A834" s="71"/>
      <c r="B834" s="69" t="s">
        <v>1277</v>
      </c>
      <c r="C834" s="68" t="s">
        <v>1278</v>
      </c>
      <c r="D834" s="68" t="s">
        <v>1285</v>
      </c>
      <c r="E834" s="68">
        <v>0</v>
      </c>
      <c r="F834" s="68" t="s">
        <v>1285</v>
      </c>
      <c r="G834" s="68">
        <v>23</v>
      </c>
      <c r="H834" s="68" t="s">
        <v>1285</v>
      </c>
      <c r="I834" s="68">
        <v>0</v>
      </c>
      <c r="J834" s="68" t="s">
        <v>1278</v>
      </c>
    </row>
    <row r="835" spans="1:10" ht="12.75" customHeight="1">
      <c r="A835" s="71"/>
      <c r="B835" s="71" t="s">
        <v>1279</v>
      </c>
      <c r="C835" s="68" t="s">
        <v>1278</v>
      </c>
      <c r="D835" s="68" t="s">
        <v>1285</v>
      </c>
      <c r="E835" s="68">
        <v>0</v>
      </c>
      <c r="F835" s="68" t="s">
        <v>1285</v>
      </c>
      <c r="G835" s="68">
        <v>11</v>
      </c>
      <c r="H835" s="68" t="s">
        <v>1285</v>
      </c>
      <c r="I835" s="68">
        <v>0</v>
      </c>
      <c r="J835" s="68" t="s">
        <v>1278</v>
      </c>
    </row>
    <row r="836" spans="1:10" ht="12.75" customHeight="1">
      <c r="A836" s="71"/>
      <c r="B836" s="71" t="s">
        <v>1280</v>
      </c>
      <c r="C836" s="68" t="s">
        <v>1278</v>
      </c>
      <c r="D836" s="68">
        <v>0</v>
      </c>
      <c r="E836" s="68">
        <v>0</v>
      </c>
      <c r="F836" s="68" t="s">
        <v>1285</v>
      </c>
      <c r="G836" s="68">
        <v>12</v>
      </c>
      <c r="H836" s="68">
        <v>0</v>
      </c>
      <c r="I836" s="68">
        <v>0</v>
      </c>
      <c r="J836" s="68" t="s">
        <v>1278</v>
      </c>
    </row>
    <row r="837" spans="1:10" ht="12.75" customHeight="1">
      <c r="A837" s="71"/>
      <c r="B837" s="69" t="s">
        <v>1281</v>
      </c>
      <c r="C837" s="68" t="s">
        <v>1278</v>
      </c>
      <c r="D837" s="68">
        <v>9</v>
      </c>
      <c r="E837" s="68">
        <v>0</v>
      </c>
      <c r="F837" s="68" t="s">
        <v>1285</v>
      </c>
      <c r="G837" s="68">
        <v>27</v>
      </c>
      <c r="H837" s="68" t="s">
        <v>1285</v>
      </c>
      <c r="I837" s="68">
        <v>0</v>
      </c>
      <c r="J837" s="68" t="s">
        <v>1278</v>
      </c>
    </row>
    <row r="838" spans="1:10" ht="12.75" customHeight="1">
      <c r="A838" s="71"/>
      <c r="B838" s="71" t="s">
        <v>1283</v>
      </c>
      <c r="C838" s="68" t="s">
        <v>1278</v>
      </c>
      <c r="D838" s="68">
        <v>1</v>
      </c>
      <c r="E838" s="68">
        <v>0</v>
      </c>
      <c r="F838" s="68" t="s">
        <v>1285</v>
      </c>
      <c r="G838" s="68">
        <v>19</v>
      </c>
      <c r="H838" s="68" t="s">
        <v>1285</v>
      </c>
      <c r="I838" s="68">
        <v>0</v>
      </c>
      <c r="J838" s="68" t="s">
        <v>1278</v>
      </c>
    </row>
    <row r="839" spans="1:10" ht="12.75" customHeight="1">
      <c r="A839" s="71"/>
      <c r="B839" s="71" t="s">
        <v>1284</v>
      </c>
      <c r="C839" s="68" t="s">
        <v>1278</v>
      </c>
      <c r="D839" s="68">
        <v>2</v>
      </c>
      <c r="E839" s="68">
        <v>0</v>
      </c>
      <c r="F839" s="68">
        <v>0</v>
      </c>
      <c r="G839" s="68" t="s">
        <v>1285</v>
      </c>
      <c r="H839" s="68">
        <v>0</v>
      </c>
      <c r="I839" s="68">
        <v>0</v>
      </c>
      <c r="J839" s="68" t="s">
        <v>1278</v>
      </c>
    </row>
    <row r="840" spans="1:10" ht="12.75" customHeight="1">
      <c r="A840" s="71"/>
      <c r="B840" s="71" t="s">
        <v>1286</v>
      </c>
      <c r="C840" s="68" t="s">
        <v>1278</v>
      </c>
      <c r="D840" s="68">
        <v>5</v>
      </c>
      <c r="E840" s="68">
        <v>0</v>
      </c>
      <c r="F840" s="68" t="s">
        <v>1285</v>
      </c>
      <c r="G840" s="68">
        <v>0</v>
      </c>
      <c r="H840" s="68" t="s">
        <v>1285</v>
      </c>
      <c r="I840" s="68">
        <v>0</v>
      </c>
      <c r="J840" s="68" t="s">
        <v>1278</v>
      </c>
    </row>
    <row r="841" spans="1:10" ht="12.75" customHeight="1">
      <c r="A841" s="71"/>
      <c r="B841" s="71" t="s">
        <v>1287</v>
      </c>
      <c r="C841" s="68" t="s">
        <v>1278</v>
      </c>
      <c r="D841" s="68">
        <v>1</v>
      </c>
      <c r="E841" s="68" t="s">
        <v>1278</v>
      </c>
      <c r="F841" s="68" t="s">
        <v>1278</v>
      </c>
      <c r="G841" s="68" t="s">
        <v>1278</v>
      </c>
      <c r="H841" s="68" t="s">
        <v>1278</v>
      </c>
      <c r="I841" s="68" t="s">
        <v>1278</v>
      </c>
      <c r="J841" s="68" t="s">
        <v>1278</v>
      </c>
    </row>
    <row r="842" spans="1:10" ht="12.75" customHeight="1">
      <c r="A842" s="71"/>
      <c r="B842" s="71" t="s">
        <v>1288</v>
      </c>
      <c r="C842" s="68" t="s">
        <v>1278</v>
      </c>
      <c r="D842" s="68" t="s">
        <v>1285</v>
      </c>
      <c r="E842" s="68">
        <v>0</v>
      </c>
      <c r="F842" s="68">
        <v>0</v>
      </c>
      <c r="G842" s="68">
        <v>8</v>
      </c>
      <c r="H842" s="68">
        <v>0</v>
      </c>
      <c r="I842" s="68">
        <v>0</v>
      </c>
      <c r="J842" s="68" t="s">
        <v>1278</v>
      </c>
    </row>
    <row r="843" spans="1:10" ht="12.75" customHeight="1">
      <c r="A843" s="71"/>
      <c r="B843" s="69" t="s">
        <v>1289</v>
      </c>
      <c r="C843" s="68" t="s">
        <v>1278</v>
      </c>
      <c r="D843" s="68">
        <v>2</v>
      </c>
      <c r="E843" s="68">
        <v>0</v>
      </c>
      <c r="F843" s="68" t="s">
        <v>1285</v>
      </c>
      <c r="G843" s="68" t="s">
        <v>1285</v>
      </c>
      <c r="H843" s="68" t="s">
        <v>1285</v>
      </c>
      <c r="I843" s="68">
        <v>0</v>
      </c>
      <c r="J843" s="68" t="s">
        <v>1278</v>
      </c>
    </row>
    <row r="844" spans="1:10" ht="12.75" customHeight="1">
      <c r="A844" s="71"/>
      <c r="B844" s="71" t="s">
        <v>1290</v>
      </c>
      <c r="C844" s="68" t="s">
        <v>1278</v>
      </c>
      <c r="D844" s="68">
        <v>1</v>
      </c>
      <c r="E844" s="68">
        <v>0</v>
      </c>
      <c r="F844" s="68" t="s">
        <v>1285</v>
      </c>
      <c r="G844" s="68" t="s">
        <v>1285</v>
      </c>
      <c r="H844" s="68" t="s">
        <v>1285</v>
      </c>
      <c r="I844" s="68">
        <v>0</v>
      </c>
      <c r="J844" s="68" t="s">
        <v>1278</v>
      </c>
    </row>
    <row r="845" spans="1:10" ht="12.75" customHeight="1">
      <c r="A845" s="71"/>
      <c r="B845" s="71" t="s">
        <v>1291</v>
      </c>
      <c r="C845" s="68" t="s">
        <v>1278</v>
      </c>
      <c r="D845" s="68">
        <v>1</v>
      </c>
      <c r="E845" s="68" t="s">
        <v>1278</v>
      </c>
      <c r="F845" s="68" t="s">
        <v>1278</v>
      </c>
      <c r="G845" s="68" t="s">
        <v>1278</v>
      </c>
      <c r="H845" s="68" t="s">
        <v>1278</v>
      </c>
      <c r="I845" s="68" t="s">
        <v>1278</v>
      </c>
      <c r="J845" s="68" t="s">
        <v>1278</v>
      </c>
    </row>
    <row r="846" spans="1:10" ht="12.75" customHeight="1">
      <c r="A846" s="71"/>
      <c r="B846" s="71" t="s">
        <v>1292</v>
      </c>
      <c r="C846" s="68" t="s">
        <v>1278</v>
      </c>
      <c r="D846" s="68" t="s">
        <v>1285</v>
      </c>
      <c r="E846" s="68">
        <v>0</v>
      </c>
      <c r="F846" s="68">
        <v>0</v>
      </c>
      <c r="G846" s="68" t="s">
        <v>1285</v>
      </c>
      <c r="H846" s="68" t="s">
        <v>1285</v>
      </c>
      <c r="I846" s="68">
        <v>0</v>
      </c>
      <c r="J846" s="68" t="s">
        <v>1278</v>
      </c>
    </row>
    <row r="847" spans="1:10" ht="12.75" customHeight="1">
      <c r="A847" s="71"/>
      <c r="B847" s="71" t="s">
        <v>1293</v>
      </c>
      <c r="C847" s="68" t="s">
        <v>1278</v>
      </c>
      <c r="D847" s="68" t="s">
        <v>1285</v>
      </c>
      <c r="E847" s="68" t="s">
        <v>1278</v>
      </c>
      <c r="F847" s="68" t="s">
        <v>1285</v>
      </c>
      <c r="G847" s="68" t="s">
        <v>1285</v>
      </c>
      <c r="H847" s="68" t="s">
        <v>1285</v>
      </c>
      <c r="I847" s="68" t="s">
        <v>1278</v>
      </c>
      <c r="J847" s="68" t="s">
        <v>1278</v>
      </c>
    </row>
    <row r="848" spans="1:10" ht="12.75" customHeight="1">
      <c r="A848" s="71"/>
      <c r="B848" s="71" t="s">
        <v>1294</v>
      </c>
      <c r="C848" s="68" t="s">
        <v>1278</v>
      </c>
      <c r="D848" s="68" t="s">
        <v>1278</v>
      </c>
      <c r="E848" s="68">
        <v>0</v>
      </c>
      <c r="F848" s="68" t="s">
        <v>1285</v>
      </c>
      <c r="G848" s="68">
        <v>0</v>
      </c>
      <c r="H848" s="68">
        <v>0</v>
      </c>
      <c r="I848" s="68">
        <v>0</v>
      </c>
      <c r="J848" s="68" t="s">
        <v>1278</v>
      </c>
    </row>
    <row r="849" spans="1:10" ht="12.75" customHeight="1">
      <c r="A849" s="71"/>
      <c r="B849" s="71" t="s">
        <v>1295</v>
      </c>
      <c r="C849" s="68" t="s">
        <v>1278</v>
      </c>
      <c r="D849" s="68" t="s">
        <v>1285</v>
      </c>
      <c r="E849" s="68">
        <v>0</v>
      </c>
      <c r="F849" s="68" t="s">
        <v>1285</v>
      </c>
      <c r="G849" s="68">
        <v>0</v>
      </c>
      <c r="H849" s="68">
        <v>0</v>
      </c>
      <c r="I849" s="68">
        <v>0</v>
      </c>
      <c r="J849" s="68" t="s">
        <v>1278</v>
      </c>
    </row>
    <row r="850" spans="1:10" ht="12.75" customHeight="1">
      <c r="A850" s="71"/>
      <c r="B850" s="69" t="s">
        <v>1296</v>
      </c>
      <c r="C850" s="68">
        <v>28</v>
      </c>
      <c r="D850" s="68" t="s">
        <v>1285</v>
      </c>
      <c r="E850" s="68">
        <v>0</v>
      </c>
      <c r="F850" s="68">
        <v>0</v>
      </c>
      <c r="G850" s="68">
        <v>2</v>
      </c>
      <c r="H850" s="68" t="s">
        <v>1285</v>
      </c>
      <c r="I850" s="68">
        <v>0</v>
      </c>
      <c r="J850" s="68">
        <v>26</v>
      </c>
    </row>
    <row r="851" spans="1:10" ht="12.75" customHeight="1">
      <c r="A851" s="71"/>
      <c r="B851" s="69"/>
      <c r="C851" s="68"/>
      <c r="D851" s="68"/>
      <c r="E851" s="68"/>
      <c r="F851" s="68"/>
      <c r="G851" s="68"/>
      <c r="H851" s="68"/>
      <c r="I851" s="68"/>
      <c r="J851" s="68"/>
    </row>
    <row r="852" spans="1:10" s="73" customFormat="1" ht="12.75" customHeight="1">
      <c r="A852" s="69" t="s">
        <v>1372</v>
      </c>
      <c r="B852" s="69" t="s">
        <v>1373</v>
      </c>
      <c r="C852" s="74"/>
      <c r="D852" s="74"/>
      <c r="E852" s="74"/>
      <c r="F852" s="74"/>
      <c r="G852" s="74"/>
      <c r="H852" s="74"/>
      <c r="I852" s="74"/>
      <c r="J852" s="74"/>
    </row>
    <row r="853" spans="1:10" ht="12.75" customHeight="1">
      <c r="A853" s="71"/>
      <c r="B853" s="71"/>
      <c r="C853" s="68"/>
      <c r="D853" s="68"/>
      <c r="E853" s="68"/>
      <c r="F853" s="68"/>
      <c r="G853" s="68"/>
      <c r="H853" s="68"/>
      <c r="I853" s="68"/>
      <c r="J853" s="68"/>
    </row>
    <row r="854" spans="1:10" ht="12.75" customHeight="1">
      <c r="A854" s="71"/>
      <c r="B854" s="71"/>
      <c r="C854" s="68"/>
      <c r="D854" s="68"/>
      <c r="E854" s="68"/>
      <c r="F854" s="68"/>
      <c r="G854" s="68"/>
      <c r="H854" s="68"/>
      <c r="I854" s="68"/>
      <c r="J854" s="68"/>
    </row>
    <row r="855" spans="1:10" ht="12.75" customHeight="1">
      <c r="A855" s="71"/>
      <c r="B855" s="69" t="s">
        <v>1276</v>
      </c>
      <c r="C855" s="68">
        <v>742</v>
      </c>
      <c r="D855" s="68">
        <v>65</v>
      </c>
      <c r="E855" s="68">
        <v>2</v>
      </c>
      <c r="F855" s="68">
        <v>1</v>
      </c>
      <c r="G855" s="68">
        <v>401</v>
      </c>
      <c r="H855" s="68" t="s">
        <v>1285</v>
      </c>
      <c r="I855" s="68">
        <v>30</v>
      </c>
      <c r="J855" s="68">
        <v>243</v>
      </c>
    </row>
    <row r="856" spans="1:10" ht="12.75" customHeight="1">
      <c r="A856" s="71"/>
      <c r="B856" s="69" t="s">
        <v>1277</v>
      </c>
      <c r="C856" s="68" t="s">
        <v>1278</v>
      </c>
      <c r="D856" s="68">
        <v>1</v>
      </c>
      <c r="E856" s="68">
        <v>2</v>
      </c>
      <c r="F856" s="68" t="s">
        <v>1285</v>
      </c>
      <c r="G856" s="68">
        <v>214</v>
      </c>
      <c r="H856" s="68" t="s">
        <v>1285</v>
      </c>
      <c r="I856" s="68">
        <v>22</v>
      </c>
      <c r="J856" s="68" t="s">
        <v>1278</v>
      </c>
    </row>
    <row r="857" spans="1:10" ht="12.75" customHeight="1">
      <c r="A857" s="71"/>
      <c r="B857" s="71" t="s">
        <v>1279</v>
      </c>
      <c r="C857" s="68" t="s">
        <v>1278</v>
      </c>
      <c r="D857" s="68">
        <v>1</v>
      </c>
      <c r="E857" s="68">
        <v>2</v>
      </c>
      <c r="F857" s="68" t="s">
        <v>1285</v>
      </c>
      <c r="G857" s="68">
        <v>72</v>
      </c>
      <c r="H857" s="68" t="s">
        <v>1285</v>
      </c>
      <c r="I857" s="68">
        <v>1</v>
      </c>
      <c r="J857" s="68" t="s">
        <v>1278</v>
      </c>
    </row>
    <row r="858" spans="1:10" ht="12.75" customHeight="1">
      <c r="A858" s="71"/>
      <c r="B858" s="71" t="s">
        <v>1280</v>
      </c>
      <c r="C858" s="68" t="s">
        <v>1278</v>
      </c>
      <c r="D858" s="68">
        <v>0</v>
      </c>
      <c r="E858" s="68" t="s">
        <v>1285</v>
      </c>
      <c r="F858" s="68" t="s">
        <v>1285</v>
      </c>
      <c r="G858" s="68">
        <v>142</v>
      </c>
      <c r="H858" s="68" t="s">
        <v>1285</v>
      </c>
      <c r="I858" s="68">
        <v>21</v>
      </c>
      <c r="J858" s="68" t="s">
        <v>1278</v>
      </c>
    </row>
    <row r="859" spans="1:10" ht="12.75" customHeight="1">
      <c r="A859" s="71"/>
      <c r="B859" s="69" t="s">
        <v>1281</v>
      </c>
      <c r="C859" s="68" t="s">
        <v>1278</v>
      </c>
      <c r="D859" s="68">
        <v>53</v>
      </c>
      <c r="E859" s="68">
        <v>0</v>
      </c>
      <c r="F859" s="68" t="s">
        <v>1285</v>
      </c>
      <c r="G859" s="68">
        <v>169</v>
      </c>
      <c r="H859" s="68" t="s">
        <v>1285</v>
      </c>
      <c r="I859" s="68">
        <v>8</v>
      </c>
      <c r="J859" s="68" t="s">
        <v>1278</v>
      </c>
    </row>
    <row r="860" spans="1:10" ht="12.75" customHeight="1">
      <c r="A860" s="71"/>
      <c r="B860" s="71" t="s">
        <v>1283</v>
      </c>
      <c r="C860" s="68" t="s">
        <v>1278</v>
      </c>
      <c r="D860" s="68">
        <v>1</v>
      </c>
      <c r="E860" s="68">
        <v>0</v>
      </c>
      <c r="F860" s="68" t="s">
        <v>1285</v>
      </c>
      <c r="G860" s="68">
        <v>120</v>
      </c>
      <c r="H860" s="68" t="s">
        <v>1285</v>
      </c>
      <c r="I860" s="68" t="s">
        <v>1285</v>
      </c>
      <c r="J860" s="68" t="s">
        <v>1278</v>
      </c>
    </row>
    <row r="861" spans="1:10" ht="12.75" customHeight="1">
      <c r="A861" s="71"/>
      <c r="B861" s="71" t="s">
        <v>1284</v>
      </c>
      <c r="C861" s="68" t="s">
        <v>1278</v>
      </c>
      <c r="D861" s="68">
        <v>8</v>
      </c>
      <c r="E861" s="68">
        <v>0</v>
      </c>
      <c r="F861" s="68" t="s">
        <v>1285</v>
      </c>
      <c r="G861" s="68">
        <v>1</v>
      </c>
      <c r="H861" s="68" t="s">
        <v>1285</v>
      </c>
      <c r="I861" s="68">
        <v>0</v>
      </c>
      <c r="J861" s="68" t="s">
        <v>1278</v>
      </c>
    </row>
    <row r="862" spans="1:10" ht="12.75" customHeight="1">
      <c r="A862" s="71"/>
      <c r="B862" s="71" t="s">
        <v>1286</v>
      </c>
      <c r="C862" s="68" t="s">
        <v>1278</v>
      </c>
      <c r="D862" s="68">
        <v>41</v>
      </c>
      <c r="E862" s="68">
        <v>0</v>
      </c>
      <c r="F862" s="68" t="s">
        <v>1285</v>
      </c>
      <c r="G862" s="68">
        <v>11</v>
      </c>
      <c r="H862" s="68" t="s">
        <v>1285</v>
      </c>
      <c r="I862" s="68">
        <v>0</v>
      </c>
      <c r="J862" s="68" t="s">
        <v>1278</v>
      </c>
    </row>
    <row r="863" spans="1:10" ht="12.75" customHeight="1">
      <c r="A863" s="71"/>
      <c r="B863" s="71" t="s">
        <v>1287</v>
      </c>
      <c r="C863" s="68" t="s">
        <v>1278</v>
      </c>
      <c r="D863" s="68">
        <v>1</v>
      </c>
      <c r="E863" s="68" t="s">
        <v>1278</v>
      </c>
      <c r="F863" s="68" t="s">
        <v>1278</v>
      </c>
      <c r="G863" s="68" t="s">
        <v>1278</v>
      </c>
      <c r="H863" s="68" t="s">
        <v>1278</v>
      </c>
      <c r="I863" s="68" t="s">
        <v>1278</v>
      </c>
      <c r="J863" s="68" t="s">
        <v>1278</v>
      </c>
    </row>
    <row r="864" spans="1:10" ht="12.75" customHeight="1">
      <c r="A864" s="71"/>
      <c r="B864" s="71" t="s">
        <v>1288</v>
      </c>
      <c r="C864" s="68" t="s">
        <v>1278</v>
      </c>
      <c r="D864" s="68">
        <v>1</v>
      </c>
      <c r="E864" s="68">
        <v>0</v>
      </c>
      <c r="F864" s="68" t="s">
        <v>1285</v>
      </c>
      <c r="G864" s="68">
        <v>36</v>
      </c>
      <c r="H864" s="68" t="s">
        <v>1285</v>
      </c>
      <c r="I864" s="68">
        <v>8</v>
      </c>
      <c r="J864" s="68" t="s">
        <v>1278</v>
      </c>
    </row>
    <row r="865" spans="1:10" ht="12.75" customHeight="1">
      <c r="A865" s="71"/>
      <c r="B865" s="69" t="s">
        <v>1289</v>
      </c>
      <c r="C865" s="68" t="s">
        <v>1278</v>
      </c>
      <c r="D865" s="68">
        <v>8</v>
      </c>
      <c r="E865" s="68">
        <v>0</v>
      </c>
      <c r="F865" s="68">
        <v>1</v>
      </c>
      <c r="G865" s="68">
        <v>6</v>
      </c>
      <c r="H865" s="68" t="s">
        <v>1285</v>
      </c>
      <c r="I865" s="68">
        <v>0</v>
      </c>
      <c r="J865" s="68" t="s">
        <v>1278</v>
      </c>
    </row>
    <row r="866" spans="1:10" ht="12.75" customHeight="1">
      <c r="A866" s="71"/>
      <c r="B866" s="71" t="s">
        <v>1290</v>
      </c>
      <c r="C866" s="68" t="s">
        <v>1278</v>
      </c>
      <c r="D866" s="68">
        <v>4</v>
      </c>
      <c r="E866" s="68">
        <v>0</v>
      </c>
      <c r="F866" s="68">
        <v>0</v>
      </c>
      <c r="G866" s="68">
        <v>3</v>
      </c>
      <c r="H866" s="68" t="s">
        <v>1285</v>
      </c>
      <c r="I866" s="68">
        <v>0</v>
      </c>
      <c r="J866" s="68" t="s">
        <v>1278</v>
      </c>
    </row>
    <row r="867" spans="1:10" ht="12.75" customHeight="1">
      <c r="A867" s="71"/>
      <c r="B867" s="71" t="s">
        <v>1291</v>
      </c>
      <c r="C867" s="68" t="s">
        <v>1278</v>
      </c>
      <c r="D867" s="68">
        <v>3</v>
      </c>
      <c r="E867" s="68" t="s">
        <v>1278</v>
      </c>
      <c r="F867" s="68" t="s">
        <v>1278</v>
      </c>
      <c r="G867" s="68" t="s">
        <v>1278</v>
      </c>
      <c r="H867" s="68" t="s">
        <v>1278</v>
      </c>
      <c r="I867" s="68" t="s">
        <v>1278</v>
      </c>
      <c r="J867" s="68" t="s">
        <v>1278</v>
      </c>
    </row>
    <row r="868" spans="1:10" ht="12.75" customHeight="1">
      <c r="A868" s="71"/>
      <c r="B868" s="71" t="s">
        <v>1292</v>
      </c>
      <c r="C868" s="68" t="s">
        <v>1278</v>
      </c>
      <c r="D868" s="68">
        <v>1</v>
      </c>
      <c r="E868" s="68">
        <v>0</v>
      </c>
      <c r="F868" s="68" t="s">
        <v>1285</v>
      </c>
      <c r="G868" s="68">
        <v>2</v>
      </c>
      <c r="H868" s="68" t="s">
        <v>1285</v>
      </c>
      <c r="I868" s="68">
        <v>0</v>
      </c>
      <c r="J868" s="68" t="s">
        <v>1278</v>
      </c>
    </row>
    <row r="869" spans="1:10" ht="12.75" customHeight="1">
      <c r="A869" s="71"/>
      <c r="B869" s="71" t="s">
        <v>1293</v>
      </c>
      <c r="C869" s="68" t="s">
        <v>1278</v>
      </c>
      <c r="D869" s="68" t="s">
        <v>1285</v>
      </c>
      <c r="E869" s="68" t="s">
        <v>1278</v>
      </c>
      <c r="F869" s="68">
        <v>1</v>
      </c>
      <c r="G869" s="68" t="s">
        <v>1285</v>
      </c>
      <c r="H869" s="68" t="s">
        <v>1285</v>
      </c>
      <c r="I869" s="68" t="s">
        <v>1278</v>
      </c>
      <c r="J869" s="68" t="s">
        <v>1278</v>
      </c>
    </row>
    <row r="870" spans="1:10" ht="12.75" customHeight="1">
      <c r="A870" s="71"/>
      <c r="B870" s="71" t="s">
        <v>1294</v>
      </c>
      <c r="C870" s="68" t="s">
        <v>1278</v>
      </c>
      <c r="D870" s="68" t="s">
        <v>1278</v>
      </c>
      <c r="E870" s="68">
        <v>0</v>
      </c>
      <c r="F870" s="68" t="s">
        <v>1285</v>
      </c>
      <c r="G870" s="68" t="s">
        <v>1285</v>
      </c>
      <c r="H870" s="68" t="s">
        <v>1285</v>
      </c>
      <c r="I870" s="68">
        <v>0</v>
      </c>
      <c r="J870" s="68" t="s">
        <v>1278</v>
      </c>
    </row>
    <row r="871" spans="1:10" ht="12.75" customHeight="1">
      <c r="A871" s="71"/>
      <c r="B871" s="71" t="s">
        <v>1295</v>
      </c>
      <c r="C871" s="68" t="s">
        <v>1278</v>
      </c>
      <c r="D871" s="68" t="s">
        <v>1285</v>
      </c>
      <c r="E871" s="68">
        <v>0</v>
      </c>
      <c r="F871" s="68" t="s">
        <v>1285</v>
      </c>
      <c r="G871" s="68" t="s">
        <v>1285</v>
      </c>
      <c r="H871" s="68" t="s">
        <v>1285</v>
      </c>
      <c r="I871" s="68">
        <v>0</v>
      </c>
      <c r="J871" s="68" t="s">
        <v>1278</v>
      </c>
    </row>
    <row r="872" spans="1:10" ht="12.75" customHeight="1">
      <c r="A872" s="71"/>
      <c r="B872" s="69" t="s">
        <v>1296</v>
      </c>
      <c r="C872" s="68">
        <v>258</v>
      </c>
      <c r="D872" s="68">
        <v>3</v>
      </c>
      <c r="E872" s="68">
        <v>0</v>
      </c>
      <c r="F872" s="68">
        <v>0</v>
      </c>
      <c r="G872" s="68">
        <v>12</v>
      </c>
      <c r="H872" s="68" t="s">
        <v>1285</v>
      </c>
      <c r="I872" s="68">
        <v>0</v>
      </c>
      <c r="J872" s="68">
        <v>243</v>
      </c>
    </row>
    <row r="873" spans="1:10" ht="12.75" customHeight="1">
      <c r="A873" s="71"/>
      <c r="B873" s="69"/>
      <c r="C873" s="68"/>
      <c r="D873" s="68"/>
      <c r="E873" s="68"/>
      <c r="F873" s="68"/>
      <c r="G873" s="68"/>
      <c r="H873" s="68"/>
      <c r="I873" s="68"/>
      <c r="J873" s="68"/>
    </row>
    <row r="874" spans="1:10" s="73" customFormat="1" ht="12.75" customHeight="1">
      <c r="A874" s="69" t="s">
        <v>1374</v>
      </c>
      <c r="B874" s="69" t="s">
        <v>1375</v>
      </c>
      <c r="C874" s="74"/>
      <c r="D874" s="74"/>
      <c r="E874" s="74"/>
      <c r="F874" s="74"/>
      <c r="G874" s="74"/>
      <c r="H874" s="74"/>
      <c r="I874" s="74"/>
      <c r="J874" s="74"/>
    </row>
    <row r="875" spans="1:10" ht="12.75" customHeight="1">
      <c r="A875" s="71"/>
      <c r="B875" s="71"/>
      <c r="C875" s="68"/>
      <c r="D875" s="68"/>
      <c r="E875" s="68"/>
      <c r="F875" s="68"/>
      <c r="G875" s="68"/>
      <c r="H875" s="68"/>
      <c r="I875" s="68"/>
      <c r="J875" s="68"/>
    </row>
    <row r="876" spans="1:10" ht="12.75" customHeight="1">
      <c r="A876" s="71"/>
      <c r="B876" s="71"/>
      <c r="C876" s="68"/>
      <c r="D876" s="68"/>
      <c r="E876" s="68"/>
      <c r="F876" s="68"/>
      <c r="G876" s="68"/>
      <c r="H876" s="68"/>
      <c r="I876" s="68"/>
      <c r="J876" s="68"/>
    </row>
    <row r="877" spans="1:10" ht="12.75" customHeight="1">
      <c r="A877" s="71"/>
      <c r="B877" s="69" t="s">
        <v>1276</v>
      </c>
      <c r="C877" s="68">
        <v>668</v>
      </c>
      <c r="D877" s="68">
        <v>58</v>
      </c>
      <c r="E877" s="68">
        <v>0</v>
      </c>
      <c r="F877" s="68" t="s">
        <v>1282</v>
      </c>
      <c r="G877" s="68">
        <v>418</v>
      </c>
      <c r="H877" s="68" t="s">
        <v>1282</v>
      </c>
      <c r="I877" s="68" t="s">
        <v>1282</v>
      </c>
      <c r="J877" s="68">
        <v>186</v>
      </c>
    </row>
    <row r="878" spans="1:10" ht="12.75" customHeight="1">
      <c r="A878" s="71"/>
      <c r="B878" s="69" t="s">
        <v>1277</v>
      </c>
      <c r="C878" s="68" t="s">
        <v>1278</v>
      </c>
      <c r="D878" s="68" t="s">
        <v>1285</v>
      </c>
      <c r="E878" s="68">
        <v>0</v>
      </c>
      <c r="F878" s="68" t="s">
        <v>1285</v>
      </c>
      <c r="G878" s="68">
        <v>283</v>
      </c>
      <c r="H878" s="68" t="s">
        <v>1299</v>
      </c>
      <c r="I878" s="68">
        <v>0</v>
      </c>
      <c r="J878" s="68" t="s">
        <v>1278</v>
      </c>
    </row>
    <row r="879" spans="1:10" ht="12.75" customHeight="1">
      <c r="A879" s="71"/>
      <c r="B879" s="71" t="s">
        <v>1279</v>
      </c>
      <c r="C879" s="68" t="s">
        <v>1278</v>
      </c>
      <c r="D879" s="68" t="s">
        <v>1285</v>
      </c>
      <c r="E879" s="68">
        <v>0</v>
      </c>
      <c r="F879" s="68" t="s">
        <v>1285</v>
      </c>
      <c r="G879" s="68">
        <v>38</v>
      </c>
      <c r="H879" s="68" t="s">
        <v>1285</v>
      </c>
      <c r="I879" s="68">
        <v>0</v>
      </c>
      <c r="J879" s="68" t="s">
        <v>1278</v>
      </c>
    </row>
    <row r="880" spans="1:10" ht="12.75" customHeight="1">
      <c r="A880" s="71"/>
      <c r="B880" s="71" t="s">
        <v>1280</v>
      </c>
      <c r="C880" s="68" t="s">
        <v>1278</v>
      </c>
      <c r="D880" s="68">
        <v>0</v>
      </c>
      <c r="E880" s="68">
        <v>0</v>
      </c>
      <c r="F880" s="68" t="s">
        <v>1285</v>
      </c>
      <c r="G880" s="68">
        <v>244</v>
      </c>
      <c r="H880" s="68" t="s">
        <v>1285</v>
      </c>
      <c r="I880" s="68">
        <v>0</v>
      </c>
      <c r="J880" s="68" t="s">
        <v>1278</v>
      </c>
    </row>
    <row r="881" spans="1:10" ht="12.75" customHeight="1">
      <c r="A881" s="71"/>
      <c r="B881" s="69" t="s">
        <v>1281</v>
      </c>
      <c r="C881" s="68" t="s">
        <v>1278</v>
      </c>
      <c r="D881" s="68">
        <v>51</v>
      </c>
      <c r="E881" s="68">
        <v>0</v>
      </c>
      <c r="F881" s="68" t="s">
        <v>1282</v>
      </c>
      <c r="G881" s="68">
        <v>130</v>
      </c>
      <c r="H881" s="68" t="s">
        <v>1282</v>
      </c>
      <c r="I881" s="68" t="s">
        <v>1282</v>
      </c>
      <c r="J881" s="68" t="s">
        <v>1278</v>
      </c>
    </row>
    <row r="882" spans="1:10" ht="12.75" customHeight="1">
      <c r="A882" s="71"/>
      <c r="B882" s="71" t="s">
        <v>1283</v>
      </c>
      <c r="C882" s="68" t="s">
        <v>1278</v>
      </c>
      <c r="D882" s="68">
        <v>2</v>
      </c>
      <c r="E882" s="68">
        <v>0</v>
      </c>
      <c r="F882" s="68" t="s">
        <v>1282</v>
      </c>
      <c r="G882" s="68">
        <v>82</v>
      </c>
      <c r="H882" s="68" t="s">
        <v>1285</v>
      </c>
      <c r="I882" s="68" t="s">
        <v>1282</v>
      </c>
      <c r="J882" s="68" t="s">
        <v>1278</v>
      </c>
    </row>
    <row r="883" spans="1:10" ht="12.75" customHeight="1">
      <c r="A883" s="71"/>
      <c r="B883" s="71" t="s">
        <v>1284</v>
      </c>
      <c r="C883" s="68" t="s">
        <v>1278</v>
      </c>
      <c r="D883" s="68">
        <v>4</v>
      </c>
      <c r="E883" s="68">
        <v>0</v>
      </c>
      <c r="F883" s="68" t="s">
        <v>1285</v>
      </c>
      <c r="G883" s="68">
        <v>1</v>
      </c>
      <c r="H883" s="68">
        <v>0</v>
      </c>
      <c r="I883" s="68">
        <v>0</v>
      </c>
      <c r="J883" s="68" t="s">
        <v>1278</v>
      </c>
    </row>
    <row r="884" spans="1:10" ht="12.75" customHeight="1">
      <c r="A884" s="71"/>
      <c r="B884" s="71" t="s">
        <v>1286</v>
      </c>
      <c r="C884" s="68" t="s">
        <v>1278</v>
      </c>
      <c r="D884" s="68">
        <v>37</v>
      </c>
      <c r="E884" s="68">
        <v>0</v>
      </c>
      <c r="F884" s="68" t="s">
        <v>1285</v>
      </c>
      <c r="G884" s="68">
        <v>4</v>
      </c>
      <c r="H884" s="68" t="s">
        <v>1285</v>
      </c>
      <c r="I884" s="68">
        <v>0</v>
      </c>
      <c r="J884" s="68" t="s">
        <v>1278</v>
      </c>
    </row>
    <row r="885" spans="1:10" ht="12.75" customHeight="1">
      <c r="A885" s="71"/>
      <c r="B885" s="71" t="s">
        <v>1287</v>
      </c>
      <c r="C885" s="68" t="s">
        <v>1278</v>
      </c>
      <c r="D885" s="68">
        <v>7</v>
      </c>
      <c r="E885" s="68" t="s">
        <v>1278</v>
      </c>
      <c r="F885" s="68" t="s">
        <v>1278</v>
      </c>
      <c r="G885" s="68" t="s">
        <v>1278</v>
      </c>
      <c r="H885" s="68" t="s">
        <v>1278</v>
      </c>
      <c r="I885" s="68" t="s">
        <v>1278</v>
      </c>
      <c r="J885" s="68" t="s">
        <v>1278</v>
      </c>
    </row>
    <row r="886" spans="1:10" ht="12.75" customHeight="1">
      <c r="A886" s="71"/>
      <c r="B886" s="71" t="s">
        <v>1288</v>
      </c>
      <c r="C886" s="68" t="s">
        <v>1278</v>
      </c>
      <c r="D886" s="68">
        <v>1</v>
      </c>
      <c r="E886" s="68">
        <v>0</v>
      </c>
      <c r="F886" s="68" t="s">
        <v>1285</v>
      </c>
      <c r="G886" s="68">
        <v>43</v>
      </c>
      <c r="H886" s="68" t="s">
        <v>1282</v>
      </c>
      <c r="I886" s="68">
        <v>0</v>
      </c>
      <c r="J886" s="68" t="s">
        <v>1278</v>
      </c>
    </row>
    <row r="887" spans="1:10" ht="12.75" customHeight="1">
      <c r="A887" s="71"/>
      <c r="B887" s="69" t="s">
        <v>1289</v>
      </c>
      <c r="C887" s="68" t="s">
        <v>1278</v>
      </c>
      <c r="D887" s="68">
        <v>6</v>
      </c>
      <c r="E887" s="68">
        <v>0</v>
      </c>
      <c r="F887" s="68">
        <v>1</v>
      </c>
      <c r="G887" s="68">
        <v>4</v>
      </c>
      <c r="H887" s="68" t="s">
        <v>1285</v>
      </c>
      <c r="I887" s="68">
        <v>0</v>
      </c>
      <c r="J887" s="68" t="s">
        <v>1278</v>
      </c>
    </row>
    <row r="888" spans="1:10" ht="12.75" customHeight="1">
      <c r="A888" s="71"/>
      <c r="B888" s="71" t="s">
        <v>1290</v>
      </c>
      <c r="C888" s="68" t="s">
        <v>1278</v>
      </c>
      <c r="D888" s="68">
        <v>3</v>
      </c>
      <c r="E888" s="68">
        <v>0</v>
      </c>
      <c r="F888" s="68" t="s">
        <v>1285</v>
      </c>
      <c r="G888" s="68">
        <v>3</v>
      </c>
      <c r="H888" s="68" t="s">
        <v>1285</v>
      </c>
      <c r="I888" s="68">
        <v>0</v>
      </c>
      <c r="J888" s="68" t="s">
        <v>1278</v>
      </c>
    </row>
    <row r="889" spans="1:10" ht="12.75" customHeight="1">
      <c r="A889" s="71"/>
      <c r="B889" s="71" t="s">
        <v>1291</v>
      </c>
      <c r="C889" s="68" t="s">
        <v>1278</v>
      </c>
      <c r="D889" s="68">
        <v>2</v>
      </c>
      <c r="E889" s="68" t="s">
        <v>1278</v>
      </c>
      <c r="F889" s="68" t="s">
        <v>1278</v>
      </c>
      <c r="G889" s="68" t="s">
        <v>1278</v>
      </c>
      <c r="H889" s="68" t="s">
        <v>1278</v>
      </c>
      <c r="I889" s="68" t="s">
        <v>1278</v>
      </c>
      <c r="J889" s="68" t="s">
        <v>1278</v>
      </c>
    </row>
    <row r="890" spans="1:10" ht="12.75" customHeight="1">
      <c r="A890" s="71"/>
      <c r="B890" s="71" t="s">
        <v>1292</v>
      </c>
      <c r="C890" s="68" t="s">
        <v>1278</v>
      </c>
      <c r="D890" s="68">
        <v>1</v>
      </c>
      <c r="E890" s="68">
        <v>0</v>
      </c>
      <c r="F890" s="68" t="s">
        <v>1285</v>
      </c>
      <c r="G890" s="68">
        <v>1</v>
      </c>
      <c r="H890" s="68" t="s">
        <v>1285</v>
      </c>
      <c r="I890" s="68">
        <v>0</v>
      </c>
      <c r="J890" s="68" t="s">
        <v>1278</v>
      </c>
    </row>
    <row r="891" spans="1:10" ht="12.75" customHeight="1">
      <c r="A891" s="71"/>
      <c r="B891" s="71" t="s">
        <v>1293</v>
      </c>
      <c r="C891" s="68" t="s">
        <v>1278</v>
      </c>
      <c r="D891" s="68" t="s">
        <v>1285</v>
      </c>
      <c r="E891" s="68" t="s">
        <v>1278</v>
      </c>
      <c r="F891" s="68" t="s">
        <v>1285</v>
      </c>
      <c r="G891" s="68" t="s">
        <v>1285</v>
      </c>
      <c r="H891" s="68" t="s">
        <v>1285</v>
      </c>
      <c r="I891" s="68" t="s">
        <v>1278</v>
      </c>
      <c r="J891" s="68" t="s">
        <v>1278</v>
      </c>
    </row>
    <row r="892" spans="1:10" ht="12.75" customHeight="1">
      <c r="A892" s="71"/>
      <c r="B892" s="71" t="s">
        <v>1294</v>
      </c>
      <c r="C892" s="68" t="s">
        <v>1278</v>
      </c>
      <c r="D892" s="68" t="s">
        <v>1278</v>
      </c>
      <c r="E892" s="68">
        <v>0</v>
      </c>
      <c r="F892" s="68" t="s">
        <v>1285</v>
      </c>
      <c r="G892" s="68" t="s">
        <v>1285</v>
      </c>
      <c r="H892" s="68">
        <v>0</v>
      </c>
      <c r="I892" s="68">
        <v>0</v>
      </c>
      <c r="J892" s="68" t="s">
        <v>1278</v>
      </c>
    </row>
    <row r="893" spans="1:10" ht="12.75" customHeight="1">
      <c r="A893" s="71"/>
      <c r="B893" s="71" t="s">
        <v>1295</v>
      </c>
      <c r="C893" s="68" t="s">
        <v>1278</v>
      </c>
      <c r="D893" s="68" t="s">
        <v>1285</v>
      </c>
      <c r="E893" s="68">
        <v>0</v>
      </c>
      <c r="F893" s="68" t="s">
        <v>1285</v>
      </c>
      <c r="G893" s="68" t="s">
        <v>1285</v>
      </c>
      <c r="H893" s="68" t="s">
        <v>1285</v>
      </c>
      <c r="I893" s="68">
        <v>0</v>
      </c>
      <c r="J893" s="68" t="s">
        <v>1278</v>
      </c>
    </row>
    <row r="894" spans="1:10" ht="12.75" customHeight="1">
      <c r="A894" s="71"/>
      <c r="B894" s="69" t="s">
        <v>1296</v>
      </c>
      <c r="C894" s="68">
        <v>188</v>
      </c>
      <c r="D894" s="68" t="s">
        <v>1299</v>
      </c>
      <c r="E894" s="68">
        <v>0</v>
      </c>
      <c r="F894" s="68" t="s">
        <v>1285</v>
      </c>
      <c r="G894" s="68" t="s">
        <v>1285</v>
      </c>
      <c r="H894" s="68" t="s">
        <v>1285</v>
      </c>
      <c r="I894" s="68">
        <v>0</v>
      </c>
      <c r="J894" s="68">
        <v>186</v>
      </c>
    </row>
    <row r="895" spans="1:10" ht="12.75" customHeight="1">
      <c r="A895" s="71"/>
      <c r="B895" s="69"/>
      <c r="C895" s="68"/>
      <c r="D895" s="68"/>
      <c r="E895" s="68"/>
      <c r="F895" s="68"/>
      <c r="G895" s="68"/>
      <c r="H895" s="68"/>
      <c r="I895" s="68"/>
      <c r="J895" s="68"/>
    </row>
    <row r="896" spans="1:10" s="73" customFormat="1" ht="12.75" customHeight="1">
      <c r="A896" s="69" t="s">
        <v>1376</v>
      </c>
      <c r="B896" s="69" t="s">
        <v>1377</v>
      </c>
      <c r="C896" s="74"/>
      <c r="D896" s="74"/>
      <c r="E896" s="74"/>
      <c r="F896" s="74"/>
      <c r="G896" s="74"/>
      <c r="H896" s="74"/>
      <c r="I896" s="74"/>
      <c r="J896" s="74"/>
    </row>
    <row r="897" spans="1:10" s="73" customFormat="1" ht="12.75" customHeight="1">
      <c r="A897" s="69"/>
      <c r="B897" s="69"/>
      <c r="C897" s="74"/>
      <c r="D897" s="74"/>
      <c r="E897" s="74"/>
      <c r="F897" s="74"/>
      <c r="G897" s="74"/>
      <c r="H897" s="74"/>
      <c r="I897" s="74"/>
      <c r="J897" s="74"/>
    </row>
    <row r="898" spans="1:10" s="73" customFormat="1" ht="12.75" customHeight="1">
      <c r="A898" s="69"/>
      <c r="B898" s="69"/>
      <c r="C898" s="74"/>
      <c r="D898" s="74"/>
      <c r="E898" s="74"/>
      <c r="F898" s="74"/>
      <c r="G898" s="74"/>
      <c r="H898" s="74"/>
      <c r="I898" s="74"/>
      <c r="J898" s="74"/>
    </row>
    <row r="899" spans="1:10" ht="12.75" customHeight="1">
      <c r="A899" s="71"/>
      <c r="B899" s="69" t="s">
        <v>1276</v>
      </c>
      <c r="C899" s="68">
        <v>35</v>
      </c>
      <c r="D899" s="68">
        <v>5</v>
      </c>
      <c r="E899" s="68">
        <v>0</v>
      </c>
      <c r="F899" s="68" t="s">
        <v>1285</v>
      </c>
      <c r="G899" s="68">
        <v>19</v>
      </c>
      <c r="H899" s="68" t="s">
        <v>1285</v>
      </c>
      <c r="I899" s="68">
        <v>2</v>
      </c>
      <c r="J899" s="68">
        <v>9</v>
      </c>
    </row>
    <row r="900" spans="1:10" ht="12.75" customHeight="1">
      <c r="A900" s="71"/>
      <c r="B900" s="69" t="s">
        <v>1277</v>
      </c>
      <c r="C900" s="68" t="s">
        <v>1278</v>
      </c>
      <c r="D900" s="68" t="s">
        <v>1285</v>
      </c>
      <c r="E900" s="68">
        <v>0</v>
      </c>
      <c r="F900" s="68" t="s">
        <v>1285</v>
      </c>
      <c r="G900" s="68">
        <v>17</v>
      </c>
      <c r="H900" s="68" t="s">
        <v>1285</v>
      </c>
      <c r="I900" s="68">
        <v>2</v>
      </c>
      <c r="J900" s="68" t="s">
        <v>1278</v>
      </c>
    </row>
    <row r="901" spans="1:10" ht="12.75" customHeight="1">
      <c r="A901" s="71"/>
      <c r="B901" s="71" t="s">
        <v>1279</v>
      </c>
      <c r="C901" s="68" t="s">
        <v>1278</v>
      </c>
      <c r="D901" s="68" t="s">
        <v>1285</v>
      </c>
      <c r="E901" s="68">
        <v>0</v>
      </c>
      <c r="F901" s="68" t="s">
        <v>1285</v>
      </c>
      <c r="G901" s="68">
        <v>10</v>
      </c>
      <c r="H901" s="68" t="s">
        <v>1285</v>
      </c>
      <c r="I901" s="68">
        <v>1</v>
      </c>
      <c r="J901" s="68" t="s">
        <v>1278</v>
      </c>
    </row>
    <row r="902" spans="1:10" ht="12.75" customHeight="1">
      <c r="A902" s="71"/>
      <c r="B902" s="71" t="s">
        <v>1280</v>
      </c>
      <c r="C902" s="68" t="s">
        <v>1278</v>
      </c>
      <c r="D902" s="68">
        <v>0</v>
      </c>
      <c r="E902" s="68">
        <v>0</v>
      </c>
      <c r="F902" s="68" t="s">
        <v>1285</v>
      </c>
      <c r="G902" s="68">
        <v>6</v>
      </c>
      <c r="H902" s="68">
        <v>0</v>
      </c>
      <c r="I902" s="68" t="s">
        <v>1285</v>
      </c>
      <c r="J902" s="68" t="s">
        <v>1278</v>
      </c>
    </row>
    <row r="903" spans="1:10" ht="12.75" customHeight="1">
      <c r="A903" s="71"/>
      <c r="B903" s="69" t="s">
        <v>1281</v>
      </c>
      <c r="C903" s="68" t="s">
        <v>1278</v>
      </c>
      <c r="D903" s="68">
        <v>4</v>
      </c>
      <c r="E903" s="68">
        <v>0</v>
      </c>
      <c r="F903" s="68" t="s">
        <v>1285</v>
      </c>
      <c r="G903" s="68">
        <v>2</v>
      </c>
      <c r="H903" s="68" t="s">
        <v>1285</v>
      </c>
      <c r="I903" s="68">
        <v>0</v>
      </c>
      <c r="J903" s="68" t="s">
        <v>1278</v>
      </c>
    </row>
    <row r="904" spans="1:10" ht="12.75" customHeight="1">
      <c r="A904" s="71"/>
      <c r="B904" s="71" t="s">
        <v>1283</v>
      </c>
      <c r="C904" s="68" t="s">
        <v>1278</v>
      </c>
      <c r="D904" s="68" t="s">
        <v>1285</v>
      </c>
      <c r="E904" s="68">
        <v>0</v>
      </c>
      <c r="F904" s="68">
        <v>0</v>
      </c>
      <c r="G904" s="68">
        <v>2</v>
      </c>
      <c r="H904" s="68" t="s">
        <v>1285</v>
      </c>
      <c r="I904" s="68">
        <v>0</v>
      </c>
      <c r="J904" s="68" t="s">
        <v>1278</v>
      </c>
    </row>
    <row r="905" spans="1:10" ht="12.75" customHeight="1">
      <c r="A905" s="71"/>
      <c r="B905" s="71" t="s">
        <v>1284</v>
      </c>
      <c r="C905" s="68" t="s">
        <v>1278</v>
      </c>
      <c r="D905" s="68">
        <v>1</v>
      </c>
      <c r="E905" s="68">
        <v>0</v>
      </c>
      <c r="F905" s="68">
        <v>0</v>
      </c>
      <c r="G905" s="68" t="s">
        <v>1285</v>
      </c>
      <c r="H905" s="68" t="s">
        <v>1285</v>
      </c>
      <c r="I905" s="68">
        <v>0</v>
      </c>
      <c r="J905" s="68" t="s">
        <v>1278</v>
      </c>
    </row>
    <row r="906" spans="1:10" ht="12.75" customHeight="1">
      <c r="A906" s="71"/>
      <c r="B906" s="71" t="s">
        <v>1286</v>
      </c>
      <c r="C906" s="68" t="s">
        <v>1278</v>
      </c>
      <c r="D906" s="68">
        <v>3</v>
      </c>
      <c r="E906" s="68">
        <v>0</v>
      </c>
      <c r="F906" s="68" t="s">
        <v>1285</v>
      </c>
      <c r="G906" s="68" t="s">
        <v>1285</v>
      </c>
      <c r="H906" s="68" t="s">
        <v>1285</v>
      </c>
      <c r="I906" s="68">
        <v>0</v>
      </c>
      <c r="J906" s="68" t="s">
        <v>1278</v>
      </c>
    </row>
    <row r="907" spans="1:10" ht="12.75" customHeight="1">
      <c r="A907" s="71"/>
      <c r="B907" s="71" t="s">
        <v>1287</v>
      </c>
      <c r="C907" s="68" t="s">
        <v>1278</v>
      </c>
      <c r="D907" s="68" t="s">
        <v>1285</v>
      </c>
      <c r="E907" s="68" t="s">
        <v>1278</v>
      </c>
      <c r="F907" s="68" t="s">
        <v>1278</v>
      </c>
      <c r="G907" s="68" t="s">
        <v>1278</v>
      </c>
      <c r="H907" s="68" t="s">
        <v>1278</v>
      </c>
      <c r="I907" s="68" t="s">
        <v>1278</v>
      </c>
      <c r="J907" s="68" t="s">
        <v>1278</v>
      </c>
    </row>
    <row r="908" spans="1:10" ht="12.75" customHeight="1">
      <c r="A908" s="71"/>
      <c r="B908" s="71" t="s">
        <v>1288</v>
      </c>
      <c r="C908" s="68" t="s">
        <v>1278</v>
      </c>
      <c r="D908" s="68" t="s">
        <v>1285</v>
      </c>
      <c r="E908" s="68">
        <v>0</v>
      </c>
      <c r="F908" s="68" t="s">
        <v>1285</v>
      </c>
      <c r="G908" s="68" t="s">
        <v>1285</v>
      </c>
      <c r="H908" s="68" t="s">
        <v>1285</v>
      </c>
      <c r="I908" s="68">
        <v>0</v>
      </c>
      <c r="J908" s="68" t="s">
        <v>1278</v>
      </c>
    </row>
    <row r="909" spans="1:10" ht="12.75" customHeight="1">
      <c r="A909" s="71"/>
      <c r="B909" s="69" t="s">
        <v>1289</v>
      </c>
      <c r="C909" s="68" t="s">
        <v>1278</v>
      </c>
      <c r="D909" s="68">
        <v>1</v>
      </c>
      <c r="E909" s="68">
        <v>0</v>
      </c>
      <c r="F909" s="68" t="s">
        <v>1285</v>
      </c>
      <c r="G909" s="68" t="s">
        <v>1285</v>
      </c>
      <c r="H909" s="68" t="s">
        <v>1285</v>
      </c>
      <c r="I909" s="68">
        <v>0</v>
      </c>
      <c r="J909" s="68" t="s">
        <v>1278</v>
      </c>
    </row>
    <row r="910" spans="1:10" ht="12.75" customHeight="1">
      <c r="A910" s="71"/>
      <c r="B910" s="71" t="s">
        <v>1290</v>
      </c>
      <c r="C910" s="68" t="s">
        <v>1278</v>
      </c>
      <c r="D910" s="68" t="s">
        <v>1285</v>
      </c>
      <c r="E910" s="68">
        <v>0</v>
      </c>
      <c r="F910" s="68">
        <v>0</v>
      </c>
      <c r="G910" s="68" t="s">
        <v>1285</v>
      </c>
      <c r="H910" s="68" t="s">
        <v>1285</v>
      </c>
      <c r="I910" s="68">
        <v>0</v>
      </c>
      <c r="J910" s="68" t="s">
        <v>1278</v>
      </c>
    </row>
    <row r="911" spans="1:10" ht="12.75" customHeight="1">
      <c r="A911" s="71"/>
      <c r="B911" s="71" t="s">
        <v>1291</v>
      </c>
      <c r="C911" s="68" t="s">
        <v>1278</v>
      </c>
      <c r="D911" s="68" t="s">
        <v>1285</v>
      </c>
      <c r="E911" s="68" t="s">
        <v>1278</v>
      </c>
      <c r="F911" s="68" t="s">
        <v>1278</v>
      </c>
      <c r="G911" s="68" t="s">
        <v>1278</v>
      </c>
      <c r="H911" s="68" t="s">
        <v>1278</v>
      </c>
      <c r="I911" s="68" t="s">
        <v>1278</v>
      </c>
      <c r="J911" s="68" t="s">
        <v>1278</v>
      </c>
    </row>
    <row r="912" spans="1:10" ht="12.75" customHeight="1">
      <c r="A912" s="71"/>
      <c r="B912" s="71" t="s">
        <v>1292</v>
      </c>
      <c r="C912" s="68" t="s">
        <v>1278</v>
      </c>
      <c r="D912" s="68" t="s">
        <v>1285</v>
      </c>
      <c r="E912" s="68">
        <v>0</v>
      </c>
      <c r="F912" s="68" t="s">
        <v>1285</v>
      </c>
      <c r="G912" s="68" t="s">
        <v>1285</v>
      </c>
      <c r="H912" s="68" t="s">
        <v>1285</v>
      </c>
      <c r="I912" s="68">
        <v>0</v>
      </c>
      <c r="J912" s="68" t="s">
        <v>1278</v>
      </c>
    </row>
    <row r="913" spans="1:10" ht="12.75" customHeight="1">
      <c r="A913" s="71"/>
      <c r="B913" s="71" t="s">
        <v>1293</v>
      </c>
      <c r="C913" s="68" t="s">
        <v>1278</v>
      </c>
      <c r="D913" s="68" t="s">
        <v>1285</v>
      </c>
      <c r="E913" s="68" t="s">
        <v>1278</v>
      </c>
      <c r="F913" s="68" t="s">
        <v>1285</v>
      </c>
      <c r="G913" s="68" t="s">
        <v>1285</v>
      </c>
      <c r="H913" s="68" t="s">
        <v>1285</v>
      </c>
      <c r="I913" s="68" t="s">
        <v>1278</v>
      </c>
      <c r="J913" s="68" t="s">
        <v>1278</v>
      </c>
    </row>
    <row r="914" spans="1:10" ht="12.75" customHeight="1">
      <c r="A914" s="71"/>
      <c r="B914" s="71" t="s">
        <v>1294</v>
      </c>
      <c r="C914" s="68" t="s">
        <v>1278</v>
      </c>
      <c r="D914" s="68" t="s">
        <v>1278</v>
      </c>
      <c r="E914" s="68">
        <v>0</v>
      </c>
      <c r="F914" s="68" t="s">
        <v>1285</v>
      </c>
      <c r="G914" s="68">
        <v>0</v>
      </c>
      <c r="H914" s="68">
        <v>0</v>
      </c>
      <c r="I914" s="68">
        <v>0</v>
      </c>
      <c r="J914" s="68" t="s">
        <v>1278</v>
      </c>
    </row>
    <row r="915" spans="1:10" ht="12.75" customHeight="1">
      <c r="A915" s="71"/>
      <c r="B915" s="71" t="s">
        <v>1295</v>
      </c>
      <c r="C915" s="68" t="s">
        <v>1278</v>
      </c>
      <c r="D915" s="68" t="s">
        <v>1285</v>
      </c>
      <c r="E915" s="68">
        <v>0</v>
      </c>
      <c r="F915" s="68" t="s">
        <v>1285</v>
      </c>
      <c r="G915" s="68" t="s">
        <v>1285</v>
      </c>
      <c r="H915" s="68">
        <v>0</v>
      </c>
      <c r="I915" s="68">
        <v>0</v>
      </c>
      <c r="J915" s="68" t="s">
        <v>1278</v>
      </c>
    </row>
    <row r="916" spans="1:10" ht="12.75" customHeight="1">
      <c r="A916" s="71"/>
      <c r="B916" s="69" t="s">
        <v>1296</v>
      </c>
      <c r="C916" s="68">
        <v>9</v>
      </c>
      <c r="D916" s="68" t="s">
        <v>1285</v>
      </c>
      <c r="E916" s="68">
        <v>0</v>
      </c>
      <c r="F916" s="68">
        <v>0</v>
      </c>
      <c r="G916" s="68" t="s">
        <v>1285</v>
      </c>
      <c r="H916" s="68" t="s">
        <v>1285</v>
      </c>
      <c r="I916" s="68">
        <v>0</v>
      </c>
      <c r="J916" s="68">
        <v>9</v>
      </c>
    </row>
    <row r="917" spans="1:10" ht="12.75" customHeight="1">
      <c r="A917" s="71"/>
      <c r="B917" s="69"/>
      <c r="C917" s="68"/>
      <c r="D917" s="68"/>
      <c r="E917" s="68"/>
      <c r="F917" s="68"/>
      <c r="G917" s="68"/>
      <c r="H917" s="68"/>
      <c r="I917" s="68"/>
      <c r="J917" s="68"/>
    </row>
    <row r="918" spans="1:10" s="73" customFormat="1" ht="12.75" customHeight="1">
      <c r="A918" s="69" t="s">
        <v>1378</v>
      </c>
      <c r="B918" s="69" t="s">
        <v>1379</v>
      </c>
      <c r="C918" s="74"/>
      <c r="D918" s="74"/>
      <c r="E918" s="74"/>
      <c r="F918" s="74"/>
      <c r="G918" s="74"/>
      <c r="H918" s="74"/>
      <c r="I918" s="74"/>
      <c r="J918" s="74"/>
    </row>
    <row r="919" spans="1:10" s="73" customFormat="1" ht="12.75" customHeight="1">
      <c r="A919" s="69"/>
      <c r="B919" s="69"/>
      <c r="C919" s="74"/>
      <c r="D919" s="74"/>
      <c r="E919" s="74"/>
      <c r="F919" s="74"/>
      <c r="G919" s="74"/>
      <c r="H919" s="74"/>
      <c r="I919" s="74"/>
      <c r="J919" s="74"/>
    </row>
    <row r="920" spans="1:10" s="73" customFormat="1" ht="12.75" customHeight="1">
      <c r="A920" s="69"/>
      <c r="B920" s="69"/>
      <c r="C920" s="74"/>
      <c r="D920" s="74"/>
      <c r="E920" s="74"/>
      <c r="F920" s="74"/>
      <c r="G920" s="74"/>
      <c r="H920" s="74"/>
      <c r="I920" s="74"/>
      <c r="J920" s="74"/>
    </row>
    <row r="921" spans="1:10" ht="12.75" customHeight="1">
      <c r="A921" s="71"/>
      <c r="B921" s="69" t="s">
        <v>1276</v>
      </c>
      <c r="C921" s="68">
        <v>33</v>
      </c>
      <c r="D921" s="68">
        <v>9</v>
      </c>
      <c r="E921" s="68">
        <v>0</v>
      </c>
      <c r="F921" s="68" t="s">
        <v>1285</v>
      </c>
      <c r="G921" s="68">
        <v>23</v>
      </c>
      <c r="H921" s="68" t="s">
        <v>1285</v>
      </c>
      <c r="I921" s="68" t="s">
        <v>1285</v>
      </c>
      <c r="J921" s="68" t="s">
        <v>1285</v>
      </c>
    </row>
    <row r="922" spans="1:10" ht="12.75" customHeight="1">
      <c r="A922" s="71"/>
      <c r="B922" s="69" t="s">
        <v>1277</v>
      </c>
      <c r="C922" s="68" t="s">
        <v>1278</v>
      </c>
      <c r="D922" s="68" t="s">
        <v>1285</v>
      </c>
      <c r="E922" s="68">
        <v>0</v>
      </c>
      <c r="F922" s="68" t="s">
        <v>1285</v>
      </c>
      <c r="G922" s="68">
        <v>14</v>
      </c>
      <c r="H922" s="68" t="s">
        <v>1285</v>
      </c>
      <c r="I922" s="68" t="s">
        <v>1285</v>
      </c>
      <c r="J922" s="68" t="s">
        <v>1278</v>
      </c>
    </row>
    <row r="923" spans="1:10" ht="12.75" customHeight="1">
      <c r="A923" s="71"/>
      <c r="B923" s="71" t="s">
        <v>1279</v>
      </c>
      <c r="C923" s="68" t="s">
        <v>1278</v>
      </c>
      <c r="D923" s="68" t="s">
        <v>1285</v>
      </c>
      <c r="E923" s="68">
        <v>0</v>
      </c>
      <c r="F923" s="68" t="s">
        <v>1285</v>
      </c>
      <c r="G923" s="68">
        <v>9</v>
      </c>
      <c r="H923" s="68" t="s">
        <v>1285</v>
      </c>
      <c r="I923" s="68">
        <v>0</v>
      </c>
      <c r="J923" s="68" t="s">
        <v>1278</v>
      </c>
    </row>
    <row r="924" spans="1:10" ht="12.75" customHeight="1">
      <c r="A924" s="71"/>
      <c r="B924" s="71" t="s">
        <v>1280</v>
      </c>
      <c r="C924" s="68" t="s">
        <v>1278</v>
      </c>
      <c r="D924" s="68">
        <v>0</v>
      </c>
      <c r="E924" s="68">
        <v>0</v>
      </c>
      <c r="F924" s="68">
        <v>0</v>
      </c>
      <c r="G924" s="68">
        <v>5</v>
      </c>
      <c r="H924" s="68" t="s">
        <v>1285</v>
      </c>
      <c r="I924" s="68" t="s">
        <v>1285</v>
      </c>
      <c r="J924" s="68" t="s">
        <v>1278</v>
      </c>
    </row>
    <row r="925" spans="1:10" ht="12.75" customHeight="1">
      <c r="A925" s="71"/>
      <c r="B925" s="69" t="s">
        <v>1281</v>
      </c>
      <c r="C925" s="68" t="s">
        <v>1278</v>
      </c>
      <c r="D925" s="68">
        <v>7</v>
      </c>
      <c r="E925" s="68">
        <v>0</v>
      </c>
      <c r="F925" s="68" t="s">
        <v>1285</v>
      </c>
      <c r="G925" s="68">
        <v>7</v>
      </c>
      <c r="H925" s="68" t="s">
        <v>1285</v>
      </c>
      <c r="I925" s="68">
        <v>0</v>
      </c>
      <c r="J925" s="68" t="s">
        <v>1278</v>
      </c>
    </row>
    <row r="926" spans="1:10" ht="12.75" customHeight="1">
      <c r="A926" s="71"/>
      <c r="B926" s="71" t="s">
        <v>1283</v>
      </c>
      <c r="C926" s="68" t="s">
        <v>1278</v>
      </c>
      <c r="D926" s="68">
        <v>1</v>
      </c>
      <c r="E926" s="68">
        <v>0</v>
      </c>
      <c r="F926" s="68" t="s">
        <v>1285</v>
      </c>
      <c r="G926" s="68">
        <v>6</v>
      </c>
      <c r="H926" s="68" t="s">
        <v>1285</v>
      </c>
      <c r="I926" s="68">
        <v>0</v>
      </c>
      <c r="J926" s="68" t="s">
        <v>1278</v>
      </c>
    </row>
    <row r="927" spans="1:10" ht="12.75" customHeight="1">
      <c r="A927" s="71"/>
      <c r="B927" s="71" t="s">
        <v>1284</v>
      </c>
      <c r="C927" s="68" t="s">
        <v>1278</v>
      </c>
      <c r="D927" s="68">
        <v>1</v>
      </c>
      <c r="E927" s="68">
        <v>0</v>
      </c>
      <c r="F927" s="68">
        <v>0</v>
      </c>
      <c r="G927" s="68">
        <v>0</v>
      </c>
      <c r="H927" s="68">
        <v>0</v>
      </c>
      <c r="I927" s="68">
        <v>0</v>
      </c>
      <c r="J927" s="68" t="s">
        <v>1278</v>
      </c>
    </row>
    <row r="928" spans="1:10" ht="12.75" customHeight="1">
      <c r="A928" s="71"/>
      <c r="B928" s="71" t="s">
        <v>1286</v>
      </c>
      <c r="C928" s="68" t="s">
        <v>1278</v>
      </c>
      <c r="D928" s="68">
        <v>6</v>
      </c>
      <c r="E928" s="68">
        <v>0</v>
      </c>
      <c r="F928" s="68" t="s">
        <v>1285</v>
      </c>
      <c r="G928" s="68" t="s">
        <v>1285</v>
      </c>
      <c r="H928" s="68" t="s">
        <v>1285</v>
      </c>
      <c r="I928" s="68">
        <v>0</v>
      </c>
      <c r="J928" s="68" t="s">
        <v>1278</v>
      </c>
    </row>
    <row r="929" spans="1:10" ht="12.75" customHeight="1">
      <c r="A929" s="71"/>
      <c r="B929" s="71" t="s">
        <v>1287</v>
      </c>
      <c r="C929" s="68" t="s">
        <v>1278</v>
      </c>
      <c r="D929" s="68" t="s">
        <v>1285</v>
      </c>
      <c r="E929" s="68" t="s">
        <v>1278</v>
      </c>
      <c r="F929" s="68" t="s">
        <v>1278</v>
      </c>
      <c r="G929" s="68" t="s">
        <v>1278</v>
      </c>
      <c r="H929" s="68" t="s">
        <v>1278</v>
      </c>
      <c r="I929" s="68" t="s">
        <v>1278</v>
      </c>
      <c r="J929" s="68" t="s">
        <v>1278</v>
      </c>
    </row>
    <row r="930" spans="1:10" ht="12.75" customHeight="1">
      <c r="A930" s="71"/>
      <c r="B930" s="71" t="s">
        <v>1288</v>
      </c>
      <c r="C930" s="68" t="s">
        <v>1278</v>
      </c>
      <c r="D930" s="68" t="s">
        <v>1285</v>
      </c>
      <c r="E930" s="68">
        <v>0</v>
      </c>
      <c r="F930" s="68">
        <v>0</v>
      </c>
      <c r="G930" s="68" t="s">
        <v>1285</v>
      </c>
      <c r="H930" s="68" t="s">
        <v>1285</v>
      </c>
      <c r="I930" s="68">
        <v>0</v>
      </c>
      <c r="J930" s="68" t="s">
        <v>1278</v>
      </c>
    </row>
    <row r="931" spans="1:10" ht="12.75" customHeight="1">
      <c r="A931" s="71"/>
      <c r="B931" s="69" t="s">
        <v>1289</v>
      </c>
      <c r="C931" s="68" t="s">
        <v>1278</v>
      </c>
      <c r="D931" s="68">
        <v>2</v>
      </c>
      <c r="E931" s="68">
        <v>0</v>
      </c>
      <c r="F931" s="68" t="s">
        <v>1285</v>
      </c>
      <c r="G931" s="68">
        <v>2</v>
      </c>
      <c r="H931" s="68" t="s">
        <v>1285</v>
      </c>
      <c r="I931" s="68">
        <v>0</v>
      </c>
      <c r="J931" s="68" t="s">
        <v>1278</v>
      </c>
    </row>
    <row r="932" spans="1:10" ht="12.75" customHeight="1">
      <c r="A932" s="71"/>
      <c r="B932" s="71" t="s">
        <v>1290</v>
      </c>
      <c r="C932" s="68" t="s">
        <v>1278</v>
      </c>
      <c r="D932" s="68">
        <v>1</v>
      </c>
      <c r="E932" s="68">
        <v>0</v>
      </c>
      <c r="F932" s="68">
        <v>0</v>
      </c>
      <c r="G932" s="68">
        <v>2</v>
      </c>
      <c r="H932" s="68" t="s">
        <v>1285</v>
      </c>
      <c r="I932" s="68">
        <v>0</v>
      </c>
      <c r="J932" s="68" t="s">
        <v>1278</v>
      </c>
    </row>
    <row r="933" spans="1:10" ht="12.75" customHeight="1">
      <c r="A933" s="71"/>
      <c r="B933" s="71" t="s">
        <v>1291</v>
      </c>
      <c r="C933" s="68" t="s">
        <v>1278</v>
      </c>
      <c r="D933" s="68" t="s">
        <v>1285</v>
      </c>
      <c r="E933" s="68" t="s">
        <v>1278</v>
      </c>
      <c r="F933" s="68" t="s">
        <v>1278</v>
      </c>
      <c r="G933" s="68" t="s">
        <v>1278</v>
      </c>
      <c r="H933" s="68" t="s">
        <v>1278</v>
      </c>
      <c r="I933" s="68" t="s">
        <v>1278</v>
      </c>
      <c r="J933" s="68" t="s">
        <v>1278</v>
      </c>
    </row>
    <row r="934" spans="1:10" ht="12.75" customHeight="1">
      <c r="A934" s="71"/>
      <c r="B934" s="71" t="s">
        <v>1292</v>
      </c>
      <c r="C934" s="68" t="s">
        <v>1278</v>
      </c>
      <c r="D934" s="68" t="s">
        <v>1285</v>
      </c>
      <c r="E934" s="68">
        <v>0</v>
      </c>
      <c r="F934" s="68">
        <v>0</v>
      </c>
      <c r="G934" s="68" t="s">
        <v>1285</v>
      </c>
      <c r="H934" s="68" t="s">
        <v>1285</v>
      </c>
      <c r="I934" s="68">
        <v>0</v>
      </c>
      <c r="J934" s="68" t="s">
        <v>1278</v>
      </c>
    </row>
    <row r="935" spans="1:10" ht="12.75" customHeight="1">
      <c r="A935" s="71"/>
      <c r="B935" s="71" t="s">
        <v>1293</v>
      </c>
      <c r="C935" s="68" t="s">
        <v>1278</v>
      </c>
      <c r="D935" s="68" t="s">
        <v>1285</v>
      </c>
      <c r="E935" s="68" t="s">
        <v>1278</v>
      </c>
      <c r="F935" s="68" t="s">
        <v>1285</v>
      </c>
      <c r="G935" s="68">
        <v>0</v>
      </c>
      <c r="H935" s="68" t="s">
        <v>1285</v>
      </c>
      <c r="I935" s="68" t="s">
        <v>1278</v>
      </c>
      <c r="J935" s="68" t="s">
        <v>1278</v>
      </c>
    </row>
    <row r="936" spans="1:10" ht="12.75" customHeight="1">
      <c r="A936" s="71"/>
      <c r="B936" s="71" t="s">
        <v>1294</v>
      </c>
      <c r="C936" s="68" t="s">
        <v>1278</v>
      </c>
      <c r="D936" s="68" t="s">
        <v>1278</v>
      </c>
      <c r="E936" s="68">
        <v>0</v>
      </c>
      <c r="F936" s="68">
        <v>0</v>
      </c>
      <c r="G936" s="68">
        <v>0</v>
      </c>
      <c r="H936" s="68">
        <v>0</v>
      </c>
      <c r="I936" s="68">
        <v>0</v>
      </c>
      <c r="J936" s="68" t="s">
        <v>1278</v>
      </c>
    </row>
    <row r="937" spans="1:10" ht="12.75" customHeight="1">
      <c r="A937" s="71"/>
      <c r="B937" s="71" t="s">
        <v>1295</v>
      </c>
      <c r="C937" s="68" t="s">
        <v>1278</v>
      </c>
      <c r="D937" s="68" t="s">
        <v>1285</v>
      </c>
      <c r="E937" s="68">
        <v>0</v>
      </c>
      <c r="F937" s="68" t="s">
        <v>1285</v>
      </c>
      <c r="G937" s="68">
        <v>0</v>
      </c>
      <c r="H937" s="68" t="s">
        <v>1285</v>
      </c>
      <c r="I937" s="68">
        <v>0</v>
      </c>
      <c r="J937" s="68" t="s">
        <v>1278</v>
      </c>
    </row>
    <row r="938" spans="1:10" ht="12.75" customHeight="1">
      <c r="A938" s="71"/>
      <c r="B938" s="69" t="s">
        <v>1296</v>
      </c>
      <c r="C938" s="68" t="s">
        <v>1285</v>
      </c>
      <c r="D938" s="68" t="s">
        <v>1285</v>
      </c>
      <c r="E938" s="68">
        <v>0</v>
      </c>
      <c r="F938" s="68">
        <v>0</v>
      </c>
      <c r="G938" s="68">
        <v>0</v>
      </c>
      <c r="H938" s="68" t="s">
        <v>1285</v>
      </c>
      <c r="I938" s="68">
        <v>0</v>
      </c>
      <c r="J938" s="68" t="s">
        <v>1285</v>
      </c>
    </row>
    <row r="939" spans="1:10" ht="12.75" customHeight="1">
      <c r="A939" s="71"/>
      <c r="B939" s="69"/>
      <c r="C939" s="68"/>
      <c r="D939" s="68"/>
      <c r="E939" s="68"/>
      <c r="F939" s="68"/>
      <c r="G939" s="68"/>
      <c r="H939" s="68"/>
      <c r="I939" s="68"/>
      <c r="J939" s="68"/>
    </row>
    <row r="940" spans="1:10" s="73" customFormat="1" ht="12.75" customHeight="1">
      <c r="A940" s="69" t="s">
        <v>1380</v>
      </c>
      <c r="B940" s="69" t="s">
        <v>1381</v>
      </c>
      <c r="C940" s="74"/>
      <c r="D940" s="74"/>
      <c r="E940" s="74"/>
      <c r="F940" s="74"/>
      <c r="G940" s="74"/>
      <c r="H940" s="74"/>
      <c r="I940" s="74"/>
      <c r="J940" s="74"/>
    </row>
    <row r="941" spans="1:10" s="73" customFormat="1" ht="12.75" customHeight="1">
      <c r="A941" s="69"/>
      <c r="B941" s="69"/>
      <c r="C941" s="74"/>
      <c r="D941" s="74"/>
      <c r="E941" s="74"/>
      <c r="F941" s="74"/>
      <c r="G941" s="74"/>
      <c r="H941" s="74"/>
      <c r="I941" s="74"/>
      <c r="J941" s="74"/>
    </row>
    <row r="942" spans="1:10" s="73" customFormat="1" ht="12.75" customHeight="1">
      <c r="A942" s="69"/>
      <c r="B942" s="69"/>
      <c r="C942" s="74"/>
      <c r="D942" s="74"/>
      <c r="E942" s="74"/>
      <c r="F942" s="74"/>
      <c r="G942" s="74"/>
      <c r="H942" s="74"/>
      <c r="I942" s="74"/>
      <c r="J942" s="74"/>
    </row>
    <row r="943" spans="1:10" ht="12.75" customHeight="1">
      <c r="A943" s="71"/>
      <c r="B943" s="69" t="s">
        <v>1276</v>
      </c>
      <c r="C943" s="68">
        <v>233</v>
      </c>
      <c r="D943" s="68">
        <v>18</v>
      </c>
      <c r="E943" s="68">
        <v>0</v>
      </c>
      <c r="F943" s="68" t="s">
        <v>1285</v>
      </c>
      <c r="G943" s="68">
        <v>213</v>
      </c>
      <c r="H943" s="68" t="s">
        <v>1285</v>
      </c>
      <c r="I943" s="68">
        <v>0</v>
      </c>
      <c r="J943" s="68">
        <v>2</v>
      </c>
    </row>
    <row r="944" spans="1:10" ht="12.75" customHeight="1">
      <c r="A944" s="71"/>
      <c r="B944" s="69" t="s">
        <v>1277</v>
      </c>
      <c r="C944" s="68" t="s">
        <v>1278</v>
      </c>
      <c r="D944" s="68" t="s">
        <v>1285</v>
      </c>
      <c r="E944" s="68">
        <v>0</v>
      </c>
      <c r="F944" s="68" t="s">
        <v>1285</v>
      </c>
      <c r="G944" s="68">
        <v>53</v>
      </c>
      <c r="H944" s="68" t="s">
        <v>1285</v>
      </c>
      <c r="I944" s="68">
        <v>0</v>
      </c>
      <c r="J944" s="68" t="s">
        <v>1278</v>
      </c>
    </row>
    <row r="945" spans="1:10" ht="12.75" customHeight="1">
      <c r="A945" s="71"/>
      <c r="B945" s="71" t="s">
        <v>1279</v>
      </c>
      <c r="C945" s="68" t="s">
        <v>1278</v>
      </c>
      <c r="D945" s="68" t="s">
        <v>1285</v>
      </c>
      <c r="E945" s="68">
        <v>0</v>
      </c>
      <c r="F945" s="68" t="s">
        <v>1285</v>
      </c>
      <c r="G945" s="68">
        <v>26</v>
      </c>
      <c r="H945" s="68" t="s">
        <v>1285</v>
      </c>
      <c r="I945" s="68">
        <v>0</v>
      </c>
      <c r="J945" s="68" t="s">
        <v>1278</v>
      </c>
    </row>
    <row r="946" spans="1:10" ht="12.75" customHeight="1">
      <c r="A946" s="71"/>
      <c r="B946" s="71" t="s">
        <v>1280</v>
      </c>
      <c r="C946" s="68" t="s">
        <v>1278</v>
      </c>
      <c r="D946" s="68">
        <v>0</v>
      </c>
      <c r="E946" s="68">
        <v>0</v>
      </c>
      <c r="F946" s="68" t="s">
        <v>1285</v>
      </c>
      <c r="G946" s="68">
        <v>27</v>
      </c>
      <c r="H946" s="68">
        <v>0</v>
      </c>
      <c r="I946" s="68">
        <v>0</v>
      </c>
      <c r="J946" s="68" t="s">
        <v>1278</v>
      </c>
    </row>
    <row r="947" spans="1:10" ht="12.75" customHeight="1">
      <c r="A947" s="71"/>
      <c r="B947" s="69" t="s">
        <v>1281</v>
      </c>
      <c r="C947" s="68" t="s">
        <v>1278</v>
      </c>
      <c r="D947" s="68">
        <v>16</v>
      </c>
      <c r="E947" s="68">
        <v>0</v>
      </c>
      <c r="F947" s="68" t="s">
        <v>1285</v>
      </c>
      <c r="G947" s="68">
        <v>159</v>
      </c>
      <c r="H947" s="68" t="s">
        <v>1285</v>
      </c>
      <c r="I947" s="68">
        <v>0</v>
      </c>
      <c r="J947" s="68" t="s">
        <v>1278</v>
      </c>
    </row>
    <row r="948" spans="1:10" ht="12.75" customHeight="1">
      <c r="A948" s="71"/>
      <c r="B948" s="71" t="s">
        <v>1283</v>
      </c>
      <c r="C948" s="68" t="s">
        <v>1278</v>
      </c>
      <c r="D948" s="68" t="s">
        <v>1285</v>
      </c>
      <c r="E948" s="68">
        <v>0</v>
      </c>
      <c r="F948" s="68">
        <v>0</v>
      </c>
      <c r="G948" s="68">
        <v>136</v>
      </c>
      <c r="H948" s="68" t="s">
        <v>1285</v>
      </c>
      <c r="I948" s="68">
        <v>0</v>
      </c>
      <c r="J948" s="68" t="s">
        <v>1278</v>
      </c>
    </row>
    <row r="949" spans="1:10" ht="12.75" customHeight="1">
      <c r="A949" s="71"/>
      <c r="B949" s="71" t="s">
        <v>1284</v>
      </c>
      <c r="C949" s="68" t="s">
        <v>1278</v>
      </c>
      <c r="D949" s="68">
        <v>2</v>
      </c>
      <c r="E949" s="68">
        <v>0</v>
      </c>
      <c r="F949" s="68">
        <v>0</v>
      </c>
      <c r="G949" s="68">
        <v>0</v>
      </c>
      <c r="H949" s="68">
        <v>0</v>
      </c>
      <c r="I949" s="68">
        <v>0</v>
      </c>
      <c r="J949" s="68" t="s">
        <v>1278</v>
      </c>
    </row>
    <row r="950" spans="1:10" ht="12.75" customHeight="1">
      <c r="A950" s="71"/>
      <c r="B950" s="71" t="s">
        <v>1286</v>
      </c>
      <c r="C950" s="68" t="s">
        <v>1278</v>
      </c>
      <c r="D950" s="68">
        <v>14</v>
      </c>
      <c r="E950" s="68">
        <v>0</v>
      </c>
      <c r="F950" s="68" t="s">
        <v>1285</v>
      </c>
      <c r="G950" s="68">
        <v>4</v>
      </c>
      <c r="H950" s="68" t="s">
        <v>1285</v>
      </c>
      <c r="I950" s="68">
        <v>0</v>
      </c>
      <c r="J950" s="68" t="s">
        <v>1278</v>
      </c>
    </row>
    <row r="951" spans="1:10" ht="12.75" customHeight="1">
      <c r="A951" s="71"/>
      <c r="B951" s="71" t="s">
        <v>1287</v>
      </c>
      <c r="C951" s="68" t="s">
        <v>1278</v>
      </c>
      <c r="D951" s="68" t="s">
        <v>1285</v>
      </c>
      <c r="E951" s="68" t="s">
        <v>1278</v>
      </c>
      <c r="F951" s="68" t="s">
        <v>1278</v>
      </c>
      <c r="G951" s="68" t="s">
        <v>1278</v>
      </c>
      <c r="H951" s="68" t="s">
        <v>1278</v>
      </c>
      <c r="I951" s="68" t="s">
        <v>1278</v>
      </c>
      <c r="J951" s="68" t="s">
        <v>1278</v>
      </c>
    </row>
    <row r="952" spans="1:10" ht="12.75" customHeight="1">
      <c r="A952" s="71"/>
      <c r="B952" s="71" t="s">
        <v>1288</v>
      </c>
      <c r="C952" s="68" t="s">
        <v>1278</v>
      </c>
      <c r="D952" s="68" t="s">
        <v>1285</v>
      </c>
      <c r="E952" s="68">
        <v>0</v>
      </c>
      <c r="F952" s="68" t="s">
        <v>1285</v>
      </c>
      <c r="G952" s="68">
        <v>20</v>
      </c>
      <c r="H952" s="68">
        <v>0</v>
      </c>
      <c r="I952" s="68">
        <v>0</v>
      </c>
      <c r="J952" s="68" t="s">
        <v>1278</v>
      </c>
    </row>
    <row r="953" spans="1:10" ht="12.75" customHeight="1">
      <c r="A953" s="71"/>
      <c r="B953" s="69" t="s">
        <v>1289</v>
      </c>
      <c r="C953" s="68" t="s">
        <v>1278</v>
      </c>
      <c r="D953" s="68">
        <v>2</v>
      </c>
      <c r="E953" s="68">
        <v>0</v>
      </c>
      <c r="F953" s="68" t="s">
        <v>1285</v>
      </c>
      <c r="G953" s="68">
        <v>1</v>
      </c>
      <c r="H953" s="68" t="s">
        <v>1285</v>
      </c>
      <c r="I953" s="68">
        <v>0</v>
      </c>
      <c r="J953" s="68" t="s">
        <v>1278</v>
      </c>
    </row>
    <row r="954" spans="1:10" ht="12.75" customHeight="1">
      <c r="A954" s="71"/>
      <c r="B954" s="71" t="s">
        <v>1290</v>
      </c>
      <c r="C954" s="68" t="s">
        <v>1278</v>
      </c>
      <c r="D954" s="68">
        <v>1</v>
      </c>
      <c r="E954" s="68">
        <v>0</v>
      </c>
      <c r="F954" s="68" t="s">
        <v>1285</v>
      </c>
      <c r="G954" s="68">
        <v>1</v>
      </c>
      <c r="H954" s="68" t="s">
        <v>1285</v>
      </c>
      <c r="I954" s="68">
        <v>0</v>
      </c>
      <c r="J954" s="68" t="s">
        <v>1278</v>
      </c>
    </row>
    <row r="955" spans="1:10" ht="12.75" customHeight="1">
      <c r="A955" s="71"/>
      <c r="B955" s="71" t="s">
        <v>1291</v>
      </c>
      <c r="C955" s="68" t="s">
        <v>1278</v>
      </c>
      <c r="D955" s="68">
        <v>1</v>
      </c>
      <c r="E955" s="68" t="s">
        <v>1278</v>
      </c>
      <c r="F955" s="68" t="s">
        <v>1278</v>
      </c>
      <c r="G955" s="68" t="s">
        <v>1278</v>
      </c>
      <c r="H955" s="68" t="s">
        <v>1278</v>
      </c>
      <c r="I955" s="68" t="s">
        <v>1278</v>
      </c>
      <c r="J955" s="68" t="s">
        <v>1278</v>
      </c>
    </row>
    <row r="956" spans="1:10" ht="12.75" customHeight="1">
      <c r="A956" s="71"/>
      <c r="B956" s="71" t="s">
        <v>1292</v>
      </c>
      <c r="C956" s="68" t="s">
        <v>1278</v>
      </c>
      <c r="D956" s="68" t="s">
        <v>1285</v>
      </c>
      <c r="E956" s="68">
        <v>0</v>
      </c>
      <c r="F956" s="68">
        <v>0</v>
      </c>
      <c r="G956" s="68" t="s">
        <v>1285</v>
      </c>
      <c r="H956" s="68" t="s">
        <v>1285</v>
      </c>
      <c r="I956" s="68">
        <v>0</v>
      </c>
      <c r="J956" s="68" t="s">
        <v>1278</v>
      </c>
    </row>
    <row r="957" spans="1:10" ht="12.75" customHeight="1">
      <c r="A957" s="71"/>
      <c r="B957" s="71" t="s">
        <v>1293</v>
      </c>
      <c r="C957" s="68" t="s">
        <v>1278</v>
      </c>
      <c r="D957" s="68" t="s">
        <v>1285</v>
      </c>
      <c r="E957" s="68" t="s">
        <v>1278</v>
      </c>
      <c r="F957" s="68" t="s">
        <v>1285</v>
      </c>
      <c r="G957" s="68">
        <v>0</v>
      </c>
      <c r="H957" s="68" t="s">
        <v>1285</v>
      </c>
      <c r="I957" s="68" t="s">
        <v>1278</v>
      </c>
      <c r="J957" s="68" t="s">
        <v>1278</v>
      </c>
    </row>
    <row r="958" spans="1:10" ht="12.75" customHeight="1">
      <c r="A958" s="71"/>
      <c r="B958" s="71" t="s">
        <v>1294</v>
      </c>
      <c r="C958" s="68" t="s">
        <v>1278</v>
      </c>
      <c r="D958" s="68" t="s">
        <v>1278</v>
      </c>
      <c r="E958" s="68">
        <v>0</v>
      </c>
      <c r="F958" s="68" t="s">
        <v>1285</v>
      </c>
      <c r="G958" s="68" t="s">
        <v>1285</v>
      </c>
      <c r="H958" s="68">
        <v>0</v>
      </c>
      <c r="I958" s="68">
        <v>0</v>
      </c>
      <c r="J958" s="68" t="s">
        <v>1278</v>
      </c>
    </row>
    <row r="959" spans="1:10" ht="12.75" customHeight="1">
      <c r="A959" s="71"/>
      <c r="B959" s="71" t="s">
        <v>1295</v>
      </c>
      <c r="C959" s="68" t="s">
        <v>1278</v>
      </c>
      <c r="D959" s="68" t="s">
        <v>1285</v>
      </c>
      <c r="E959" s="68">
        <v>0</v>
      </c>
      <c r="F959" s="68" t="s">
        <v>1285</v>
      </c>
      <c r="G959" s="68">
        <v>0</v>
      </c>
      <c r="H959" s="68">
        <v>0</v>
      </c>
      <c r="I959" s="68">
        <v>0</v>
      </c>
      <c r="J959" s="68" t="s">
        <v>1278</v>
      </c>
    </row>
    <row r="960" spans="1:10" ht="12.75" customHeight="1">
      <c r="A960" s="71"/>
      <c r="B960" s="69" t="s">
        <v>1296</v>
      </c>
      <c r="C960" s="68">
        <v>2</v>
      </c>
      <c r="D960" s="68">
        <v>0</v>
      </c>
      <c r="E960" s="68">
        <v>0</v>
      </c>
      <c r="F960" s="68">
        <v>0</v>
      </c>
      <c r="G960" s="68">
        <v>0</v>
      </c>
      <c r="H960" s="68" t="s">
        <v>1285</v>
      </c>
      <c r="I960" s="68">
        <v>0</v>
      </c>
      <c r="J960" s="68">
        <v>2</v>
      </c>
    </row>
    <row r="961" spans="1:10" ht="12.75" customHeight="1">
      <c r="A961" s="71"/>
      <c r="B961" s="69"/>
      <c r="C961" s="68"/>
      <c r="D961" s="68"/>
      <c r="E961" s="68"/>
      <c r="F961" s="68"/>
      <c r="G961" s="68"/>
      <c r="H961" s="68"/>
      <c r="I961" s="68"/>
      <c r="J961" s="68"/>
    </row>
    <row r="962" spans="1:10" s="73" customFormat="1" ht="12.75" customHeight="1">
      <c r="A962" s="69" t="s">
        <v>1382</v>
      </c>
      <c r="B962" s="69" t="s">
        <v>1383</v>
      </c>
      <c r="C962" s="74"/>
      <c r="D962" s="74"/>
      <c r="E962" s="74"/>
      <c r="F962" s="74"/>
      <c r="G962" s="74"/>
      <c r="H962" s="74"/>
      <c r="I962" s="74"/>
      <c r="J962" s="74"/>
    </row>
    <row r="963" spans="1:10" s="73" customFormat="1" ht="12.75" customHeight="1">
      <c r="A963" s="69"/>
      <c r="B963" s="69"/>
      <c r="C963" s="74"/>
      <c r="D963" s="74"/>
      <c r="E963" s="74"/>
      <c r="F963" s="74"/>
      <c r="G963" s="74"/>
      <c r="H963" s="74"/>
      <c r="I963" s="74"/>
      <c r="J963" s="74"/>
    </row>
    <row r="964" spans="1:10" s="73" customFormat="1" ht="12.75" customHeight="1">
      <c r="A964" s="69"/>
      <c r="B964" s="69"/>
      <c r="C964" s="74"/>
      <c r="D964" s="74"/>
      <c r="E964" s="74"/>
      <c r="F964" s="74"/>
      <c r="G964" s="74"/>
      <c r="H964" s="74"/>
      <c r="I964" s="74"/>
      <c r="J964" s="74"/>
    </row>
    <row r="965" spans="1:10" ht="12.75" customHeight="1">
      <c r="A965" s="71"/>
      <c r="B965" s="69" t="s">
        <v>1276</v>
      </c>
      <c r="C965" s="68">
        <v>33</v>
      </c>
      <c r="D965" s="68" t="s">
        <v>1282</v>
      </c>
      <c r="E965" s="68" t="s">
        <v>1285</v>
      </c>
      <c r="F965" s="68" t="s">
        <v>1282</v>
      </c>
      <c r="G965" s="68">
        <v>24</v>
      </c>
      <c r="H965" s="68" t="s">
        <v>1285</v>
      </c>
      <c r="I965" s="68" t="s">
        <v>1282</v>
      </c>
      <c r="J965" s="68" t="s">
        <v>1285</v>
      </c>
    </row>
    <row r="966" spans="1:10" ht="12.75" customHeight="1">
      <c r="A966" s="71"/>
      <c r="B966" s="69" t="s">
        <v>1277</v>
      </c>
      <c r="C966" s="68" t="s">
        <v>1278</v>
      </c>
      <c r="D966" s="68" t="s">
        <v>1285</v>
      </c>
      <c r="E966" s="68">
        <v>0</v>
      </c>
      <c r="F966" s="68" t="s">
        <v>1285</v>
      </c>
      <c r="G966" s="68">
        <v>2</v>
      </c>
      <c r="H966" s="68" t="s">
        <v>1285</v>
      </c>
      <c r="I966" s="68">
        <v>0</v>
      </c>
      <c r="J966" s="68" t="s">
        <v>1278</v>
      </c>
    </row>
    <row r="967" spans="1:10" ht="12.75" customHeight="1">
      <c r="A967" s="71"/>
      <c r="B967" s="71" t="s">
        <v>1279</v>
      </c>
      <c r="C967" s="68" t="s">
        <v>1278</v>
      </c>
      <c r="D967" s="68" t="s">
        <v>1285</v>
      </c>
      <c r="E967" s="68">
        <v>0</v>
      </c>
      <c r="F967" s="68">
        <v>0</v>
      </c>
      <c r="G967" s="68">
        <v>1</v>
      </c>
      <c r="H967" s="68" t="s">
        <v>1285</v>
      </c>
      <c r="I967" s="68">
        <v>0</v>
      </c>
      <c r="J967" s="68" t="s">
        <v>1278</v>
      </c>
    </row>
    <row r="968" spans="1:10" ht="12.75" customHeight="1">
      <c r="A968" s="71"/>
      <c r="B968" s="71" t="s">
        <v>1280</v>
      </c>
      <c r="C968" s="68" t="s">
        <v>1278</v>
      </c>
      <c r="D968" s="68">
        <v>0</v>
      </c>
      <c r="E968" s="68">
        <v>0</v>
      </c>
      <c r="F968" s="68" t="s">
        <v>1285</v>
      </c>
      <c r="G968" s="68">
        <v>1</v>
      </c>
      <c r="H968" s="68" t="s">
        <v>1285</v>
      </c>
      <c r="I968" s="68">
        <v>0</v>
      </c>
      <c r="J968" s="68" t="s">
        <v>1278</v>
      </c>
    </row>
    <row r="969" spans="1:10" ht="12.75" customHeight="1">
      <c r="A969" s="71"/>
      <c r="B969" s="69" t="s">
        <v>1281</v>
      </c>
      <c r="C969" s="68" t="s">
        <v>1278</v>
      </c>
      <c r="D969" s="68" t="s">
        <v>1282</v>
      </c>
      <c r="E969" s="68" t="s">
        <v>1285</v>
      </c>
      <c r="F969" s="68" t="s">
        <v>1282</v>
      </c>
      <c r="G969" s="68">
        <v>22</v>
      </c>
      <c r="H969" s="68" t="s">
        <v>1285</v>
      </c>
      <c r="I969" s="68" t="s">
        <v>1282</v>
      </c>
      <c r="J969" s="68" t="s">
        <v>1278</v>
      </c>
    </row>
    <row r="970" spans="1:10" ht="12.75" customHeight="1">
      <c r="A970" s="71"/>
      <c r="B970" s="71" t="s">
        <v>1283</v>
      </c>
      <c r="C970" s="68" t="s">
        <v>1278</v>
      </c>
      <c r="D970" s="68" t="s">
        <v>1285</v>
      </c>
      <c r="E970" s="68" t="s">
        <v>1285</v>
      </c>
      <c r="F970" s="68" t="s">
        <v>1282</v>
      </c>
      <c r="G970" s="68">
        <v>20</v>
      </c>
      <c r="H970" s="68" t="s">
        <v>1285</v>
      </c>
      <c r="I970" s="68" t="s">
        <v>1282</v>
      </c>
      <c r="J970" s="68" t="s">
        <v>1278</v>
      </c>
    </row>
    <row r="971" spans="1:10" ht="12.75" customHeight="1">
      <c r="A971" s="71"/>
      <c r="B971" s="71" t="s">
        <v>1284</v>
      </c>
      <c r="C971" s="68" t="s">
        <v>1278</v>
      </c>
      <c r="D971" s="68" t="s">
        <v>1285</v>
      </c>
      <c r="E971" s="68">
        <v>0</v>
      </c>
      <c r="F971" s="68">
        <v>0</v>
      </c>
      <c r="G971" s="68">
        <v>0</v>
      </c>
      <c r="H971" s="68">
        <v>0</v>
      </c>
      <c r="I971" s="68">
        <v>0</v>
      </c>
      <c r="J971" s="68" t="s">
        <v>1278</v>
      </c>
    </row>
    <row r="972" spans="1:10" ht="12.75" customHeight="1">
      <c r="A972" s="71"/>
      <c r="B972" s="71" t="s">
        <v>1286</v>
      </c>
      <c r="C972" s="68" t="s">
        <v>1278</v>
      </c>
      <c r="D972" s="68" t="s">
        <v>1282</v>
      </c>
      <c r="E972" s="68">
        <v>0</v>
      </c>
      <c r="F972" s="68" t="s">
        <v>1285</v>
      </c>
      <c r="G972" s="68" t="s">
        <v>1285</v>
      </c>
      <c r="H972" s="68" t="s">
        <v>1285</v>
      </c>
      <c r="I972" s="68">
        <v>0</v>
      </c>
      <c r="J972" s="68" t="s">
        <v>1278</v>
      </c>
    </row>
    <row r="973" spans="1:10" ht="12.75" customHeight="1">
      <c r="A973" s="71"/>
      <c r="B973" s="71" t="s">
        <v>1287</v>
      </c>
      <c r="C973" s="68" t="s">
        <v>1278</v>
      </c>
      <c r="D973" s="68">
        <v>0</v>
      </c>
      <c r="E973" s="68" t="s">
        <v>1278</v>
      </c>
      <c r="F973" s="68" t="s">
        <v>1278</v>
      </c>
      <c r="G973" s="68" t="s">
        <v>1278</v>
      </c>
      <c r="H973" s="68" t="s">
        <v>1278</v>
      </c>
      <c r="I973" s="68" t="s">
        <v>1278</v>
      </c>
      <c r="J973" s="68" t="s">
        <v>1278</v>
      </c>
    </row>
    <row r="974" spans="1:10" ht="12.75" customHeight="1">
      <c r="A974" s="71"/>
      <c r="B974" s="71" t="s">
        <v>1288</v>
      </c>
      <c r="C974" s="68" t="s">
        <v>1278</v>
      </c>
      <c r="D974" s="68">
        <v>0</v>
      </c>
      <c r="E974" s="68">
        <v>0</v>
      </c>
      <c r="F974" s="68" t="s">
        <v>1285</v>
      </c>
      <c r="G974" s="68">
        <v>1</v>
      </c>
      <c r="H974" s="68">
        <v>0</v>
      </c>
      <c r="I974" s="68">
        <v>0</v>
      </c>
      <c r="J974" s="68" t="s">
        <v>1278</v>
      </c>
    </row>
    <row r="975" spans="1:10" ht="12.75" customHeight="1">
      <c r="A975" s="71"/>
      <c r="B975" s="69" t="s">
        <v>1289</v>
      </c>
      <c r="C975" s="68" t="s">
        <v>1278</v>
      </c>
      <c r="D975" s="68">
        <v>1</v>
      </c>
      <c r="E975" s="68">
        <v>0</v>
      </c>
      <c r="F975" s="68" t="s">
        <v>1285</v>
      </c>
      <c r="G975" s="68" t="s">
        <v>1285</v>
      </c>
      <c r="H975" s="68" t="s">
        <v>1285</v>
      </c>
      <c r="I975" s="68">
        <v>0</v>
      </c>
      <c r="J975" s="68" t="s">
        <v>1278</v>
      </c>
    </row>
    <row r="976" spans="1:10" ht="12.75" customHeight="1">
      <c r="A976" s="71"/>
      <c r="B976" s="71" t="s">
        <v>1290</v>
      </c>
      <c r="C976" s="68" t="s">
        <v>1278</v>
      </c>
      <c r="D976" s="68" t="s">
        <v>1285</v>
      </c>
      <c r="E976" s="68">
        <v>0</v>
      </c>
      <c r="F976" s="68" t="s">
        <v>1285</v>
      </c>
      <c r="G976" s="68" t="s">
        <v>1285</v>
      </c>
      <c r="H976" s="68" t="s">
        <v>1285</v>
      </c>
      <c r="I976" s="68">
        <v>0</v>
      </c>
      <c r="J976" s="68" t="s">
        <v>1278</v>
      </c>
    </row>
    <row r="977" spans="1:10" ht="12.75" customHeight="1">
      <c r="A977" s="71"/>
      <c r="B977" s="71" t="s">
        <v>1291</v>
      </c>
      <c r="C977" s="68" t="s">
        <v>1278</v>
      </c>
      <c r="D977" s="68" t="s">
        <v>1285</v>
      </c>
      <c r="E977" s="68" t="s">
        <v>1278</v>
      </c>
      <c r="F977" s="68" t="s">
        <v>1278</v>
      </c>
      <c r="G977" s="68" t="s">
        <v>1278</v>
      </c>
      <c r="H977" s="68" t="s">
        <v>1278</v>
      </c>
      <c r="I977" s="68" t="s">
        <v>1278</v>
      </c>
      <c r="J977" s="68" t="s">
        <v>1278</v>
      </c>
    </row>
    <row r="978" spans="1:10" ht="12.75" customHeight="1">
      <c r="A978" s="71"/>
      <c r="B978" s="71" t="s">
        <v>1292</v>
      </c>
      <c r="C978" s="68" t="s">
        <v>1278</v>
      </c>
      <c r="D978" s="68" t="s">
        <v>1285</v>
      </c>
      <c r="E978" s="68">
        <v>0</v>
      </c>
      <c r="F978" s="68" t="s">
        <v>1285</v>
      </c>
      <c r="G978" s="68" t="s">
        <v>1285</v>
      </c>
      <c r="H978" s="68" t="s">
        <v>1285</v>
      </c>
      <c r="I978" s="68">
        <v>0</v>
      </c>
      <c r="J978" s="68" t="s">
        <v>1278</v>
      </c>
    </row>
    <row r="979" spans="1:10" ht="12.75" customHeight="1">
      <c r="A979" s="71"/>
      <c r="B979" s="71" t="s">
        <v>1293</v>
      </c>
      <c r="C979" s="68" t="s">
        <v>1278</v>
      </c>
      <c r="D979" s="68" t="s">
        <v>1285</v>
      </c>
      <c r="E979" s="68" t="s">
        <v>1278</v>
      </c>
      <c r="F979" s="68" t="s">
        <v>1285</v>
      </c>
      <c r="G979" s="68">
        <v>0</v>
      </c>
      <c r="H979" s="68" t="s">
        <v>1285</v>
      </c>
      <c r="I979" s="68" t="s">
        <v>1278</v>
      </c>
      <c r="J979" s="68" t="s">
        <v>1278</v>
      </c>
    </row>
    <row r="980" spans="1:10" ht="12.75" customHeight="1">
      <c r="A980" s="71"/>
      <c r="B980" s="71" t="s">
        <v>1294</v>
      </c>
      <c r="C980" s="68" t="s">
        <v>1278</v>
      </c>
      <c r="D980" s="68" t="s">
        <v>1278</v>
      </c>
      <c r="E980" s="68">
        <v>0</v>
      </c>
      <c r="F980" s="68" t="s">
        <v>1285</v>
      </c>
      <c r="G980" s="68">
        <v>0</v>
      </c>
      <c r="H980" s="68">
        <v>0</v>
      </c>
      <c r="I980" s="68">
        <v>0</v>
      </c>
      <c r="J980" s="68" t="s">
        <v>1278</v>
      </c>
    </row>
    <row r="981" spans="1:10" ht="12.75" customHeight="1">
      <c r="A981" s="71"/>
      <c r="B981" s="71" t="s">
        <v>1295</v>
      </c>
      <c r="C981" s="68" t="s">
        <v>1278</v>
      </c>
      <c r="D981" s="68">
        <v>0</v>
      </c>
      <c r="E981" s="68">
        <v>0</v>
      </c>
      <c r="F981" s="68" t="s">
        <v>1285</v>
      </c>
      <c r="G981" s="68">
        <v>0</v>
      </c>
      <c r="H981" s="68">
        <v>0</v>
      </c>
      <c r="I981" s="68">
        <v>0</v>
      </c>
      <c r="J981" s="68" t="s">
        <v>1278</v>
      </c>
    </row>
    <row r="982" spans="1:10" ht="12.75" customHeight="1">
      <c r="A982" s="71"/>
      <c r="B982" s="69" t="s">
        <v>1296</v>
      </c>
      <c r="C982" s="68" t="s">
        <v>1285</v>
      </c>
      <c r="D982" s="68">
        <v>0</v>
      </c>
      <c r="E982" s="68">
        <v>0</v>
      </c>
      <c r="F982" s="68">
        <v>0</v>
      </c>
      <c r="G982" s="68">
        <v>0</v>
      </c>
      <c r="H982" s="68" t="s">
        <v>1285</v>
      </c>
      <c r="I982" s="68">
        <v>0</v>
      </c>
      <c r="J982" s="68" t="s">
        <v>1285</v>
      </c>
    </row>
    <row r="983" spans="1:10" ht="12.75" customHeight="1">
      <c r="A983" s="71"/>
      <c r="B983" s="69"/>
      <c r="C983" s="68"/>
      <c r="D983" s="68"/>
      <c r="E983" s="68"/>
      <c r="F983" s="68"/>
      <c r="G983" s="68"/>
      <c r="H983" s="68"/>
      <c r="I983" s="68"/>
      <c r="J983" s="68"/>
    </row>
    <row r="984" spans="1:10" s="73" customFormat="1" ht="12.75" customHeight="1">
      <c r="A984" s="69" t="s">
        <v>1384</v>
      </c>
      <c r="B984" s="69" t="s">
        <v>1385</v>
      </c>
      <c r="C984" s="74"/>
      <c r="D984" s="74"/>
      <c r="E984" s="74"/>
      <c r="F984" s="74"/>
      <c r="G984" s="74"/>
      <c r="H984" s="74"/>
      <c r="I984" s="74"/>
      <c r="J984" s="74"/>
    </row>
    <row r="985" spans="1:10" s="73" customFormat="1" ht="12.75" customHeight="1">
      <c r="A985" s="69"/>
      <c r="B985" s="69"/>
      <c r="C985" s="74"/>
      <c r="D985" s="74"/>
      <c r="E985" s="74"/>
      <c r="F985" s="74"/>
      <c r="G985" s="74"/>
      <c r="H985" s="74"/>
      <c r="I985" s="74"/>
      <c r="J985" s="74"/>
    </row>
    <row r="986" spans="1:10" s="73" customFormat="1" ht="12.75" customHeight="1">
      <c r="A986" s="69"/>
      <c r="B986" s="69"/>
      <c r="C986" s="74"/>
      <c r="D986" s="74"/>
      <c r="E986" s="74"/>
      <c r="F986" s="74"/>
      <c r="G986" s="74"/>
      <c r="H986" s="74"/>
      <c r="I986" s="74"/>
      <c r="J986" s="74"/>
    </row>
    <row r="987" spans="1:10" ht="12.75" customHeight="1">
      <c r="A987" s="71"/>
      <c r="B987" s="69" t="s">
        <v>1276</v>
      </c>
      <c r="C987" s="68">
        <v>114</v>
      </c>
      <c r="D987" s="68">
        <v>36</v>
      </c>
      <c r="E987" s="68">
        <v>0</v>
      </c>
      <c r="F987" s="68">
        <v>1</v>
      </c>
      <c r="G987" s="68">
        <v>62</v>
      </c>
      <c r="H987" s="68" t="s">
        <v>1285</v>
      </c>
      <c r="I987" s="68" t="s">
        <v>1285</v>
      </c>
      <c r="J987" s="68">
        <v>16</v>
      </c>
    </row>
    <row r="988" spans="1:10" ht="12.75" customHeight="1">
      <c r="A988" s="71"/>
      <c r="B988" s="69" t="s">
        <v>1277</v>
      </c>
      <c r="C988" s="68" t="s">
        <v>1278</v>
      </c>
      <c r="D988" s="68">
        <v>1</v>
      </c>
      <c r="E988" s="68">
        <v>0</v>
      </c>
      <c r="F988" s="68" t="s">
        <v>1285</v>
      </c>
      <c r="G988" s="68">
        <v>37</v>
      </c>
      <c r="H988" s="68" t="s">
        <v>1285</v>
      </c>
      <c r="I988" s="68" t="s">
        <v>1285</v>
      </c>
      <c r="J988" s="68" t="s">
        <v>1278</v>
      </c>
    </row>
    <row r="989" spans="1:10" ht="12.75" customHeight="1">
      <c r="A989" s="71"/>
      <c r="B989" s="71" t="s">
        <v>1279</v>
      </c>
      <c r="C989" s="68" t="s">
        <v>1278</v>
      </c>
      <c r="D989" s="68">
        <v>1</v>
      </c>
      <c r="E989" s="68">
        <v>0</v>
      </c>
      <c r="F989" s="68" t="s">
        <v>1285</v>
      </c>
      <c r="G989" s="68">
        <v>20</v>
      </c>
      <c r="H989" s="68" t="s">
        <v>1285</v>
      </c>
      <c r="I989" s="68" t="s">
        <v>1285</v>
      </c>
      <c r="J989" s="68" t="s">
        <v>1278</v>
      </c>
    </row>
    <row r="990" spans="1:10" ht="12.75" customHeight="1">
      <c r="A990" s="71"/>
      <c r="B990" s="71" t="s">
        <v>1280</v>
      </c>
      <c r="C990" s="68" t="s">
        <v>1278</v>
      </c>
      <c r="D990" s="68">
        <v>0</v>
      </c>
      <c r="E990" s="68">
        <v>0</v>
      </c>
      <c r="F990" s="68" t="s">
        <v>1285</v>
      </c>
      <c r="G990" s="68">
        <v>17</v>
      </c>
      <c r="H990" s="68" t="s">
        <v>1285</v>
      </c>
      <c r="I990" s="68">
        <v>0</v>
      </c>
      <c r="J990" s="68" t="s">
        <v>1278</v>
      </c>
    </row>
    <row r="991" spans="1:10" ht="12.75" customHeight="1">
      <c r="A991" s="71"/>
      <c r="B991" s="69" t="s">
        <v>1281</v>
      </c>
      <c r="C991" s="68" t="s">
        <v>1278</v>
      </c>
      <c r="D991" s="68">
        <v>18</v>
      </c>
      <c r="E991" s="68">
        <v>0</v>
      </c>
      <c r="F991" s="68" t="s">
        <v>1285</v>
      </c>
      <c r="G991" s="68">
        <v>8</v>
      </c>
      <c r="H991" s="68" t="s">
        <v>1285</v>
      </c>
      <c r="I991" s="68">
        <v>0</v>
      </c>
      <c r="J991" s="68" t="s">
        <v>1278</v>
      </c>
    </row>
    <row r="992" spans="1:10" ht="12.75" customHeight="1">
      <c r="A992" s="71"/>
      <c r="B992" s="71" t="s">
        <v>1283</v>
      </c>
      <c r="C992" s="68" t="s">
        <v>1278</v>
      </c>
      <c r="D992" s="68">
        <v>1</v>
      </c>
      <c r="E992" s="68">
        <v>0</v>
      </c>
      <c r="F992" s="68" t="s">
        <v>1285</v>
      </c>
      <c r="G992" s="68">
        <v>6</v>
      </c>
      <c r="H992" s="68" t="s">
        <v>1285</v>
      </c>
      <c r="I992" s="68">
        <v>0</v>
      </c>
      <c r="J992" s="68" t="s">
        <v>1278</v>
      </c>
    </row>
    <row r="993" spans="1:10" ht="12.75" customHeight="1">
      <c r="A993" s="71"/>
      <c r="B993" s="71" t="s">
        <v>1284</v>
      </c>
      <c r="C993" s="68" t="s">
        <v>1278</v>
      </c>
      <c r="D993" s="68">
        <v>6</v>
      </c>
      <c r="E993" s="68">
        <v>0</v>
      </c>
      <c r="F993" s="68" t="s">
        <v>1285</v>
      </c>
      <c r="G993" s="68" t="s">
        <v>1285</v>
      </c>
      <c r="H993" s="68">
        <v>0</v>
      </c>
      <c r="I993" s="68">
        <v>0</v>
      </c>
      <c r="J993" s="68" t="s">
        <v>1278</v>
      </c>
    </row>
    <row r="994" spans="1:10" ht="12.75" customHeight="1">
      <c r="A994" s="71"/>
      <c r="B994" s="71" t="s">
        <v>1286</v>
      </c>
      <c r="C994" s="68" t="s">
        <v>1278</v>
      </c>
      <c r="D994" s="68">
        <v>10</v>
      </c>
      <c r="E994" s="68">
        <v>0</v>
      </c>
      <c r="F994" s="68" t="s">
        <v>1285</v>
      </c>
      <c r="G994" s="68">
        <v>1</v>
      </c>
      <c r="H994" s="68" t="s">
        <v>1285</v>
      </c>
      <c r="I994" s="68">
        <v>0</v>
      </c>
      <c r="J994" s="68" t="s">
        <v>1278</v>
      </c>
    </row>
    <row r="995" spans="1:10" ht="12.75" customHeight="1">
      <c r="A995" s="71"/>
      <c r="B995" s="71" t="s">
        <v>1287</v>
      </c>
      <c r="C995" s="68" t="s">
        <v>1278</v>
      </c>
      <c r="D995" s="68" t="s">
        <v>1285</v>
      </c>
      <c r="E995" s="68" t="s">
        <v>1278</v>
      </c>
      <c r="F995" s="68" t="s">
        <v>1278</v>
      </c>
      <c r="G995" s="68" t="s">
        <v>1278</v>
      </c>
      <c r="H995" s="68" t="s">
        <v>1278</v>
      </c>
      <c r="I995" s="68" t="s">
        <v>1278</v>
      </c>
      <c r="J995" s="68" t="s">
        <v>1278</v>
      </c>
    </row>
    <row r="996" spans="1:10" ht="12.75" customHeight="1">
      <c r="A996" s="71"/>
      <c r="B996" s="71" t="s">
        <v>1288</v>
      </c>
      <c r="C996" s="68" t="s">
        <v>1278</v>
      </c>
      <c r="D996" s="68">
        <v>1</v>
      </c>
      <c r="E996" s="68">
        <v>0</v>
      </c>
      <c r="F996" s="68" t="s">
        <v>1285</v>
      </c>
      <c r="G996" s="68" t="s">
        <v>1285</v>
      </c>
      <c r="H996" s="68" t="s">
        <v>1285</v>
      </c>
      <c r="I996" s="68">
        <v>0</v>
      </c>
      <c r="J996" s="68" t="s">
        <v>1278</v>
      </c>
    </row>
    <row r="997" spans="1:10" ht="12.75" customHeight="1">
      <c r="A997" s="71"/>
      <c r="B997" s="69" t="s">
        <v>1289</v>
      </c>
      <c r="C997" s="68" t="s">
        <v>1278</v>
      </c>
      <c r="D997" s="68">
        <v>16</v>
      </c>
      <c r="E997" s="68">
        <v>0</v>
      </c>
      <c r="F997" s="68" t="s">
        <v>1285</v>
      </c>
      <c r="G997" s="68">
        <v>17</v>
      </c>
      <c r="H997" s="68" t="s">
        <v>1285</v>
      </c>
      <c r="I997" s="68" t="s">
        <v>1285</v>
      </c>
      <c r="J997" s="68" t="s">
        <v>1278</v>
      </c>
    </row>
    <row r="998" spans="1:10" ht="12.75" customHeight="1">
      <c r="A998" s="71"/>
      <c r="B998" s="71" t="s">
        <v>1290</v>
      </c>
      <c r="C998" s="68" t="s">
        <v>1278</v>
      </c>
      <c r="D998" s="68">
        <v>10</v>
      </c>
      <c r="E998" s="68">
        <v>0</v>
      </c>
      <c r="F998" s="68" t="s">
        <v>1285</v>
      </c>
      <c r="G998" s="68">
        <v>15</v>
      </c>
      <c r="H998" s="68" t="s">
        <v>1285</v>
      </c>
      <c r="I998" s="68" t="s">
        <v>1285</v>
      </c>
      <c r="J998" s="68" t="s">
        <v>1278</v>
      </c>
    </row>
    <row r="999" spans="1:10" ht="12.75" customHeight="1">
      <c r="A999" s="71"/>
      <c r="B999" s="71" t="s">
        <v>1291</v>
      </c>
      <c r="C999" s="68" t="s">
        <v>1278</v>
      </c>
      <c r="D999" s="68">
        <v>4</v>
      </c>
      <c r="E999" s="68" t="s">
        <v>1278</v>
      </c>
      <c r="F999" s="68" t="s">
        <v>1278</v>
      </c>
      <c r="G999" s="68" t="s">
        <v>1278</v>
      </c>
      <c r="H999" s="68" t="s">
        <v>1278</v>
      </c>
      <c r="I999" s="68" t="s">
        <v>1278</v>
      </c>
      <c r="J999" s="68" t="s">
        <v>1278</v>
      </c>
    </row>
    <row r="1000" spans="1:10" ht="12.75" customHeight="1">
      <c r="A1000" s="71"/>
      <c r="B1000" s="71" t="s">
        <v>1292</v>
      </c>
      <c r="C1000" s="68" t="s">
        <v>1278</v>
      </c>
      <c r="D1000" s="68">
        <v>2</v>
      </c>
      <c r="E1000" s="68">
        <v>0</v>
      </c>
      <c r="F1000" s="68" t="s">
        <v>1285</v>
      </c>
      <c r="G1000" s="68">
        <v>1</v>
      </c>
      <c r="H1000" s="68" t="s">
        <v>1285</v>
      </c>
      <c r="I1000" s="68">
        <v>0</v>
      </c>
      <c r="J1000" s="68" t="s">
        <v>1278</v>
      </c>
    </row>
    <row r="1001" spans="1:10" ht="12.75" customHeight="1">
      <c r="A1001" s="71"/>
      <c r="B1001" s="71" t="s">
        <v>1293</v>
      </c>
      <c r="C1001" s="68" t="s">
        <v>1278</v>
      </c>
      <c r="D1001" s="68" t="s">
        <v>1285</v>
      </c>
      <c r="E1001" s="68" t="s">
        <v>1278</v>
      </c>
      <c r="F1001" s="68" t="s">
        <v>1285</v>
      </c>
      <c r="G1001" s="68" t="s">
        <v>1285</v>
      </c>
      <c r="H1001" s="68" t="s">
        <v>1285</v>
      </c>
      <c r="I1001" s="68" t="s">
        <v>1278</v>
      </c>
      <c r="J1001" s="68" t="s">
        <v>1278</v>
      </c>
    </row>
    <row r="1002" spans="1:10" ht="12.75" customHeight="1">
      <c r="A1002" s="71"/>
      <c r="B1002" s="71" t="s">
        <v>1294</v>
      </c>
      <c r="C1002" s="68" t="s">
        <v>1278</v>
      </c>
      <c r="D1002" s="68" t="s">
        <v>1278</v>
      </c>
      <c r="E1002" s="68">
        <v>0</v>
      </c>
      <c r="F1002" s="68" t="s">
        <v>1285</v>
      </c>
      <c r="G1002" s="68" t="s">
        <v>1285</v>
      </c>
      <c r="H1002" s="68" t="s">
        <v>1285</v>
      </c>
      <c r="I1002" s="68">
        <v>0</v>
      </c>
      <c r="J1002" s="68" t="s">
        <v>1278</v>
      </c>
    </row>
    <row r="1003" spans="1:10" ht="12.75" customHeight="1">
      <c r="A1003" s="71"/>
      <c r="B1003" s="71" t="s">
        <v>1295</v>
      </c>
      <c r="C1003" s="68" t="s">
        <v>1278</v>
      </c>
      <c r="D1003" s="68">
        <v>1</v>
      </c>
      <c r="E1003" s="68">
        <v>0</v>
      </c>
      <c r="F1003" s="68" t="s">
        <v>1285</v>
      </c>
      <c r="G1003" s="68" t="s">
        <v>1285</v>
      </c>
      <c r="H1003" s="68" t="s">
        <v>1285</v>
      </c>
      <c r="I1003" s="68">
        <v>0</v>
      </c>
      <c r="J1003" s="68" t="s">
        <v>1278</v>
      </c>
    </row>
    <row r="1004" spans="1:10" ht="12.75" customHeight="1">
      <c r="A1004" s="71"/>
      <c r="B1004" s="69" t="s">
        <v>1296</v>
      </c>
      <c r="C1004" s="68">
        <v>17</v>
      </c>
      <c r="D1004" s="68">
        <v>1</v>
      </c>
      <c r="E1004" s="68">
        <v>0</v>
      </c>
      <c r="F1004" s="68">
        <v>0</v>
      </c>
      <c r="G1004" s="68">
        <v>1</v>
      </c>
      <c r="H1004" s="68" t="s">
        <v>1285</v>
      </c>
      <c r="I1004" s="68">
        <v>0</v>
      </c>
      <c r="J1004" s="68">
        <v>16</v>
      </c>
    </row>
    <row r="1005" spans="1:10" ht="12.75" customHeight="1">
      <c r="A1005" s="71"/>
      <c r="B1005" s="69"/>
      <c r="C1005" s="68"/>
      <c r="D1005" s="68"/>
      <c r="E1005" s="68"/>
      <c r="F1005" s="68"/>
      <c r="G1005" s="68"/>
      <c r="H1005" s="68"/>
      <c r="I1005" s="68"/>
      <c r="J1005" s="68"/>
    </row>
    <row r="1006" spans="1:10" s="73" customFormat="1" ht="12.75" customHeight="1">
      <c r="A1006" s="69" t="s">
        <v>1386</v>
      </c>
      <c r="B1006" s="69" t="s">
        <v>1387</v>
      </c>
      <c r="C1006" s="74"/>
      <c r="D1006" s="74"/>
      <c r="E1006" s="74"/>
      <c r="F1006" s="74"/>
      <c r="G1006" s="74"/>
      <c r="H1006" s="74"/>
      <c r="I1006" s="74"/>
      <c r="J1006" s="74"/>
    </row>
    <row r="1007" spans="1:10" ht="12.75" customHeight="1">
      <c r="A1007" s="71"/>
      <c r="B1007" s="71"/>
      <c r="C1007" s="68"/>
      <c r="D1007" s="68"/>
      <c r="E1007" s="68"/>
      <c r="F1007" s="68"/>
      <c r="G1007" s="68"/>
      <c r="H1007" s="68"/>
      <c r="I1007" s="68"/>
      <c r="J1007" s="68"/>
    </row>
    <row r="1008" spans="1:10" ht="12.75" customHeight="1">
      <c r="A1008" s="71"/>
      <c r="B1008" s="71"/>
      <c r="C1008" s="68"/>
      <c r="D1008" s="68"/>
      <c r="E1008" s="68"/>
      <c r="F1008" s="68"/>
      <c r="G1008" s="68"/>
      <c r="H1008" s="68"/>
      <c r="I1008" s="68"/>
      <c r="J1008" s="68"/>
    </row>
    <row r="1009" spans="1:10" ht="12.75" customHeight="1">
      <c r="A1009" s="71"/>
      <c r="B1009" s="69" t="s">
        <v>1276</v>
      </c>
      <c r="C1009" s="68">
        <v>66</v>
      </c>
      <c r="D1009" s="68">
        <v>21</v>
      </c>
      <c r="E1009" s="68">
        <v>0</v>
      </c>
      <c r="F1009" s="68" t="s">
        <v>1285</v>
      </c>
      <c r="G1009" s="68">
        <v>30</v>
      </c>
      <c r="H1009" s="68" t="s">
        <v>1285</v>
      </c>
      <c r="I1009" s="68" t="s">
        <v>1285</v>
      </c>
      <c r="J1009" s="68">
        <v>14</v>
      </c>
    </row>
    <row r="1010" spans="1:10" ht="12.75" customHeight="1">
      <c r="A1010" s="71"/>
      <c r="B1010" s="69" t="s">
        <v>1277</v>
      </c>
      <c r="C1010" s="68" t="s">
        <v>1278</v>
      </c>
      <c r="D1010" s="68">
        <v>1</v>
      </c>
      <c r="E1010" s="68">
        <v>0</v>
      </c>
      <c r="F1010" s="68" t="s">
        <v>1285</v>
      </c>
      <c r="G1010" s="68">
        <v>14</v>
      </c>
      <c r="H1010" s="68" t="s">
        <v>1285</v>
      </c>
      <c r="I1010" s="68" t="s">
        <v>1285</v>
      </c>
      <c r="J1010" s="68" t="s">
        <v>1278</v>
      </c>
    </row>
    <row r="1011" spans="1:10" ht="12.75" customHeight="1">
      <c r="A1011" s="71"/>
      <c r="B1011" s="71" t="s">
        <v>1279</v>
      </c>
      <c r="C1011" s="68" t="s">
        <v>1278</v>
      </c>
      <c r="D1011" s="68">
        <v>1</v>
      </c>
      <c r="E1011" s="68">
        <v>0</v>
      </c>
      <c r="F1011" s="68" t="s">
        <v>1285</v>
      </c>
      <c r="G1011" s="68">
        <v>9</v>
      </c>
      <c r="H1011" s="68" t="s">
        <v>1285</v>
      </c>
      <c r="I1011" s="68" t="s">
        <v>1285</v>
      </c>
      <c r="J1011" s="68" t="s">
        <v>1278</v>
      </c>
    </row>
    <row r="1012" spans="1:10" ht="12.75" customHeight="1">
      <c r="A1012" s="71"/>
      <c r="B1012" s="71" t="s">
        <v>1280</v>
      </c>
      <c r="C1012" s="68" t="s">
        <v>1278</v>
      </c>
      <c r="D1012" s="68">
        <v>0</v>
      </c>
      <c r="E1012" s="68">
        <v>0</v>
      </c>
      <c r="F1012" s="68" t="s">
        <v>1285</v>
      </c>
      <c r="G1012" s="68">
        <v>5</v>
      </c>
      <c r="H1012" s="68" t="s">
        <v>1285</v>
      </c>
      <c r="I1012" s="68">
        <v>0</v>
      </c>
      <c r="J1012" s="68" t="s">
        <v>1278</v>
      </c>
    </row>
    <row r="1013" spans="1:10" ht="12.75" customHeight="1">
      <c r="A1013" s="71"/>
      <c r="B1013" s="69" t="s">
        <v>1281</v>
      </c>
      <c r="C1013" s="68" t="s">
        <v>1278</v>
      </c>
      <c r="D1013" s="68">
        <v>11</v>
      </c>
      <c r="E1013" s="68">
        <v>0</v>
      </c>
      <c r="F1013" s="68" t="s">
        <v>1285</v>
      </c>
      <c r="G1013" s="68">
        <v>5</v>
      </c>
      <c r="H1013" s="68" t="s">
        <v>1285</v>
      </c>
      <c r="I1013" s="68">
        <v>0</v>
      </c>
      <c r="J1013" s="68" t="s">
        <v>1278</v>
      </c>
    </row>
    <row r="1014" spans="1:10" ht="12.75" customHeight="1">
      <c r="A1014" s="71"/>
      <c r="B1014" s="71" t="s">
        <v>1283</v>
      </c>
      <c r="C1014" s="68" t="s">
        <v>1278</v>
      </c>
      <c r="D1014" s="68">
        <v>1</v>
      </c>
      <c r="E1014" s="68">
        <v>0</v>
      </c>
      <c r="F1014" s="68" t="s">
        <v>1285</v>
      </c>
      <c r="G1014" s="68">
        <v>4</v>
      </c>
      <c r="H1014" s="68" t="s">
        <v>1285</v>
      </c>
      <c r="I1014" s="68">
        <v>0</v>
      </c>
      <c r="J1014" s="68" t="s">
        <v>1278</v>
      </c>
    </row>
    <row r="1015" spans="1:10" ht="12.75" customHeight="1">
      <c r="A1015" s="71"/>
      <c r="B1015" s="71" t="s">
        <v>1284</v>
      </c>
      <c r="C1015" s="68" t="s">
        <v>1278</v>
      </c>
      <c r="D1015" s="68">
        <v>3</v>
      </c>
      <c r="E1015" s="68">
        <v>0</v>
      </c>
      <c r="F1015" s="68" t="s">
        <v>1285</v>
      </c>
      <c r="G1015" s="68" t="s">
        <v>1285</v>
      </c>
      <c r="H1015" s="68">
        <v>0</v>
      </c>
      <c r="I1015" s="68">
        <v>0</v>
      </c>
      <c r="J1015" s="68" t="s">
        <v>1278</v>
      </c>
    </row>
    <row r="1016" spans="1:10" ht="12.75" customHeight="1">
      <c r="A1016" s="71"/>
      <c r="B1016" s="71" t="s">
        <v>1286</v>
      </c>
      <c r="C1016" s="68" t="s">
        <v>1278</v>
      </c>
      <c r="D1016" s="68">
        <v>6</v>
      </c>
      <c r="E1016" s="68">
        <v>0</v>
      </c>
      <c r="F1016" s="68" t="s">
        <v>1285</v>
      </c>
      <c r="G1016" s="68" t="s">
        <v>1285</v>
      </c>
      <c r="H1016" s="68" t="s">
        <v>1285</v>
      </c>
      <c r="I1016" s="68">
        <v>0</v>
      </c>
      <c r="J1016" s="68" t="s">
        <v>1278</v>
      </c>
    </row>
    <row r="1017" spans="1:10" ht="12.75" customHeight="1">
      <c r="A1017" s="71"/>
      <c r="B1017" s="71" t="s">
        <v>1287</v>
      </c>
      <c r="C1017" s="68" t="s">
        <v>1278</v>
      </c>
      <c r="D1017" s="68" t="s">
        <v>1285</v>
      </c>
      <c r="E1017" s="68" t="s">
        <v>1278</v>
      </c>
      <c r="F1017" s="68" t="s">
        <v>1278</v>
      </c>
      <c r="G1017" s="68" t="s">
        <v>1278</v>
      </c>
      <c r="H1017" s="68" t="s">
        <v>1278</v>
      </c>
      <c r="I1017" s="68" t="s">
        <v>1278</v>
      </c>
      <c r="J1017" s="68" t="s">
        <v>1278</v>
      </c>
    </row>
    <row r="1018" spans="1:10" ht="12.75" customHeight="1">
      <c r="A1018" s="71"/>
      <c r="B1018" s="71" t="s">
        <v>1288</v>
      </c>
      <c r="C1018" s="68" t="s">
        <v>1278</v>
      </c>
      <c r="D1018" s="68">
        <v>1</v>
      </c>
      <c r="E1018" s="68">
        <v>0</v>
      </c>
      <c r="F1018" s="68" t="s">
        <v>1285</v>
      </c>
      <c r="G1018" s="68" t="s">
        <v>1285</v>
      </c>
      <c r="H1018" s="68" t="s">
        <v>1285</v>
      </c>
      <c r="I1018" s="68">
        <v>0</v>
      </c>
      <c r="J1018" s="68" t="s">
        <v>1278</v>
      </c>
    </row>
    <row r="1019" spans="1:10" ht="12.75" customHeight="1">
      <c r="A1019" s="71"/>
      <c r="B1019" s="69" t="s">
        <v>1289</v>
      </c>
      <c r="C1019" s="68" t="s">
        <v>1278</v>
      </c>
      <c r="D1019" s="68">
        <v>9</v>
      </c>
      <c r="E1019" s="68">
        <v>0</v>
      </c>
      <c r="F1019" s="68" t="s">
        <v>1285</v>
      </c>
      <c r="G1019" s="68">
        <v>11</v>
      </c>
      <c r="H1019" s="68" t="s">
        <v>1285</v>
      </c>
      <c r="I1019" s="68" t="s">
        <v>1285</v>
      </c>
      <c r="J1019" s="68" t="s">
        <v>1278</v>
      </c>
    </row>
    <row r="1020" spans="1:10" ht="12.75" customHeight="1">
      <c r="A1020" s="71"/>
      <c r="B1020" s="71" t="s">
        <v>1290</v>
      </c>
      <c r="C1020" s="68" t="s">
        <v>1278</v>
      </c>
      <c r="D1020" s="68">
        <v>6</v>
      </c>
      <c r="E1020" s="68">
        <v>0</v>
      </c>
      <c r="F1020" s="68" t="s">
        <v>1285</v>
      </c>
      <c r="G1020" s="68">
        <v>10</v>
      </c>
      <c r="H1020" s="68" t="s">
        <v>1285</v>
      </c>
      <c r="I1020" s="68" t="s">
        <v>1285</v>
      </c>
      <c r="J1020" s="68" t="s">
        <v>1278</v>
      </c>
    </row>
    <row r="1021" spans="1:10" ht="12.75" customHeight="1">
      <c r="A1021" s="71"/>
      <c r="B1021" s="71" t="s">
        <v>1291</v>
      </c>
      <c r="C1021" s="68" t="s">
        <v>1278</v>
      </c>
      <c r="D1021" s="68">
        <v>2</v>
      </c>
      <c r="E1021" s="68" t="s">
        <v>1278</v>
      </c>
      <c r="F1021" s="68" t="s">
        <v>1278</v>
      </c>
      <c r="G1021" s="68" t="s">
        <v>1278</v>
      </c>
      <c r="H1021" s="68" t="s">
        <v>1278</v>
      </c>
      <c r="I1021" s="68" t="s">
        <v>1278</v>
      </c>
      <c r="J1021" s="68" t="s">
        <v>1278</v>
      </c>
    </row>
    <row r="1022" spans="1:10" ht="12.75" customHeight="1">
      <c r="A1022" s="71"/>
      <c r="B1022" s="71" t="s">
        <v>1292</v>
      </c>
      <c r="C1022" s="68" t="s">
        <v>1278</v>
      </c>
      <c r="D1022" s="68">
        <v>1</v>
      </c>
      <c r="E1022" s="68">
        <v>0</v>
      </c>
      <c r="F1022" s="68" t="s">
        <v>1285</v>
      </c>
      <c r="G1022" s="68" t="s">
        <v>1285</v>
      </c>
      <c r="H1022" s="68" t="s">
        <v>1285</v>
      </c>
      <c r="I1022" s="68">
        <v>0</v>
      </c>
      <c r="J1022" s="68" t="s">
        <v>1278</v>
      </c>
    </row>
    <row r="1023" spans="1:10" ht="12.75" customHeight="1">
      <c r="A1023" s="71"/>
      <c r="B1023" s="71" t="s">
        <v>1293</v>
      </c>
      <c r="C1023" s="68" t="s">
        <v>1278</v>
      </c>
      <c r="D1023" s="68" t="s">
        <v>1285</v>
      </c>
      <c r="E1023" s="68" t="s">
        <v>1278</v>
      </c>
      <c r="F1023" s="68" t="s">
        <v>1285</v>
      </c>
      <c r="G1023" s="68" t="s">
        <v>1285</v>
      </c>
      <c r="H1023" s="68" t="s">
        <v>1285</v>
      </c>
      <c r="I1023" s="68" t="s">
        <v>1278</v>
      </c>
      <c r="J1023" s="68" t="s">
        <v>1278</v>
      </c>
    </row>
    <row r="1024" spans="1:10" ht="12.75" customHeight="1">
      <c r="A1024" s="71"/>
      <c r="B1024" s="71" t="s">
        <v>1294</v>
      </c>
      <c r="C1024" s="68" t="s">
        <v>1278</v>
      </c>
      <c r="D1024" s="68" t="s">
        <v>1278</v>
      </c>
      <c r="E1024" s="68">
        <v>0</v>
      </c>
      <c r="F1024" s="68" t="s">
        <v>1285</v>
      </c>
      <c r="G1024" s="68" t="s">
        <v>1285</v>
      </c>
      <c r="H1024" s="68">
        <v>0</v>
      </c>
      <c r="I1024" s="68">
        <v>0</v>
      </c>
      <c r="J1024" s="68" t="s">
        <v>1278</v>
      </c>
    </row>
    <row r="1025" spans="1:10" ht="12.75" customHeight="1">
      <c r="A1025" s="71"/>
      <c r="B1025" s="71" t="s">
        <v>1295</v>
      </c>
      <c r="C1025" s="68" t="s">
        <v>1278</v>
      </c>
      <c r="D1025" s="68" t="s">
        <v>1285</v>
      </c>
      <c r="E1025" s="68">
        <v>0</v>
      </c>
      <c r="F1025" s="68" t="s">
        <v>1285</v>
      </c>
      <c r="G1025" s="68" t="s">
        <v>1285</v>
      </c>
      <c r="H1025" s="68" t="s">
        <v>1285</v>
      </c>
      <c r="I1025" s="68">
        <v>0</v>
      </c>
      <c r="J1025" s="68" t="s">
        <v>1278</v>
      </c>
    </row>
    <row r="1026" spans="1:10" ht="12.75" customHeight="1">
      <c r="A1026" s="71"/>
      <c r="B1026" s="69" t="s">
        <v>1296</v>
      </c>
      <c r="C1026" s="68">
        <v>15</v>
      </c>
      <c r="D1026" s="68" t="s">
        <v>1285</v>
      </c>
      <c r="E1026" s="68">
        <v>0</v>
      </c>
      <c r="F1026" s="68">
        <v>0</v>
      </c>
      <c r="G1026" s="68" t="s">
        <v>1285</v>
      </c>
      <c r="H1026" s="68" t="s">
        <v>1285</v>
      </c>
      <c r="I1026" s="68">
        <v>0</v>
      </c>
      <c r="J1026" s="68">
        <v>14</v>
      </c>
    </row>
    <row r="1027" spans="1:10" ht="12.75" customHeight="1">
      <c r="A1027" s="71"/>
      <c r="B1027" s="69"/>
      <c r="C1027" s="68"/>
      <c r="D1027" s="68"/>
      <c r="E1027" s="68"/>
      <c r="F1027" s="68"/>
      <c r="G1027" s="68"/>
      <c r="H1027" s="68"/>
      <c r="I1027" s="68"/>
      <c r="J1027" s="68"/>
    </row>
    <row r="1028" spans="1:10" s="73" customFormat="1" ht="12.75" customHeight="1">
      <c r="A1028" s="69" t="s">
        <v>1388</v>
      </c>
      <c r="B1028" s="69" t="s">
        <v>1389</v>
      </c>
      <c r="C1028" s="74"/>
      <c r="D1028" s="74"/>
      <c r="E1028" s="74"/>
      <c r="F1028" s="74"/>
      <c r="G1028" s="74"/>
      <c r="H1028" s="74"/>
      <c r="I1028" s="74"/>
      <c r="J1028" s="74"/>
    </row>
    <row r="1029" spans="1:10" ht="12.75" customHeight="1">
      <c r="A1029" s="71"/>
      <c r="B1029" s="71"/>
      <c r="C1029" s="68"/>
      <c r="D1029" s="68"/>
      <c r="E1029" s="68"/>
      <c r="F1029" s="68"/>
      <c r="G1029" s="68"/>
      <c r="H1029" s="68"/>
      <c r="I1029" s="68"/>
      <c r="J1029" s="68"/>
    </row>
    <row r="1030" spans="1:10" ht="12.75" customHeight="1">
      <c r="A1030" s="71"/>
      <c r="B1030" s="71"/>
      <c r="C1030" s="68"/>
      <c r="D1030" s="68"/>
      <c r="E1030" s="68"/>
      <c r="F1030" s="68"/>
      <c r="G1030" s="68"/>
      <c r="H1030" s="68"/>
      <c r="I1030" s="68"/>
      <c r="J1030" s="68"/>
    </row>
    <row r="1031" spans="1:10" ht="12.75" customHeight="1">
      <c r="A1031" s="71"/>
      <c r="B1031" s="69" t="s">
        <v>1276</v>
      </c>
      <c r="C1031" s="68">
        <v>8</v>
      </c>
      <c r="D1031" s="68">
        <v>3</v>
      </c>
      <c r="E1031" s="68" t="s">
        <v>1285</v>
      </c>
      <c r="F1031" s="68" t="s">
        <v>1285</v>
      </c>
      <c r="G1031" s="68">
        <v>3</v>
      </c>
      <c r="H1031" s="68" t="s">
        <v>1285</v>
      </c>
      <c r="I1031" s="68">
        <v>0</v>
      </c>
      <c r="J1031" s="68">
        <v>2</v>
      </c>
    </row>
    <row r="1032" spans="1:10" ht="12.75" customHeight="1">
      <c r="A1032" s="71"/>
      <c r="B1032" s="69" t="s">
        <v>1277</v>
      </c>
      <c r="C1032" s="68" t="s">
        <v>1278</v>
      </c>
      <c r="D1032" s="68" t="s">
        <v>1285</v>
      </c>
      <c r="E1032" s="68" t="s">
        <v>1285</v>
      </c>
      <c r="F1032" s="68" t="s">
        <v>1285</v>
      </c>
      <c r="G1032" s="68">
        <v>2</v>
      </c>
      <c r="H1032" s="68">
        <v>0</v>
      </c>
      <c r="I1032" s="68">
        <v>0</v>
      </c>
      <c r="J1032" s="68" t="s">
        <v>1278</v>
      </c>
    </row>
    <row r="1033" spans="1:10" ht="12.75" customHeight="1">
      <c r="A1033" s="71"/>
      <c r="B1033" s="71" t="s">
        <v>1279</v>
      </c>
      <c r="C1033" s="68" t="s">
        <v>1278</v>
      </c>
      <c r="D1033" s="68" t="s">
        <v>1285</v>
      </c>
      <c r="E1033" s="68">
        <v>0</v>
      </c>
      <c r="F1033" s="68" t="s">
        <v>1285</v>
      </c>
      <c r="G1033" s="68">
        <v>1</v>
      </c>
      <c r="H1033" s="68">
        <v>0</v>
      </c>
      <c r="I1033" s="68">
        <v>0</v>
      </c>
      <c r="J1033" s="68" t="s">
        <v>1278</v>
      </c>
    </row>
    <row r="1034" spans="1:10" ht="12.75" customHeight="1">
      <c r="A1034" s="71"/>
      <c r="B1034" s="71" t="s">
        <v>1280</v>
      </c>
      <c r="C1034" s="68" t="s">
        <v>1278</v>
      </c>
      <c r="D1034" s="68">
        <v>0</v>
      </c>
      <c r="E1034" s="68" t="s">
        <v>1285</v>
      </c>
      <c r="F1034" s="68" t="s">
        <v>1285</v>
      </c>
      <c r="G1034" s="68">
        <v>1</v>
      </c>
      <c r="H1034" s="68">
        <v>0</v>
      </c>
      <c r="I1034" s="68">
        <v>0</v>
      </c>
      <c r="J1034" s="68" t="s">
        <v>1278</v>
      </c>
    </row>
    <row r="1035" spans="1:10" ht="12.75" customHeight="1">
      <c r="A1035" s="71"/>
      <c r="B1035" s="69" t="s">
        <v>1281</v>
      </c>
      <c r="C1035" s="68" t="s">
        <v>1278</v>
      </c>
      <c r="D1035" s="68">
        <v>2</v>
      </c>
      <c r="E1035" s="68">
        <v>0</v>
      </c>
      <c r="F1035" s="68" t="s">
        <v>1285</v>
      </c>
      <c r="G1035" s="68">
        <v>1</v>
      </c>
      <c r="H1035" s="68" t="s">
        <v>1285</v>
      </c>
      <c r="I1035" s="68">
        <v>0</v>
      </c>
      <c r="J1035" s="68" t="s">
        <v>1278</v>
      </c>
    </row>
    <row r="1036" spans="1:10" ht="12.75" customHeight="1">
      <c r="A1036" s="71"/>
      <c r="B1036" s="71" t="s">
        <v>1283</v>
      </c>
      <c r="C1036" s="68" t="s">
        <v>1278</v>
      </c>
      <c r="D1036" s="68" t="s">
        <v>1285</v>
      </c>
      <c r="E1036" s="68">
        <v>0</v>
      </c>
      <c r="F1036" s="68" t="s">
        <v>1285</v>
      </c>
      <c r="G1036" s="68" t="s">
        <v>1285</v>
      </c>
      <c r="H1036" s="68">
        <v>0</v>
      </c>
      <c r="I1036" s="68">
        <v>0</v>
      </c>
      <c r="J1036" s="68" t="s">
        <v>1278</v>
      </c>
    </row>
    <row r="1037" spans="1:10" ht="12.75" customHeight="1">
      <c r="A1037" s="71"/>
      <c r="B1037" s="71" t="s">
        <v>1284</v>
      </c>
      <c r="C1037" s="68" t="s">
        <v>1278</v>
      </c>
      <c r="D1037" s="68">
        <v>1</v>
      </c>
      <c r="E1037" s="68">
        <v>0</v>
      </c>
      <c r="F1037" s="68" t="s">
        <v>1285</v>
      </c>
      <c r="G1037" s="68" t="s">
        <v>1285</v>
      </c>
      <c r="H1037" s="68">
        <v>0</v>
      </c>
      <c r="I1037" s="68">
        <v>0</v>
      </c>
      <c r="J1037" s="68" t="s">
        <v>1278</v>
      </c>
    </row>
    <row r="1038" spans="1:10" ht="12.75" customHeight="1">
      <c r="A1038" s="71"/>
      <c r="B1038" s="71" t="s">
        <v>1286</v>
      </c>
      <c r="C1038" s="68" t="s">
        <v>1278</v>
      </c>
      <c r="D1038" s="68">
        <v>1</v>
      </c>
      <c r="E1038" s="68">
        <v>0</v>
      </c>
      <c r="F1038" s="68" t="s">
        <v>1285</v>
      </c>
      <c r="G1038" s="68" t="s">
        <v>1285</v>
      </c>
      <c r="H1038" s="68" t="s">
        <v>1285</v>
      </c>
      <c r="I1038" s="68">
        <v>0</v>
      </c>
      <c r="J1038" s="68" t="s">
        <v>1278</v>
      </c>
    </row>
    <row r="1039" spans="1:10" ht="12.75" customHeight="1">
      <c r="A1039" s="71"/>
      <c r="B1039" s="71" t="s">
        <v>1287</v>
      </c>
      <c r="C1039" s="68" t="s">
        <v>1278</v>
      </c>
      <c r="D1039" s="68" t="s">
        <v>1285</v>
      </c>
      <c r="E1039" s="68" t="s">
        <v>1278</v>
      </c>
      <c r="F1039" s="68" t="s">
        <v>1278</v>
      </c>
      <c r="G1039" s="68" t="s">
        <v>1278</v>
      </c>
      <c r="H1039" s="68" t="s">
        <v>1278</v>
      </c>
      <c r="I1039" s="68" t="s">
        <v>1278</v>
      </c>
      <c r="J1039" s="68" t="s">
        <v>1278</v>
      </c>
    </row>
    <row r="1040" spans="1:10" ht="12.75" customHeight="1">
      <c r="A1040" s="71"/>
      <c r="B1040" s="71" t="s">
        <v>1288</v>
      </c>
      <c r="C1040" s="68" t="s">
        <v>1278</v>
      </c>
      <c r="D1040" s="68" t="s">
        <v>1285</v>
      </c>
      <c r="E1040" s="68">
        <v>0</v>
      </c>
      <c r="F1040" s="68" t="s">
        <v>1285</v>
      </c>
      <c r="G1040" s="68" t="s">
        <v>1285</v>
      </c>
      <c r="H1040" s="68">
        <v>0</v>
      </c>
      <c r="I1040" s="68">
        <v>0</v>
      </c>
      <c r="J1040" s="68" t="s">
        <v>1278</v>
      </c>
    </row>
    <row r="1041" spans="1:10" ht="12.75" customHeight="1">
      <c r="A1041" s="71"/>
      <c r="B1041" s="69" t="s">
        <v>1289</v>
      </c>
      <c r="C1041" s="68" t="s">
        <v>1278</v>
      </c>
      <c r="D1041" s="68">
        <v>1</v>
      </c>
      <c r="E1041" s="68">
        <v>0</v>
      </c>
      <c r="F1041" s="68" t="s">
        <v>1285</v>
      </c>
      <c r="G1041" s="68" t="s">
        <v>1285</v>
      </c>
      <c r="H1041" s="68" t="s">
        <v>1285</v>
      </c>
      <c r="I1041" s="68">
        <v>0</v>
      </c>
      <c r="J1041" s="68" t="s">
        <v>1278</v>
      </c>
    </row>
    <row r="1042" spans="1:10" ht="12.75" customHeight="1">
      <c r="A1042" s="71"/>
      <c r="B1042" s="71" t="s">
        <v>1290</v>
      </c>
      <c r="C1042" s="68" t="s">
        <v>1278</v>
      </c>
      <c r="D1042" s="68">
        <v>1</v>
      </c>
      <c r="E1042" s="68">
        <v>0</v>
      </c>
      <c r="F1042" s="68" t="s">
        <v>1285</v>
      </c>
      <c r="G1042" s="68" t="s">
        <v>1285</v>
      </c>
      <c r="H1042" s="68">
        <v>0</v>
      </c>
      <c r="I1042" s="68">
        <v>0</v>
      </c>
      <c r="J1042" s="68" t="s">
        <v>1278</v>
      </c>
    </row>
    <row r="1043" spans="1:10" ht="12.75" customHeight="1">
      <c r="A1043" s="71"/>
      <c r="B1043" s="71" t="s">
        <v>1291</v>
      </c>
      <c r="C1043" s="68" t="s">
        <v>1278</v>
      </c>
      <c r="D1043" s="68" t="s">
        <v>1285</v>
      </c>
      <c r="E1043" s="68" t="s">
        <v>1278</v>
      </c>
      <c r="F1043" s="68" t="s">
        <v>1278</v>
      </c>
      <c r="G1043" s="68" t="s">
        <v>1278</v>
      </c>
      <c r="H1043" s="68" t="s">
        <v>1278</v>
      </c>
      <c r="I1043" s="68" t="s">
        <v>1278</v>
      </c>
      <c r="J1043" s="68" t="s">
        <v>1278</v>
      </c>
    </row>
    <row r="1044" spans="1:10" ht="12.75" customHeight="1">
      <c r="A1044" s="71"/>
      <c r="B1044" s="71" t="s">
        <v>1292</v>
      </c>
      <c r="C1044" s="68" t="s">
        <v>1278</v>
      </c>
      <c r="D1044" s="68" t="s">
        <v>1285</v>
      </c>
      <c r="E1044" s="68">
        <v>0</v>
      </c>
      <c r="F1044" s="68" t="s">
        <v>1285</v>
      </c>
      <c r="G1044" s="68" t="s">
        <v>1285</v>
      </c>
      <c r="H1044" s="68" t="s">
        <v>1285</v>
      </c>
      <c r="I1044" s="68">
        <v>0</v>
      </c>
      <c r="J1044" s="68" t="s">
        <v>1278</v>
      </c>
    </row>
    <row r="1045" spans="1:10" ht="12.75" customHeight="1">
      <c r="A1045" s="71"/>
      <c r="B1045" s="71" t="s">
        <v>1293</v>
      </c>
      <c r="C1045" s="68" t="s">
        <v>1278</v>
      </c>
      <c r="D1045" s="68" t="s">
        <v>1285</v>
      </c>
      <c r="E1045" s="68" t="s">
        <v>1278</v>
      </c>
      <c r="F1045" s="68" t="s">
        <v>1285</v>
      </c>
      <c r="G1045" s="68">
        <v>0</v>
      </c>
      <c r="H1045" s="68" t="s">
        <v>1285</v>
      </c>
      <c r="I1045" s="68" t="s">
        <v>1278</v>
      </c>
      <c r="J1045" s="68" t="s">
        <v>1278</v>
      </c>
    </row>
    <row r="1046" spans="1:10" ht="12.75" customHeight="1">
      <c r="A1046" s="71"/>
      <c r="B1046" s="71" t="s">
        <v>1294</v>
      </c>
      <c r="C1046" s="68" t="s">
        <v>1278</v>
      </c>
      <c r="D1046" s="68" t="s">
        <v>1278</v>
      </c>
      <c r="E1046" s="68">
        <v>0</v>
      </c>
      <c r="F1046" s="68" t="s">
        <v>1285</v>
      </c>
      <c r="G1046" s="68" t="s">
        <v>1285</v>
      </c>
      <c r="H1046" s="68">
        <v>0</v>
      </c>
      <c r="I1046" s="68">
        <v>0</v>
      </c>
      <c r="J1046" s="68" t="s">
        <v>1278</v>
      </c>
    </row>
    <row r="1047" spans="1:10" ht="12.75" customHeight="1">
      <c r="A1047" s="71"/>
      <c r="B1047" s="71" t="s">
        <v>1295</v>
      </c>
      <c r="C1047" s="68" t="s">
        <v>1278</v>
      </c>
      <c r="D1047" s="68" t="s">
        <v>1285</v>
      </c>
      <c r="E1047" s="68">
        <v>0</v>
      </c>
      <c r="F1047" s="68" t="s">
        <v>1285</v>
      </c>
      <c r="G1047" s="68" t="s">
        <v>1285</v>
      </c>
      <c r="H1047" s="68" t="s">
        <v>1285</v>
      </c>
      <c r="I1047" s="68">
        <v>0</v>
      </c>
      <c r="J1047" s="68" t="s">
        <v>1278</v>
      </c>
    </row>
    <row r="1048" spans="1:10" ht="12.75" customHeight="1">
      <c r="A1048" s="71"/>
      <c r="B1048" s="69" t="s">
        <v>1296</v>
      </c>
      <c r="C1048" s="68">
        <v>2</v>
      </c>
      <c r="D1048" s="68" t="s">
        <v>1285</v>
      </c>
      <c r="E1048" s="68">
        <v>0</v>
      </c>
      <c r="F1048" s="68">
        <v>0</v>
      </c>
      <c r="G1048" s="68" t="s">
        <v>1285</v>
      </c>
      <c r="H1048" s="68" t="s">
        <v>1285</v>
      </c>
      <c r="I1048" s="68">
        <v>0</v>
      </c>
      <c r="J1048" s="68">
        <v>2</v>
      </c>
    </row>
    <row r="1049" spans="1:10" ht="12.75" customHeight="1">
      <c r="A1049" s="71"/>
      <c r="B1049" s="69"/>
      <c r="C1049" s="68"/>
      <c r="D1049" s="68"/>
      <c r="E1049" s="68"/>
      <c r="F1049" s="68"/>
      <c r="G1049" s="68"/>
      <c r="H1049" s="68"/>
      <c r="I1049" s="68"/>
      <c r="J1049" s="68"/>
    </row>
    <row r="1050" spans="1:10" s="73" customFormat="1" ht="12.75" customHeight="1">
      <c r="A1050" s="69" t="s">
        <v>1390</v>
      </c>
      <c r="B1050" s="69" t="s">
        <v>1391</v>
      </c>
      <c r="C1050" s="74"/>
      <c r="D1050" s="74"/>
      <c r="E1050" s="74"/>
      <c r="F1050" s="74"/>
      <c r="G1050" s="74"/>
      <c r="H1050" s="74"/>
      <c r="I1050" s="74"/>
      <c r="J1050" s="74"/>
    </row>
    <row r="1051" spans="1:10" s="73" customFormat="1" ht="12.75" customHeight="1">
      <c r="A1051" s="69"/>
      <c r="B1051" s="69"/>
      <c r="C1051" s="74"/>
      <c r="D1051" s="74"/>
      <c r="E1051" s="74"/>
      <c r="F1051" s="74"/>
      <c r="G1051" s="74"/>
      <c r="H1051" s="74"/>
      <c r="I1051" s="74"/>
      <c r="J1051" s="74"/>
    </row>
    <row r="1052" spans="1:10" s="73" customFormat="1" ht="12.75" customHeight="1">
      <c r="A1052" s="69"/>
      <c r="B1052" s="69"/>
      <c r="C1052" s="74"/>
      <c r="D1052" s="74"/>
      <c r="E1052" s="74"/>
      <c r="F1052" s="74"/>
      <c r="G1052" s="74"/>
      <c r="H1052" s="74"/>
      <c r="I1052" s="74"/>
      <c r="J1052" s="74"/>
    </row>
    <row r="1053" spans="1:10" ht="12.75" customHeight="1">
      <c r="A1053" s="71"/>
      <c r="B1053" s="69" t="s">
        <v>1276</v>
      </c>
      <c r="C1053" s="68">
        <v>256</v>
      </c>
      <c r="D1053" s="68">
        <v>168</v>
      </c>
      <c r="E1053" s="68" t="s">
        <v>1285</v>
      </c>
      <c r="F1053" s="68" t="s">
        <v>1299</v>
      </c>
      <c r="G1053" s="68">
        <v>83</v>
      </c>
      <c r="H1053" s="68">
        <v>3</v>
      </c>
      <c r="I1053" s="68">
        <v>0</v>
      </c>
      <c r="J1053" s="68" t="s">
        <v>1285</v>
      </c>
    </row>
    <row r="1054" spans="1:10" ht="12.75" customHeight="1">
      <c r="A1054" s="71"/>
      <c r="B1054" s="69" t="s">
        <v>1277</v>
      </c>
      <c r="C1054" s="68" t="s">
        <v>1278</v>
      </c>
      <c r="D1054" s="68" t="s">
        <v>1299</v>
      </c>
      <c r="E1054" s="68" t="s">
        <v>1285</v>
      </c>
      <c r="F1054" s="68" t="s">
        <v>1285</v>
      </c>
      <c r="G1054" s="68">
        <v>31</v>
      </c>
      <c r="H1054" s="68" t="s">
        <v>1285</v>
      </c>
      <c r="I1054" s="68">
        <v>0</v>
      </c>
      <c r="J1054" s="68" t="s">
        <v>1278</v>
      </c>
    </row>
    <row r="1055" spans="1:10" ht="12.75" customHeight="1">
      <c r="A1055" s="71"/>
      <c r="B1055" s="71" t="s">
        <v>1279</v>
      </c>
      <c r="C1055" s="68" t="s">
        <v>1278</v>
      </c>
      <c r="D1055" s="68" t="s">
        <v>1299</v>
      </c>
      <c r="E1055" s="68" t="s">
        <v>1285</v>
      </c>
      <c r="F1055" s="68" t="s">
        <v>1285</v>
      </c>
      <c r="G1055" s="68">
        <v>11</v>
      </c>
      <c r="H1055" s="68" t="s">
        <v>1285</v>
      </c>
      <c r="I1055" s="68">
        <v>0</v>
      </c>
      <c r="J1055" s="68" t="s">
        <v>1278</v>
      </c>
    </row>
    <row r="1056" spans="1:10" ht="12.75" customHeight="1">
      <c r="A1056" s="71"/>
      <c r="B1056" s="71" t="s">
        <v>1280</v>
      </c>
      <c r="C1056" s="68" t="s">
        <v>1278</v>
      </c>
      <c r="D1056" s="68">
        <v>0</v>
      </c>
      <c r="E1056" s="68">
        <v>0</v>
      </c>
      <c r="F1056" s="68" t="s">
        <v>1285</v>
      </c>
      <c r="G1056" s="68">
        <v>20</v>
      </c>
      <c r="H1056" s="68" t="s">
        <v>1285</v>
      </c>
      <c r="I1056" s="68">
        <v>0</v>
      </c>
      <c r="J1056" s="68" t="s">
        <v>1278</v>
      </c>
    </row>
    <row r="1057" spans="1:10" ht="12.75" customHeight="1">
      <c r="A1057" s="71"/>
      <c r="B1057" s="69" t="s">
        <v>1281</v>
      </c>
      <c r="C1057" s="68" t="s">
        <v>1278</v>
      </c>
      <c r="D1057" s="68">
        <v>126</v>
      </c>
      <c r="E1057" s="68">
        <v>0</v>
      </c>
      <c r="F1057" s="68" t="s">
        <v>1299</v>
      </c>
      <c r="G1057" s="68">
        <v>31</v>
      </c>
      <c r="H1057" s="68" t="s">
        <v>1299</v>
      </c>
      <c r="I1057" s="68">
        <v>0</v>
      </c>
      <c r="J1057" s="68" t="s">
        <v>1278</v>
      </c>
    </row>
    <row r="1058" spans="1:10" ht="12.75" customHeight="1">
      <c r="A1058" s="71"/>
      <c r="B1058" s="71" t="s">
        <v>1283</v>
      </c>
      <c r="C1058" s="68" t="s">
        <v>1278</v>
      </c>
      <c r="D1058" s="68">
        <v>19</v>
      </c>
      <c r="E1058" s="68">
        <v>0</v>
      </c>
      <c r="F1058" s="68" t="s">
        <v>1299</v>
      </c>
      <c r="G1058" s="68">
        <v>29</v>
      </c>
      <c r="H1058" s="68" t="s">
        <v>1285</v>
      </c>
      <c r="I1058" s="68">
        <v>0</v>
      </c>
      <c r="J1058" s="68" t="s">
        <v>1278</v>
      </c>
    </row>
    <row r="1059" spans="1:10" ht="12.75" customHeight="1">
      <c r="A1059" s="71"/>
      <c r="B1059" s="71" t="s">
        <v>1284</v>
      </c>
      <c r="C1059" s="68" t="s">
        <v>1278</v>
      </c>
      <c r="D1059" s="68">
        <v>14</v>
      </c>
      <c r="E1059" s="68">
        <v>0</v>
      </c>
      <c r="F1059" s="68">
        <v>0</v>
      </c>
      <c r="G1059" s="68" t="s">
        <v>1285</v>
      </c>
      <c r="H1059" s="68">
        <v>0</v>
      </c>
      <c r="I1059" s="68">
        <v>0</v>
      </c>
      <c r="J1059" s="68" t="s">
        <v>1278</v>
      </c>
    </row>
    <row r="1060" spans="1:10" ht="12.75" customHeight="1">
      <c r="A1060" s="71"/>
      <c r="B1060" s="71" t="s">
        <v>1286</v>
      </c>
      <c r="C1060" s="68" t="s">
        <v>1278</v>
      </c>
      <c r="D1060" s="68">
        <v>86</v>
      </c>
      <c r="E1060" s="68">
        <v>0</v>
      </c>
      <c r="F1060" s="68" t="s">
        <v>1285</v>
      </c>
      <c r="G1060" s="68" t="s">
        <v>1285</v>
      </c>
      <c r="H1060" s="68" t="s">
        <v>1285</v>
      </c>
      <c r="I1060" s="68">
        <v>0</v>
      </c>
      <c r="J1060" s="68" t="s">
        <v>1278</v>
      </c>
    </row>
    <row r="1061" spans="1:10" ht="12.75" customHeight="1">
      <c r="A1061" s="71"/>
      <c r="B1061" s="71" t="s">
        <v>1287</v>
      </c>
      <c r="C1061" s="68" t="s">
        <v>1278</v>
      </c>
      <c r="D1061" s="68" t="s">
        <v>1299</v>
      </c>
      <c r="E1061" s="68" t="s">
        <v>1278</v>
      </c>
      <c r="F1061" s="68" t="s">
        <v>1278</v>
      </c>
      <c r="G1061" s="68" t="s">
        <v>1278</v>
      </c>
      <c r="H1061" s="68" t="s">
        <v>1278</v>
      </c>
      <c r="I1061" s="68" t="s">
        <v>1278</v>
      </c>
      <c r="J1061" s="68" t="s">
        <v>1278</v>
      </c>
    </row>
    <row r="1062" spans="1:10" ht="12.75" customHeight="1">
      <c r="A1062" s="71"/>
      <c r="B1062" s="71" t="s">
        <v>1288</v>
      </c>
      <c r="C1062" s="68" t="s">
        <v>1278</v>
      </c>
      <c r="D1062" s="68">
        <v>5</v>
      </c>
      <c r="E1062" s="68">
        <v>0</v>
      </c>
      <c r="F1062" s="68" t="s">
        <v>1285</v>
      </c>
      <c r="G1062" s="68" t="s">
        <v>1299</v>
      </c>
      <c r="H1062" s="68" t="s">
        <v>1285</v>
      </c>
      <c r="I1062" s="68">
        <v>0</v>
      </c>
      <c r="J1062" s="68" t="s">
        <v>1278</v>
      </c>
    </row>
    <row r="1063" spans="1:10" ht="12.75" customHeight="1">
      <c r="A1063" s="71"/>
      <c r="B1063" s="69" t="s">
        <v>1289</v>
      </c>
      <c r="C1063" s="68" t="s">
        <v>1278</v>
      </c>
      <c r="D1063" s="68">
        <v>39</v>
      </c>
      <c r="E1063" s="68">
        <v>0</v>
      </c>
      <c r="F1063" s="68" t="s">
        <v>1285</v>
      </c>
      <c r="G1063" s="68">
        <v>22</v>
      </c>
      <c r="H1063" s="68">
        <v>2</v>
      </c>
      <c r="I1063" s="68">
        <v>0</v>
      </c>
      <c r="J1063" s="68" t="s">
        <v>1278</v>
      </c>
    </row>
    <row r="1064" spans="1:10" ht="12.75" customHeight="1">
      <c r="A1064" s="71"/>
      <c r="B1064" s="71" t="s">
        <v>1290</v>
      </c>
      <c r="C1064" s="68" t="s">
        <v>1278</v>
      </c>
      <c r="D1064" s="68">
        <v>17</v>
      </c>
      <c r="E1064" s="68">
        <v>0</v>
      </c>
      <c r="F1064" s="68">
        <v>0</v>
      </c>
      <c r="G1064" s="68">
        <v>21</v>
      </c>
      <c r="H1064" s="68" t="s">
        <v>1285</v>
      </c>
      <c r="I1064" s="68">
        <v>0</v>
      </c>
      <c r="J1064" s="68" t="s">
        <v>1278</v>
      </c>
    </row>
    <row r="1065" spans="1:10" ht="12.75" customHeight="1">
      <c r="A1065" s="71"/>
      <c r="B1065" s="71" t="s">
        <v>1291</v>
      </c>
      <c r="C1065" s="68" t="s">
        <v>1278</v>
      </c>
      <c r="D1065" s="68">
        <v>13</v>
      </c>
      <c r="E1065" s="68" t="s">
        <v>1278</v>
      </c>
      <c r="F1065" s="68" t="s">
        <v>1278</v>
      </c>
      <c r="G1065" s="68" t="s">
        <v>1278</v>
      </c>
      <c r="H1065" s="68" t="s">
        <v>1278</v>
      </c>
      <c r="I1065" s="68" t="s">
        <v>1278</v>
      </c>
      <c r="J1065" s="68" t="s">
        <v>1278</v>
      </c>
    </row>
    <row r="1066" spans="1:10" ht="12.75" customHeight="1">
      <c r="A1066" s="71"/>
      <c r="B1066" s="71" t="s">
        <v>1292</v>
      </c>
      <c r="C1066" s="68" t="s">
        <v>1278</v>
      </c>
      <c r="D1066" s="68">
        <v>5</v>
      </c>
      <c r="E1066" s="68">
        <v>0</v>
      </c>
      <c r="F1066" s="68">
        <v>0</v>
      </c>
      <c r="G1066" s="68">
        <v>1</v>
      </c>
      <c r="H1066" s="68" t="s">
        <v>1285</v>
      </c>
      <c r="I1066" s="68">
        <v>0</v>
      </c>
      <c r="J1066" s="68" t="s">
        <v>1278</v>
      </c>
    </row>
    <row r="1067" spans="1:10" ht="12.75" customHeight="1">
      <c r="A1067" s="71"/>
      <c r="B1067" s="71" t="s">
        <v>1293</v>
      </c>
      <c r="C1067" s="68" t="s">
        <v>1278</v>
      </c>
      <c r="D1067" s="68">
        <v>2</v>
      </c>
      <c r="E1067" s="68" t="s">
        <v>1278</v>
      </c>
      <c r="F1067" s="68" t="s">
        <v>1285</v>
      </c>
      <c r="G1067" s="68" t="s">
        <v>1285</v>
      </c>
      <c r="H1067" s="68">
        <v>2</v>
      </c>
      <c r="I1067" s="68" t="s">
        <v>1278</v>
      </c>
      <c r="J1067" s="68" t="s">
        <v>1278</v>
      </c>
    </row>
    <row r="1068" spans="1:10" ht="12.75" customHeight="1">
      <c r="A1068" s="71"/>
      <c r="B1068" s="71" t="s">
        <v>1294</v>
      </c>
      <c r="C1068" s="68" t="s">
        <v>1278</v>
      </c>
      <c r="D1068" s="68" t="s">
        <v>1278</v>
      </c>
      <c r="E1068" s="68">
        <v>0</v>
      </c>
      <c r="F1068" s="68" t="s">
        <v>1285</v>
      </c>
      <c r="G1068" s="68" t="s">
        <v>1285</v>
      </c>
      <c r="H1068" s="68">
        <v>0</v>
      </c>
      <c r="I1068" s="68">
        <v>0</v>
      </c>
      <c r="J1068" s="68" t="s">
        <v>1278</v>
      </c>
    </row>
    <row r="1069" spans="1:10" ht="12.75" customHeight="1">
      <c r="A1069" s="71"/>
      <c r="B1069" s="71" t="s">
        <v>1295</v>
      </c>
      <c r="C1069" s="68" t="s">
        <v>1278</v>
      </c>
      <c r="D1069" s="68" t="s">
        <v>1299</v>
      </c>
      <c r="E1069" s="68">
        <v>0</v>
      </c>
      <c r="F1069" s="68" t="s">
        <v>1285</v>
      </c>
      <c r="G1069" s="68">
        <v>0</v>
      </c>
      <c r="H1069" s="68" t="s">
        <v>1285</v>
      </c>
      <c r="I1069" s="68">
        <v>0</v>
      </c>
      <c r="J1069" s="68" t="s">
        <v>1278</v>
      </c>
    </row>
    <row r="1070" spans="1:10" ht="12.75" customHeight="1">
      <c r="A1070" s="71"/>
      <c r="B1070" s="69" t="s">
        <v>1296</v>
      </c>
      <c r="C1070" s="68" t="s">
        <v>1299</v>
      </c>
      <c r="D1070" s="68" t="s">
        <v>1299</v>
      </c>
      <c r="E1070" s="68">
        <v>0</v>
      </c>
      <c r="F1070" s="68">
        <v>0</v>
      </c>
      <c r="G1070" s="68">
        <v>0</v>
      </c>
      <c r="H1070" s="68" t="s">
        <v>1285</v>
      </c>
      <c r="I1070" s="68">
        <v>0</v>
      </c>
      <c r="J1070" s="68" t="s">
        <v>1285</v>
      </c>
    </row>
    <row r="1071" spans="1:10" ht="12.75" customHeight="1">
      <c r="A1071" s="71"/>
      <c r="B1071" s="69"/>
      <c r="C1071" s="68"/>
      <c r="D1071" s="68"/>
      <c r="E1071" s="68"/>
      <c r="F1071" s="68"/>
      <c r="G1071" s="68"/>
      <c r="H1071" s="68"/>
      <c r="I1071" s="68"/>
      <c r="J1071" s="68"/>
    </row>
    <row r="1072" spans="1:10" s="73" customFormat="1" ht="12.75" customHeight="1">
      <c r="A1072" s="69" t="s">
        <v>1392</v>
      </c>
      <c r="B1072" s="69" t="s">
        <v>1393</v>
      </c>
      <c r="C1072" s="74"/>
      <c r="D1072" s="74"/>
      <c r="E1072" s="74"/>
      <c r="F1072" s="74"/>
      <c r="G1072" s="74"/>
      <c r="H1072" s="74"/>
      <c r="I1072" s="74"/>
      <c r="J1072" s="74"/>
    </row>
    <row r="1073" spans="1:10" s="73" customFormat="1" ht="12.75" customHeight="1">
      <c r="A1073" s="69"/>
      <c r="B1073" s="69"/>
      <c r="C1073" s="74"/>
      <c r="D1073" s="74"/>
      <c r="E1073" s="74"/>
      <c r="F1073" s="74"/>
      <c r="G1073" s="74"/>
      <c r="H1073" s="74"/>
      <c r="I1073" s="74"/>
      <c r="J1073" s="74"/>
    </row>
    <row r="1074" spans="1:10" s="73" customFormat="1" ht="12.75" customHeight="1">
      <c r="A1074" s="69"/>
      <c r="B1074" s="69"/>
      <c r="C1074" s="74"/>
      <c r="D1074" s="74"/>
      <c r="E1074" s="74"/>
      <c r="F1074" s="74"/>
      <c r="G1074" s="74"/>
      <c r="H1074" s="74"/>
      <c r="I1074" s="74"/>
      <c r="J1074" s="74"/>
    </row>
    <row r="1075" spans="1:10" ht="12.75" customHeight="1">
      <c r="A1075" s="71"/>
      <c r="B1075" s="69" t="s">
        <v>1276</v>
      </c>
      <c r="C1075" s="68">
        <v>821</v>
      </c>
      <c r="D1075" s="68">
        <v>129</v>
      </c>
      <c r="E1075" s="68" t="s">
        <v>1285</v>
      </c>
      <c r="F1075" s="68">
        <v>20</v>
      </c>
      <c r="G1075" s="68">
        <v>348</v>
      </c>
      <c r="H1075" s="68">
        <v>2</v>
      </c>
      <c r="I1075" s="68">
        <v>189</v>
      </c>
      <c r="J1075" s="68">
        <v>131</v>
      </c>
    </row>
    <row r="1076" spans="1:10" ht="12.75" customHeight="1">
      <c r="A1076" s="71"/>
      <c r="B1076" s="69" t="s">
        <v>1277</v>
      </c>
      <c r="C1076" s="68" t="s">
        <v>1278</v>
      </c>
      <c r="D1076" s="68" t="s">
        <v>1285</v>
      </c>
      <c r="E1076" s="68">
        <v>0</v>
      </c>
      <c r="F1076" s="68" t="s">
        <v>1285</v>
      </c>
      <c r="G1076" s="68">
        <v>12</v>
      </c>
      <c r="H1076" s="68" t="s">
        <v>1285</v>
      </c>
      <c r="I1076" s="68" t="s">
        <v>1285</v>
      </c>
      <c r="J1076" s="68" t="s">
        <v>1278</v>
      </c>
    </row>
    <row r="1077" spans="1:10" ht="12.75" customHeight="1">
      <c r="A1077" s="71"/>
      <c r="B1077" s="71" t="s">
        <v>1279</v>
      </c>
      <c r="C1077" s="68" t="s">
        <v>1278</v>
      </c>
      <c r="D1077" s="68" t="s">
        <v>1285</v>
      </c>
      <c r="E1077" s="68">
        <v>0</v>
      </c>
      <c r="F1077" s="68" t="s">
        <v>1285</v>
      </c>
      <c r="G1077" s="68">
        <v>2</v>
      </c>
      <c r="H1077" s="68" t="s">
        <v>1285</v>
      </c>
      <c r="I1077" s="68" t="s">
        <v>1285</v>
      </c>
      <c r="J1077" s="68" t="s">
        <v>1278</v>
      </c>
    </row>
    <row r="1078" spans="1:10" ht="12.75" customHeight="1">
      <c r="A1078" s="71"/>
      <c r="B1078" s="71" t="s">
        <v>1280</v>
      </c>
      <c r="C1078" s="68" t="s">
        <v>1278</v>
      </c>
      <c r="D1078" s="68">
        <v>0</v>
      </c>
      <c r="E1078" s="68">
        <v>0</v>
      </c>
      <c r="F1078" s="68" t="s">
        <v>1285</v>
      </c>
      <c r="G1078" s="68">
        <v>10</v>
      </c>
      <c r="H1078" s="68" t="s">
        <v>1285</v>
      </c>
      <c r="I1078" s="68" t="s">
        <v>1285</v>
      </c>
      <c r="J1078" s="68" t="s">
        <v>1278</v>
      </c>
    </row>
    <row r="1079" spans="1:10" ht="12.75" customHeight="1">
      <c r="A1079" s="71"/>
      <c r="B1079" s="69" t="s">
        <v>1281</v>
      </c>
      <c r="C1079" s="68" t="s">
        <v>1278</v>
      </c>
      <c r="D1079" s="68">
        <v>113</v>
      </c>
      <c r="E1079" s="68" t="s">
        <v>1285</v>
      </c>
      <c r="F1079" s="68">
        <v>10</v>
      </c>
      <c r="G1079" s="68">
        <v>317</v>
      </c>
      <c r="H1079" s="68" t="s">
        <v>1299</v>
      </c>
      <c r="I1079" s="68">
        <v>189</v>
      </c>
      <c r="J1079" s="68" t="s">
        <v>1278</v>
      </c>
    </row>
    <row r="1080" spans="1:10" ht="12.75" customHeight="1">
      <c r="A1080" s="71"/>
      <c r="B1080" s="71" t="s">
        <v>1283</v>
      </c>
      <c r="C1080" s="68" t="s">
        <v>1278</v>
      </c>
      <c r="D1080" s="68">
        <v>26</v>
      </c>
      <c r="E1080" s="68" t="s">
        <v>1285</v>
      </c>
      <c r="F1080" s="68" t="s">
        <v>1299</v>
      </c>
      <c r="G1080" s="68">
        <v>283</v>
      </c>
      <c r="H1080" s="68" t="s">
        <v>1299</v>
      </c>
      <c r="I1080" s="68">
        <v>154</v>
      </c>
      <c r="J1080" s="68" t="s">
        <v>1278</v>
      </c>
    </row>
    <row r="1081" spans="1:10" ht="12.75" customHeight="1">
      <c r="A1081" s="71"/>
      <c r="B1081" s="71" t="s">
        <v>1284</v>
      </c>
      <c r="C1081" s="68" t="s">
        <v>1278</v>
      </c>
      <c r="D1081" s="68">
        <v>6</v>
      </c>
      <c r="E1081" s="68">
        <v>0</v>
      </c>
      <c r="F1081" s="68">
        <v>0</v>
      </c>
      <c r="G1081" s="68">
        <v>3</v>
      </c>
      <c r="H1081" s="68">
        <v>0</v>
      </c>
      <c r="I1081" s="68">
        <v>3</v>
      </c>
      <c r="J1081" s="68" t="s">
        <v>1278</v>
      </c>
    </row>
    <row r="1082" spans="1:10" ht="12.75" customHeight="1">
      <c r="A1082" s="71"/>
      <c r="B1082" s="71" t="s">
        <v>1286</v>
      </c>
      <c r="C1082" s="68" t="s">
        <v>1278</v>
      </c>
      <c r="D1082" s="68">
        <v>71</v>
      </c>
      <c r="E1082" s="68" t="s">
        <v>1285</v>
      </c>
      <c r="F1082" s="68">
        <v>6</v>
      </c>
      <c r="G1082" s="68">
        <v>25</v>
      </c>
      <c r="H1082" s="68" t="s">
        <v>1285</v>
      </c>
      <c r="I1082" s="68">
        <v>14</v>
      </c>
      <c r="J1082" s="68" t="s">
        <v>1278</v>
      </c>
    </row>
    <row r="1083" spans="1:10" ht="12.75" customHeight="1">
      <c r="A1083" s="71"/>
      <c r="B1083" s="71" t="s">
        <v>1287</v>
      </c>
      <c r="C1083" s="68" t="s">
        <v>1278</v>
      </c>
      <c r="D1083" s="68">
        <v>3</v>
      </c>
      <c r="E1083" s="68" t="s">
        <v>1278</v>
      </c>
      <c r="F1083" s="68" t="s">
        <v>1278</v>
      </c>
      <c r="G1083" s="68" t="s">
        <v>1278</v>
      </c>
      <c r="H1083" s="68" t="s">
        <v>1278</v>
      </c>
      <c r="I1083" s="68" t="s">
        <v>1278</v>
      </c>
      <c r="J1083" s="68" t="s">
        <v>1278</v>
      </c>
    </row>
    <row r="1084" spans="1:10" ht="12.75" customHeight="1">
      <c r="A1084" s="71"/>
      <c r="B1084" s="71" t="s">
        <v>1288</v>
      </c>
      <c r="C1084" s="68" t="s">
        <v>1278</v>
      </c>
      <c r="D1084" s="68">
        <v>7</v>
      </c>
      <c r="E1084" s="68">
        <v>0</v>
      </c>
      <c r="F1084" s="68" t="s">
        <v>1285</v>
      </c>
      <c r="G1084" s="68" t="s">
        <v>1299</v>
      </c>
      <c r="H1084" s="68" t="s">
        <v>1285</v>
      </c>
      <c r="I1084" s="68" t="s">
        <v>1299</v>
      </c>
      <c r="J1084" s="68" t="s">
        <v>1278</v>
      </c>
    </row>
    <row r="1085" spans="1:10" ht="12.75" customHeight="1">
      <c r="A1085" s="71"/>
      <c r="B1085" s="69" t="s">
        <v>1289</v>
      </c>
      <c r="C1085" s="68" t="s">
        <v>1278</v>
      </c>
      <c r="D1085" s="68">
        <v>16</v>
      </c>
      <c r="E1085" s="68">
        <v>0</v>
      </c>
      <c r="F1085" s="68">
        <v>11</v>
      </c>
      <c r="G1085" s="68">
        <v>18</v>
      </c>
      <c r="H1085" s="68">
        <v>1</v>
      </c>
      <c r="I1085" s="68" t="s">
        <v>1285</v>
      </c>
      <c r="J1085" s="68" t="s">
        <v>1278</v>
      </c>
    </row>
    <row r="1086" spans="1:10" ht="12.75" customHeight="1">
      <c r="A1086" s="71"/>
      <c r="B1086" s="71" t="s">
        <v>1290</v>
      </c>
      <c r="C1086" s="68" t="s">
        <v>1278</v>
      </c>
      <c r="D1086" s="68">
        <v>7</v>
      </c>
      <c r="E1086" s="68">
        <v>0</v>
      </c>
      <c r="F1086" s="68" t="s">
        <v>1285</v>
      </c>
      <c r="G1086" s="68">
        <v>16</v>
      </c>
      <c r="H1086" s="68" t="s">
        <v>1285</v>
      </c>
      <c r="I1086" s="68">
        <v>0</v>
      </c>
      <c r="J1086" s="68" t="s">
        <v>1278</v>
      </c>
    </row>
    <row r="1087" spans="1:10" ht="12.75" customHeight="1">
      <c r="A1087" s="71"/>
      <c r="B1087" s="71" t="s">
        <v>1291</v>
      </c>
      <c r="C1087" s="68" t="s">
        <v>1278</v>
      </c>
      <c r="D1087" s="68">
        <v>6</v>
      </c>
      <c r="E1087" s="68" t="s">
        <v>1278</v>
      </c>
      <c r="F1087" s="68" t="s">
        <v>1278</v>
      </c>
      <c r="G1087" s="68" t="s">
        <v>1278</v>
      </c>
      <c r="H1087" s="68" t="s">
        <v>1278</v>
      </c>
      <c r="I1087" s="68" t="s">
        <v>1278</v>
      </c>
      <c r="J1087" s="68" t="s">
        <v>1278</v>
      </c>
    </row>
    <row r="1088" spans="1:10" ht="12.75" customHeight="1">
      <c r="A1088" s="71"/>
      <c r="B1088" s="71" t="s">
        <v>1292</v>
      </c>
      <c r="C1088" s="68" t="s">
        <v>1278</v>
      </c>
      <c r="D1088" s="68">
        <v>2</v>
      </c>
      <c r="E1088" s="68">
        <v>0</v>
      </c>
      <c r="F1088" s="68" t="s">
        <v>1285</v>
      </c>
      <c r="G1088" s="68">
        <v>2</v>
      </c>
      <c r="H1088" s="68" t="s">
        <v>1285</v>
      </c>
      <c r="I1088" s="68" t="s">
        <v>1285</v>
      </c>
      <c r="J1088" s="68" t="s">
        <v>1278</v>
      </c>
    </row>
    <row r="1089" spans="1:10" ht="12.75" customHeight="1">
      <c r="A1089" s="71"/>
      <c r="B1089" s="71" t="s">
        <v>1293</v>
      </c>
      <c r="C1089" s="68" t="s">
        <v>1278</v>
      </c>
      <c r="D1089" s="68" t="s">
        <v>1285</v>
      </c>
      <c r="E1089" s="68" t="s">
        <v>1278</v>
      </c>
      <c r="F1089" s="68">
        <v>9</v>
      </c>
      <c r="G1089" s="68" t="s">
        <v>1285</v>
      </c>
      <c r="H1089" s="68">
        <v>1</v>
      </c>
      <c r="I1089" s="68" t="s">
        <v>1278</v>
      </c>
      <c r="J1089" s="68" t="s">
        <v>1278</v>
      </c>
    </row>
    <row r="1090" spans="1:10" ht="12.75" customHeight="1">
      <c r="A1090" s="71"/>
      <c r="B1090" s="71" t="s">
        <v>1294</v>
      </c>
      <c r="C1090" s="68" t="s">
        <v>1278</v>
      </c>
      <c r="D1090" s="68" t="s">
        <v>1278</v>
      </c>
      <c r="E1090" s="68">
        <v>0</v>
      </c>
      <c r="F1090" s="68" t="s">
        <v>1285</v>
      </c>
      <c r="G1090" s="68" t="s">
        <v>1285</v>
      </c>
      <c r="H1090" s="68" t="s">
        <v>1285</v>
      </c>
      <c r="I1090" s="68">
        <v>0</v>
      </c>
      <c r="J1090" s="68" t="s">
        <v>1278</v>
      </c>
    </row>
    <row r="1091" spans="1:10" ht="12.75" customHeight="1">
      <c r="A1091" s="71"/>
      <c r="B1091" s="71" t="s">
        <v>1295</v>
      </c>
      <c r="C1091" s="68" t="s">
        <v>1278</v>
      </c>
      <c r="D1091" s="68">
        <v>1</v>
      </c>
      <c r="E1091" s="68">
        <v>0</v>
      </c>
      <c r="F1091" s="68" t="s">
        <v>1299</v>
      </c>
      <c r="G1091" s="68">
        <v>1</v>
      </c>
      <c r="H1091" s="68" t="s">
        <v>1285</v>
      </c>
      <c r="I1091" s="68">
        <v>0</v>
      </c>
      <c r="J1091" s="68" t="s">
        <v>1278</v>
      </c>
    </row>
    <row r="1092" spans="1:10" ht="12.75" customHeight="1">
      <c r="A1092" s="71"/>
      <c r="B1092" s="69" t="s">
        <v>1296</v>
      </c>
      <c r="C1092" s="68">
        <v>132</v>
      </c>
      <c r="D1092" s="68">
        <v>1</v>
      </c>
      <c r="E1092" s="68">
        <v>0</v>
      </c>
      <c r="F1092" s="68">
        <v>0</v>
      </c>
      <c r="G1092" s="68">
        <v>1</v>
      </c>
      <c r="H1092" s="68" t="s">
        <v>1285</v>
      </c>
      <c r="I1092" s="68">
        <v>0</v>
      </c>
      <c r="J1092" s="68">
        <v>131</v>
      </c>
    </row>
    <row r="1093" spans="1:10" ht="12.75" customHeight="1">
      <c r="A1093" s="71"/>
      <c r="B1093" s="69"/>
      <c r="C1093" s="68"/>
      <c r="D1093" s="68"/>
      <c r="E1093" s="68"/>
      <c r="F1093" s="68"/>
      <c r="G1093" s="68"/>
      <c r="H1093" s="68"/>
      <c r="I1093" s="68"/>
      <c r="J1093" s="68"/>
    </row>
    <row r="1094" spans="1:10" s="73" customFormat="1" ht="12.75" customHeight="1">
      <c r="A1094" s="69" t="s">
        <v>1394</v>
      </c>
      <c r="B1094" s="69" t="s">
        <v>1395</v>
      </c>
      <c r="C1094" s="74"/>
      <c r="D1094" s="74"/>
      <c r="E1094" s="74"/>
      <c r="F1094" s="74"/>
      <c r="G1094" s="74"/>
      <c r="H1094" s="74"/>
      <c r="I1094" s="74"/>
      <c r="J1094" s="74"/>
    </row>
    <row r="1095" spans="1:10" s="73" customFormat="1" ht="12.75" customHeight="1">
      <c r="A1095" s="69"/>
      <c r="B1095" s="69"/>
      <c r="C1095" s="74"/>
      <c r="D1095" s="74"/>
      <c r="E1095" s="74"/>
      <c r="F1095" s="74"/>
      <c r="G1095" s="74"/>
      <c r="H1095" s="74"/>
      <c r="I1095" s="74"/>
      <c r="J1095" s="74"/>
    </row>
    <row r="1096" spans="1:10" s="73" customFormat="1" ht="12.75" customHeight="1">
      <c r="A1096" s="69"/>
      <c r="B1096" s="69"/>
      <c r="C1096" s="74"/>
      <c r="D1096" s="74"/>
      <c r="E1096" s="74"/>
      <c r="F1096" s="74"/>
      <c r="G1096" s="74"/>
      <c r="H1096" s="74"/>
      <c r="I1096" s="74"/>
      <c r="J1096" s="74"/>
    </row>
    <row r="1097" spans="1:10" ht="12.75" customHeight="1">
      <c r="A1097" s="71"/>
      <c r="B1097" s="69" t="s">
        <v>1276</v>
      </c>
      <c r="C1097" s="68">
        <v>47</v>
      </c>
      <c r="D1097" s="68">
        <v>6</v>
      </c>
      <c r="E1097" s="68">
        <v>0</v>
      </c>
      <c r="F1097" s="68" t="s">
        <v>1285</v>
      </c>
      <c r="G1097" s="68">
        <v>36</v>
      </c>
      <c r="H1097" s="68" t="s">
        <v>1285</v>
      </c>
      <c r="I1097" s="68">
        <v>3</v>
      </c>
      <c r="J1097" s="68">
        <v>1</v>
      </c>
    </row>
    <row r="1098" spans="1:10" ht="12.75" customHeight="1">
      <c r="A1098" s="71"/>
      <c r="B1098" s="69" t="s">
        <v>1277</v>
      </c>
      <c r="C1098" s="68" t="s">
        <v>1278</v>
      </c>
      <c r="D1098" s="68" t="s">
        <v>1285</v>
      </c>
      <c r="E1098" s="68">
        <v>0</v>
      </c>
      <c r="F1098" s="68">
        <v>0</v>
      </c>
      <c r="G1098" s="68" t="s">
        <v>1285</v>
      </c>
      <c r="H1098" s="68" t="s">
        <v>1285</v>
      </c>
      <c r="I1098" s="68">
        <v>0</v>
      </c>
      <c r="J1098" s="68" t="s">
        <v>1278</v>
      </c>
    </row>
    <row r="1099" spans="1:10" ht="12.75" customHeight="1">
      <c r="A1099" s="71"/>
      <c r="B1099" s="71" t="s">
        <v>1279</v>
      </c>
      <c r="C1099" s="68" t="s">
        <v>1278</v>
      </c>
      <c r="D1099" s="68" t="s">
        <v>1285</v>
      </c>
      <c r="E1099" s="68">
        <v>0</v>
      </c>
      <c r="F1099" s="68">
        <v>0</v>
      </c>
      <c r="G1099" s="68" t="s">
        <v>1285</v>
      </c>
      <c r="H1099" s="68" t="s">
        <v>1285</v>
      </c>
      <c r="I1099" s="68">
        <v>0</v>
      </c>
      <c r="J1099" s="68" t="s">
        <v>1278</v>
      </c>
    </row>
    <row r="1100" spans="1:10" ht="12.75" customHeight="1">
      <c r="A1100" s="71"/>
      <c r="B1100" s="71" t="s">
        <v>1280</v>
      </c>
      <c r="C1100" s="68" t="s">
        <v>1278</v>
      </c>
      <c r="D1100" s="68">
        <v>0</v>
      </c>
      <c r="E1100" s="68">
        <v>0</v>
      </c>
      <c r="F1100" s="68">
        <v>0</v>
      </c>
      <c r="G1100" s="68" t="s">
        <v>1285</v>
      </c>
      <c r="H1100" s="68">
        <v>0</v>
      </c>
      <c r="I1100" s="68">
        <v>0</v>
      </c>
      <c r="J1100" s="68" t="s">
        <v>1278</v>
      </c>
    </row>
    <row r="1101" spans="1:10" ht="12.75" customHeight="1">
      <c r="A1101" s="71"/>
      <c r="B1101" s="69" t="s">
        <v>1281</v>
      </c>
      <c r="C1101" s="68" t="s">
        <v>1278</v>
      </c>
      <c r="D1101" s="68">
        <v>5</v>
      </c>
      <c r="E1101" s="68">
        <v>0</v>
      </c>
      <c r="F1101" s="68" t="s">
        <v>1285</v>
      </c>
      <c r="G1101" s="68">
        <v>35</v>
      </c>
      <c r="H1101" s="68" t="s">
        <v>1285</v>
      </c>
      <c r="I1101" s="68">
        <v>3</v>
      </c>
      <c r="J1101" s="68" t="s">
        <v>1278</v>
      </c>
    </row>
    <row r="1102" spans="1:10" ht="12.75" customHeight="1">
      <c r="A1102" s="71"/>
      <c r="B1102" s="71" t="s">
        <v>1283</v>
      </c>
      <c r="C1102" s="68" t="s">
        <v>1278</v>
      </c>
      <c r="D1102" s="68">
        <v>1</v>
      </c>
      <c r="E1102" s="68">
        <v>0</v>
      </c>
      <c r="F1102" s="68" t="s">
        <v>1285</v>
      </c>
      <c r="G1102" s="68">
        <v>34</v>
      </c>
      <c r="H1102" s="68" t="s">
        <v>1285</v>
      </c>
      <c r="I1102" s="68">
        <v>2</v>
      </c>
      <c r="J1102" s="68" t="s">
        <v>1278</v>
      </c>
    </row>
    <row r="1103" spans="1:10" ht="12.75" customHeight="1">
      <c r="A1103" s="71"/>
      <c r="B1103" s="71" t="s">
        <v>1284</v>
      </c>
      <c r="C1103" s="68" t="s">
        <v>1278</v>
      </c>
      <c r="D1103" s="68" t="s">
        <v>1285</v>
      </c>
      <c r="E1103" s="68">
        <v>0</v>
      </c>
      <c r="F1103" s="68">
        <v>0</v>
      </c>
      <c r="G1103" s="68">
        <v>0</v>
      </c>
      <c r="H1103" s="68">
        <v>0</v>
      </c>
      <c r="I1103" s="68">
        <v>0</v>
      </c>
      <c r="J1103" s="68" t="s">
        <v>1278</v>
      </c>
    </row>
    <row r="1104" spans="1:10" ht="12.75" customHeight="1">
      <c r="A1104" s="71"/>
      <c r="B1104" s="71" t="s">
        <v>1286</v>
      </c>
      <c r="C1104" s="68" t="s">
        <v>1278</v>
      </c>
      <c r="D1104" s="68">
        <v>4</v>
      </c>
      <c r="E1104" s="68">
        <v>0</v>
      </c>
      <c r="F1104" s="68" t="s">
        <v>1285</v>
      </c>
      <c r="G1104" s="68" t="s">
        <v>1285</v>
      </c>
      <c r="H1104" s="68" t="s">
        <v>1285</v>
      </c>
      <c r="I1104" s="68">
        <v>0</v>
      </c>
      <c r="J1104" s="68" t="s">
        <v>1278</v>
      </c>
    </row>
    <row r="1105" spans="1:10" ht="12.75" customHeight="1">
      <c r="A1105" s="71"/>
      <c r="B1105" s="71" t="s">
        <v>1287</v>
      </c>
      <c r="C1105" s="68" t="s">
        <v>1278</v>
      </c>
      <c r="D1105" s="68">
        <v>0</v>
      </c>
      <c r="E1105" s="68" t="s">
        <v>1278</v>
      </c>
      <c r="F1105" s="68" t="s">
        <v>1278</v>
      </c>
      <c r="G1105" s="68" t="s">
        <v>1278</v>
      </c>
      <c r="H1105" s="68" t="s">
        <v>1278</v>
      </c>
      <c r="I1105" s="68" t="s">
        <v>1278</v>
      </c>
      <c r="J1105" s="68" t="s">
        <v>1278</v>
      </c>
    </row>
    <row r="1106" spans="1:10" ht="12.75" customHeight="1">
      <c r="A1106" s="71"/>
      <c r="B1106" s="71" t="s">
        <v>1288</v>
      </c>
      <c r="C1106" s="68" t="s">
        <v>1278</v>
      </c>
      <c r="D1106" s="68" t="s">
        <v>1285</v>
      </c>
      <c r="E1106" s="68">
        <v>0</v>
      </c>
      <c r="F1106" s="68" t="s">
        <v>1285</v>
      </c>
      <c r="G1106" s="68" t="s">
        <v>1285</v>
      </c>
      <c r="H1106" s="68" t="s">
        <v>1285</v>
      </c>
      <c r="I1106" s="68">
        <v>1</v>
      </c>
      <c r="J1106" s="68" t="s">
        <v>1278</v>
      </c>
    </row>
    <row r="1107" spans="1:10" ht="12.75" customHeight="1">
      <c r="A1107" s="71"/>
      <c r="B1107" s="69" t="s">
        <v>1289</v>
      </c>
      <c r="C1107" s="68" t="s">
        <v>1278</v>
      </c>
      <c r="D1107" s="68">
        <v>1</v>
      </c>
      <c r="E1107" s="68">
        <v>0</v>
      </c>
      <c r="F1107" s="68" t="s">
        <v>1285</v>
      </c>
      <c r="G1107" s="68">
        <v>1</v>
      </c>
      <c r="H1107" s="68" t="s">
        <v>1285</v>
      </c>
      <c r="I1107" s="68">
        <v>0</v>
      </c>
      <c r="J1107" s="68" t="s">
        <v>1278</v>
      </c>
    </row>
    <row r="1108" spans="1:10" ht="12.75" customHeight="1">
      <c r="A1108" s="71"/>
      <c r="B1108" s="71" t="s">
        <v>1290</v>
      </c>
      <c r="C1108" s="68" t="s">
        <v>1278</v>
      </c>
      <c r="D1108" s="68" t="s">
        <v>1285</v>
      </c>
      <c r="E1108" s="68">
        <v>0</v>
      </c>
      <c r="F1108" s="68" t="s">
        <v>1285</v>
      </c>
      <c r="G1108" s="68">
        <v>1</v>
      </c>
      <c r="H1108" s="68" t="s">
        <v>1285</v>
      </c>
      <c r="I1108" s="68">
        <v>0</v>
      </c>
      <c r="J1108" s="68" t="s">
        <v>1278</v>
      </c>
    </row>
    <row r="1109" spans="1:10" ht="12.75" customHeight="1">
      <c r="A1109" s="71"/>
      <c r="B1109" s="71" t="s">
        <v>1291</v>
      </c>
      <c r="C1109" s="68" t="s">
        <v>1278</v>
      </c>
      <c r="D1109" s="68" t="s">
        <v>1285</v>
      </c>
      <c r="E1109" s="68" t="s">
        <v>1278</v>
      </c>
      <c r="F1109" s="68" t="s">
        <v>1278</v>
      </c>
      <c r="G1109" s="68" t="s">
        <v>1278</v>
      </c>
      <c r="H1109" s="68" t="s">
        <v>1278</v>
      </c>
      <c r="I1109" s="68" t="s">
        <v>1278</v>
      </c>
      <c r="J1109" s="68" t="s">
        <v>1278</v>
      </c>
    </row>
    <row r="1110" spans="1:10" ht="12.75" customHeight="1">
      <c r="A1110" s="71"/>
      <c r="B1110" s="71" t="s">
        <v>1292</v>
      </c>
      <c r="C1110" s="68" t="s">
        <v>1278</v>
      </c>
      <c r="D1110" s="68" t="s">
        <v>1285</v>
      </c>
      <c r="E1110" s="68">
        <v>0</v>
      </c>
      <c r="F1110" s="68" t="s">
        <v>1285</v>
      </c>
      <c r="G1110" s="68" t="s">
        <v>1285</v>
      </c>
      <c r="H1110" s="68">
        <v>0</v>
      </c>
      <c r="I1110" s="68">
        <v>0</v>
      </c>
      <c r="J1110" s="68" t="s">
        <v>1278</v>
      </c>
    </row>
    <row r="1111" spans="1:10" ht="12.75" customHeight="1">
      <c r="A1111" s="71"/>
      <c r="B1111" s="71" t="s">
        <v>1293</v>
      </c>
      <c r="C1111" s="68" t="s">
        <v>1278</v>
      </c>
      <c r="D1111" s="68" t="s">
        <v>1285</v>
      </c>
      <c r="E1111" s="68" t="s">
        <v>1278</v>
      </c>
      <c r="F1111" s="68" t="s">
        <v>1285</v>
      </c>
      <c r="G1111" s="68" t="s">
        <v>1285</v>
      </c>
      <c r="H1111" s="68" t="s">
        <v>1285</v>
      </c>
      <c r="I1111" s="68" t="s">
        <v>1278</v>
      </c>
      <c r="J1111" s="68" t="s">
        <v>1278</v>
      </c>
    </row>
    <row r="1112" spans="1:10" ht="12.75" customHeight="1">
      <c r="A1112" s="71"/>
      <c r="B1112" s="71" t="s">
        <v>1294</v>
      </c>
      <c r="C1112" s="68" t="s">
        <v>1278</v>
      </c>
      <c r="D1112" s="68" t="s">
        <v>1278</v>
      </c>
      <c r="E1112" s="68">
        <v>0</v>
      </c>
      <c r="F1112" s="68" t="s">
        <v>1285</v>
      </c>
      <c r="G1112" s="68">
        <v>0</v>
      </c>
      <c r="H1112" s="68">
        <v>0</v>
      </c>
      <c r="I1112" s="68">
        <v>0</v>
      </c>
      <c r="J1112" s="68" t="s">
        <v>1278</v>
      </c>
    </row>
    <row r="1113" spans="1:10" ht="12.75" customHeight="1">
      <c r="A1113" s="71"/>
      <c r="B1113" s="71" t="s">
        <v>1295</v>
      </c>
      <c r="C1113" s="68" t="s">
        <v>1278</v>
      </c>
      <c r="D1113" s="68" t="s">
        <v>1285</v>
      </c>
      <c r="E1113" s="68">
        <v>0</v>
      </c>
      <c r="F1113" s="68" t="s">
        <v>1285</v>
      </c>
      <c r="G1113" s="68">
        <v>0</v>
      </c>
      <c r="H1113" s="68" t="s">
        <v>1285</v>
      </c>
      <c r="I1113" s="68">
        <v>0</v>
      </c>
      <c r="J1113" s="68" t="s">
        <v>1278</v>
      </c>
    </row>
    <row r="1114" spans="1:10" ht="12.75" customHeight="1">
      <c r="A1114" s="71"/>
      <c r="B1114" s="69" t="s">
        <v>1296</v>
      </c>
      <c r="C1114" s="68">
        <v>1</v>
      </c>
      <c r="D1114" s="68" t="s">
        <v>1285</v>
      </c>
      <c r="E1114" s="68">
        <v>0</v>
      </c>
      <c r="F1114" s="68">
        <v>0</v>
      </c>
      <c r="G1114" s="68">
        <v>0</v>
      </c>
      <c r="H1114" s="68" t="s">
        <v>1285</v>
      </c>
      <c r="I1114" s="68">
        <v>0</v>
      </c>
      <c r="J1114" s="68">
        <v>1</v>
      </c>
    </row>
    <row r="1115" spans="1:10" ht="12.75" customHeight="1">
      <c r="A1115" s="71"/>
      <c r="B1115" s="69"/>
      <c r="C1115" s="68"/>
      <c r="D1115" s="68"/>
      <c r="E1115" s="68"/>
      <c r="F1115" s="68"/>
      <c r="G1115" s="68"/>
      <c r="H1115" s="68"/>
      <c r="I1115" s="68"/>
      <c r="J1115" s="68"/>
    </row>
    <row r="1116" spans="1:10" s="73" customFormat="1" ht="12.75" customHeight="1">
      <c r="A1116" s="69" t="s">
        <v>1396</v>
      </c>
      <c r="B1116" s="69" t="s">
        <v>1397</v>
      </c>
      <c r="C1116" s="74"/>
      <c r="D1116" s="74"/>
      <c r="E1116" s="74"/>
      <c r="F1116" s="74"/>
      <c r="G1116" s="74"/>
      <c r="H1116" s="74"/>
      <c r="I1116" s="74"/>
      <c r="J1116" s="74"/>
    </row>
    <row r="1117" spans="1:10" s="73" customFormat="1" ht="12.75" customHeight="1">
      <c r="A1117" s="69"/>
      <c r="B1117" s="69"/>
      <c r="C1117" s="74"/>
      <c r="D1117" s="74"/>
      <c r="E1117" s="74"/>
      <c r="F1117" s="74"/>
      <c r="G1117" s="74"/>
      <c r="H1117" s="74"/>
      <c r="I1117" s="74"/>
      <c r="J1117" s="74"/>
    </row>
    <row r="1118" spans="1:10" s="73" customFormat="1" ht="12.75" customHeight="1">
      <c r="A1118" s="69"/>
      <c r="B1118" s="69"/>
      <c r="C1118" s="74"/>
      <c r="D1118" s="74"/>
      <c r="E1118" s="74"/>
      <c r="F1118" s="74"/>
      <c r="G1118" s="74"/>
      <c r="H1118" s="74"/>
      <c r="I1118" s="74"/>
      <c r="J1118" s="74"/>
    </row>
    <row r="1119" spans="1:10" ht="12.75" customHeight="1">
      <c r="A1119" s="71"/>
      <c r="B1119" s="69" t="s">
        <v>1276</v>
      </c>
      <c r="C1119" s="68">
        <v>47</v>
      </c>
      <c r="D1119" s="68">
        <v>5</v>
      </c>
      <c r="E1119" s="68">
        <v>0</v>
      </c>
      <c r="F1119" s="68" t="s">
        <v>1285</v>
      </c>
      <c r="G1119" s="68">
        <v>41</v>
      </c>
      <c r="H1119" s="68" t="s">
        <v>1285</v>
      </c>
      <c r="I1119" s="68">
        <v>0</v>
      </c>
      <c r="J1119" s="68">
        <v>1</v>
      </c>
    </row>
    <row r="1120" spans="1:10" ht="12.75" customHeight="1">
      <c r="A1120" s="71"/>
      <c r="B1120" s="69" t="s">
        <v>1277</v>
      </c>
      <c r="C1120" s="68" t="s">
        <v>1278</v>
      </c>
      <c r="D1120" s="68" t="s">
        <v>1285</v>
      </c>
      <c r="E1120" s="68">
        <v>0</v>
      </c>
      <c r="F1120" s="68">
        <v>0</v>
      </c>
      <c r="G1120" s="68" t="s">
        <v>1285</v>
      </c>
      <c r="H1120" s="68">
        <v>0</v>
      </c>
      <c r="I1120" s="68">
        <v>0</v>
      </c>
      <c r="J1120" s="68" t="s">
        <v>1278</v>
      </c>
    </row>
    <row r="1121" spans="1:10" ht="12.75" customHeight="1">
      <c r="A1121" s="71"/>
      <c r="B1121" s="71" t="s">
        <v>1279</v>
      </c>
      <c r="C1121" s="68" t="s">
        <v>1278</v>
      </c>
      <c r="D1121" s="68" t="s">
        <v>1285</v>
      </c>
      <c r="E1121" s="68">
        <v>0</v>
      </c>
      <c r="F1121" s="68">
        <v>0</v>
      </c>
      <c r="G1121" s="68" t="s">
        <v>1285</v>
      </c>
      <c r="H1121" s="68">
        <v>0</v>
      </c>
      <c r="I1121" s="68">
        <v>0</v>
      </c>
      <c r="J1121" s="68" t="s">
        <v>1278</v>
      </c>
    </row>
    <row r="1122" spans="1:10" ht="12.75" customHeight="1">
      <c r="A1122" s="71"/>
      <c r="B1122" s="71" t="s">
        <v>1280</v>
      </c>
      <c r="C1122" s="68" t="s">
        <v>1278</v>
      </c>
      <c r="D1122" s="68">
        <v>0</v>
      </c>
      <c r="E1122" s="68">
        <v>0</v>
      </c>
      <c r="F1122" s="68">
        <v>0</v>
      </c>
      <c r="G1122" s="68" t="s">
        <v>1285</v>
      </c>
      <c r="H1122" s="68">
        <v>0</v>
      </c>
      <c r="I1122" s="68">
        <v>0</v>
      </c>
      <c r="J1122" s="68" t="s">
        <v>1278</v>
      </c>
    </row>
    <row r="1123" spans="1:10" ht="12.75" customHeight="1">
      <c r="A1123" s="71"/>
      <c r="B1123" s="69" t="s">
        <v>1281</v>
      </c>
      <c r="C1123" s="68" t="s">
        <v>1278</v>
      </c>
      <c r="D1123" s="68">
        <v>4</v>
      </c>
      <c r="E1123" s="68">
        <v>0</v>
      </c>
      <c r="F1123" s="68" t="s">
        <v>1285</v>
      </c>
      <c r="G1123" s="68">
        <v>39</v>
      </c>
      <c r="H1123" s="68" t="s">
        <v>1285</v>
      </c>
      <c r="I1123" s="68">
        <v>0</v>
      </c>
      <c r="J1123" s="68" t="s">
        <v>1278</v>
      </c>
    </row>
    <row r="1124" spans="1:10" ht="12.75" customHeight="1">
      <c r="A1124" s="71"/>
      <c r="B1124" s="71" t="s">
        <v>1283</v>
      </c>
      <c r="C1124" s="68" t="s">
        <v>1278</v>
      </c>
      <c r="D1124" s="68">
        <v>2</v>
      </c>
      <c r="E1124" s="68">
        <v>0</v>
      </c>
      <c r="F1124" s="68">
        <v>0</v>
      </c>
      <c r="G1124" s="68">
        <v>39</v>
      </c>
      <c r="H1124" s="68" t="s">
        <v>1285</v>
      </c>
      <c r="I1124" s="68">
        <v>0</v>
      </c>
      <c r="J1124" s="68" t="s">
        <v>1278</v>
      </c>
    </row>
    <row r="1125" spans="1:10" ht="12.75" customHeight="1">
      <c r="A1125" s="71"/>
      <c r="B1125" s="71" t="s">
        <v>1284</v>
      </c>
      <c r="C1125" s="68" t="s">
        <v>1278</v>
      </c>
      <c r="D1125" s="68">
        <v>1</v>
      </c>
      <c r="E1125" s="68">
        <v>0</v>
      </c>
      <c r="F1125" s="68">
        <v>0</v>
      </c>
      <c r="G1125" s="68">
        <v>0</v>
      </c>
      <c r="H1125" s="68">
        <v>0</v>
      </c>
      <c r="I1125" s="68">
        <v>0</v>
      </c>
      <c r="J1125" s="68" t="s">
        <v>1278</v>
      </c>
    </row>
    <row r="1126" spans="1:10" ht="12.75" customHeight="1">
      <c r="A1126" s="71"/>
      <c r="B1126" s="71" t="s">
        <v>1286</v>
      </c>
      <c r="C1126" s="68" t="s">
        <v>1278</v>
      </c>
      <c r="D1126" s="68">
        <v>1</v>
      </c>
      <c r="E1126" s="68">
        <v>0</v>
      </c>
      <c r="F1126" s="68" t="s">
        <v>1285</v>
      </c>
      <c r="G1126" s="68" t="s">
        <v>1285</v>
      </c>
      <c r="H1126" s="68" t="s">
        <v>1285</v>
      </c>
      <c r="I1126" s="68">
        <v>0</v>
      </c>
      <c r="J1126" s="68" t="s">
        <v>1278</v>
      </c>
    </row>
    <row r="1127" spans="1:10" ht="12.75" customHeight="1">
      <c r="A1127" s="71"/>
      <c r="B1127" s="71" t="s">
        <v>1287</v>
      </c>
      <c r="C1127" s="68" t="s">
        <v>1278</v>
      </c>
      <c r="D1127" s="68" t="s">
        <v>1285</v>
      </c>
      <c r="E1127" s="68" t="s">
        <v>1278</v>
      </c>
      <c r="F1127" s="68" t="s">
        <v>1278</v>
      </c>
      <c r="G1127" s="68" t="s">
        <v>1278</v>
      </c>
      <c r="H1127" s="68" t="s">
        <v>1278</v>
      </c>
      <c r="I1127" s="68" t="s">
        <v>1278</v>
      </c>
      <c r="J1127" s="68" t="s">
        <v>1278</v>
      </c>
    </row>
    <row r="1128" spans="1:10" ht="12.75" customHeight="1">
      <c r="A1128" s="71"/>
      <c r="B1128" s="71" t="s">
        <v>1288</v>
      </c>
      <c r="C1128" s="68" t="s">
        <v>1278</v>
      </c>
      <c r="D1128" s="68" t="s">
        <v>1285</v>
      </c>
      <c r="E1128" s="68">
        <v>0</v>
      </c>
      <c r="F1128" s="68" t="s">
        <v>1285</v>
      </c>
      <c r="G1128" s="68" t="s">
        <v>1285</v>
      </c>
      <c r="H1128" s="68">
        <v>0</v>
      </c>
      <c r="I1128" s="68">
        <v>0</v>
      </c>
      <c r="J1128" s="68" t="s">
        <v>1278</v>
      </c>
    </row>
    <row r="1129" spans="1:10" ht="12.75" customHeight="1">
      <c r="A1129" s="71"/>
      <c r="B1129" s="69" t="s">
        <v>1289</v>
      </c>
      <c r="C1129" s="68" t="s">
        <v>1278</v>
      </c>
      <c r="D1129" s="68">
        <v>1</v>
      </c>
      <c r="E1129" s="68">
        <v>0</v>
      </c>
      <c r="F1129" s="68" t="s">
        <v>1285</v>
      </c>
      <c r="G1129" s="68">
        <v>2</v>
      </c>
      <c r="H1129" s="68" t="s">
        <v>1285</v>
      </c>
      <c r="I1129" s="68">
        <v>0</v>
      </c>
      <c r="J1129" s="68" t="s">
        <v>1278</v>
      </c>
    </row>
    <row r="1130" spans="1:10" ht="12.75" customHeight="1">
      <c r="A1130" s="71"/>
      <c r="B1130" s="71" t="s">
        <v>1290</v>
      </c>
      <c r="C1130" s="68" t="s">
        <v>1278</v>
      </c>
      <c r="D1130" s="68" t="s">
        <v>1285</v>
      </c>
      <c r="E1130" s="68">
        <v>0</v>
      </c>
      <c r="F1130" s="68">
        <v>0</v>
      </c>
      <c r="G1130" s="68">
        <v>1</v>
      </c>
      <c r="H1130" s="68">
        <v>0</v>
      </c>
      <c r="I1130" s="68">
        <v>0</v>
      </c>
      <c r="J1130" s="68" t="s">
        <v>1278</v>
      </c>
    </row>
    <row r="1131" spans="1:10" ht="12.75" customHeight="1">
      <c r="A1131" s="71"/>
      <c r="B1131" s="71" t="s">
        <v>1291</v>
      </c>
      <c r="C1131" s="68" t="s">
        <v>1278</v>
      </c>
      <c r="D1131" s="68" t="s">
        <v>1285</v>
      </c>
      <c r="E1131" s="68" t="s">
        <v>1278</v>
      </c>
      <c r="F1131" s="68" t="s">
        <v>1278</v>
      </c>
      <c r="G1131" s="68" t="s">
        <v>1278</v>
      </c>
      <c r="H1131" s="68" t="s">
        <v>1278</v>
      </c>
      <c r="I1131" s="68" t="s">
        <v>1278</v>
      </c>
      <c r="J1131" s="68" t="s">
        <v>1278</v>
      </c>
    </row>
    <row r="1132" spans="1:10" ht="12.75" customHeight="1">
      <c r="A1132" s="71"/>
      <c r="B1132" s="71" t="s">
        <v>1292</v>
      </c>
      <c r="C1132" s="68" t="s">
        <v>1278</v>
      </c>
      <c r="D1132" s="68" t="s">
        <v>1285</v>
      </c>
      <c r="E1132" s="68">
        <v>0</v>
      </c>
      <c r="F1132" s="68">
        <v>0</v>
      </c>
      <c r="G1132" s="68" t="s">
        <v>1285</v>
      </c>
      <c r="H1132" s="68">
        <v>0</v>
      </c>
      <c r="I1132" s="68">
        <v>0</v>
      </c>
      <c r="J1132" s="68" t="s">
        <v>1278</v>
      </c>
    </row>
    <row r="1133" spans="1:10" ht="12.75" customHeight="1">
      <c r="A1133" s="71"/>
      <c r="B1133" s="71" t="s">
        <v>1293</v>
      </c>
      <c r="C1133" s="68" t="s">
        <v>1278</v>
      </c>
      <c r="D1133" s="68" t="s">
        <v>1285</v>
      </c>
      <c r="E1133" s="68" t="s">
        <v>1278</v>
      </c>
      <c r="F1133" s="68" t="s">
        <v>1285</v>
      </c>
      <c r="G1133" s="68">
        <v>0</v>
      </c>
      <c r="H1133" s="68" t="s">
        <v>1285</v>
      </c>
      <c r="I1133" s="68" t="s">
        <v>1278</v>
      </c>
      <c r="J1133" s="68" t="s">
        <v>1278</v>
      </c>
    </row>
    <row r="1134" spans="1:10" ht="12.75" customHeight="1">
      <c r="A1134" s="71"/>
      <c r="B1134" s="71" t="s">
        <v>1294</v>
      </c>
      <c r="C1134" s="68" t="s">
        <v>1278</v>
      </c>
      <c r="D1134" s="68" t="s">
        <v>1278</v>
      </c>
      <c r="E1134" s="68">
        <v>0</v>
      </c>
      <c r="F1134" s="68" t="s">
        <v>1285</v>
      </c>
      <c r="G1134" s="68">
        <v>0</v>
      </c>
      <c r="H1134" s="68">
        <v>0</v>
      </c>
      <c r="I1134" s="68">
        <v>0</v>
      </c>
      <c r="J1134" s="68" t="s">
        <v>1278</v>
      </c>
    </row>
    <row r="1135" spans="1:10" ht="12.75" customHeight="1">
      <c r="A1135" s="71"/>
      <c r="B1135" s="71" t="s">
        <v>1295</v>
      </c>
      <c r="C1135" s="68" t="s">
        <v>1278</v>
      </c>
      <c r="D1135" s="68" t="s">
        <v>1285</v>
      </c>
      <c r="E1135" s="68">
        <v>0</v>
      </c>
      <c r="F1135" s="68" t="s">
        <v>1285</v>
      </c>
      <c r="G1135" s="68" t="s">
        <v>1285</v>
      </c>
      <c r="H1135" s="68">
        <v>0</v>
      </c>
      <c r="I1135" s="68">
        <v>0</v>
      </c>
      <c r="J1135" s="68" t="s">
        <v>1278</v>
      </c>
    </row>
    <row r="1136" spans="1:10" ht="12.75" customHeight="1">
      <c r="A1136" s="71"/>
      <c r="B1136" s="69" t="s">
        <v>1296</v>
      </c>
      <c r="C1136" s="68">
        <v>1</v>
      </c>
      <c r="D1136" s="68" t="s">
        <v>1285</v>
      </c>
      <c r="E1136" s="68">
        <v>0</v>
      </c>
      <c r="F1136" s="68">
        <v>0</v>
      </c>
      <c r="G1136" s="68">
        <v>0</v>
      </c>
      <c r="H1136" s="68" t="s">
        <v>1285</v>
      </c>
      <c r="I1136" s="68">
        <v>0</v>
      </c>
      <c r="J1136" s="68">
        <v>1</v>
      </c>
    </row>
    <row r="1137" spans="1:10" ht="12.75" customHeight="1">
      <c r="A1137" s="71"/>
      <c r="B1137" s="69"/>
      <c r="C1137" s="68"/>
      <c r="D1137" s="68"/>
      <c r="E1137" s="68"/>
      <c r="F1137" s="68"/>
      <c r="G1137" s="68"/>
      <c r="H1137" s="68"/>
      <c r="I1137" s="68"/>
      <c r="J1137" s="68"/>
    </row>
    <row r="1138" spans="1:10" s="73" customFormat="1" ht="12.75" customHeight="1">
      <c r="A1138" s="69" t="s">
        <v>1398</v>
      </c>
      <c r="B1138" s="69" t="s">
        <v>1399</v>
      </c>
      <c r="C1138" s="74"/>
      <c r="D1138" s="74"/>
      <c r="E1138" s="74"/>
      <c r="F1138" s="74"/>
      <c r="G1138" s="74"/>
      <c r="H1138" s="74"/>
      <c r="I1138" s="74"/>
      <c r="J1138" s="74"/>
    </row>
    <row r="1139" spans="1:10" s="73" customFormat="1" ht="12.75" customHeight="1">
      <c r="A1139" s="69"/>
      <c r="B1139" s="69"/>
      <c r="C1139" s="74"/>
      <c r="D1139" s="74"/>
      <c r="E1139" s="74"/>
      <c r="F1139" s="74"/>
      <c r="G1139" s="74"/>
      <c r="H1139" s="74"/>
      <c r="I1139" s="74"/>
      <c r="J1139" s="74"/>
    </row>
    <row r="1140" spans="1:10" s="73" customFormat="1" ht="12.75" customHeight="1">
      <c r="A1140" s="69"/>
      <c r="B1140" s="69"/>
      <c r="C1140" s="74"/>
      <c r="D1140" s="74"/>
      <c r="E1140" s="74"/>
      <c r="F1140" s="74"/>
      <c r="G1140" s="74"/>
      <c r="H1140" s="74"/>
      <c r="I1140" s="74"/>
      <c r="J1140" s="74"/>
    </row>
    <row r="1141" spans="1:10" ht="12.75" customHeight="1">
      <c r="A1141" s="71"/>
      <c r="B1141" s="69" t="s">
        <v>1276</v>
      </c>
      <c r="C1141" s="68">
        <v>31</v>
      </c>
      <c r="D1141" s="68">
        <v>7</v>
      </c>
      <c r="E1141" s="68">
        <v>0</v>
      </c>
      <c r="F1141" s="68" t="s">
        <v>1285</v>
      </c>
      <c r="G1141" s="68">
        <v>22</v>
      </c>
      <c r="H1141" s="68" t="s">
        <v>1285</v>
      </c>
      <c r="I1141" s="68">
        <v>0</v>
      </c>
      <c r="J1141" s="68">
        <v>1</v>
      </c>
    </row>
    <row r="1142" spans="1:10" ht="12.75" customHeight="1">
      <c r="A1142" s="71"/>
      <c r="B1142" s="69" t="s">
        <v>1277</v>
      </c>
      <c r="C1142" s="68" t="s">
        <v>1278</v>
      </c>
      <c r="D1142" s="68" t="s">
        <v>1285</v>
      </c>
      <c r="E1142" s="68">
        <v>0</v>
      </c>
      <c r="F1142" s="68" t="s">
        <v>1285</v>
      </c>
      <c r="G1142" s="68">
        <v>1</v>
      </c>
      <c r="H1142" s="68" t="s">
        <v>1285</v>
      </c>
      <c r="I1142" s="68">
        <v>0</v>
      </c>
      <c r="J1142" s="68" t="s">
        <v>1278</v>
      </c>
    </row>
    <row r="1143" spans="1:10" ht="12.75" customHeight="1">
      <c r="A1143" s="71"/>
      <c r="B1143" s="71" t="s">
        <v>1279</v>
      </c>
      <c r="C1143" s="68" t="s">
        <v>1278</v>
      </c>
      <c r="D1143" s="68" t="s">
        <v>1285</v>
      </c>
      <c r="E1143" s="68">
        <v>0</v>
      </c>
      <c r="F1143" s="68" t="s">
        <v>1285</v>
      </c>
      <c r="G1143" s="68" t="s">
        <v>1285</v>
      </c>
      <c r="H1143" s="68">
        <v>0</v>
      </c>
      <c r="I1143" s="68">
        <v>0</v>
      </c>
      <c r="J1143" s="68" t="s">
        <v>1278</v>
      </c>
    </row>
    <row r="1144" spans="1:10" ht="12.75" customHeight="1">
      <c r="A1144" s="71"/>
      <c r="B1144" s="71" t="s">
        <v>1280</v>
      </c>
      <c r="C1144" s="68" t="s">
        <v>1278</v>
      </c>
      <c r="D1144" s="68">
        <v>0</v>
      </c>
      <c r="E1144" s="68">
        <v>0</v>
      </c>
      <c r="F1144" s="68">
        <v>0</v>
      </c>
      <c r="G1144" s="68" t="s">
        <v>1285</v>
      </c>
      <c r="H1144" s="68" t="s">
        <v>1285</v>
      </c>
      <c r="I1144" s="68">
        <v>0</v>
      </c>
      <c r="J1144" s="68" t="s">
        <v>1278</v>
      </c>
    </row>
    <row r="1145" spans="1:10" ht="12.75" customHeight="1">
      <c r="A1145" s="71"/>
      <c r="B1145" s="69" t="s">
        <v>1281</v>
      </c>
      <c r="C1145" s="68" t="s">
        <v>1278</v>
      </c>
      <c r="D1145" s="68">
        <v>6</v>
      </c>
      <c r="E1145" s="68">
        <v>0</v>
      </c>
      <c r="F1145" s="68" t="s">
        <v>1285</v>
      </c>
      <c r="G1145" s="68">
        <v>21</v>
      </c>
      <c r="H1145" s="68" t="s">
        <v>1285</v>
      </c>
      <c r="I1145" s="68">
        <v>0</v>
      </c>
      <c r="J1145" s="68" t="s">
        <v>1278</v>
      </c>
    </row>
    <row r="1146" spans="1:10" ht="12.75" customHeight="1">
      <c r="A1146" s="71"/>
      <c r="B1146" s="71" t="s">
        <v>1283</v>
      </c>
      <c r="C1146" s="68" t="s">
        <v>1278</v>
      </c>
      <c r="D1146" s="68">
        <v>3</v>
      </c>
      <c r="E1146" s="68">
        <v>0</v>
      </c>
      <c r="F1146" s="68" t="s">
        <v>1285</v>
      </c>
      <c r="G1146" s="68">
        <v>20</v>
      </c>
      <c r="H1146" s="68" t="s">
        <v>1285</v>
      </c>
      <c r="I1146" s="68">
        <v>0</v>
      </c>
      <c r="J1146" s="68" t="s">
        <v>1278</v>
      </c>
    </row>
    <row r="1147" spans="1:10" ht="12.75" customHeight="1">
      <c r="A1147" s="71"/>
      <c r="B1147" s="71" t="s">
        <v>1284</v>
      </c>
      <c r="C1147" s="68" t="s">
        <v>1278</v>
      </c>
      <c r="D1147" s="68">
        <v>1</v>
      </c>
      <c r="E1147" s="68">
        <v>0</v>
      </c>
      <c r="F1147" s="68">
        <v>0</v>
      </c>
      <c r="G1147" s="68" t="s">
        <v>1285</v>
      </c>
      <c r="H1147" s="68">
        <v>0</v>
      </c>
      <c r="I1147" s="68">
        <v>0</v>
      </c>
      <c r="J1147" s="68" t="s">
        <v>1278</v>
      </c>
    </row>
    <row r="1148" spans="1:10" ht="12.75" customHeight="1">
      <c r="A1148" s="71"/>
      <c r="B1148" s="71" t="s">
        <v>1286</v>
      </c>
      <c r="C1148" s="68" t="s">
        <v>1278</v>
      </c>
      <c r="D1148" s="68">
        <v>2</v>
      </c>
      <c r="E1148" s="68">
        <v>0</v>
      </c>
      <c r="F1148" s="68" t="s">
        <v>1285</v>
      </c>
      <c r="G1148" s="68">
        <v>1</v>
      </c>
      <c r="H1148" s="68" t="s">
        <v>1285</v>
      </c>
      <c r="I1148" s="68">
        <v>0</v>
      </c>
      <c r="J1148" s="68" t="s">
        <v>1278</v>
      </c>
    </row>
    <row r="1149" spans="1:10" ht="12.75" customHeight="1">
      <c r="A1149" s="71"/>
      <c r="B1149" s="71" t="s">
        <v>1287</v>
      </c>
      <c r="C1149" s="68" t="s">
        <v>1278</v>
      </c>
      <c r="D1149" s="68" t="s">
        <v>1285</v>
      </c>
      <c r="E1149" s="68" t="s">
        <v>1278</v>
      </c>
      <c r="F1149" s="68" t="s">
        <v>1278</v>
      </c>
      <c r="G1149" s="68" t="s">
        <v>1278</v>
      </c>
      <c r="H1149" s="68" t="s">
        <v>1278</v>
      </c>
      <c r="I1149" s="68" t="s">
        <v>1278</v>
      </c>
      <c r="J1149" s="68" t="s">
        <v>1278</v>
      </c>
    </row>
    <row r="1150" spans="1:10" ht="12.75" customHeight="1">
      <c r="A1150" s="71"/>
      <c r="B1150" s="71" t="s">
        <v>1288</v>
      </c>
      <c r="C1150" s="68" t="s">
        <v>1278</v>
      </c>
      <c r="D1150" s="68" t="s">
        <v>1285</v>
      </c>
      <c r="E1150" s="68">
        <v>0</v>
      </c>
      <c r="F1150" s="68" t="s">
        <v>1285</v>
      </c>
      <c r="G1150" s="68" t="s">
        <v>1285</v>
      </c>
      <c r="H1150" s="68" t="s">
        <v>1285</v>
      </c>
      <c r="I1150" s="68">
        <v>0</v>
      </c>
      <c r="J1150" s="68" t="s">
        <v>1278</v>
      </c>
    </row>
    <row r="1151" spans="1:10" ht="12.75" customHeight="1">
      <c r="A1151" s="71"/>
      <c r="B1151" s="69" t="s">
        <v>1289</v>
      </c>
      <c r="C1151" s="68" t="s">
        <v>1278</v>
      </c>
      <c r="D1151" s="68">
        <v>1</v>
      </c>
      <c r="E1151" s="68">
        <v>0</v>
      </c>
      <c r="F1151" s="68" t="s">
        <v>1285</v>
      </c>
      <c r="G1151" s="68">
        <v>1</v>
      </c>
      <c r="H1151" s="68" t="s">
        <v>1285</v>
      </c>
      <c r="I1151" s="68">
        <v>0</v>
      </c>
      <c r="J1151" s="68" t="s">
        <v>1278</v>
      </c>
    </row>
    <row r="1152" spans="1:10" ht="12.75" customHeight="1">
      <c r="A1152" s="71"/>
      <c r="B1152" s="71" t="s">
        <v>1290</v>
      </c>
      <c r="C1152" s="68" t="s">
        <v>1278</v>
      </c>
      <c r="D1152" s="68">
        <v>1</v>
      </c>
      <c r="E1152" s="68">
        <v>0</v>
      </c>
      <c r="F1152" s="68">
        <v>0</v>
      </c>
      <c r="G1152" s="68">
        <v>1</v>
      </c>
      <c r="H1152" s="68" t="s">
        <v>1285</v>
      </c>
      <c r="I1152" s="68">
        <v>0</v>
      </c>
      <c r="J1152" s="68" t="s">
        <v>1278</v>
      </c>
    </row>
    <row r="1153" spans="1:10" ht="12.75" customHeight="1">
      <c r="A1153" s="71"/>
      <c r="B1153" s="71" t="s">
        <v>1291</v>
      </c>
      <c r="C1153" s="68" t="s">
        <v>1278</v>
      </c>
      <c r="D1153" s="68" t="s">
        <v>1285</v>
      </c>
      <c r="E1153" s="68" t="s">
        <v>1278</v>
      </c>
      <c r="F1153" s="68" t="s">
        <v>1278</v>
      </c>
      <c r="G1153" s="68" t="s">
        <v>1278</v>
      </c>
      <c r="H1153" s="68" t="s">
        <v>1278</v>
      </c>
      <c r="I1153" s="68" t="s">
        <v>1278</v>
      </c>
      <c r="J1153" s="68" t="s">
        <v>1278</v>
      </c>
    </row>
    <row r="1154" spans="1:10" ht="12.75" customHeight="1">
      <c r="A1154" s="71"/>
      <c r="B1154" s="71" t="s">
        <v>1292</v>
      </c>
      <c r="C1154" s="68" t="s">
        <v>1278</v>
      </c>
      <c r="D1154" s="68" t="s">
        <v>1285</v>
      </c>
      <c r="E1154" s="68">
        <v>0</v>
      </c>
      <c r="F1154" s="68">
        <v>0</v>
      </c>
      <c r="G1154" s="68" t="s">
        <v>1285</v>
      </c>
      <c r="H1154" s="68" t="s">
        <v>1285</v>
      </c>
      <c r="I1154" s="68">
        <v>0</v>
      </c>
      <c r="J1154" s="68" t="s">
        <v>1278</v>
      </c>
    </row>
    <row r="1155" spans="1:10" ht="12.75" customHeight="1">
      <c r="A1155" s="71"/>
      <c r="B1155" s="71" t="s">
        <v>1293</v>
      </c>
      <c r="C1155" s="68" t="s">
        <v>1278</v>
      </c>
      <c r="D1155" s="68" t="s">
        <v>1285</v>
      </c>
      <c r="E1155" s="68" t="s">
        <v>1278</v>
      </c>
      <c r="F1155" s="68" t="s">
        <v>1285</v>
      </c>
      <c r="G1155" s="68">
        <v>0</v>
      </c>
      <c r="H1155" s="68" t="s">
        <v>1285</v>
      </c>
      <c r="I1155" s="68" t="s">
        <v>1278</v>
      </c>
      <c r="J1155" s="68" t="s">
        <v>1278</v>
      </c>
    </row>
    <row r="1156" spans="1:10" ht="12.75" customHeight="1">
      <c r="A1156" s="71"/>
      <c r="B1156" s="71" t="s">
        <v>1294</v>
      </c>
      <c r="C1156" s="68" t="s">
        <v>1278</v>
      </c>
      <c r="D1156" s="68" t="s">
        <v>1278</v>
      </c>
      <c r="E1156" s="68">
        <v>0</v>
      </c>
      <c r="F1156" s="68" t="s">
        <v>1285</v>
      </c>
      <c r="G1156" s="68" t="s">
        <v>1285</v>
      </c>
      <c r="H1156" s="68">
        <v>0</v>
      </c>
      <c r="I1156" s="68">
        <v>0</v>
      </c>
      <c r="J1156" s="68" t="s">
        <v>1278</v>
      </c>
    </row>
    <row r="1157" spans="1:10" ht="12.75" customHeight="1">
      <c r="A1157" s="71"/>
      <c r="B1157" s="71" t="s">
        <v>1295</v>
      </c>
      <c r="C1157" s="68" t="s">
        <v>1278</v>
      </c>
      <c r="D1157" s="68" t="s">
        <v>1285</v>
      </c>
      <c r="E1157" s="68">
        <v>0</v>
      </c>
      <c r="F1157" s="68" t="s">
        <v>1285</v>
      </c>
      <c r="G1157" s="68">
        <v>0</v>
      </c>
      <c r="H1157" s="68" t="s">
        <v>1285</v>
      </c>
      <c r="I1157" s="68">
        <v>0</v>
      </c>
      <c r="J1157" s="68" t="s">
        <v>1278</v>
      </c>
    </row>
    <row r="1158" spans="1:10" ht="12.75" customHeight="1">
      <c r="A1158" s="71"/>
      <c r="B1158" s="69" t="s">
        <v>1296</v>
      </c>
      <c r="C1158" s="68">
        <v>1</v>
      </c>
      <c r="D1158" s="68">
        <v>0</v>
      </c>
      <c r="E1158" s="68">
        <v>0</v>
      </c>
      <c r="F1158" s="68">
        <v>0</v>
      </c>
      <c r="G1158" s="68">
        <v>0</v>
      </c>
      <c r="H1158" s="68" t="s">
        <v>1285</v>
      </c>
      <c r="I1158" s="68">
        <v>0</v>
      </c>
      <c r="J1158" s="68">
        <v>1</v>
      </c>
    </row>
    <row r="1159" spans="1:10" ht="12.75" customHeight="1">
      <c r="A1159" s="71"/>
      <c r="B1159" s="69"/>
      <c r="C1159" s="68"/>
      <c r="D1159" s="68"/>
      <c r="E1159" s="68"/>
      <c r="F1159" s="68"/>
      <c r="G1159" s="68"/>
      <c r="H1159" s="68"/>
      <c r="I1159" s="68"/>
      <c r="J1159" s="68"/>
    </row>
    <row r="1160" spans="1:10" s="73" customFormat="1" ht="12.75" customHeight="1">
      <c r="A1160" s="69" t="s">
        <v>1400</v>
      </c>
      <c r="B1160" s="69" t="s">
        <v>1401</v>
      </c>
      <c r="C1160" s="74"/>
      <c r="D1160" s="74"/>
      <c r="E1160" s="74"/>
      <c r="F1160" s="74"/>
      <c r="G1160" s="74"/>
      <c r="H1160" s="74"/>
      <c r="I1160" s="74"/>
      <c r="J1160" s="74"/>
    </row>
    <row r="1161" spans="1:10" s="73" customFormat="1" ht="12.75" customHeight="1">
      <c r="A1161" s="69"/>
      <c r="B1161" s="69"/>
      <c r="C1161" s="74"/>
      <c r="D1161" s="74"/>
      <c r="E1161" s="74"/>
      <c r="F1161" s="74"/>
      <c r="G1161" s="74"/>
      <c r="H1161" s="74"/>
      <c r="I1161" s="74"/>
      <c r="J1161" s="74"/>
    </row>
    <row r="1162" spans="1:10" s="73" customFormat="1" ht="12.75" customHeight="1">
      <c r="A1162" s="69"/>
      <c r="B1162" s="69"/>
      <c r="C1162" s="74"/>
      <c r="D1162" s="74"/>
      <c r="E1162" s="74"/>
      <c r="F1162" s="74"/>
      <c r="G1162" s="74"/>
      <c r="H1162" s="74"/>
      <c r="I1162" s="74"/>
      <c r="J1162" s="74"/>
    </row>
    <row r="1163" spans="1:10" ht="12.75" customHeight="1">
      <c r="A1163" s="71"/>
      <c r="B1163" s="69" t="s">
        <v>1276</v>
      </c>
      <c r="C1163" s="68">
        <v>54</v>
      </c>
      <c r="D1163" s="68">
        <v>12</v>
      </c>
      <c r="E1163" s="68">
        <v>0</v>
      </c>
      <c r="F1163" s="68" t="s">
        <v>1285</v>
      </c>
      <c r="G1163" s="68">
        <v>42</v>
      </c>
      <c r="H1163" s="68" t="s">
        <v>1285</v>
      </c>
      <c r="I1163" s="68">
        <v>0</v>
      </c>
      <c r="J1163" s="68" t="s">
        <v>1285</v>
      </c>
    </row>
    <row r="1164" spans="1:10" ht="12.75" customHeight="1">
      <c r="A1164" s="71"/>
      <c r="B1164" s="69" t="s">
        <v>1277</v>
      </c>
      <c r="C1164" s="68" t="s">
        <v>1278</v>
      </c>
      <c r="D1164" s="68" t="s">
        <v>1285</v>
      </c>
      <c r="E1164" s="68">
        <v>0</v>
      </c>
      <c r="F1164" s="68">
        <v>0</v>
      </c>
      <c r="G1164" s="68" t="s">
        <v>1285</v>
      </c>
      <c r="H1164" s="68">
        <v>0</v>
      </c>
      <c r="I1164" s="68">
        <v>0</v>
      </c>
      <c r="J1164" s="68" t="s">
        <v>1278</v>
      </c>
    </row>
    <row r="1165" spans="1:10" ht="12.75" customHeight="1">
      <c r="A1165" s="71"/>
      <c r="B1165" s="71" t="s">
        <v>1279</v>
      </c>
      <c r="C1165" s="68" t="s">
        <v>1278</v>
      </c>
      <c r="D1165" s="68" t="s">
        <v>1285</v>
      </c>
      <c r="E1165" s="68">
        <v>0</v>
      </c>
      <c r="F1165" s="68">
        <v>0</v>
      </c>
      <c r="G1165" s="68">
        <v>0</v>
      </c>
      <c r="H1165" s="68">
        <v>0</v>
      </c>
      <c r="I1165" s="68">
        <v>0</v>
      </c>
      <c r="J1165" s="68" t="s">
        <v>1278</v>
      </c>
    </row>
    <row r="1166" spans="1:10" ht="12.75" customHeight="1">
      <c r="A1166" s="71"/>
      <c r="B1166" s="71" t="s">
        <v>1280</v>
      </c>
      <c r="C1166" s="68" t="s">
        <v>1278</v>
      </c>
      <c r="D1166" s="68">
        <v>0</v>
      </c>
      <c r="E1166" s="68">
        <v>0</v>
      </c>
      <c r="F1166" s="68">
        <v>0</v>
      </c>
      <c r="G1166" s="68" t="s">
        <v>1285</v>
      </c>
      <c r="H1166" s="68">
        <v>0</v>
      </c>
      <c r="I1166" s="68">
        <v>0</v>
      </c>
      <c r="J1166" s="68" t="s">
        <v>1278</v>
      </c>
    </row>
    <row r="1167" spans="1:10" ht="12.75" customHeight="1">
      <c r="A1167" s="71"/>
      <c r="B1167" s="69" t="s">
        <v>1281</v>
      </c>
      <c r="C1167" s="68" t="s">
        <v>1278</v>
      </c>
      <c r="D1167" s="68">
        <v>10</v>
      </c>
      <c r="E1167" s="68">
        <v>0</v>
      </c>
      <c r="F1167" s="68" t="s">
        <v>1285</v>
      </c>
      <c r="G1167" s="68">
        <v>39</v>
      </c>
      <c r="H1167" s="68" t="s">
        <v>1285</v>
      </c>
      <c r="I1167" s="68">
        <v>0</v>
      </c>
      <c r="J1167" s="68" t="s">
        <v>1278</v>
      </c>
    </row>
    <row r="1168" spans="1:10" ht="12.75" customHeight="1">
      <c r="A1168" s="71"/>
      <c r="B1168" s="71" t="s">
        <v>1283</v>
      </c>
      <c r="C1168" s="68" t="s">
        <v>1278</v>
      </c>
      <c r="D1168" s="68">
        <v>4</v>
      </c>
      <c r="E1168" s="68">
        <v>0</v>
      </c>
      <c r="F1168" s="68">
        <v>0</v>
      </c>
      <c r="G1168" s="68">
        <v>37</v>
      </c>
      <c r="H1168" s="68" t="s">
        <v>1285</v>
      </c>
      <c r="I1168" s="68">
        <v>0</v>
      </c>
      <c r="J1168" s="68" t="s">
        <v>1278</v>
      </c>
    </row>
    <row r="1169" spans="1:10" ht="12.75" customHeight="1">
      <c r="A1169" s="71"/>
      <c r="B1169" s="71" t="s">
        <v>1284</v>
      </c>
      <c r="C1169" s="68" t="s">
        <v>1278</v>
      </c>
      <c r="D1169" s="68" t="s">
        <v>1285</v>
      </c>
      <c r="E1169" s="68">
        <v>0</v>
      </c>
      <c r="F1169" s="68">
        <v>0</v>
      </c>
      <c r="G1169" s="68" t="s">
        <v>1285</v>
      </c>
      <c r="H1169" s="68">
        <v>0</v>
      </c>
      <c r="I1169" s="68">
        <v>0</v>
      </c>
      <c r="J1169" s="68" t="s">
        <v>1278</v>
      </c>
    </row>
    <row r="1170" spans="1:10" ht="12.75" customHeight="1">
      <c r="A1170" s="71"/>
      <c r="B1170" s="71" t="s">
        <v>1286</v>
      </c>
      <c r="C1170" s="68" t="s">
        <v>1278</v>
      </c>
      <c r="D1170" s="68">
        <v>5</v>
      </c>
      <c r="E1170" s="68">
        <v>0</v>
      </c>
      <c r="F1170" s="68" t="s">
        <v>1285</v>
      </c>
      <c r="G1170" s="68">
        <v>2</v>
      </c>
      <c r="H1170" s="68">
        <v>0</v>
      </c>
      <c r="I1170" s="68">
        <v>0</v>
      </c>
      <c r="J1170" s="68" t="s">
        <v>1278</v>
      </c>
    </row>
    <row r="1171" spans="1:10" ht="12.75" customHeight="1">
      <c r="A1171" s="71"/>
      <c r="B1171" s="71" t="s">
        <v>1287</v>
      </c>
      <c r="C1171" s="68" t="s">
        <v>1278</v>
      </c>
      <c r="D1171" s="68" t="s">
        <v>1285</v>
      </c>
      <c r="E1171" s="68" t="s">
        <v>1278</v>
      </c>
      <c r="F1171" s="68" t="s">
        <v>1278</v>
      </c>
      <c r="G1171" s="68" t="s">
        <v>1278</v>
      </c>
      <c r="H1171" s="68" t="s">
        <v>1278</v>
      </c>
      <c r="I1171" s="68" t="s">
        <v>1278</v>
      </c>
      <c r="J1171" s="68" t="s">
        <v>1278</v>
      </c>
    </row>
    <row r="1172" spans="1:10" ht="12.75" customHeight="1">
      <c r="A1172" s="71"/>
      <c r="B1172" s="71" t="s">
        <v>1288</v>
      </c>
      <c r="C1172" s="68" t="s">
        <v>1278</v>
      </c>
      <c r="D1172" s="68" t="s">
        <v>1285</v>
      </c>
      <c r="E1172" s="68">
        <v>0</v>
      </c>
      <c r="F1172" s="68">
        <v>0</v>
      </c>
      <c r="G1172" s="68">
        <v>0</v>
      </c>
      <c r="H1172" s="68">
        <v>0</v>
      </c>
      <c r="I1172" s="68">
        <v>0</v>
      </c>
      <c r="J1172" s="68" t="s">
        <v>1278</v>
      </c>
    </row>
    <row r="1173" spans="1:10" ht="12.75" customHeight="1">
      <c r="A1173" s="71"/>
      <c r="B1173" s="69" t="s">
        <v>1289</v>
      </c>
      <c r="C1173" s="68" t="s">
        <v>1278</v>
      </c>
      <c r="D1173" s="68">
        <v>1</v>
      </c>
      <c r="E1173" s="68">
        <v>0</v>
      </c>
      <c r="F1173" s="68" t="s">
        <v>1285</v>
      </c>
      <c r="G1173" s="68">
        <v>3</v>
      </c>
      <c r="H1173" s="68" t="s">
        <v>1285</v>
      </c>
      <c r="I1173" s="68">
        <v>0</v>
      </c>
      <c r="J1173" s="68" t="s">
        <v>1278</v>
      </c>
    </row>
    <row r="1174" spans="1:10" ht="12.75" customHeight="1">
      <c r="A1174" s="71"/>
      <c r="B1174" s="71" t="s">
        <v>1290</v>
      </c>
      <c r="C1174" s="68" t="s">
        <v>1278</v>
      </c>
      <c r="D1174" s="68">
        <v>1</v>
      </c>
      <c r="E1174" s="68">
        <v>0</v>
      </c>
      <c r="F1174" s="68">
        <v>0</v>
      </c>
      <c r="G1174" s="68">
        <v>2</v>
      </c>
      <c r="H1174" s="68" t="s">
        <v>1285</v>
      </c>
      <c r="I1174" s="68">
        <v>0</v>
      </c>
      <c r="J1174" s="68" t="s">
        <v>1278</v>
      </c>
    </row>
    <row r="1175" spans="1:10" ht="12.75" customHeight="1">
      <c r="A1175" s="71"/>
      <c r="B1175" s="71" t="s">
        <v>1291</v>
      </c>
      <c r="C1175" s="68" t="s">
        <v>1278</v>
      </c>
      <c r="D1175" s="68">
        <v>1</v>
      </c>
      <c r="E1175" s="68" t="s">
        <v>1278</v>
      </c>
      <c r="F1175" s="68" t="s">
        <v>1278</v>
      </c>
      <c r="G1175" s="68" t="s">
        <v>1278</v>
      </c>
      <c r="H1175" s="68" t="s">
        <v>1278</v>
      </c>
      <c r="I1175" s="68" t="s">
        <v>1278</v>
      </c>
      <c r="J1175" s="68" t="s">
        <v>1278</v>
      </c>
    </row>
    <row r="1176" spans="1:10" ht="12.75" customHeight="1">
      <c r="A1176" s="71"/>
      <c r="B1176" s="71" t="s">
        <v>1292</v>
      </c>
      <c r="C1176" s="68" t="s">
        <v>1278</v>
      </c>
      <c r="D1176" s="68" t="s">
        <v>1285</v>
      </c>
      <c r="E1176" s="68">
        <v>0</v>
      </c>
      <c r="F1176" s="68">
        <v>0</v>
      </c>
      <c r="G1176" s="68" t="s">
        <v>1285</v>
      </c>
      <c r="H1176" s="68">
        <v>0</v>
      </c>
      <c r="I1176" s="68">
        <v>0</v>
      </c>
      <c r="J1176" s="68" t="s">
        <v>1278</v>
      </c>
    </row>
    <row r="1177" spans="1:10" ht="12.75" customHeight="1">
      <c r="A1177" s="71"/>
      <c r="B1177" s="71" t="s">
        <v>1293</v>
      </c>
      <c r="C1177" s="68" t="s">
        <v>1278</v>
      </c>
      <c r="D1177" s="68" t="s">
        <v>1285</v>
      </c>
      <c r="E1177" s="68" t="s">
        <v>1278</v>
      </c>
      <c r="F1177" s="68" t="s">
        <v>1285</v>
      </c>
      <c r="G1177" s="68">
        <v>0</v>
      </c>
      <c r="H1177" s="68" t="s">
        <v>1285</v>
      </c>
      <c r="I1177" s="68" t="s">
        <v>1278</v>
      </c>
      <c r="J1177" s="68" t="s">
        <v>1278</v>
      </c>
    </row>
    <row r="1178" spans="1:10" ht="12.75" customHeight="1">
      <c r="A1178" s="71"/>
      <c r="B1178" s="71" t="s">
        <v>1294</v>
      </c>
      <c r="C1178" s="68" t="s">
        <v>1278</v>
      </c>
      <c r="D1178" s="68" t="s">
        <v>1278</v>
      </c>
      <c r="E1178" s="68">
        <v>0</v>
      </c>
      <c r="F1178" s="68" t="s">
        <v>1285</v>
      </c>
      <c r="G1178" s="68">
        <v>0</v>
      </c>
      <c r="H1178" s="68">
        <v>0</v>
      </c>
      <c r="I1178" s="68">
        <v>0</v>
      </c>
      <c r="J1178" s="68" t="s">
        <v>1278</v>
      </c>
    </row>
    <row r="1179" spans="1:10" ht="12.75" customHeight="1">
      <c r="A1179" s="71"/>
      <c r="B1179" s="71" t="s">
        <v>1295</v>
      </c>
      <c r="C1179" s="68" t="s">
        <v>1278</v>
      </c>
      <c r="D1179" s="68" t="s">
        <v>1285</v>
      </c>
      <c r="E1179" s="68">
        <v>0</v>
      </c>
      <c r="F1179" s="68">
        <v>0</v>
      </c>
      <c r="G1179" s="68" t="s">
        <v>1285</v>
      </c>
      <c r="H1179" s="68">
        <v>0</v>
      </c>
      <c r="I1179" s="68">
        <v>0</v>
      </c>
      <c r="J1179" s="68" t="s">
        <v>1278</v>
      </c>
    </row>
    <row r="1180" spans="1:10" ht="12.75" customHeight="1">
      <c r="A1180" s="71"/>
      <c r="B1180" s="69" t="s">
        <v>1296</v>
      </c>
      <c r="C1180" s="68" t="s">
        <v>1285</v>
      </c>
      <c r="D1180" s="68" t="s">
        <v>1285</v>
      </c>
      <c r="E1180" s="68">
        <v>0</v>
      </c>
      <c r="F1180" s="68">
        <v>0</v>
      </c>
      <c r="G1180" s="68" t="s">
        <v>1285</v>
      </c>
      <c r="H1180" s="68">
        <v>0</v>
      </c>
      <c r="I1180" s="68">
        <v>0</v>
      </c>
      <c r="J1180" s="68" t="s">
        <v>1285</v>
      </c>
    </row>
    <row r="1181" spans="1:10" ht="12.75" customHeight="1">
      <c r="A1181" s="71"/>
      <c r="B1181" s="69"/>
      <c r="C1181" s="68"/>
      <c r="D1181" s="68"/>
      <c r="E1181" s="68"/>
      <c r="F1181" s="68"/>
      <c r="G1181" s="68"/>
      <c r="H1181" s="68"/>
      <c r="I1181" s="68"/>
      <c r="J1181" s="68"/>
    </row>
    <row r="1182" spans="1:10" s="73" customFormat="1" ht="12.75" customHeight="1">
      <c r="A1182" s="69" t="s">
        <v>1402</v>
      </c>
      <c r="B1182" s="69" t="s">
        <v>1403</v>
      </c>
      <c r="C1182" s="74"/>
      <c r="D1182" s="74"/>
      <c r="E1182" s="74"/>
      <c r="F1182" s="74"/>
      <c r="G1182" s="74"/>
      <c r="H1182" s="74"/>
      <c r="I1182" s="74"/>
      <c r="J1182" s="74"/>
    </row>
    <row r="1183" spans="1:10" s="73" customFormat="1" ht="12.75" customHeight="1">
      <c r="A1183" s="69"/>
      <c r="B1183" s="69"/>
      <c r="C1183" s="74"/>
      <c r="D1183" s="74"/>
      <c r="E1183" s="74"/>
      <c r="F1183" s="74"/>
      <c r="G1183" s="74"/>
      <c r="H1183" s="74"/>
      <c r="I1183" s="74"/>
      <c r="J1183" s="74"/>
    </row>
    <row r="1184" spans="1:10" s="73" customFormat="1" ht="12.75" customHeight="1">
      <c r="A1184" s="69"/>
      <c r="B1184" s="69"/>
      <c r="C1184" s="74"/>
      <c r="D1184" s="74"/>
      <c r="E1184" s="74"/>
      <c r="F1184" s="74"/>
      <c r="G1184" s="74"/>
      <c r="H1184" s="74"/>
      <c r="I1184" s="74"/>
      <c r="J1184" s="74"/>
    </row>
    <row r="1185" spans="1:10" ht="12.75" customHeight="1">
      <c r="A1185" s="71"/>
      <c r="B1185" s="69" t="s">
        <v>1276</v>
      </c>
      <c r="C1185" s="68">
        <v>21</v>
      </c>
      <c r="D1185" s="68">
        <v>13</v>
      </c>
      <c r="E1185" s="68">
        <v>0</v>
      </c>
      <c r="F1185" s="68" t="s">
        <v>1285</v>
      </c>
      <c r="G1185" s="68">
        <v>8</v>
      </c>
      <c r="H1185" s="68" t="s">
        <v>1285</v>
      </c>
      <c r="I1185" s="68">
        <v>0</v>
      </c>
      <c r="J1185" s="68" t="s">
        <v>1285</v>
      </c>
    </row>
    <row r="1186" spans="1:10" ht="12.75" customHeight="1">
      <c r="A1186" s="71"/>
      <c r="B1186" s="69" t="s">
        <v>1277</v>
      </c>
      <c r="C1186" s="68" t="s">
        <v>1278</v>
      </c>
      <c r="D1186" s="68" t="s">
        <v>1285</v>
      </c>
      <c r="E1186" s="68">
        <v>0</v>
      </c>
      <c r="F1186" s="68" t="s">
        <v>1285</v>
      </c>
      <c r="G1186" s="68" t="s">
        <v>1285</v>
      </c>
      <c r="H1186" s="68" t="s">
        <v>1285</v>
      </c>
      <c r="I1186" s="68">
        <v>0</v>
      </c>
      <c r="J1186" s="68" t="s">
        <v>1278</v>
      </c>
    </row>
    <row r="1187" spans="1:10" ht="12.75" customHeight="1">
      <c r="A1187" s="71"/>
      <c r="B1187" s="71" t="s">
        <v>1279</v>
      </c>
      <c r="C1187" s="68" t="s">
        <v>1278</v>
      </c>
      <c r="D1187" s="68" t="s">
        <v>1285</v>
      </c>
      <c r="E1187" s="68">
        <v>0</v>
      </c>
      <c r="F1187" s="68" t="s">
        <v>1285</v>
      </c>
      <c r="G1187" s="68" t="s">
        <v>1285</v>
      </c>
      <c r="H1187" s="68" t="s">
        <v>1285</v>
      </c>
      <c r="I1187" s="68">
        <v>0</v>
      </c>
      <c r="J1187" s="68" t="s">
        <v>1278</v>
      </c>
    </row>
    <row r="1188" spans="1:10" ht="12.75" customHeight="1">
      <c r="A1188" s="71"/>
      <c r="B1188" s="71" t="s">
        <v>1280</v>
      </c>
      <c r="C1188" s="68" t="s">
        <v>1278</v>
      </c>
      <c r="D1188" s="68">
        <v>0</v>
      </c>
      <c r="E1188" s="68">
        <v>0</v>
      </c>
      <c r="F1188" s="68" t="s">
        <v>1285</v>
      </c>
      <c r="G1188" s="68" t="s">
        <v>1285</v>
      </c>
      <c r="H1188" s="68" t="s">
        <v>1285</v>
      </c>
      <c r="I1188" s="68">
        <v>0</v>
      </c>
      <c r="J1188" s="68" t="s">
        <v>1278</v>
      </c>
    </row>
    <row r="1189" spans="1:10" ht="12.75" customHeight="1">
      <c r="A1189" s="71"/>
      <c r="B1189" s="69" t="s">
        <v>1281</v>
      </c>
      <c r="C1189" s="68" t="s">
        <v>1278</v>
      </c>
      <c r="D1189" s="68">
        <v>10</v>
      </c>
      <c r="E1189" s="68">
        <v>0</v>
      </c>
      <c r="F1189" s="68" t="s">
        <v>1285</v>
      </c>
      <c r="G1189" s="68">
        <v>6</v>
      </c>
      <c r="H1189" s="68" t="s">
        <v>1285</v>
      </c>
      <c r="I1189" s="68">
        <v>0</v>
      </c>
      <c r="J1189" s="68" t="s">
        <v>1278</v>
      </c>
    </row>
    <row r="1190" spans="1:10" ht="12.75" customHeight="1">
      <c r="A1190" s="71"/>
      <c r="B1190" s="71" t="s">
        <v>1283</v>
      </c>
      <c r="C1190" s="68" t="s">
        <v>1278</v>
      </c>
      <c r="D1190" s="68">
        <v>5</v>
      </c>
      <c r="E1190" s="68">
        <v>0</v>
      </c>
      <c r="F1190" s="68">
        <v>0</v>
      </c>
      <c r="G1190" s="68">
        <v>5</v>
      </c>
      <c r="H1190" s="68" t="s">
        <v>1285</v>
      </c>
      <c r="I1190" s="68">
        <v>0</v>
      </c>
      <c r="J1190" s="68" t="s">
        <v>1278</v>
      </c>
    </row>
    <row r="1191" spans="1:10" ht="12.75" customHeight="1">
      <c r="A1191" s="71"/>
      <c r="B1191" s="71" t="s">
        <v>1284</v>
      </c>
      <c r="C1191" s="68" t="s">
        <v>1278</v>
      </c>
      <c r="D1191" s="68">
        <v>1</v>
      </c>
      <c r="E1191" s="68">
        <v>0</v>
      </c>
      <c r="F1191" s="68">
        <v>0</v>
      </c>
      <c r="G1191" s="68" t="s">
        <v>1285</v>
      </c>
      <c r="H1191" s="68">
        <v>0</v>
      </c>
      <c r="I1191" s="68">
        <v>0</v>
      </c>
      <c r="J1191" s="68" t="s">
        <v>1278</v>
      </c>
    </row>
    <row r="1192" spans="1:10" ht="12.75" customHeight="1">
      <c r="A1192" s="71"/>
      <c r="B1192" s="71" t="s">
        <v>1286</v>
      </c>
      <c r="C1192" s="68" t="s">
        <v>1278</v>
      </c>
      <c r="D1192" s="68">
        <v>3</v>
      </c>
      <c r="E1192" s="68">
        <v>0</v>
      </c>
      <c r="F1192" s="68" t="s">
        <v>1285</v>
      </c>
      <c r="G1192" s="68" t="s">
        <v>1285</v>
      </c>
      <c r="H1192" s="68" t="s">
        <v>1285</v>
      </c>
      <c r="I1192" s="68">
        <v>0</v>
      </c>
      <c r="J1192" s="68" t="s">
        <v>1278</v>
      </c>
    </row>
    <row r="1193" spans="1:10" ht="12.75" customHeight="1">
      <c r="A1193" s="71"/>
      <c r="B1193" s="71" t="s">
        <v>1287</v>
      </c>
      <c r="C1193" s="68" t="s">
        <v>1278</v>
      </c>
      <c r="D1193" s="68" t="s">
        <v>1285</v>
      </c>
      <c r="E1193" s="68" t="s">
        <v>1278</v>
      </c>
      <c r="F1193" s="68" t="s">
        <v>1278</v>
      </c>
      <c r="G1193" s="68" t="s">
        <v>1278</v>
      </c>
      <c r="H1193" s="68" t="s">
        <v>1278</v>
      </c>
      <c r="I1193" s="68" t="s">
        <v>1278</v>
      </c>
      <c r="J1193" s="68" t="s">
        <v>1278</v>
      </c>
    </row>
    <row r="1194" spans="1:10" ht="12.75" customHeight="1">
      <c r="A1194" s="71"/>
      <c r="B1194" s="71" t="s">
        <v>1288</v>
      </c>
      <c r="C1194" s="68" t="s">
        <v>1278</v>
      </c>
      <c r="D1194" s="68">
        <v>1</v>
      </c>
      <c r="E1194" s="68">
        <v>0</v>
      </c>
      <c r="F1194" s="68" t="s">
        <v>1285</v>
      </c>
      <c r="G1194" s="68" t="s">
        <v>1285</v>
      </c>
      <c r="H1194" s="68" t="s">
        <v>1285</v>
      </c>
      <c r="I1194" s="68">
        <v>0</v>
      </c>
      <c r="J1194" s="68" t="s">
        <v>1278</v>
      </c>
    </row>
    <row r="1195" spans="1:10" ht="12.75" customHeight="1">
      <c r="A1195" s="71"/>
      <c r="B1195" s="69" t="s">
        <v>1289</v>
      </c>
      <c r="C1195" s="68" t="s">
        <v>1278</v>
      </c>
      <c r="D1195" s="68">
        <v>3</v>
      </c>
      <c r="E1195" s="68">
        <v>0</v>
      </c>
      <c r="F1195" s="68" t="s">
        <v>1285</v>
      </c>
      <c r="G1195" s="68">
        <v>1</v>
      </c>
      <c r="H1195" s="68" t="s">
        <v>1285</v>
      </c>
      <c r="I1195" s="68">
        <v>0</v>
      </c>
      <c r="J1195" s="68" t="s">
        <v>1278</v>
      </c>
    </row>
    <row r="1196" spans="1:10" ht="12.75" customHeight="1">
      <c r="A1196" s="71"/>
      <c r="B1196" s="71" t="s">
        <v>1290</v>
      </c>
      <c r="C1196" s="68" t="s">
        <v>1278</v>
      </c>
      <c r="D1196" s="68">
        <v>1</v>
      </c>
      <c r="E1196" s="68">
        <v>0</v>
      </c>
      <c r="F1196" s="68" t="s">
        <v>1285</v>
      </c>
      <c r="G1196" s="68">
        <v>1</v>
      </c>
      <c r="H1196" s="68" t="s">
        <v>1285</v>
      </c>
      <c r="I1196" s="68">
        <v>0</v>
      </c>
      <c r="J1196" s="68" t="s">
        <v>1278</v>
      </c>
    </row>
    <row r="1197" spans="1:10" ht="12.75" customHeight="1">
      <c r="A1197" s="71"/>
      <c r="B1197" s="71" t="s">
        <v>1291</v>
      </c>
      <c r="C1197" s="68" t="s">
        <v>1278</v>
      </c>
      <c r="D1197" s="68">
        <v>1</v>
      </c>
      <c r="E1197" s="68" t="s">
        <v>1278</v>
      </c>
      <c r="F1197" s="68" t="s">
        <v>1278</v>
      </c>
      <c r="G1197" s="68" t="s">
        <v>1278</v>
      </c>
      <c r="H1197" s="68" t="s">
        <v>1278</v>
      </c>
      <c r="I1197" s="68" t="s">
        <v>1278</v>
      </c>
      <c r="J1197" s="68" t="s">
        <v>1278</v>
      </c>
    </row>
    <row r="1198" spans="1:10" ht="12.75" customHeight="1">
      <c r="A1198" s="71"/>
      <c r="B1198" s="71" t="s">
        <v>1292</v>
      </c>
      <c r="C1198" s="68" t="s">
        <v>1278</v>
      </c>
      <c r="D1198" s="68" t="s">
        <v>1285</v>
      </c>
      <c r="E1198" s="68">
        <v>0</v>
      </c>
      <c r="F1198" s="68" t="s">
        <v>1285</v>
      </c>
      <c r="G1198" s="68" t="s">
        <v>1285</v>
      </c>
      <c r="H1198" s="68" t="s">
        <v>1285</v>
      </c>
      <c r="I1198" s="68">
        <v>0</v>
      </c>
      <c r="J1198" s="68" t="s">
        <v>1278</v>
      </c>
    </row>
    <row r="1199" spans="1:10" ht="12.75" customHeight="1">
      <c r="A1199" s="71"/>
      <c r="B1199" s="71" t="s">
        <v>1293</v>
      </c>
      <c r="C1199" s="68" t="s">
        <v>1278</v>
      </c>
      <c r="D1199" s="68" t="s">
        <v>1285</v>
      </c>
      <c r="E1199" s="68" t="s">
        <v>1278</v>
      </c>
      <c r="F1199" s="68" t="s">
        <v>1285</v>
      </c>
      <c r="G1199" s="68" t="s">
        <v>1285</v>
      </c>
      <c r="H1199" s="68" t="s">
        <v>1285</v>
      </c>
      <c r="I1199" s="68" t="s">
        <v>1278</v>
      </c>
      <c r="J1199" s="68" t="s">
        <v>1278</v>
      </c>
    </row>
    <row r="1200" spans="1:10" ht="12.75" customHeight="1">
      <c r="A1200" s="71"/>
      <c r="B1200" s="71" t="s">
        <v>1294</v>
      </c>
      <c r="C1200" s="68" t="s">
        <v>1278</v>
      </c>
      <c r="D1200" s="68" t="s">
        <v>1278</v>
      </c>
      <c r="E1200" s="68">
        <v>0</v>
      </c>
      <c r="F1200" s="68" t="s">
        <v>1285</v>
      </c>
      <c r="G1200" s="68" t="s">
        <v>1285</v>
      </c>
      <c r="H1200" s="68" t="s">
        <v>1285</v>
      </c>
      <c r="I1200" s="68">
        <v>0</v>
      </c>
      <c r="J1200" s="68" t="s">
        <v>1278</v>
      </c>
    </row>
    <row r="1201" spans="1:10" ht="12.75" customHeight="1">
      <c r="A1201" s="71"/>
      <c r="B1201" s="71" t="s">
        <v>1295</v>
      </c>
      <c r="C1201" s="68" t="s">
        <v>1278</v>
      </c>
      <c r="D1201" s="68" t="s">
        <v>1285</v>
      </c>
      <c r="E1201" s="68">
        <v>0</v>
      </c>
      <c r="F1201" s="68" t="s">
        <v>1285</v>
      </c>
      <c r="G1201" s="68" t="s">
        <v>1285</v>
      </c>
      <c r="H1201" s="68" t="s">
        <v>1285</v>
      </c>
      <c r="I1201" s="68">
        <v>0</v>
      </c>
      <c r="J1201" s="68" t="s">
        <v>1278</v>
      </c>
    </row>
    <row r="1202" spans="1:10" ht="12.75" customHeight="1">
      <c r="A1202" s="71"/>
      <c r="B1202" s="69" t="s">
        <v>1296</v>
      </c>
      <c r="C1202" s="68" t="s">
        <v>1285</v>
      </c>
      <c r="D1202" s="68" t="s">
        <v>1285</v>
      </c>
      <c r="E1202" s="68">
        <v>0</v>
      </c>
      <c r="F1202" s="68">
        <v>0</v>
      </c>
      <c r="G1202" s="68" t="s">
        <v>1285</v>
      </c>
      <c r="H1202" s="68" t="s">
        <v>1285</v>
      </c>
      <c r="I1202" s="68">
        <v>0</v>
      </c>
      <c r="J1202" s="68" t="s">
        <v>1285</v>
      </c>
    </row>
    <row r="1203" spans="1:10" ht="12.75" customHeight="1">
      <c r="A1203" s="71"/>
      <c r="B1203" s="69"/>
      <c r="C1203" s="68"/>
      <c r="D1203" s="68"/>
      <c r="E1203" s="68"/>
      <c r="F1203" s="68"/>
      <c r="G1203" s="68"/>
      <c r="H1203" s="68"/>
      <c r="I1203" s="68"/>
      <c r="J1203" s="68"/>
    </row>
    <row r="1204" spans="1:10" s="73" customFormat="1" ht="12.75" customHeight="1">
      <c r="A1204" s="69" t="s">
        <v>1404</v>
      </c>
      <c r="B1204" s="69" t="s">
        <v>1405</v>
      </c>
      <c r="C1204" s="74"/>
      <c r="D1204" s="74"/>
      <c r="E1204" s="74"/>
      <c r="F1204" s="74"/>
      <c r="G1204" s="74"/>
      <c r="H1204" s="74"/>
      <c r="I1204" s="74"/>
      <c r="J1204" s="74"/>
    </row>
    <row r="1205" spans="1:10" s="73" customFormat="1" ht="12.75" customHeight="1">
      <c r="A1205" s="69"/>
      <c r="B1205" s="69"/>
      <c r="C1205" s="74"/>
      <c r="D1205" s="74"/>
      <c r="E1205" s="74"/>
      <c r="F1205" s="74"/>
      <c r="G1205" s="74"/>
      <c r="H1205" s="74"/>
      <c r="I1205" s="74"/>
      <c r="J1205" s="74"/>
    </row>
    <row r="1206" spans="1:10" s="73" customFormat="1" ht="12.75" customHeight="1">
      <c r="A1206" s="69"/>
      <c r="B1206" s="69"/>
      <c r="C1206" s="74"/>
      <c r="D1206" s="74"/>
      <c r="E1206" s="74"/>
      <c r="F1206" s="74"/>
      <c r="G1206" s="74"/>
      <c r="H1206" s="74"/>
      <c r="I1206" s="74"/>
      <c r="J1206" s="74"/>
    </row>
    <row r="1207" spans="1:10" ht="12.75" customHeight="1">
      <c r="A1207" s="71"/>
      <c r="B1207" s="69" t="s">
        <v>1276</v>
      </c>
      <c r="C1207" s="68">
        <v>296</v>
      </c>
      <c r="D1207" s="68">
        <v>39</v>
      </c>
      <c r="E1207" s="68">
        <v>0</v>
      </c>
      <c r="F1207" s="68">
        <v>1</v>
      </c>
      <c r="G1207" s="68">
        <v>58</v>
      </c>
      <c r="H1207" s="68" t="s">
        <v>1285</v>
      </c>
      <c r="I1207" s="68">
        <v>106</v>
      </c>
      <c r="J1207" s="68">
        <v>92</v>
      </c>
    </row>
    <row r="1208" spans="1:10" ht="12.75" customHeight="1">
      <c r="A1208" s="71"/>
      <c r="B1208" s="69" t="s">
        <v>1277</v>
      </c>
      <c r="C1208" s="68" t="s">
        <v>1278</v>
      </c>
      <c r="D1208" s="68" t="s">
        <v>1285</v>
      </c>
      <c r="E1208" s="68">
        <v>0</v>
      </c>
      <c r="F1208" s="68">
        <v>0</v>
      </c>
      <c r="G1208" s="68" t="s">
        <v>1285</v>
      </c>
      <c r="H1208" s="68">
        <v>0</v>
      </c>
      <c r="I1208" s="68" t="s">
        <v>1285</v>
      </c>
      <c r="J1208" s="68" t="s">
        <v>1278</v>
      </c>
    </row>
    <row r="1209" spans="1:10" ht="12.75" customHeight="1">
      <c r="A1209" s="71"/>
      <c r="B1209" s="71" t="s">
        <v>1279</v>
      </c>
      <c r="C1209" s="68" t="s">
        <v>1278</v>
      </c>
      <c r="D1209" s="68" t="s">
        <v>1285</v>
      </c>
      <c r="E1209" s="68">
        <v>0</v>
      </c>
      <c r="F1209" s="68">
        <v>0</v>
      </c>
      <c r="G1209" s="68" t="s">
        <v>1285</v>
      </c>
      <c r="H1209" s="68">
        <v>0</v>
      </c>
      <c r="I1209" s="68" t="s">
        <v>1285</v>
      </c>
      <c r="J1209" s="68" t="s">
        <v>1278</v>
      </c>
    </row>
    <row r="1210" spans="1:10" ht="12.75" customHeight="1">
      <c r="A1210" s="71"/>
      <c r="B1210" s="71" t="s">
        <v>1280</v>
      </c>
      <c r="C1210" s="68" t="s">
        <v>1278</v>
      </c>
      <c r="D1210" s="68">
        <v>0</v>
      </c>
      <c r="E1210" s="68">
        <v>0</v>
      </c>
      <c r="F1210" s="68">
        <v>0</v>
      </c>
      <c r="G1210" s="68" t="s">
        <v>1285</v>
      </c>
      <c r="H1210" s="68">
        <v>0</v>
      </c>
      <c r="I1210" s="68" t="s">
        <v>1285</v>
      </c>
      <c r="J1210" s="68" t="s">
        <v>1278</v>
      </c>
    </row>
    <row r="1211" spans="1:10" ht="12.75" customHeight="1">
      <c r="A1211" s="71"/>
      <c r="B1211" s="69" t="s">
        <v>1281</v>
      </c>
      <c r="C1211" s="68" t="s">
        <v>1278</v>
      </c>
      <c r="D1211" s="68">
        <v>37</v>
      </c>
      <c r="E1211" s="68">
        <v>0</v>
      </c>
      <c r="F1211" s="68">
        <v>1</v>
      </c>
      <c r="G1211" s="68">
        <v>57</v>
      </c>
      <c r="H1211" s="68" t="s">
        <v>1285</v>
      </c>
      <c r="I1211" s="68">
        <v>105</v>
      </c>
      <c r="J1211" s="68" t="s">
        <v>1278</v>
      </c>
    </row>
    <row r="1212" spans="1:10" ht="12.75" customHeight="1">
      <c r="A1212" s="71"/>
      <c r="B1212" s="71" t="s">
        <v>1283</v>
      </c>
      <c r="C1212" s="68" t="s">
        <v>1278</v>
      </c>
      <c r="D1212" s="68">
        <v>4</v>
      </c>
      <c r="E1212" s="68">
        <v>0</v>
      </c>
      <c r="F1212" s="68" t="s">
        <v>1285</v>
      </c>
      <c r="G1212" s="68">
        <v>36</v>
      </c>
      <c r="H1212" s="68" t="s">
        <v>1285</v>
      </c>
      <c r="I1212" s="68">
        <v>89</v>
      </c>
      <c r="J1212" s="68" t="s">
        <v>1278</v>
      </c>
    </row>
    <row r="1213" spans="1:10" ht="12.75" customHeight="1">
      <c r="A1213" s="71"/>
      <c r="B1213" s="71" t="s">
        <v>1284</v>
      </c>
      <c r="C1213" s="68" t="s">
        <v>1278</v>
      </c>
      <c r="D1213" s="68">
        <v>2</v>
      </c>
      <c r="E1213" s="68">
        <v>0</v>
      </c>
      <c r="F1213" s="68">
        <v>0</v>
      </c>
      <c r="G1213" s="68">
        <v>3</v>
      </c>
      <c r="H1213" s="68">
        <v>0</v>
      </c>
      <c r="I1213" s="68">
        <v>3</v>
      </c>
      <c r="J1213" s="68" t="s">
        <v>1278</v>
      </c>
    </row>
    <row r="1214" spans="1:10" ht="12.75" customHeight="1">
      <c r="A1214" s="71"/>
      <c r="B1214" s="71" t="s">
        <v>1286</v>
      </c>
      <c r="C1214" s="68" t="s">
        <v>1278</v>
      </c>
      <c r="D1214" s="68">
        <v>30</v>
      </c>
      <c r="E1214" s="68">
        <v>0</v>
      </c>
      <c r="F1214" s="68" t="s">
        <v>1285</v>
      </c>
      <c r="G1214" s="68">
        <v>17</v>
      </c>
      <c r="H1214" s="68" t="s">
        <v>1285</v>
      </c>
      <c r="I1214" s="68">
        <v>14</v>
      </c>
      <c r="J1214" s="68" t="s">
        <v>1278</v>
      </c>
    </row>
    <row r="1215" spans="1:10" ht="12.75" customHeight="1">
      <c r="A1215" s="71"/>
      <c r="B1215" s="71" t="s">
        <v>1287</v>
      </c>
      <c r="C1215" s="68" t="s">
        <v>1278</v>
      </c>
      <c r="D1215" s="68">
        <v>1</v>
      </c>
      <c r="E1215" s="68" t="s">
        <v>1278</v>
      </c>
      <c r="F1215" s="68" t="s">
        <v>1278</v>
      </c>
      <c r="G1215" s="68" t="s">
        <v>1278</v>
      </c>
      <c r="H1215" s="68" t="s">
        <v>1278</v>
      </c>
      <c r="I1215" s="68" t="s">
        <v>1278</v>
      </c>
      <c r="J1215" s="68" t="s">
        <v>1278</v>
      </c>
    </row>
    <row r="1216" spans="1:10" ht="12.75" customHeight="1">
      <c r="A1216" s="71"/>
      <c r="B1216" s="71" t="s">
        <v>1288</v>
      </c>
      <c r="C1216" s="68" t="s">
        <v>1278</v>
      </c>
      <c r="D1216" s="68">
        <v>1</v>
      </c>
      <c r="E1216" s="68">
        <v>0</v>
      </c>
      <c r="F1216" s="68" t="s">
        <v>1285</v>
      </c>
      <c r="G1216" s="68">
        <v>0</v>
      </c>
      <c r="H1216" s="68">
        <v>0</v>
      </c>
      <c r="I1216" s="68">
        <v>0</v>
      </c>
      <c r="J1216" s="68" t="s">
        <v>1278</v>
      </c>
    </row>
    <row r="1217" spans="1:10" ht="12.75" customHeight="1">
      <c r="A1217" s="71"/>
      <c r="B1217" s="69" t="s">
        <v>1289</v>
      </c>
      <c r="C1217" s="68" t="s">
        <v>1278</v>
      </c>
      <c r="D1217" s="68">
        <v>2</v>
      </c>
      <c r="E1217" s="68">
        <v>0</v>
      </c>
      <c r="F1217" s="68">
        <v>1</v>
      </c>
      <c r="G1217" s="68" t="s">
        <v>1285</v>
      </c>
      <c r="H1217" s="68" t="s">
        <v>1285</v>
      </c>
      <c r="I1217" s="68" t="s">
        <v>1285</v>
      </c>
      <c r="J1217" s="68" t="s">
        <v>1278</v>
      </c>
    </row>
    <row r="1218" spans="1:10" ht="12.75" customHeight="1">
      <c r="A1218" s="71"/>
      <c r="B1218" s="71" t="s">
        <v>1290</v>
      </c>
      <c r="C1218" s="68" t="s">
        <v>1278</v>
      </c>
      <c r="D1218" s="68">
        <v>1</v>
      </c>
      <c r="E1218" s="68">
        <v>0</v>
      </c>
      <c r="F1218" s="68" t="s">
        <v>1285</v>
      </c>
      <c r="G1218" s="68" t="s">
        <v>1285</v>
      </c>
      <c r="H1218" s="68" t="s">
        <v>1285</v>
      </c>
      <c r="I1218" s="68">
        <v>0</v>
      </c>
      <c r="J1218" s="68" t="s">
        <v>1278</v>
      </c>
    </row>
    <row r="1219" spans="1:10" ht="12.75" customHeight="1">
      <c r="A1219" s="71"/>
      <c r="B1219" s="71" t="s">
        <v>1291</v>
      </c>
      <c r="C1219" s="68" t="s">
        <v>1278</v>
      </c>
      <c r="D1219" s="68">
        <v>1</v>
      </c>
      <c r="E1219" s="68" t="s">
        <v>1278</v>
      </c>
      <c r="F1219" s="68" t="s">
        <v>1278</v>
      </c>
      <c r="G1219" s="68" t="s">
        <v>1278</v>
      </c>
      <c r="H1219" s="68" t="s">
        <v>1278</v>
      </c>
      <c r="I1219" s="68" t="s">
        <v>1278</v>
      </c>
      <c r="J1219" s="68" t="s">
        <v>1278</v>
      </c>
    </row>
    <row r="1220" spans="1:10" ht="12.75" customHeight="1">
      <c r="A1220" s="71"/>
      <c r="B1220" s="71" t="s">
        <v>1292</v>
      </c>
      <c r="C1220" s="68" t="s">
        <v>1278</v>
      </c>
      <c r="D1220" s="68" t="s">
        <v>1285</v>
      </c>
      <c r="E1220" s="68">
        <v>0</v>
      </c>
      <c r="F1220" s="68">
        <v>0</v>
      </c>
      <c r="G1220" s="68" t="s">
        <v>1285</v>
      </c>
      <c r="H1220" s="68" t="s">
        <v>1285</v>
      </c>
      <c r="I1220" s="68" t="s">
        <v>1285</v>
      </c>
      <c r="J1220" s="68" t="s">
        <v>1278</v>
      </c>
    </row>
    <row r="1221" spans="1:10" ht="12.75" customHeight="1">
      <c r="A1221" s="71"/>
      <c r="B1221" s="71" t="s">
        <v>1293</v>
      </c>
      <c r="C1221" s="68" t="s">
        <v>1278</v>
      </c>
      <c r="D1221" s="68" t="s">
        <v>1285</v>
      </c>
      <c r="E1221" s="68" t="s">
        <v>1278</v>
      </c>
      <c r="F1221" s="68">
        <v>1</v>
      </c>
      <c r="G1221" s="68">
        <v>0</v>
      </c>
      <c r="H1221" s="68" t="s">
        <v>1285</v>
      </c>
      <c r="I1221" s="68" t="s">
        <v>1278</v>
      </c>
      <c r="J1221" s="68" t="s">
        <v>1278</v>
      </c>
    </row>
    <row r="1222" spans="1:10" ht="12.75" customHeight="1">
      <c r="A1222" s="71"/>
      <c r="B1222" s="71" t="s">
        <v>1294</v>
      </c>
      <c r="C1222" s="68" t="s">
        <v>1278</v>
      </c>
      <c r="D1222" s="68" t="s">
        <v>1278</v>
      </c>
      <c r="E1222" s="68">
        <v>0</v>
      </c>
      <c r="F1222" s="68" t="s">
        <v>1285</v>
      </c>
      <c r="G1222" s="68">
        <v>0</v>
      </c>
      <c r="H1222" s="68">
        <v>0</v>
      </c>
      <c r="I1222" s="68">
        <v>0</v>
      </c>
      <c r="J1222" s="68" t="s">
        <v>1278</v>
      </c>
    </row>
    <row r="1223" spans="1:10" ht="12.75" customHeight="1">
      <c r="A1223" s="71"/>
      <c r="B1223" s="71" t="s">
        <v>1295</v>
      </c>
      <c r="C1223" s="68" t="s">
        <v>1278</v>
      </c>
      <c r="D1223" s="68" t="s">
        <v>1285</v>
      </c>
      <c r="E1223" s="68">
        <v>0</v>
      </c>
      <c r="F1223" s="68" t="s">
        <v>1285</v>
      </c>
      <c r="G1223" s="68">
        <v>0</v>
      </c>
      <c r="H1223" s="68" t="s">
        <v>1285</v>
      </c>
      <c r="I1223" s="68">
        <v>0</v>
      </c>
      <c r="J1223" s="68" t="s">
        <v>1278</v>
      </c>
    </row>
    <row r="1224" spans="1:10" ht="12.75" customHeight="1">
      <c r="A1224" s="71"/>
      <c r="B1224" s="69" t="s">
        <v>1296</v>
      </c>
      <c r="C1224" s="68">
        <v>92</v>
      </c>
      <c r="D1224" s="68" t="s">
        <v>1285</v>
      </c>
      <c r="E1224" s="68">
        <v>0</v>
      </c>
      <c r="F1224" s="68">
        <v>0</v>
      </c>
      <c r="G1224" s="68" t="s">
        <v>1285</v>
      </c>
      <c r="H1224" s="68">
        <v>0</v>
      </c>
      <c r="I1224" s="68">
        <v>0</v>
      </c>
      <c r="J1224" s="68">
        <v>92</v>
      </c>
    </row>
    <row r="1225" spans="1:10" ht="12.75" customHeight="1">
      <c r="A1225" s="71"/>
      <c r="B1225" s="69"/>
      <c r="C1225" s="68"/>
      <c r="D1225" s="68"/>
      <c r="E1225" s="68"/>
      <c r="F1225" s="68"/>
      <c r="G1225" s="68"/>
      <c r="H1225" s="68"/>
      <c r="I1225" s="68"/>
      <c r="J1225" s="68"/>
    </row>
    <row r="1226" spans="1:10" s="73" customFormat="1" ht="12.75" customHeight="1">
      <c r="A1226" s="69" t="s">
        <v>1406</v>
      </c>
      <c r="B1226" s="69" t="s">
        <v>1407</v>
      </c>
      <c r="C1226" s="74"/>
      <c r="D1226" s="74"/>
      <c r="E1226" s="74"/>
      <c r="F1226" s="74"/>
      <c r="G1226" s="74"/>
      <c r="H1226" s="74"/>
      <c r="I1226" s="74"/>
      <c r="J1226" s="74"/>
    </row>
    <row r="1227" spans="1:10" s="73" customFormat="1" ht="12.75" customHeight="1">
      <c r="A1227" s="69"/>
      <c r="B1227" s="69"/>
      <c r="C1227" s="74"/>
      <c r="D1227" s="74"/>
      <c r="E1227" s="74"/>
      <c r="F1227" s="74"/>
      <c r="G1227" s="74"/>
      <c r="H1227" s="74"/>
      <c r="I1227" s="74"/>
      <c r="J1227" s="74"/>
    </row>
    <row r="1228" spans="1:10" s="73" customFormat="1" ht="12.75" customHeight="1">
      <c r="A1228" s="69"/>
      <c r="B1228" s="69"/>
      <c r="C1228" s="74"/>
      <c r="D1228" s="74"/>
      <c r="E1228" s="74"/>
      <c r="F1228" s="74"/>
      <c r="G1228" s="74"/>
      <c r="H1228" s="74"/>
      <c r="I1228" s="74"/>
      <c r="J1228" s="74"/>
    </row>
    <row r="1229" spans="1:10" ht="12.75" customHeight="1">
      <c r="A1229" s="71"/>
      <c r="B1229" s="69" t="s">
        <v>1276</v>
      </c>
      <c r="C1229" s="68">
        <v>106</v>
      </c>
      <c r="D1229" s="68">
        <v>5</v>
      </c>
      <c r="E1229" s="68">
        <v>0</v>
      </c>
      <c r="F1229" s="68">
        <v>1</v>
      </c>
      <c r="G1229" s="68">
        <v>18</v>
      </c>
      <c r="H1229" s="68" t="s">
        <v>1285</v>
      </c>
      <c r="I1229" s="68">
        <v>63</v>
      </c>
      <c r="J1229" s="68">
        <v>19</v>
      </c>
    </row>
    <row r="1230" spans="1:10" ht="12.75" customHeight="1">
      <c r="A1230" s="71"/>
      <c r="B1230" s="69" t="s">
        <v>1277</v>
      </c>
      <c r="C1230" s="68" t="s">
        <v>1278</v>
      </c>
      <c r="D1230" s="68" t="s">
        <v>1285</v>
      </c>
      <c r="E1230" s="68">
        <v>0</v>
      </c>
      <c r="F1230" s="68">
        <v>0</v>
      </c>
      <c r="G1230" s="68" t="s">
        <v>1285</v>
      </c>
      <c r="H1230" s="68">
        <v>0</v>
      </c>
      <c r="I1230" s="68">
        <v>0</v>
      </c>
      <c r="J1230" s="68" t="s">
        <v>1278</v>
      </c>
    </row>
    <row r="1231" spans="1:10" ht="12.75" customHeight="1">
      <c r="A1231" s="71"/>
      <c r="B1231" s="71" t="s">
        <v>1279</v>
      </c>
      <c r="C1231" s="68" t="s">
        <v>1278</v>
      </c>
      <c r="D1231" s="68" t="s">
        <v>1285</v>
      </c>
      <c r="E1231" s="68">
        <v>0</v>
      </c>
      <c r="F1231" s="68">
        <v>0</v>
      </c>
      <c r="G1231" s="68" t="s">
        <v>1285</v>
      </c>
      <c r="H1231" s="68">
        <v>0</v>
      </c>
      <c r="I1231" s="68">
        <v>0</v>
      </c>
      <c r="J1231" s="68" t="s">
        <v>1278</v>
      </c>
    </row>
    <row r="1232" spans="1:10" ht="12.75" customHeight="1">
      <c r="A1232" s="71"/>
      <c r="B1232" s="71" t="s">
        <v>1280</v>
      </c>
      <c r="C1232" s="68" t="s">
        <v>1278</v>
      </c>
      <c r="D1232" s="68">
        <v>0</v>
      </c>
      <c r="E1232" s="68">
        <v>0</v>
      </c>
      <c r="F1232" s="68">
        <v>0</v>
      </c>
      <c r="G1232" s="68">
        <v>0</v>
      </c>
      <c r="H1232" s="68">
        <v>0</v>
      </c>
      <c r="I1232" s="68">
        <v>0</v>
      </c>
      <c r="J1232" s="68" t="s">
        <v>1278</v>
      </c>
    </row>
    <row r="1233" spans="1:10" ht="12.75" customHeight="1">
      <c r="A1233" s="71"/>
      <c r="B1233" s="69" t="s">
        <v>1281</v>
      </c>
      <c r="C1233" s="68" t="s">
        <v>1278</v>
      </c>
      <c r="D1233" s="68">
        <v>4</v>
      </c>
      <c r="E1233" s="68">
        <v>0</v>
      </c>
      <c r="F1233" s="68" t="s">
        <v>1285</v>
      </c>
      <c r="G1233" s="68">
        <v>18</v>
      </c>
      <c r="H1233" s="68" t="s">
        <v>1285</v>
      </c>
      <c r="I1233" s="68">
        <v>63</v>
      </c>
      <c r="J1233" s="68" t="s">
        <v>1278</v>
      </c>
    </row>
    <row r="1234" spans="1:10" ht="12.75" customHeight="1">
      <c r="A1234" s="71"/>
      <c r="B1234" s="71" t="s">
        <v>1283</v>
      </c>
      <c r="C1234" s="68" t="s">
        <v>1278</v>
      </c>
      <c r="D1234" s="68">
        <v>1</v>
      </c>
      <c r="E1234" s="68">
        <v>0</v>
      </c>
      <c r="F1234" s="68" t="s">
        <v>1285</v>
      </c>
      <c r="G1234" s="68">
        <v>18</v>
      </c>
      <c r="H1234" s="68" t="s">
        <v>1285</v>
      </c>
      <c r="I1234" s="68">
        <v>63</v>
      </c>
      <c r="J1234" s="68" t="s">
        <v>1278</v>
      </c>
    </row>
    <row r="1235" spans="1:10" ht="12.75" customHeight="1">
      <c r="A1235" s="71"/>
      <c r="B1235" s="71" t="s">
        <v>1284</v>
      </c>
      <c r="C1235" s="68" t="s">
        <v>1278</v>
      </c>
      <c r="D1235" s="68" t="s">
        <v>1285</v>
      </c>
      <c r="E1235" s="68">
        <v>0</v>
      </c>
      <c r="F1235" s="68">
        <v>0</v>
      </c>
      <c r="G1235" s="68">
        <v>0</v>
      </c>
      <c r="H1235" s="68">
        <v>0</v>
      </c>
      <c r="I1235" s="68">
        <v>0</v>
      </c>
      <c r="J1235" s="68" t="s">
        <v>1278</v>
      </c>
    </row>
    <row r="1236" spans="1:10" ht="12.75" customHeight="1">
      <c r="A1236" s="71"/>
      <c r="B1236" s="71" t="s">
        <v>1286</v>
      </c>
      <c r="C1236" s="68" t="s">
        <v>1278</v>
      </c>
      <c r="D1236" s="68">
        <v>3</v>
      </c>
      <c r="E1236" s="68">
        <v>0</v>
      </c>
      <c r="F1236" s="68" t="s">
        <v>1285</v>
      </c>
      <c r="G1236" s="68">
        <v>1</v>
      </c>
      <c r="H1236" s="68" t="s">
        <v>1285</v>
      </c>
      <c r="I1236" s="68">
        <v>0</v>
      </c>
      <c r="J1236" s="68" t="s">
        <v>1278</v>
      </c>
    </row>
    <row r="1237" spans="1:10" ht="12.75" customHeight="1">
      <c r="A1237" s="71"/>
      <c r="B1237" s="71" t="s">
        <v>1287</v>
      </c>
      <c r="C1237" s="68" t="s">
        <v>1278</v>
      </c>
      <c r="D1237" s="68">
        <v>0</v>
      </c>
      <c r="E1237" s="68" t="s">
        <v>1278</v>
      </c>
      <c r="F1237" s="68" t="s">
        <v>1278</v>
      </c>
      <c r="G1237" s="68" t="s">
        <v>1278</v>
      </c>
      <c r="H1237" s="68" t="s">
        <v>1278</v>
      </c>
      <c r="I1237" s="68" t="s">
        <v>1278</v>
      </c>
      <c r="J1237" s="68" t="s">
        <v>1278</v>
      </c>
    </row>
    <row r="1238" spans="1:10" ht="12.75" customHeight="1">
      <c r="A1238" s="71"/>
      <c r="B1238" s="71" t="s">
        <v>1288</v>
      </c>
      <c r="C1238" s="68" t="s">
        <v>1278</v>
      </c>
      <c r="D1238" s="68" t="s">
        <v>1285</v>
      </c>
      <c r="E1238" s="68">
        <v>0</v>
      </c>
      <c r="F1238" s="68" t="s">
        <v>1285</v>
      </c>
      <c r="G1238" s="68">
        <v>0</v>
      </c>
      <c r="H1238" s="68">
        <v>0</v>
      </c>
      <c r="I1238" s="68">
        <v>0</v>
      </c>
      <c r="J1238" s="68" t="s">
        <v>1278</v>
      </c>
    </row>
    <row r="1239" spans="1:10" ht="12.75" customHeight="1">
      <c r="A1239" s="71"/>
      <c r="B1239" s="69" t="s">
        <v>1289</v>
      </c>
      <c r="C1239" s="68" t="s">
        <v>1278</v>
      </c>
      <c r="D1239" s="68" t="s">
        <v>1285</v>
      </c>
      <c r="E1239" s="68">
        <v>0</v>
      </c>
      <c r="F1239" s="68">
        <v>1</v>
      </c>
      <c r="G1239" s="68" t="s">
        <v>1285</v>
      </c>
      <c r="H1239" s="68" t="s">
        <v>1285</v>
      </c>
      <c r="I1239" s="68">
        <v>0</v>
      </c>
      <c r="J1239" s="68" t="s">
        <v>1278</v>
      </c>
    </row>
    <row r="1240" spans="1:10" ht="12.75" customHeight="1">
      <c r="A1240" s="71"/>
      <c r="B1240" s="71" t="s">
        <v>1290</v>
      </c>
      <c r="C1240" s="68" t="s">
        <v>1278</v>
      </c>
      <c r="D1240" s="68" t="s">
        <v>1285</v>
      </c>
      <c r="E1240" s="68">
        <v>0</v>
      </c>
      <c r="F1240" s="68">
        <v>0</v>
      </c>
      <c r="G1240" s="68" t="s">
        <v>1285</v>
      </c>
      <c r="H1240" s="68" t="s">
        <v>1285</v>
      </c>
      <c r="I1240" s="68">
        <v>0</v>
      </c>
      <c r="J1240" s="68" t="s">
        <v>1278</v>
      </c>
    </row>
    <row r="1241" spans="1:10" ht="12.75" customHeight="1">
      <c r="A1241" s="71"/>
      <c r="B1241" s="71" t="s">
        <v>1291</v>
      </c>
      <c r="C1241" s="68" t="s">
        <v>1278</v>
      </c>
      <c r="D1241" s="68" t="s">
        <v>1285</v>
      </c>
      <c r="E1241" s="68" t="s">
        <v>1278</v>
      </c>
      <c r="F1241" s="68" t="s">
        <v>1278</v>
      </c>
      <c r="G1241" s="68" t="s">
        <v>1278</v>
      </c>
      <c r="H1241" s="68" t="s">
        <v>1278</v>
      </c>
      <c r="I1241" s="68" t="s">
        <v>1278</v>
      </c>
      <c r="J1241" s="68" t="s">
        <v>1278</v>
      </c>
    </row>
    <row r="1242" spans="1:10" ht="12.75" customHeight="1">
      <c r="A1242" s="71"/>
      <c r="B1242" s="71" t="s">
        <v>1292</v>
      </c>
      <c r="C1242" s="68" t="s">
        <v>1278</v>
      </c>
      <c r="D1242" s="68" t="s">
        <v>1285</v>
      </c>
      <c r="E1242" s="68">
        <v>0</v>
      </c>
      <c r="F1242" s="68">
        <v>0</v>
      </c>
      <c r="G1242" s="68" t="s">
        <v>1285</v>
      </c>
      <c r="H1242" s="68" t="s">
        <v>1285</v>
      </c>
      <c r="I1242" s="68">
        <v>0</v>
      </c>
      <c r="J1242" s="68" t="s">
        <v>1278</v>
      </c>
    </row>
    <row r="1243" spans="1:10" ht="12.75" customHeight="1">
      <c r="A1243" s="71"/>
      <c r="B1243" s="71" t="s">
        <v>1293</v>
      </c>
      <c r="C1243" s="68" t="s">
        <v>1278</v>
      </c>
      <c r="D1243" s="68" t="s">
        <v>1285</v>
      </c>
      <c r="E1243" s="68" t="s">
        <v>1278</v>
      </c>
      <c r="F1243" s="68">
        <v>1</v>
      </c>
      <c r="G1243" s="68">
        <v>0</v>
      </c>
      <c r="H1243" s="68" t="s">
        <v>1285</v>
      </c>
      <c r="I1243" s="68" t="s">
        <v>1278</v>
      </c>
      <c r="J1243" s="68" t="s">
        <v>1278</v>
      </c>
    </row>
    <row r="1244" spans="1:10" ht="12.75" customHeight="1">
      <c r="A1244" s="71"/>
      <c r="B1244" s="71" t="s">
        <v>1294</v>
      </c>
      <c r="C1244" s="68" t="s">
        <v>1278</v>
      </c>
      <c r="D1244" s="68" t="s">
        <v>1278</v>
      </c>
      <c r="E1244" s="68">
        <v>0</v>
      </c>
      <c r="F1244" s="68">
        <v>0</v>
      </c>
      <c r="G1244" s="68">
        <v>0</v>
      </c>
      <c r="H1244" s="68">
        <v>0</v>
      </c>
      <c r="I1244" s="68">
        <v>0</v>
      </c>
      <c r="J1244" s="68" t="s">
        <v>1278</v>
      </c>
    </row>
    <row r="1245" spans="1:10" ht="12.75" customHeight="1">
      <c r="A1245" s="71"/>
      <c r="B1245" s="71" t="s">
        <v>1295</v>
      </c>
      <c r="C1245" s="68" t="s">
        <v>1278</v>
      </c>
      <c r="D1245" s="68" t="s">
        <v>1285</v>
      </c>
      <c r="E1245" s="68">
        <v>0</v>
      </c>
      <c r="F1245" s="68">
        <v>0</v>
      </c>
      <c r="G1245" s="68">
        <v>0</v>
      </c>
      <c r="H1245" s="68" t="s">
        <v>1285</v>
      </c>
      <c r="I1245" s="68">
        <v>0</v>
      </c>
      <c r="J1245" s="68" t="s">
        <v>1278</v>
      </c>
    </row>
    <row r="1246" spans="1:10" ht="12.75" customHeight="1">
      <c r="A1246" s="71"/>
      <c r="B1246" s="69" t="s">
        <v>1296</v>
      </c>
      <c r="C1246" s="68">
        <v>19</v>
      </c>
      <c r="D1246" s="68">
        <v>0</v>
      </c>
      <c r="E1246" s="68">
        <v>0</v>
      </c>
      <c r="F1246" s="68">
        <v>0</v>
      </c>
      <c r="G1246" s="68">
        <v>0</v>
      </c>
      <c r="H1246" s="68">
        <v>0</v>
      </c>
      <c r="I1246" s="68">
        <v>0</v>
      </c>
      <c r="J1246" s="68">
        <v>19</v>
      </c>
    </row>
    <row r="1247" spans="1:10" ht="12.75" customHeight="1">
      <c r="A1247" s="71"/>
      <c r="B1247" s="69"/>
      <c r="C1247" s="68"/>
      <c r="D1247" s="68"/>
      <c r="E1247" s="68"/>
      <c r="F1247" s="68"/>
      <c r="G1247" s="68"/>
      <c r="H1247" s="68"/>
      <c r="I1247" s="68"/>
      <c r="J1247" s="68"/>
    </row>
    <row r="1248" spans="1:10" s="73" customFormat="1" ht="12.75" customHeight="1">
      <c r="A1248" s="69" t="s">
        <v>1408</v>
      </c>
      <c r="B1248" s="69" t="s">
        <v>1409</v>
      </c>
      <c r="C1248" s="74"/>
      <c r="D1248" s="74"/>
      <c r="E1248" s="74"/>
      <c r="F1248" s="74"/>
      <c r="G1248" s="74"/>
      <c r="H1248" s="74"/>
      <c r="I1248" s="74"/>
      <c r="J1248" s="74"/>
    </row>
    <row r="1249" spans="1:10" s="73" customFormat="1" ht="12.75" customHeight="1">
      <c r="A1249" s="69"/>
      <c r="B1249" s="69"/>
      <c r="C1249" s="74"/>
      <c r="D1249" s="74"/>
      <c r="E1249" s="74"/>
      <c r="F1249" s="74"/>
      <c r="G1249" s="74"/>
      <c r="H1249" s="74"/>
      <c r="I1249" s="74"/>
      <c r="J1249" s="74"/>
    </row>
    <row r="1250" spans="1:10" s="73" customFormat="1" ht="12.75" customHeight="1">
      <c r="A1250" s="69"/>
      <c r="B1250" s="69"/>
      <c r="C1250" s="74"/>
      <c r="D1250" s="74"/>
      <c r="E1250" s="74"/>
      <c r="F1250" s="74"/>
      <c r="G1250" s="74"/>
      <c r="H1250" s="74"/>
      <c r="I1250" s="74"/>
      <c r="J1250" s="74"/>
    </row>
    <row r="1251" spans="1:10" ht="12.75" customHeight="1">
      <c r="A1251" s="71"/>
      <c r="B1251" s="69" t="s">
        <v>1276</v>
      </c>
      <c r="C1251" s="68">
        <v>59</v>
      </c>
      <c r="D1251" s="68">
        <v>5</v>
      </c>
      <c r="E1251" s="68">
        <v>0</v>
      </c>
      <c r="F1251" s="68">
        <v>1</v>
      </c>
      <c r="G1251" s="68">
        <v>52</v>
      </c>
      <c r="H1251" s="68" t="s">
        <v>1285</v>
      </c>
      <c r="I1251" s="68">
        <v>0</v>
      </c>
      <c r="J1251" s="68" t="s">
        <v>1285</v>
      </c>
    </row>
    <row r="1252" spans="1:10" ht="12.75" customHeight="1">
      <c r="A1252" s="71"/>
      <c r="B1252" s="69" t="s">
        <v>1277</v>
      </c>
      <c r="C1252" s="68" t="s">
        <v>1278</v>
      </c>
      <c r="D1252" s="68" t="s">
        <v>1285</v>
      </c>
      <c r="E1252" s="68">
        <v>0</v>
      </c>
      <c r="F1252" s="68">
        <v>0</v>
      </c>
      <c r="G1252" s="68">
        <v>1</v>
      </c>
      <c r="H1252" s="68">
        <v>0</v>
      </c>
      <c r="I1252" s="68">
        <v>0</v>
      </c>
      <c r="J1252" s="68" t="s">
        <v>1278</v>
      </c>
    </row>
    <row r="1253" spans="1:10" ht="12.75" customHeight="1">
      <c r="A1253" s="71"/>
      <c r="B1253" s="71" t="s">
        <v>1279</v>
      </c>
      <c r="C1253" s="68" t="s">
        <v>1278</v>
      </c>
      <c r="D1253" s="68" t="s">
        <v>1285</v>
      </c>
      <c r="E1253" s="68">
        <v>0</v>
      </c>
      <c r="F1253" s="68">
        <v>0</v>
      </c>
      <c r="G1253" s="68" t="s">
        <v>1285</v>
      </c>
      <c r="H1253" s="68">
        <v>0</v>
      </c>
      <c r="I1253" s="68">
        <v>0</v>
      </c>
      <c r="J1253" s="68" t="s">
        <v>1278</v>
      </c>
    </row>
    <row r="1254" spans="1:10" ht="12.75" customHeight="1">
      <c r="A1254" s="71"/>
      <c r="B1254" s="71" t="s">
        <v>1280</v>
      </c>
      <c r="C1254" s="68" t="s">
        <v>1278</v>
      </c>
      <c r="D1254" s="68">
        <v>0</v>
      </c>
      <c r="E1254" s="68">
        <v>0</v>
      </c>
      <c r="F1254" s="68">
        <v>0</v>
      </c>
      <c r="G1254" s="68">
        <v>1</v>
      </c>
      <c r="H1254" s="68">
        <v>0</v>
      </c>
      <c r="I1254" s="68">
        <v>0</v>
      </c>
      <c r="J1254" s="68" t="s">
        <v>1278</v>
      </c>
    </row>
    <row r="1255" spans="1:10" ht="12.75" customHeight="1">
      <c r="A1255" s="71"/>
      <c r="B1255" s="69" t="s">
        <v>1281</v>
      </c>
      <c r="C1255" s="68" t="s">
        <v>1278</v>
      </c>
      <c r="D1255" s="68">
        <v>4</v>
      </c>
      <c r="E1255" s="68">
        <v>0</v>
      </c>
      <c r="F1255" s="68" t="s">
        <v>1285</v>
      </c>
      <c r="G1255" s="68">
        <v>50</v>
      </c>
      <c r="H1255" s="68">
        <v>0</v>
      </c>
      <c r="I1255" s="68">
        <v>0</v>
      </c>
      <c r="J1255" s="68" t="s">
        <v>1278</v>
      </c>
    </row>
    <row r="1256" spans="1:10" ht="12.75" customHeight="1">
      <c r="A1256" s="71"/>
      <c r="B1256" s="71" t="s">
        <v>1283</v>
      </c>
      <c r="C1256" s="68" t="s">
        <v>1278</v>
      </c>
      <c r="D1256" s="68" t="s">
        <v>1285</v>
      </c>
      <c r="E1256" s="68">
        <v>0</v>
      </c>
      <c r="F1256" s="68" t="s">
        <v>1285</v>
      </c>
      <c r="G1256" s="68">
        <v>49</v>
      </c>
      <c r="H1256" s="68">
        <v>0</v>
      </c>
      <c r="I1256" s="68">
        <v>0</v>
      </c>
      <c r="J1256" s="68" t="s">
        <v>1278</v>
      </c>
    </row>
    <row r="1257" spans="1:10" ht="12.75" customHeight="1">
      <c r="A1257" s="71"/>
      <c r="B1257" s="71" t="s">
        <v>1284</v>
      </c>
      <c r="C1257" s="68" t="s">
        <v>1278</v>
      </c>
      <c r="D1257" s="68" t="s">
        <v>1285</v>
      </c>
      <c r="E1257" s="68">
        <v>0</v>
      </c>
      <c r="F1257" s="68">
        <v>0</v>
      </c>
      <c r="G1257" s="68" t="s">
        <v>1285</v>
      </c>
      <c r="H1257" s="68">
        <v>0</v>
      </c>
      <c r="I1257" s="68">
        <v>0</v>
      </c>
      <c r="J1257" s="68" t="s">
        <v>1278</v>
      </c>
    </row>
    <row r="1258" spans="1:10" ht="12.75" customHeight="1">
      <c r="A1258" s="71"/>
      <c r="B1258" s="71" t="s">
        <v>1286</v>
      </c>
      <c r="C1258" s="68" t="s">
        <v>1278</v>
      </c>
      <c r="D1258" s="68">
        <v>4</v>
      </c>
      <c r="E1258" s="68">
        <v>0</v>
      </c>
      <c r="F1258" s="68" t="s">
        <v>1285</v>
      </c>
      <c r="G1258" s="68">
        <v>1</v>
      </c>
      <c r="H1258" s="68">
        <v>0</v>
      </c>
      <c r="I1258" s="68">
        <v>0</v>
      </c>
      <c r="J1258" s="68" t="s">
        <v>1278</v>
      </c>
    </row>
    <row r="1259" spans="1:10" ht="12.75" customHeight="1">
      <c r="A1259" s="71"/>
      <c r="B1259" s="71" t="s">
        <v>1287</v>
      </c>
      <c r="C1259" s="68" t="s">
        <v>1278</v>
      </c>
      <c r="D1259" s="68">
        <v>0</v>
      </c>
      <c r="E1259" s="68" t="s">
        <v>1278</v>
      </c>
      <c r="F1259" s="68" t="s">
        <v>1278</v>
      </c>
      <c r="G1259" s="68" t="s">
        <v>1278</v>
      </c>
      <c r="H1259" s="68" t="s">
        <v>1278</v>
      </c>
      <c r="I1259" s="68" t="s">
        <v>1278</v>
      </c>
      <c r="J1259" s="68" t="s">
        <v>1278</v>
      </c>
    </row>
    <row r="1260" spans="1:10" ht="12.75" customHeight="1">
      <c r="A1260" s="71"/>
      <c r="B1260" s="71" t="s">
        <v>1288</v>
      </c>
      <c r="C1260" s="68" t="s">
        <v>1278</v>
      </c>
      <c r="D1260" s="68" t="s">
        <v>1285</v>
      </c>
      <c r="E1260" s="68">
        <v>0</v>
      </c>
      <c r="F1260" s="68">
        <v>0</v>
      </c>
      <c r="G1260" s="68">
        <v>0</v>
      </c>
      <c r="H1260" s="68">
        <v>0</v>
      </c>
      <c r="I1260" s="68">
        <v>0</v>
      </c>
      <c r="J1260" s="68" t="s">
        <v>1278</v>
      </c>
    </row>
    <row r="1261" spans="1:10" ht="12.75" customHeight="1">
      <c r="A1261" s="71"/>
      <c r="B1261" s="69" t="s">
        <v>1289</v>
      </c>
      <c r="C1261" s="68" t="s">
        <v>1278</v>
      </c>
      <c r="D1261" s="68">
        <v>1</v>
      </c>
      <c r="E1261" s="68">
        <v>0</v>
      </c>
      <c r="F1261" s="68">
        <v>1</v>
      </c>
      <c r="G1261" s="68">
        <v>1</v>
      </c>
      <c r="H1261" s="68" t="s">
        <v>1285</v>
      </c>
      <c r="I1261" s="68">
        <v>0</v>
      </c>
      <c r="J1261" s="68" t="s">
        <v>1278</v>
      </c>
    </row>
    <row r="1262" spans="1:10" ht="12.75" customHeight="1">
      <c r="A1262" s="71"/>
      <c r="B1262" s="71" t="s">
        <v>1290</v>
      </c>
      <c r="C1262" s="68" t="s">
        <v>1278</v>
      </c>
      <c r="D1262" s="68" t="s">
        <v>1285</v>
      </c>
      <c r="E1262" s="68">
        <v>0</v>
      </c>
      <c r="F1262" s="68" t="s">
        <v>1285</v>
      </c>
      <c r="G1262" s="68">
        <v>1</v>
      </c>
      <c r="H1262" s="68" t="s">
        <v>1285</v>
      </c>
      <c r="I1262" s="68">
        <v>0</v>
      </c>
      <c r="J1262" s="68" t="s">
        <v>1278</v>
      </c>
    </row>
    <row r="1263" spans="1:10" ht="12.75" customHeight="1">
      <c r="A1263" s="71"/>
      <c r="B1263" s="71" t="s">
        <v>1291</v>
      </c>
      <c r="C1263" s="68" t="s">
        <v>1278</v>
      </c>
      <c r="D1263" s="68" t="s">
        <v>1285</v>
      </c>
      <c r="E1263" s="68" t="s">
        <v>1278</v>
      </c>
      <c r="F1263" s="68" t="s">
        <v>1278</v>
      </c>
      <c r="G1263" s="68" t="s">
        <v>1278</v>
      </c>
      <c r="H1263" s="68" t="s">
        <v>1278</v>
      </c>
      <c r="I1263" s="68" t="s">
        <v>1278</v>
      </c>
      <c r="J1263" s="68" t="s">
        <v>1278</v>
      </c>
    </row>
    <row r="1264" spans="1:10" ht="12.75" customHeight="1">
      <c r="A1264" s="71"/>
      <c r="B1264" s="71" t="s">
        <v>1292</v>
      </c>
      <c r="C1264" s="68" t="s">
        <v>1278</v>
      </c>
      <c r="D1264" s="68" t="s">
        <v>1285</v>
      </c>
      <c r="E1264" s="68">
        <v>0</v>
      </c>
      <c r="F1264" s="68" t="s">
        <v>1285</v>
      </c>
      <c r="G1264" s="68" t="s">
        <v>1285</v>
      </c>
      <c r="H1264" s="68">
        <v>0</v>
      </c>
      <c r="I1264" s="68">
        <v>0</v>
      </c>
      <c r="J1264" s="68" t="s">
        <v>1278</v>
      </c>
    </row>
    <row r="1265" spans="1:10" ht="12.75" customHeight="1">
      <c r="A1265" s="71"/>
      <c r="B1265" s="71" t="s">
        <v>1293</v>
      </c>
      <c r="C1265" s="68" t="s">
        <v>1278</v>
      </c>
      <c r="D1265" s="68" t="s">
        <v>1285</v>
      </c>
      <c r="E1265" s="68" t="s">
        <v>1278</v>
      </c>
      <c r="F1265" s="68">
        <v>1</v>
      </c>
      <c r="G1265" s="68" t="s">
        <v>1285</v>
      </c>
      <c r="H1265" s="68" t="s">
        <v>1285</v>
      </c>
      <c r="I1265" s="68" t="s">
        <v>1278</v>
      </c>
      <c r="J1265" s="68" t="s">
        <v>1278</v>
      </c>
    </row>
    <row r="1266" spans="1:10" ht="12.75" customHeight="1">
      <c r="A1266" s="71"/>
      <c r="B1266" s="71" t="s">
        <v>1294</v>
      </c>
      <c r="C1266" s="68" t="s">
        <v>1278</v>
      </c>
      <c r="D1266" s="68" t="s">
        <v>1278</v>
      </c>
      <c r="E1266" s="68">
        <v>0</v>
      </c>
      <c r="F1266" s="68" t="s">
        <v>1285</v>
      </c>
      <c r="G1266" s="68">
        <v>0</v>
      </c>
      <c r="H1266" s="68">
        <v>0</v>
      </c>
      <c r="I1266" s="68">
        <v>0</v>
      </c>
      <c r="J1266" s="68" t="s">
        <v>1278</v>
      </c>
    </row>
    <row r="1267" spans="1:10" ht="12.75" customHeight="1">
      <c r="A1267" s="71"/>
      <c r="B1267" s="76" t="s">
        <v>1295</v>
      </c>
      <c r="C1267" s="68" t="s">
        <v>1278</v>
      </c>
      <c r="D1267" s="68" t="s">
        <v>1285</v>
      </c>
      <c r="E1267" s="68">
        <v>0</v>
      </c>
      <c r="F1267" s="68" t="s">
        <v>1285</v>
      </c>
      <c r="G1267" s="68">
        <v>0</v>
      </c>
      <c r="H1267" s="68" t="s">
        <v>1285</v>
      </c>
      <c r="I1267" s="68">
        <v>0</v>
      </c>
      <c r="J1267" s="68" t="s">
        <v>1278</v>
      </c>
    </row>
    <row r="1268" spans="1:10" ht="12.75" customHeight="1">
      <c r="A1268" s="71"/>
      <c r="B1268" s="69" t="s">
        <v>1296</v>
      </c>
      <c r="C1268" s="68" t="s">
        <v>1285</v>
      </c>
      <c r="D1268" s="68" t="s">
        <v>1285</v>
      </c>
      <c r="E1268" s="68">
        <v>0</v>
      </c>
      <c r="F1268" s="68">
        <v>0</v>
      </c>
      <c r="G1268" s="68" t="s">
        <v>1285</v>
      </c>
      <c r="H1268" s="68" t="s">
        <v>1285</v>
      </c>
      <c r="I1268" s="68">
        <v>0</v>
      </c>
      <c r="J1268" s="68" t="s">
        <v>1285</v>
      </c>
    </row>
    <row r="1269" spans="1:10" ht="12.75" customHeight="1">
      <c r="A1269" s="71"/>
      <c r="B1269" s="71"/>
      <c r="C1269" s="68"/>
      <c r="D1269" s="68"/>
      <c r="E1269" s="68"/>
      <c r="F1269" s="68"/>
      <c r="G1269" s="68"/>
      <c r="H1269" s="68"/>
      <c r="I1269" s="68"/>
      <c r="J1269" s="68"/>
    </row>
    <row r="1270" spans="1:10" s="73" customFormat="1" ht="12.75" customHeight="1">
      <c r="A1270" s="69" t="s">
        <v>1410</v>
      </c>
      <c r="B1270" s="69" t="s">
        <v>1411</v>
      </c>
      <c r="C1270" s="74"/>
      <c r="D1270" s="74"/>
      <c r="E1270" s="74"/>
      <c r="F1270" s="74"/>
      <c r="G1270" s="74"/>
      <c r="H1270" s="74"/>
      <c r="I1270" s="74"/>
      <c r="J1270" s="74"/>
    </row>
    <row r="1271" spans="1:10" s="73" customFormat="1" ht="12.75" customHeight="1">
      <c r="A1271" s="69"/>
      <c r="B1271" s="69"/>
      <c r="C1271" s="74"/>
      <c r="D1271" s="74"/>
      <c r="E1271" s="74"/>
      <c r="F1271" s="74"/>
      <c r="G1271" s="74"/>
      <c r="H1271" s="74"/>
      <c r="I1271" s="74"/>
      <c r="J1271" s="74"/>
    </row>
    <row r="1272" spans="1:10" s="73" customFormat="1" ht="12.75" customHeight="1">
      <c r="A1272" s="69"/>
      <c r="B1272" s="69"/>
      <c r="C1272" s="74"/>
      <c r="D1272" s="74"/>
      <c r="E1272" s="74"/>
      <c r="F1272" s="74"/>
      <c r="G1272" s="74"/>
      <c r="H1272" s="74"/>
      <c r="I1272" s="74"/>
      <c r="J1272" s="74"/>
    </row>
    <row r="1273" spans="1:10" ht="12.75" customHeight="1">
      <c r="A1273" s="71"/>
      <c r="B1273" s="69" t="s">
        <v>1276</v>
      </c>
      <c r="C1273" s="68">
        <v>33</v>
      </c>
      <c r="D1273" s="68">
        <v>11</v>
      </c>
      <c r="E1273" s="68">
        <v>0</v>
      </c>
      <c r="F1273" s="68" t="s">
        <v>1285</v>
      </c>
      <c r="G1273" s="68">
        <v>22</v>
      </c>
      <c r="H1273" s="68" t="s">
        <v>1285</v>
      </c>
      <c r="I1273" s="68" t="s">
        <v>1285</v>
      </c>
      <c r="J1273" s="68" t="s">
        <v>1285</v>
      </c>
    </row>
    <row r="1274" spans="1:10" ht="12.75" customHeight="1">
      <c r="A1274" s="71"/>
      <c r="B1274" s="69" t="s">
        <v>1277</v>
      </c>
      <c r="C1274" s="68" t="s">
        <v>1278</v>
      </c>
      <c r="D1274" s="68" t="s">
        <v>1285</v>
      </c>
      <c r="E1274" s="68">
        <v>0</v>
      </c>
      <c r="F1274" s="68">
        <v>0</v>
      </c>
      <c r="G1274" s="68" t="s">
        <v>1285</v>
      </c>
      <c r="H1274" s="68">
        <v>0</v>
      </c>
      <c r="I1274" s="68">
        <v>0</v>
      </c>
      <c r="J1274" s="68" t="s">
        <v>1278</v>
      </c>
    </row>
    <row r="1275" spans="1:10" ht="12.75" customHeight="1">
      <c r="A1275" s="71"/>
      <c r="B1275" s="71" t="s">
        <v>1279</v>
      </c>
      <c r="C1275" s="68" t="s">
        <v>1278</v>
      </c>
      <c r="D1275" s="68" t="s">
        <v>1285</v>
      </c>
      <c r="E1275" s="68">
        <v>0</v>
      </c>
      <c r="F1275" s="68">
        <v>0</v>
      </c>
      <c r="G1275" s="68" t="s">
        <v>1285</v>
      </c>
      <c r="H1275" s="68">
        <v>0</v>
      </c>
      <c r="I1275" s="68">
        <v>0</v>
      </c>
      <c r="J1275" s="68" t="s">
        <v>1278</v>
      </c>
    </row>
    <row r="1276" spans="1:10" ht="12.75" customHeight="1">
      <c r="A1276" s="71"/>
      <c r="B1276" s="71" t="s">
        <v>1280</v>
      </c>
      <c r="C1276" s="68" t="s">
        <v>1278</v>
      </c>
      <c r="D1276" s="68">
        <v>0</v>
      </c>
      <c r="E1276" s="68">
        <v>0</v>
      </c>
      <c r="F1276" s="68">
        <v>0</v>
      </c>
      <c r="G1276" s="68" t="s">
        <v>1285</v>
      </c>
      <c r="H1276" s="68">
        <v>0</v>
      </c>
      <c r="I1276" s="68">
        <v>0</v>
      </c>
      <c r="J1276" s="68" t="s">
        <v>1278</v>
      </c>
    </row>
    <row r="1277" spans="1:10" ht="12.75" customHeight="1">
      <c r="A1277" s="71"/>
      <c r="B1277" s="69" t="s">
        <v>1281</v>
      </c>
      <c r="C1277" s="68" t="s">
        <v>1278</v>
      </c>
      <c r="D1277" s="68">
        <v>9</v>
      </c>
      <c r="E1277" s="68">
        <v>0</v>
      </c>
      <c r="F1277" s="68" t="s">
        <v>1285</v>
      </c>
      <c r="G1277" s="68">
        <v>20</v>
      </c>
      <c r="H1277" s="68" t="s">
        <v>1285</v>
      </c>
      <c r="I1277" s="68" t="s">
        <v>1285</v>
      </c>
      <c r="J1277" s="68" t="s">
        <v>1278</v>
      </c>
    </row>
    <row r="1278" spans="1:10" ht="12.75" customHeight="1">
      <c r="A1278" s="71"/>
      <c r="B1278" s="71" t="s">
        <v>1283</v>
      </c>
      <c r="C1278" s="68" t="s">
        <v>1278</v>
      </c>
      <c r="D1278" s="68">
        <v>4</v>
      </c>
      <c r="E1278" s="68">
        <v>0</v>
      </c>
      <c r="F1278" s="68" t="s">
        <v>1285</v>
      </c>
      <c r="G1278" s="68">
        <v>19</v>
      </c>
      <c r="H1278" s="68" t="s">
        <v>1285</v>
      </c>
      <c r="I1278" s="68" t="s">
        <v>1285</v>
      </c>
      <c r="J1278" s="68" t="s">
        <v>1278</v>
      </c>
    </row>
    <row r="1279" spans="1:10" ht="12.75" customHeight="1">
      <c r="A1279" s="71"/>
      <c r="B1279" s="71" t="s">
        <v>1284</v>
      </c>
      <c r="C1279" s="68" t="s">
        <v>1278</v>
      </c>
      <c r="D1279" s="68">
        <v>1</v>
      </c>
      <c r="E1279" s="68">
        <v>0</v>
      </c>
      <c r="F1279" s="68">
        <v>0</v>
      </c>
      <c r="G1279" s="68" t="s">
        <v>1285</v>
      </c>
      <c r="H1279" s="68">
        <v>0</v>
      </c>
      <c r="I1279" s="68">
        <v>0</v>
      </c>
      <c r="J1279" s="68" t="s">
        <v>1278</v>
      </c>
    </row>
    <row r="1280" spans="1:10" ht="12.75" customHeight="1">
      <c r="A1280" s="71"/>
      <c r="B1280" s="71" t="s">
        <v>1286</v>
      </c>
      <c r="C1280" s="68" t="s">
        <v>1278</v>
      </c>
      <c r="D1280" s="68">
        <v>5</v>
      </c>
      <c r="E1280" s="68">
        <v>0</v>
      </c>
      <c r="F1280" s="68" t="s">
        <v>1285</v>
      </c>
      <c r="G1280" s="68" t="s">
        <v>1285</v>
      </c>
      <c r="H1280" s="68" t="s">
        <v>1285</v>
      </c>
      <c r="I1280" s="68">
        <v>0</v>
      </c>
      <c r="J1280" s="68" t="s">
        <v>1278</v>
      </c>
    </row>
    <row r="1281" spans="1:10" ht="12.75" customHeight="1">
      <c r="A1281" s="71"/>
      <c r="B1281" s="71" t="s">
        <v>1287</v>
      </c>
      <c r="C1281" s="68" t="s">
        <v>1278</v>
      </c>
      <c r="D1281" s="68" t="s">
        <v>1285</v>
      </c>
      <c r="E1281" s="68" t="s">
        <v>1278</v>
      </c>
      <c r="F1281" s="68" t="s">
        <v>1278</v>
      </c>
      <c r="G1281" s="68" t="s">
        <v>1278</v>
      </c>
      <c r="H1281" s="68" t="s">
        <v>1278</v>
      </c>
      <c r="I1281" s="68" t="s">
        <v>1278</v>
      </c>
      <c r="J1281" s="68" t="s">
        <v>1278</v>
      </c>
    </row>
    <row r="1282" spans="1:10" ht="12.75" customHeight="1">
      <c r="A1282" s="71"/>
      <c r="B1282" s="71" t="s">
        <v>1288</v>
      </c>
      <c r="C1282" s="68" t="s">
        <v>1278</v>
      </c>
      <c r="D1282" s="68" t="s">
        <v>1285</v>
      </c>
      <c r="E1282" s="68">
        <v>0</v>
      </c>
      <c r="F1282" s="68" t="s">
        <v>1285</v>
      </c>
      <c r="G1282" s="68" t="s">
        <v>1285</v>
      </c>
      <c r="H1282" s="68">
        <v>0</v>
      </c>
      <c r="I1282" s="68">
        <v>0</v>
      </c>
      <c r="J1282" s="68" t="s">
        <v>1278</v>
      </c>
    </row>
    <row r="1283" spans="1:10" ht="12.75" customHeight="1">
      <c r="A1283" s="71"/>
      <c r="B1283" s="69" t="s">
        <v>1289</v>
      </c>
      <c r="C1283" s="68" t="s">
        <v>1278</v>
      </c>
      <c r="D1283" s="68">
        <v>1</v>
      </c>
      <c r="E1283" s="68">
        <v>0</v>
      </c>
      <c r="F1283" s="68" t="s">
        <v>1285</v>
      </c>
      <c r="G1283" s="68">
        <v>2</v>
      </c>
      <c r="H1283" s="68" t="s">
        <v>1285</v>
      </c>
      <c r="I1283" s="68">
        <v>0</v>
      </c>
      <c r="J1283" s="68" t="s">
        <v>1278</v>
      </c>
    </row>
    <row r="1284" spans="1:10" ht="12.75" customHeight="1">
      <c r="A1284" s="71"/>
      <c r="B1284" s="71" t="s">
        <v>1290</v>
      </c>
      <c r="C1284" s="68" t="s">
        <v>1278</v>
      </c>
      <c r="D1284" s="68">
        <v>1</v>
      </c>
      <c r="E1284" s="68">
        <v>0</v>
      </c>
      <c r="F1284" s="68" t="s">
        <v>1285</v>
      </c>
      <c r="G1284" s="68">
        <v>1</v>
      </c>
      <c r="H1284" s="68" t="s">
        <v>1285</v>
      </c>
      <c r="I1284" s="68">
        <v>0</v>
      </c>
      <c r="J1284" s="68" t="s">
        <v>1278</v>
      </c>
    </row>
    <row r="1285" spans="1:10" ht="12.75" customHeight="1">
      <c r="A1285" s="71"/>
      <c r="B1285" s="71" t="s">
        <v>1291</v>
      </c>
      <c r="C1285" s="68" t="s">
        <v>1278</v>
      </c>
      <c r="D1285" s="68">
        <v>1</v>
      </c>
      <c r="E1285" s="68" t="s">
        <v>1278</v>
      </c>
      <c r="F1285" s="68" t="s">
        <v>1278</v>
      </c>
      <c r="G1285" s="68" t="s">
        <v>1278</v>
      </c>
      <c r="H1285" s="68" t="s">
        <v>1278</v>
      </c>
      <c r="I1285" s="68" t="s">
        <v>1278</v>
      </c>
      <c r="J1285" s="68" t="s">
        <v>1278</v>
      </c>
    </row>
    <row r="1286" spans="1:10" ht="12.75" customHeight="1">
      <c r="A1286" s="71"/>
      <c r="B1286" s="71" t="s">
        <v>1292</v>
      </c>
      <c r="C1286" s="68" t="s">
        <v>1278</v>
      </c>
      <c r="D1286" s="68" t="s">
        <v>1285</v>
      </c>
      <c r="E1286" s="68">
        <v>0</v>
      </c>
      <c r="F1286" s="68" t="s">
        <v>1285</v>
      </c>
      <c r="G1286" s="68" t="s">
        <v>1285</v>
      </c>
      <c r="H1286" s="68">
        <v>0</v>
      </c>
      <c r="I1286" s="68">
        <v>0</v>
      </c>
      <c r="J1286" s="68" t="s">
        <v>1278</v>
      </c>
    </row>
    <row r="1287" spans="1:10" ht="12.75" customHeight="1">
      <c r="A1287" s="71"/>
      <c r="B1287" s="71" t="s">
        <v>1293</v>
      </c>
      <c r="C1287" s="68" t="s">
        <v>1278</v>
      </c>
      <c r="D1287" s="68" t="s">
        <v>1285</v>
      </c>
      <c r="E1287" s="68" t="s">
        <v>1278</v>
      </c>
      <c r="F1287" s="68" t="s">
        <v>1285</v>
      </c>
      <c r="G1287" s="68" t="s">
        <v>1285</v>
      </c>
      <c r="H1287" s="68" t="s">
        <v>1285</v>
      </c>
      <c r="I1287" s="68" t="s">
        <v>1278</v>
      </c>
      <c r="J1287" s="68" t="s">
        <v>1278</v>
      </c>
    </row>
    <row r="1288" spans="1:10" ht="12.75" customHeight="1">
      <c r="A1288" s="71"/>
      <c r="B1288" s="71" t="s">
        <v>1294</v>
      </c>
      <c r="C1288" s="68" t="s">
        <v>1278</v>
      </c>
      <c r="D1288" s="68" t="s">
        <v>1278</v>
      </c>
      <c r="E1288" s="68">
        <v>0</v>
      </c>
      <c r="F1288" s="68" t="s">
        <v>1285</v>
      </c>
      <c r="G1288" s="68" t="s">
        <v>1285</v>
      </c>
      <c r="H1288" s="68">
        <v>0</v>
      </c>
      <c r="I1288" s="68">
        <v>0</v>
      </c>
      <c r="J1288" s="68" t="s">
        <v>1278</v>
      </c>
    </row>
    <row r="1289" spans="1:10" ht="12.75" customHeight="1">
      <c r="A1289" s="71"/>
      <c r="B1289" s="71" t="s">
        <v>1295</v>
      </c>
      <c r="C1289" s="68" t="s">
        <v>1278</v>
      </c>
      <c r="D1289" s="68" t="s">
        <v>1285</v>
      </c>
      <c r="E1289" s="68">
        <v>0</v>
      </c>
      <c r="F1289" s="68" t="s">
        <v>1285</v>
      </c>
      <c r="G1289" s="68">
        <v>0</v>
      </c>
      <c r="H1289" s="68">
        <v>0</v>
      </c>
      <c r="I1289" s="68">
        <v>0</v>
      </c>
      <c r="J1289" s="68" t="s">
        <v>1278</v>
      </c>
    </row>
    <row r="1290" spans="1:10" ht="12.75" customHeight="1">
      <c r="A1290" s="71"/>
      <c r="B1290" s="69" t="s">
        <v>1296</v>
      </c>
      <c r="C1290" s="68" t="s">
        <v>1285</v>
      </c>
      <c r="D1290" s="68" t="s">
        <v>1285</v>
      </c>
      <c r="E1290" s="68">
        <v>0</v>
      </c>
      <c r="F1290" s="68">
        <v>0</v>
      </c>
      <c r="G1290" s="68">
        <v>0</v>
      </c>
      <c r="H1290" s="68">
        <v>0</v>
      </c>
      <c r="I1290" s="68">
        <v>0</v>
      </c>
      <c r="J1290" s="68" t="s">
        <v>1285</v>
      </c>
    </row>
    <row r="1291" spans="1:10" ht="12.75" customHeight="1">
      <c r="A1291" s="71"/>
      <c r="B1291" s="69"/>
      <c r="C1291" s="68"/>
      <c r="D1291" s="68"/>
      <c r="E1291" s="68"/>
      <c r="F1291" s="68"/>
      <c r="G1291" s="68"/>
      <c r="H1291" s="68"/>
      <c r="I1291" s="68"/>
      <c r="J1291" s="68"/>
    </row>
    <row r="1292" spans="1:10" ht="12.75" customHeight="1">
      <c r="A1292" s="69" t="s">
        <v>1412</v>
      </c>
      <c r="B1292" s="69" t="s">
        <v>1413</v>
      </c>
      <c r="C1292" s="68"/>
      <c r="D1292" s="68"/>
      <c r="E1292" s="68"/>
      <c r="F1292" s="68"/>
      <c r="G1292" s="68"/>
      <c r="H1292" s="68"/>
      <c r="I1292" s="68"/>
      <c r="J1292" s="68"/>
    </row>
    <row r="1293" spans="1:10" ht="12.75" customHeight="1">
      <c r="A1293" s="71"/>
      <c r="B1293" s="71"/>
      <c r="C1293" s="68"/>
      <c r="D1293" s="68"/>
      <c r="E1293" s="68"/>
      <c r="F1293" s="68"/>
      <c r="G1293" s="68"/>
      <c r="H1293" s="68"/>
      <c r="I1293" s="68"/>
      <c r="J1293" s="68"/>
    </row>
    <row r="1294" spans="1:10" ht="12.75" customHeight="1">
      <c r="A1294" s="71"/>
      <c r="B1294" s="71"/>
      <c r="C1294" s="68"/>
      <c r="D1294" s="68"/>
      <c r="E1294" s="68"/>
      <c r="F1294" s="68"/>
      <c r="G1294" s="68"/>
      <c r="H1294" s="68"/>
      <c r="I1294" s="68"/>
      <c r="J1294" s="68"/>
    </row>
    <row r="1295" spans="1:10" ht="12.75" customHeight="1">
      <c r="A1295" s="71"/>
      <c r="B1295" s="69" t="s">
        <v>1276</v>
      </c>
      <c r="C1295" s="68">
        <v>1588</v>
      </c>
      <c r="D1295" s="68">
        <v>385</v>
      </c>
      <c r="E1295" s="68" t="s">
        <v>1285</v>
      </c>
      <c r="F1295" s="68">
        <v>6</v>
      </c>
      <c r="G1295" s="68">
        <v>639</v>
      </c>
      <c r="H1295" s="68">
        <v>3</v>
      </c>
      <c r="I1295" s="68">
        <v>26</v>
      </c>
      <c r="J1295" s="68">
        <v>527</v>
      </c>
    </row>
    <row r="1296" spans="1:10" ht="12.75" customHeight="1">
      <c r="A1296" s="71"/>
      <c r="B1296" s="69" t="s">
        <v>1277</v>
      </c>
      <c r="C1296" s="68" t="s">
        <v>1278</v>
      </c>
      <c r="D1296" s="68">
        <v>2</v>
      </c>
      <c r="E1296" s="68" t="s">
        <v>1285</v>
      </c>
      <c r="F1296" s="68" t="s">
        <v>1285</v>
      </c>
      <c r="G1296" s="68">
        <v>68</v>
      </c>
      <c r="H1296" s="68" t="s">
        <v>1285</v>
      </c>
      <c r="I1296" s="68">
        <v>0</v>
      </c>
      <c r="J1296" s="68" t="s">
        <v>1278</v>
      </c>
    </row>
    <row r="1297" spans="1:10" ht="12.75" customHeight="1">
      <c r="A1297" s="71"/>
      <c r="B1297" s="71" t="s">
        <v>1279</v>
      </c>
      <c r="C1297" s="68" t="s">
        <v>1278</v>
      </c>
      <c r="D1297" s="68">
        <v>2</v>
      </c>
      <c r="E1297" s="68" t="s">
        <v>1285</v>
      </c>
      <c r="F1297" s="68" t="s">
        <v>1285</v>
      </c>
      <c r="G1297" s="68">
        <v>21</v>
      </c>
      <c r="H1297" s="68" t="s">
        <v>1285</v>
      </c>
      <c r="I1297" s="68">
        <v>0</v>
      </c>
      <c r="J1297" s="68" t="s">
        <v>1278</v>
      </c>
    </row>
    <row r="1298" spans="1:10" ht="12.75" customHeight="1">
      <c r="A1298" s="71"/>
      <c r="B1298" s="71" t="s">
        <v>1280</v>
      </c>
      <c r="C1298" s="68" t="s">
        <v>1278</v>
      </c>
      <c r="D1298" s="68">
        <v>0</v>
      </c>
      <c r="E1298" s="68" t="s">
        <v>1285</v>
      </c>
      <c r="F1298" s="68" t="s">
        <v>1285</v>
      </c>
      <c r="G1298" s="68">
        <v>47</v>
      </c>
      <c r="H1298" s="68" t="s">
        <v>1285</v>
      </c>
      <c r="I1298" s="68">
        <v>0</v>
      </c>
      <c r="J1298" s="68" t="s">
        <v>1278</v>
      </c>
    </row>
    <row r="1299" spans="1:10" ht="12.75" customHeight="1">
      <c r="A1299" s="71"/>
      <c r="B1299" s="69" t="s">
        <v>1281</v>
      </c>
      <c r="C1299" s="68" t="s">
        <v>1278</v>
      </c>
      <c r="D1299" s="68">
        <v>349</v>
      </c>
      <c r="E1299" s="68" t="s">
        <v>1285</v>
      </c>
      <c r="F1299" s="68">
        <v>1</v>
      </c>
      <c r="G1299" s="68">
        <v>524</v>
      </c>
      <c r="H1299" s="68">
        <v>1</v>
      </c>
      <c r="I1299" s="68">
        <v>26</v>
      </c>
      <c r="J1299" s="68" t="s">
        <v>1278</v>
      </c>
    </row>
    <row r="1300" spans="1:10" ht="12.75" customHeight="1">
      <c r="A1300" s="71"/>
      <c r="B1300" s="71" t="s">
        <v>1283</v>
      </c>
      <c r="C1300" s="68" t="s">
        <v>1278</v>
      </c>
      <c r="D1300" s="68">
        <v>128</v>
      </c>
      <c r="E1300" s="68">
        <v>0</v>
      </c>
      <c r="F1300" s="68" t="s">
        <v>1285</v>
      </c>
      <c r="G1300" s="68">
        <v>480</v>
      </c>
      <c r="H1300" s="68">
        <v>1</v>
      </c>
      <c r="I1300" s="68">
        <v>7</v>
      </c>
      <c r="J1300" s="68" t="s">
        <v>1278</v>
      </c>
    </row>
    <row r="1301" spans="1:10" ht="12.75" customHeight="1">
      <c r="A1301" s="71"/>
      <c r="B1301" s="71" t="s">
        <v>1284</v>
      </c>
      <c r="C1301" s="68" t="s">
        <v>1278</v>
      </c>
      <c r="D1301" s="68">
        <v>11</v>
      </c>
      <c r="E1301" s="68">
        <v>0</v>
      </c>
      <c r="F1301" s="68" t="s">
        <v>1285</v>
      </c>
      <c r="G1301" s="68">
        <v>3</v>
      </c>
      <c r="H1301" s="68" t="s">
        <v>1285</v>
      </c>
      <c r="I1301" s="68">
        <v>0</v>
      </c>
      <c r="J1301" s="68" t="s">
        <v>1278</v>
      </c>
    </row>
    <row r="1302" spans="1:10" ht="12.75" customHeight="1">
      <c r="A1302" s="71"/>
      <c r="B1302" s="71" t="s">
        <v>1286</v>
      </c>
      <c r="C1302" s="68" t="s">
        <v>1278</v>
      </c>
      <c r="D1302" s="68">
        <v>113</v>
      </c>
      <c r="E1302" s="68" t="s">
        <v>1285</v>
      </c>
      <c r="F1302" s="68">
        <v>1</v>
      </c>
      <c r="G1302" s="68">
        <v>5</v>
      </c>
      <c r="H1302" s="68" t="s">
        <v>1285</v>
      </c>
      <c r="I1302" s="68">
        <v>0</v>
      </c>
      <c r="J1302" s="68" t="s">
        <v>1278</v>
      </c>
    </row>
    <row r="1303" spans="1:10" ht="12.75" customHeight="1">
      <c r="A1303" s="71"/>
      <c r="B1303" s="71" t="s">
        <v>1287</v>
      </c>
      <c r="C1303" s="68" t="s">
        <v>1278</v>
      </c>
      <c r="D1303" s="68">
        <v>80</v>
      </c>
      <c r="E1303" s="68" t="s">
        <v>1278</v>
      </c>
      <c r="F1303" s="68" t="s">
        <v>1278</v>
      </c>
      <c r="G1303" s="68" t="s">
        <v>1278</v>
      </c>
      <c r="H1303" s="68" t="s">
        <v>1278</v>
      </c>
      <c r="I1303" s="68" t="s">
        <v>1278</v>
      </c>
      <c r="J1303" s="68" t="s">
        <v>1278</v>
      </c>
    </row>
    <row r="1304" spans="1:10" ht="12.75" customHeight="1">
      <c r="A1304" s="71"/>
      <c r="B1304" s="71" t="s">
        <v>1288</v>
      </c>
      <c r="C1304" s="68" t="s">
        <v>1278</v>
      </c>
      <c r="D1304" s="68">
        <v>18</v>
      </c>
      <c r="E1304" s="68">
        <v>0</v>
      </c>
      <c r="F1304" s="68" t="s">
        <v>1285</v>
      </c>
      <c r="G1304" s="68">
        <v>36</v>
      </c>
      <c r="H1304" s="68" t="s">
        <v>1285</v>
      </c>
      <c r="I1304" s="68">
        <v>20</v>
      </c>
      <c r="J1304" s="68" t="s">
        <v>1278</v>
      </c>
    </row>
    <row r="1305" spans="1:10" ht="12.75" customHeight="1">
      <c r="A1305" s="71"/>
      <c r="B1305" s="69" t="s">
        <v>1289</v>
      </c>
      <c r="C1305" s="68" t="s">
        <v>1278</v>
      </c>
      <c r="D1305" s="68">
        <v>33</v>
      </c>
      <c r="E1305" s="68">
        <v>0</v>
      </c>
      <c r="F1305" s="68">
        <v>5</v>
      </c>
      <c r="G1305" s="68">
        <v>46</v>
      </c>
      <c r="H1305" s="68">
        <v>2</v>
      </c>
      <c r="I1305" s="68">
        <v>0</v>
      </c>
      <c r="J1305" s="68" t="s">
        <v>1278</v>
      </c>
    </row>
    <row r="1306" spans="1:10" ht="12.75" customHeight="1">
      <c r="A1306" s="71"/>
      <c r="B1306" s="71" t="s">
        <v>1290</v>
      </c>
      <c r="C1306" s="68" t="s">
        <v>1278</v>
      </c>
      <c r="D1306" s="68">
        <v>14</v>
      </c>
      <c r="E1306" s="68">
        <v>0</v>
      </c>
      <c r="F1306" s="68" t="s">
        <v>1285</v>
      </c>
      <c r="G1306" s="68">
        <v>40</v>
      </c>
      <c r="H1306" s="68" t="s">
        <v>1285</v>
      </c>
      <c r="I1306" s="68">
        <v>0</v>
      </c>
      <c r="J1306" s="68" t="s">
        <v>1278</v>
      </c>
    </row>
    <row r="1307" spans="1:10" ht="12.75" customHeight="1">
      <c r="A1307" s="71"/>
      <c r="B1307" s="71" t="s">
        <v>1291</v>
      </c>
      <c r="C1307" s="68" t="s">
        <v>1278</v>
      </c>
      <c r="D1307" s="68">
        <v>14</v>
      </c>
      <c r="E1307" s="68" t="s">
        <v>1278</v>
      </c>
      <c r="F1307" s="68" t="s">
        <v>1278</v>
      </c>
      <c r="G1307" s="68" t="s">
        <v>1278</v>
      </c>
      <c r="H1307" s="68" t="s">
        <v>1278</v>
      </c>
      <c r="I1307" s="68" t="s">
        <v>1278</v>
      </c>
      <c r="J1307" s="68" t="s">
        <v>1278</v>
      </c>
    </row>
    <row r="1308" spans="1:10" ht="12.75" customHeight="1">
      <c r="A1308" s="71"/>
      <c r="B1308" s="71" t="s">
        <v>1292</v>
      </c>
      <c r="C1308" s="68" t="s">
        <v>1278</v>
      </c>
      <c r="D1308" s="68">
        <v>4</v>
      </c>
      <c r="E1308" s="68">
        <v>0</v>
      </c>
      <c r="F1308" s="68" t="s">
        <v>1285</v>
      </c>
      <c r="G1308" s="68">
        <v>3</v>
      </c>
      <c r="H1308" s="68" t="s">
        <v>1285</v>
      </c>
      <c r="I1308" s="68">
        <v>0</v>
      </c>
      <c r="J1308" s="68" t="s">
        <v>1278</v>
      </c>
    </row>
    <row r="1309" spans="1:10" ht="12.75" customHeight="1">
      <c r="A1309" s="71"/>
      <c r="B1309" s="71" t="s">
        <v>1293</v>
      </c>
      <c r="C1309" s="68" t="s">
        <v>1278</v>
      </c>
      <c r="D1309" s="68">
        <v>1</v>
      </c>
      <c r="E1309" s="68" t="s">
        <v>1278</v>
      </c>
      <c r="F1309" s="68">
        <v>5</v>
      </c>
      <c r="G1309" s="68" t="s">
        <v>1285</v>
      </c>
      <c r="H1309" s="68">
        <v>1</v>
      </c>
      <c r="I1309" s="68" t="s">
        <v>1278</v>
      </c>
      <c r="J1309" s="68" t="s">
        <v>1278</v>
      </c>
    </row>
    <row r="1310" spans="1:10" ht="12.75" customHeight="1">
      <c r="A1310" s="71"/>
      <c r="B1310" s="71" t="s">
        <v>1294</v>
      </c>
      <c r="C1310" s="68" t="s">
        <v>1278</v>
      </c>
      <c r="D1310" s="68" t="s">
        <v>1278</v>
      </c>
      <c r="E1310" s="68">
        <v>0</v>
      </c>
      <c r="F1310" s="68" t="s">
        <v>1285</v>
      </c>
      <c r="G1310" s="68" t="s">
        <v>1285</v>
      </c>
      <c r="H1310" s="68" t="s">
        <v>1285</v>
      </c>
      <c r="I1310" s="68">
        <v>0</v>
      </c>
      <c r="J1310" s="68" t="s">
        <v>1278</v>
      </c>
    </row>
    <row r="1311" spans="1:10" ht="12.75" customHeight="1">
      <c r="A1311" s="71"/>
      <c r="B1311" s="71" t="s">
        <v>1295</v>
      </c>
      <c r="C1311" s="68" t="s">
        <v>1278</v>
      </c>
      <c r="D1311" s="68">
        <v>1</v>
      </c>
      <c r="E1311" s="68">
        <v>0</v>
      </c>
      <c r="F1311" s="68" t="s">
        <v>1285</v>
      </c>
      <c r="G1311" s="68">
        <v>2</v>
      </c>
      <c r="H1311" s="68" t="s">
        <v>1285</v>
      </c>
      <c r="I1311" s="68">
        <v>0</v>
      </c>
      <c r="J1311" s="68" t="s">
        <v>1278</v>
      </c>
    </row>
    <row r="1312" spans="1:10" ht="12.75" customHeight="1">
      <c r="A1312" s="71"/>
      <c r="B1312" s="69" t="s">
        <v>1296</v>
      </c>
      <c r="C1312" s="68">
        <v>531</v>
      </c>
      <c r="D1312" s="68">
        <v>1</v>
      </c>
      <c r="E1312" s="68">
        <v>0</v>
      </c>
      <c r="F1312" s="68">
        <v>0</v>
      </c>
      <c r="G1312" s="68">
        <v>2</v>
      </c>
      <c r="H1312" s="68" t="s">
        <v>1285</v>
      </c>
      <c r="I1312" s="68">
        <v>0</v>
      </c>
      <c r="J1312" s="68">
        <v>527</v>
      </c>
    </row>
    <row r="1313" spans="1:10" ht="12.75" customHeight="1">
      <c r="A1313" s="71"/>
      <c r="B1313" s="69"/>
      <c r="C1313" s="68"/>
      <c r="D1313" s="68"/>
      <c r="E1313" s="68"/>
      <c r="F1313" s="68"/>
      <c r="G1313" s="68"/>
      <c r="H1313" s="68"/>
      <c r="I1313" s="68"/>
      <c r="J1313" s="68"/>
    </row>
    <row r="1314" spans="1:10" s="73" customFormat="1" ht="12.75" customHeight="1">
      <c r="A1314" s="69" t="s">
        <v>1414</v>
      </c>
      <c r="B1314" s="69" t="s">
        <v>1415</v>
      </c>
      <c r="C1314" s="74"/>
      <c r="D1314" s="74"/>
      <c r="E1314" s="74"/>
      <c r="F1314" s="74"/>
      <c r="G1314" s="74"/>
      <c r="H1314" s="74"/>
      <c r="I1314" s="74"/>
      <c r="J1314" s="74"/>
    </row>
    <row r="1315" spans="1:10" s="73" customFormat="1" ht="12.75" customHeight="1">
      <c r="A1315" s="69"/>
      <c r="B1315" s="69"/>
      <c r="C1315" s="74"/>
      <c r="D1315" s="74"/>
      <c r="E1315" s="74"/>
      <c r="F1315" s="74"/>
      <c r="G1315" s="74"/>
      <c r="H1315" s="74"/>
      <c r="I1315" s="74"/>
      <c r="J1315" s="74"/>
    </row>
    <row r="1316" spans="1:10" s="73" customFormat="1" ht="12.75" customHeight="1">
      <c r="A1316" s="69"/>
      <c r="B1316" s="69"/>
      <c r="C1316" s="74"/>
      <c r="D1316" s="74"/>
      <c r="E1316" s="74"/>
      <c r="F1316" s="74"/>
      <c r="G1316" s="74"/>
      <c r="H1316" s="74"/>
      <c r="I1316" s="74"/>
      <c r="J1316" s="74"/>
    </row>
    <row r="1317" spans="1:10" ht="12.75" customHeight="1">
      <c r="A1317" s="71"/>
      <c r="B1317" s="69" t="s">
        <v>1276</v>
      </c>
      <c r="C1317" s="68">
        <v>1141</v>
      </c>
      <c r="D1317" s="68">
        <v>190</v>
      </c>
      <c r="E1317" s="68" t="s">
        <v>1285</v>
      </c>
      <c r="F1317" s="68">
        <v>4</v>
      </c>
      <c r="G1317" s="68">
        <v>411</v>
      </c>
      <c r="H1317" s="68" t="s">
        <v>1285</v>
      </c>
      <c r="I1317" s="68">
        <v>26</v>
      </c>
      <c r="J1317" s="68">
        <v>509</v>
      </c>
    </row>
    <row r="1318" spans="1:10" ht="12.75" customHeight="1">
      <c r="A1318" s="71"/>
      <c r="B1318" s="69" t="s">
        <v>1277</v>
      </c>
      <c r="C1318" s="68" t="s">
        <v>1278</v>
      </c>
      <c r="D1318" s="68" t="s">
        <v>1285</v>
      </c>
      <c r="E1318" s="68" t="s">
        <v>1285</v>
      </c>
      <c r="F1318" s="68" t="s">
        <v>1285</v>
      </c>
      <c r="G1318" s="68">
        <v>41</v>
      </c>
      <c r="H1318" s="68" t="s">
        <v>1285</v>
      </c>
      <c r="I1318" s="68">
        <v>0</v>
      </c>
      <c r="J1318" s="68" t="s">
        <v>1278</v>
      </c>
    </row>
    <row r="1319" spans="1:10" ht="12.75" customHeight="1">
      <c r="A1319" s="71"/>
      <c r="B1319" s="71" t="s">
        <v>1279</v>
      </c>
      <c r="C1319" s="68" t="s">
        <v>1278</v>
      </c>
      <c r="D1319" s="68" t="s">
        <v>1285</v>
      </c>
      <c r="E1319" s="68" t="s">
        <v>1285</v>
      </c>
      <c r="F1319" s="68">
        <v>0</v>
      </c>
      <c r="G1319" s="68">
        <v>16</v>
      </c>
      <c r="H1319" s="68">
        <v>0</v>
      </c>
      <c r="I1319" s="68">
        <v>0</v>
      </c>
      <c r="J1319" s="68" t="s">
        <v>1278</v>
      </c>
    </row>
    <row r="1320" spans="1:10" ht="12.75" customHeight="1">
      <c r="A1320" s="71"/>
      <c r="B1320" s="71" t="s">
        <v>1280</v>
      </c>
      <c r="C1320" s="68" t="s">
        <v>1278</v>
      </c>
      <c r="D1320" s="68">
        <v>0</v>
      </c>
      <c r="E1320" s="68" t="s">
        <v>1285</v>
      </c>
      <c r="F1320" s="68" t="s">
        <v>1285</v>
      </c>
      <c r="G1320" s="68">
        <v>25</v>
      </c>
      <c r="H1320" s="68" t="s">
        <v>1285</v>
      </c>
      <c r="I1320" s="68">
        <v>0</v>
      </c>
      <c r="J1320" s="68" t="s">
        <v>1278</v>
      </c>
    </row>
    <row r="1321" spans="1:10" ht="12.75" customHeight="1">
      <c r="A1321" s="71"/>
      <c r="B1321" s="69" t="s">
        <v>1281</v>
      </c>
      <c r="C1321" s="68" t="s">
        <v>1278</v>
      </c>
      <c r="D1321" s="68">
        <v>177</v>
      </c>
      <c r="E1321" s="68">
        <v>0</v>
      </c>
      <c r="F1321" s="68" t="s">
        <v>1285</v>
      </c>
      <c r="G1321" s="68">
        <v>349</v>
      </c>
      <c r="H1321" s="68" t="s">
        <v>1285</v>
      </c>
      <c r="I1321" s="68">
        <v>26</v>
      </c>
      <c r="J1321" s="68" t="s">
        <v>1278</v>
      </c>
    </row>
    <row r="1322" spans="1:10" ht="12.75" customHeight="1">
      <c r="A1322" s="71"/>
      <c r="B1322" s="71" t="s">
        <v>1283</v>
      </c>
      <c r="C1322" s="68" t="s">
        <v>1278</v>
      </c>
      <c r="D1322" s="68">
        <v>90</v>
      </c>
      <c r="E1322" s="68">
        <v>0</v>
      </c>
      <c r="F1322" s="68" t="s">
        <v>1285</v>
      </c>
      <c r="G1322" s="68">
        <v>314</v>
      </c>
      <c r="H1322" s="68" t="s">
        <v>1285</v>
      </c>
      <c r="I1322" s="68">
        <v>7</v>
      </c>
      <c r="J1322" s="68" t="s">
        <v>1278</v>
      </c>
    </row>
    <row r="1323" spans="1:10" ht="12.75" customHeight="1">
      <c r="A1323" s="71"/>
      <c r="B1323" s="71" t="s">
        <v>1284</v>
      </c>
      <c r="C1323" s="68" t="s">
        <v>1278</v>
      </c>
      <c r="D1323" s="68">
        <v>5</v>
      </c>
      <c r="E1323" s="68">
        <v>0</v>
      </c>
      <c r="F1323" s="68">
        <v>0</v>
      </c>
      <c r="G1323" s="68">
        <v>3</v>
      </c>
      <c r="H1323" s="68" t="s">
        <v>1285</v>
      </c>
      <c r="I1323" s="68">
        <v>0</v>
      </c>
      <c r="J1323" s="68" t="s">
        <v>1278</v>
      </c>
    </row>
    <row r="1324" spans="1:10" ht="12.75" customHeight="1">
      <c r="A1324" s="71"/>
      <c r="B1324" s="71" t="s">
        <v>1286</v>
      </c>
      <c r="C1324" s="68" t="s">
        <v>1278</v>
      </c>
      <c r="D1324" s="68">
        <v>61</v>
      </c>
      <c r="E1324" s="68">
        <v>0</v>
      </c>
      <c r="F1324" s="68" t="s">
        <v>1285</v>
      </c>
      <c r="G1324" s="68">
        <v>1</v>
      </c>
      <c r="H1324" s="68" t="s">
        <v>1285</v>
      </c>
      <c r="I1324" s="68">
        <v>0</v>
      </c>
      <c r="J1324" s="68" t="s">
        <v>1278</v>
      </c>
    </row>
    <row r="1325" spans="1:10" ht="12.75" customHeight="1">
      <c r="A1325" s="71"/>
      <c r="B1325" s="71" t="s">
        <v>1287</v>
      </c>
      <c r="C1325" s="68" t="s">
        <v>1278</v>
      </c>
      <c r="D1325" s="68">
        <v>10</v>
      </c>
      <c r="E1325" s="68" t="s">
        <v>1278</v>
      </c>
      <c r="F1325" s="68" t="s">
        <v>1278</v>
      </c>
      <c r="G1325" s="68" t="s">
        <v>1278</v>
      </c>
      <c r="H1325" s="68" t="s">
        <v>1278</v>
      </c>
      <c r="I1325" s="68" t="s">
        <v>1278</v>
      </c>
      <c r="J1325" s="68" t="s">
        <v>1278</v>
      </c>
    </row>
    <row r="1326" spans="1:10" ht="12.75" customHeight="1">
      <c r="A1326" s="71"/>
      <c r="B1326" s="71" t="s">
        <v>1288</v>
      </c>
      <c r="C1326" s="68" t="s">
        <v>1278</v>
      </c>
      <c r="D1326" s="68">
        <v>11</v>
      </c>
      <c r="E1326" s="68">
        <v>0</v>
      </c>
      <c r="F1326" s="68" t="s">
        <v>1285</v>
      </c>
      <c r="G1326" s="68">
        <v>31</v>
      </c>
      <c r="H1326" s="68" t="s">
        <v>1285</v>
      </c>
      <c r="I1326" s="68">
        <v>20</v>
      </c>
      <c r="J1326" s="68" t="s">
        <v>1278</v>
      </c>
    </row>
    <row r="1327" spans="1:10" ht="12.75" customHeight="1">
      <c r="A1327" s="71"/>
      <c r="B1327" s="69" t="s">
        <v>1289</v>
      </c>
      <c r="C1327" s="68" t="s">
        <v>1278</v>
      </c>
      <c r="D1327" s="68">
        <v>12</v>
      </c>
      <c r="E1327" s="68">
        <v>0</v>
      </c>
      <c r="F1327" s="68">
        <v>4</v>
      </c>
      <c r="G1327" s="68">
        <v>19</v>
      </c>
      <c r="H1327" s="68" t="s">
        <v>1285</v>
      </c>
      <c r="I1327" s="68">
        <v>0</v>
      </c>
      <c r="J1327" s="68" t="s">
        <v>1278</v>
      </c>
    </row>
    <row r="1328" spans="1:10" ht="12.75" customHeight="1">
      <c r="A1328" s="71"/>
      <c r="B1328" s="71" t="s">
        <v>1290</v>
      </c>
      <c r="C1328" s="68" t="s">
        <v>1278</v>
      </c>
      <c r="D1328" s="68">
        <v>5</v>
      </c>
      <c r="E1328" s="68">
        <v>0</v>
      </c>
      <c r="F1328" s="68" t="s">
        <v>1285</v>
      </c>
      <c r="G1328" s="68">
        <v>15</v>
      </c>
      <c r="H1328" s="68" t="s">
        <v>1285</v>
      </c>
      <c r="I1328" s="68">
        <v>0</v>
      </c>
      <c r="J1328" s="68" t="s">
        <v>1278</v>
      </c>
    </row>
    <row r="1329" spans="1:10" ht="12.75" customHeight="1">
      <c r="A1329" s="71"/>
      <c r="B1329" s="71" t="s">
        <v>1291</v>
      </c>
      <c r="C1329" s="68" t="s">
        <v>1278</v>
      </c>
      <c r="D1329" s="68">
        <v>6</v>
      </c>
      <c r="E1329" s="68" t="s">
        <v>1278</v>
      </c>
      <c r="F1329" s="68" t="s">
        <v>1278</v>
      </c>
      <c r="G1329" s="68" t="s">
        <v>1278</v>
      </c>
      <c r="H1329" s="68" t="s">
        <v>1278</v>
      </c>
      <c r="I1329" s="68" t="s">
        <v>1278</v>
      </c>
      <c r="J1329" s="68" t="s">
        <v>1278</v>
      </c>
    </row>
    <row r="1330" spans="1:10" ht="12.75" customHeight="1">
      <c r="A1330" s="71"/>
      <c r="B1330" s="71" t="s">
        <v>1292</v>
      </c>
      <c r="C1330" s="68" t="s">
        <v>1278</v>
      </c>
      <c r="D1330" s="68">
        <v>1</v>
      </c>
      <c r="E1330" s="68">
        <v>0</v>
      </c>
      <c r="F1330" s="68" t="s">
        <v>1285</v>
      </c>
      <c r="G1330" s="68">
        <v>1</v>
      </c>
      <c r="H1330" s="68" t="s">
        <v>1285</v>
      </c>
      <c r="I1330" s="68">
        <v>0</v>
      </c>
      <c r="J1330" s="68" t="s">
        <v>1278</v>
      </c>
    </row>
    <row r="1331" spans="1:10" ht="12.75" customHeight="1">
      <c r="A1331" s="71"/>
      <c r="B1331" s="71" t="s">
        <v>1293</v>
      </c>
      <c r="C1331" s="68" t="s">
        <v>1278</v>
      </c>
      <c r="D1331" s="68" t="s">
        <v>1285</v>
      </c>
      <c r="E1331" s="68" t="s">
        <v>1278</v>
      </c>
      <c r="F1331" s="68">
        <v>4</v>
      </c>
      <c r="G1331" s="68" t="s">
        <v>1285</v>
      </c>
      <c r="H1331" s="68" t="s">
        <v>1285</v>
      </c>
      <c r="I1331" s="68" t="s">
        <v>1278</v>
      </c>
      <c r="J1331" s="68" t="s">
        <v>1278</v>
      </c>
    </row>
    <row r="1332" spans="1:10" ht="12.75" customHeight="1">
      <c r="A1332" s="71"/>
      <c r="B1332" s="71" t="s">
        <v>1294</v>
      </c>
      <c r="C1332" s="68" t="s">
        <v>1278</v>
      </c>
      <c r="D1332" s="68" t="s">
        <v>1278</v>
      </c>
      <c r="E1332" s="68">
        <v>0</v>
      </c>
      <c r="F1332" s="68" t="s">
        <v>1285</v>
      </c>
      <c r="G1332" s="68" t="s">
        <v>1285</v>
      </c>
      <c r="H1332" s="68" t="s">
        <v>1285</v>
      </c>
      <c r="I1332" s="68">
        <v>0</v>
      </c>
      <c r="J1332" s="68" t="s">
        <v>1278</v>
      </c>
    </row>
    <row r="1333" spans="1:10" ht="12.75" customHeight="1">
      <c r="A1333" s="71"/>
      <c r="B1333" s="71" t="s">
        <v>1295</v>
      </c>
      <c r="C1333" s="68" t="s">
        <v>1278</v>
      </c>
      <c r="D1333" s="68" t="s">
        <v>1285</v>
      </c>
      <c r="E1333" s="68">
        <v>0</v>
      </c>
      <c r="F1333" s="68" t="s">
        <v>1285</v>
      </c>
      <c r="G1333" s="68">
        <v>2</v>
      </c>
      <c r="H1333" s="68" t="s">
        <v>1285</v>
      </c>
      <c r="I1333" s="68">
        <v>0</v>
      </c>
      <c r="J1333" s="68" t="s">
        <v>1278</v>
      </c>
    </row>
    <row r="1334" spans="1:10" ht="12.75" customHeight="1">
      <c r="A1334" s="71"/>
      <c r="B1334" s="69" t="s">
        <v>1296</v>
      </c>
      <c r="C1334" s="68">
        <v>510</v>
      </c>
      <c r="D1334" s="68" t="s">
        <v>1285</v>
      </c>
      <c r="E1334" s="68">
        <v>0</v>
      </c>
      <c r="F1334" s="68">
        <v>0</v>
      </c>
      <c r="G1334" s="68">
        <v>1</v>
      </c>
      <c r="H1334" s="68" t="s">
        <v>1285</v>
      </c>
      <c r="I1334" s="68">
        <v>0</v>
      </c>
      <c r="J1334" s="68">
        <v>509</v>
      </c>
    </row>
    <row r="1335" spans="1:10" ht="12.75" customHeight="1">
      <c r="A1335" s="71"/>
      <c r="B1335" s="69"/>
      <c r="C1335" s="68"/>
      <c r="D1335" s="68"/>
      <c r="E1335" s="68"/>
      <c r="F1335" s="68"/>
      <c r="G1335" s="68"/>
      <c r="H1335" s="68"/>
      <c r="I1335" s="68"/>
      <c r="J1335" s="68"/>
    </row>
    <row r="1336" spans="1:10" s="73" customFormat="1" ht="12.75" customHeight="1">
      <c r="A1336" s="69" t="s">
        <v>1416</v>
      </c>
      <c r="B1336" s="69" t="s">
        <v>1417</v>
      </c>
      <c r="C1336" s="74"/>
      <c r="D1336" s="74"/>
      <c r="E1336" s="74"/>
      <c r="F1336" s="74"/>
      <c r="G1336" s="74"/>
      <c r="H1336" s="74"/>
      <c r="I1336" s="74"/>
      <c r="J1336" s="74"/>
    </row>
    <row r="1337" spans="1:10" ht="12.75" customHeight="1">
      <c r="A1337" s="71"/>
      <c r="B1337" s="71"/>
      <c r="C1337" s="68"/>
      <c r="D1337" s="68"/>
      <c r="E1337" s="68"/>
      <c r="F1337" s="68"/>
      <c r="G1337" s="68"/>
      <c r="H1337" s="68"/>
      <c r="I1337" s="68"/>
      <c r="J1337" s="68"/>
    </row>
    <row r="1338" spans="1:10" ht="12.75" customHeight="1">
      <c r="A1338" s="71"/>
      <c r="B1338" s="71"/>
      <c r="C1338" s="68"/>
      <c r="D1338" s="68"/>
      <c r="E1338" s="68"/>
      <c r="F1338" s="68"/>
      <c r="G1338" s="68"/>
      <c r="H1338" s="68"/>
      <c r="I1338" s="68"/>
      <c r="J1338" s="68"/>
    </row>
    <row r="1339" spans="1:10" ht="12.75" customHeight="1">
      <c r="A1339" s="71"/>
      <c r="B1339" s="69" t="s">
        <v>1276</v>
      </c>
      <c r="C1339" s="68">
        <v>51</v>
      </c>
      <c r="D1339" s="68">
        <v>24</v>
      </c>
      <c r="E1339" s="68">
        <v>0</v>
      </c>
      <c r="F1339" s="68" t="s">
        <v>1285</v>
      </c>
      <c r="G1339" s="68">
        <v>25</v>
      </c>
      <c r="H1339" s="68" t="s">
        <v>1285</v>
      </c>
      <c r="I1339" s="68" t="s">
        <v>1285</v>
      </c>
      <c r="J1339" s="68">
        <v>2</v>
      </c>
    </row>
    <row r="1340" spans="1:10" ht="12.75" customHeight="1">
      <c r="A1340" s="71"/>
      <c r="B1340" s="69" t="s">
        <v>1277</v>
      </c>
      <c r="C1340" s="68" t="s">
        <v>1278</v>
      </c>
      <c r="D1340" s="68" t="s">
        <v>1285</v>
      </c>
      <c r="E1340" s="68">
        <v>0</v>
      </c>
      <c r="F1340" s="68" t="s">
        <v>1285</v>
      </c>
      <c r="G1340" s="68">
        <v>3</v>
      </c>
      <c r="H1340" s="68" t="s">
        <v>1285</v>
      </c>
      <c r="I1340" s="68">
        <v>0</v>
      </c>
      <c r="J1340" s="68" t="s">
        <v>1278</v>
      </c>
    </row>
    <row r="1341" spans="1:10" ht="12.75" customHeight="1">
      <c r="A1341" s="71"/>
      <c r="B1341" s="71" t="s">
        <v>1279</v>
      </c>
      <c r="C1341" s="68" t="s">
        <v>1278</v>
      </c>
      <c r="D1341" s="68" t="s">
        <v>1285</v>
      </c>
      <c r="E1341" s="68">
        <v>0</v>
      </c>
      <c r="F1341" s="68">
        <v>0</v>
      </c>
      <c r="G1341" s="68">
        <v>1</v>
      </c>
      <c r="H1341" s="68" t="s">
        <v>1285</v>
      </c>
      <c r="I1341" s="68">
        <v>0</v>
      </c>
      <c r="J1341" s="68" t="s">
        <v>1278</v>
      </c>
    </row>
    <row r="1342" spans="1:10" ht="12.75" customHeight="1">
      <c r="A1342" s="71"/>
      <c r="B1342" s="71" t="s">
        <v>1280</v>
      </c>
      <c r="C1342" s="68" t="s">
        <v>1278</v>
      </c>
      <c r="D1342" s="68">
        <v>0</v>
      </c>
      <c r="E1342" s="68">
        <v>0</v>
      </c>
      <c r="F1342" s="68" t="s">
        <v>1285</v>
      </c>
      <c r="G1342" s="68">
        <v>2</v>
      </c>
      <c r="H1342" s="68" t="s">
        <v>1285</v>
      </c>
      <c r="I1342" s="68">
        <v>0</v>
      </c>
      <c r="J1342" s="68" t="s">
        <v>1278</v>
      </c>
    </row>
    <row r="1343" spans="1:10" ht="12.75" customHeight="1">
      <c r="A1343" s="71"/>
      <c r="B1343" s="69" t="s">
        <v>1281</v>
      </c>
      <c r="C1343" s="68" t="s">
        <v>1278</v>
      </c>
      <c r="D1343" s="68">
        <v>20</v>
      </c>
      <c r="E1343" s="68">
        <v>0</v>
      </c>
      <c r="F1343" s="68" t="s">
        <v>1285</v>
      </c>
      <c r="G1343" s="68">
        <v>19</v>
      </c>
      <c r="H1343" s="68" t="s">
        <v>1285</v>
      </c>
      <c r="I1343" s="68" t="s">
        <v>1285</v>
      </c>
      <c r="J1343" s="68" t="s">
        <v>1278</v>
      </c>
    </row>
    <row r="1344" spans="1:10" ht="12.75" customHeight="1">
      <c r="A1344" s="71"/>
      <c r="B1344" s="71" t="s">
        <v>1283</v>
      </c>
      <c r="C1344" s="68" t="s">
        <v>1278</v>
      </c>
      <c r="D1344" s="68">
        <v>5</v>
      </c>
      <c r="E1344" s="68">
        <v>0</v>
      </c>
      <c r="F1344" s="68" t="s">
        <v>1285</v>
      </c>
      <c r="G1344" s="68">
        <v>18</v>
      </c>
      <c r="H1344" s="68" t="s">
        <v>1285</v>
      </c>
      <c r="I1344" s="68" t="s">
        <v>1285</v>
      </c>
      <c r="J1344" s="68" t="s">
        <v>1278</v>
      </c>
    </row>
    <row r="1345" spans="1:10" ht="12.75" customHeight="1">
      <c r="A1345" s="71"/>
      <c r="B1345" s="71" t="s">
        <v>1284</v>
      </c>
      <c r="C1345" s="68" t="s">
        <v>1278</v>
      </c>
      <c r="D1345" s="68">
        <v>2</v>
      </c>
      <c r="E1345" s="68">
        <v>0</v>
      </c>
      <c r="F1345" s="68">
        <v>0</v>
      </c>
      <c r="G1345" s="68" t="s">
        <v>1285</v>
      </c>
      <c r="H1345" s="68" t="s">
        <v>1285</v>
      </c>
      <c r="I1345" s="68">
        <v>0</v>
      </c>
      <c r="J1345" s="68" t="s">
        <v>1278</v>
      </c>
    </row>
    <row r="1346" spans="1:10" ht="12.75" customHeight="1">
      <c r="A1346" s="71"/>
      <c r="B1346" s="71" t="s">
        <v>1286</v>
      </c>
      <c r="C1346" s="68" t="s">
        <v>1278</v>
      </c>
      <c r="D1346" s="68">
        <v>10</v>
      </c>
      <c r="E1346" s="68">
        <v>0</v>
      </c>
      <c r="F1346" s="68" t="s">
        <v>1285</v>
      </c>
      <c r="G1346" s="68">
        <v>1</v>
      </c>
      <c r="H1346" s="68" t="s">
        <v>1285</v>
      </c>
      <c r="I1346" s="68">
        <v>0</v>
      </c>
      <c r="J1346" s="68" t="s">
        <v>1278</v>
      </c>
    </row>
    <row r="1347" spans="1:10" ht="12.75" customHeight="1">
      <c r="A1347" s="71"/>
      <c r="B1347" s="71" t="s">
        <v>1287</v>
      </c>
      <c r="C1347" s="68" t="s">
        <v>1278</v>
      </c>
      <c r="D1347" s="68">
        <v>2</v>
      </c>
      <c r="E1347" s="68" t="s">
        <v>1278</v>
      </c>
      <c r="F1347" s="68" t="s">
        <v>1278</v>
      </c>
      <c r="G1347" s="68" t="s">
        <v>1278</v>
      </c>
      <c r="H1347" s="68" t="s">
        <v>1278</v>
      </c>
      <c r="I1347" s="68" t="s">
        <v>1278</v>
      </c>
      <c r="J1347" s="68" t="s">
        <v>1278</v>
      </c>
    </row>
    <row r="1348" spans="1:10" ht="12.75" customHeight="1">
      <c r="A1348" s="71"/>
      <c r="B1348" s="71" t="s">
        <v>1288</v>
      </c>
      <c r="C1348" s="68" t="s">
        <v>1278</v>
      </c>
      <c r="D1348" s="68" t="s">
        <v>1285</v>
      </c>
      <c r="E1348" s="68">
        <v>0</v>
      </c>
      <c r="F1348" s="68" t="s">
        <v>1285</v>
      </c>
      <c r="G1348" s="68">
        <v>1</v>
      </c>
      <c r="H1348" s="68" t="s">
        <v>1285</v>
      </c>
      <c r="I1348" s="68">
        <v>0</v>
      </c>
      <c r="J1348" s="68" t="s">
        <v>1278</v>
      </c>
    </row>
    <row r="1349" spans="1:10" ht="12.75" customHeight="1">
      <c r="A1349" s="71"/>
      <c r="B1349" s="69" t="s">
        <v>1289</v>
      </c>
      <c r="C1349" s="68" t="s">
        <v>1278</v>
      </c>
      <c r="D1349" s="68">
        <v>3</v>
      </c>
      <c r="E1349" s="68">
        <v>0</v>
      </c>
      <c r="F1349" s="68" t="s">
        <v>1285</v>
      </c>
      <c r="G1349" s="68">
        <v>3</v>
      </c>
      <c r="H1349" s="68" t="s">
        <v>1285</v>
      </c>
      <c r="I1349" s="68">
        <v>0</v>
      </c>
      <c r="J1349" s="68" t="s">
        <v>1278</v>
      </c>
    </row>
    <row r="1350" spans="1:10" ht="12.75" customHeight="1">
      <c r="A1350" s="71"/>
      <c r="B1350" s="71" t="s">
        <v>1290</v>
      </c>
      <c r="C1350" s="68" t="s">
        <v>1278</v>
      </c>
      <c r="D1350" s="68">
        <v>1</v>
      </c>
      <c r="E1350" s="68">
        <v>0</v>
      </c>
      <c r="F1350" s="68" t="s">
        <v>1285</v>
      </c>
      <c r="G1350" s="68">
        <v>3</v>
      </c>
      <c r="H1350" s="68" t="s">
        <v>1285</v>
      </c>
      <c r="I1350" s="68">
        <v>0</v>
      </c>
      <c r="J1350" s="68" t="s">
        <v>1278</v>
      </c>
    </row>
    <row r="1351" spans="1:10" ht="12.75" customHeight="1">
      <c r="A1351" s="71"/>
      <c r="B1351" s="71" t="s">
        <v>1291</v>
      </c>
      <c r="C1351" s="68" t="s">
        <v>1278</v>
      </c>
      <c r="D1351" s="68">
        <v>1</v>
      </c>
      <c r="E1351" s="68" t="s">
        <v>1278</v>
      </c>
      <c r="F1351" s="68" t="s">
        <v>1278</v>
      </c>
      <c r="G1351" s="68" t="s">
        <v>1278</v>
      </c>
      <c r="H1351" s="68" t="s">
        <v>1278</v>
      </c>
      <c r="I1351" s="68" t="s">
        <v>1278</v>
      </c>
      <c r="J1351" s="68" t="s">
        <v>1278</v>
      </c>
    </row>
    <row r="1352" spans="1:10" ht="12.75" customHeight="1">
      <c r="A1352" s="71"/>
      <c r="B1352" s="71" t="s">
        <v>1292</v>
      </c>
      <c r="C1352" s="68" t="s">
        <v>1278</v>
      </c>
      <c r="D1352" s="68" t="s">
        <v>1285</v>
      </c>
      <c r="E1352" s="68">
        <v>0</v>
      </c>
      <c r="F1352" s="68" t="s">
        <v>1285</v>
      </c>
      <c r="G1352" s="68" t="s">
        <v>1285</v>
      </c>
      <c r="H1352" s="68" t="s">
        <v>1285</v>
      </c>
      <c r="I1352" s="68">
        <v>0</v>
      </c>
      <c r="J1352" s="68" t="s">
        <v>1278</v>
      </c>
    </row>
    <row r="1353" spans="1:10" ht="12.75" customHeight="1">
      <c r="A1353" s="71"/>
      <c r="B1353" s="71" t="s">
        <v>1293</v>
      </c>
      <c r="C1353" s="68" t="s">
        <v>1278</v>
      </c>
      <c r="D1353" s="68" t="s">
        <v>1285</v>
      </c>
      <c r="E1353" s="68" t="s">
        <v>1278</v>
      </c>
      <c r="F1353" s="68" t="s">
        <v>1285</v>
      </c>
      <c r="G1353" s="68">
        <v>0</v>
      </c>
      <c r="H1353" s="68" t="s">
        <v>1285</v>
      </c>
      <c r="I1353" s="68" t="s">
        <v>1278</v>
      </c>
      <c r="J1353" s="68" t="s">
        <v>1278</v>
      </c>
    </row>
    <row r="1354" spans="1:10" ht="12.75" customHeight="1">
      <c r="A1354" s="71"/>
      <c r="B1354" s="71" t="s">
        <v>1294</v>
      </c>
      <c r="C1354" s="68" t="s">
        <v>1278</v>
      </c>
      <c r="D1354" s="68" t="s">
        <v>1278</v>
      </c>
      <c r="E1354" s="68">
        <v>0</v>
      </c>
      <c r="F1354" s="68" t="s">
        <v>1285</v>
      </c>
      <c r="G1354" s="68" t="s">
        <v>1285</v>
      </c>
      <c r="H1354" s="68" t="s">
        <v>1285</v>
      </c>
      <c r="I1354" s="68">
        <v>0</v>
      </c>
      <c r="J1354" s="68" t="s">
        <v>1278</v>
      </c>
    </row>
    <row r="1355" spans="1:10" ht="12.75" customHeight="1">
      <c r="A1355" s="71"/>
      <c r="B1355" s="71" t="s">
        <v>1295</v>
      </c>
      <c r="C1355" s="68" t="s">
        <v>1278</v>
      </c>
      <c r="D1355" s="68" t="s">
        <v>1285</v>
      </c>
      <c r="E1355" s="68">
        <v>0</v>
      </c>
      <c r="F1355" s="68">
        <v>0</v>
      </c>
      <c r="G1355" s="68">
        <v>0</v>
      </c>
      <c r="H1355" s="68" t="s">
        <v>1285</v>
      </c>
      <c r="I1355" s="68">
        <v>0</v>
      </c>
      <c r="J1355" s="68" t="s">
        <v>1278</v>
      </c>
    </row>
    <row r="1356" spans="1:10" ht="12.75" customHeight="1">
      <c r="A1356" s="71"/>
      <c r="B1356" s="69" t="s">
        <v>1296</v>
      </c>
      <c r="C1356" s="68">
        <v>2</v>
      </c>
      <c r="D1356" s="68" t="s">
        <v>1285</v>
      </c>
      <c r="E1356" s="68">
        <v>0</v>
      </c>
      <c r="F1356" s="68">
        <v>0</v>
      </c>
      <c r="G1356" s="68">
        <v>0</v>
      </c>
      <c r="H1356" s="68" t="s">
        <v>1285</v>
      </c>
      <c r="I1356" s="68">
        <v>0</v>
      </c>
      <c r="J1356" s="68">
        <v>2</v>
      </c>
    </row>
    <row r="1357" spans="1:10" ht="12.75" customHeight="1">
      <c r="A1357" s="71"/>
      <c r="B1357" s="69"/>
      <c r="C1357" s="68"/>
      <c r="D1357" s="68"/>
      <c r="E1357" s="68"/>
      <c r="F1357" s="68"/>
      <c r="G1357" s="68"/>
      <c r="H1357" s="68"/>
      <c r="I1357" s="68"/>
      <c r="J1357" s="68"/>
    </row>
    <row r="1358" spans="1:10" s="73" customFormat="1" ht="12.75" customHeight="1">
      <c r="A1358" s="69" t="s">
        <v>1418</v>
      </c>
      <c r="B1358" s="69" t="s">
        <v>1419</v>
      </c>
      <c r="C1358" s="74"/>
      <c r="D1358" s="74"/>
      <c r="E1358" s="74"/>
      <c r="F1358" s="74"/>
      <c r="G1358" s="74"/>
      <c r="H1358" s="74"/>
      <c r="I1358" s="74"/>
      <c r="J1358" s="74"/>
    </row>
    <row r="1359" spans="1:10" ht="12.75" customHeight="1">
      <c r="A1359" s="71"/>
      <c r="B1359" s="71"/>
      <c r="C1359" s="68"/>
      <c r="D1359" s="68"/>
      <c r="E1359" s="68"/>
      <c r="F1359" s="68"/>
      <c r="G1359" s="68"/>
      <c r="H1359" s="68"/>
      <c r="I1359" s="68"/>
      <c r="J1359" s="68"/>
    </row>
    <row r="1360" spans="1:10" ht="12.75" customHeight="1">
      <c r="A1360" s="71"/>
      <c r="B1360" s="71"/>
      <c r="C1360" s="68"/>
      <c r="D1360" s="68"/>
      <c r="E1360" s="68"/>
      <c r="F1360" s="68"/>
      <c r="G1360" s="68"/>
      <c r="H1360" s="68"/>
      <c r="I1360" s="68"/>
      <c r="J1360" s="68"/>
    </row>
    <row r="1361" spans="1:10" ht="12.75" customHeight="1">
      <c r="A1361" s="71"/>
      <c r="B1361" s="69" t="s">
        <v>1276</v>
      </c>
      <c r="C1361" s="68">
        <v>207</v>
      </c>
      <c r="D1361" s="68">
        <v>90</v>
      </c>
      <c r="E1361" s="68">
        <v>0</v>
      </c>
      <c r="F1361" s="68">
        <v>1</v>
      </c>
      <c r="G1361" s="68">
        <v>116</v>
      </c>
      <c r="H1361" s="68">
        <v>1</v>
      </c>
      <c r="I1361" s="68">
        <v>0</v>
      </c>
      <c r="J1361" s="68" t="s">
        <v>1285</v>
      </c>
    </row>
    <row r="1362" spans="1:10" ht="12.75" customHeight="1">
      <c r="A1362" s="71"/>
      <c r="B1362" s="69" t="s">
        <v>1277</v>
      </c>
      <c r="C1362" s="68" t="s">
        <v>1278</v>
      </c>
      <c r="D1362" s="68">
        <v>1</v>
      </c>
      <c r="E1362" s="68">
        <v>0</v>
      </c>
      <c r="F1362" s="68" t="s">
        <v>1285</v>
      </c>
      <c r="G1362" s="68">
        <v>14</v>
      </c>
      <c r="H1362" s="68" t="s">
        <v>1285</v>
      </c>
      <c r="I1362" s="68">
        <v>0</v>
      </c>
      <c r="J1362" s="68" t="s">
        <v>1278</v>
      </c>
    </row>
    <row r="1363" spans="1:10" ht="12.75" customHeight="1">
      <c r="A1363" s="71"/>
      <c r="B1363" s="71" t="s">
        <v>1279</v>
      </c>
      <c r="C1363" s="68" t="s">
        <v>1278</v>
      </c>
      <c r="D1363" s="68">
        <v>1</v>
      </c>
      <c r="E1363" s="68">
        <v>0</v>
      </c>
      <c r="F1363" s="68">
        <v>0</v>
      </c>
      <c r="G1363" s="68">
        <v>1</v>
      </c>
      <c r="H1363" s="68" t="s">
        <v>1285</v>
      </c>
      <c r="I1363" s="68">
        <v>0</v>
      </c>
      <c r="J1363" s="68" t="s">
        <v>1278</v>
      </c>
    </row>
    <row r="1364" spans="1:10" ht="12.75" customHeight="1">
      <c r="A1364" s="71"/>
      <c r="B1364" s="71" t="s">
        <v>1280</v>
      </c>
      <c r="C1364" s="68" t="s">
        <v>1278</v>
      </c>
      <c r="D1364" s="68">
        <v>0</v>
      </c>
      <c r="E1364" s="68">
        <v>0</v>
      </c>
      <c r="F1364" s="68" t="s">
        <v>1285</v>
      </c>
      <c r="G1364" s="68">
        <v>14</v>
      </c>
      <c r="H1364" s="68" t="s">
        <v>1285</v>
      </c>
      <c r="I1364" s="68">
        <v>0</v>
      </c>
      <c r="J1364" s="68" t="s">
        <v>1278</v>
      </c>
    </row>
    <row r="1365" spans="1:10" ht="12.75" customHeight="1">
      <c r="A1365" s="71"/>
      <c r="B1365" s="69" t="s">
        <v>1281</v>
      </c>
      <c r="C1365" s="68" t="s">
        <v>1278</v>
      </c>
      <c r="D1365" s="68">
        <v>81</v>
      </c>
      <c r="E1365" s="68">
        <v>0</v>
      </c>
      <c r="F1365" s="68" t="s">
        <v>1285</v>
      </c>
      <c r="G1365" s="68">
        <v>93</v>
      </c>
      <c r="H1365" s="68" t="s">
        <v>1285</v>
      </c>
      <c r="I1365" s="68">
        <v>0</v>
      </c>
      <c r="J1365" s="68" t="s">
        <v>1278</v>
      </c>
    </row>
    <row r="1366" spans="1:10" ht="12.75" customHeight="1">
      <c r="A1366" s="71"/>
      <c r="B1366" s="71" t="s">
        <v>1283</v>
      </c>
      <c r="C1366" s="68" t="s">
        <v>1278</v>
      </c>
      <c r="D1366" s="68">
        <v>4</v>
      </c>
      <c r="E1366" s="68">
        <v>0</v>
      </c>
      <c r="F1366" s="68" t="s">
        <v>1285</v>
      </c>
      <c r="G1366" s="68">
        <v>90</v>
      </c>
      <c r="H1366" s="68" t="s">
        <v>1285</v>
      </c>
      <c r="I1366" s="68">
        <v>0</v>
      </c>
      <c r="J1366" s="68" t="s">
        <v>1278</v>
      </c>
    </row>
    <row r="1367" spans="1:10" ht="12.75" customHeight="1">
      <c r="A1367" s="71"/>
      <c r="B1367" s="71" t="s">
        <v>1284</v>
      </c>
      <c r="C1367" s="68" t="s">
        <v>1278</v>
      </c>
      <c r="D1367" s="68">
        <v>1</v>
      </c>
      <c r="E1367" s="68">
        <v>0</v>
      </c>
      <c r="F1367" s="68">
        <v>0</v>
      </c>
      <c r="G1367" s="68" t="s">
        <v>1285</v>
      </c>
      <c r="H1367" s="68" t="s">
        <v>1285</v>
      </c>
      <c r="I1367" s="68">
        <v>0</v>
      </c>
      <c r="J1367" s="68" t="s">
        <v>1278</v>
      </c>
    </row>
    <row r="1368" spans="1:10" ht="12.75" customHeight="1">
      <c r="A1368" s="71"/>
      <c r="B1368" s="71" t="s">
        <v>1286</v>
      </c>
      <c r="C1368" s="68" t="s">
        <v>1278</v>
      </c>
      <c r="D1368" s="68">
        <v>20</v>
      </c>
      <c r="E1368" s="68">
        <v>0</v>
      </c>
      <c r="F1368" s="68" t="s">
        <v>1285</v>
      </c>
      <c r="G1368" s="68">
        <v>1</v>
      </c>
      <c r="H1368" s="68" t="s">
        <v>1285</v>
      </c>
      <c r="I1368" s="68">
        <v>0</v>
      </c>
      <c r="J1368" s="68" t="s">
        <v>1278</v>
      </c>
    </row>
    <row r="1369" spans="1:10" ht="12.75" customHeight="1">
      <c r="A1369" s="71"/>
      <c r="B1369" s="71" t="s">
        <v>1287</v>
      </c>
      <c r="C1369" s="68" t="s">
        <v>1278</v>
      </c>
      <c r="D1369" s="68">
        <v>56</v>
      </c>
      <c r="E1369" s="68" t="s">
        <v>1278</v>
      </c>
      <c r="F1369" s="68" t="s">
        <v>1278</v>
      </c>
      <c r="G1369" s="68" t="s">
        <v>1278</v>
      </c>
      <c r="H1369" s="68" t="s">
        <v>1278</v>
      </c>
      <c r="I1369" s="68" t="s">
        <v>1278</v>
      </c>
      <c r="J1369" s="68" t="s">
        <v>1278</v>
      </c>
    </row>
    <row r="1370" spans="1:10" ht="12.75" customHeight="1">
      <c r="A1370" s="71"/>
      <c r="B1370" s="71" t="s">
        <v>1288</v>
      </c>
      <c r="C1370" s="68" t="s">
        <v>1278</v>
      </c>
      <c r="D1370" s="68">
        <v>1</v>
      </c>
      <c r="E1370" s="68">
        <v>0</v>
      </c>
      <c r="F1370" s="68" t="s">
        <v>1285</v>
      </c>
      <c r="G1370" s="68">
        <v>2</v>
      </c>
      <c r="H1370" s="68" t="s">
        <v>1285</v>
      </c>
      <c r="I1370" s="68">
        <v>0</v>
      </c>
      <c r="J1370" s="68" t="s">
        <v>1278</v>
      </c>
    </row>
    <row r="1371" spans="1:10" ht="12.75" customHeight="1">
      <c r="A1371" s="71"/>
      <c r="B1371" s="69" t="s">
        <v>1289</v>
      </c>
      <c r="C1371" s="68" t="s">
        <v>1278</v>
      </c>
      <c r="D1371" s="68">
        <v>8</v>
      </c>
      <c r="E1371" s="68">
        <v>0</v>
      </c>
      <c r="F1371" s="68">
        <v>1</v>
      </c>
      <c r="G1371" s="68">
        <v>9</v>
      </c>
      <c r="H1371" s="68" t="s">
        <v>1285</v>
      </c>
      <c r="I1371" s="68">
        <v>0</v>
      </c>
      <c r="J1371" s="68" t="s">
        <v>1278</v>
      </c>
    </row>
    <row r="1372" spans="1:10" ht="12.75" customHeight="1">
      <c r="A1372" s="71"/>
      <c r="B1372" s="71" t="s">
        <v>1290</v>
      </c>
      <c r="C1372" s="68" t="s">
        <v>1278</v>
      </c>
      <c r="D1372" s="68">
        <v>2</v>
      </c>
      <c r="E1372" s="68">
        <v>0</v>
      </c>
      <c r="F1372" s="68" t="s">
        <v>1285</v>
      </c>
      <c r="G1372" s="68">
        <v>8</v>
      </c>
      <c r="H1372" s="68" t="s">
        <v>1285</v>
      </c>
      <c r="I1372" s="68">
        <v>0</v>
      </c>
      <c r="J1372" s="68" t="s">
        <v>1278</v>
      </c>
    </row>
    <row r="1373" spans="1:10" ht="12.75" customHeight="1">
      <c r="A1373" s="71"/>
      <c r="B1373" s="71" t="s">
        <v>1291</v>
      </c>
      <c r="C1373" s="68" t="s">
        <v>1278</v>
      </c>
      <c r="D1373" s="68">
        <v>3</v>
      </c>
      <c r="E1373" s="68" t="s">
        <v>1278</v>
      </c>
      <c r="F1373" s="68" t="s">
        <v>1278</v>
      </c>
      <c r="G1373" s="68" t="s">
        <v>1278</v>
      </c>
      <c r="H1373" s="68" t="s">
        <v>1278</v>
      </c>
      <c r="I1373" s="68" t="s">
        <v>1278</v>
      </c>
      <c r="J1373" s="68" t="s">
        <v>1278</v>
      </c>
    </row>
    <row r="1374" spans="1:10" ht="12.75" customHeight="1">
      <c r="A1374" s="71"/>
      <c r="B1374" s="71" t="s">
        <v>1292</v>
      </c>
      <c r="C1374" s="68" t="s">
        <v>1278</v>
      </c>
      <c r="D1374" s="68">
        <v>2</v>
      </c>
      <c r="E1374" s="68">
        <v>0</v>
      </c>
      <c r="F1374" s="68" t="s">
        <v>1285</v>
      </c>
      <c r="G1374" s="68">
        <v>1</v>
      </c>
      <c r="H1374" s="68" t="s">
        <v>1285</v>
      </c>
      <c r="I1374" s="68">
        <v>0</v>
      </c>
      <c r="J1374" s="68" t="s">
        <v>1278</v>
      </c>
    </row>
    <row r="1375" spans="1:10" ht="12.75" customHeight="1">
      <c r="A1375" s="71"/>
      <c r="B1375" s="71" t="s">
        <v>1293</v>
      </c>
      <c r="C1375" s="68" t="s">
        <v>1278</v>
      </c>
      <c r="D1375" s="68" t="s">
        <v>1285</v>
      </c>
      <c r="E1375" s="68" t="s">
        <v>1278</v>
      </c>
      <c r="F1375" s="68">
        <v>1</v>
      </c>
      <c r="G1375" s="68" t="s">
        <v>1285</v>
      </c>
      <c r="H1375" s="68" t="s">
        <v>1285</v>
      </c>
      <c r="I1375" s="68" t="s">
        <v>1278</v>
      </c>
      <c r="J1375" s="68" t="s">
        <v>1278</v>
      </c>
    </row>
    <row r="1376" spans="1:10" ht="12.75" customHeight="1">
      <c r="A1376" s="71"/>
      <c r="B1376" s="71" t="s">
        <v>1294</v>
      </c>
      <c r="C1376" s="68" t="s">
        <v>1278</v>
      </c>
      <c r="D1376" s="68" t="s">
        <v>1278</v>
      </c>
      <c r="E1376" s="68">
        <v>0</v>
      </c>
      <c r="F1376" s="68">
        <v>0</v>
      </c>
      <c r="G1376" s="68" t="s">
        <v>1285</v>
      </c>
      <c r="H1376" s="68" t="s">
        <v>1285</v>
      </c>
      <c r="I1376" s="68">
        <v>0</v>
      </c>
      <c r="J1376" s="68" t="s">
        <v>1278</v>
      </c>
    </row>
    <row r="1377" spans="1:10" ht="12.75" customHeight="1">
      <c r="A1377" s="71"/>
      <c r="B1377" s="71" t="s">
        <v>1295</v>
      </c>
      <c r="C1377" s="68" t="s">
        <v>1278</v>
      </c>
      <c r="D1377" s="68">
        <v>1</v>
      </c>
      <c r="E1377" s="68">
        <v>0</v>
      </c>
      <c r="F1377" s="68" t="s">
        <v>1285</v>
      </c>
      <c r="G1377" s="68">
        <v>0</v>
      </c>
      <c r="H1377" s="68" t="s">
        <v>1285</v>
      </c>
      <c r="I1377" s="68">
        <v>0</v>
      </c>
      <c r="J1377" s="68" t="s">
        <v>1278</v>
      </c>
    </row>
    <row r="1378" spans="1:10" ht="12.75" customHeight="1">
      <c r="A1378" s="71"/>
      <c r="B1378" s="69" t="s">
        <v>1296</v>
      </c>
      <c r="C1378" s="68">
        <v>1</v>
      </c>
      <c r="D1378" s="68" t="s">
        <v>1285</v>
      </c>
      <c r="E1378" s="68">
        <v>0</v>
      </c>
      <c r="F1378" s="68">
        <v>0</v>
      </c>
      <c r="G1378" s="68">
        <v>1</v>
      </c>
      <c r="H1378" s="68" t="s">
        <v>1285</v>
      </c>
      <c r="I1378" s="68">
        <v>0</v>
      </c>
      <c r="J1378" s="68" t="s">
        <v>1285</v>
      </c>
    </row>
    <row r="1379" spans="1:10" ht="12.75" customHeight="1">
      <c r="A1379" s="71"/>
      <c r="B1379" s="69"/>
      <c r="C1379" s="68"/>
      <c r="D1379" s="68"/>
      <c r="E1379" s="68"/>
      <c r="F1379" s="68"/>
      <c r="G1379" s="68"/>
      <c r="H1379" s="68"/>
      <c r="I1379" s="68"/>
      <c r="J1379" s="68"/>
    </row>
    <row r="1380" spans="1:10" s="73" customFormat="1" ht="12.75" customHeight="1">
      <c r="A1380" s="69" t="s">
        <v>1420</v>
      </c>
      <c r="B1380" s="69" t="s">
        <v>1421</v>
      </c>
      <c r="C1380" s="74"/>
      <c r="D1380" s="74"/>
      <c r="E1380" s="74"/>
      <c r="F1380" s="74"/>
      <c r="G1380" s="74"/>
      <c r="H1380" s="74"/>
      <c r="I1380" s="74"/>
      <c r="J1380" s="74"/>
    </row>
    <row r="1381" spans="1:10" s="73" customFormat="1" ht="12.75" customHeight="1">
      <c r="A1381" s="69"/>
      <c r="B1381" s="69"/>
      <c r="C1381" s="74"/>
      <c r="D1381" s="74"/>
      <c r="E1381" s="74"/>
      <c r="F1381" s="74"/>
      <c r="G1381" s="74"/>
      <c r="H1381" s="74"/>
      <c r="I1381" s="74"/>
      <c r="J1381" s="74"/>
    </row>
    <row r="1382" spans="1:10" s="73" customFormat="1" ht="12.75" customHeight="1">
      <c r="A1382" s="69"/>
      <c r="B1382" s="69"/>
      <c r="C1382" s="74"/>
      <c r="D1382" s="74"/>
      <c r="E1382" s="74"/>
      <c r="F1382" s="74"/>
      <c r="G1382" s="74"/>
      <c r="H1382" s="74"/>
      <c r="I1382" s="74"/>
      <c r="J1382" s="74"/>
    </row>
    <row r="1383" spans="1:10" ht="12.75" customHeight="1">
      <c r="A1383" s="71"/>
      <c r="B1383" s="69" t="s">
        <v>1276</v>
      </c>
      <c r="C1383" s="68">
        <v>21</v>
      </c>
      <c r="D1383" s="68">
        <v>3</v>
      </c>
      <c r="E1383" s="68">
        <v>0</v>
      </c>
      <c r="F1383" s="68" t="s">
        <v>1285</v>
      </c>
      <c r="G1383" s="68">
        <v>18</v>
      </c>
      <c r="H1383" s="68" t="s">
        <v>1285</v>
      </c>
      <c r="I1383" s="68">
        <v>0</v>
      </c>
      <c r="J1383" s="68" t="s">
        <v>1285</v>
      </c>
    </row>
    <row r="1384" spans="1:10" ht="12.75" customHeight="1">
      <c r="A1384" s="71"/>
      <c r="B1384" s="69" t="s">
        <v>1277</v>
      </c>
      <c r="C1384" s="68" t="s">
        <v>1278</v>
      </c>
      <c r="D1384" s="68" t="s">
        <v>1285</v>
      </c>
      <c r="E1384" s="68">
        <v>0</v>
      </c>
      <c r="F1384" s="68">
        <v>0</v>
      </c>
      <c r="G1384" s="68" t="s">
        <v>1285</v>
      </c>
      <c r="H1384" s="68">
        <v>0</v>
      </c>
      <c r="I1384" s="68">
        <v>0</v>
      </c>
      <c r="J1384" s="68" t="s">
        <v>1278</v>
      </c>
    </row>
    <row r="1385" spans="1:10" ht="12.75" customHeight="1">
      <c r="A1385" s="71"/>
      <c r="B1385" s="71" t="s">
        <v>1279</v>
      </c>
      <c r="C1385" s="68" t="s">
        <v>1278</v>
      </c>
      <c r="D1385" s="68" t="s">
        <v>1285</v>
      </c>
      <c r="E1385" s="68">
        <v>0</v>
      </c>
      <c r="F1385" s="68">
        <v>0</v>
      </c>
      <c r="G1385" s="68" t="s">
        <v>1285</v>
      </c>
      <c r="H1385" s="68">
        <v>0</v>
      </c>
      <c r="I1385" s="68">
        <v>0</v>
      </c>
      <c r="J1385" s="68" t="s">
        <v>1278</v>
      </c>
    </row>
    <row r="1386" spans="1:10" ht="12.75" customHeight="1">
      <c r="A1386" s="71"/>
      <c r="B1386" s="71" t="s">
        <v>1280</v>
      </c>
      <c r="C1386" s="68" t="s">
        <v>1278</v>
      </c>
      <c r="D1386" s="68">
        <v>0</v>
      </c>
      <c r="E1386" s="68">
        <v>0</v>
      </c>
      <c r="F1386" s="68">
        <v>0</v>
      </c>
      <c r="G1386" s="68" t="s">
        <v>1285</v>
      </c>
      <c r="H1386" s="68">
        <v>0</v>
      </c>
      <c r="I1386" s="68">
        <v>0</v>
      </c>
      <c r="J1386" s="68" t="s">
        <v>1278</v>
      </c>
    </row>
    <row r="1387" spans="1:10" ht="12.75" customHeight="1">
      <c r="A1387" s="71"/>
      <c r="B1387" s="69" t="s">
        <v>1281</v>
      </c>
      <c r="C1387" s="68" t="s">
        <v>1278</v>
      </c>
      <c r="D1387" s="68">
        <v>2</v>
      </c>
      <c r="E1387" s="68">
        <v>0</v>
      </c>
      <c r="F1387" s="68" t="s">
        <v>1285</v>
      </c>
      <c r="G1387" s="68">
        <v>17</v>
      </c>
      <c r="H1387" s="68" t="s">
        <v>1285</v>
      </c>
      <c r="I1387" s="68">
        <v>0</v>
      </c>
      <c r="J1387" s="68" t="s">
        <v>1278</v>
      </c>
    </row>
    <row r="1388" spans="1:10" ht="12.75" customHeight="1">
      <c r="A1388" s="71"/>
      <c r="B1388" s="71" t="s">
        <v>1283</v>
      </c>
      <c r="C1388" s="68" t="s">
        <v>1278</v>
      </c>
      <c r="D1388" s="68" t="s">
        <v>1285</v>
      </c>
      <c r="E1388" s="68">
        <v>0</v>
      </c>
      <c r="F1388" s="68">
        <v>0</v>
      </c>
      <c r="G1388" s="68">
        <v>17</v>
      </c>
      <c r="H1388" s="68" t="s">
        <v>1285</v>
      </c>
      <c r="I1388" s="68">
        <v>0</v>
      </c>
      <c r="J1388" s="68" t="s">
        <v>1278</v>
      </c>
    </row>
    <row r="1389" spans="1:10" ht="12.75" customHeight="1">
      <c r="A1389" s="71"/>
      <c r="B1389" s="71" t="s">
        <v>1284</v>
      </c>
      <c r="C1389" s="68" t="s">
        <v>1278</v>
      </c>
      <c r="D1389" s="68" t="s">
        <v>1285</v>
      </c>
      <c r="E1389" s="68">
        <v>0</v>
      </c>
      <c r="F1389" s="68">
        <v>0</v>
      </c>
      <c r="G1389" s="68" t="s">
        <v>1285</v>
      </c>
      <c r="H1389" s="68">
        <v>0</v>
      </c>
      <c r="I1389" s="68">
        <v>0</v>
      </c>
      <c r="J1389" s="68" t="s">
        <v>1278</v>
      </c>
    </row>
    <row r="1390" spans="1:10" ht="12.75" customHeight="1">
      <c r="A1390" s="71"/>
      <c r="B1390" s="71" t="s">
        <v>1286</v>
      </c>
      <c r="C1390" s="68" t="s">
        <v>1278</v>
      </c>
      <c r="D1390" s="68">
        <v>2</v>
      </c>
      <c r="E1390" s="68">
        <v>0</v>
      </c>
      <c r="F1390" s="68" t="s">
        <v>1285</v>
      </c>
      <c r="G1390" s="68" t="s">
        <v>1285</v>
      </c>
      <c r="H1390" s="68" t="s">
        <v>1285</v>
      </c>
      <c r="I1390" s="68">
        <v>0</v>
      </c>
      <c r="J1390" s="68" t="s">
        <v>1278</v>
      </c>
    </row>
    <row r="1391" spans="1:10" ht="12.75" customHeight="1">
      <c r="A1391" s="71"/>
      <c r="B1391" s="71" t="s">
        <v>1287</v>
      </c>
      <c r="C1391" s="68" t="s">
        <v>1278</v>
      </c>
      <c r="D1391" s="68">
        <v>0</v>
      </c>
      <c r="E1391" s="68" t="s">
        <v>1278</v>
      </c>
      <c r="F1391" s="68" t="s">
        <v>1278</v>
      </c>
      <c r="G1391" s="68" t="s">
        <v>1278</v>
      </c>
      <c r="H1391" s="68" t="s">
        <v>1278</v>
      </c>
      <c r="I1391" s="68" t="s">
        <v>1278</v>
      </c>
      <c r="J1391" s="68" t="s">
        <v>1278</v>
      </c>
    </row>
    <row r="1392" spans="1:10" ht="12.75" customHeight="1">
      <c r="A1392" s="71"/>
      <c r="B1392" s="71" t="s">
        <v>1288</v>
      </c>
      <c r="C1392" s="68" t="s">
        <v>1278</v>
      </c>
      <c r="D1392" s="68" t="s">
        <v>1285</v>
      </c>
      <c r="E1392" s="68">
        <v>0</v>
      </c>
      <c r="F1392" s="68">
        <v>0</v>
      </c>
      <c r="G1392" s="68" t="s">
        <v>1285</v>
      </c>
      <c r="H1392" s="68" t="s">
        <v>1285</v>
      </c>
      <c r="I1392" s="68">
        <v>0</v>
      </c>
      <c r="J1392" s="68" t="s">
        <v>1278</v>
      </c>
    </row>
    <row r="1393" spans="1:10" ht="12.75" customHeight="1">
      <c r="A1393" s="71"/>
      <c r="B1393" s="69" t="s">
        <v>1289</v>
      </c>
      <c r="C1393" s="68" t="s">
        <v>1278</v>
      </c>
      <c r="D1393" s="68" t="s">
        <v>1285</v>
      </c>
      <c r="E1393" s="68">
        <v>0</v>
      </c>
      <c r="F1393" s="68" t="s">
        <v>1285</v>
      </c>
      <c r="G1393" s="68">
        <v>1</v>
      </c>
      <c r="H1393" s="68" t="s">
        <v>1285</v>
      </c>
      <c r="I1393" s="68">
        <v>0</v>
      </c>
      <c r="J1393" s="68" t="s">
        <v>1278</v>
      </c>
    </row>
    <row r="1394" spans="1:10" ht="12.75" customHeight="1">
      <c r="A1394" s="71"/>
      <c r="B1394" s="71" t="s">
        <v>1290</v>
      </c>
      <c r="C1394" s="68" t="s">
        <v>1278</v>
      </c>
      <c r="D1394" s="68" t="s">
        <v>1285</v>
      </c>
      <c r="E1394" s="68">
        <v>0</v>
      </c>
      <c r="F1394" s="68" t="s">
        <v>1285</v>
      </c>
      <c r="G1394" s="68">
        <v>1</v>
      </c>
      <c r="H1394" s="68" t="s">
        <v>1285</v>
      </c>
      <c r="I1394" s="68">
        <v>0</v>
      </c>
      <c r="J1394" s="68" t="s">
        <v>1278</v>
      </c>
    </row>
    <row r="1395" spans="1:10" ht="12.75" customHeight="1">
      <c r="A1395" s="71"/>
      <c r="B1395" s="71" t="s">
        <v>1291</v>
      </c>
      <c r="C1395" s="68" t="s">
        <v>1278</v>
      </c>
      <c r="D1395" s="68" t="s">
        <v>1285</v>
      </c>
      <c r="E1395" s="68" t="s">
        <v>1278</v>
      </c>
      <c r="F1395" s="68" t="s">
        <v>1278</v>
      </c>
      <c r="G1395" s="68" t="s">
        <v>1278</v>
      </c>
      <c r="H1395" s="68" t="s">
        <v>1278</v>
      </c>
      <c r="I1395" s="68" t="s">
        <v>1278</v>
      </c>
      <c r="J1395" s="68" t="s">
        <v>1278</v>
      </c>
    </row>
    <row r="1396" spans="1:10" ht="12.75" customHeight="1">
      <c r="A1396" s="71"/>
      <c r="B1396" s="71" t="s">
        <v>1292</v>
      </c>
      <c r="C1396" s="68" t="s">
        <v>1278</v>
      </c>
      <c r="D1396" s="68" t="s">
        <v>1285</v>
      </c>
      <c r="E1396" s="68">
        <v>0</v>
      </c>
      <c r="F1396" s="68" t="s">
        <v>1285</v>
      </c>
      <c r="G1396" s="68" t="s">
        <v>1285</v>
      </c>
      <c r="H1396" s="68" t="s">
        <v>1285</v>
      </c>
      <c r="I1396" s="68">
        <v>0</v>
      </c>
      <c r="J1396" s="68" t="s">
        <v>1278</v>
      </c>
    </row>
    <row r="1397" spans="1:10" ht="12.75" customHeight="1">
      <c r="A1397" s="71"/>
      <c r="B1397" s="71" t="s">
        <v>1293</v>
      </c>
      <c r="C1397" s="68" t="s">
        <v>1278</v>
      </c>
      <c r="D1397" s="68" t="s">
        <v>1285</v>
      </c>
      <c r="E1397" s="68" t="s">
        <v>1278</v>
      </c>
      <c r="F1397" s="68" t="s">
        <v>1285</v>
      </c>
      <c r="G1397" s="68">
        <v>0</v>
      </c>
      <c r="H1397" s="68" t="s">
        <v>1285</v>
      </c>
      <c r="I1397" s="68" t="s">
        <v>1278</v>
      </c>
      <c r="J1397" s="68" t="s">
        <v>1278</v>
      </c>
    </row>
    <row r="1398" spans="1:10" ht="12.75" customHeight="1">
      <c r="A1398" s="71"/>
      <c r="B1398" s="71" t="s">
        <v>1294</v>
      </c>
      <c r="C1398" s="68" t="s">
        <v>1278</v>
      </c>
      <c r="D1398" s="68" t="s">
        <v>1278</v>
      </c>
      <c r="E1398" s="68">
        <v>0</v>
      </c>
      <c r="F1398" s="68">
        <v>0</v>
      </c>
      <c r="G1398" s="68">
        <v>0</v>
      </c>
      <c r="H1398" s="68">
        <v>0</v>
      </c>
      <c r="I1398" s="68">
        <v>0</v>
      </c>
      <c r="J1398" s="68" t="s">
        <v>1278</v>
      </c>
    </row>
    <row r="1399" spans="1:10" ht="12.75" customHeight="1">
      <c r="A1399" s="71"/>
      <c r="B1399" s="71" t="s">
        <v>1295</v>
      </c>
      <c r="C1399" s="68" t="s">
        <v>1278</v>
      </c>
      <c r="D1399" s="68" t="s">
        <v>1285</v>
      </c>
      <c r="E1399" s="68">
        <v>0</v>
      </c>
      <c r="F1399" s="68" t="s">
        <v>1285</v>
      </c>
      <c r="G1399" s="68">
        <v>0</v>
      </c>
      <c r="H1399" s="68" t="s">
        <v>1285</v>
      </c>
      <c r="I1399" s="68">
        <v>0</v>
      </c>
      <c r="J1399" s="68" t="s">
        <v>1278</v>
      </c>
    </row>
    <row r="1400" spans="1:10" ht="12.75" customHeight="1">
      <c r="A1400" s="71"/>
      <c r="B1400" s="69" t="s">
        <v>1296</v>
      </c>
      <c r="C1400" s="68" t="s">
        <v>1285</v>
      </c>
      <c r="D1400" s="68">
        <v>0</v>
      </c>
      <c r="E1400" s="68">
        <v>0</v>
      </c>
      <c r="F1400" s="68">
        <v>0</v>
      </c>
      <c r="G1400" s="68">
        <v>0</v>
      </c>
      <c r="H1400" s="68" t="s">
        <v>1285</v>
      </c>
      <c r="I1400" s="68">
        <v>0</v>
      </c>
      <c r="J1400" s="68" t="s">
        <v>1285</v>
      </c>
    </row>
    <row r="1401" spans="1:10" ht="12.75" customHeight="1">
      <c r="A1401" s="71"/>
      <c r="B1401" s="69"/>
      <c r="C1401" s="68"/>
      <c r="D1401" s="68"/>
      <c r="E1401" s="68"/>
      <c r="F1401" s="68"/>
      <c r="G1401" s="68"/>
      <c r="H1401" s="68"/>
      <c r="I1401" s="68"/>
      <c r="J1401" s="68"/>
    </row>
    <row r="1402" spans="1:10" s="73" customFormat="1" ht="12.75" customHeight="1">
      <c r="A1402" s="69" t="s">
        <v>1422</v>
      </c>
      <c r="B1402" s="69" t="s">
        <v>1423</v>
      </c>
      <c r="C1402" s="74"/>
      <c r="D1402" s="74"/>
      <c r="E1402" s="74"/>
      <c r="F1402" s="74"/>
      <c r="G1402" s="74"/>
      <c r="H1402" s="74"/>
      <c r="I1402" s="74"/>
      <c r="J1402" s="74"/>
    </row>
    <row r="1403" spans="1:10" s="73" customFormat="1" ht="12.75" customHeight="1">
      <c r="A1403" s="69"/>
      <c r="B1403" s="69"/>
      <c r="C1403" s="74"/>
      <c r="D1403" s="74"/>
      <c r="E1403" s="74"/>
      <c r="F1403" s="74"/>
      <c r="G1403" s="74"/>
      <c r="H1403" s="74"/>
      <c r="I1403" s="74"/>
      <c r="J1403" s="74"/>
    </row>
    <row r="1404" spans="1:10" s="73" customFormat="1" ht="12.75" customHeight="1">
      <c r="A1404" s="69"/>
      <c r="B1404" s="69"/>
      <c r="C1404" s="74"/>
      <c r="D1404" s="74"/>
      <c r="E1404" s="74"/>
      <c r="F1404" s="74"/>
      <c r="G1404" s="74"/>
      <c r="H1404" s="74"/>
      <c r="I1404" s="74"/>
      <c r="J1404" s="74"/>
    </row>
    <row r="1405" spans="1:10" ht="12.75" customHeight="1">
      <c r="A1405" s="71"/>
      <c r="B1405" s="69" t="s">
        <v>1276</v>
      </c>
      <c r="C1405" s="68">
        <v>73</v>
      </c>
      <c r="D1405" s="68">
        <v>18</v>
      </c>
      <c r="E1405" s="68">
        <v>0</v>
      </c>
      <c r="F1405" s="68" t="s">
        <v>1285</v>
      </c>
      <c r="G1405" s="68">
        <v>54</v>
      </c>
      <c r="H1405" s="68" t="s">
        <v>1285</v>
      </c>
      <c r="I1405" s="68">
        <v>0</v>
      </c>
      <c r="J1405" s="68" t="s">
        <v>1285</v>
      </c>
    </row>
    <row r="1406" spans="1:10" ht="12.75" customHeight="1">
      <c r="A1406" s="71"/>
      <c r="B1406" s="69" t="s">
        <v>1277</v>
      </c>
      <c r="C1406" s="68" t="s">
        <v>1278</v>
      </c>
      <c r="D1406" s="68" t="s">
        <v>1285</v>
      </c>
      <c r="E1406" s="68">
        <v>0</v>
      </c>
      <c r="F1406" s="68" t="s">
        <v>1285</v>
      </c>
      <c r="G1406" s="68">
        <v>1</v>
      </c>
      <c r="H1406" s="68">
        <v>0</v>
      </c>
      <c r="I1406" s="68">
        <v>0</v>
      </c>
      <c r="J1406" s="68" t="s">
        <v>1278</v>
      </c>
    </row>
    <row r="1407" spans="1:10" ht="12.75" customHeight="1">
      <c r="A1407" s="71"/>
      <c r="B1407" s="71" t="s">
        <v>1279</v>
      </c>
      <c r="C1407" s="68" t="s">
        <v>1278</v>
      </c>
      <c r="D1407" s="68" t="s">
        <v>1285</v>
      </c>
      <c r="E1407" s="68">
        <v>0</v>
      </c>
      <c r="F1407" s="68">
        <v>0</v>
      </c>
      <c r="G1407" s="68" t="s">
        <v>1285</v>
      </c>
      <c r="H1407" s="68">
        <v>0</v>
      </c>
      <c r="I1407" s="68">
        <v>0</v>
      </c>
      <c r="J1407" s="68" t="s">
        <v>1278</v>
      </c>
    </row>
    <row r="1408" spans="1:10" ht="12.75" customHeight="1">
      <c r="A1408" s="71"/>
      <c r="B1408" s="71" t="s">
        <v>1280</v>
      </c>
      <c r="C1408" s="68" t="s">
        <v>1278</v>
      </c>
      <c r="D1408" s="68">
        <v>0</v>
      </c>
      <c r="E1408" s="68">
        <v>0</v>
      </c>
      <c r="F1408" s="68" t="s">
        <v>1285</v>
      </c>
      <c r="G1408" s="68" t="s">
        <v>1285</v>
      </c>
      <c r="H1408" s="68">
        <v>0</v>
      </c>
      <c r="I1408" s="68">
        <v>0</v>
      </c>
      <c r="J1408" s="68" t="s">
        <v>1278</v>
      </c>
    </row>
    <row r="1409" spans="1:10" ht="12.75" customHeight="1">
      <c r="A1409" s="71"/>
      <c r="B1409" s="69" t="s">
        <v>1281</v>
      </c>
      <c r="C1409" s="68" t="s">
        <v>1278</v>
      </c>
      <c r="D1409" s="68">
        <v>16</v>
      </c>
      <c r="E1409" s="68">
        <v>0</v>
      </c>
      <c r="F1409" s="68" t="s">
        <v>1285</v>
      </c>
      <c r="G1409" s="68">
        <v>51</v>
      </c>
      <c r="H1409" s="68" t="s">
        <v>1285</v>
      </c>
      <c r="I1409" s="68">
        <v>0</v>
      </c>
      <c r="J1409" s="68" t="s">
        <v>1278</v>
      </c>
    </row>
    <row r="1410" spans="1:10" ht="12.75" customHeight="1">
      <c r="A1410" s="71"/>
      <c r="B1410" s="71" t="s">
        <v>1283</v>
      </c>
      <c r="C1410" s="68" t="s">
        <v>1278</v>
      </c>
      <c r="D1410" s="68">
        <v>2</v>
      </c>
      <c r="E1410" s="68">
        <v>0</v>
      </c>
      <c r="F1410" s="68">
        <v>0</v>
      </c>
      <c r="G1410" s="68">
        <v>50</v>
      </c>
      <c r="H1410" s="68" t="s">
        <v>1285</v>
      </c>
      <c r="I1410" s="68">
        <v>0</v>
      </c>
      <c r="J1410" s="68" t="s">
        <v>1278</v>
      </c>
    </row>
    <row r="1411" spans="1:10" ht="12.75" customHeight="1">
      <c r="A1411" s="71"/>
      <c r="B1411" s="71" t="s">
        <v>1284</v>
      </c>
      <c r="C1411" s="68" t="s">
        <v>1278</v>
      </c>
      <c r="D1411" s="68">
        <v>1</v>
      </c>
      <c r="E1411" s="68">
        <v>0</v>
      </c>
      <c r="F1411" s="68">
        <v>0</v>
      </c>
      <c r="G1411" s="68">
        <v>0</v>
      </c>
      <c r="H1411" s="68">
        <v>0</v>
      </c>
      <c r="I1411" s="68">
        <v>0</v>
      </c>
      <c r="J1411" s="68" t="s">
        <v>1278</v>
      </c>
    </row>
    <row r="1412" spans="1:10" ht="12.75" customHeight="1">
      <c r="A1412" s="71"/>
      <c r="B1412" s="71" t="s">
        <v>1286</v>
      </c>
      <c r="C1412" s="68" t="s">
        <v>1278</v>
      </c>
      <c r="D1412" s="68">
        <v>13</v>
      </c>
      <c r="E1412" s="68">
        <v>0</v>
      </c>
      <c r="F1412" s="68" t="s">
        <v>1285</v>
      </c>
      <c r="G1412" s="68" t="s">
        <v>1285</v>
      </c>
      <c r="H1412" s="68" t="s">
        <v>1285</v>
      </c>
      <c r="I1412" s="68">
        <v>0</v>
      </c>
      <c r="J1412" s="68" t="s">
        <v>1278</v>
      </c>
    </row>
    <row r="1413" spans="1:10" ht="12.75" customHeight="1">
      <c r="A1413" s="71"/>
      <c r="B1413" s="71" t="s">
        <v>1287</v>
      </c>
      <c r="C1413" s="68" t="s">
        <v>1278</v>
      </c>
      <c r="D1413" s="68" t="s">
        <v>1285</v>
      </c>
      <c r="E1413" s="68" t="s">
        <v>1278</v>
      </c>
      <c r="F1413" s="68" t="s">
        <v>1278</v>
      </c>
      <c r="G1413" s="68" t="s">
        <v>1278</v>
      </c>
      <c r="H1413" s="68" t="s">
        <v>1278</v>
      </c>
      <c r="I1413" s="68" t="s">
        <v>1278</v>
      </c>
      <c r="J1413" s="68" t="s">
        <v>1278</v>
      </c>
    </row>
    <row r="1414" spans="1:10" ht="12.75" customHeight="1">
      <c r="A1414" s="71"/>
      <c r="B1414" s="71" t="s">
        <v>1288</v>
      </c>
      <c r="C1414" s="68" t="s">
        <v>1278</v>
      </c>
      <c r="D1414" s="68" t="s">
        <v>1285</v>
      </c>
      <c r="E1414" s="68">
        <v>0</v>
      </c>
      <c r="F1414" s="68" t="s">
        <v>1285</v>
      </c>
      <c r="G1414" s="68">
        <v>2</v>
      </c>
      <c r="H1414" s="68" t="s">
        <v>1285</v>
      </c>
      <c r="I1414" s="68">
        <v>0</v>
      </c>
      <c r="J1414" s="68" t="s">
        <v>1278</v>
      </c>
    </row>
    <row r="1415" spans="1:10" ht="12.75" customHeight="1">
      <c r="A1415" s="71"/>
      <c r="B1415" s="69" t="s">
        <v>1289</v>
      </c>
      <c r="C1415" s="68" t="s">
        <v>1278</v>
      </c>
      <c r="D1415" s="68">
        <v>2</v>
      </c>
      <c r="E1415" s="68">
        <v>0</v>
      </c>
      <c r="F1415" s="68" t="s">
        <v>1285</v>
      </c>
      <c r="G1415" s="68">
        <v>2</v>
      </c>
      <c r="H1415" s="68" t="s">
        <v>1285</v>
      </c>
      <c r="I1415" s="68">
        <v>0</v>
      </c>
      <c r="J1415" s="68" t="s">
        <v>1278</v>
      </c>
    </row>
    <row r="1416" spans="1:10" ht="12.75" customHeight="1">
      <c r="A1416" s="71"/>
      <c r="B1416" s="71" t="s">
        <v>1290</v>
      </c>
      <c r="C1416" s="68" t="s">
        <v>1278</v>
      </c>
      <c r="D1416" s="68">
        <v>1</v>
      </c>
      <c r="E1416" s="68">
        <v>0</v>
      </c>
      <c r="F1416" s="68">
        <v>0</v>
      </c>
      <c r="G1416" s="68">
        <v>2</v>
      </c>
      <c r="H1416" s="68">
        <v>0</v>
      </c>
      <c r="I1416" s="68">
        <v>0</v>
      </c>
      <c r="J1416" s="68" t="s">
        <v>1278</v>
      </c>
    </row>
    <row r="1417" spans="1:10" ht="12.75" customHeight="1">
      <c r="A1417" s="71"/>
      <c r="B1417" s="71" t="s">
        <v>1291</v>
      </c>
      <c r="C1417" s="68" t="s">
        <v>1278</v>
      </c>
      <c r="D1417" s="68">
        <v>1</v>
      </c>
      <c r="E1417" s="68" t="s">
        <v>1278</v>
      </c>
      <c r="F1417" s="68" t="s">
        <v>1278</v>
      </c>
      <c r="G1417" s="68" t="s">
        <v>1278</v>
      </c>
      <c r="H1417" s="68" t="s">
        <v>1278</v>
      </c>
      <c r="I1417" s="68" t="s">
        <v>1278</v>
      </c>
      <c r="J1417" s="68" t="s">
        <v>1278</v>
      </c>
    </row>
    <row r="1418" spans="1:10" ht="12.75" customHeight="1">
      <c r="A1418" s="71"/>
      <c r="B1418" s="71" t="s">
        <v>1292</v>
      </c>
      <c r="C1418" s="68" t="s">
        <v>1278</v>
      </c>
      <c r="D1418" s="68" t="s">
        <v>1285</v>
      </c>
      <c r="E1418" s="68">
        <v>0</v>
      </c>
      <c r="F1418" s="68">
        <v>0</v>
      </c>
      <c r="G1418" s="68" t="s">
        <v>1285</v>
      </c>
      <c r="H1418" s="68">
        <v>0</v>
      </c>
      <c r="I1418" s="68">
        <v>0</v>
      </c>
      <c r="J1418" s="68" t="s">
        <v>1278</v>
      </c>
    </row>
    <row r="1419" spans="1:10" ht="12.75" customHeight="1">
      <c r="A1419" s="71"/>
      <c r="B1419" s="71" t="s">
        <v>1293</v>
      </c>
      <c r="C1419" s="68" t="s">
        <v>1278</v>
      </c>
      <c r="D1419" s="68" t="s">
        <v>1285</v>
      </c>
      <c r="E1419" s="68" t="s">
        <v>1278</v>
      </c>
      <c r="F1419" s="68" t="s">
        <v>1285</v>
      </c>
      <c r="G1419" s="68">
        <v>0</v>
      </c>
      <c r="H1419" s="68" t="s">
        <v>1285</v>
      </c>
      <c r="I1419" s="68" t="s">
        <v>1278</v>
      </c>
      <c r="J1419" s="68" t="s">
        <v>1278</v>
      </c>
    </row>
    <row r="1420" spans="1:10" ht="12.75" customHeight="1">
      <c r="A1420" s="71"/>
      <c r="B1420" s="71" t="s">
        <v>1294</v>
      </c>
      <c r="C1420" s="68" t="s">
        <v>1278</v>
      </c>
      <c r="D1420" s="68" t="s">
        <v>1278</v>
      </c>
      <c r="E1420" s="68">
        <v>0</v>
      </c>
      <c r="F1420" s="68">
        <v>0</v>
      </c>
      <c r="G1420" s="68">
        <v>0</v>
      </c>
      <c r="H1420" s="68">
        <v>0</v>
      </c>
      <c r="I1420" s="68">
        <v>0</v>
      </c>
      <c r="J1420" s="68" t="s">
        <v>1278</v>
      </c>
    </row>
    <row r="1421" spans="1:10" ht="12.75" customHeight="1">
      <c r="A1421" s="71"/>
      <c r="B1421" s="71" t="s">
        <v>1295</v>
      </c>
      <c r="C1421" s="68" t="s">
        <v>1278</v>
      </c>
      <c r="D1421" s="68">
        <v>0</v>
      </c>
      <c r="E1421" s="68">
        <v>0</v>
      </c>
      <c r="F1421" s="68" t="s">
        <v>1285</v>
      </c>
      <c r="G1421" s="68">
        <v>0</v>
      </c>
      <c r="H1421" s="68" t="s">
        <v>1285</v>
      </c>
      <c r="I1421" s="68">
        <v>0</v>
      </c>
      <c r="J1421" s="68" t="s">
        <v>1278</v>
      </c>
    </row>
    <row r="1422" spans="1:10" ht="12.75" customHeight="1">
      <c r="A1422" s="71"/>
      <c r="B1422" s="69" t="s">
        <v>1296</v>
      </c>
      <c r="C1422" s="68" t="s">
        <v>1285</v>
      </c>
      <c r="D1422" s="68">
        <v>0</v>
      </c>
      <c r="E1422" s="68">
        <v>0</v>
      </c>
      <c r="F1422" s="68">
        <v>0</v>
      </c>
      <c r="G1422" s="68">
        <v>0</v>
      </c>
      <c r="H1422" s="68">
        <v>0</v>
      </c>
      <c r="I1422" s="68">
        <v>0</v>
      </c>
      <c r="J1422" s="68" t="s">
        <v>1285</v>
      </c>
    </row>
    <row r="1423" spans="1:10" ht="12.75" customHeight="1">
      <c r="A1423" s="71"/>
      <c r="B1423" s="69"/>
      <c r="C1423" s="68"/>
      <c r="D1423" s="68"/>
      <c r="E1423" s="68"/>
      <c r="F1423" s="68"/>
      <c r="G1423" s="68"/>
      <c r="H1423" s="68"/>
      <c r="I1423" s="68"/>
      <c r="J1423" s="68"/>
    </row>
    <row r="1424" spans="1:10" s="73" customFormat="1" ht="12.75" customHeight="1">
      <c r="A1424" s="69" t="s">
        <v>1424</v>
      </c>
      <c r="B1424" s="69" t="s">
        <v>1425</v>
      </c>
      <c r="C1424" s="74"/>
      <c r="D1424" s="74"/>
      <c r="E1424" s="74"/>
      <c r="F1424" s="74"/>
      <c r="G1424" s="74"/>
      <c r="H1424" s="74"/>
      <c r="I1424" s="74"/>
      <c r="J1424" s="74"/>
    </row>
    <row r="1425" spans="1:10" ht="12.75" customHeight="1">
      <c r="A1425" s="71"/>
      <c r="B1425" s="71"/>
      <c r="C1425" s="68"/>
      <c r="D1425" s="68"/>
      <c r="E1425" s="68"/>
      <c r="F1425" s="68"/>
      <c r="G1425" s="68"/>
      <c r="H1425" s="68"/>
      <c r="I1425" s="68"/>
      <c r="J1425" s="68"/>
    </row>
    <row r="1426" spans="1:10" ht="12.75" customHeight="1">
      <c r="A1426" s="71"/>
      <c r="B1426" s="71"/>
      <c r="C1426" s="68"/>
      <c r="D1426" s="68"/>
      <c r="E1426" s="68"/>
      <c r="F1426" s="68"/>
      <c r="G1426" s="68"/>
      <c r="H1426" s="68"/>
      <c r="I1426" s="68"/>
      <c r="J1426" s="68"/>
    </row>
    <row r="1427" spans="1:10" ht="12.75" customHeight="1">
      <c r="A1427" s="71"/>
      <c r="B1427" s="69" t="s">
        <v>1276</v>
      </c>
      <c r="C1427" s="68">
        <v>24</v>
      </c>
      <c r="D1427" s="68">
        <v>7</v>
      </c>
      <c r="E1427" s="68">
        <v>0</v>
      </c>
      <c r="F1427" s="68" t="s">
        <v>1285</v>
      </c>
      <c r="G1427" s="68">
        <v>17</v>
      </c>
      <c r="H1427" s="68" t="s">
        <v>1285</v>
      </c>
      <c r="I1427" s="68">
        <v>0</v>
      </c>
      <c r="J1427" s="68" t="s">
        <v>1285</v>
      </c>
    </row>
    <row r="1428" spans="1:10" ht="12.75" customHeight="1">
      <c r="A1428" s="71"/>
      <c r="B1428" s="69" t="s">
        <v>1277</v>
      </c>
      <c r="C1428" s="68" t="s">
        <v>1278</v>
      </c>
      <c r="D1428" s="68" t="s">
        <v>1285</v>
      </c>
      <c r="E1428" s="68">
        <v>0</v>
      </c>
      <c r="F1428" s="68">
        <v>0</v>
      </c>
      <c r="G1428" s="68">
        <v>1</v>
      </c>
      <c r="H1428" s="68" t="s">
        <v>1285</v>
      </c>
      <c r="I1428" s="68">
        <v>0</v>
      </c>
      <c r="J1428" s="68" t="s">
        <v>1278</v>
      </c>
    </row>
    <row r="1429" spans="1:10" ht="12.75" customHeight="1">
      <c r="A1429" s="71"/>
      <c r="B1429" s="71" t="s">
        <v>1279</v>
      </c>
      <c r="C1429" s="68" t="s">
        <v>1278</v>
      </c>
      <c r="D1429" s="68" t="s">
        <v>1285</v>
      </c>
      <c r="E1429" s="68">
        <v>0</v>
      </c>
      <c r="F1429" s="68">
        <v>0</v>
      </c>
      <c r="G1429" s="68" t="s">
        <v>1285</v>
      </c>
      <c r="H1429" s="68" t="s">
        <v>1285</v>
      </c>
      <c r="I1429" s="68">
        <v>0</v>
      </c>
      <c r="J1429" s="68" t="s">
        <v>1278</v>
      </c>
    </row>
    <row r="1430" spans="1:10" ht="12.75" customHeight="1">
      <c r="A1430" s="71"/>
      <c r="B1430" s="71" t="s">
        <v>1280</v>
      </c>
      <c r="C1430" s="68" t="s">
        <v>1278</v>
      </c>
      <c r="D1430" s="68">
        <v>0</v>
      </c>
      <c r="E1430" s="68">
        <v>0</v>
      </c>
      <c r="F1430" s="68">
        <v>0</v>
      </c>
      <c r="G1430" s="68">
        <v>1</v>
      </c>
      <c r="H1430" s="68" t="s">
        <v>1285</v>
      </c>
      <c r="I1430" s="68">
        <v>0</v>
      </c>
      <c r="J1430" s="68" t="s">
        <v>1278</v>
      </c>
    </row>
    <row r="1431" spans="1:10" ht="12.75" customHeight="1">
      <c r="A1431" s="71"/>
      <c r="B1431" s="69" t="s">
        <v>1281</v>
      </c>
      <c r="C1431" s="68" t="s">
        <v>1278</v>
      </c>
      <c r="D1431" s="68">
        <v>5</v>
      </c>
      <c r="E1431" s="68">
        <v>0</v>
      </c>
      <c r="F1431" s="68" t="s">
        <v>1285</v>
      </c>
      <c r="G1431" s="68">
        <v>15</v>
      </c>
      <c r="H1431" s="68" t="s">
        <v>1285</v>
      </c>
      <c r="I1431" s="68">
        <v>0</v>
      </c>
      <c r="J1431" s="68" t="s">
        <v>1278</v>
      </c>
    </row>
    <row r="1432" spans="1:10" ht="12.75" customHeight="1">
      <c r="A1432" s="71"/>
      <c r="B1432" s="71" t="s">
        <v>1283</v>
      </c>
      <c r="C1432" s="68" t="s">
        <v>1278</v>
      </c>
      <c r="D1432" s="68">
        <v>1</v>
      </c>
      <c r="E1432" s="68">
        <v>0</v>
      </c>
      <c r="F1432" s="68" t="s">
        <v>1285</v>
      </c>
      <c r="G1432" s="68">
        <v>14</v>
      </c>
      <c r="H1432" s="68" t="s">
        <v>1285</v>
      </c>
      <c r="I1432" s="68">
        <v>0</v>
      </c>
      <c r="J1432" s="68" t="s">
        <v>1278</v>
      </c>
    </row>
    <row r="1433" spans="1:10" ht="12.75" customHeight="1">
      <c r="A1433" s="71"/>
      <c r="B1433" s="71" t="s">
        <v>1284</v>
      </c>
      <c r="C1433" s="68" t="s">
        <v>1278</v>
      </c>
      <c r="D1433" s="68" t="s">
        <v>1285</v>
      </c>
      <c r="E1433" s="68">
        <v>0</v>
      </c>
      <c r="F1433" s="68">
        <v>0</v>
      </c>
      <c r="G1433" s="68" t="s">
        <v>1285</v>
      </c>
      <c r="H1433" s="68" t="s">
        <v>1285</v>
      </c>
      <c r="I1433" s="68">
        <v>0</v>
      </c>
      <c r="J1433" s="68" t="s">
        <v>1278</v>
      </c>
    </row>
    <row r="1434" spans="1:10" ht="12.75" customHeight="1">
      <c r="A1434" s="71"/>
      <c r="B1434" s="71" t="s">
        <v>1286</v>
      </c>
      <c r="C1434" s="68" t="s">
        <v>1278</v>
      </c>
      <c r="D1434" s="68">
        <v>3</v>
      </c>
      <c r="E1434" s="68">
        <v>0</v>
      </c>
      <c r="F1434" s="68">
        <v>0</v>
      </c>
      <c r="G1434" s="68">
        <v>1</v>
      </c>
      <c r="H1434" s="68" t="s">
        <v>1285</v>
      </c>
      <c r="I1434" s="68">
        <v>0</v>
      </c>
      <c r="J1434" s="68" t="s">
        <v>1278</v>
      </c>
    </row>
    <row r="1435" spans="1:10" ht="12.75" customHeight="1">
      <c r="A1435" s="71"/>
      <c r="B1435" s="71" t="s">
        <v>1287</v>
      </c>
      <c r="C1435" s="68" t="s">
        <v>1278</v>
      </c>
      <c r="D1435" s="68" t="s">
        <v>1285</v>
      </c>
      <c r="E1435" s="68" t="s">
        <v>1278</v>
      </c>
      <c r="F1435" s="68" t="s">
        <v>1278</v>
      </c>
      <c r="G1435" s="68" t="s">
        <v>1278</v>
      </c>
      <c r="H1435" s="68" t="s">
        <v>1278</v>
      </c>
      <c r="I1435" s="68" t="s">
        <v>1278</v>
      </c>
      <c r="J1435" s="68" t="s">
        <v>1278</v>
      </c>
    </row>
    <row r="1436" spans="1:10" ht="12.75" customHeight="1">
      <c r="A1436" s="71"/>
      <c r="B1436" s="71" t="s">
        <v>1288</v>
      </c>
      <c r="C1436" s="68" t="s">
        <v>1278</v>
      </c>
      <c r="D1436" s="68" t="s">
        <v>1285</v>
      </c>
      <c r="E1436" s="68">
        <v>0</v>
      </c>
      <c r="F1436" s="68">
        <v>0</v>
      </c>
      <c r="G1436" s="68" t="s">
        <v>1285</v>
      </c>
      <c r="H1436" s="68" t="s">
        <v>1285</v>
      </c>
      <c r="I1436" s="68">
        <v>0</v>
      </c>
      <c r="J1436" s="68" t="s">
        <v>1278</v>
      </c>
    </row>
    <row r="1437" spans="1:10" ht="12.75" customHeight="1">
      <c r="A1437" s="71"/>
      <c r="B1437" s="69" t="s">
        <v>1289</v>
      </c>
      <c r="C1437" s="68" t="s">
        <v>1278</v>
      </c>
      <c r="D1437" s="68">
        <v>1</v>
      </c>
      <c r="E1437" s="68">
        <v>0</v>
      </c>
      <c r="F1437" s="68" t="s">
        <v>1285</v>
      </c>
      <c r="G1437" s="68">
        <v>1</v>
      </c>
      <c r="H1437" s="68" t="s">
        <v>1285</v>
      </c>
      <c r="I1437" s="68">
        <v>0</v>
      </c>
      <c r="J1437" s="68" t="s">
        <v>1278</v>
      </c>
    </row>
    <row r="1438" spans="1:10" ht="12.75" customHeight="1">
      <c r="A1438" s="71"/>
      <c r="B1438" s="71" t="s">
        <v>1290</v>
      </c>
      <c r="C1438" s="68" t="s">
        <v>1278</v>
      </c>
      <c r="D1438" s="68" t="s">
        <v>1285</v>
      </c>
      <c r="E1438" s="68">
        <v>0</v>
      </c>
      <c r="F1438" s="68" t="s">
        <v>1285</v>
      </c>
      <c r="G1438" s="68">
        <v>1</v>
      </c>
      <c r="H1438" s="68" t="s">
        <v>1285</v>
      </c>
      <c r="I1438" s="68">
        <v>0</v>
      </c>
      <c r="J1438" s="68" t="s">
        <v>1278</v>
      </c>
    </row>
    <row r="1439" spans="1:10" ht="12.75" customHeight="1">
      <c r="A1439" s="71"/>
      <c r="B1439" s="71" t="s">
        <v>1291</v>
      </c>
      <c r="C1439" s="68" t="s">
        <v>1278</v>
      </c>
      <c r="D1439" s="68">
        <v>1</v>
      </c>
      <c r="E1439" s="68" t="s">
        <v>1278</v>
      </c>
      <c r="F1439" s="68" t="s">
        <v>1278</v>
      </c>
      <c r="G1439" s="68" t="s">
        <v>1278</v>
      </c>
      <c r="H1439" s="68" t="s">
        <v>1278</v>
      </c>
      <c r="I1439" s="68" t="s">
        <v>1278</v>
      </c>
      <c r="J1439" s="68" t="s">
        <v>1278</v>
      </c>
    </row>
    <row r="1440" spans="1:10" ht="12.75" customHeight="1">
      <c r="A1440" s="71"/>
      <c r="B1440" s="71" t="s">
        <v>1292</v>
      </c>
      <c r="C1440" s="68" t="s">
        <v>1278</v>
      </c>
      <c r="D1440" s="68" t="s">
        <v>1285</v>
      </c>
      <c r="E1440" s="68">
        <v>0</v>
      </c>
      <c r="F1440" s="68">
        <v>0</v>
      </c>
      <c r="G1440" s="68" t="s">
        <v>1285</v>
      </c>
      <c r="H1440" s="68" t="s">
        <v>1285</v>
      </c>
      <c r="I1440" s="68">
        <v>0</v>
      </c>
      <c r="J1440" s="68" t="s">
        <v>1278</v>
      </c>
    </row>
    <row r="1441" spans="1:10" ht="12.75" customHeight="1">
      <c r="A1441" s="71"/>
      <c r="B1441" s="71" t="s">
        <v>1293</v>
      </c>
      <c r="C1441" s="68" t="s">
        <v>1278</v>
      </c>
      <c r="D1441" s="68" t="s">
        <v>1285</v>
      </c>
      <c r="E1441" s="68" t="s">
        <v>1278</v>
      </c>
      <c r="F1441" s="68" t="s">
        <v>1285</v>
      </c>
      <c r="G1441" s="68" t="s">
        <v>1285</v>
      </c>
      <c r="H1441" s="68" t="s">
        <v>1285</v>
      </c>
      <c r="I1441" s="68" t="s">
        <v>1278</v>
      </c>
      <c r="J1441" s="68" t="s">
        <v>1278</v>
      </c>
    </row>
    <row r="1442" spans="1:10" ht="12.75" customHeight="1">
      <c r="A1442" s="71"/>
      <c r="B1442" s="71" t="s">
        <v>1294</v>
      </c>
      <c r="C1442" s="68" t="s">
        <v>1278</v>
      </c>
      <c r="D1442" s="68" t="s">
        <v>1278</v>
      </c>
      <c r="E1442" s="68">
        <v>0</v>
      </c>
      <c r="F1442" s="68">
        <v>0</v>
      </c>
      <c r="G1442" s="68" t="s">
        <v>1285</v>
      </c>
      <c r="H1442" s="68">
        <v>0</v>
      </c>
      <c r="I1442" s="68">
        <v>0</v>
      </c>
      <c r="J1442" s="68" t="s">
        <v>1278</v>
      </c>
    </row>
    <row r="1443" spans="1:10" ht="12.75" customHeight="1">
      <c r="A1443" s="71"/>
      <c r="B1443" s="71" t="s">
        <v>1295</v>
      </c>
      <c r="C1443" s="68" t="s">
        <v>1278</v>
      </c>
      <c r="D1443" s="68" t="s">
        <v>1285</v>
      </c>
      <c r="E1443" s="68">
        <v>0</v>
      </c>
      <c r="F1443" s="68">
        <v>0</v>
      </c>
      <c r="G1443" s="68">
        <v>0</v>
      </c>
      <c r="H1443" s="68" t="s">
        <v>1285</v>
      </c>
      <c r="I1443" s="68">
        <v>0</v>
      </c>
      <c r="J1443" s="68" t="s">
        <v>1278</v>
      </c>
    </row>
    <row r="1444" spans="1:10" ht="12.75" customHeight="1">
      <c r="A1444" s="71"/>
      <c r="B1444" s="69" t="s">
        <v>1296</v>
      </c>
      <c r="C1444" s="68" t="s">
        <v>1285</v>
      </c>
      <c r="D1444" s="68" t="s">
        <v>1285</v>
      </c>
      <c r="E1444" s="68">
        <v>0</v>
      </c>
      <c r="F1444" s="68">
        <v>0</v>
      </c>
      <c r="G1444" s="68" t="s">
        <v>1285</v>
      </c>
      <c r="H1444" s="68" t="s">
        <v>1285</v>
      </c>
      <c r="I1444" s="68">
        <v>0</v>
      </c>
      <c r="J1444" s="68" t="s">
        <v>1285</v>
      </c>
    </row>
    <row r="1445" spans="1:10" ht="12.75" customHeight="1">
      <c r="A1445" s="71"/>
      <c r="B1445" s="69"/>
      <c r="C1445" s="68"/>
      <c r="D1445" s="68"/>
      <c r="E1445" s="68"/>
      <c r="F1445" s="68"/>
      <c r="G1445" s="68"/>
      <c r="H1445" s="68"/>
      <c r="I1445" s="68"/>
      <c r="J1445" s="68"/>
    </row>
    <row r="1446" spans="1:10" s="73" customFormat="1" ht="12.75" customHeight="1">
      <c r="A1446" s="69" t="s">
        <v>1426</v>
      </c>
      <c r="B1446" s="69" t="s">
        <v>1427</v>
      </c>
      <c r="C1446" s="74"/>
      <c r="D1446" s="74"/>
      <c r="E1446" s="74"/>
      <c r="F1446" s="74"/>
      <c r="G1446" s="74"/>
      <c r="H1446" s="74"/>
      <c r="I1446" s="74"/>
      <c r="J1446" s="74"/>
    </row>
    <row r="1447" spans="1:10" ht="12.75" customHeight="1">
      <c r="A1447" s="71"/>
      <c r="B1447" s="71"/>
      <c r="C1447" s="68"/>
      <c r="D1447" s="68"/>
      <c r="E1447" s="68"/>
      <c r="F1447" s="68"/>
      <c r="G1447" s="68"/>
      <c r="H1447" s="68"/>
      <c r="I1447" s="68"/>
      <c r="J1447" s="68"/>
    </row>
    <row r="1448" spans="1:10" ht="12.75" customHeight="1">
      <c r="A1448" s="71"/>
      <c r="B1448" s="71"/>
      <c r="C1448" s="68"/>
      <c r="D1448" s="68"/>
      <c r="E1448" s="68"/>
      <c r="F1448" s="68"/>
      <c r="G1448" s="68"/>
      <c r="H1448" s="68"/>
      <c r="I1448" s="68"/>
      <c r="J1448" s="68"/>
    </row>
    <row r="1449" spans="1:10" ht="12.75" customHeight="1">
      <c r="A1449" s="71"/>
      <c r="B1449" s="69" t="s">
        <v>1276</v>
      </c>
      <c r="C1449" s="68">
        <v>95</v>
      </c>
      <c r="D1449" s="68">
        <v>45</v>
      </c>
      <c r="E1449" s="68">
        <v>0</v>
      </c>
      <c r="F1449" s="68" t="s">
        <v>1285</v>
      </c>
      <c r="G1449" s="68">
        <v>42</v>
      </c>
      <c r="H1449" s="68">
        <v>1</v>
      </c>
      <c r="I1449" s="68">
        <v>0</v>
      </c>
      <c r="J1449" s="68">
        <v>7</v>
      </c>
    </row>
    <row r="1450" spans="1:10" ht="12.75" customHeight="1">
      <c r="A1450" s="71"/>
      <c r="B1450" s="69" t="s">
        <v>1277</v>
      </c>
      <c r="C1450" s="68" t="s">
        <v>1278</v>
      </c>
      <c r="D1450" s="68" t="s">
        <v>1285</v>
      </c>
      <c r="E1450" s="68">
        <v>0</v>
      </c>
      <c r="F1450" s="68" t="s">
        <v>1285</v>
      </c>
      <c r="G1450" s="68">
        <v>8</v>
      </c>
      <c r="H1450" s="68" t="s">
        <v>1285</v>
      </c>
      <c r="I1450" s="68">
        <v>0</v>
      </c>
      <c r="J1450" s="68" t="s">
        <v>1278</v>
      </c>
    </row>
    <row r="1451" spans="1:10" ht="12.75" customHeight="1">
      <c r="A1451" s="71"/>
      <c r="B1451" s="71" t="s">
        <v>1279</v>
      </c>
      <c r="C1451" s="68" t="s">
        <v>1278</v>
      </c>
      <c r="D1451" s="68" t="s">
        <v>1285</v>
      </c>
      <c r="E1451" s="68">
        <v>0</v>
      </c>
      <c r="F1451" s="68">
        <v>0</v>
      </c>
      <c r="G1451" s="68">
        <v>3</v>
      </c>
      <c r="H1451" s="68" t="s">
        <v>1285</v>
      </c>
      <c r="I1451" s="68">
        <v>0</v>
      </c>
      <c r="J1451" s="68" t="s">
        <v>1278</v>
      </c>
    </row>
    <row r="1452" spans="1:10" ht="12.75" customHeight="1">
      <c r="A1452" s="71"/>
      <c r="B1452" s="71" t="s">
        <v>1280</v>
      </c>
      <c r="C1452" s="68" t="s">
        <v>1278</v>
      </c>
      <c r="D1452" s="68">
        <v>0</v>
      </c>
      <c r="E1452" s="68">
        <v>0</v>
      </c>
      <c r="F1452" s="68" t="s">
        <v>1285</v>
      </c>
      <c r="G1452" s="68">
        <v>6</v>
      </c>
      <c r="H1452" s="68" t="s">
        <v>1285</v>
      </c>
      <c r="I1452" s="68">
        <v>0</v>
      </c>
      <c r="J1452" s="68" t="s">
        <v>1278</v>
      </c>
    </row>
    <row r="1453" spans="1:10" ht="12.75" customHeight="1">
      <c r="A1453" s="71"/>
      <c r="B1453" s="69" t="s">
        <v>1281</v>
      </c>
      <c r="C1453" s="68" t="s">
        <v>1278</v>
      </c>
      <c r="D1453" s="68">
        <v>41</v>
      </c>
      <c r="E1453" s="68">
        <v>0</v>
      </c>
      <c r="F1453" s="68" t="s">
        <v>1285</v>
      </c>
      <c r="G1453" s="68">
        <v>29</v>
      </c>
      <c r="H1453" s="68" t="s">
        <v>1285</v>
      </c>
      <c r="I1453" s="68">
        <v>0</v>
      </c>
      <c r="J1453" s="68" t="s">
        <v>1278</v>
      </c>
    </row>
    <row r="1454" spans="1:10" ht="12.75" customHeight="1">
      <c r="A1454" s="71"/>
      <c r="B1454" s="71" t="s">
        <v>1283</v>
      </c>
      <c r="C1454" s="68" t="s">
        <v>1278</v>
      </c>
      <c r="D1454" s="68">
        <v>13</v>
      </c>
      <c r="E1454" s="68">
        <v>0</v>
      </c>
      <c r="F1454" s="68" t="s">
        <v>1285</v>
      </c>
      <c r="G1454" s="68">
        <v>28</v>
      </c>
      <c r="H1454" s="68" t="s">
        <v>1285</v>
      </c>
      <c r="I1454" s="68">
        <v>0</v>
      </c>
      <c r="J1454" s="68" t="s">
        <v>1278</v>
      </c>
    </row>
    <row r="1455" spans="1:10" ht="12.75" customHeight="1">
      <c r="A1455" s="71"/>
      <c r="B1455" s="71" t="s">
        <v>1284</v>
      </c>
      <c r="C1455" s="68" t="s">
        <v>1278</v>
      </c>
      <c r="D1455" s="68">
        <v>2</v>
      </c>
      <c r="E1455" s="68">
        <v>0</v>
      </c>
      <c r="F1455" s="68">
        <v>0</v>
      </c>
      <c r="G1455" s="68" t="s">
        <v>1285</v>
      </c>
      <c r="H1455" s="68" t="s">
        <v>1285</v>
      </c>
      <c r="I1455" s="68">
        <v>0</v>
      </c>
      <c r="J1455" s="68" t="s">
        <v>1278</v>
      </c>
    </row>
    <row r="1456" spans="1:10" ht="12.75" customHeight="1">
      <c r="A1456" s="71"/>
      <c r="B1456" s="71" t="s">
        <v>1286</v>
      </c>
      <c r="C1456" s="68" t="s">
        <v>1278</v>
      </c>
      <c r="D1456" s="68">
        <v>10</v>
      </c>
      <c r="E1456" s="68">
        <v>0</v>
      </c>
      <c r="F1456" s="68" t="s">
        <v>1285</v>
      </c>
      <c r="G1456" s="68" t="s">
        <v>1285</v>
      </c>
      <c r="H1456" s="68" t="s">
        <v>1285</v>
      </c>
      <c r="I1456" s="68">
        <v>0</v>
      </c>
      <c r="J1456" s="68" t="s">
        <v>1278</v>
      </c>
    </row>
    <row r="1457" spans="1:10" ht="12.75" customHeight="1">
      <c r="A1457" s="71"/>
      <c r="B1457" s="71" t="s">
        <v>1287</v>
      </c>
      <c r="C1457" s="68" t="s">
        <v>1278</v>
      </c>
      <c r="D1457" s="68">
        <v>12</v>
      </c>
      <c r="E1457" s="68" t="s">
        <v>1278</v>
      </c>
      <c r="F1457" s="68" t="s">
        <v>1278</v>
      </c>
      <c r="G1457" s="68" t="s">
        <v>1278</v>
      </c>
      <c r="H1457" s="68" t="s">
        <v>1278</v>
      </c>
      <c r="I1457" s="68" t="s">
        <v>1278</v>
      </c>
      <c r="J1457" s="68" t="s">
        <v>1278</v>
      </c>
    </row>
    <row r="1458" spans="1:10" ht="12.75" customHeight="1">
      <c r="A1458" s="71"/>
      <c r="B1458" s="71" t="s">
        <v>1288</v>
      </c>
      <c r="C1458" s="68" t="s">
        <v>1278</v>
      </c>
      <c r="D1458" s="68">
        <v>4</v>
      </c>
      <c r="E1458" s="68">
        <v>0</v>
      </c>
      <c r="F1458" s="68">
        <v>0</v>
      </c>
      <c r="G1458" s="68" t="s">
        <v>1285</v>
      </c>
      <c r="H1458" s="68" t="s">
        <v>1285</v>
      </c>
      <c r="I1458" s="68">
        <v>0</v>
      </c>
      <c r="J1458" s="68" t="s">
        <v>1278</v>
      </c>
    </row>
    <row r="1459" spans="1:10" ht="12.75" customHeight="1">
      <c r="A1459" s="71"/>
      <c r="B1459" s="69" t="s">
        <v>1289</v>
      </c>
      <c r="C1459" s="68" t="s">
        <v>1278</v>
      </c>
      <c r="D1459" s="68">
        <v>4</v>
      </c>
      <c r="E1459" s="68">
        <v>0</v>
      </c>
      <c r="F1459" s="68" t="s">
        <v>1285</v>
      </c>
      <c r="G1459" s="68">
        <v>4</v>
      </c>
      <c r="H1459" s="68" t="s">
        <v>1285</v>
      </c>
      <c r="I1459" s="68">
        <v>0</v>
      </c>
      <c r="J1459" s="68" t="s">
        <v>1278</v>
      </c>
    </row>
    <row r="1460" spans="1:10" ht="12.75" customHeight="1">
      <c r="A1460" s="71"/>
      <c r="B1460" s="71" t="s">
        <v>1290</v>
      </c>
      <c r="C1460" s="68" t="s">
        <v>1278</v>
      </c>
      <c r="D1460" s="68">
        <v>2</v>
      </c>
      <c r="E1460" s="68">
        <v>0</v>
      </c>
      <c r="F1460" s="68" t="s">
        <v>1285</v>
      </c>
      <c r="G1460" s="68">
        <v>4</v>
      </c>
      <c r="H1460" s="68" t="s">
        <v>1285</v>
      </c>
      <c r="I1460" s="68">
        <v>0</v>
      </c>
      <c r="J1460" s="68" t="s">
        <v>1278</v>
      </c>
    </row>
    <row r="1461" spans="1:10" ht="12.75" customHeight="1">
      <c r="A1461" s="71"/>
      <c r="B1461" s="71" t="s">
        <v>1291</v>
      </c>
      <c r="C1461" s="68" t="s">
        <v>1278</v>
      </c>
      <c r="D1461" s="68">
        <v>2</v>
      </c>
      <c r="E1461" s="68" t="s">
        <v>1278</v>
      </c>
      <c r="F1461" s="68" t="s">
        <v>1278</v>
      </c>
      <c r="G1461" s="68" t="s">
        <v>1278</v>
      </c>
      <c r="H1461" s="68" t="s">
        <v>1278</v>
      </c>
      <c r="I1461" s="68" t="s">
        <v>1278</v>
      </c>
      <c r="J1461" s="68" t="s">
        <v>1278</v>
      </c>
    </row>
    <row r="1462" spans="1:10" ht="12.75" customHeight="1">
      <c r="A1462" s="71"/>
      <c r="B1462" s="71" t="s">
        <v>1292</v>
      </c>
      <c r="C1462" s="68" t="s">
        <v>1278</v>
      </c>
      <c r="D1462" s="68" t="s">
        <v>1285</v>
      </c>
      <c r="E1462" s="68">
        <v>0</v>
      </c>
      <c r="F1462" s="68" t="s">
        <v>1285</v>
      </c>
      <c r="G1462" s="68" t="s">
        <v>1285</v>
      </c>
      <c r="H1462" s="68" t="s">
        <v>1285</v>
      </c>
      <c r="I1462" s="68">
        <v>0</v>
      </c>
      <c r="J1462" s="68" t="s">
        <v>1278</v>
      </c>
    </row>
    <row r="1463" spans="1:10" ht="12.75" customHeight="1">
      <c r="A1463" s="71"/>
      <c r="B1463" s="71" t="s">
        <v>1293</v>
      </c>
      <c r="C1463" s="68" t="s">
        <v>1278</v>
      </c>
      <c r="D1463" s="68" t="s">
        <v>1285</v>
      </c>
      <c r="E1463" s="68" t="s">
        <v>1278</v>
      </c>
      <c r="F1463" s="68" t="s">
        <v>1285</v>
      </c>
      <c r="G1463" s="68" t="s">
        <v>1285</v>
      </c>
      <c r="H1463" s="68" t="s">
        <v>1285</v>
      </c>
      <c r="I1463" s="68" t="s">
        <v>1278</v>
      </c>
      <c r="J1463" s="68" t="s">
        <v>1278</v>
      </c>
    </row>
    <row r="1464" spans="1:10" ht="12.75" customHeight="1">
      <c r="A1464" s="71"/>
      <c r="B1464" s="71" t="s">
        <v>1294</v>
      </c>
      <c r="C1464" s="68" t="s">
        <v>1278</v>
      </c>
      <c r="D1464" s="68" t="s">
        <v>1278</v>
      </c>
      <c r="E1464" s="68">
        <v>0</v>
      </c>
      <c r="F1464" s="68" t="s">
        <v>1285</v>
      </c>
      <c r="G1464" s="68" t="s">
        <v>1285</v>
      </c>
      <c r="H1464" s="68" t="s">
        <v>1285</v>
      </c>
      <c r="I1464" s="68">
        <v>0</v>
      </c>
      <c r="J1464" s="68" t="s">
        <v>1278</v>
      </c>
    </row>
    <row r="1465" spans="1:10" ht="12.75" customHeight="1">
      <c r="A1465" s="71"/>
      <c r="B1465" s="71" t="s">
        <v>1295</v>
      </c>
      <c r="C1465" s="68" t="s">
        <v>1278</v>
      </c>
      <c r="D1465" s="68" t="s">
        <v>1285</v>
      </c>
      <c r="E1465" s="68">
        <v>0</v>
      </c>
      <c r="F1465" s="68" t="s">
        <v>1285</v>
      </c>
      <c r="G1465" s="68" t="s">
        <v>1285</v>
      </c>
      <c r="H1465" s="68" t="s">
        <v>1285</v>
      </c>
      <c r="I1465" s="68">
        <v>0</v>
      </c>
      <c r="J1465" s="68" t="s">
        <v>1278</v>
      </c>
    </row>
    <row r="1466" spans="1:10" ht="12.75" customHeight="1">
      <c r="A1466" s="71"/>
      <c r="B1466" s="69" t="s">
        <v>1296</v>
      </c>
      <c r="C1466" s="68">
        <v>7</v>
      </c>
      <c r="D1466" s="68" t="s">
        <v>1285</v>
      </c>
      <c r="E1466" s="68">
        <v>0</v>
      </c>
      <c r="F1466" s="68">
        <v>0</v>
      </c>
      <c r="G1466" s="68" t="s">
        <v>1285</v>
      </c>
      <c r="H1466" s="68" t="s">
        <v>1285</v>
      </c>
      <c r="I1466" s="68">
        <v>0</v>
      </c>
      <c r="J1466" s="68">
        <v>7</v>
      </c>
    </row>
    <row r="1467" spans="1:10" ht="12.75" customHeight="1">
      <c r="A1467" s="71"/>
      <c r="B1467" s="69"/>
      <c r="C1467" s="68"/>
      <c r="D1467" s="68"/>
      <c r="E1467" s="68"/>
      <c r="F1467" s="68"/>
      <c r="G1467" s="68"/>
      <c r="H1467" s="68"/>
      <c r="I1467" s="68"/>
      <c r="J1467" s="68"/>
    </row>
    <row r="1468" spans="1:10" s="73" customFormat="1" ht="12.75" customHeight="1">
      <c r="A1468" s="69" t="s">
        <v>1428</v>
      </c>
      <c r="B1468" s="69" t="s">
        <v>1429</v>
      </c>
      <c r="C1468" s="74"/>
      <c r="D1468" s="74"/>
      <c r="E1468" s="74"/>
      <c r="F1468" s="74"/>
      <c r="G1468" s="74"/>
      <c r="H1468" s="74"/>
      <c r="I1468" s="74"/>
      <c r="J1468" s="74"/>
    </row>
    <row r="1469" spans="1:10" ht="12.75" customHeight="1">
      <c r="A1469" s="71"/>
      <c r="B1469" s="71"/>
      <c r="C1469" s="68"/>
      <c r="D1469" s="68"/>
      <c r="E1469" s="68"/>
      <c r="F1469" s="68"/>
      <c r="G1469" s="68"/>
      <c r="H1469" s="68"/>
      <c r="I1469" s="68"/>
      <c r="J1469" s="68"/>
    </row>
    <row r="1470" spans="1:10" ht="12.75" customHeight="1">
      <c r="A1470" s="71"/>
      <c r="B1470" s="71"/>
      <c r="C1470" s="68"/>
      <c r="D1470" s="68"/>
      <c r="E1470" s="68"/>
      <c r="F1470" s="68"/>
      <c r="G1470" s="68"/>
      <c r="H1470" s="68"/>
      <c r="I1470" s="68"/>
      <c r="J1470" s="68"/>
    </row>
    <row r="1471" spans="1:10" ht="12.75" customHeight="1">
      <c r="A1471" s="71"/>
      <c r="B1471" s="69" t="s">
        <v>1276</v>
      </c>
      <c r="C1471" s="68">
        <v>44</v>
      </c>
      <c r="D1471" s="68">
        <v>27</v>
      </c>
      <c r="E1471" s="68">
        <v>0</v>
      </c>
      <c r="F1471" s="68" t="s">
        <v>1285</v>
      </c>
      <c r="G1471" s="68">
        <v>16</v>
      </c>
      <c r="H1471" s="68" t="s">
        <v>1285</v>
      </c>
      <c r="I1471" s="68">
        <v>0</v>
      </c>
      <c r="J1471" s="68">
        <v>1</v>
      </c>
    </row>
    <row r="1472" spans="1:10" ht="12.75" customHeight="1">
      <c r="A1472" s="71"/>
      <c r="B1472" s="69" t="s">
        <v>1277</v>
      </c>
      <c r="C1472" s="68" t="s">
        <v>1278</v>
      </c>
      <c r="D1472" s="68" t="s">
        <v>1285</v>
      </c>
      <c r="E1472" s="68">
        <v>0</v>
      </c>
      <c r="F1472" s="68" t="s">
        <v>1285</v>
      </c>
      <c r="G1472" s="68">
        <v>6</v>
      </c>
      <c r="H1472" s="68" t="s">
        <v>1285</v>
      </c>
      <c r="I1472" s="68">
        <v>0</v>
      </c>
      <c r="J1472" s="68" t="s">
        <v>1278</v>
      </c>
    </row>
    <row r="1473" spans="1:10" ht="12.75" customHeight="1">
      <c r="A1473" s="71"/>
      <c r="B1473" s="71" t="s">
        <v>1279</v>
      </c>
      <c r="C1473" s="68" t="s">
        <v>1278</v>
      </c>
      <c r="D1473" s="68" t="s">
        <v>1285</v>
      </c>
      <c r="E1473" s="68">
        <v>0</v>
      </c>
      <c r="F1473" s="68">
        <v>0</v>
      </c>
      <c r="G1473" s="68">
        <v>2</v>
      </c>
      <c r="H1473" s="68">
        <v>0</v>
      </c>
      <c r="I1473" s="68">
        <v>0</v>
      </c>
      <c r="J1473" s="68" t="s">
        <v>1278</v>
      </c>
    </row>
    <row r="1474" spans="1:10" ht="12.75" customHeight="1">
      <c r="A1474" s="71"/>
      <c r="B1474" s="71" t="s">
        <v>1280</v>
      </c>
      <c r="C1474" s="68" t="s">
        <v>1278</v>
      </c>
      <c r="D1474" s="68">
        <v>0</v>
      </c>
      <c r="E1474" s="68">
        <v>0</v>
      </c>
      <c r="F1474" s="68" t="s">
        <v>1285</v>
      </c>
      <c r="G1474" s="68">
        <v>4</v>
      </c>
      <c r="H1474" s="68" t="s">
        <v>1285</v>
      </c>
      <c r="I1474" s="68">
        <v>0</v>
      </c>
      <c r="J1474" s="68" t="s">
        <v>1278</v>
      </c>
    </row>
    <row r="1475" spans="1:10" ht="12.75" customHeight="1">
      <c r="A1475" s="71"/>
      <c r="B1475" s="69" t="s">
        <v>1281</v>
      </c>
      <c r="C1475" s="68" t="s">
        <v>1278</v>
      </c>
      <c r="D1475" s="68">
        <v>26</v>
      </c>
      <c r="E1475" s="68">
        <v>0</v>
      </c>
      <c r="F1475" s="68" t="s">
        <v>1285</v>
      </c>
      <c r="G1475" s="68">
        <v>9</v>
      </c>
      <c r="H1475" s="68" t="s">
        <v>1285</v>
      </c>
      <c r="I1475" s="68">
        <v>0</v>
      </c>
      <c r="J1475" s="68" t="s">
        <v>1278</v>
      </c>
    </row>
    <row r="1476" spans="1:10" ht="12.75" customHeight="1">
      <c r="A1476" s="71"/>
      <c r="B1476" s="71" t="s">
        <v>1283</v>
      </c>
      <c r="C1476" s="68" t="s">
        <v>1278</v>
      </c>
      <c r="D1476" s="68">
        <v>8</v>
      </c>
      <c r="E1476" s="68">
        <v>0</v>
      </c>
      <c r="F1476" s="68" t="s">
        <v>1285</v>
      </c>
      <c r="G1476" s="68">
        <v>9</v>
      </c>
      <c r="H1476" s="68" t="s">
        <v>1285</v>
      </c>
      <c r="I1476" s="68">
        <v>0</v>
      </c>
      <c r="J1476" s="68" t="s">
        <v>1278</v>
      </c>
    </row>
    <row r="1477" spans="1:10" ht="12.75" customHeight="1">
      <c r="A1477" s="71"/>
      <c r="B1477" s="71" t="s">
        <v>1284</v>
      </c>
      <c r="C1477" s="68" t="s">
        <v>1278</v>
      </c>
      <c r="D1477" s="68">
        <v>1</v>
      </c>
      <c r="E1477" s="68">
        <v>0</v>
      </c>
      <c r="F1477" s="68">
        <v>0</v>
      </c>
      <c r="G1477" s="68" t="s">
        <v>1285</v>
      </c>
      <c r="H1477" s="68">
        <v>0</v>
      </c>
      <c r="I1477" s="68">
        <v>0</v>
      </c>
      <c r="J1477" s="68" t="s">
        <v>1278</v>
      </c>
    </row>
    <row r="1478" spans="1:10" ht="12.75" customHeight="1">
      <c r="A1478" s="71"/>
      <c r="B1478" s="71" t="s">
        <v>1286</v>
      </c>
      <c r="C1478" s="68" t="s">
        <v>1278</v>
      </c>
      <c r="D1478" s="68">
        <v>3</v>
      </c>
      <c r="E1478" s="68">
        <v>0</v>
      </c>
      <c r="F1478" s="68" t="s">
        <v>1285</v>
      </c>
      <c r="G1478" s="68" t="s">
        <v>1285</v>
      </c>
      <c r="H1478" s="68" t="s">
        <v>1285</v>
      </c>
      <c r="I1478" s="68">
        <v>0</v>
      </c>
      <c r="J1478" s="68" t="s">
        <v>1278</v>
      </c>
    </row>
    <row r="1479" spans="1:10" ht="12.75" customHeight="1">
      <c r="A1479" s="71"/>
      <c r="B1479" s="71" t="s">
        <v>1287</v>
      </c>
      <c r="C1479" s="68" t="s">
        <v>1278</v>
      </c>
      <c r="D1479" s="68">
        <v>11</v>
      </c>
      <c r="E1479" s="68" t="s">
        <v>1278</v>
      </c>
      <c r="F1479" s="68" t="s">
        <v>1278</v>
      </c>
      <c r="G1479" s="68" t="s">
        <v>1278</v>
      </c>
      <c r="H1479" s="68" t="s">
        <v>1278</v>
      </c>
      <c r="I1479" s="68" t="s">
        <v>1278</v>
      </c>
      <c r="J1479" s="68" t="s">
        <v>1278</v>
      </c>
    </row>
    <row r="1480" spans="1:10" ht="12.75" customHeight="1">
      <c r="A1480" s="71"/>
      <c r="B1480" s="71" t="s">
        <v>1288</v>
      </c>
      <c r="C1480" s="68" t="s">
        <v>1278</v>
      </c>
      <c r="D1480" s="68">
        <v>2</v>
      </c>
      <c r="E1480" s="68">
        <v>0</v>
      </c>
      <c r="F1480" s="68">
        <v>0</v>
      </c>
      <c r="G1480" s="68" t="s">
        <v>1285</v>
      </c>
      <c r="H1480" s="68" t="s">
        <v>1285</v>
      </c>
      <c r="I1480" s="68">
        <v>0</v>
      </c>
      <c r="J1480" s="68" t="s">
        <v>1278</v>
      </c>
    </row>
    <row r="1481" spans="1:10" ht="12.75" customHeight="1">
      <c r="A1481" s="71"/>
      <c r="B1481" s="69" t="s">
        <v>1289</v>
      </c>
      <c r="C1481" s="68" t="s">
        <v>1278</v>
      </c>
      <c r="D1481" s="68">
        <v>1</v>
      </c>
      <c r="E1481" s="68">
        <v>0</v>
      </c>
      <c r="F1481" s="68" t="s">
        <v>1285</v>
      </c>
      <c r="G1481" s="68">
        <v>1</v>
      </c>
      <c r="H1481" s="68" t="s">
        <v>1285</v>
      </c>
      <c r="I1481" s="68">
        <v>0</v>
      </c>
      <c r="J1481" s="68" t="s">
        <v>1278</v>
      </c>
    </row>
    <row r="1482" spans="1:10" ht="12.75" customHeight="1">
      <c r="A1482" s="71"/>
      <c r="B1482" s="71" t="s">
        <v>1290</v>
      </c>
      <c r="C1482" s="68" t="s">
        <v>1278</v>
      </c>
      <c r="D1482" s="68">
        <v>1</v>
      </c>
      <c r="E1482" s="68">
        <v>0</v>
      </c>
      <c r="F1482" s="68" t="s">
        <v>1285</v>
      </c>
      <c r="G1482" s="68">
        <v>1</v>
      </c>
      <c r="H1482" s="68" t="s">
        <v>1285</v>
      </c>
      <c r="I1482" s="68">
        <v>0</v>
      </c>
      <c r="J1482" s="68" t="s">
        <v>1278</v>
      </c>
    </row>
    <row r="1483" spans="1:10" ht="12.75" customHeight="1">
      <c r="A1483" s="71"/>
      <c r="B1483" s="71" t="s">
        <v>1291</v>
      </c>
      <c r="C1483" s="68" t="s">
        <v>1278</v>
      </c>
      <c r="D1483" s="68">
        <v>1</v>
      </c>
      <c r="E1483" s="68" t="s">
        <v>1278</v>
      </c>
      <c r="F1483" s="68" t="s">
        <v>1278</v>
      </c>
      <c r="G1483" s="68" t="s">
        <v>1278</v>
      </c>
      <c r="H1483" s="68" t="s">
        <v>1278</v>
      </c>
      <c r="I1483" s="68" t="s">
        <v>1278</v>
      </c>
      <c r="J1483" s="68" t="s">
        <v>1278</v>
      </c>
    </row>
    <row r="1484" spans="1:10" ht="12.75" customHeight="1">
      <c r="A1484" s="71"/>
      <c r="B1484" s="71" t="s">
        <v>1292</v>
      </c>
      <c r="C1484" s="68" t="s">
        <v>1278</v>
      </c>
      <c r="D1484" s="68" t="s">
        <v>1285</v>
      </c>
      <c r="E1484" s="68">
        <v>0</v>
      </c>
      <c r="F1484" s="68" t="s">
        <v>1285</v>
      </c>
      <c r="G1484" s="68" t="s">
        <v>1285</v>
      </c>
      <c r="H1484" s="68" t="s">
        <v>1285</v>
      </c>
      <c r="I1484" s="68">
        <v>0</v>
      </c>
      <c r="J1484" s="68" t="s">
        <v>1278</v>
      </c>
    </row>
    <row r="1485" spans="1:10" ht="12.75" customHeight="1">
      <c r="A1485" s="71"/>
      <c r="B1485" s="71" t="s">
        <v>1293</v>
      </c>
      <c r="C1485" s="68" t="s">
        <v>1278</v>
      </c>
      <c r="D1485" s="68" t="s">
        <v>1285</v>
      </c>
      <c r="E1485" s="68" t="s">
        <v>1278</v>
      </c>
      <c r="F1485" s="68" t="s">
        <v>1285</v>
      </c>
      <c r="G1485" s="68" t="s">
        <v>1285</v>
      </c>
      <c r="H1485" s="68" t="s">
        <v>1285</v>
      </c>
      <c r="I1485" s="68" t="s">
        <v>1278</v>
      </c>
      <c r="J1485" s="68" t="s">
        <v>1278</v>
      </c>
    </row>
    <row r="1486" spans="1:10" ht="12.75" customHeight="1">
      <c r="A1486" s="71"/>
      <c r="B1486" s="71" t="s">
        <v>1294</v>
      </c>
      <c r="C1486" s="68" t="s">
        <v>1278</v>
      </c>
      <c r="D1486" s="68" t="s">
        <v>1278</v>
      </c>
      <c r="E1486" s="68">
        <v>0</v>
      </c>
      <c r="F1486" s="68" t="s">
        <v>1285</v>
      </c>
      <c r="G1486" s="68" t="s">
        <v>1285</v>
      </c>
      <c r="H1486" s="68">
        <v>0</v>
      </c>
      <c r="I1486" s="68">
        <v>0</v>
      </c>
      <c r="J1486" s="68" t="s">
        <v>1278</v>
      </c>
    </row>
    <row r="1487" spans="1:10" ht="12.75" customHeight="1">
      <c r="A1487" s="71"/>
      <c r="B1487" s="71" t="s">
        <v>1295</v>
      </c>
      <c r="C1487" s="68" t="s">
        <v>1278</v>
      </c>
      <c r="D1487" s="68">
        <v>0</v>
      </c>
      <c r="E1487" s="68">
        <v>0</v>
      </c>
      <c r="F1487" s="68" t="s">
        <v>1285</v>
      </c>
      <c r="G1487" s="68">
        <v>0</v>
      </c>
      <c r="H1487" s="68" t="s">
        <v>1285</v>
      </c>
      <c r="I1487" s="68">
        <v>0</v>
      </c>
      <c r="J1487" s="68" t="s">
        <v>1278</v>
      </c>
    </row>
    <row r="1488" spans="1:10" ht="12.75" customHeight="1">
      <c r="A1488" s="71"/>
      <c r="B1488" s="69" t="s">
        <v>1296</v>
      </c>
      <c r="C1488" s="68">
        <v>1</v>
      </c>
      <c r="D1488" s="68" t="s">
        <v>1285</v>
      </c>
      <c r="E1488" s="68">
        <v>0</v>
      </c>
      <c r="F1488" s="68">
        <v>0</v>
      </c>
      <c r="G1488" s="68">
        <v>0</v>
      </c>
      <c r="H1488" s="68" t="s">
        <v>1285</v>
      </c>
      <c r="I1488" s="68">
        <v>0</v>
      </c>
      <c r="J1488" s="68">
        <v>1</v>
      </c>
    </row>
    <row r="1489" spans="1:10" ht="12.75" customHeight="1">
      <c r="A1489" s="71"/>
      <c r="B1489" s="69"/>
      <c r="C1489" s="68"/>
      <c r="D1489" s="68"/>
      <c r="E1489" s="68"/>
      <c r="F1489" s="68"/>
      <c r="G1489" s="68"/>
      <c r="H1489" s="68"/>
      <c r="I1489" s="68"/>
      <c r="J1489" s="68"/>
    </row>
    <row r="1490" spans="1:10" s="73" customFormat="1" ht="12.75" customHeight="1">
      <c r="A1490" s="69" t="s">
        <v>1430</v>
      </c>
      <c r="B1490" s="69" t="s">
        <v>1431</v>
      </c>
      <c r="C1490" s="74"/>
      <c r="D1490" s="74"/>
      <c r="E1490" s="74"/>
      <c r="F1490" s="74"/>
      <c r="G1490" s="74"/>
      <c r="H1490" s="74"/>
      <c r="I1490" s="74"/>
      <c r="J1490" s="74"/>
    </row>
    <row r="1491" spans="1:10" s="73" customFormat="1" ht="12.75" customHeight="1">
      <c r="A1491" s="69"/>
      <c r="B1491" s="69"/>
      <c r="C1491" s="74"/>
      <c r="D1491" s="74"/>
      <c r="E1491" s="74"/>
      <c r="F1491" s="74"/>
      <c r="G1491" s="74"/>
      <c r="H1491" s="74"/>
      <c r="I1491" s="74"/>
      <c r="J1491" s="74"/>
    </row>
    <row r="1492" spans="1:10" s="73" customFormat="1" ht="12.75" customHeight="1">
      <c r="A1492" s="69"/>
      <c r="B1492" s="69"/>
      <c r="C1492" s="74"/>
      <c r="D1492" s="74"/>
      <c r="E1492" s="74"/>
      <c r="F1492" s="74"/>
      <c r="G1492" s="74"/>
      <c r="H1492" s="74"/>
      <c r="I1492" s="74"/>
      <c r="J1492" s="74"/>
    </row>
    <row r="1493" spans="1:10" ht="12.75" customHeight="1">
      <c r="A1493" s="71"/>
      <c r="B1493" s="69" t="s">
        <v>1276</v>
      </c>
      <c r="C1493" s="68">
        <v>92</v>
      </c>
      <c r="D1493" s="68">
        <v>37</v>
      </c>
      <c r="E1493" s="68" t="s">
        <v>1285</v>
      </c>
      <c r="F1493" s="68" t="s">
        <v>1285</v>
      </c>
      <c r="G1493" s="68">
        <v>44</v>
      </c>
      <c r="H1493" s="68">
        <v>1</v>
      </c>
      <c r="I1493" s="68" t="s">
        <v>1285</v>
      </c>
      <c r="J1493" s="68">
        <v>10</v>
      </c>
    </row>
    <row r="1494" spans="1:10" ht="12.75" customHeight="1">
      <c r="A1494" s="71"/>
      <c r="B1494" s="69" t="s">
        <v>1277</v>
      </c>
      <c r="C1494" s="68" t="s">
        <v>1278</v>
      </c>
      <c r="D1494" s="68" t="s">
        <v>1285</v>
      </c>
      <c r="E1494" s="68">
        <v>0</v>
      </c>
      <c r="F1494" s="68" t="s">
        <v>1285</v>
      </c>
      <c r="G1494" s="68">
        <v>1</v>
      </c>
      <c r="H1494" s="68" t="s">
        <v>1285</v>
      </c>
      <c r="I1494" s="68">
        <v>0</v>
      </c>
      <c r="J1494" s="68" t="s">
        <v>1278</v>
      </c>
    </row>
    <row r="1495" spans="1:10" ht="12.75" customHeight="1">
      <c r="A1495" s="71"/>
      <c r="B1495" s="71" t="s">
        <v>1279</v>
      </c>
      <c r="C1495" s="68" t="s">
        <v>1278</v>
      </c>
      <c r="D1495" s="68" t="s">
        <v>1285</v>
      </c>
      <c r="E1495" s="68">
        <v>0</v>
      </c>
      <c r="F1495" s="68" t="s">
        <v>1285</v>
      </c>
      <c r="G1495" s="68" t="s">
        <v>1285</v>
      </c>
      <c r="H1495" s="68" t="s">
        <v>1285</v>
      </c>
      <c r="I1495" s="68">
        <v>0</v>
      </c>
      <c r="J1495" s="68" t="s">
        <v>1278</v>
      </c>
    </row>
    <row r="1496" spans="1:10" ht="12.75" customHeight="1">
      <c r="A1496" s="71"/>
      <c r="B1496" s="71" t="s">
        <v>1280</v>
      </c>
      <c r="C1496" s="68" t="s">
        <v>1278</v>
      </c>
      <c r="D1496" s="68">
        <v>0</v>
      </c>
      <c r="E1496" s="68">
        <v>0</v>
      </c>
      <c r="F1496" s="68" t="s">
        <v>1285</v>
      </c>
      <c r="G1496" s="68">
        <v>1</v>
      </c>
      <c r="H1496" s="68" t="s">
        <v>1285</v>
      </c>
      <c r="I1496" s="68">
        <v>0</v>
      </c>
      <c r="J1496" s="68" t="s">
        <v>1278</v>
      </c>
    </row>
    <row r="1497" spans="1:10" ht="12.75" customHeight="1">
      <c r="A1497" s="71"/>
      <c r="B1497" s="69" t="s">
        <v>1281</v>
      </c>
      <c r="C1497" s="68" t="s">
        <v>1278</v>
      </c>
      <c r="D1497" s="68">
        <v>31</v>
      </c>
      <c r="E1497" s="68" t="s">
        <v>1285</v>
      </c>
      <c r="F1497" s="68" t="s">
        <v>1285</v>
      </c>
      <c r="G1497" s="68">
        <v>33</v>
      </c>
      <c r="H1497" s="68" t="s">
        <v>1285</v>
      </c>
      <c r="I1497" s="68" t="s">
        <v>1285</v>
      </c>
      <c r="J1497" s="68" t="s">
        <v>1278</v>
      </c>
    </row>
    <row r="1498" spans="1:10" ht="12.75" customHeight="1">
      <c r="A1498" s="71"/>
      <c r="B1498" s="71" t="s">
        <v>1283</v>
      </c>
      <c r="C1498" s="68" t="s">
        <v>1278</v>
      </c>
      <c r="D1498" s="68">
        <v>16</v>
      </c>
      <c r="E1498" s="68">
        <v>0</v>
      </c>
      <c r="F1498" s="68" t="s">
        <v>1285</v>
      </c>
      <c r="G1498" s="68">
        <v>29</v>
      </c>
      <c r="H1498" s="68" t="s">
        <v>1285</v>
      </c>
      <c r="I1498" s="68" t="s">
        <v>1285</v>
      </c>
      <c r="J1498" s="68" t="s">
        <v>1278</v>
      </c>
    </row>
    <row r="1499" spans="1:10" ht="12.75" customHeight="1">
      <c r="A1499" s="71"/>
      <c r="B1499" s="71" t="s">
        <v>1284</v>
      </c>
      <c r="C1499" s="68" t="s">
        <v>1278</v>
      </c>
      <c r="D1499" s="68">
        <v>1</v>
      </c>
      <c r="E1499" s="68">
        <v>0</v>
      </c>
      <c r="F1499" s="68" t="s">
        <v>1285</v>
      </c>
      <c r="G1499" s="68" t="s">
        <v>1285</v>
      </c>
      <c r="H1499" s="68" t="s">
        <v>1285</v>
      </c>
      <c r="I1499" s="68">
        <v>0</v>
      </c>
      <c r="J1499" s="68" t="s">
        <v>1278</v>
      </c>
    </row>
    <row r="1500" spans="1:10" ht="12.75" customHeight="1">
      <c r="A1500" s="71"/>
      <c r="B1500" s="71" t="s">
        <v>1286</v>
      </c>
      <c r="C1500" s="68" t="s">
        <v>1278</v>
      </c>
      <c r="D1500" s="68">
        <v>12</v>
      </c>
      <c r="E1500" s="68" t="s">
        <v>1285</v>
      </c>
      <c r="F1500" s="68" t="s">
        <v>1285</v>
      </c>
      <c r="G1500" s="68">
        <v>2</v>
      </c>
      <c r="H1500" s="68" t="s">
        <v>1285</v>
      </c>
      <c r="I1500" s="68">
        <v>0</v>
      </c>
      <c r="J1500" s="68" t="s">
        <v>1278</v>
      </c>
    </row>
    <row r="1501" spans="1:10" ht="12.75" customHeight="1">
      <c r="A1501" s="71"/>
      <c r="B1501" s="71" t="s">
        <v>1287</v>
      </c>
      <c r="C1501" s="68" t="s">
        <v>1278</v>
      </c>
      <c r="D1501" s="68" t="s">
        <v>1285</v>
      </c>
      <c r="E1501" s="68" t="s">
        <v>1278</v>
      </c>
      <c r="F1501" s="68" t="s">
        <v>1278</v>
      </c>
      <c r="G1501" s="68" t="s">
        <v>1278</v>
      </c>
      <c r="H1501" s="68" t="s">
        <v>1278</v>
      </c>
      <c r="I1501" s="68" t="s">
        <v>1278</v>
      </c>
      <c r="J1501" s="68" t="s">
        <v>1278</v>
      </c>
    </row>
    <row r="1502" spans="1:10" ht="12.75" customHeight="1">
      <c r="A1502" s="71"/>
      <c r="B1502" s="71" t="s">
        <v>1288</v>
      </c>
      <c r="C1502" s="68" t="s">
        <v>1278</v>
      </c>
      <c r="D1502" s="68">
        <v>2</v>
      </c>
      <c r="E1502" s="68">
        <v>0</v>
      </c>
      <c r="F1502" s="68" t="s">
        <v>1285</v>
      </c>
      <c r="G1502" s="68">
        <v>2</v>
      </c>
      <c r="H1502" s="68" t="s">
        <v>1285</v>
      </c>
      <c r="I1502" s="68" t="s">
        <v>1285</v>
      </c>
      <c r="J1502" s="68" t="s">
        <v>1278</v>
      </c>
    </row>
    <row r="1503" spans="1:10" ht="12.75" customHeight="1">
      <c r="A1503" s="71"/>
      <c r="B1503" s="69" t="s">
        <v>1289</v>
      </c>
      <c r="C1503" s="68" t="s">
        <v>1278</v>
      </c>
      <c r="D1503" s="68">
        <v>5</v>
      </c>
      <c r="E1503" s="68">
        <v>0</v>
      </c>
      <c r="F1503" s="68" t="s">
        <v>1285</v>
      </c>
      <c r="G1503" s="68">
        <v>10</v>
      </c>
      <c r="H1503" s="68" t="s">
        <v>1285</v>
      </c>
      <c r="I1503" s="68">
        <v>0</v>
      </c>
      <c r="J1503" s="68" t="s">
        <v>1278</v>
      </c>
    </row>
    <row r="1504" spans="1:10" ht="12.75" customHeight="1">
      <c r="A1504" s="71"/>
      <c r="B1504" s="71" t="s">
        <v>1290</v>
      </c>
      <c r="C1504" s="68" t="s">
        <v>1278</v>
      </c>
      <c r="D1504" s="68">
        <v>3</v>
      </c>
      <c r="E1504" s="68">
        <v>0</v>
      </c>
      <c r="F1504" s="68" t="s">
        <v>1285</v>
      </c>
      <c r="G1504" s="68">
        <v>9</v>
      </c>
      <c r="H1504" s="68" t="s">
        <v>1285</v>
      </c>
      <c r="I1504" s="68">
        <v>0</v>
      </c>
      <c r="J1504" s="68" t="s">
        <v>1278</v>
      </c>
    </row>
    <row r="1505" spans="1:10" ht="12.75" customHeight="1">
      <c r="A1505" s="71"/>
      <c r="B1505" s="71" t="s">
        <v>1291</v>
      </c>
      <c r="C1505" s="68" t="s">
        <v>1278</v>
      </c>
      <c r="D1505" s="68">
        <v>2</v>
      </c>
      <c r="E1505" s="68" t="s">
        <v>1278</v>
      </c>
      <c r="F1505" s="68" t="s">
        <v>1278</v>
      </c>
      <c r="G1505" s="68" t="s">
        <v>1278</v>
      </c>
      <c r="H1505" s="68" t="s">
        <v>1278</v>
      </c>
      <c r="I1505" s="68" t="s">
        <v>1278</v>
      </c>
      <c r="J1505" s="68" t="s">
        <v>1278</v>
      </c>
    </row>
    <row r="1506" spans="1:10" ht="12.75" customHeight="1">
      <c r="A1506" s="71"/>
      <c r="B1506" s="71" t="s">
        <v>1292</v>
      </c>
      <c r="C1506" s="68" t="s">
        <v>1278</v>
      </c>
      <c r="D1506" s="68">
        <v>1</v>
      </c>
      <c r="E1506" s="68">
        <v>0</v>
      </c>
      <c r="F1506" s="68" t="s">
        <v>1285</v>
      </c>
      <c r="G1506" s="68" t="s">
        <v>1285</v>
      </c>
      <c r="H1506" s="68" t="s">
        <v>1285</v>
      </c>
      <c r="I1506" s="68">
        <v>0</v>
      </c>
      <c r="J1506" s="68" t="s">
        <v>1278</v>
      </c>
    </row>
    <row r="1507" spans="1:10" ht="12.75" customHeight="1">
      <c r="A1507" s="71"/>
      <c r="B1507" s="71" t="s">
        <v>1293</v>
      </c>
      <c r="C1507" s="68" t="s">
        <v>1278</v>
      </c>
      <c r="D1507" s="68" t="s">
        <v>1285</v>
      </c>
      <c r="E1507" s="68" t="s">
        <v>1278</v>
      </c>
      <c r="F1507" s="68" t="s">
        <v>1285</v>
      </c>
      <c r="G1507" s="68" t="s">
        <v>1285</v>
      </c>
      <c r="H1507" s="68" t="s">
        <v>1285</v>
      </c>
      <c r="I1507" s="68" t="s">
        <v>1278</v>
      </c>
      <c r="J1507" s="68" t="s">
        <v>1278</v>
      </c>
    </row>
    <row r="1508" spans="1:10" ht="12.75" customHeight="1">
      <c r="A1508" s="71"/>
      <c r="B1508" s="71" t="s">
        <v>1294</v>
      </c>
      <c r="C1508" s="68" t="s">
        <v>1278</v>
      </c>
      <c r="D1508" s="68" t="s">
        <v>1278</v>
      </c>
      <c r="E1508" s="68">
        <v>0</v>
      </c>
      <c r="F1508" s="68" t="s">
        <v>1285</v>
      </c>
      <c r="G1508" s="68" t="s">
        <v>1285</v>
      </c>
      <c r="H1508" s="68">
        <v>0</v>
      </c>
      <c r="I1508" s="68">
        <v>0</v>
      </c>
      <c r="J1508" s="68" t="s">
        <v>1278</v>
      </c>
    </row>
    <row r="1509" spans="1:10" ht="12.75" customHeight="1">
      <c r="A1509" s="71"/>
      <c r="B1509" s="71" t="s">
        <v>1295</v>
      </c>
      <c r="C1509" s="68" t="s">
        <v>1278</v>
      </c>
      <c r="D1509" s="68" t="s">
        <v>1285</v>
      </c>
      <c r="E1509" s="68">
        <v>0</v>
      </c>
      <c r="F1509" s="68" t="s">
        <v>1285</v>
      </c>
      <c r="G1509" s="68" t="s">
        <v>1285</v>
      </c>
      <c r="H1509" s="68" t="s">
        <v>1285</v>
      </c>
      <c r="I1509" s="68">
        <v>0</v>
      </c>
      <c r="J1509" s="68" t="s">
        <v>1278</v>
      </c>
    </row>
    <row r="1510" spans="1:10" ht="12.75" customHeight="1">
      <c r="A1510" s="71"/>
      <c r="B1510" s="69" t="s">
        <v>1296</v>
      </c>
      <c r="C1510" s="68">
        <v>11</v>
      </c>
      <c r="D1510" s="68">
        <v>1</v>
      </c>
      <c r="E1510" s="68">
        <v>0</v>
      </c>
      <c r="F1510" s="68">
        <v>0</v>
      </c>
      <c r="G1510" s="68" t="s">
        <v>1285</v>
      </c>
      <c r="H1510" s="68" t="s">
        <v>1285</v>
      </c>
      <c r="I1510" s="68">
        <v>0</v>
      </c>
      <c r="J1510" s="68">
        <v>10</v>
      </c>
    </row>
    <row r="1511" spans="1:10" ht="12.75" customHeight="1">
      <c r="A1511" s="71"/>
      <c r="B1511" s="69"/>
      <c r="C1511" s="68"/>
      <c r="D1511" s="68"/>
      <c r="E1511" s="68"/>
      <c r="F1511" s="68"/>
      <c r="G1511" s="68"/>
      <c r="H1511" s="68"/>
      <c r="I1511" s="68"/>
      <c r="J1511" s="68"/>
    </row>
    <row r="1512" spans="1:10" s="73" customFormat="1" ht="12.75" customHeight="1">
      <c r="A1512" s="75" t="s">
        <v>1432</v>
      </c>
      <c r="B1512" s="69" t="s">
        <v>1433</v>
      </c>
      <c r="C1512" s="74"/>
      <c r="D1512" s="74"/>
      <c r="E1512" s="74"/>
      <c r="F1512" s="74"/>
      <c r="G1512" s="74"/>
      <c r="H1512" s="74"/>
      <c r="I1512" s="74"/>
      <c r="J1512" s="74"/>
    </row>
    <row r="1513" spans="1:10" s="73" customFormat="1" ht="12.75" customHeight="1">
      <c r="A1513" s="75"/>
      <c r="B1513" s="69"/>
      <c r="C1513" s="74"/>
      <c r="D1513" s="74"/>
      <c r="E1513" s="74"/>
      <c r="F1513" s="74"/>
      <c r="G1513" s="74"/>
      <c r="H1513" s="74"/>
      <c r="I1513" s="74"/>
      <c r="J1513" s="74"/>
    </row>
    <row r="1514" spans="1:10" s="73" customFormat="1" ht="12.75" customHeight="1">
      <c r="A1514" s="75"/>
      <c r="B1514" s="69"/>
      <c r="C1514" s="74"/>
      <c r="D1514" s="74"/>
      <c r="E1514" s="74"/>
      <c r="F1514" s="74"/>
      <c r="G1514" s="74"/>
      <c r="H1514" s="74"/>
      <c r="I1514" s="74"/>
      <c r="J1514" s="74"/>
    </row>
    <row r="1515" spans="1:10" ht="12.75" customHeight="1">
      <c r="A1515" s="71"/>
      <c r="B1515" s="69" t="s">
        <v>1276</v>
      </c>
      <c r="C1515" s="68">
        <v>40</v>
      </c>
      <c r="D1515" s="68">
        <v>18</v>
      </c>
      <c r="E1515" s="68">
        <v>0</v>
      </c>
      <c r="F1515" s="68" t="s">
        <v>1285</v>
      </c>
      <c r="G1515" s="68">
        <v>12</v>
      </c>
      <c r="H1515" s="68" t="s">
        <v>1285</v>
      </c>
      <c r="I1515" s="68" t="s">
        <v>1285</v>
      </c>
      <c r="J1515" s="68">
        <v>10</v>
      </c>
    </row>
    <row r="1516" spans="1:10" ht="12.75" customHeight="1">
      <c r="A1516" s="71"/>
      <c r="B1516" s="69" t="s">
        <v>1277</v>
      </c>
      <c r="C1516" s="68" t="s">
        <v>1278</v>
      </c>
      <c r="D1516" s="68" t="s">
        <v>1285</v>
      </c>
      <c r="E1516" s="68">
        <v>0</v>
      </c>
      <c r="F1516" s="68" t="s">
        <v>1285</v>
      </c>
      <c r="G1516" s="68" t="s">
        <v>1285</v>
      </c>
      <c r="H1516" s="68" t="s">
        <v>1285</v>
      </c>
      <c r="I1516" s="68">
        <v>0</v>
      </c>
      <c r="J1516" s="68" t="s">
        <v>1278</v>
      </c>
    </row>
    <row r="1517" spans="1:10" ht="12.75" customHeight="1">
      <c r="A1517" s="71"/>
      <c r="B1517" s="71" t="s">
        <v>1279</v>
      </c>
      <c r="C1517" s="68" t="s">
        <v>1278</v>
      </c>
      <c r="D1517" s="68" t="s">
        <v>1285</v>
      </c>
      <c r="E1517" s="68">
        <v>0</v>
      </c>
      <c r="F1517" s="68" t="s">
        <v>1285</v>
      </c>
      <c r="G1517" s="68" t="s">
        <v>1285</v>
      </c>
      <c r="H1517" s="68" t="s">
        <v>1285</v>
      </c>
      <c r="I1517" s="68">
        <v>0</v>
      </c>
      <c r="J1517" s="68" t="s">
        <v>1278</v>
      </c>
    </row>
    <row r="1518" spans="1:10" ht="12.75" customHeight="1">
      <c r="A1518" s="71"/>
      <c r="B1518" s="71" t="s">
        <v>1280</v>
      </c>
      <c r="C1518" s="68" t="s">
        <v>1278</v>
      </c>
      <c r="D1518" s="68">
        <v>0</v>
      </c>
      <c r="E1518" s="68">
        <v>0</v>
      </c>
      <c r="F1518" s="68" t="s">
        <v>1285</v>
      </c>
      <c r="G1518" s="68" t="s">
        <v>1285</v>
      </c>
      <c r="H1518" s="68">
        <v>0</v>
      </c>
      <c r="I1518" s="68">
        <v>0</v>
      </c>
      <c r="J1518" s="68" t="s">
        <v>1278</v>
      </c>
    </row>
    <row r="1519" spans="1:10" ht="12.75" customHeight="1">
      <c r="A1519" s="71"/>
      <c r="B1519" s="69" t="s">
        <v>1281</v>
      </c>
      <c r="C1519" s="68" t="s">
        <v>1278</v>
      </c>
      <c r="D1519" s="68">
        <v>15</v>
      </c>
      <c r="E1519" s="68">
        <v>0</v>
      </c>
      <c r="F1519" s="68" t="s">
        <v>1285</v>
      </c>
      <c r="G1519" s="68">
        <v>7</v>
      </c>
      <c r="H1519" s="68" t="s">
        <v>1285</v>
      </c>
      <c r="I1519" s="68" t="s">
        <v>1285</v>
      </c>
      <c r="J1519" s="68" t="s">
        <v>1278</v>
      </c>
    </row>
    <row r="1520" spans="1:10" ht="12.75" customHeight="1">
      <c r="A1520" s="71"/>
      <c r="B1520" s="71" t="s">
        <v>1283</v>
      </c>
      <c r="C1520" s="68" t="s">
        <v>1278</v>
      </c>
      <c r="D1520" s="68">
        <v>8</v>
      </c>
      <c r="E1520" s="68">
        <v>0</v>
      </c>
      <c r="F1520" s="68" t="s">
        <v>1285</v>
      </c>
      <c r="G1520" s="68">
        <v>6</v>
      </c>
      <c r="H1520" s="68" t="s">
        <v>1285</v>
      </c>
      <c r="I1520" s="68">
        <v>0</v>
      </c>
      <c r="J1520" s="68" t="s">
        <v>1278</v>
      </c>
    </row>
    <row r="1521" spans="1:10" ht="12.75" customHeight="1">
      <c r="A1521" s="71"/>
      <c r="B1521" s="71" t="s">
        <v>1284</v>
      </c>
      <c r="C1521" s="68" t="s">
        <v>1278</v>
      </c>
      <c r="D1521" s="68" t="s">
        <v>1285</v>
      </c>
      <c r="E1521" s="68">
        <v>0</v>
      </c>
      <c r="F1521" s="68">
        <v>0</v>
      </c>
      <c r="G1521" s="68" t="s">
        <v>1285</v>
      </c>
      <c r="H1521" s="68" t="s">
        <v>1285</v>
      </c>
      <c r="I1521" s="68">
        <v>0</v>
      </c>
      <c r="J1521" s="68" t="s">
        <v>1278</v>
      </c>
    </row>
    <row r="1522" spans="1:10" ht="12.75" customHeight="1">
      <c r="A1522" s="71"/>
      <c r="B1522" s="71" t="s">
        <v>1286</v>
      </c>
      <c r="C1522" s="68" t="s">
        <v>1278</v>
      </c>
      <c r="D1522" s="68">
        <v>5</v>
      </c>
      <c r="E1522" s="68">
        <v>0</v>
      </c>
      <c r="F1522" s="68" t="s">
        <v>1285</v>
      </c>
      <c r="G1522" s="68">
        <v>1</v>
      </c>
      <c r="H1522" s="68" t="s">
        <v>1285</v>
      </c>
      <c r="I1522" s="68">
        <v>0</v>
      </c>
      <c r="J1522" s="68" t="s">
        <v>1278</v>
      </c>
    </row>
    <row r="1523" spans="1:10" ht="12.75" customHeight="1">
      <c r="A1523" s="71"/>
      <c r="B1523" s="71" t="s">
        <v>1287</v>
      </c>
      <c r="C1523" s="68" t="s">
        <v>1278</v>
      </c>
      <c r="D1523" s="68" t="s">
        <v>1285</v>
      </c>
      <c r="E1523" s="68" t="s">
        <v>1278</v>
      </c>
      <c r="F1523" s="68" t="s">
        <v>1278</v>
      </c>
      <c r="G1523" s="68" t="s">
        <v>1278</v>
      </c>
      <c r="H1523" s="68" t="s">
        <v>1278</v>
      </c>
      <c r="I1523" s="68" t="s">
        <v>1278</v>
      </c>
      <c r="J1523" s="68" t="s">
        <v>1278</v>
      </c>
    </row>
    <row r="1524" spans="1:10" ht="12.75" customHeight="1">
      <c r="A1524" s="71"/>
      <c r="B1524" s="71" t="s">
        <v>1288</v>
      </c>
      <c r="C1524" s="68" t="s">
        <v>1278</v>
      </c>
      <c r="D1524" s="68">
        <v>1</v>
      </c>
      <c r="E1524" s="68">
        <v>0</v>
      </c>
      <c r="F1524" s="68">
        <v>0</v>
      </c>
      <c r="G1524" s="68" t="s">
        <v>1285</v>
      </c>
      <c r="H1524" s="68" t="s">
        <v>1285</v>
      </c>
      <c r="I1524" s="68" t="s">
        <v>1285</v>
      </c>
      <c r="J1524" s="68" t="s">
        <v>1278</v>
      </c>
    </row>
    <row r="1525" spans="1:10" ht="12.75" customHeight="1">
      <c r="A1525" s="71"/>
      <c r="B1525" s="69" t="s">
        <v>1289</v>
      </c>
      <c r="C1525" s="68" t="s">
        <v>1278</v>
      </c>
      <c r="D1525" s="68">
        <v>2</v>
      </c>
      <c r="E1525" s="68">
        <v>0</v>
      </c>
      <c r="F1525" s="68" t="s">
        <v>1285</v>
      </c>
      <c r="G1525" s="68">
        <v>5</v>
      </c>
      <c r="H1525" s="68" t="s">
        <v>1285</v>
      </c>
      <c r="I1525" s="68">
        <v>0</v>
      </c>
      <c r="J1525" s="68" t="s">
        <v>1278</v>
      </c>
    </row>
    <row r="1526" spans="1:10" ht="12.75" customHeight="1">
      <c r="A1526" s="71"/>
      <c r="B1526" s="71" t="s">
        <v>1290</v>
      </c>
      <c r="C1526" s="68" t="s">
        <v>1278</v>
      </c>
      <c r="D1526" s="68">
        <v>1</v>
      </c>
      <c r="E1526" s="68">
        <v>0</v>
      </c>
      <c r="F1526" s="68" t="s">
        <v>1285</v>
      </c>
      <c r="G1526" s="68">
        <v>5</v>
      </c>
      <c r="H1526" s="68" t="s">
        <v>1285</v>
      </c>
      <c r="I1526" s="68">
        <v>0</v>
      </c>
      <c r="J1526" s="68" t="s">
        <v>1278</v>
      </c>
    </row>
    <row r="1527" spans="1:10" ht="12.75" customHeight="1">
      <c r="A1527" s="71"/>
      <c r="B1527" s="71" t="s">
        <v>1291</v>
      </c>
      <c r="C1527" s="68" t="s">
        <v>1278</v>
      </c>
      <c r="D1527" s="68">
        <v>1</v>
      </c>
      <c r="E1527" s="68" t="s">
        <v>1278</v>
      </c>
      <c r="F1527" s="68" t="s">
        <v>1278</v>
      </c>
      <c r="G1527" s="68" t="s">
        <v>1278</v>
      </c>
      <c r="H1527" s="68" t="s">
        <v>1278</v>
      </c>
      <c r="I1527" s="68" t="s">
        <v>1278</v>
      </c>
      <c r="J1527" s="68" t="s">
        <v>1278</v>
      </c>
    </row>
    <row r="1528" spans="1:10" ht="12.75" customHeight="1">
      <c r="A1528" s="71"/>
      <c r="B1528" s="71" t="s">
        <v>1292</v>
      </c>
      <c r="C1528" s="68" t="s">
        <v>1278</v>
      </c>
      <c r="D1528" s="68" t="s">
        <v>1285</v>
      </c>
      <c r="E1528" s="68">
        <v>0</v>
      </c>
      <c r="F1528" s="68">
        <v>0</v>
      </c>
      <c r="G1528" s="68" t="s">
        <v>1285</v>
      </c>
      <c r="H1528" s="68" t="s">
        <v>1285</v>
      </c>
      <c r="I1528" s="68">
        <v>0</v>
      </c>
      <c r="J1528" s="68" t="s">
        <v>1278</v>
      </c>
    </row>
    <row r="1529" spans="1:10" ht="12.75" customHeight="1">
      <c r="A1529" s="71"/>
      <c r="B1529" s="71" t="s">
        <v>1293</v>
      </c>
      <c r="C1529" s="68" t="s">
        <v>1278</v>
      </c>
      <c r="D1529" s="68" t="s">
        <v>1285</v>
      </c>
      <c r="E1529" s="68" t="s">
        <v>1278</v>
      </c>
      <c r="F1529" s="68" t="s">
        <v>1285</v>
      </c>
      <c r="G1529" s="68" t="s">
        <v>1285</v>
      </c>
      <c r="H1529" s="68" t="s">
        <v>1285</v>
      </c>
      <c r="I1529" s="68" t="s">
        <v>1278</v>
      </c>
      <c r="J1529" s="68" t="s">
        <v>1278</v>
      </c>
    </row>
    <row r="1530" spans="1:10" ht="12.75" customHeight="1">
      <c r="A1530" s="71"/>
      <c r="B1530" s="71" t="s">
        <v>1294</v>
      </c>
      <c r="C1530" s="68" t="s">
        <v>1278</v>
      </c>
      <c r="D1530" s="68" t="s">
        <v>1278</v>
      </c>
      <c r="E1530" s="68">
        <v>0</v>
      </c>
      <c r="F1530" s="68" t="s">
        <v>1285</v>
      </c>
      <c r="G1530" s="68">
        <v>0</v>
      </c>
      <c r="H1530" s="68">
        <v>0</v>
      </c>
      <c r="I1530" s="68">
        <v>0</v>
      </c>
      <c r="J1530" s="68" t="s">
        <v>1278</v>
      </c>
    </row>
    <row r="1531" spans="1:10" ht="12.75" customHeight="1">
      <c r="A1531" s="71"/>
      <c r="B1531" s="71" t="s">
        <v>1295</v>
      </c>
      <c r="C1531" s="68" t="s">
        <v>1278</v>
      </c>
      <c r="D1531" s="68" t="s">
        <v>1285</v>
      </c>
      <c r="E1531" s="68">
        <v>0</v>
      </c>
      <c r="F1531" s="68" t="s">
        <v>1285</v>
      </c>
      <c r="G1531" s="68" t="s">
        <v>1285</v>
      </c>
      <c r="H1531" s="68" t="s">
        <v>1285</v>
      </c>
      <c r="I1531" s="68">
        <v>0</v>
      </c>
      <c r="J1531" s="68" t="s">
        <v>1278</v>
      </c>
    </row>
    <row r="1532" spans="1:10" ht="12.75" customHeight="1">
      <c r="A1532" s="71"/>
      <c r="B1532" s="69" t="s">
        <v>1296</v>
      </c>
      <c r="C1532" s="68">
        <v>10</v>
      </c>
      <c r="D1532" s="68" t="s">
        <v>1285</v>
      </c>
      <c r="E1532" s="68">
        <v>0</v>
      </c>
      <c r="F1532" s="68">
        <v>0</v>
      </c>
      <c r="G1532" s="68" t="s">
        <v>1285</v>
      </c>
      <c r="H1532" s="68" t="s">
        <v>1285</v>
      </c>
      <c r="I1532" s="68">
        <v>0</v>
      </c>
      <c r="J1532" s="68">
        <v>10</v>
      </c>
    </row>
    <row r="1533" spans="1:10" ht="12.75" customHeight="1">
      <c r="A1533" s="71"/>
      <c r="B1533" s="71"/>
      <c r="C1533" s="68"/>
      <c r="D1533" s="68"/>
      <c r="E1533" s="68"/>
      <c r="F1533" s="68"/>
      <c r="G1533" s="68"/>
      <c r="H1533" s="68"/>
      <c r="I1533" s="68"/>
      <c r="J1533" s="68"/>
    </row>
    <row r="1534" spans="1:10" s="73" customFormat="1" ht="12.75" customHeight="1">
      <c r="A1534" s="75" t="s">
        <v>1434</v>
      </c>
      <c r="B1534" s="69" t="s">
        <v>1435</v>
      </c>
      <c r="C1534" s="74"/>
      <c r="D1534" s="74"/>
      <c r="E1534" s="74"/>
      <c r="F1534" s="74"/>
      <c r="G1534" s="74"/>
      <c r="H1534" s="74"/>
      <c r="I1534" s="74"/>
      <c r="J1534" s="74"/>
    </row>
    <row r="1535" spans="1:10" ht="12.75" customHeight="1">
      <c r="A1535" s="71"/>
      <c r="B1535" s="71"/>
      <c r="C1535" s="68"/>
      <c r="D1535" s="68"/>
      <c r="E1535" s="68"/>
      <c r="F1535" s="68"/>
      <c r="G1535" s="68"/>
      <c r="H1535" s="68"/>
      <c r="I1535" s="68"/>
      <c r="J1535" s="68"/>
    </row>
    <row r="1536" spans="1:10" ht="12.75" customHeight="1">
      <c r="A1536" s="71"/>
      <c r="B1536" s="71"/>
      <c r="C1536" s="68"/>
      <c r="D1536" s="68"/>
      <c r="E1536" s="68"/>
      <c r="F1536" s="68"/>
      <c r="G1536" s="68"/>
      <c r="H1536" s="68"/>
      <c r="I1536" s="68"/>
      <c r="J1536" s="68"/>
    </row>
    <row r="1537" spans="1:10" ht="12.75" customHeight="1">
      <c r="A1537" s="71"/>
      <c r="B1537" s="69" t="s">
        <v>1276</v>
      </c>
      <c r="C1537" s="68">
        <v>22</v>
      </c>
      <c r="D1537" s="68">
        <v>7</v>
      </c>
      <c r="E1537" s="68" t="s">
        <v>1285</v>
      </c>
      <c r="F1537" s="68" t="s">
        <v>1285</v>
      </c>
      <c r="G1537" s="68">
        <v>15</v>
      </c>
      <c r="H1537" s="68" t="s">
        <v>1285</v>
      </c>
      <c r="I1537" s="68">
        <v>0</v>
      </c>
      <c r="J1537" s="68" t="s">
        <v>1285</v>
      </c>
    </row>
    <row r="1538" spans="1:10" ht="12.75" customHeight="1">
      <c r="A1538" s="71"/>
      <c r="B1538" s="69" t="s">
        <v>1277</v>
      </c>
      <c r="C1538" s="68" t="s">
        <v>1278</v>
      </c>
      <c r="D1538" s="68" t="s">
        <v>1285</v>
      </c>
      <c r="E1538" s="68">
        <v>0</v>
      </c>
      <c r="F1538" s="68" t="s">
        <v>1285</v>
      </c>
      <c r="G1538" s="68" t="s">
        <v>1285</v>
      </c>
      <c r="H1538" s="68" t="s">
        <v>1285</v>
      </c>
      <c r="I1538" s="68">
        <v>0</v>
      </c>
      <c r="J1538" s="68" t="s">
        <v>1278</v>
      </c>
    </row>
    <row r="1539" spans="1:10" ht="12.75" customHeight="1">
      <c r="A1539" s="71"/>
      <c r="B1539" s="71" t="s">
        <v>1279</v>
      </c>
      <c r="C1539" s="68" t="s">
        <v>1278</v>
      </c>
      <c r="D1539" s="68" t="s">
        <v>1285</v>
      </c>
      <c r="E1539" s="68">
        <v>0</v>
      </c>
      <c r="F1539" s="68" t="s">
        <v>1285</v>
      </c>
      <c r="G1539" s="68" t="s">
        <v>1285</v>
      </c>
      <c r="H1539" s="68" t="s">
        <v>1285</v>
      </c>
      <c r="I1539" s="68">
        <v>0</v>
      </c>
      <c r="J1539" s="68" t="s">
        <v>1278</v>
      </c>
    </row>
    <row r="1540" spans="1:10" ht="12.75" customHeight="1">
      <c r="A1540" s="71"/>
      <c r="B1540" s="71" t="s">
        <v>1280</v>
      </c>
      <c r="C1540" s="68" t="s">
        <v>1278</v>
      </c>
      <c r="D1540" s="68">
        <v>0</v>
      </c>
      <c r="E1540" s="68">
        <v>0</v>
      </c>
      <c r="F1540" s="68" t="s">
        <v>1285</v>
      </c>
      <c r="G1540" s="68" t="s">
        <v>1285</v>
      </c>
      <c r="H1540" s="68" t="s">
        <v>1285</v>
      </c>
      <c r="I1540" s="68">
        <v>0</v>
      </c>
      <c r="J1540" s="68" t="s">
        <v>1278</v>
      </c>
    </row>
    <row r="1541" spans="1:10" ht="12.75" customHeight="1">
      <c r="A1541" s="71"/>
      <c r="B1541" s="69" t="s">
        <v>1281</v>
      </c>
      <c r="C1541" s="68" t="s">
        <v>1278</v>
      </c>
      <c r="D1541" s="68">
        <v>6</v>
      </c>
      <c r="E1541" s="68" t="s">
        <v>1285</v>
      </c>
      <c r="F1541" s="68" t="s">
        <v>1285</v>
      </c>
      <c r="G1541" s="68">
        <v>12</v>
      </c>
      <c r="H1541" s="68" t="s">
        <v>1285</v>
      </c>
      <c r="I1541" s="68">
        <v>0</v>
      </c>
      <c r="J1541" s="68" t="s">
        <v>1278</v>
      </c>
    </row>
    <row r="1542" spans="1:10" ht="12.75" customHeight="1">
      <c r="A1542" s="71"/>
      <c r="B1542" s="71" t="s">
        <v>1283</v>
      </c>
      <c r="C1542" s="68" t="s">
        <v>1278</v>
      </c>
      <c r="D1542" s="68">
        <v>2</v>
      </c>
      <c r="E1542" s="68">
        <v>0</v>
      </c>
      <c r="F1542" s="68" t="s">
        <v>1285</v>
      </c>
      <c r="G1542" s="68">
        <v>10</v>
      </c>
      <c r="H1542" s="68" t="s">
        <v>1285</v>
      </c>
      <c r="I1542" s="68">
        <v>0</v>
      </c>
      <c r="J1542" s="68" t="s">
        <v>1278</v>
      </c>
    </row>
    <row r="1543" spans="1:10" ht="12.75" customHeight="1">
      <c r="A1543" s="71"/>
      <c r="B1543" s="71" t="s">
        <v>1284</v>
      </c>
      <c r="C1543" s="68" t="s">
        <v>1278</v>
      </c>
      <c r="D1543" s="68" t="s">
        <v>1285</v>
      </c>
      <c r="E1543" s="68">
        <v>0</v>
      </c>
      <c r="F1543" s="68" t="s">
        <v>1285</v>
      </c>
      <c r="G1543" s="68" t="s">
        <v>1285</v>
      </c>
      <c r="H1543" s="68" t="s">
        <v>1285</v>
      </c>
      <c r="I1543" s="68">
        <v>0</v>
      </c>
      <c r="J1543" s="68" t="s">
        <v>1278</v>
      </c>
    </row>
    <row r="1544" spans="1:10" ht="12.75" customHeight="1">
      <c r="A1544" s="71"/>
      <c r="B1544" s="71" t="s">
        <v>1286</v>
      </c>
      <c r="C1544" s="68" t="s">
        <v>1278</v>
      </c>
      <c r="D1544" s="68">
        <v>3</v>
      </c>
      <c r="E1544" s="68" t="s">
        <v>1285</v>
      </c>
      <c r="F1544" s="68" t="s">
        <v>1285</v>
      </c>
      <c r="G1544" s="68">
        <v>1</v>
      </c>
      <c r="H1544" s="68" t="s">
        <v>1285</v>
      </c>
      <c r="I1544" s="68">
        <v>0</v>
      </c>
      <c r="J1544" s="68" t="s">
        <v>1278</v>
      </c>
    </row>
    <row r="1545" spans="1:10" ht="12.75" customHeight="1">
      <c r="A1545" s="71"/>
      <c r="B1545" s="71" t="s">
        <v>1287</v>
      </c>
      <c r="C1545" s="68" t="s">
        <v>1278</v>
      </c>
      <c r="D1545" s="68" t="s">
        <v>1285</v>
      </c>
      <c r="E1545" s="68" t="s">
        <v>1278</v>
      </c>
      <c r="F1545" s="68" t="s">
        <v>1278</v>
      </c>
      <c r="G1545" s="68" t="s">
        <v>1278</v>
      </c>
      <c r="H1545" s="68" t="s">
        <v>1278</v>
      </c>
      <c r="I1545" s="68" t="s">
        <v>1278</v>
      </c>
      <c r="J1545" s="68" t="s">
        <v>1278</v>
      </c>
    </row>
    <row r="1546" spans="1:10" ht="12.75" customHeight="1">
      <c r="A1546" s="71"/>
      <c r="B1546" s="71" t="s">
        <v>1288</v>
      </c>
      <c r="C1546" s="68" t="s">
        <v>1278</v>
      </c>
      <c r="D1546" s="68" t="s">
        <v>1285</v>
      </c>
      <c r="E1546" s="68">
        <v>0</v>
      </c>
      <c r="F1546" s="68" t="s">
        <v>1285</v>
      </c>
      <c r="G1546" s="68" t="s">
        <v>1285</v>
      </c>
      <c r="H1546" s="68" t="s">
        <v>1285</v>
      </c>
      <c r="I1546" s="68">
        <v>0</v>
      </c>
      <c r="J1546" s="68" t="s">
        <v>1278</v>
      </c>
    </row>
    <row r="1547" spans="1:10" ht="12.75" customHeight="1">
      <c r="A1547" s="71"/>
      <c r="B1547" s="69" t="s">
        <v>1289</v>
      </c>
      <c r="C1547" s="68" t="s">
        <v>1278</v>
      </c>
      <c r="D1547" s="68">
        <v>1</v>
      </c>
      <c r="E1547" s="68">
        <v>0</v>
      </c>
      <c r="F1547" s="68" t="s">
        <v>1285</v>
      </c>
      <c r="G1547" s="68">
        <v>2</v>
      </c>
      <c r="H1547" s="68" t="s">
        <v>1285</v>
      </c>
      <c r="I1547" s="68">
        <v>0</v>
      </c>
      <c r="J1547" s="68" t="s">
        <v>1278</v>
      </c>
    </row>
    <row r="1548" spans="1:10" ht="12.75" customHeight="1">
      <c r="A1548" s="71"/>
      <c r="B1548" s="71" t="s">
        <v>1290</v>
      </c>
      <c r="C1548" s="68" t="s">
        <v>1278</v>
      </c>
      <c r="D1548" s="68">
        <v>1</v>
      </c>
      <c r="E1548" s="68">
        <v>0</v>
      </c>
      <c r="F1548" s="68" t="s">
        <v>1285</v>
      </c>
      <c r="G1548" s="68">
        <v>2</v>
      </c>
      <c r="H1548" s="68" t="s">
        <v>1285</v>
      </c>
      <c r="I1548" s="68">
        <v>0</v>
      </c>
      <c r="J1548" s="68" t="s">
        <v>1278</v>
      </c>
    </row>
    <row r="1549" spans="1:10" ht="12.75" customHeight="1">
      <c r="A1549" s="71"/>
      <c r="B1549" s="71" t="s">
        <v>1291</v>
      </c>
      <c r="C1549" s="68" t="s">
        <v>1278</v>
      </c>
      <c r="D1549" s="68" t="s">
        <v>1285</v>
      </c>
      <c r="E1549" s="68" t="s">
        <v>1278</v>
      </c>
      <c r="F1549" s="68" t="s">
        <v>1278</v>
      </c>
      <c r="G1549" s="68" t="s">
        <v>1278</v>
      </c>
      <c r="H1549" s="68" t="s">
        <v>1278</v>
      </c>
      <c r="I1549" s="68" t="s">
        <v>1278</v>
      </c>
      <c r="J1549" s="68" t="s">
        <v>1278</v>
      </c>
    </row>
    <row r="1550" spans="1:10" ht="12.75" customHeight="1">
      <c r="A1550" s="71"/>
      <c r="B1550" s="71" t="s">
        <v>1292</v>
      </c>
      <c r="C1550" s="68" t="s">
        <v>1278</v>
      </c>
      <c r="D1550" s="68" t="s">
        <v>1285</v>
      </c>
      <c r="E1550" s="68">
        <v>0</v>
      </c>
      <c r="F1550" s="68" t="s">
        <v>1285</v>
      </c>
      <c r="G1550" s="68" t="s">
        <v>1285</v>
      </c>
      <c r="H1550" s="68" t="s">
        <v>1285</v>
      </c>
      <c r="I1550" s="68">
        <v>0</v>
      </c>
      <c r="J1550" s="68" t="s">
        <v>1278</v>
      </c>
    </row>
    <row r="1551" spans="1:10" ht="12.75" customHeight="1">
      <c r="A1551" s="71"/>
      <c r="B1551" s="71" t="s">
        <v>1293</v>
      </c>
      <c r="C1551" s="68" t="s">
        <v>1278</v>
      </c>
      <c r="D1551" s="68" t="s">
        <v>1285</v>
      </c>
      <c r="E1551" s="68" t="s">
        <v>1278</v>
      </c>
      <c r="F1551" s="68" t="s">
        <v>1285</v>
      </c>
      <c r="G1551" s="68" t="s">
        <v>1285</v>
      </c>
      <c r="H1551" s="68" t="s">
        <v>1285</v>
      </c>
      <c r="I1551" s="68" t="s">
        <v>1278</v>
      </c>
      <c r="J1551" s="68" t="s">
        <v>1278</v>
      </c>
    </row>
    <row r="1552" spans="1:10" ht="12.75" customHeight="1">
      <c r="A1552" s="71"/>
      <c r="B1552" s="71" t="s">
        <v>1294</v>
      </c>
      <c r="C1552" s="68" t="s">
        <v>1278</v>
      </c>
      <c r="D1552" s="68" t="s">
        <v>1278</v>
      </c>
      <c r="E1552" s="68">
        <v>0</v>
      </c>
      <c r="F1552" s="68" t="s">
        <v>1285</v>
      </c>
      <c r="G1552" s="68" t="s">
        <v>1285</v>
      </c>
      <c r="H1552" s="68">
        <v>0</v>
      </c>
      <c r="I1552" s="68">
        <v>0</v>
      </c>
      <c r="J1552" s="68" t="s">
        <v>1278</v>
      </c>
    </row>
    <row r="1553" spans="1:10" ht="12.75" customHeight="1">
      <c r="A1553" s="71"/>
      <c r="B1553" s="71" t="s">
        <v>1295</v>
      </c>
      <c r="C1553" s="68" t="s">
        <v>1278</v>
      </c>
      <c r="D1553" s="68" t="s">
        <v>1285</v>
      </c>
      <c r="E1553" s="68">
        <v>0</v>
      </c>
      <c r="F1553" s="68" t="s">
        <v>1285</v>
      </c>
      <c r="G1553" s="68">
        <v>0</v>
      </c>
      <c r="H1553" s="68">
        <v>0</v>
      </c>
      <c r="I1553" s="68">
        <v>0</v>
      </c>
      <c r="J1553" s="68" t="s">
        <v>1278</v>
      </c>
    </row>
    <row r="1554" spans="1:10" ht="12.75" customHeight="1">
      <c r="A1554" s="71"/>
      <c r="B1554" s="69" t="s">
        <v>1296</v>
      </c>
      <c r="C1554" s="68">
        <v>1</v>
      </c>
      <c r="D1554" s="68" t="s">
        <v>1285</v>
      </c>
      <c r="E1554" s="68">
        <v>0</v>
      </c>
      <c r="F1554" s="68">
        <v>0</v>
      </c>
      <c r="G1554" s="68" t="s">
        <v>1285</v>
      </c>
      <c r="H1554" s="68" t="s">
        <v>1285</v>
      </c>
      <c r="I1554" s="68">
        <v>0</v>
      </c>
      <c r="J1554" s="68" t="s">
        <v>1285</v>
      </c>
    </row>
    <row r="1555" spans="1:10" ht="12.75" customHeight="1">
      <c r="A1555" s="71"/>
      <c r="B1555" s="71"/>
      <c r="C1555" s="68"/>
      <c r="D1555" s="68"/>
      <c r="E1555" s="68"/>
      <c r="F1555" s="68"/>
      <c r="G1555" s="68"/>
      <c r="H1555" s="68"/>
      <c r="I1555" s="68"/>
      <c r="J1555" s="68"/>
    </row>
    <row r="1556" spans="1:10" s="73" customFormat="1" ht="12.75" customHeight="1">
      <c r="A1556" s="69" t="s">
        <v>1436</v>
      </c>
      <c r="B1556" s="69" t="s">
        <v>1437</v>
      </c>
      <c r="C1556" s="74"/>
      <c r="D1556" s="74"/>
      <c r="E1556" s="74"/>
      <c r="F1556" s="74"/>
      <c r="G1556" s="74"/>
      <c r="H1556" s="74"/>
      <c r="I1556" s="74"/>
      <c r="J1556" s="74"/>
    </row>
    <row r="1557" spans="1:10" ht="12.75" customHeight="1">
      <c r="A1557" s="70"/>
      <c r="B1557" s="72"/>
      <c r="C1557" s="68"/>
      <c r="D1557" s="68"/>
      <c r="E1557" s="68"/>
      <c r="F1557" s="68"/>
      <c r="G1557" s="68"/>
      <c r="H1557" s="68"/>
      <c r="I1557" s="68"/>
      <c r="J1557" s="68"/>
    </row>
    <row r="1558" spans="1:10" ht="12.75" customHeight="1">
      <c r="A1558" s="71"/>
      <c r="B1558" s="71"/>
      <c r="C1558" s="68"/>
      <c r="D1558" s="68"/>
      <c r="E1558" s="68"/>
      <c r="F1558" s="68"/>
      <c r="G1558" s="68"/>
      <c r="H1558" s="68"/>
      <c r="I1558" s="68"/>
      <c r="J1558" s="68"/>
    </row>
    <row r="1559" spans="1:10" ht="12.75" customHeight="1">
      <c r="A1559" s="71"/>
      <c r="B1559" s="69" t="s">
        <v>1276</v>
      </c>
      <c r="C1559" s="68">
        <v>9</v>
      </c>
      <c r="D1559" s="68">
        <v>3</v>
      </c>
      <c r="E1559" s="68">
        <v>0</v>
      </c>
      <c r="F1559" s="68" t="s">
        <v>1285</v>
      </c>
      <c r="G1559" s="68">
        <v>6</v>
      </c>
      <c r="H1559" s="68" t="s">
        <v>1285</v>
      </c>
      <c r="I1559" s="68">
        <v>0</v>
      </c>
      <c r="J1559" s="68" t="s">
        <v>1285</v>
      </c>
    </row>
    <row r="1560" spans="1:10" ht="12.75" customHeight="1">
      <c r="A1560" s="71"/>
      <c r="B1560" s="69" t="s">
        <v>1277</v>
      </c>
      <c r="C1560" s="68" t="s">
        <v>1278</v>
      </c>
      <c r="D1560" s="68" t="s">
        <v>1285</v>
      </c>
      <c r="E1560" s="68">
        <v>0</v>
      </c>
      <c r="F1560" s="68">
        <v>0</v>
      </c>
      <c r="G1560" s="68" t="s">
        <v>1285</v>
      </c>
      <c r="H1560" s="68" t="s">
        <v>1285</v>
      </c>
      <c r="I1560" s="68">
        <v>0</v>
      </c>
      <c r="J1560" s="68" t="s">
        <v>1278</v>
      </c>
    </row>
    <row r="1561" spans="1:10" ht="12.75" customHeight="1">
      <c r="A1561" s="71"/>
      <c r="B1561" s="71" t="s">
        <v>1279</v>
      </c>
      <c r="C1561" s="68" t="s">
        <v>1278</v>
      </c>
      <c r="D1561" s="68" t="s">
        <v>1285</v>
      </c>
      <c r="E1561" s="68">
        <v>0</v>
      </c>
      <c r="F1561" s="68">
        <v>0</v>
      </c>
      <c r="G1561" s="68" t="s">
        <v>1285</v>
      </c>
      <c r="H1561" s="68" t="s">
        <v>1285</v>
      </c>
      <c r="I1561" s="68">
        <v>0</v>
      </c>
      <c r="J1561" s="68" t="s">
        <v>1278</v>
      </c>
    </row>
    <row r="1562" spans="1:10" ht="12.75" customHeight="1">
      <c r="A1562" s="71"/>
      <c r="B1562" s="71" t="s">
        <v>1280</v>
      </c>
      <c r="C1562" s="68" t="s">
        <v>1278</v>
      </c>
      <c r="D1562" s="68">
        <v>0</v>
      </c>
      <c r="E1562" s="68">
        <v>0</v>
      </c>
      <c r="F1562" s="68">
        <v>0</v>
      </c>
      <c r="G1562" s="68" t="s">
        <v>1285</v>
      </c>
      <c r="H1562" s="68" t="s">
        <v>1285</v>
      </c>
      <c r="I1562" s="68">
        <v>0</v>
      </c>
      <c r="J1562" s="68" t="s">
        <v>1278</v>
      </c>
    </row>
    <row r="1563" spans="1:10" ht="12.75" customHeight="1">
      <c r="A1563" s="71"/>
      <c r="B1563" s="69" t="s">
        <v>1281</v>
      </c>
      <c r="C1563" s="68" t="s">
        <v>1278</v>
      </c>
      <c r="D1563" s="68">
        <v>2</v>
      </c>
      <c r="E1563" s="68">
        <v>0</v>
      </c>
      <c r="F1563" s="68" t="s">
        <v>1285</v>
      </c>
      <c r="G1563" s="68">
        <v>5</v>
      </c>
      <c r="H1563" s="68" t="s">
        <v>1285</v>
      </c>
      <c r="I1563" s="68">
        <v>0</v>
      </c>
      <c r="J1563" s="68" t="s">
        <v>1278</v>
      </c>
    </row>
    <row r="1564" spans="1:10" ht="12.75" customHeight="1">
      <c r="A1564" s="71"/>
      <c r="B1564" s="71" t="s">
        <v>1283</v>
      </c>
      <c r="C1564" s="68" t="s">
        <v>1278</v>
      </c>
      <c r="D1564" s="68">
        <v>1</v>
      </c>
      <c r="E1564" s="68">
        <v>0</v>
      </c>
      <c r="F1564" s="68" t="s">
        <v>1285</v>
      </c>
      <c r="G1564" s="68">
        <v>4</v>
      </c>
      <c r="H1564" s="68" t="s">
        <v>1285</v>
      </c>
      <c r="I1564" s="68">
        <v>0</v>
      </c>
      <c r="J1564" s="68" t="s">
        <v>1278</v>
      </c>
    </row>
    <row r="1565" spans="1:10" ht="12.75" customHeight="1">
      <c r="A1565" s="71"/>
      <c r="B1565" s="71" t="s">
        <v>1284</v>
      </c>
      <c r="C1565" s="68" t="s">
        <v>1278</v>
      </c>
      <c r="D1565" s="68" t="s">
        <v>1285</v>
      </c>
      <c r="E1565" s="68">
        <v>0</v>
      </c>
      <c r="F1565" s="68">
        <v>0</v>
      </c>
      <c r="G1565" s="68" t="s">
        <v>1285</v>
      </c>
      <c r="H1565" s="68" t="s">
        <v>1285</v>
      </c>
      <c r="I1565" s="68">
        <v>0</v>
      </c>
      <c r="J1565" s="68" t="s">
        <v>1278</v>
      </c>
    </row>
    <row r="1566" spans="1:10" ht="12.75" customHeight="1">
      <c r="A1566" s="71"/>
      <c r="B1566" s="71" t="s">
        <v>1286</v>
      </c>
      <c r="C1566" s="68" t="s">
        <v>1278</v>
      </c>
      <c r="D1566" s="68">
        <v>1</v>
      </c>
      <c r="E1566" s="68">
        <v>0</v>
      </c>
      <c r="F1566" s="68" t="s">
        <v>1285</v>
      </c>
      <c r="G1566" s="68" t="s">
        <v>1285</v>
      </c>
      <c r="H1566" s="68" t="s">
        <v>1285</v>
      </c>
      <c r="I1566" s="68">
        <v>0</v>
      </c>
      <c r="J1566" s="68" t="s">
        <v>1278</v>
      </c>
    </row>
    <row r="1567" spans="1:10" ht="12.75" customHeight="1">
      <c r="A1567" s="71"/>
      <c r="B1567" s="71" t="s">
        <v>1287</v>
      </c>
      <c r="C1567" s="68" t="s">
        <v>1278</v>
      </c>
      <c r="D1567" s="68" t="s">
        <v>1285</v>
      </c>
      <c r="E1567" s="68" t="s">
        <v>1278</v>
      </c>
      <c r="F1567" s="68" t="s">
        <v>1278</v>
      </c>
      <c r="G1567" s="68" t="s">
        <v>1278</v>
      </c>
      <c r="H1567" s="68" t="s">
        <v>1278</v>
      </c>
      <c r="I1567" s="68" t="s">
        <v>1278</v>
      </c>
      <c r="J1567" s="68" t="s">
        <v>1278</v>
      </c>
    </row>
    <row r="1568" spans="1:10" ht="12.75" customHeight="1">
      <c r="A1568" s="71"/>
      <c r="B1568" s="71" t="s">
        <v>1288</v>
      </c>
      <c r="C1568" s="68" t="s">
        <v>1278</v>
      </c>
      <c r="D1568" s="68" t="s">
        <v>1285</v>
      </c>
      <c r="E1568" s="68">
        <v>0</v>
      </c>
      <c r="F1568" s="68" t="s">
        <v>1285</v>
      </c>
      <c r="G1568" s="68" t="s">
        <v>1285</v>
      </c>
      <c r="H1568" s="68" t="s">
        <v>1285</v>
      </c>
      <c r="I1568" s="68">
        <v>0</v>
      </c>
      <c r="J1568" s="68" t="s">
        <v>1278</v>
      </c>
    </row>
    <row r="1569" spans="1:10" ht="12.75" customHeight="1">
      <c r="A1569" s="71"/>
      <c r="B1569" s="69" t="s">
        <v>1289</v>
      </c>
      <c r="C1569" s="68" t="s">
        <v>1278</v>
      </c>
      <c r="D1569" s="68" t="s">
        <v>1285</v>
      </c>
      <c r="E1569" s="68">
        <v>0</v>
      </c>
      <c r="F1569" s="68" t="s">
        <v>1285</v>
      </c>
      <c r="G1569" s="68">
        <v>1</v>
      </c>
      <c r="H1569" s="68" t="s">
        <v>1285</v>
      </c>
      <c r="I1569" s="68">
        <v>0</v>
      </c>
      <c r="J1569" s="68" t="s">
        <v>1278</v>
      </c>
    </row>
    <row r="1570" spans="1:10" ht="12.75" customHeight="1">
      <c r="A1570" s="71"/>
      <c r="B1570" s="71" t="s">
        <v>1290</v>
      </c>
      <c r="C1570" s="68" t="s">
        <v>1278</v>
      </c>
      <c r="D1570" s="68" t="s">
        <v>1285</v>
      </c>
      <c r="E1570" s="68">
        <v>0</v>
      </c>
      <c r="F1570" s="68" t="s">
        <v>1285</v>
      </c>
      <c r="G1570" s="68">
        <v>1</v>
      </c>
      <c r="H1570" s="68" t="s">
        <v>1285</v>
      </c>
      <c r="I1570" s="68">
        <v>0</v>
      </c>
      <c r="J1570" s="68" t="s">
        <v>1278</v>
      </c>
    </row>
    <row r="1571" spans="1:10" ht="12.75" customHeight="1">
      <c r="A1571" s="71"/>
      <c r="B1571" s="71" t="s">
        <v>1291</v>
      </c>
      <c r="C1571" s="68" t="s">
        <v>1278</v>
      </c>
      <c r="D1571" s="68" t="s">
        <v>1285</v>
      </c>
      <c r="E1571" s="68" t="s">
        <v>1278</v>
      </c>
      <c r="F1571" s="68" t="s">
        <v>1278</v>
      </c>
      <c r="G1571" s="68" t="s">
        <v>1278</v>
      </c>
      <c r="H1571" s="68" t="s">
        <v>1278</v>
      </c>
      <c r="I1571" s="68" t="s">
        <v>1278</v>
      </c>
      <c r="J1571" s="68" t="s">
        <v>1278</v>
      </c>
    </row>
    <row r="1572" spans="1:10" ht="12.75" customHeight="1">
      <c r="A1572" s="71"/>
      <c r="B1572" s="71" t="s">
        <v>1292</v>
      </c>
      <c r="C1572" s="68" t="s">
        <v>1278</v>
      </c>
      <c r="D1572" s="68" t="s">
        <v>1285</v>
      </c>
      <c r="E1572" s="68">
        <v>0</v>
      </c>
      <c r="F1572" s="68" t="s">
        <v>1285</v>
      </c>
      <c r="G1572" s="68" t="s">
        <v>1285</v>
      </c>
      <c r="H1572" s="68" t="s">
        <v>1285</v>
      </c>
      <c r="I1572" s="68">
        <v>0</v>
      </c>
      <c r="J1572" s="68" t="s">
        <v>1278</v>
      </c>
    </row>
    <row r="1573" spans="1:10" ht="12.75" customHeight="1">
      <c r="A1573" s="71"/>
      <c r="B1573" s="71" t="s">
        <v>1293</v>
      </c>
      <c r="C1573" s="68" t="s">
        <v>1278</v>
      </c>
      <c r="D1573" s="68" t="s">
        <v>1285</v>
      </c>
      <c r="E1573" s="68" t="s">
        <v>1278</v>
      </c>
      <c r="F1573" s="68" t="s">
        <v>1285</v>
      </c>
      <c r="G1573" s="68" t="s">
        <v>1285</v>
      </c>
      <c r="H1573" s="68" t="s">
        <v>1285</v>
      </c>
      <c r="I1573" s="68" t="s">
        <v>1278</v>
      </c>
      <c r="J1573" s="68" t="s">
        <v>1278</v>
      </c>
    </row>
    <row r="1574" spans="1:10" ht="12.75" customHeight="1">
      <c r="A1574" s="71"/>
      <c r="B1574" s="71" t="s">
        <v>1294</v>
      </c>
      <c r="C1574" s="68" t="s">
        <v>1278</v>
      </c>
      <c r="D1574" s="68" t="s">
        <v>1278</v>
      </c>
      <c r="E1574" s="68">
        <v>0</v>
      </c>
      <c r="F1574" s="68">
        <v>0</v>
      </c>
      <c r="G1574" s="68" t="s">
        <v>1285</v>
      </c>
      <c r="H1574" s="68">
        <v>0</v>
      </c>
      <c r="I1574" s="68">
        <v>0</v>
      </c>
      <c r="J1574" s="68" t="s">
        <v>1278</v>
      </c>
    </row>
    <row r="1575" spans="1:10" ht="12.75" customHeight="1">
      <c r="A1575" s="71"/>
      <c r="B1575" s="71" t="s">
        <v>1295</v>
      </c>
      <c r="C1575" s="68" t="s">
        <v>1278</v>
      </c>
      <c r="D1575" s="68" t="s">
        <v>1285</v>
      </c>
      <c r="E1575" s="68">
        <v>0</v>
      </c>
      <c r="F1575" s="68" t="s">
        <v>1285</v>
      </c>
      <c r="G1575" s="68">
        <v>0</v>
      </c>
      <c r="H1575" s="68">
        <v>0</v>
      </c>
      <c r="I1575" s="68">
        <v>0</v>
      </c>
      <c r="J1575" s="68" t="s">
        <v>1278</v>
      </c>
    </row>
    <row r="1576" spans="1:10" ht="12.75" customHeight="1">
      <c r="A1576" s="71"/>
      <c r="B1576" s="69" t="s">
        <v>1296</v>
      </c>
      <c r="C1576" s="68" t="s">
        <v>1285</v>
      </c>
      <c r="D1576" s="68" t="s">
        <v>1285</v>
      </c>
      <c r="E1576" s="68">
        <v>0</v>
      </c>
      <c r="F1576" s="68">
        <v>0</v>
      </c>
      <c r="G1576" s="68" t="s">
        <v>1285</v>
      </c>
      <c r="H1576" s="68" t="s">
        <v>1285</v>
      </c>
      <c r="I1576" s="68">
        <v>0</v>
      </c>
      <c r="J1576" s="68" t="s">
        <v>1285</v>
      </c>
    </row>
    <row r="1577" spans="1:10" ht="12.75" customHeight="1">
      <c r="A1577" s="71"/>
      <c r="B1577" s="71"/>
      <c r="C1577" s="68"/>
      <c r="D1577" s="68"/>
      <c r="E1577" s="68"/>
      <c r="F1577" s="68"/>
      <c r="G1577" s="68"/>
      <c r="H1577" s="68"/>
      <c r="I1577" s="68"/>
      <c r="J1577" s="68"/>
    </row>
    <row r="1578" spans="1:10" s="73" customFormat="1" ht="12.75" customHeight="1">
      <c r="A1578" s="69" t="s">
        <v>1438</v>
      </c>
      <c r="B1578" s="69" t="s">
        <v>1439</v>
      </c>
      <c r="C1578" s="74"/>
      <c r="D1578" s="74"/>
      <c r="E1578" s="74"/>
      <c r="F1578" s="74"/>
      <c r="G1578" s="74"/>
      <c r="H1578" s="74"/>
      <c r="I1578" s="74"/>
      <c r="J1578" s="74"/>
    </row>
    <row r="1579" spans="1:10" ht="12.75" customHeight="1">
      <c r="A1579" s="71"/>
      <c r="B1579" s="71"/>
      <c r="C1579" s="68"/>
      <c r="D1579" s="68"/>
      <c r="E1579" s="68"/>
      <c r="F1579" s="68"/>
      <c r="G1579" s="68"/>
      <c r="H1579" s="68"/>
      <c r="I1579" s="68"/>
      <c r="J1579" s="68"/>
    </row>
    <row r="1580" spans="1:10" ht="12.75" customHeight="1">
      <c r="A1580" s="71"/>
      <c r="B1580" s="71"/>
      <c r="C1580" s="68"/>
      <c r="D1580" s="68"/>
      <c r="E1580" s="68"/>
      <c r="F1580" s="68"/>
      <c r="G1580" s="68"/>
      <c r="H1580" s="68"/>
      <c r="I1580" s="68"/>
      <c r="J1580" s="68"/>
    </row>
    <row r="1581" spans="1:10" ht="12.75" customHeight="1">
      <c r="A1581" s="71"/>
      <c r="B1581" s="69" t="s">
        <v>1276</v>
      </c>
      <c r="C1581" s="68">
        <v>254</v>
      </c>
      <c r="D1581" s="68">
        <v>124</v>
      </c>
      <c r="E1581" s="68">
        <v>0</v>
      </c>
      <c r="F1581" s="68" t="s">
        <v>1299</v>
      </c>
      <c r="G1581" s="68">
        <v>124</v>
      </c>
      <c r="H1581" s="68">
        <v>3</v>
      </c>
      <c r="I1581" s="68" t="s">
        <v>1285</v>
      </c>
      <c r="J1581" s="68">
        <v>2</v>
      </c>
    </row>
    <row r="1582" spans="1:10" ht="12.75" customHeight="1">
      <c r="A1582" s="71"/>
      <c r="B1582" s="69" t="s">
        <v>1277</v>
      </c>
      <c r="C1582" s="68" t="s">
        <v>1278</v>
      </c>
      <c r="D1582" s="68">
        <v>1</v>
      </c>
      <c r="E1582" s="68">
        <v>0</v>
      </c>
      <c r="F1582" s="68" t="s">
        <v>1285</v>
      </c>
      <c r="G1582" s="68">
        <v>13</v>
      </c>
      <c r="H1582" s="68" t="s">
        <v>1285</v>
      </c>
      <c r="I1582" s="68">
        <v>0</v>
      </c>
      <c r="J1582" s="68" t="s">
        <v>1278</v>
      </c>
    </row>
    <row r="1583" spans="1:10" ht="12.75" customHeight="1">
      <c r="A1583" s="71"/>
      <c r="B1583" s="71" t="s">
        <v>1279</v>
      </c>
      <c r="C1583" s="68" t="s">
        <v>1278</v>
      </c>
      <c r="D1583" s="68">
        <v>1</v>
      </c>
      <c r="E1583" s="68">
        <v>0</v>
      </c>
      <c r="F1583" s="68">
        <v>0</v>
      </c>
      <c r="G1583" s="68" t="s">
        <v>1299</v>
      </c>
      <c r="H1583" s="68" t="s">
        <v>1285</v>
      </c>
      <c r="I1583" s="68">
        <v>0</v>
      </c>
      <c r="J1583" s="68" t="s">
        <v>1278</v>
      </c>
    </row>
    <row r="1584" spans="1:10" ht="12.75" customHeight="1">
      <c r="A1584" s="71"/>
      <c r="B1584" s="71" t="s">
        <v>1280</v>
      </c>
      <c r="C1584" s="68" t="s">
        <v>1278</v>
      </c>
      <c r="D1584" s="68">
        <v>0</v>
      </c>
      <c r="E1584" s="68">
        <v>0</v>
      </c>
      <c r="F1584" s="68" t="s">
        <v>1285</v>
      </c>
      <c r="G1584" s="68">
        <v>11</v>
      </c>
      <c r="H1584" s="68" t="s">
        <v>1285</v>
      </c>
      <c r="I1584" s="68">
        <v>0</v>
      </c>
      <c r="J1584" s="68" t="s">
        <v>1278</v>
      </c>
    </row>
    <row r="1585" spans="1:10" ht="12.75" customHeight="1">
      <c r="A1585" s="71"/>
      <c r="B1585" s="69" t="s">
        <v>1281</v>
      </c>
      <c r="C1585" s="68" t="s">
        <v>1278</v>
      </c>
      <c r="D1585" s="68">
        <v>84</v>
      </c>
      <c r="E1585" s="68">
        <v>0</v>
      </c>
      <c r="F1585" s="68" t="s">
        <v>1285</v>
      </c>
      <c r="G1585" s="68">
        <v>74</v>
      </c>
      <c r="H1585" s="68" t="s">
        <v>1285</v>
      </c>
      <c r="I1585" s="68">
        <v>0</v>
      </c>
      <c r="J1585" s="68" t="s">
        <v>1278</v>
      </c>
    </row>
    <row r="1586" spans="1:10" ht="12.75" customHeight="1">
      <c r="A1586" s="71"/>
      <c r="B1586" s="71" t="s">
        <v>1283</v>
      </c>
      <c r="C1586" s="68" t="s">
        <v>1278</v>
      </c>
      <c r="D1586" s="68">
        <v>20</v>
      </c>
      <c r="E1586" s="68">
        <v>0</v>
      </c>
      <c r="F1586" s="68">
        <v>0</v>
      </c>
      <c r="G1586" s="68">
        <v>70</v>
      </c>
      <c r="H1586" s="68" t="s">
        <v>1285</v>
      </c>
      <c r="I1586" s="68">
        <v>0</v>
      </c>
      <c r="J1586" s="68" t="s">
        <v>1278</v>
      </c>
    </row>
    <row r="1587" spans="1:10" ht="12.75" customHeight="1">
      <c r="A1587" s="71"/>
      <c r="B1587" s="71" t="s">
        <v>1284</v>
      </c>
      <c r="C1587" s="68" t="s">
        <v>1278</v>
      </c>
      <c r="D1587" s="68">
        <v>5</v>
      </c>
      <c r="E1587" s="68">
        <v>0</v>
      </c>
      <c r="F1587" s="68">
        <v>0</v>
      </c>
      <c r="G1587" s="68" t="s">
        <v>1285</v>
      </c>
      <c r="H1587" s="68">
        <v>0</v>
      </c>
      <c r="I1587" s="68">
        <v>0</v>
      </c>
      <c r="J1587" s="68" t="s">
        <v>1278</v>
      </c>
    </row>
    <row r="1588" spans="1:10" ht="12.75" customHeight="1">
      <c r="A1588" s="71"/>
      <c r="B1588" s="71" t="s">
        <v>1286</v>
      </c>
      <c r="C1588" s="68" t="s">
        <v>1278</v>
      </c>
      <c r="D1588" s="68">
        <v>51</v>
      </c>
      <c r="E1588" s="68">
        <v>0</v>
      </c>
      <c r="F1588" s="68" t="s">
        <v>1285</v>
      </c>
      <c r="G1588" s="68" t="s">
        <v>1299</v>
      </c>
      <c r="H1588" s="68" t="s">
        <v>1285</v>
      </c>
      <c r="I1588" s="68">
        <v>0</v>
      </c>
      <c r="J1588" s="68" t="s">
        <v>1278</v>
      </c>
    </row>
    <row r="1589" spans="1:10" ht="12.75" customHeight="1">
      <c r="A1589" s="71"/>
      <c r="B1589" s="71" t="s">
        <v>1287</v>
      </c>
      <c r="C1589" s="68" t="s">
        <v>1278</v>
      </c>
      <c r="D1589" s="68" t="s">
        <v>1299</v>
      </c>
      <c r="E1589" s="68" t="s">
        <v>1278</v>
      </c>
      <c r="F1589" s="68" t="s">
        <v>1278</v>
      </c>
      <c r="G1589" s="68" t="s">
        <v>1278</v>
      </c>
      <c r="H1589" s="68" t="s">
        <v>1278</v>
      </c>
      <c r="I1589" s="68" t="s">
        <v>1278</v>
      </c>
      <c r="J1589" s="68" t="s">
        <v>1278</v>
      </c>
    </row>
    <row r="1590" spans="1:10" ht="12.75" customHeight="1">
      <c r="A1590" s="71"/>
      <c r="B1590" s="71" t="s">
        <v>1288</v>
      </c>
      <c r="C1590" s="68" t="s">
        <v>1278</v>
      </c>
      <c r="D1590" s="68">
        <v>2</v>
      </c>
      <c r="E1590" s="68">
        <v>0</v>
      </c>
      <c r="F1590" s="68" t="s">
        <v>1285</v>
      </c>
      <c r="G1590" s="68" t="s">
        <v>1299</v>
      </c>
      <c r="H1590" s="68" t="s">
        <v>1285</v>
      </c>
      <c r="I1590" s="68">
        <v>0</v>
      </c>
      <c r="J1590" s="68" t="s">
        <v>1278</v>
      </c>
    </row>
    <row r="1591" spans="1:10" ht="12.75" customHeight="1">
      <c r="A1591" s="71"/>
      <c r="B1591" s="69" t="s">
        <v>1289</v>
      </c>
      <c r="C1591" s="68" t="s">
        <v>1278</v>
      </c>
      <c r="D1591" s="68">
        <v>34</v>
      </c>
      <c r="E1591" s="68">
        <v>0</v>
      </c>
      <c r="F1591" s="68" t="s">
        <v>1299</v>
      </c>
      <c r="G1591" s="68">
        <v>33</v>
      </c>
      <c r="H1591" s="68">
        <v>3</v>
      </c>
      <c r="I1591" s="68" t="s">
        <v>1285</v>
      </c>
      <c r="J1591" s="68" t="s">
        <v>1278</v>
      </c>
    </row>
    <row r="1592" spans="1:10" ht="12.75" customHeight="1">
      <c r="A1592" s="71"/>
      <c r="B1592" s="71" t="s">
        <v>1290</v>
      </c>
      <c r="C1592" s="68" t="s">
        <v>1278</v>
      </c>
      <c r="D1592" s="68">
        <v>17</v>
      </c>
      <c r="E1592" s="68">
        <v>0</v>
      </c>
      <c r="F1592" s="68" t="s">
        <v>1285</v>
      </c>
      <c r="G1592" s="68">
        <v>31</v>
      </c>
      <c r="H1592" s="68">
        <v>1</v>
      </c>
      <c r="I1592" s="68" t="s">
        <v>1285</v>
      </c>
      <c r="J1592" s="68" t="s">
        <v>1278</v>
      </c>
    </row>
    <row r="1593" spans="1:10" ht="12.75" customHeight="1">
      <c r="A1593" s="71"/>
      <c r="B1593" s="71" t="s">
        <v>1291</v>
      </c>
      <c r="C1593" s="68" t="s">
        <v>1278</v>
      </c>
      <c r="D1593" s="68">
        <v>13</v>
      </c>
      <c r="E1593" s="68" t="s">
        <v>1278</v>
      </c>
      <c r="F1593" s="68" t="s">
        <v>1278</v>
      </c>
      <c r="G1593" s="68" t="s">
        <v>1278</v>
      </c>
      <c r="H1593" s="68" t="s">
        <v>1278</v>
      </c>
      <c r="I1593" s="68" t="s">
        <v>1278</v>
      </c>
      <c r="J1593" s="68" t="s">
        <v>1278</v>
      </c>
    </row>
    <row r="1594" spans="1:10" ht="12.75" customHeight="1">
      <c r="A1594" s="71"/>
      <c r="B1594" s="71" t="s">
        <v>1292</v>
      </c>
      <c r="C1594" s="68" t="s">
        <v>1278</v>
      </c>
      <c r="D1594" s="68">
        <v>3</v>
      </c>
      <c r="E1594" s="68">
        <v>0</v>
      </c>
      <c r="F1594" s="68" t="s">
        <v>1285</v>
      </c>
      <c r="G1594" s="68">
        <v>2</v>
      </c>
      <c r="H1594" s="68" t="s">
        <v>1285</v>
      </c>
      <c r="I1594" s="68">
        <v>0</v>
      </c>
      <c r="J1594" s="68" t="s">
        <v>1278</v>
      </c>
    </row>
    <row r="1595" spans="1:10" ht="12.75" customHeight="1">
      <c r="A1595" s="71"/>
      <c r="B1595" s="71" t="s">
        <v>1293</v>
      </c>
      <c r="C1595" s="68" t="s">
        <v>1278</v>
      </c>
      <c r="D1595" s="68">
        <v>1</v>
      </c>
      <c r="E1595" s="68" t="s">
        <v>1278</v>
      </c>
      <c r="F1595" s="68" t="s">
        <v>1299</v>
      </c>
      <c r="G1595" s="68" t="s">
        <v>1285</v>
      </c>
      <c r="H1595" s="68">
        <v>2</v>
      </c>
      <c r="I1595" s="68" t="s">
        <v>1278</v>
      </c>
      <c r="J1595" s="68" t="s">
        <v>1278</v>
      </c>
    </row>
    <row r="1596" spans="1:10" ht="12.75" customHeight="1">
      <c r="A1596" s="71"/>
      <c r="B1596" s="71" t="s">
        <v>1294</v>
      </c>
      <c r="C1596" s="68" t="s">
        <v>1278</v>
      </c>
      <c r="D1596" s="68" t="s">
        <v>1278</v>
      </c>
      <c r="E1596" s="68">
        <v>0</v>
      </c>
      <c r="F1596" s="68" t="s">
        <v>1285</v>
      </c>
      <c r="G1596" s="68" t="s">
        <v>1285</v>
      </c>
      <c r="H1596" s="68">
        <v>0</v>
      </c>
      <c r="I1596" s="68">
        <v>0</v>
      </c>
      <c r="J1596" s="68" t="s">
        <v>1278</v>
      </c>
    </row>
    <row r="1597" spans="1:10" ht="12.75" customHeight="1">
      <c r="A1597" s="71"/>
      <c r="B1597" s="71" t="s">
        <v>1295</v>
      </c>
      <c r="C1597" s="68" t="s">
        <v>1278</v>
      </c>
      <c r="D1597" s="68" t="s">
        <v>1285</v>
      </c>
      <c r="E1597" s="68">
        <v>0</v>
      </c>
      <c r="F1597" s="68" t="s">
        <v>1285</v>
      </c>
      <c r="G1597" s="68">
        <v>0</v>
      </c>
      <c r="H1597" s="68" t="s">
        <v>1285</v>
      </c>
      <c r="I1597" s="68">
        <v>0</v>
      </c>
      <c r="J1597" s="68" t="s">
        <v>1278</v>
      </c>
    </row>
    <row r="1598" spans="1:10" ht="12.75" customHeight="1">
      <c r="A1598" s="71"/>
      <c r="B1598" s="69" t="s">
        <v>1296</v>
      </c>
      <c r="C1598" s="68">
        <v>11</v>
      </c>
      <c r="D1598" s="68" t="s">
        <v>1299</v>
      </c>
      <c r="E1598" s="68">
        <v>0</v>
      </c>
      <c r="F1598" s="68">
        <v>0</v>
      </c>
      <c r="G1598" s="68" t="s">
        <v>1299</v>
      </c>
      <c r="H1598" s="68" t="s">
        <v>1285</v>
      </c>
      <c r="I1598" s="68">
        <v>0</v>
      </c>
      <c r="J1598" s="68">
        <v>2</v>
      </c>
    </row>
    <row r="1599" spans="1:10" ht="12.75" customHeight="1">
      <c r="A1599" s="71"/>
      <c r="B1599" s="71"/>
      <c r="C1599" s="68"/>
      <c r="D1599" s="68"/>
      <c r="E1599" s="68"/>
      <c r="F1599" s="68"/>
      <c r="G1599" s="68"/>
      <c r="H1599" s="68"/>
      <c r="I1599" s="68"/>
      <c r="J1599" s="68"/>
    </row>
    <row r="1600" spans="1:10" s="73" customFormat="1" ht="12.75" customHeight="1">
      <c r="A1600" s="69" t="s">
        <v>1440</v>
      </c>
      <c r="B1600" s="69" t="s">
        <v>1441</v>
      </c>
      <c r="C1600" s="74"/>
      <c r="D1600" s="74"/>
      <c r="E1600" s="74"/>
      <c r="F1600" s="74"/>
      <c r="G1600" s="74"/>
      <c r="H1600" s="74"/>
      <c r="I1600" s="74"/>
      <c r="J1600" s="74"/>
    </row>
    <row r="1601" spans="1:10" ht="12.75" customHeight="1">
      <c r="A1601" s="70"/>
      <c r="B1601" s="72"/>
      <c r="C1601" s="68"/>
      <c r="D1601" s="68"/>
      <c r="E1601" s="68"/>
      <c r="F1601" s="68"/>
      <c r="G1601" s="68"/>
      <c r="H1601" s="68"/>
      <c r="I1601" s="68"/>
      <c r="J1601" s="68"/>
    </row>
    <row r="1602" spans="1:10" ht="12.75" customHeight="1">
      <c r="A1602" s="71"/>
      <c r="B1602" s="71"/>
      <c r="C1602" s="68"/>
      <c r="D1602" s="68"/>
      <c r="E1602" s="68"/>
      <c r="F1602" s="68"/>
      <c r="G1602" s="68"/>
      <c r="H1602" s="68"/>
      <c r="I1602" s="68"/>
      <c r="J1602" s="68"/>
    </row>
    <row r="1603" spans="1:10" ht="12.75" customHeight="1">
      <c r="A1603" s="71"/>
      <c r="B1603" s="69" t="s">
        <v>1276</v>
      </c>
      <c r="C1603" s="68">
        <v>146</v>
      </c>
      <c r="D1603" s="68">
        <v>80</v>
      </c>
      <c r="E1603" s="68" t="s">
        <v>1285</v>
      </c>
      <c r="F1603" s="68">
        <v>2</v>
      </c>
      <c r="G1603" s="68">
        <v>59</v>
      </c>
      <c r="H1603" s="68">
        <v>3</v>
      </c>
      <c r="I1603" s="68" t="s">
        <v>1285</v>
      </c>
      <c r="J1603" s="68">
        <v>1</v>
      </c>
    </row>
    <row r="1604" spans="1:10" ht="12.75" customHeight="1">
      <c r="A1604" s="71"/>
      <c r="B1604" s="69" t="s">
        <v>1277</v>
      </c>
      <c r="C1604" s="68" t="s">
        <v>1278</v>
      </c>
      <c r="D1604" s="68">
        <v>1</v>
      </c>
      <c r="E1604" s="68" t="s">
        <v>1285</v>
      </c>
      <c r="F1604" s="68" t="s">
        <v>1285</v>
      </c>
      <c r="G1604" s="68">
        <v>7</v>
      </c>
      <c r="H1604" s="68" t="s">
        <v>1285</v>
      </c>
      <c r="I1604" s="68">
        <v>0</v>
      </c>
      <c r="J1604" s="68" t="s">
        <v>1278</v>
      </c>
    </row>
    <row r="1605" spans="1:10" ht="12.75" customHeight="1">
      <c r="A1605" s="71"/>
      <c r="B1605" s="71" t="s">
        <v>1279</v>
      </c>
      <c r="C1605" s="68" t="s">
        <v>1278</v>
      </c>
      <c r="D1605" s="68">
        <v>1</v>
      </c>
      <c r="E1605" s="68">
        <v>0</v>
      </c>
      <c r="F1605" s="68">
        <v>0</v>
      </c>
      <c r="G1605" s="68" t="s">
        <v>1299</v>
      </c>
      <c r="H1605" s="68">
        <v>0</v>
      </c>
      <c r="I1605" s="68">
        <v>0</v>
      </c>
      <c r="J1605" s="68" t="s">
        <v>1278</v>
      </c>
    </row>
    <row r="1606" spans="1:10" ht="12.75" customHeight="1">
      <c r="A1606" s="71"/>
      <c r="B1606" s="71" t="s">
        <v>1280</v>
      </c>
      <c r="C1606" s="68" t="s">
        <v>1278</v>
      </c>
      <c r="D1606" s="68">
        <v>0</v>
      </c>
      <c r="E1606" s="68" t="s">
        <v>1285</v>
      </c>
      <c r="F1606" s="68" t="s">
        <v>1285</v>
      </c>
      <c r="G1606" s="68">
        <v>5</v>
      </c>
      <c r="H1606" s="68" t="s">
        <v>1285</v>
      </c>
      <c r="I1606" s="68">
        <v>0</v>
      </c>
      <c r="J1606" s="68" t="s">
        <v>1278</v>
      </c>
    </row>
    <row r="1607" spans="1:10" ht="12.75" customHeight="1">
      <c r="A1607" s="71"/>
      <c r="B1607" s="69" t="s">
        <v>1281</v>
      </c>
      <c r="C1607" s="68" t="s">
        <v>1278</v>
      </c>
      <c r="D1607" s="68">
        <v>49</v>
      </c>
      <c r="E1607" s="68">
        <v>0</v>
      </c>
      <c r="F1607" s="68">
        <v>1</v>
      </c>
      <c r="G1607" s="68">
        <v>25</v>
      </c>
      <c r="H1607" s="68" t="s">
        <v>1299</v>
      </c>
      <c r="I1607" s="68">
        <v>0</v>
      </c>
      <c r="J1607" s="68" t="s">
        <v>1278</v>
      </c>
    </row>
    <row r="1608" spans="1:10" ht="12.75" customHeight="1">
      <c r="A1608" s="71"/>
      <c r="B1608" s="71" t="s">
        <v>1283</v>
      </c>
      <c r="C1608" s="68" t="s">
        <v>1278</v>
      </c>
      <c r="D1608" s="68">
        <v>4</v>
      </c>
      <c r="E1608" s="68">
        <v>0</v>
      </c>
      <c r="F1608" s="68" t="s">
        <v>1285</v>
      </c>
      <c r="G1608" s="68">
        <v>19</v>
      </c>
      <c r="H1608" s="68" t="s">
        <v>1299</v>
      </c>
      <c r="I1608" s="68">
        <v>0</v>
      </c>
      <c r="J1608" s="68" t="s">
        <v>1278</v>
      </c>
    </row>
    <row r="1609" spans="1:10" ht="12.75" customHeight="1">
      <c r="A1609" s="71"/>
      <c r="B1609" s="71" t="s">
        <v>1284</v>
      </c>
      <c r="C1609" s="68" t="s">
        <v>1278</v>
      </c>
      <c r="D1609" s="68">
        <v>3</v>
      </c>
      <c r="E1609" s="68">
        <v>0</v>
      </c>
      <c r="F1609" s="68">
        <v>0</v>
      </c>
      <c r="G1609" s="68" t="s">
        <v>1285</v>
      </c>
      <c r="H1609" s="68">
        <v>0</v>
      </c>
      <c r="I1609" s="68">
        <v>0</v>
      </c>
      <c r="J1609" s="68" t="s">
        <v>1278</v>
      </c>
    </row>
    <row r="1610" spans="1:10" ht="12.75" customHeight="1">
      <c r="A1610" s="71"/>
      <c r="B1610" s="71" t="s">
        <v>1286</v>
      </c>
      <c r="C1610" s="68" t="s">
        <v>1278</v>
      </c>
      <c r="D1610" s="68">
        <v>41</v>
      </c>
      <c r="E1610" s="68">
        <v>0</v>
      </c>
      <c r="F1610" s="68" t="s">
        <v>1285</v>
      </c>
      <c r="G1610" s="68">
        <v>3</v>
      </c>
      <c r="H1610" s="68" t="s">
        <v>1285</v>
      </c>
      <c r="I1610" s="68">
        <v>0</v>
      </c>
      <c r="J1610" s="68" t="s">
        <v>1278</v>
      </c>
    </row>
    <row r="1611" spans="1:10" ht="12.75" customHeight="1">
      <c r="A1611" s="71"/>
      <c r="B1611" s="71" t="s">
        <v>1287</v>
      </c>
      <c r="C1611" s="68" t="s">
        <v>1278</v>
      </c>
      <c r="D1611" s="68" t="s">
        <v>1299</v>
      </c>
      <c r="E1611" s="68" t="s">
        <v>1278</v>
      </c>
      <c r="F1611" s="68" t="s">
        <v>1278</v>
      </c>
      <c r="G1611" s="68" t="s">
        <v>1278</v>
      </c>
      <c r="H1611" s="68" t="s">
        <v>1278</v>
      </c>
      <c r="I1611" s="68" t="s">
        <v>1278</v>
      </c>
      <c r="J1611" s="68" t="s">
        <v>1278</v>
      </c>
    </row>
    <row r="1612" spans="1:10" ht="12.75" customHeight="1">
      <c r="A1612" s="71"/>
      <c r="B1612" s="71" t="s">
        <v>1288</v>
      </c>
      <c r="C1612" s="68" t="s">
        <v>1278</v>
      </c>
      <c r="D1612" s="68">
        <v>1</v>
      </c>
      <c r="E1612" s="68">
        <v>0</v>
      </c>
      <c r="F1612" s="68">
        <v>1</v>
      </c>
      <c r="G1612" s="68">
        <v>2</v>
      </c>
      <c r="H1612" s="68" t="s">
        <v>1285</v>
      </c>
      <c r="I1612" s="68">
        <v>0</v>
      </c>
      <c r="J1612" s="68" t="s">
        <v>1278</v>
      </c>
    </row>
    <row r="1613" spans="1:10" ht="12.75" customHeight="1">
      <c r="A1613" s="71"/>
      <c r="B1613" s="69" t="s">
        <v>1289</v>
      </c>
      <c r="C1613" s="68" t="s">
        <v>1278</v>
      </c>
      <c r="D1613" s="68">
        <v>27</v>
      </c>
      <c r="E1613" s="68" t="s">
        <v>1285</v>
      </c>
      <c r="F1613" s="68">
        <v>1</v>
      </c>
      <c r="G1613" s="68">
        <v>27</v>
      </c>
      <c r="H1613" s="68">
        <v>2</v>
      </c>
      <c r="I1613" s="68" t="s">
        <v>1285</v>
      </c>
      <c r="J1613" s="68" t="s">
        <v>1278</v>
      </c>
    </row>
    <row r="1614" spans="1:10" ht="12.75" customHeight="1">
      <c r="A1614" s="71"/>
      <c r="B1614" s="71" t="s">
        <v>1290</v>
      </c>
      <c r="C1614" s="68" t="s">
        <v>1278</v>
      </c>
      <c r="D1614" s="68">
        <v>13</v>
      </c>
      <c r="E1614" s="68" t="s">
        <v>1285</v>
      </c>
      <c r="F1614" s="68" t="s">
        <v>1285</v>
      </c>
      <c r="G1614" s="68">
        <v>25</v>
      </c>
      <c r="H1614" s="68">
        <v>1</v>
      </c>
      <c r="I1614" s="68" t="s">
        <v>1285</v>
      </c>
      <c r="J1614" s="68" t="s">
        <v>1278</v>
      </c>
    </row>
    <row r="1615" spans="1:10" ht="12.75" customHeight="1">
      <c r="A1615" s="71"/>
      <c r="B1615" s="71" t="s">
        <v>1291</v>
      </c>
      <c r="C1615" s="68" t="s">
        <v>1278</v>
      </c>
      <c r="D1615" s="68">
        <v>9</v>
      </c>
      <c r="E1615" s="68" t="s">
        <v>1278</v>
      </c>
      <c r="F1615" s="68" t="s">
        <v>1278</v>
      </c>
      <c r="G1615" s="68" t="s">
        <v>1278</v>
      </c>
      <c r="H1615" s="68" t="s">
        <v>1278</v>
      </c>
      <c r="I1615" s="68" t="s">
        <v>1278</v>
      </c>
      <c r="J1615" s="68" t="s">
        <v>1278</v>
      </c>
    </row>
    <row r="1616" spans="1:10" ht="12.75" customHeight="1">
      <c r="A1616" s="71"/>
      <c r="B1616" s="71" t="s">
        <v>1292</v>
      </c>
      <c r="C1616" s="68" t="s">
        <v>1278</v>
      </c>
      <c r="D1616" s="68">
        <v>3</v>
      </c>
      <c r="E1616" s="68">
        <v>0</v>
      </c>
      <c r="F1616" s="68">
        <v>0</v>
      </c>
      <c r="G1616" s="68">
        <v>1</v>
      </c>
      <c r="H1616" s="68" t="s">
        <v>1285</v>
      </c>
      <c r="I1616" s="68">
        <v>0</v>
      </c>
      <c r="J1616" s="68" t="s">
        <v>1278</v>
      </c>
    </row>
    <row r="1617" spans="1:10" ht="12.75" customHeight="1">
      <c r="A1617" s="71"/>
      <c r="B1617" s="71" t="s">
        <v>1293</v>
      </c>
      <c r="C1617" s="68" t="s">
        <v>1278</v>
      </c>
      <c r="D1617" s="68">
        <v>1</v>
      </c>
      <c r="E1617" s="68" t="s">
        <v>1278</v>
      </c>
      <c r="F1617" s="68" t="s">
        <v>1299</v>
      </c>
      <c r="G1617" s="68" t="s">
        <v>1285</v>
      </c>
      <c r="H1617" s="68">
        <v>1</v>
      </c>
      <c r="I1617" s="68" t="s">
        <v>1278</v>
      </c>
      <c r="J1617" s="68" t="s">
        <v>1278</v>
      </c>
    </row>
    <row r="1618" spans="1:10" ht="12.75" customHeight="1">
      <c r="A1618" s="71"/>
      <c r="B1618" s="71" t="s">
        <v>1294</v>
      </c>
      <c r="C1618" s="68" t="s">
        <v>1278</v>
      </c>
      <c r="D1618" s="68" t="s">
        <v>1278</v>
      </c>
      <c r="E1618" s="68">
        <v>0</v>
      </c>
      <c r="F1618" s="68" t="s">
        <v>1285</v>
      </c>
      <c r="G1618" s="68" t="s">
        <v>1285</v>
      </c>
      <c r="H1618" s="68" t="s">
        <v>1285</v>
      </c>
      <c r="I1618" s="68">
        <v>0</v>
      </c>
      <c r="J1618" s="68" t="s">
        <v>1278</v>
      </c>
    </row>
    <row r="1619" spans="1:10" ht="12.75" customHeight="1">
      <c r="A1619" s="71"/>
      <c r="B1619" s="71" t="s">
        <v>1295</v>
      </c>
      <c r="C1619" s="68" t="s">
        <v>1278</v>
      </c>
      <c r="D1619" s="68" t="s">
        <v>1285</v>
      </c>
      <c r="E1619" s="68">
        <v>0</v>
      </c>
      <c r="F1619" s="68" t="s">
        <v>1285</v>
      </c>
      <c r="G1619" s="68" t="s">
        <v>1285</v>
      </c>
      <c r="H1619" s="68" t="s">
        <v>1285</v>
      </c>
      <c r="I1619" s="68">
        <v>0</v>
      </c>
      <c r="J1619" s="68" t="s">
        <v>1278</v>
      </c>
    </row>
    <row r="1620" spans="1:10" ht="12.75" customHeight="1">
      <c r="A1620" s="71"/>
      <c r="B1620" s="69" t="s">
        <v>1296</v>
      </c>
      <c r="C1620" s="68">
        <v>6</v>
      </c>
      <c r="D1620" s="68" t="s">
        <v>1299</v>
      </c>
      <c r="E1620" s="68">
        <v>0</v>
      </c>
      <c r="F1620" s="68">
        <v>0</v>
      </c>
      <c r="G1620" s="68" t="s">
        <v>1285</v>
      </c>
      <c r="H1620" s="68" t="s">
        <v>1299</v>
      </c>
      <c r="I1620" s="68">
        <v>0</v>
      </c>
      <c r="J1620" s="68">
        <v>1</v>
      </c>
    </row>
    <row r="1621" spans="1:10" ht="12.75" customHeight="1">
      <c r="A1621" s="71"/>
      <c r="B1621" s="71"/>
      <c r="C1621" s="68"/>
      <c r="D1621" s="68"/>
      <c r="E1621" s="68"/>
      <c r="F1621" s="68"/>
      <c r="G1621" s="68"/>
      <c r="H1621" s="68"/>
      <c r="I1621" s="68"/>
      <c r="J1621" s="68"/>
    </row>
    <row r="1622" spans="1:10" s="73" customFormat="1" ht="12.75" customHeight="1">
      <c r="A1622" s="69" t="s">
        <v>1442</v>
      </c>
      <c r="B1622" s="69" t="s">
        <v>1443</v>
      </c>
      <c r="C1622" s="74"/>
      <c r="D1622" s="74"/>
      <c r="E1622" s="74"/>
      <c r="F1622" s="74"/>
      <c r="G1622" s="74"/>
      <c r="H1622" s="74"/>
      <c r="I1622" s="74"/>
      <c r="J1622" s="74"/>
    </row>
    <row r="1623" spans="1:10" ht="12.75" customHeight="1">
      <c r="A1623" s="71"/>
      <c r="B1623" s="71"/>
      <c r="C1623" s="68"/>
      <c r="D1623" s="68"/>
      <c r="E1623" s="68"/>
      <c r="F1623" s="68"/>
      <c r="G1623" s="68"/>
      <c r="H1623" s="68"/>
      <c r="I1623" s="68"/>
      <c r="J1623" s="68"/>
    </row>
    <row r="1624" spans="1:10" ht="12.75" customHeight="1">
      <c r="A1624" s="71"/>
      <c r="B1624" s="71"/>
      <c r="C1624" s="68"/>
      <c r="D1624" s="68"/>
      <c r="E1624" s="68"/>
      <c r="F1624" s="68"/>
      <c r="G1624" s="68"/>
      <c r="H1624" s="68"/>
      <c r="I1624" s="68"/>
      <c r="J1624" s="68"/>
    </row>
    <row r="1625" spans="1:10" ht="12.75" customHeight="1">
      <c r="A1625" s="71"/>
      <c r="B1625" s="69" t="s">
        <v>1276</v>
      </c>
      <c r="C1625" s="68">
        <v>107</v>
      </c>
      <c r="D1625" s="68">
        <v>76</v>
      </c>
      <c r="E1625" s="68" t="s">
        <v>1285</v>
      </c>
      <c r="F1625" s="68" t="s">
        <v>1285</v>
      </c>
      <c r="G1625" s="68">
        <v>30</v>
      </c>
      <c r="H1625" s="68" t="s">
        <v>1285</v>
      </c>
      <c r="I1625" s="68">
        <v>0</v>
      </c>
      <c r="J1625" s="68" t="s">
        <v>1285</v>
      </c>
    </row>
    <row r="1626" spans="1:10" ht="12.75" customHeight="1">
      <c r="A1626" s="71"/>
      <c r="B1626" s="69" t="s">
        <v>1277</v>
      </c>
      <c r="C1626" s="68" t="s">
        <v>1278</v>
      </c>
      <c r="D1626" s="68">
        <v>1</v>
      </c>
      <c r="E1626" s="68" t="s">
        <v>1285</v>
      </c>
      <c r="F1626" s="68" t="s">
        <v>1285</v>
      </c>
      <c r="G1626" s="68">
        <v>11</v>
      </c>
      <c r="H1626" s="68" t="s">
        <v>1285</v>
      </c>
      <c r="I1626" s="68">
        <v>0</v>
      </c>
      <c r="J1626" s="68" t="s">
        <v>1278</v>
      </c>
    </row>
    <row r="1627" spans="1:10" ht="12.75" customHeight="1">
      <c r="A1627" s="71"/>
      <c r="B1627" s="71" t="s">
        <v>1279</v>
      </c>
      <c r="C1627" s="68" t="s">
        <v>1278</v>
      </c>
      <c r="D1627" s="68">
        <v>1</v>
      </c>
      <c r="E1627" s="68">
        <v>0</v>
      </c>
      <c r="F1627" s="68" t="s">
        <v>1285</v>
      </c>
      <c r="G1627" s="68">
        <v>8</v>
      </c>
      <c r="H1627" s="68" t="s">
        <v>1285</v>
      </c>
      <c r="I1627" s="68">
        <v>0</v>
      </c>
      <c r="J1627" s="68" t="s">
        <v>1278</v>
      </c>
    </row>
    <row r="1628" spans="1:10" ht="12.75" customHeight="1">
      <c r="A1628" s="71"/>
      <c r="B1628" s="71" t="s">
        <v>1280</v>
      </c>
      <c r="C1628" s="68" t="s">
        <v>1278</v>
      </c>
      <c r="D1628" s="68">
        <v>0</v>
      </c>
      <c r="E1628" s="68" t="s">
        <v>1285</v>
      </c>
      <c r="F1628" s="68" t="s">
        <v>1285</v>
      </c>
      <c r="G1628" s="68">
        <v>3</v>
      </c>
      <c r="H1628" s="68">
        <v>0</v>
      </c>
      <c r="I1628" s="68">
        <v>0</v>
      </c>
      <c r="J1628" s="68" t="s">
        <v>1278</v>
      </c>
    </row>
    <row r="1629" spans="1:10" ht="12.75" customHeight="1">
      <c r="A1629" s="71"/>
      <c r="B1629" s="69" t="s">
        <v>1281</v>
      </c>
      <c r="C1629" s="68" t="s">
        <v>1278</v>
      </c>
      <c r="D1629" s="68">
        <v>42</v>
      </c>
      <c r="E1629" s="68">
        <v>0</v>
      </c>
      <c r="F1629" s="68" t="s">
        <v>1285</v>
      </c>
      <c r="G1629" s="68">
        <v>3</v>
      </c>
      <c r="H1629" s="68" t="s">
        <v>1285</v>
      </c>
      <c r="I1629" s="68">
        <v>0</v>
      </c>
      <c r="J1629" s="68" t="s">
        <v>1278</v>
      </c>
    </row>
    <row r="1630" spans="1:10" ht="12.75" customHeight="1">
      <c r="A1630" s="71"/>
      <c r="B1630" s="71" t="s">
        <v>1283</v>
      </c>
      <c r="C1630" s="68" t="s">
        <v>1278</v>
      </c>
      <c r="D1630" s="68">
        <v>7</v>
      </c>
      <c r="E1630" s="68">
        <v>0</v>
      </c>
      <c r="F1630" s="68" t="s">
        <v>1285</v>
      </c>
      <c r="G1630" s="68">
        <v>1</v>
      </c>
      <c r="H1630" s="68" t="s">
        <v>1285</v>
      </c>
      <c r="I1630" s="68">
        <v>0</v>
      </c>
      <c r="J1630" s="68" t="s">
        <v>1278</v>
      </c>
    </row>
    <row r="1631" spans="1:10" ht="12.75" customHeight="1">
      <c r="A1631" s="71"/>
      <c r="B1631" s="71" t="s">
        <v>1284</v>
      </c>
      <c r="C1631" s="68" t="s">
        <v>1278</v>
      </c>
      <c r="D1631" s="68">
        <v>12</v>
      </c>
      <c r="E1631" s="68">
        <v>0</v>
      </c>
      <c r="F1631" s="68">
        <v>0</v>
      </c>
      <c r="G1631" s="68" t="s">
        <v>1285</v>
      </c>
      <c r="H1631" s="68">
        <v>0</v>
      </c>
      <c r="I1631" s="68">
        <v>0</v>
      </c>
      <c r="J1631" s="68" t="s">
        <v>1278</v>
      </c>
    </row>
    <row r="1632" spans="1:10" ht="12.75" customHeight="1">
      <c r="A1632" s="71"/>
      <c r="B1632" s="71" t="s">
        <v>1286</v>
      </c>
      <c r="C1632" s="68" t="s">
        <v>1278</v>
      </c>
      <c r="D1632" s="68">
        <v>14</v>
      </c>
      <c r="E1632" s="68">
        <v>0</v>
      </c>
      <c r="F1632" s="68" t="s">
        <v>1285</v>
      </c>
      <c r="G1632" s="68" t="s">
        <v>1299</v>
      </c>
      <c r="H1632" s="68" t="s">
        <v>1285</v>
      </c>
      <c r="I1632" s="68">
        <v>0</v>
      </c>
      <c r="J1632" s="68" t="s">
        <v>1278</v>
      </c>
    </row>
    <row r="1633" spans="1:10" ht="12.75" customHeight="1">
      <c r="A1633" s="71"/>
      <c r="B1633" s="71" t="s">
        <v>1287</v>
      </c>
      <c r="C1633" s="68" t="s">
        <v>1278</v>
      </c>
      <c r="D1633" s="68">
        <v>2</v>
      </c>
      <c r="E1633" s="68" t="s">
        <v>1278</v>
      </c>
      <c r="F1633" s="68" t="s">
        <v>1278</v>
      </c>
      <c r="G1633" s="68" t="s">
        <v>1278</v>
      </c>
      <c r="H1633" s="68" t="s">
        <v>1278</v>
      </c>
      <c r="I1633" s="68" t="s">
        <v>1278</v>
      </c>
      <c r="J1633" s="68" t="s">
        <v>1278</v>
      </c>
    </row>
    <row r="1634" spans="1:10" ht="12.75" customHeight="1">
      <c r="A1634" s="71"/>
      <c r="B1634" s="71" t="s">
        <v>1288</v>
      </c>
      <c r="C1634" s="68" t="s">
        <v>1278</v>
      </c>
      <c r="D1634" s="68">
        <v>7</v>
      </c>
      <c r="E1634" s="68">
        <v>0</v>
      </c>
      <c r="F1634" s="68" t="s">
        <v>1285</v>
      </c>
      <c r="G1634" s="68">
        <v>1</v>
      </c>
      <c r="H1634" s="68">
        <v>0</v>
      </c>
      <c r="I1634" s="68">
        <v>0</v>
      </c>
      <c r="J1634" s="68" t="s">
        <v>1278</v>
      </c>
    </row>
    <row r="1635" spans="1:10" ht="12.75" customHeight="1">
      <c r="A1635" s="71"/>
      <c r="B1635" s="69" t="s">
        <v>1289</v>
      </c>
      <c r="C1635" s="68" t="s">
        <v>1278</v>
      </c>
      <c r="D1635" s="68">
        <v>29</v>
      </c>
      <c r="E1635" s="68" t="s">
        <v>1285</v>
      </c>
      <c r="F1635" s="68" t="s">
        <v>1285</v>
      </c>
      <c r="G1635" s="68">
        <v>17</v>
      </c>
      <c r="H1635" s="68" t="s">
        <v>1285</v>
      </c>
      <c r="I1635" s="68">
        <v>0</v>
      </c>
      <c r="J1635" s="68" t="s">
        <v>1278</v>
      </c>
    </row>
    <row r="1636" spans="1:10" ht="12.75" customHeight="1">
      <c r="A1636" s="71"/>
      <c r="B1636" s="71" t="s">
        <v>1290</v>
      </c>
      <c r="C1636" s="68" t="s">
        <v>1278</v>
      </c>
      <c r="D1636" s="68">
        <v>19</v>
      </c>
      <c r="E1636" s="68" t="s">
        <v>1285</v>
      </c>
      <c r="F1636" s="68" t="s">
        <v>1285</v>
      </c>
      <c r="G1636" s="68">
        <v>15</v>
      </c>
      <c r="H1636" s="68" t="s">
        <v>1285</v>
      </c>
      <c r="I1636" s="68">
        <v>0</v>
      </c>
      <c r="J1636" s="68" t="s">
        <v>1278</v>
      </c>
    </row>
    <row r="1637" spans="1:10" ht="12.75" customHeight="1">
      <c r="A1637" s="71"/>
      <c r="B1637" s="71" t="s">
        <v>1291</v>
      </c>
      <c r="C1637" s="68" t="s">
        <v>1278</v>
      </c>
      <c r="D1637" s="68">
        <v>6</v>
      </c>
      <c r="E1637" s="68" t="s">
        <v>1278</v>
      </c>
      <c r="F1637" s="68" t="s">
        <v>1278</v>
      </c>
      <c r="G1637" s="68" t="s">
        <v>1278</v>
      </c>
      <c r="H1637" s="68" t="s">
        <v>1278</v>
      </c>
      <c r="I1637" s="68" t="s">
        <v>1278</v>
      </c>
      <c r="J1637" s="68" t="s">
        <v>1278</v>
      </c>
    </row>
    <row r="1638" spans="1:10" ht="12.75" customHeight="1">
      <c r="A1638" s="71"/>
      <c r="B1638" s="71" t="s">
        <v>1292</v>
      </c>
      <c r="C1638" s="68" t="s">
        <v>1278</v>
      </c>
      <c r="D1638" s="68">
        <v>3</v>
      </c>
      <c r="E1638" s="68">
        <v>0</v>
      </c>
      <c r="F1638" s="68" t="s">
        <v>1285</v>
      </c>
      <c r="G1638" s="68">
        <v>1</v>
      </c>
      <c r="H1638" s="68" t="s">
        <v>1285</v>
      </c>
      <c r="I1638" s="68">
        <v>0</v>
      </c>
      <c r="J1638" s="68" t="s">
        <v>1278</v>
      </c>
    </row>
    <row r="1639" spans="1:10" ht="12.75" customHeight="1">
      <c r="A1639" s="71"/>
      <c r="B1639" s="71" t="s">
        <v>1293</v>
      </c>
      <c r="C1639" s="68" t="s">
        <v>1278</v>
      </c>
      <c r="D1639" s="68" t="s">
        <v>1285</v>
      </c>
      <c r="E1639" s="68" t="s">
        <v>1278</v>
      </c>
      <c r="F1639" s="68" t="s">
        <v>1285</v>
      </c>
      <c r="G1639" s="68" t="s">
        <v>1285</v>
      </c>
      <c r="H1639" s="68" t="s">
        <v>1285</v>
      </c>
      <c r="I1639" s="68" t="s">
        <v>1278</v>
      </c>
      <c r="J1639" s="68" t="s">
        <v>1278</v>
      </c>
    </row>
    <row r="1640" spans="1:10" ht="12.75" customHeight="1">
      <c r="A1640" s="71"/>
      <c r="B1640" s="71" t="s">
        <v>1294</v>
      </c>
      <c r="C1640" s="68" t="s">
        <v>1278</v>
      </c>
      <c r="D1640" s="68" t="s">
        <v>1278</v>
      </c>
      <c r="E1640" s="68">
        <v>0</v>
      </c>
      <c r="F1640" s="68" t="s">
        <v>1285</v>
      </c>
      <c r="G1640" s="68" t="s">
        <v>1285</v>
      </c>
      <c r="H1640" s="68">
        <v>0</v>
      </c>
      <c r="I1640" s="68">
        <v>0</v>
      </c>
      <c r="J1640" s="68" t="s">
        <v>1278</v>
      </c>
    </row>
    <row r="1641" spans="1:10" ht="12.75" customHeight="1">
      <c r="A1641" s="71"/>
      <c r="B1641" s="71" t="s">
        <v>1295</v>
      </c>
      <c r="C1641" s="68" t="s">
        <v>1278</v>
      </c>
      <c r="D1641" s="68">
        <v>1</v>
      </c>
      <c r="E1641" s="68">
        <v>0</v>
      </c>
      <c r="F1641" s="68" t="s">
        <v>1285</v>
      </c>
      <c r="G1641" s="68">
        <v>1</v>
      </c>
      <c r="H1641" s="68" t="s">
        <v>1285</v>
      </c>
      <c r="I1641" s="68">
        <v>0</v>
      </c>
      <c r="J1641" s="68" t="s">
        <v>1278</v>
      </c>
    </row>
    <row r="1642" spans="1:10" ht="12.75" customHeight="1">
      <c r="A1642" s="71"/>
      <c r="B1642" s="69" t="s">
        <v>1296</v>
      </c>
      <c r="C1642" s="68">
        <v>4</v>
      </c>
      <c r="D1642" s="68">
        <v>3</v>
      </c>
      <c r="E1642" s="68">
        <v>0</v>
      </c>
      <c r="F1642" s="68">
        <v>0</v>
      </c>
      <c r="G1642" s="68" t="s">
        <v>1285</v>
      </c>
      <c r="H1642" s="68" t="s">
        <v>1285</v>
      </c>
      <c r="I1642" s="68">
        <v>0</v>
      </c>
      <c r="J1642" s="68" t="s">
        <v>1285</v>
      </c>
    </row>
    <row r="1643" spans="1:10" ht="12.75" customHeight="1">
      <c r="A1643" s="71"/>
      <c r="B1643" s="71"/>
      <c r="C1643" s="68"/>
      <c r="D1643" s="68"/>
      <c r="E1643" s="68"/>
      <c r="F1643" s="68"/>
      <c r="G1643" s="68"/>
      <c r="H1643" s="68"/>
      <c r="I1643" s="68"/>
      <c r="J1643" s="68"/>
    </row>
    <row r="1644" spans="1:10" s="73" customFormat="1" ht="12.75" customHeight="1">
      <c r="A1644" s="69" t="s">
        <v>1444</v>
      </c>
      <c r="B1644" s="69" t="s">
        <v>1445</v>
      </c>
      <c r="C1644" s="74"/>
      <c r="D1644" s="74"/>
      <c r="E1644" s="74"/>
      <c r="F1644" s="74"/>
      <c r="G1644" s="74"/>
      <c r="H1644" s="74"/>
      <c r="I1644" s="74"/>
      <c r="J1644" s="74"/>
    </row>
    <row r="1645" spans="1:10" ht="12.75" customHeight="1">
      <c r="A1645" s="70"/>
      <c r="B1645" s="72"/>
      <c r="C1645" s="68"/>
      <c r="D1645" s="68"/>
      <c r="E1645" s="68"/>
      <c r="F1645" s="68"/>
      <c r="G1645" s="68"/>
      <c r="H1645" s="68"/>
      <c r="I1645" s="68"/>
      <c r="J1645" s="68"/>
    </row>
    <row r="1646" spans="1:10" ht="12.75" customHeight="1">
      <c r="A1646" s="71"/>
      <c r="B1646" s="71"/>
      <c r="C1646" s="68"/>
      <c r="D1646" s="68"/>
      <c r="E1646" s="68"/>
      <c r="F1646" s="68"/>
      <c r="G1646" s="68"/>
      <c r="H1646" s="68"/>
      <c r="I1646" s="68"/>
      <c r="J1646" s="68"/>
    </row>
    <row r="1647" spans="1:10" ht="12.75" customHeight="1">
      <c r="A1647" s="71"/>
      <c r="B1647" s="69" t="s">
        <v>1276</v>
      </c>
      <c r="C1647" s="68">
        <v>53</v>
      </c>
      <c r="D1647" s="68">
        <v>40</v>
      </c>
      <c r="E1647" s="68" t="s">
        <v>1285</v>
      </c>
      <c r="F1647" s="68" t="s">
        <v>1285</v>
      </c>
      <c r="G1647" s="68">
        <v>14</v>
      </c>
      <c r="H1647" s="68" t="s">
        <v>1285</v>
      </c>
      <c r="I1647" s="68">
        <v>0</v>
      </c>
      <c r="J1647" s="68" t="s">
        <v>1285</v>
      </c>
    </row>
    <row r="1648" spans="1:10" ht="12.75" customHeight="1">
      <c r="A1648" s="71"/>
      <c r="B1648" s="69" t="s">
        <v>1277</v>
      </c>
      <c r="C1648" s="68" t="s">
        <v>1278</v>
      </c>
      <c r="D1648" s="68" t="s">
        <v>1285</v>
      </c>
      <c r="E1648" s="68" t="s">
        <v>1285</v>
      </c>
      <c r="F1648" s="68" t="s">
        <v>1285</v>
      </c>
      <c r="G1648" s="68">
        <v>7</v>
      </c>
      <c r="H1648" s="68" t="s">
        <v>1285</v>
      </c>
      <c r="I1648" s="68">
        <v>0</v>
      </c>
      <c r="J1648" s="68" t="s">
        <v>1278</v>
      </c>
    </row>
    <row r="1649" spans="1:10" ht="12.75" customHeight="1">
      <c r="A1649" s="71"/>
      <c r="B1649" s="71" t="s">
        <v>1279</v>
      </c>
      <c r="C1649" s="68" t="s">
        <v>1278</v>
      </c>
      <c r="D1649" s="68" t="s">
        <v>1285</v>
      </c>
      <c r="E1649" s="68">
        <v>0</v>
      </c>
      <c r="F1649" s="68" t="s">
        <v>1285</v>
      </c>
      <c r="G1649" s="68">
        <v>5</v>
      </c>
      <c r="H1649" s="68" t="s">
        <v>1285</v>
      </c>
      <c r="I1649" s="68">
        <v>0</v>
      </c>
      <c r="J1649" s="68" t="s">
        <v>1278</v>
      </c>
    </row>
    <row r="1650" spans="1:10" ht="12.75" customHeight="1">
      <c r="A1650" s="71"/>
      <c r="B1650" s="71" t="s">
        <v>1280</v>
      </c>
      <c r="C1650" s="68" t="s">
        <v>1278</v>
      </c>
      <c r="D1650" s="68">
        <v>0</v>
      </c>
      <c r="E1650" s="68" t="s">
        <v>1285</v>
      </c>
      <c r="F1650" s="68" t="s">
        <v>1285</v>
      </c>
      <c r="G1650" s="68">
        <v>2</v>
      </c>
      <c r="H1650" s="68">
        <v>0</v>
      </c>
      <c r="I1650" s="68">
        <v>0</v>
      </c>
      <c r="J1650" s="68" t="s">
        <v>1278</v>
      </c>
    </row>
    <row r="1651" spans="1:10" ht="12.75" customHeight="1">
      <c r="A1651" s="71"/>
      <c r="B1651" s="69" t="s">
        <v>1281</v>
      </c>
      <c r="C1651" s="68" t="s">
        <v>1278</v>
      </c>
      <c r="D1651" s="68">
        <v>25</v>
      </c>
      <c r="E1651" s="68">
        <v>0</v>
      </c>
      <c r="F1651" s="68" t="s">
        <v>1285</v>
      </c>
      <c r="G1651" s="68">
        <v>2</v>
      </c>
      <c r="H1651" s="68" t="s">
        <v>1285</v>
      </c>
      <c r="I1651" s="68">
        <v>0</v>
      </c>
      <c r="J1651" s="68" t="s">
        <v>1278</v>
      </c>
    </row>
    <row r="1652" spans="1:10" ht="12.75" customHeight="1">
      <c r="A1652" s="71"/>
      <c r="B1652" s="71" t="s">
        <v>1283</v>
      </c>
      <c r="C1652" s="68" t="s">
        <v>1278</v>
      </c>
      <c r="D1652" s="68">
        <v>5</v>
      </c>
      <c r="E1652" s="68">
        <v>0</v>
      </c>
      <c r="F1652" s="68">
        <v>0</v>
      </c>
      <c r="G1652" s="68">
        <v>1</v>
      </c>
      <c r="H1652" s="68" t="s">
        <v>1285</v>
      </c>
      <c r="I1652" s="68">
        <v>0</v>
      </c>
      <c r="J1652" s="68" t="s">
        <v>1278</v>
      </c>
    </row>
    <row r="1653" spans="1:10" ht="12.75" customHeight="1">
      <c r="A1653" s="71"/>
      <c r="B1653" s="71" t="s">
        <v>1284</v>
      </c>
      <c r="C1653" s="68" t="s">
        <v>1278</v>
      </c>
      <c r="D1653" s="68">
        <v>6</v>
      </c>
      <c r="E1653" s="68">
        <v>0</v>
      </c>
      <c r="F1653" s="68">
        <v>0</v>
      </c>
      <c r="G1653" s="68">
        <v>0</v>
      </c>
      <c r="H1653" s="68">
        <v>0</v>
      </c>
      <c r="I1653" s="68">
        <v>0</v>
      </c>
      <c r="J1653" s="68" t="s">
        <v>1278</v>
      </c>
    </row>
    <row r="1654" spans="1:10" ht="12.75" customHeight="1">
      <c r="A1654" s="71"/>
      <c r="B1654" s="71" t="s">
        <v>1286</v>
      </c>
      <c r="C1654" s="68" t="s">
        <v>1278</v>
      </c>
      <c r="D1654" s="68">
        <v>8</v>
      </c>
      <c r="E1654" s="68">
        <v>0</v>
      </c>
      <c r="F1654" s="68" t="s">
        <v>1285</v>
      </c>
      <c r="G1654" s="68">
        <v>0</v>
      </c>
      <c r="H1654" s="68">
        <v>0</v>
      </c>
      <c r="I1654" s="68">
        <v>0</v>
      </c>
      <c r="J1654" s="68" t="s">
        <v>1278</v>
      </c>
    </row>
    <row r="1655" spans="1:10" ht="12.75" customHeight="1">
      <c r="A1655" s="71"/>
      <c r="B1655" s="71" t="s">
        <v>1287</v>
      </c>
      <c r="C1655" s="68" t="s">
        <v>1278</v>
      </c>
      <c r="D1655" s="68">
        <v>1</v>
      </c>
      <c r="E1655" s="68" t="s">
        <v>1278</v>
      </c>
      <c r="F1655" s="68" t="s">
        <v>1278</v>
      </c>
      <c r="G1655" s="68" t="s">
        <v>1278</v>
      </c>
      <c r="H1655" s="68" t="s">
        <v>1278</v>
      </c>
      <c r="I1655" s="68" t="s">
        <v>1278</v>
      </c>
      <c r="J1655" s="68" t="s">
        <v>1278</v>
      </c>
    </row>
    <row r="1656" spans="1:10" ht="12.75" customHeight="1">
      <c r="A1656" s="71"/>
      <c r="B1656" s="71" t="s">
        <v>1288</v>
      </c>
      <c r="C1656" s="68" t="s">
        <v>1278</v>
      </c>
      <c r="D1656" s="68">
        <v>6</v>
      </c>
      <c r="E1656" s="68">
        <v>0</v>
      </c>
      <c r="F1656" s="68" t="s">
        <v>1285</v>
      </c>
      <c r="G1656" s="68">
        <v>1</v>
      </c>
      <c r="H1656" s="68">
        <v>0</v>
      </c>
      <c r="I1656" s="68">
        <v>0</v>
      </c>
      <c r="J1656" s="68" t="s">
        <v>1278</v>
      </c>
    </row>
    <row r="1657" spans="1:10" ht="12.75" customHeight="1">
      <c r="A1657" s="71"/>
      <c r="B1657" s="69" t="s">
        <v>1289</v>
      </c>
      <c r="C1657" s="68" t="s">
        <v>1278</v>
      </c>
      <c r="D1657" s="68">
        <v>13</v>
      </c>
      <c r="E1657" s="68">
        <v>0</v>
      </c>
      <c r="F1657" s="68" t="s">
        <v>1285</v>
      </c>
      <c r="G1657" s="68">
        <v>5</v>
      </c>
      <c r="H1657" s="68" t="s">
        <v>1285</v>
      </c>
      <c r="I1657" s="68">
        <v>0</v>
      </c>
      <c r="J1657" s="68" t="s">
        <v>1278</v>
      </c>
    </row>
    <row r="1658" spans="1:10" ht="12.75" customHeight="1">
      <c r="A1658" s="71"/>
      <c r="B1658" s="71" t="s">
        <v>1290</v>
      </c>
      <c r="C1658" s="68" t="s">
        <v>1278</v>
      </c>
      <c r="D1658" s="68">
        <v>9</v>
      </c>
      <c r="E1658" s="68">
        <v>0</v>
      </c>
      <c r="F1658" s="68" t="s">
        <v>1285</v>
      </c>
      <c r="G1658" s="68">
        <v>4</v>
      </c>
      <c r="H1658" s="68" t="s">
        <v>1285</v>
      </c>
      <c r="I1658" s="68">
        <v>0</v>
      </c>
      <c r="J1658" s="68" t="s">
        <v>1278</v>
      </c>
    </row>
    <row r="1659" spans="1:10" ht="12.75" customHeight="1">
      <c r="A1659" s="71"/>
      <c r="B1659" s="71" t="s">
        <v>1291</v>
      </c>
      <c r="C1659" s="68" t="s">
        <v>1278</v>
      </c>
      <c r="D1659" s="68">
        <v>2</v>
      </c>
      <c r="E1659" s="68" t="s">
        <v>1278</v>
      </c>
      <c r="F1659" s="68" t="s">
        <v>1278</v>
      </c>
      <c r="G1659" s="68" t="s">
        <v>1278</v>
      </c>
      <c r="H1659" s="68" t="s">
        <v>1278</v>
      </c>
      <c r="I1659" s="68" t="s">
        <v>1278</v>
      </c>
      <c r="J1659" s="68" t="s">
        <v>1278</v>
      </c>
    </row>
    <row r="1660" spans="1:10" ht="12.75" customHeight="1">
      <c r="A1660" s="71"/>
      <c r="B1660" s="71" t="s">
        <v>1292</v>
      </c>
      <c r="C1660" s="68" t="s">
        <v>1278</v>
      </c>
      <c r="D1660" s="68">
        <v>1</v>
      </c>
      <c r="E1660" s="68">
        <v>0</v>
      </c>
      <c r="F1660" s="68" t="s">
        <v>1285</v>
      </c>
      <c r="G1660" s="68" t="s">
        <v>1285</v>
      </c>
      <c r="H1660" s="68" t="s">
        <v>1285</v>
      </c>
      <c r="I1660" s="68">
        <v>0</v>
      </c>
      <c r="J1660" s="68" t="s">
        <v>1278</v>
      </c>
    </row>
    <row r="1661" spans="1:10" ht="12.75" customHeight="1">
      <c r="A1661" s="71"/>
      <c r="B1661" s="71" t="s">
        <v>1293</v>
      </c>
      <c r="C1661" s="68" t="s">
        <v>1278</v>
      </c>
      <c r="D1661" s="68" t="s">
        <v>1285</v>
      </c>
      <c r="E1661" s="68" t="s">
        <v>1278</v>
      </c>
      <c r="F1661" s="68" t="s">
        <v>1285</v>
      </c>
      <c r="G1661" s="68">
        <v>0</v>
      </c>
      <c r="H1661" s="68" t="s">
        <v>1285</v>
      </c>
      <c r="I1661" s="68" t="s">
        <v>1278</v>
      </c>
      <c r="J1661" s="68" t="s">
        <v>1278</v>
      </c>
    </row>
    <row r="1662" spans="1:10" ht="12.75" customHeight="1">
      <c r="A1662" s="71"/>
      <c r="B1662" s="71" t="s">
        <v>1294</v>
      </c>
      <c r="C1662" s="68" t="s">
        <v>1278</v>
      </c>
      <c r="D1662" s="68" t="s">
        <v>1278</v>
      </c>
      <c r="E1662" s="68">
        <v>0</v>
      </c>
      <c r="F1662" s="68" t="s">
        <v>1285</v>
      </c>
      <c r="G1662" s="68">
        <v>0</v>
      </c>
      <c r="H1662" s="68">
        <v>0</v>
      </c>
      <c r="I1662" s="68">
        <v>0</v>
      </c>
      <c r="J1662" s="68" t="s">
        <v>1278</v>
      </c>
    </row>
    <row r="1663" spans="1:10" ht="12.75" customHeight="1">
      <c r="A1663" s="71"/>
      <c r="B1663" s="71" t="s">
        <v>1295</v>
      </c>
      <c r="C1663" s="68" t="s">
        <v>1278</v>
      </c>
      <c r="D1663" s="68">
        <v>1</v>
      </c>
      <c r="E1663" s="68">
        <v>0</v>
      </c>
      <c r="F1663" s="68" t="s">
        <v>1285</v>
      </c>
      <c r="G1663" s="68">
        <v>1</v>
      </c>
      <c r="H1663" s="68" t="s">
        <v>1285</v>
      </c>
      <c r="I1663" s="68">
        <v>0</v>
      </c>
      <c r="J1663" s="68" t="s">
        <v>1278</v>
      </c>
    </row>
    <row r="1664" spans="1:10" ht="12.75" customHeight="1">
      <c r="A1664" s="71"/>
      <c r="B1664" s="69" t="s">
        <v>1296</v>
      </c>
      <c r="C1664" s="68">
        <v>1</v>
      </c>
      <c r="D1664" s="68">
        <v>1</v>
      </c>
      <c r="E1664" s="68">
        <v>0</v>
      </c>
      <c r="F1664" s="68">
        <v>0</v>
      </c>
      <c r="G1664" s="68" t="s">
        <v>1285</v>
      </c>
      <c r="H1664" s="68" t="s">
        <v>1285</v>
      </c>
      <c r="I1664" s="68">
        <v>0</v>
      </c>
      <c r="J1664" s="68" t="s">
        <v>1285</v>
      </c>
    </row>
    <row r="1665" spans="1:10" ht="12.75" customHeight="1">
      <c r="A1665" s="71"/>
      <c r="B1665" s="71"/>
      <c r="C1665" s="68"/>
      <c r="D1665" s="68"/>
      <c r="E1665" s="68"/>
      <c r="F1665" s="68"/>
      <c r="G1665" s="68"/>
      <c r="H1665" s="68"/>
      <c r="I1665" s="68"/>
      <c r="J1665" s="68"/>
    </row>
    <row r="1666" spans="1:10" s="73" customFormat="1" ht="12.75" customHeight="1">
      <c r="A1666" s="69" t="s">
        <v>1446</v>
      </c>
      <c r="B1666" s="69" t="s">
        <v>1447</v>
      </c>
      <c r="C1666" s="74"/>
      <c r="D1666" s="74"/>
      <c r="E1666" s="74"/>
      <c r="F1666" s="74"/>
      <c r="G1666" s="74"/>
      <c r="H1666" s="74"/>
      <c r="I1666" s="74"/>
      <c r="J1666" s="74"/>
    </row>
    <row r="1667" spans="1:10" ht="12.75" customHeight="1">
      <c r="A1667" s="71"/>
      <c r="B1667" s="71"/>
      <c r="C1667" s="68"/>
      <c r="D1667" s="68"/>
      <c r="E1667" s="68"/>
      <c r="F1667" s="68"/>
      <c r="G1667" s="68"/>
      <c r="H1667" s="68"/>
      <c r="I1667" s="68"/>
      <c r="J1667" s="68"/>
    </row>
    <row r="1668" spans="1:10" ht="12.75" customHeight="1">
      <c r="A1668" s="71"/>
      <c r="B1668" s="71"/>
      <c r="C1668" s="68"/>
      <c r="D1668" s="68"/>
      <c r="E1668" s="68"/>
      <c r="F1668" s="68"/>
      <c r="G1668" s="68"/>
      <c r="H1668" s="68"/>
      <c r="I1668" s="68"/>
      <c r="J1668" s="68"/>
    </row>
    <row r="1669" spans="1:10" ht="12.75" customHeight="1">
      <c r="A1669" s="71"/>
      <c r="B1669" s="69" t="s">
        <v>1276</v>
      </c>
      <c r="C1669" s="68">
        <v>77</v>
      </c>
      <c r="D1669" s="68">
        <v>38</v>
      </c>
      <c r="E1669" s="68" t="s">
        <v>1285</v>
      </c>
      <c r="F1669" s="68" t="s">
        <v>1285</v>
      </c>
      <c r="G1669" s="68">
        <v>37</v>
      </c>
      <c r="H1669" s="68">
        <v>1</v>
      </c>
      <c r="I1669" s="68">
        <v>0</v>
      </c>
      <c r="J1669" s="68" t="s">
        <v>1299</v>
      </c>
    </row>
    <row r="1670" spans="1:10" ht="12.75" customHeight="1">
      <c r="A1670" s="71"/>
      <c r="B1670" s="69" t="s">
        <v>1277</v>
      </c>
      <c r="C1670" s="68" t="s">
        <v>1278</v>
      </c>
      <c r="D1670" s="68" t="s">
        <v>1299</v>
      </c>
      <c r="E1670" s="68">
        <v>0</v>
      </c>
      <c r="F1670" s="68" t="s">
        <v>1285</v>
      </c>
      <c r="G1670" s="68">
        <v>6</v>
      </c>
      <c r="H1670" s="68" t="s">
        <v>1285</v>
      </c>
      <c r="I1670" s="68">
        <v>0</v>
      </c>
      <c r="J1670" s="68" t="s">
        <v>1278</v>
      </c>
    </row>
    <row r="1671" spans="1:10" ht="12.75" customHeight="1">
      <c r="A1671" s="71"/>
      <c r="B1671" s="71" t="s">
        <v>1279</v>
      </c>
      <c r="C1671" s="68" t="s">
        <v>1278</v>
      </c>
      <c r="D1671" s="68" t="s">
        <v>1299</v>
      </c>
      <c r="E1671" s="68">
        <v>0</v>
      </c>
      <c r="F1671" s="68" t="s">
        <v>1285</v>
      </c>
      <c r="G1671" s="68">
        <v>2</v>
      </c>
      <c r="H1671" s="68">
        <v>0</v>
      </c>
      <c r="I1671" s="68">
        <v>0</v>
      </c>
      <c r="J1671" s="68" t="s">
        <v>1278</v>
      </c>
    </row>
    <row r="1672" spans="1:10" ht="12.75" customHeight="1">
      <c r="A1672" s="71"/>
      <c r="B1672" s="71" t="s">
        <v>1280</v>
      </c>
      <c r="C1672" s="68" t="s">
        <v>1278</v>
      </c>
      <c r="D1672" s="68">
        <v>0</v>
      </c>
      <c r="E1672" s="68">
        <v>0</v>
      </c>
      <c r="F1672" s="68">
        <v>0</v>
      </c>
      <c r="G1672" s="68" t="s">
        <v>1299</v>
      </c>
      <c r="H1672" s="68" t="s">
        <v>1285</v>
      </c>
      <c r="I1672" s="68">
        <v>0</v>
      </c>
      <c r="J1672" s="68" t="s">
        <v>1278</v>
      </c>
    </row>
    <row r="1673" spans="1:10" ht="12.75" customHeight="1">
      <c r="A1673" s="71"/>
      <c r="B1673" s="69" t="s">
        <v>1281</v>
      </c>
      <c r="C1673" s="68" t="s">
        <v>1278</v>
      </c>
      <c r="D1673" s="68">
        <v>24</v>
      </c>
      <c r="E1673" s="68">
        <v>0</v>
      </c>
      <c r="F1673" s="68" t="s">
        <v>1285</v>
      </c>
      <c r="G1673" s="68">
        <v>19</v>
      </c>
      <c r="H1673" s="68" t="s">
        <v>1285</v>
      </c>
      <c r="I1673" s="68">
        <v>0</v>
      </c>
      <c r="J1673" s="68" t="s">
        <v>1278</v>
      </c>
    </row>
    <row r="1674" spans="1:10" ht="12.75" customHeight="1">
      <c r="A1674" s="71"/>
      <c r="B1674" s="71" t="s">
        <v>1283</v>
      </c>
      <c r="C1674" s="68" t="s">
        <v>1278</v>
      </c>
      <c r="D1674" s="68">
        <v>8</v>
      </c>
      <c r="E1674" s="68">
        <v>0</v>
      </c>
      <c r="F1674" s="68">
        <v>0</v>
      </c>
      <c r="G1674" s="68">
        <v>18</v>
      </c>
      <c r="H1674" s="68" t="s">
        <v>1285</v>
      </c>
      <c r="I1674" s="68">
        <v>0</v>
      </c>
      <c r="J1674" s="68" t="s">
        <v>1278</v>
      </c>
    </row>
    <row r="1675" spans="1:10" ht="12.75" customHeight="1">
      <c r="A1675" s="71"/>
      <c r="B1675" s="71" t="s">
        <v>1284</v>
      </c>
      <c r="C1675" s="68" t="s">
        <v>1278</v>
      </c>
      <c r="D1675" s="68">
        <v>2</v>
      </c>
      <c r="E1675" s="68">
        <v>0</v>
      </c>
      <c r="F1675" s="68">
        <v>0</v>
      </c>
      <c r="G1675" s="68" t="s">
        <v>1285</v>
      </c>
      <c r="H1675" s="68">
        <v>0</v>
      </c>
      <c r="I1675" s="68">
        <v>0</v>
      </c>
      <c r="J1675" s="68" t="s">
        <v>1278</v>
      </c>
    </row>
    <row r="1676" spans="1:10" ht="12.75" customHeight="1">
      <c r="A1676" s="71"/>
      <c r="B1676" s="71" t="s">
        <v>1286</v>
      </c>
      <c r="C1676" s="68" t="s">
        <v>1278</v>
      </c>
      <c r="D1676" s="68">
        <v>13</v>
      </c>
      <c r="E1676" s="68">
        <v>0</v>
      </c>
      <c r="F1676" s="68" t="s">
        <v>1285</v>
      </c>
      <c r="G1676" s="68" t="s">
        <v>1285</v>
      </c>
      <c r="H1676" s="68">
        <v>0</v>
      </c>
      <c r="I1676" s="68">
        <v>0</v>
      </c>
      <c r="J1676" s="68" t="s">
        <v>1278</v>
      </c>
    </row>
    <row r="1677" spans="1:10" ht="12.75" customHeight="1">
      <c r="A1677" s="71"/>
      <c r="B1677" s="71" t="s">
        <v>1287</v>
      </c>
      <c r="C1677" s="68" t="s">
        <v>1278</v>
      </c>
      <c r="D1677" s="68" t="s">
        <v>1285</v>
      </c>
      <c r="E1677" s="68" t="s">
        <v>1278</v>
      </c>
      <c r="F1677" s="68" t="s">
        <v>1278</v>
      </c>
      <c r="G1677" s="68" t="s">
        <v>1278</v>
      </c>
      <c r="H1677" s="68" t="s">
        <v>1278</v>
      </c>
      <c r="I1677" s="68" t="s">
        <v>1278</v>
      </c>
      <c r="J1677" s="68" t="s">
        <v>1278</v>
      </c>
    </row>
    <row r="1678" spans="1:10" ht="12.75" customHeight="1">
      <c r="A1678" s="71"/>
      <c r="B1678" s="71" t="s">
        <v>1288</v>
      </c>
      <c r="C1678" s="68" t="s">
        <v>1278</v>
      </c>
      <c r="D1678" s="68">
        <v>2</v>
      </c>
      <c r="E1678" s="68">
        <v>0</v>
      </c>
      <c r="F1678" s="68" t="s">
        <v>1285</v>
      </c>
      <c r="G1678" s="68" t="s">
        <v>1299</v>
      </c>
      <c r="H1678" s="68" t="s">
        <v>1285</v>
      </c>
      <c r="I1678" s="68">
        <v>0</v>
      </c>
      <c r="J1678" s="68" t="s">
        <v>1278</v>
      </c>
    </row>
    <row r="1679" spans="1:10" ht="12.75" customHeight="1">
      <c r="A1679" s="71"/>
      <c r="B1679" s="69" t="s">
        <v>1289</v>
      </c>
      <c r="C1679" s="68" t="s">
        <v>1278</v>
      </c>
      <c r="D1679" s="68">
        <v>12</v>
      </c>
      <c r="E1679" s="68" t="s">
        <v>1285</v>
      </c>
      <c r="F1679" s="68" t="s">
        <v>1285</v>
      </c>
      <c r="G1679" s="68">
        <v>10</v>
      </c>
      <c r="H1679" s="68">
        <v>1</v>
      </c>
      <c r="I1679" s="68">
        <v>0</v>
      </c>
      <c r="J1679" s="68" t="s">
        <v>1278</v>
      </c>
    </row>
    <row r="1680" spans="1:10" ht="12.75" customHeight="1">
      <c r="A1680" s="71"/>
      <c r="B1680" s="71" t="s">
        <v>1290</v>
      </c>
      <c r="C1680" s="68" t="s">
        <v>1278</v>
      </c>
      <c r="D1680" s="68">
        <v>7</v>
      </c>
      <c r="E1680" s="68">
        <v>0</v>
      </c>
      <c r="F1680" s="68">
        <v>0</v>
      </c>
      <c r="G1680" s="68">
        <v>9</v>
      </c>
      <c r="H1680" s="68" t="s">
        <v>1285</v>
      </c>
      <c r="I1680" s="68">
        <v>0</v>
      </c>
      <c r="J1680" s="68" t="s">
        <v>1278</v>
      </c>
    </row>
    <row r="1681" spans="1:10" ht="12.75" customHeight="1">
      <c r="A1681" s="71"/>
      <c r="B1681" s="71" t="s">
        <v>1291</v>
      </c>
      <c r="C1681" s="68" t="s">
        <v>1278</v>
      </c>
      <c r="D1681" s="68">
        <v>3</v>
      </c>
      <c r="E1681" s="68" t="s">
        <v>1278</v>
      </c>
      <c r="F1681" s="68" t="s">
        <v>1278</v>
      </c>
      <c r="G1681" s="68" t="s">
        <v>1278</v>
      </c>
      <c r="H1681" s="68" t="s">
        <v>1278</v>
      </c>
      <c r="I1681" s="68" t="s">
        <v>1278</v>
      </c>
      <c r="J1681" s="68" t="s">
        <v>1278</v>
      </c>
    </row>
    <row r="1682" spans="1:10" ht="12.75" customHeight="1">
      <c r="A1682" s="71"/>
      <c r="B1682" s="71" t="s">
        <v>1292</v>
      </c>
      <c r="C1682" s="68" t="s">
        <v>1278</v>
      </c>
      <c r="D1682" s="68">
        <v>1</v>
      </c>
      <c r="E1682" s="68">
        <v>0</v>
      </c>
      <c r="F1682" s="68">
        <v>0</v>
      </c>
      <c r="G1682" s="68">
        <v>1</v>
      </c>
      <c r="H1682" s="68">
        <v>0</v>
      </c>
      <c r="I1682" s="68">
        <v>0</v>
      </c>
      <c r="J1682" s="68" t="s">
        <v>1278</v>
      </c>
    </row>
    <row r="1683" spans="1:10" ht="12.75" customHeight="1">
      <c r="A1683" s="71"/>
      <c r="B1683" s="71" t="s">
        <v>1293</v>
      </c>
      <c r="C1683" s="68" t="s">
        <v>1278</v>
      </c>
      <c r="D1683" s="68" t="s">
        <v>1285</v>
      </c>
      <c r="E1683" s="68" t="s">
        <v>1278</v>
      </c>
      <c r="F1683" s="68" t="s">
        <v>1285</v>
      </c>
      <c r="G1683" s="68" t="s">
        <v>1285</v>
      </c>
      <c r="H1683" s="68">
        <v>1</v>
      </c>
      <c r="I1683" s="68" t="s">
        <v>1278</v>
      </c>
      <c r="J1683" s="68" t="s">
        <v>1278</v>
      </c>
    </row>
    <row r="1684" spans="1:10" ht="12.75" customHeight="1">
      <c r="A1684" s="71"/>
      <c r="B1684" s="71" t="s">
        <v>1294</v>
      </c>
      <c r="C1684" s="68" t="s">
        <v>1278</v>
      </c>
      <c r="D1684" s="68" t="s">
        <v>1278</v>
      </c>
      <c r="E1684" s="68">
        <v>0</v>
      </c>
      <c r="F1684" s="68" t="s">
        <v>1285</v>
      </c>
      <c r="G1684" s="68" t="s">
        <v>1285</v>
      </c>
      <c r="H1684" s="68">
        <v>0</v>
      </c>
      <c r="I1684" s="68">
        <v>0</v>
      </c>
      <c r="J1684" s="68" t="s">
        <v>1278</v>
      </c>
    </row>
    <row r="1685" spans="1:10" ht="12.75" customHeight="1">
      <c r="A1685" s="71"/>
      <c r="B1685" s="71" t="s">
        <v>1295</v>
      </c>
      <c r="C1685" s="68" t="s">
        <v>1278</v>
      </c>
      <c r="D1685" s="68" t="s">
        <v>1285</v>
      </c>
      <c r="E1685" s="68" t="s">
        <v>1285</v>
      </c>
      <c r="F1685" s="68" t="s">
        <v>1285</v>
      </c>
      <c r="G1685" s="68" t="s">
        <v>1285</v>
      </c>
      <c r="H1685" s="68" t="s">
        <v>1285</v>
      </c>
      <c r="I1685" s="68">
        <v>0</v>
      </c>
      <c r="J1685" s="68" t="s">
        <v>1278</v>
      </c>
    </row>
    <row r="1686" spans="1:10" ht="12.75" customHeight="1">
      <c r="A1686" s="71"/>
      <c r="B1686" s="69" t="s">
        <v>1296</v>
      </c>
      <c r="C1686" s="68">
        <v>3</v>
      </c>
      <c r="D1686" s="68" t="s">
        <v>1299</v>
      </c>
      <c r="E1686" s="68">
        <v>0</v>
      </c>
      <c r="F1686" s="68">
        <v>0</v>
      </c>
      <c r="G1686" s="68" t="s">
        <v>1285</v>
      </c>
      <c r="H1686" s="68" t="s">
        <v>1285</v>
      </c>
      <c r="I1686" s="68">
        <v>0</v>
      </c>
      <c r="J1686" s="68" t="s">
        <v>1299</v>
      </c>
    </row>
    <row r="1687" spans="1:10" ht="12.75" customHeight="1">
      <c r="A1687" s="71"/>
      <c r="B1687" s="71"/>
      <c r="C1687" s="68"/>
      <c r="D1687" s="68"/>
      <c r="E1687" s="68"/>
      <c r="F1687" s="68"/>
      <c r="G1687" s="68"/>
      <c r="H1687" s="68"/>
      <c r="I1687" s="68"/>
      <c r="J1687" s="68"/>
    </row>
    <row r="1688" spans="1:10" s="73" customFormat="1" ht="12.75" customHeight="1">
      <c r="A1688" s="69" t="s">
        <v>1448</v>
      </c>
      <c r="B1688" s="69" t="s">
        <v>1449</v>
      </c>
      <c r="C1688" s="74"/>
      <c r="D1688" s="74"/>
      <c r="E1688" s="74"/>
      <c r="F1688" s="74"/>
      <c r="G1688" s="74"/>
      <c r="H1688" s="74"/>
      <c r="I1688" s="74"/>
      <c r="J1688" s="74"/>
    </row>
    <row r="1689" spans="1:10" ht="12.75" customHeight="1">
      <c r="A1689" s="70"/>
      <c r="B1689" s="72"/>
      <c r="C1689" s="68"/>
      <c r="D1689" s="68"/>
      <c r="E1689" s="68"/>
      <c r="F1689" s="68"/>
      <c r="G1689" s="68"/>
      <c r="H1689" s="68"/>
      <c r="I1689" s="68"/>
      <c r="J1689" s="68"/>
    </row>
    <row r="1690" spans="1:10" ht="12.75" customHeight="1">
      <c r="A1690" s="71"/>
      <c r="B1690" s="71"/>
      <c r="C1690" s="68"/>
      <c r="D1690" s="68"/>
      <c r="E1690" s="68"/>
      <c r="F1690" s="68"/>
      <c r="G1690" s="68"/>
      <c r="H1690" s="68"/>
      <c r="I1690" s="68"/>
      <c r="J1690" s="68"/>
    </row>
    <row r="1691" spans="1:10" ht="12.75" customHeight="1">
      <c r="A1691" s="71"/>
      <c r="B1691" s="69" t="s">
        <v>1276</v>
      </c>
      <c r="C1691" s="68">
        <v>345</v>
      </c>
      <c r="D1691" s="68">
        <v>172</v>
      </c>
      <c r="E1691" s="68">
        <v>2</v>
      </c>
      <c r="F1691" s="68">
        <v>4</v>
      </c>
      <c r="G1691" s="68">
        <v>157</v>
      </c>
      <c r="H1691" s="68">
        <v>3</v>
      </c>
      <c r="I1691" s="68">
        <v>0</v>
      </c>
      <c r="J1691" s="68">
        <v>7</v>
      </c>
    </row>
    <row r="1692" spans="1:10" ht="12.75" customHeight="1">
      <c r="A1692" s="71"/>
      <c r="B1692" s="69" t="s">
        <v>1277</v>
      </c>
      <c r="C1692" s="68" t="s">
        <v>1278</v>
      </c>
      <c r="D1692" s="68">
        <v>1</v>
      </c>
      <c r="E1692" s="68">
        <v>2</v>
      </c>
      <c r="F1692" s="68" t="s">
        <v>1285</v>
      </c>
      <c r="G1692" s="68">
        <v>25</v>
      </c>
      <c r="H1692" s="68" t="s">
        <v>1285</v>
      </c>
      <c r="I1692" s="68">
        <v>0</v>
      </c>
      <c r="J1692" s="68" t="s">
        <v>1278</v>
      </c>
    </row>
    <row r="1693" spans="1:10" ht="12.75" customHeight="1">
      <c r="A1693" s="71"/>
      <c r="B1693" s="71" t="s">
        <v>1279</v>
      </c>
      <c r="C1693" s="68" t="s">
        <v>1278</v>
      </c>
      <c r="D1693" s="68">
        <v>1</v>
      </c>
      <c r="E1693" s="68">
        <v>2</v>
      </c>
      <c r="F1693" s="68" t="s">
        <v>1285</v>
      </c>
      <c r="G1693" s="68">
        <v>14</v>
      </c>
      <c r="H1693" s="68" t="s">
        <v>1285</v>
      </c>
      <c r="I1693" s="68">
        <v>0</v>
      </c>
      <c r="J1693" s="68" t="s">
        <v>1278</v>
      </c>
    </row>
    <row r="1694" spans="1:10" ht="12.75" customHeight="1">
      <c r="A1694" s="71"/>
      <c r="B1694" s="71" t="s">
        <v>1280</v>
      </c>
      <c r="C1694" s="68" t="s">
        <v>1278</v>
      </c>
      <c r="D1694" s="68">
        <v>0</v>
      </c>
      <c r="E1694" s="68" t="s">
        <v>1285</v>
      </c>
      <c r="F1694" s="68" t="s">
        <v>1285</v>
      </c>
      <c r="G1694" s="68">
        <v>12</v>
      </c>
      <c r="H1694" s="68" t="s">
        <v>1285</v>
      </c>
      <c r="I1694" s="68">
        <v>0</v>
      </c>
      <c r="J1694" s="68" t="s">
        <v>1278</v>
      </c>
    </row>
    <row r="1695" spans="1:10" ht="12.75" customHeight="1">
      <c r="A1695" s="71"/>
      <c r="B1695" s="69" t="s">
        <v>1281</v>
      </c>
      <c r="C1695" s="68" t="s">
        <v>1278</v>
      </c>
      <c r="D1695" s="68">
        <v>111</v>
      </c>
      <c r="E1695" s="68" t="s">
        <v>1285</v>
      </c>
      <c r="F1695" s="68">
        <v>2</v>
      </c>
      <c r="G1695" s="68">
        <v>69</v>
      </c>
      <c r="H1695" s="68" t="s">
        <v>1285</v>
      </c>
      <c r="I1695" s="68">
        <v>0</v>
      </c>
      <c r="J1695" s="68" t="s">
        <v>1278</v>
      </c>
    </row>
    <row r="1696" spans="1:10" ht="12.75" customHeight="1">
      <c r="A1696" s="71"/>
      <c r="B1696" s="71" t="s">
        <v>1283</v>
      </c>
      <c r="C1696" s="68" t="s">
        <v>1278</v>
      </c>
      <c r="D1696" s="68">
        <v>16</v>
      </c>
      <c r="E1696" s="68">
        <v>0</v>
      </c>
      <c r="F1696" s="68">
        <v>0</v>
      </c>
      <c r="G1696" s="68">
        <v>63</v>
      </c>
      <c r="H1696" s="68" t="s">
        <v>1285</v>
      </c>
      <c r="I1696" s="68">
        <v>0</v>
      </c>
      <c r="J1696" s="68" t="s">
        <v>1278</v>
      </c>
    </row>
    <row r="1697" spans="1:10" ht="12.75" customHeight="1">
      <c r="A1697" s="71"/>
      <c r="B1697" s="71" t="s">
        <v>1284</v>
      </c>
      <c r="C1697" s="68" t="s">
        <v>1278</v>
      </c>
      <c r="D1697" s="68">
        <v>11</v>
      </c>
      <c r="E1697" s="68">
        <v>0</v>
      </c>
      <c r="F1697" s="68">
        <v>0</v>
      </c>
      <c r="G1697" s="68">
        <v>2</v>
      </c>
      <c r="H1697" s="68" t="s">
        <v>1285</v>
      </c>
      <c r="I1697" s="68">
        <v>0</v>
      </c>
      <c r="J1697" s="68" t="s">
        <v>1278</v>
      </c>
    </row>
    <row r="1698" spans="1:10" ht="12.75" customHeight="1">
      <c r="A1698" s="71"/>
      <c r="B1698" s="71" t="s">
        <v>1286</v>
      </c>
      <c r="C1698" s="68" t="s">
        <v>1278</v>
      </c>
      <c r="D1698" s="68">
        <v>75</v>
      </c>
      <c r="E1698" s="68">
        <v>0</v>
      </c>
      <c r="F1698" s="68">
        <v>2</v>
      </c>
      <c r="G1698" s="68">
        <v>1</v>
      </c>
      <c r="H1698" s="68" t="s">
        <v>1285</v>
      </c>
      <c r="I1698" s="68">
        <v>0</v>
      </c>
      <c r="J1698" s="68" t="s">
        <v>1278</v>
      </c>
    </row>
    <row r="1699" spans="1:10" ht="12.75" customHeight="1">
      <c r="A1699" s="71"/>
      <c r="B1699" s="71" t="s">
        <v>1287</v>
      </c>
      <c r="C1699" s="68" t="s">
        <v>1278</v>
      </c>
      <c r="D1699" s="68">
        <v>1</v>
      </c>
      <c r="E1699" s="68" t="s">
        <v>1278</v>
      </c>
      <c r="F1699" s="68" t="s">
        <v>1278</v>
      </c>
      <c r="G1699" s="68" t="s">
        <v>1278</v>
      </c>
      <c r="H1699" s="68" t="s">
        <v>1278</v>
      </c>
      <c r="I1699" s="68" t="s">
        <v>1278</v>
      </c>
      <c r="J1699" s="68" t="s">
        <v>1278</v>
      </c>
    </row>
    <row r="1700" spans="1:10" ht="12.75" customHeight="1">
      <c r="A1700" s="71"/>
      <c r="B1700" s="71" t="s">
        <v>1288</v>
      </c>
      <c r="C1700" s="68" t="s">
        <v>1278</v>
      </c>
      <c r="D1700" s="68">
        <v>7</v>
      </c>
      <c r="E1700" s="68" t="s">
        <v>1285</v>
      </c>
      <c r="F1700" s="68" t="s">
        <v>1285</v>
      </c>
      <c r="G1700" s="68">
        <v>3</v>
      </c>
      <c r="H1700" s="68" t="s">
        <v>1285</v>
      </c>
      <c r="I1700" s="68">
        <v>0</v>
      </c>
      <c r="J1700" s="68" t="s">
        <v>1278</v>
      </c>
    </row>
    <row r="1701" spans="1:10" ht="12.75" customHeight="1">
      <c r="A1701" s="71"/>
      <c r="B1701" s="69" t="s">
        <v>1289</v>
      </c>
      <c r="C1701" s="68" t="s">
        <v>1278</v>
      </c>
      <c r="D1701" s="68">
        <v>59</v>
      </c>
      <c r="E1701" s="68" t="s">
        <v>1285</v>
      </c>
      <c r="F1701" s="68">
        <v>2</v>
      </c>
      <c r="G1701" s="68">
        <v>62</v>
      </c>
      <c r="H1701" s="68">
        <v>2</v>
      </c>
      <c r="I1701" s="68">
        <v>0</v>
      </c>
      <c r="J1701" s="68" t="s">
        <v>1278</v>
      </c>
    </row>
    <row r="1702" spans="1:10" ht="12.75" customHeight="1">
      <c r="A1702" s="71"/>
      <c r="B1702" s="71" t="s">
        <v>1290</v>
      </c>
      <c r="C1702" s="68" t="s">
        <v>1278</v>
      </c>
      <c r="D1702" s="68">
        <v>31</v>
      </c>
      <c r="E1702" s="68">
        <v>0</v>
      </c>
      <c r="F1702" s="68" t="s">
        <v>1285</v>
      </c>
      <c r="G1702" s="68">
        <v>58</v>
      </c>
      <c r="H1702" s="68" t="s">
        <v>1285</v>
      </c>
      <c r="I1702" s="68">
        <v>0</v>
      </c>
      <c r="J1702" s="68" t="s">
        <v>1278</v>
      </c>
    </row>
    <row r="1703" spans="1:10" ht="12.75" customHeight="1">
      <c r="A1703" s="71"/>
      <c r="B1703" s="71" t="s">
        <v>1291</v>
      </c>
      <c r="C1703" s="68" t="s">
        <v>1278</v>
      </c>
      <c r="D1703" s="68">
        <v>20</v>
      </c>
      <c r="E1703" s="68" t="s">
        <v>1278</v>
      </c>
      <c r="F1703" s="68" t="s">
        <v>1278</v>
      </c>
      <c r="G1703" s="68" t="s">
        <v>1278</v>
      </c>
      <c r="H1703" s="68" t="s">
        <v>1278</v>
      </c>
      <c r="I1703" s="68" t="s">
        <v>1278</v>
      </c>
      <c r="J1703" s="68" t="s">
        <v>1278</v>
      </c>
    </row>
    <row r="1704" spans="1:10" ht="12.75" customHeight="1">
      <c r="A1704" s="71"/>
      <c r="B1704" s="71" t="s">
        <v>1292</v>
      </c>
      <c r="C1704" s="68" t="s">
        <v>1278</v>
      </c>
      <c r="D1704" s="68">
        <v>5</v>
      </c>
      <c r="E1704" s="68">
        <v>0</v>
      </c>
      <c r="F1704" s="68" t="s">
        <v>1285</v>
      </c>
      <c r="G1704" s="68">
        <v>2</v>
      </c>
      <c r="H1704" s="68" t="s">
        <v>1285</v>
      </c>
      <c r="I1704" s="68">
        <v>0</v>
      </c>
      <c r="J1704" s="68" t="s">
        <v>1278</v>
      </c>
    </row>
    <row r="1705" spans="1:10" ht="12.75" customHeight="1">
      <c r="A1705" s="71"/>
      <c r="B1705" s="71" t="s">
        <v>1293</v>
      </c>
      <c r="C1705" s="68" t="s">
        <v>1278</v>
      </c>
      <c r="D1705" s="68">
        <v>2</v>
      </c>
      <c r="E1705" s="68" t="s">
        <v>1278</v>
      </c>
      <c r="F1705" s="68">
        <v>1</v>
      </c>
      <c r="G1705" s="68" t="s">
        <v>1285</v>
      </c>
      <c r="H1705" s="68">
        <v>2</v>
      </c>
      <c r="I1705" s="68" t="s">
        <v>1278</v>
      </c>
      <c r="J1705" s="68" t="s">
        <v>1278</v>
      </c>
    </row>
    <row r="1706" spans="1:10" ht="12.75" customHeight="1">
      <c r="A1706" s="71"/>
      <c r="B1706" s="71" t="s">
        <v>1294</v>
      </c>
      <c r="C1706" s="68" t="s">
        <v>1278</v>
      </c>
      <c r="D1706" s="68" t="s">
        <v>1278</v>
      </c>
      <c r="E1706" s="68">
        <v>0</v>
      </c>
      <c r="F1706" s="68" t="s">
        <v>1285</v>
      </c>
      <c r="G1706" s="68" t="s">
        <v>1285</v>
      </c>
      <c r="H1706" s="68" t="s">
        <v>1285</v>
      </c>
      <c r="I1706" s="68">
        <v>0</v>
      </c>
      <c r="J1706" s="68" t="s">
        <v>1278</v>
      </c>
    </row>
    <row r="1707" spans="1:10" ht="12.75" customHeight="1">
      <c r="A1707" s="71"/>
      <c r="B1707" s="71" t="s">
        <v>1295</v>
      </c>
      <c r="C1707" s="68" t="s">
        <v>1278</v>
      </c>
      <c r="D1707" s="68">
        <v>1</v>
      </c>
      <c r="E1707" s="68" t="s">
        <v>1285</v>
      </c>
      <c r="F1707" s="68" t="s">
        <v>1285</v>
      </c>
      <c r="G1707" s="68">
        <v>1</v>
      </c>
      <c r="H1707" s="68" t="s">
        <v>1285</v>
      </c>
      <c r="I1707" s="68">
        <v>0</v>
      </c>
      <c r="J1707" s="68" t="s">
        <v>1278</v>
      </c>
    </row>
    <row r="1708" spans="1:10" ht="12.75" customHeight="1">
      <c r="A1708" s="71"/>
      <c r="B1708" s="69" t="s">
        <v>1296</v>
      </c>
      <c r="C1708" s="68">
        <v>10</v>
      </c>
      <c r="D1708" s="68" t="s">
        <v>1299</v>
      </c>
      <c r="E1708" s="68">
        <v>0</v>
      </c>
      <c r="F1708" s="68">
        <v>0</v>
      </c>
      <c r="G1708" s="68">
        <v>1</v>
      </c>
      <c r="H1708" s="68" t="s">
        <v>1285</v>
      </c>
      <c r="I1708" s="68">
        <v>0</v>
      </c>
      <c r="J1708" s="68">
        <v>7</v>
      </c>
    </row>
    <row r="1709" spans="1:10" ht="12.75" customHeight="1">
      <c r="A1709" s="70"/>
      <c r="B1709" s="72"/>
      <c r="C1709" s="68"/>
      <c r="D1709" s="68"/>
      <c r="E1709" s="68"/>
      <c r="F1709" s="68"/>
      <c r="G1709" s="68"/>
      <c r="H1709" s="68"/>
      <c r="I1709" s="68"/>
      <c r="J1709" s="68"/>
    </row>
    <row r="1710" spans="1:10" s="73" customFormat="1" ht="12.75" customHeight="1">
      <c r="A1710" s="75" t="s">
        <v>1450</v>
      </c>
      <c r="B1710" s="75" t="s">
        <v>1451</v>
      </c>
      <c r="C1710" s="74"/>
      <c r="D1710" s="74"/>
      <c r="E1710" s="74"/>
      <c r="F1710" s="74"/>
      <c r="G1710" s="74"/>
      <c r="H1710" s="74"/>
      <c r="I1710" s="74"/>
      <c r="J1710" s="74"/>
    </row>
    <row r="1711" spans="1:10" ht="12.75" customHeight="1">
      <c r="A1711" s="70"/>
      <c r="B1711" s="72"/>
      <c r="C1711" s="68"/>
      <c r="D1711" s="68"/>
      <c r="E1711" s="68"/>
      <c r="F1711" s="68"/>
      <c r="G1711" s="68"/>
      <c r="H1711" s="68"/>
      <c r="I1711" s="68"/>
      <c r="J1711" s="68"/>
    </row>
    <row r="1712" spans="1:10" ht="12.75" customHeight="1">
      <c r="A1712" s="71"/>
      <c r="B1712" s="71"/>
      <c r="C1712" s="68"/>
      <c r="D1712" s="68"/>
      <c r="E1712" s="68"/>
      <c r="F1712" s="68"/>
      <c r="G1712" s="68"/>
      <c r="H1712" s="68"/>
      <c r="I1712" s="68"/>
      <c r="J1712" s="68"/>
    </row>
    <row r="1713" spans="1:10" ht="12.75" customHeight="1">
      <c r="A1713" s="71"/>
      <c r="B1713" s="69" t="s">
        <v>1276</v>
      </c>
      <c r="C1713" s="68">
        <v>34</v>
      </c>
      <c r="D1713" s="68">
        <v>14</v>
      </c>
      <c r="E1713" s="68">
        <v>0</v>
      </c>
      <c r="F1713" s="68" t="s">
        <v>1285</v>
      </c>
      <c r="G1713" s="68">
        <v>18</v>
      </c>
      <c r="H1713" s="68" t="s">
        <v>1285</v>
      </c>
      <c r="I1713" s="68">
        <v>0</v>
      </c>
      <c r="J1713" s="68">
        <v>2</v>
      </c>
    </row>
    <row r="1714" spans="1:10" ht="12.75" customHeight="1">
      <c r="A1714" s="71"/>
      <c r="B1714" s="69" t="s">
        <v>1277</v>
      </c>
      <c r="C1714" s="68" t="s">
        <v>1278</v>
      </c>
      <c r="D1714" s="68" t="s">
        <v>1285</v>
      </c>
      <c r="E1714" s="68">
        <v>0</v>
      </c>
      <c r="F1714" s="68">
        <v>0</v>
      </c>
      <c r="G1714" s="68">
        <v>1</v>
      </c>
      <c r="H1714" s="68">
        <v>0</v>
      </c>
      <c r="I1714" s="68">
        <v>0</v>
      </c>
      <c r="J1714" s="68" t="s">
        <v>1278</v>
      </c>
    </row>
    <row r="1715" spans="1:10" ht="12.75" customHeight="1">
      <c r="A1715" s="71"/>
      <c r="B1715" s="71" t="s">
        <v>1279</v>
      </c>
      <c r="C1715" s="68" t="s">
        <v>1278</v>
      </c>
      <c r="D1715" s="68" t="s">
        <v>1285</v>
      </c>
      <c r="E1715" s="68">
        <v>0</v>
      </c>
      <c r="F1715" s="68">
        <v>0</v>
      </c>
      <c r="G1715" s="68">
        <v>1</v>
      </c>
      <c r="H1715" s="68">
        <v>0</v>
      </c>
      <c r="I1715" s="68">
        <v>0</v>
      </c>
      <c r="J1715" s="68" t="s">
        <v>1278</v>
      </c>
    </row>
    <row r="1716" spans="1:10" ht="12.75" customHeight="1">
      <c r="A1716" s="71"/>
      <c r="B1716" s="71" t="s">
        <v>1280</v>
      </c>
      <c r="C1716" s="68" t="s">
        <v>1278</v>
      </c>
      <c r="D1716" s="68">
        <v>0</v>
      </c>
      <c r="E1716" s="68">
        <v>0</v>
      </c>
      <c r="F1716" s="68">
        <v>0</v>
      </c>
      <c r="G1716" s="68" t="s">
        <v>1285</v>
      </c>
      <c r="H1716" s="68">
        <v>0</v>
      </c>
      <c r="I1716" s="68">
        <v>0</v>
      </c>
      <c r="J1716" s="68" t="s">
        <v>1278</v>
      </c>
    </row>
    <row r="1717" spans="1:10" ht="12.75" customHeight="1">
      <c r="A1717" s="71"/>
      <c r="B1717" s="69" t="s">
        <v>1281</v>
      </c>
      <c r="C1717" s="68" t="s">
        <v>1278</v>
      </c>
      <c r="D1717" s="68">
        <v>9</v>
      </c>
      <c r="E1717" s="68">
        <v>0</v>
      </c>
      <c r="F1717" s="68" t="s">
        <v>1285</v>
      </c>
      <c r="G1717" s="68">
        <v>13</v>
      </c>
      <c r="H1717" s="68" t="s">
        <v>1285</v>
      </c>
      <c r="I1717" s="68">
        <v>0</v>
      </c>
      <c r="J1717" s="68" t="s">
        <v>1278</v>
      </c>
    </row>
    <row r="1718" spans="1:10" ht="12.75" customHeight="1">
      <c r="A1718" s="71"/>
      <c r="B1718" s="71" t="s">
        <v>1283</v>
      </c>
      <c r="C1718" s="68" t="s">
        <v>1278</v>
      </c>
      <c r="D1718" s="68">
        <v>1</v>
      </c>
      <c r="E1718" s="68">
        <v>0</v>
      </c>
      <c r="F1718" s="68">
        <v>0</v>
      </c>
      <c r="G1718" s="68">
        <v>11</v>
      </c>
      <c r="H1718" s="68" t="s">
        <v>1285</v>
      </c>
      <c r="I1718" s="68">
        <v>0</v>
      </c>
      <c r="J1718" s="68" t="s">
        <v>1278</v>
      </c>
    </row>
    <row r="1719" spans="1:10" ht="12.75" customHeight="1">
      <c r="A1719" s="71"/>
      <c r="B1719" s="71" t="s">
        <v>1284</v>
      </c>
      <c r="C1719" s="68" t="s">
        <v>1278</v>
      </c>
      <c r="D1719" s="68">
        <v>1</v>
      </c>
      <c r="E1719" s="68">
        <v>0</v>
      </c>
      <c r="F1719" s="68">
        <v>0</v>
      </c>
      <c r="G1719" s="68">
        <v>1</v>
      </c>
      <c r="H1719" s="68" t="s">
        <v>1285</v>
      </c>
      <c r="I1719" s="68">
        <v>0</v>
      </c>
      <c r="J1719" s="68" t="s">
        <v>1278</v>
      </c>
    </row>
    <row r="1720" spans="1:10" ht="12.75" customHeight="1">
      <c r="A1720" s="71"/>
      <c r="B1720" s="71" t="s">
        <v>1286</v>
      </c>
      <c r="C1720" s="68" t="s">
        <v>1278</v>
      </c>
      <c r="D1720" s="68">
        <v>7</v>
      </c>
      <c r="E1720" s="68">
        <v>0</v>
      </c>
      <c r="F1720" s="68" t="s">
        <v>1285</v>
      </c>
      <c r="G1720" s="68" t="s">
        <v>1285</v>
      </c>
      <c r="H1720" s="68" t="s">
        <v>1285</v>
      </c>
      <c r="I1720" s="68">
        <v>0</v>
      </c>
      <c r="J1720" s="68" t="s">
        <v>1278</v>
      </c>
    </row>
    <row r="1721" spans="1:10" ht="12.75" customHeight="1">
      <c r="A1721" s="71"/>
      <c r="B1721" s="71" t="s">
        <v>1287</v>
      </c>
      <c r="C1721" s="68" t="s">
        <v>1278</v>
      </c>
      <c r="D1721" s="68" t="s">
        <v>1285</v>
      </c>
      <c r="E1721" s="68" t="s">
        <v>1278</v>
      </c>
      <c r="F1721" s="68" t="s">
        <v>1278</v>
      </c>
      <c r="G1721" s="68" t="s">
        <v>1278</v>
      </c>
      <c r="H1721" s="68" t="s">
        <v>1278</v>
      </c>
      <c r="I1721" s="68" t="s">
        <v>1278</v>
      </c>
      <c r="J1721" s="68" t="s">
        <v>1278</v>
      </c>
    </row>
    <row r="1722" spans="1:10" ht="12.75" customHeight="1">
      <c r="A1722" s="71"/>
      <c r="B1722" s="71" t="s">
        <v>1288</v>
      </c>
      <c r="C1722" s="68" t="s">
        <v>1278</v>
      </c>
      <c r="D1722" s="68" t="s">
        <v>1285</v>
      </c>
      <c r="E1722" s="68">
        <v>0</v>
      </c>
      <c r="F1722" s="68" t="s">
        <v>1285</v>
      </c>
      <c r="G1722" s="68">
        <v>1</v>
      </c>
      <c r="H1722" s="68" t="s">
        <v>1285</v>
      </c>
      <c r="I1722" s="68">
        <v>0</v>
      </c>
      <c r="J1722" s="68" t="s">
        <v>1278</v>
      </c>
    </row>
    <row r="1723" spans="1:10" ht="12.75" customHeight="1">
      <c r="A1723" s="71"/>
      <c r="B1723" s="69" t="s">
        <v>1289</v>
      </c>
      <c r="C1723" s="68" t="s">
        <v>1278</v>
      </c>
      <c r="D1723" s="68">
        <v>5</v>
      </c>
      <c r="E1723" s="68">
        <v>0</v>
      </c>
      <c r="F1723" s="68" t="s">
        <v>1285</v>
      </c>
      <c r="G1723" s="68">
        <v>5</v>
      </c>
      <c r="H1723" s="68" t="s">
        <v>1285</v>
      </c>
      <c r="I1723" s="68">
        <v>0</v>
      </c>
      <c r="J1723" s="68" t="s">
        <v>1278</v>
      </c>
    </row>
    <row r="1724" spans="1:10" ht="12.75" customHeight="1">
      <c r="A1724" s="71"/>
      <c r="B1724" s="71" t="s">
        <v>1290</v>
      </c>
      <c r="C1724" s="68" t="s">
        <v>1278</v>
      </c>
      <c r="D1724" s="68">
        <v>3</v>
      </c>
      <c r="E1724" s="68">
        <v>0</v>
      </c>
      <c r="F1724" s="68">
        <v>0</v>
      </c>
      <c r="G1724" s="68">
        <v>4</v>
      </c>
      <c r="H1724" s="68" t="s">
        <v>1285</v>
      </c>
      <c r="I1724" s="68">
        <v>0</v>
      </c>
      <c r="J1724" s="68" t="s">
        <v>1278</v>
      </c>
    </row>
    <row r="1725" spans="1:10" ht="12.75" customHeight="1">
      <c r="A1725" s="71"/>
      <c r="B1725" s="71" t="s">
        <v>1291</v>
      </c>
      <c r="C1725" s="68" t="s">
        <v>1278</v>
      </c>
      <c r="D1725" s="68">
        <v>1</v>
      </c>
      <c r="E1725" s="68" t="s">
        <v>1278</v>
      </c>
      <c r="F1725" s="68" t="s">
        <v>1278</v>
      </c>
      <c r="G1725" s="68" t="s">
        <v>1278</v>
      </c>
      <c r="H1725" s="68" t="s">
        <v>1278</v>
      </c>
      <c r="I1725" s="68" t="s">
        <v>1278</v>
      </c>
      <c r="J1725" s="68" t="s">
        <v>1278</v>
      </c>
    </row>
    <row r="1726" spans="1:10" ht="12.75" customHeight="1">
      <c r="A1726" s="71"/>
      <c r="B1726" s="71" t="s">
        <v>1292</v>
      </c>
      <c r="C1726" s="68" t="s">
        <v>1278</v>
      </c>
      <c r="D1726" s="68" t="s">
        <v>1285</v>
      </c>
      <c r="E1726" s="68">
        <v>0</v>
      </c>
      <c r="F1726" s="68">
        <v>0</v>
      </c>
      <c r="G1726" s="68" t="s">
        <v>1285</v>
      </c>
      <c r="H1726" s="68" t="s">
        <v>1285</v>
      </c>
      <c r="I1726" s="68">
        <v>0</v>
      </c>
      <c r="J1726" s="68" t="s">
        <v>1278</v>
      </c>
    </row>
    <row r="1727" spans="1:10" ht="12.75" customHeight="1">
      <c r="A1727" s="71"/>
      <c r="B1727" s="71" t="s">
        <v>1293</v>
      </c>
      <c r="C1727" s="68" t="s">
        <v>1278</v>
      </c>
      <c r="D1727" s="68" t="s">
        <v>1285</v>
      </c>
      <c r="E1727" s="68" t="s">
        <v>1278</v>
      </c>
      <c r="F1727" s="68" t="s">
        <v>1285</v>
      </c>
      <c r="G1727" s="68">
        <v>0</v>
      </c>
      <c r="H1727" s="68" t="s">
        <v>1285</v>
      </c>
      <c r="I1727" s="68" t="s">
        <v>1278</v>
      </c>
      <c r="J1727" s="68" t="s">
        <v>1278</v>
      </c>
    </row>
    <row r="1728" spans="1:10" ht="12.75" customHeight="1">
      <c r="A1728" s="71"/>
      <c r="B1728" s="71" t="s">
        <v>1294</v>
      </c>
      <c r="C1728" s="68" t="s">
        <v>1278</v>
      </c>
      <c r="D1728" s="68" t="s">
        <v>1278</v>
      </c>
      <c r="E1728" s="68">
        <v>0</v>
      </c>
      <c r="F1728" s="68" t="s">
        <v>1285</v>
      </c>
      <c r="G1728" s="68" t="s">
        <v>1285</v>
      </c>
      <c r="H1728" s="68" t="s">
        <v>1285</v>
      </c>
      <c r="I1728" s="68">
        <v>0</v>
      </c>
      <c r="J1728" s="68" t="s">
        <v>1278</v>
      </c>
    </row>
    <row r="1729" spans="1:10" ht="12.75" customHeight="1">
      <c r="A1729" s="71"/>
      <c r="B1729" s="71" t="s">
        <v>1295</v>
      </c>
      <c r="C1729" s="68" t="s">
        <v>1278</v>
      </c>
      <c r="D1729" s="68" t="s">
        <v>1285</v>
      </c>
      <c r="E1729" s="68">
        <v>0</v>
      </c>
      <c r="F1729" s="68" t="s">
        <v>1285</v>
      </c>
      <c r="G1729" s="68">
        <v>0</v>
      </c>
      <c r="H1729" s="68" t="s">
        <v>1285</v>
      </c>
      <c r="I1729" s="68">
        <v>0</v>
      </c>
      <c r="J1729" s="68" t="s">
        <v>1278</v>
      </c>
    </row>
    <row r="1730" spans="1:10" ht="12.75" customHeight="1">
      <c r="A1730" s="71"/>
      <c r="B1730" s="69" t="s">
        <v>1296</v>
      </c>
      <c r="C1730" s="68">
        <v>2</v>
      </c>
      <c r="D1730" s="68" t="s">
        <v>1285</v>
      </c>
      <c r="E1730" s="68">
        <v>0</v>
      </c>
      <c r="F1730" s="68">
        <v>0</v>
      </c>
      <c r="G1730" s="68" t="s">
        <v>1285</v>
      </c>
      <c r="H1730" s="68" t="s">
        <v>1285</v>
      </c>
      <c r="I1730" s="68">
        <v>0</v>
      </c>
      <c r="J1730" s="68">
        <v>2</v>
      </c>
    </row>
    <row r="1731" spans="1:10" ht="12.75" customHeight="1">
      <c r="A1731" s="70"/>
      <c r="B1731" s="75"/>
      <c r="C1731" s="68"/>
      <c r="D1731" s="68"/>
      <c r="E1731" s="68"/>
      <c r="F1731" s="68"/>
      <c r="G1731" s="68"/>
      <c r="H1731" s="68"/>
      <c r="I1731" s="68"/>
      <c r="J1731" s="68"/>
    </row>
    <row r="1732" spans="1:10" s="73" customFormat="1" ht="12.75" customHeight="1">
      <c r="A1732" s="69" t="s">
        <v>1452</v>
      </c>
      <c r="B1732" s="69" t="s">
        <v>1453</v>
      </c>
      <c r="C1732" s="74"/>
      <c r="D1732" s="74"/>
      <c r="E1732" s="74"/>
      <c r="F1732" s="74"/>
      <c r="G1732" s="74"/>
      <c r="H1732" s="74"/>
      <c r="I1732" s="74"/>
      <c r="J1732" s="74"/>
    </row>
    <row r="1733" spans="1:10" ht="12.75" customHeight="1">
      <c r="A1733" s="70"/>
      <c r="B1733" s="72"/>
      <c r="C1733" s="68"/>
      <c r="D1733" s="68"/>
      <c r="E1733" s="68"/>
      <c r="F1733" s="68"/>
      <c r="G1733" s="68"/>
      <c r="H1733" s="68"/>
      <c r="I1733" s="68"/>
      <c r="J1733" s="68"/>
    </row>
    <row r="1734" spans="1:10" ht="12.75" customHeight="1">
      <c r="A1734" s="71"/>
      <c r="B1734" s="71"/>
      <c r="C1734" s="68"/>
      <c r="D1734" s="68"/>
      <c r="E1734" s="68"/>
      <c r="F1734" s="68"/>
      <c r="G1734" s="68"/>
      <c r="H1734" s="68"/>
      <c r="I1734" s="68"/>
      <c r="J1734" s="68"/>
    </row>
    <row r="1735" spans="1:10" ht="12.75" customHeight="1">
      <c r="A1735" s="71"/>
      <c r="B1735" s="69" t="s">
        <v>1276</v>
      </c>
      <c r="C1735" s="68">
        <v>41</v>
      </c>
      <c r="D1735" s="68">
        <v>14</v>
      </c>
      <c r="E1735" s="68">
        <v>0</v>
      </c>
      <c r="F1735" s="68" t="s">
        <v>1285</v>
      </c>
      <c r="G1735" s="68">
        <v>25</v>
      </c>
      <c r="H1735" s="68" t="s">
        <v>1285</v>
      </c>
      <c r="I1735" s="68">
        <v>0</v>
      </c>
      <c r="J1735" s="68">
        <v>1</v>
      </c>
    </row>
    <row r="1736" spans="1:10" ht="12.75" customHeight="1">
      <c r="A1736" s="71"/>
      <c r="B1736" s="69" t="s">
        <v>1277</v>
      </c>
      <c r="C1736" s="68" t="s">
        <v>1278</v>
      </c>
      <c r="D1736" s="68">
        <v>1</v>
      </c>
      <c r="E1736" s="68">
        <v>0</v>
      </c>
      <c r="F1736" s="68">
        <v>0</v>
      </c>
      <c r="G1736" s="68">
        <v>5</v>
      </c>
      <c r="H1736" s="68" t="s">
        <v>1285</v>
      </c>
      <c r="I1736" s="68">
        <v>0</v>
      </c>
      <c r="J1736" s="68" t="s">
        <v>1278</v>
      </c>
    </row>
    <row r="1737" spans="1:10" ht="12.75" customHeight="1">
      <c r="A1737" s="71"/>
      <c r="B1737" s="71" t="s">
        <v>1279</v>
      </c>
      <c r="C1737" s="68" t="s">
        <v>1278</v>
      </c>
      <c r="D1737" s="68">
        <v>1</v>
      </c>
      <c r="E1737" s="68">
        <v>0</v>
      </c>
      <c r="F1737" s="68">
        <v>0</v>
      </c>
      <c r="G1737" s="68">
        <v>2</v>
      </c>
      <c r="H1737" s="68" t="s">
        <v>1285</v>
      </c>
      <c r="I1737" s="68">
        <v>0</v>
      </c>
      <c r="J1737" s="68" t="s">
        <v>1278</v>
      </c>
    </row>
    <row r="1738" spans="1:10" ht="12.75" customHeight="1">
      <c r="A1738" s="71"/>
      <c r="B1738" s="71" t="s">
        <v>1280</v>
      </c>
      <c r="C1738" s="68" t="s">
        <v>1278</v>
      </c>
      <c r="D1738" s="68">
        <v>0</v>
      </c>
      <c r="E1738" s="68">
        <v>0</v>
      </c>
      <c r="F1738" s="68">
        <v>0</v>
      </c>
      <c r="G1738" s="68">
        <v>3</v>
      </c>
      <c r="H1738" s="68">
        <v>0</v>
      </c>
      <c r="I1738" s="68">
        <v>0</v>
      </c>
      <c r="J1738" s="68" t="s">
        <v>1278</v>
      </c>
    </row>
    <row r="1739" spans="1:10" ht="12.75" customHeight="1">
      <c r="A1739" s="71"/>
      <c r="B1739" s="69" t="s">
        <v>1281</v>
      </c>
      <c r="C1739" s="68" t="s">
        <v>1278</v>
      </c>
      <c r="D1739" s="68">
        <v>10</v>
      </c>
      <c r="E1739" s="68">
        <v>0</v>
      </c>
      <c r="F1739" s="68" t="s">
        <v>1285</v>
      </c>
      <c r="G1739" s="68">
        <v>14</v>
      </c>
      <c r="H1739" s="68" t="s">
        <v>1285</v>
      </c>
      <c r="I1739" s="68">
        <v>0</v>
      </c>
      <c r="J1739" s="68" t="s">
        <v>1278</v>
      </c>
    </row>
    <row r="1740" spans="1:10" ht="12.75" customHeight="1">
      <c r="A1740" s="71"/>
      <c r="B1740" s="71" t="s">
        <v>1283</v>
      </c>
      <c r="C1740" s="68" t="s">
        <v>1278</v>
      </c>
      <c r="D1740" s="68">
        <v>1</v>
      </c>
      <c r="E1740" s="68">
        <v>0</v>
      </c>
      <c r="F1740" s="68">
        <v>0</v>
      </c>
      <c r="G1740" s="68">
        <v>13</v>
      </c>
      <c r="H1740" s="68" t="s">
        <v>1285</v>
      </c>
      <c r="I1740" s="68">
        <v>0</v>
      </c>
      <c r="J1740" s="68" t="s">
        <v>1278</v>
      </c>
    </row>
    <row r="1741" spans="1:10" ht="12.75" customHeight="1">
      <c r="A1741" s="71"/>
      <c r="B1741" s="71" t="s">
        <v>1284</v>
      </c>
      <c r="C1741" s="68" t="s">
        <v>1278</v>
      </c>
      <c r="D1741" s="68">
        <v>1</v>
      </c>
      <c r="E1741" s="68">
        <v>0</v>
      </c>
      <c r="F1741" s="68">
        <v>0</v>
      </c>
      <c r="G1741" s="68" t="s">
        <v>1285</v>
      </c>
      <c r="H1741" s="68">
        <v>0</v>
      </c>
      <c r="I1741" s="68">
        <v>0</v>
      </c>
      <c r="J1741" s="68" t="s">
        <v>1278</v>
      </c>
    </row>
    <row r="1742" spans="1:10" ht="12.75" customHeight="1">
      <c r="A1742" s="71"/>
      <c r="B1742" s="71" t="s">
        <v>1286</v>
      </c>
      <c r="C1742" s="68" t="s">
        <v>1278</v>
      </c>
      <c r="D1742" s="68">
        <v>7</v>
      </c>
      <c r="E1742" s="68">
        <v>0</v>
      </c>
      <c r="F1742" s="68" t="s">
        <v>1285</v>
      </c>
      <c r="G1742" s="68" t="s">
        <v>1285</v>
      </c>
      <c r="H1742" s="68" t="s">
        <v>1285</v>
      </c>
      <c r="I1742" s="68">
        <v>0</v>
      </c>
      <c r="J1742" s="68" t="s">
        <v>1278</v>
      </c>
    </row>
    <row r="1743" spans="1:10" ht="12.75" customHeight="1">
      <c r="A1743" s="71"/>
      <c r="B1743" s="71" t="s">
        <v>1287</v>
      </c>
      <c r="C1743" s="68" t="s">
        <v>1278</v>
      </c>
      <c r="D1743" s="68" t="s">
        <v>1285</v>
      </c>
      <c r="E1743" s="68" t="s">
        <v>1278</v>
      </c>
      <c r="F1743" s="68" t="s">
        <v>1278</v>
      </c>
      <c r="G1743" s="68" t="s">
        <v>1278</v>
      </c>
      <c r="H1743" s="68" t="s">
        <v>1278</v>
      </c>
      <c r="I1743" s="68" t="s">
        <v>1278</v>
      </c>
      <c r="J1743" s="68" t="s">
        <v>1278</v>
      </c>
    </row>
    <row r="1744" spans="1:10" ht="12.75" customHeight="1">
      <c r="A1744" s="71"/>
      <c r="B1744" s="71" t="s">
        <v>1288</v>
      </c>
      <c r="C1744" s="68" t="s">
        <v>1278</v>
      </c>
      <c r="D1744" s="68">
        <v>1</v>
      </c>
      <c r="E1744" s="68">
        <v>0</v>
      </c>
      <c r="F1744" s="68">
        <v>0</v>
      </c>
      <c r="G1744" s="68">
        <v>1</v>
      </c>
      <c r="H1744" s="68" t="s">
        <v>1285</v>
      </c>
      <c r="I1744" s="68">
        <v>0</v>
      </c>
      <c r="J1744" s="68" t="s">
        <v>1278</v>
      </c>
    </row>
    <row r="1745" spans="1:10" ht="12.75" customHeight="1">
      <c r="A1745" s="71"/>
      <c r="B1745" s="69" t="s">
        <v>1289</v>
      </c>
      <c r="C1745" s="68" t="s">
        <v>1278</v>
      </c>
      <c r="D1745" s="68">
        <v>4</v>
      </c>
      <c r="E1745" s="68">
        <v>0</v>
      </c>
      <c r="F1745" s="68" t="s">
        <v>1285</v>
      </c>
      <c r="G1745" s="68">
        <v>7</v>
      </c>
      <c r="H1745" s="68" t="s">
        <v>1285</v>
      </c>
      <c r="I1745" s="68">
        <v>0</v>
      </c>
      <c r="J1745" s="68" t="s">
        <v>1278</v>
      </c>
    </row>
    <row r="1746" spans="1:10" ht="12.75" customHeight="1">
      <c r="A1746" s="71"/>
      <c r="B1746" s="71" t="s">
        <v>1290</v>
      </c>
      <c r="C1746" s="68" t="s">
        <v>1278</v>
      </c>
      <c r="D1746" s="68">
        <v>2</v>
      </c>
      <c r="E1746" s="68">
        <v>0</v>
      </c>
      <c r="F1746" s="68">
        <v>0</v>
      </c>
      <c r="G1746" s="68">
        <v>6</v>
      </c>
      <c r="H1746" s="68" t="s">
        <v>1285</v>
      </c>
      <c r="I1746" s="68">
        <v>0</v>
      </c>
      <c r="J1746" s="68" t="s">
        <v>1278</v>
      </c>
    </row>
    <row r="1747" spans="1:10" ht="12.75" customHeight="1">
      <c r="A1747" s="71"/>
      <c r="B1747" s="71" t="s">
        <v>1291</v>
      </c>
      <c r="C1747" s="68" t="s">
        <v>1278</v>
      </c>
      <c r="D1747" s="68">
        <v>2</v>
      </c>
      <c r="E1747" s="68" t="s">
        <v>1278</v>
      </c>
      <c r="F1747" s="68" t="s">
        <v>1278</v>
      </c>
      <c r="G1747" s="68" t="s">
        <v>1278</v>
      </c>
      <c r="H1747" s="68" t="s">
        <v>1278</v>
      </c>
      <c r="I1747" s="68" t="s">
        <v>1278</v>
      </c>
      <c r="J1747" s="68" t="s">
        <v>1278</v>
      </c>
    </row>
    <row r="1748" spans="1:10" ht="12.75" customHeight="1">
      <c r="A1748" s="71"/>
      <c r="B1748" s="71" t="s">
        <v>1292</v>
      </c>
      <c r="C1748" s="68" t="s">
        <v>1278</v>
      </c>
      <c r="D1748" s="68" t="s">
        <v>1285</v>
      </c>
      <c r="E1748" s="68">
        <v>0</v>
      </c>
      <c r="F1748" s="68" t="s">
        <v>1285</v>
      </c>
      <c r="G1748" s="68" t="s">
        <v>1285</v>
      </c>
      <c r="H1748" s="68">
        <v>0</v>
      </c>
      <c r="I1748" s="68">
        <v>0</v>
      </c>
      <c r="J1748" s="68" t="s">
        <v>1278</v>
      </c>
    </row>
    <row r="1749" spans="1:10" ht="12.75" customHeight="1">
      <c r="A1749" s="71"/>
      <c r="B1749" s="71" t="s">
        <v>1293</v>
      </c>
      <c r="C1749" s="68" t="s">
        <v>1278</v>
      </c>
      <c r="D1749" s="68" t="s">
        <v>1285</v>
      </c>
      <c r="E1749" s="68" t="s">
        <v>1278</v>
      </c>
      <c r="F1749" s="68" t="s">
        <v>1285</v>
      </c>
      <c r="G1749" s="68" t="s">
        <v>1285</v>
      </c>
      <c r="H1749" s="68" t="s">
        <v>1285</v>
      </c>
      <c r="I1749" s="68" t="s">
        <v>1278</v>
      </c>
      <c r="J1749" s="68" t="s">
        <v>1278</v>
      </c>
    </row>
    <row r="1750" spans="1:10" ht="12.75" customHeight="1">
      <c r="A1750" s="71"/>
      <c r="B1750" s="71" t="s">
        <v>1294</v>
      </c>
      <c r="C1750" s="68" t="s">
        <v>1278</v>
      </c>
      <c r="D1750" s="68" t="s">
        <v>1278</v>
      </c>
      <c r="E1750" s="68">
        <v>0</v>
      </c>
      <c r="F1750" s="68" t="s">
        <v>1285</v>
      </c>
      <c r="G1750" s="68" t="s">
        <v>1285</v>
      </c>
      <c r="H1750" s="68">
        <v>0</v>
      </c>
      <c r="I1750" s="68">
        <v>0</v>
      </c>
      <c r="J1750" s="68" t="s">
        <v>1278</v>
      </c>
    </row>
    <row r="1751" spans="1:10" ht="12.75" customHeight="1">
      <c r="A1751" s="71"/>
      <c r="B1751" s="71" t="s">
        <v>1295</v>
      </c>
      <c r="C1751" s="68" t="s">
        <v>1278</v>
      </c>
      <c r="D1751" s="68" t="s">
        <v>1285</v>
      </c>
      <c r="E1751" s="68">
        <v>0</v>
      </c>
      <c r="F1751" s="68" t="s">
        <v>1285</v>
      </c>
      <c r="G1751" s="68">
        <v>0</v>
      </c>
      <c r="H1751" s="68">
        <v>0</v>
      </c>
      <c r="I1751" s="68">
        <v>0</v>
      </c>
      <c r="J1751" s="68" t="s">
        <v>1278</v>
      </c>
    </row>
    <row r="1752" spans="1:10" ht="12.75" customHeight="1">
      <c r="A1752" s="71"/>
      <c r="B1752" s="69" t="s">
        <v>1296</v>
      </c>
      <c r="C1752" s="68">
        <v>1</v>
      </c>
      <c r="D1752" s="68">
        <v>0</v>
      </c>
      <c r="E1752" s="68">
        <v>0</v>
      </c>
      <c r="F1752" s="68">
        <v>0</v>
      </c>
      <c r="G1752" s="68" t="s">
        <v>1285</v>
      </c>
      <c r="H1752" s="68" t="s">
        <v>1285</v>
      </c>
      <c r="I1752" s="68">
        <v>0</v>
      </c>
      <c r="J1752" s="68">
        <v>1</v>
      </c>
    </row>
    <row r="1753" spans="1:10" ht="12.75" customHeight="1">
      <c r="A1753" s="70"/>
      <c r="B1753" s="72"/>
      <c r="C1753" s="68"/>
      <c r="D1753" s="68"/>
      <c r="E1753" s="68"/>
      <c r="F1753" s="68"/>
      <c r="G1753" s="68"/>
      <c r="H1753" s="68"/>
      <c r="I1753" s="68"/>
      <c r="J1753" s="68"/>
    </row>
    <row r="1754" spans="1:10" s="73" customFormat="1" ht="12.75" customHeight="1">
      <c r="A1754" s="69" t="s">
        <v>1454</v>
      </c>
      <c r="B1754" s="69" t="s">
        <v>1455</v>
      </c>
      <c r="C1754" s="74"/>
      <c r="D1754" s="74"/>
      <c r="E1754" s="74"/>
      <c r="F1754" s="74"/>
      <c r="G1754" s="74"/>
      <c r="H1754" s="74"/>
      <c r="I1754" s="74"/>
      <c r="J1754" s="74"/>
    </row>
    <row r="1755" spans="1:10" ht="12.75" customHeight="1">
      <c r="A1755" s="70"/>
      <c r="B1755" s="72"/>
      <c r="C1755" s="68"/>
      <c r="D1755" s="68"/>
      <c r="E1755" s="68"/>
      <c r="F1755" s="68"/>
      <c r="G1755" s="68"/>
      <c r="H1755" s="68"/>
      <c r="I1755" s="68"/>
      <c r="J1755" s="68"/>
    </row>
    <row r="1756" spans="1:10" ht="12.75" customHeight="1">
      <c r="A1756" s="71"/>
      <c r="B1756" s="71"/>
      <c r="C1756" s="68"/>
      <c r="D1756" s="68"/>
      <c r="E1756" s="68"/>
      <c r="F1756" s="68"/>
      <c r="G1756" s="68"/>
      <c r="H1756" s="68"/>
      <c r="I1756" s="68"/>
      <c r="J1756" s="68"/>
    </row>
    <row r="1757" spans="1:10" ht="12.75" customHeight="1">
      <c r="A1757" s="71"/>
      <c r="B1757" s="69" t="s">
        <v>1276</v>
      </c>
      <c r="C1757" s="68">
        <v>64</v>
      </c>
      <c r="D1757" s="68">
        <v>33</v>
      </c>
      <c r="E1757" s="68" t="s">
        <v>1285</v>
      </c>
      <c r="F1757" s="68" t="s">
        <v>1285</v>
      </c>
      <c r="G1757" s="68">
        <v>27</v>
      </c>
      <c r="H1757" s="68" t="s">
        <v>1285</v>
      </c>
      <c r="I1757" s="68">
        <v>0</v>
      </c>
      <c r="J1757" s="68">
        <v>4</v>
      </c>
    </row>
    <row r="1758" spans="1:10" ht="12.75" customHeight="1">
      <c r="A1758" s="71"/>
      <c r="B1758" s="69" t="s">
        <v>1277</v>
      </c>
      <c r="C1758" s="68" t="s">
        <v>1278</v>
      </c>
      <c r="D1758" s="68" t="s">
        <v>1285</v>
      </c>
      <c r="E1758" s="68" t="s">
        <v>1285</v>
      </c>
      <c r="F1758" s="68" t="s">
        <v>1285</v>
      </c>
      <c r="G1758" s="68">
        <v>12</v>
      </c>
      <c r="H1758" s="68" t="s">
        <v>1285</v>
      </c>
      <c r="I1758" s="68">
        <v>0</v>
      </c>
      <c r="J1758" s="68" t="s">
        <v>1278</v>
      </c>
    </row>
    <row r="1759" spans="1:10" ht="12.75" customHeight="1">
      <c r="A1759" s="71"/>
      <c r="B1759" s="71" t="s">
        <v>1279</v>
      </c>
      <c r="C1759" s="68" t="s">
        <v>1278</v>
      </c>
      <c r="D1759" s="68" t="s">
        <v>1285</v>
      </c>
      <c r="E1759" s="68">
        <v>0</v>
      </c>
      <c r="F1759" s="68" t="s">
        <v>1285</v>
      </c>
      <c r="G1759" s="68">
        <v>8</v>
      </c>
      <c r="H1759" s="68" t="s">
        <v>1285</v>
      </c>
      <c r="I1759" s="68">
        <v>0</v>
      </c>
      <c r="J1759" s="68" t="s">
        <v>1278</v>
      </c>
    </row>
    <row r="1760" spans="1:10" ht="12.75" customHeight="1">
      <c r="A1760" s="71"/>
      <c r="B1760" s="71" t="s">
        <v>1280</v>
      </c>
      <c r="C1760" s="68" t="s">
        <v>1278</v>
      </c>
      <c r="D1760" s="68">
        <v>0</v>
      </c>
      <c r="E1760" s="68" t="s">
        <v>1285</v>
      </c>
      <c r="F1760" s="68" t="s">
        <v>1285</v>
      </c>
      <c r="G1760" s="68">
        <v>5</v>
      </c>
      <c r="H1760" s="68" t="s">
        <v>1285</v>
      </c>
      <c r="I1760" s="68">
        <v>0</v>
      </c>
      <c r="J1760" s="68" t="s">
        <v>1278</v>
      </c>
    </row>
    <row r="1761" spans="1:10" ht="12.75" customHeight="1">
      <c r="A1761" s="71"/>
      <c r="B1761" s="69" t="s">
        <v>1281</v>
      </c>
      <c r="C1761" s="68" t="s">
        <v>1278</v>
      </c>
      <c r="D1761" s="68">
        <v>16</v>
      </c>
      <c r="E1761" s="68">
        <v>0</v>
      </c>
      <c r="F1761" s="68" t="s">
        <v>1285</v>
      </c>
      <c r="G1761" s="68">
        <v>5</v>
      </c>
      <c r="H1761" s="68" t="s">
        <v>1285</v>
      </c>
      <c r="I1761" s="68">
        <v>0</v>
      </c>
      <c r="J1761" s="68" t="s">
        <v>1278</v>
      </c>
    </row>
    <row r="1762" spans="1:10" ht="12.75" customHeight="1">
      <c r="A1762" s="71"/>
      <c r="B1762" s="71" t="s">
        <v>1283</v>
      </c>
      <c r="C1762" s="68" t="s">
        <v>1278</v>
      </c>
      <c r="D1762" s="68">
        <v>4</v>
      </c>
      <c r="E1762" s="68">
        <v>0</v>
      </c>
      <c r="F1762" s="68">
        <v>0</v>
      </c>
      <c r="G1762" s="68">
        <v>4</v>
      </c>
      <c r="H1762" s="68" t="s">
        <v>1285</v>
      </c>
      <c r="I1762" s="68">
        <v>0</v>
      </c>
      <c r="J1762" s="68" t="s">
        <v>1278</v>
      </c>
    </row>
    <row r="1763" spans="1:10" ht="12.75" customHeight="1">
      <c r="A1763" s="71"/>
      <c r="B1763" s="71" t="s">
        <v>1284</v>
      </c>
      <c r="C1763" s="68" t="s">
        <v>1278</v>
      </c>
      <c r="D1763" s="68">
        <v>3</v>
      </c>
      <c r="E1763" s="68">
        <v>0</v>
      </c>
      <c r="F1763" s="68">
        <v>0</v>
      </c>
      <c r="G1763" s="68" t="s">
        <v>1285</v>
      </c>
      <c r="H1763" s="68" t="s">
        <v>1285</v>
      </c>
      <c r="I1763" s="68">
        <v>0</v>
      </c>
      <c r="J1763" s="68" t="s">
        <v>1278</v>
      </c>
    </row>
    <row r="1764" spans="1:10" ht="12.75" customHeight="1">
      <c r="A1764" s="71"/>
      <c r="B1764" s="71" t="s">
        <v>1286</v>
      </c>
      <c r="C1764" s="68" t="s">
        <v>1278</v>
      </c>
      <c r="D1764" s="68">
        <v>8</v>
      </c>
      <c r="E1764" s="68">
        <v>0</v>
      </c>
      <c r="F1764" s="68" t="s">
        <v>1285</v>
      </c>
      <c r="G1764" s="68">
        <v>1</v>
      </c>
      <c r="H1764" s="68" t="s">
        <v>1285</v>
      </c>
      <c r="I1764" s="68">
        <v>0</v>
      </c>
      <c r="J1764" s="68" t="s">
        <v>1278</v>
      </c>
    </row>
    <row r="1765" spans="1:10" ht="12.75" customHeight="1">
      <c r="A1765" s="71"/>
      <c r="B1765" s="71" t="s">
        <v>1287</v>
      </c>
      <c r="C1765" s="68" t="s">
        <v>1278</v>
      </c>
      <c r="D1765" s="68" t="s">
        <v>1285</v>
      </c>
      <c r="E1765" s="68" t="s">
        <v>1278</v>
      </c>
      <c r="F1765" s="68" t="s">
        <v>1278</v>
      </c>
      <c r="G1765" s="68" t="s">
        <v>1278</v>
      </c>
      <c r="H1765" s="68" t="s">
        <v>1278</v>
      </c>
      <c r="I1765" s="68" t="s">
        <v>1278</v>
      </c>
      <c r="J1765" s="68" t="s">
        <v>1278</v>
      </c>
    </row>
    <row r="1766" spans="1:10" ht="12.75" customHeight="1">
      <c r="A1766" s="71"/>
      <c r="B1766" s="71" t="s">
        <v>1288</v>
      </c>
      <c r="C1766" s="68" t="s">
        <v>1278</v>
      </c>
      <c r="D1766" s="68">
        <v>1</v>
      </c>
      <c r="E1766" s="68">
        <v>0</v>
      </c>
      <c r="F1766" s="68" t="s">
        <v>1285</v>
      </c>
      <c r="G1766" s="68" t="s">
        <v>1285</v>
      </c>
      <c r="H1766" s="68" t="s">
        <v>1285</v>
      </c>
      <c r="I1766" s="68">
        <v>0</v>
      </c>
      <c r="J1766" s="68" t="s">
        <v>1278</v>
      </c>
    </row>
    <row r="1767" spans="1:10" ht="12.75" customHeight="1">
      <c r="A1767" s="71"/>
      <c r="B1767" s="69" t="s">
        <v>1289</v>
      </c>
      <c r="C1767" s="68" t="s">
        <v>1278</v>
      </c>
      <c r="D1767" s="68">
        <v>17</v>
      </c>
      <c r="E1767" s="68">
        <v>0</v>
      </c>
      <c r="F1767" s="68" t="s">
        <v>1285</v>
      </c>
      <c r="G1767" s="68">
        <v>9</v>
      </c>
      <c r="H1767" s="68" t="s">
        <v>1285</v>
      </c>
      <c r="I1767" s="68">
        <v>0</v>
      </c>
      <c r="J1767" s="68" t="s">
        <v>1278</v>
      </c>
    </row>
    <row r="1768" spans="1:10" ht="12.75" customHeight="1">
      <c r="A1768" s="71"/>
      <c r="B1768" s="71" t="s">
        <v>1290</v>
      </c>
      <c r="C1768" s="68" t="s">
        <v>1278</v>
      </c>
      <c r="D1768" s="68">
        <v>10</v>
      </c>
      <c r="E1768" s="68">
        <v>0</v>
      </c>
      <c r="F1768" s="68" t="s">
        <v>1285</v>
      </c>
      <c r="G1768" s="68">
        <v>7</v>
      </c>
      <c r="H1768" s="68" t="s">
        <v>1285</v>
      </c>
      <c r="I1768" s="68">
        <v>0</v>
      </c>
      <c r="J1768" s="68" t="s">
        <v>1278</v>
      </c>
    </row>
    <row r="1769" spans="1:10" ht="12.75" customHeight="1">
      <c r="A1769" s="71"/>
      <c r="B1769" s="71" t="s">
        <v>1291</v>
      </c>
      <c r="C1769" s="68" t="s">
        <v>1278</v>
      </c>
      <c r="D1769" s="68">
        <v>5</v>
      </c>
      <c r="E1769" s="68" t="s">
        <v>1278</v>
      </c>
      <c r="F1769" s="68" t="s">
        <v>1278</v>
      </c>
      <c r="G1769" s="68" t="s">
        <v>1278</v>
      </c>
      <c r="H1769" s="68" t="s">
        <v>1278</v>
      </c>
      <c r="I1769" s="68" t="s">
        <v>1278</v>
      </c>
      <c r="J1769" s="68" t="s">
        <v>1278</v>
      </c>
    </row>
    <row r="1770" spans="1:10" ht="12.75" customHeight="1">
      <c r="A1770" s="71"/>
      <c r="B1770" s="71" t="s">
        <v>1292</v>
      </c>
      <c r="C1770" s="68" t="s">
        <v>1278</v>
      </c>
      <c r="D1770" s="68">
        <v>1</v>
      </c>
      <c r="E1770" s="68">
        <v>0</v>
      </c>
      <c r="F1770" s="68" t="s">
        <v>1285</v>
      </c>
      <c r="G1770" s="68">
        <v>1</v>
      </c>
      <c r="H1770" s="68" t="s">
        <v>1285</v>
      </c>
      <c r="I1770" s="68">
        <v>0</v>
      </c>
      <c r="J1770" s="68" t="s">
        <v>1278</v>
      </c>
    </row>
    <row r="1771" spans="1:10" ht="12.75" customHeight="1">
      <c r="A1771" s="71"/>
      <c r="B1771" s="71" t="s">
        <v>1293</v>
      </c>
      <c r="C1771" s="68" t="s">
        <v>1278</v>
      </c>
      <c r="D1771" s="68" t="s">
        <v>1285</v>
      </c>
      <c r="E1771" s="68" t="s">
        <v>1278</v>
      </c>
      <c r="F1771" s="68" t="s">
        <v>1285</v>
      </c>
      <c r="G1771" s="68" t="s">
        <v>1285</v>
      </c>
      <c r="H1771" s="68" t="s">
        <v>1285</v>
      </c>
      <c r="I1771" s="68" t="s">
        <v>1278</v>
      </c>
      <c r="J1771" s="68" t="s">
        <v>1278</v>
      </c>
    </row>
    <row r="1772" spans="1:10" ht="12.75" customHeight="1">
      <c r="A1772" s="71"/>
      <c r="B1772" s="71" t="s">
        <v>1294</v>
      </c>
      <c r="C1772" s="68" t="s">
        <v>1278</v>
      </c>
      <c r="D1772" s="68" t="s">
        <v>1278</v>
      </c>
      <c r="E1772" s="68">
        <v>0</v>
      </c>
      <c r="F1772" s="68" t="s">
        <v>1285</v>
      </c>
      <c r="G1772" s="68" t="s">
        <v>1285</v>
      </c>
      <c r="H1772" s="68" t="s">
        <v>1285</v>
      </c>
      <c r="I1772" s="68">
        <v>0</v>
      </c>
      <c r="J1772" s="68" t="s">
        <v>1278</v>
      </c>
    </row>
    <row r="1773" spans="1:10" ht="12.75" customHeight="1">
      <c r="A1773" s="71"/>
      <c r="B1773" s="71" t="s">
        <v>1295</v>
      </c>
      <c r="C1773" s="68" t="s">
        <v>1278</v>
      </c>
      <c r="D1773" s="68" t="s">
        <v>1285</v>
      </c>
      <c r="E1773" s="68">
        <v>0</v>
      </c>
      <c r="F1773" s="68" t="s">
        <v>1285</v>
      </c>
      <c r="G1773" s="68">
        <v>1</v>
      </c>
      <c r="H1773" s="68" t="s">
        <v>1285</v>
      </c>
      <c r="I1773" s="68">
        <v>0</v>
      </c>
      <c r="J1773" s="68" t="s">
        <v>1278</v>
      </c>
    </row>
    <row r="1774" spans="1:10" ht="12.75" customHeight="1">
      <c r="A1774" s="71"/>
      <c r="B1774" s="69" t="s">
        <v>1296</v>
      </c>
      <c r="C1774" s="68">
        <v>5</v>
      </c>
      <c r="D1774" s="68" t="s">
        <v>1285</v>
      </c>
      <c r="E1774" s="68">
        <v>0</v>
      </c>
      <c r="F1774" s="68">
        <v>0</v>
      </c>
      <c r="G1774" s="68" t="s">
        <v>1299</v>
      </c>
      <c r="H1774" s="68" t="s">
        <v>1285</v>
      </c>
      <c r="I1774" s="68">
        <v>0</v>
      </c>
      <c r="J1774" s="68">
        <v>4</v>
      </c>
    </row>
    <row r="1775" spans="1:10" ht="12.75" customHeight="1">
      <c r="A1775" s="70"/>
      <c r="B1775" s="72"/>
      <c r="C1775" s="68"/>
      <c r="D1775" s="68"/>
      <c r="E1775" s="68"/>
      <c r="F1775" s="68"/>
      <c r="G1775" s="68"/>
      <c r="H1775" s="68"/>
      <c r="I1775" s="68"/>
      <c r="J1775" s="68"/>
    </row>
    <row r="1776" spans="1:10" s="73" customFormat="1" ht="12.75" customHeight="1">
      <c r="A1776" s="69" t="s">
        <v>1456</v>
      </c>
      <c r="B1776" s="69" t="s">
        <v>1457</v>
      </c>
      <c r="C1776" s="74"/>
      <c r="D1776" s="74"/>
      <c r="E1776" s="74"/>
      <c r="F1776" s="74"/>
      <c r="G1776" s="74"/>
      <c r="H1776" s="74"/>
      <c r="I1776" s="74"/>
      <c r="J1776" s="74"/>
    </row>
    <row r="1777" spans="1:10" ht="12.75" customHeight="1">
      <c r="A1777" s="70"/>
      <c r="B1777" s="72"/>
      <c r="C1777" s="68"/>
      <c r="D1777" s="68"/>
      <c r="E1777" s="68"/>
      <c r="F1777" s="68"/>
      <c r="G1777" s="68"/>
      <c r="H1777" s="68"/>
      <c r="I1777" s="68"/>
      <c r="J1777" s="68"/>
    </row>
    <row r="1778" spans="1:10" ht="12.75" customHeight="1">
      <c r="A1778" s="71"/>
      <c r="B1778" s="71"/>
      <c r="C1778" s="68"/>
      <c r="D1778" s="68"/>
      <c r="E1778" s="68"/>
      <c r="F1778" s="68"/>
      <c r="G1778" s="68"/>
      <c r="H1778" s="68"/>
      <c r="I1778" s="68"/>
      <c r="J1778" s="68"/>
    </row>
    <row r="1779" spans="1:10" ht="12.75" customHeight="1">
      <c r="A1779" s="71"/>
      <c r="B1779" s="69" t="s">
        <v>1276</v>
      </c>
      <c r="C1779" s="68">
        <v>17</v>
      </c>
      <c r="D1779" s="68">
        <v>9</v>
      </c>
      <c r="E1779" s="68">
        <v>0</v>
      </c>
      <c r="F1779" s="68" t="s">
        <v>1285</v>
      </c>
      <c r="G1779" s="68">
        <v>6</v>
      </c>
      <c r="H1779" s="68" t="s">
        <v>1285</v>
      </c>
      <c r="I1779" s="68">
        <v>0</v>
      </c>
      <c r="J1779" s="68">
        <v>2</v>
      </c>
    </row>
    <row r="1780" spans="1:10" ht="12.75" customHeight="1">
      <c r="A1780" s="71"/>
      <c r="B1780" s="69" t="s">
        <v>1277</v>
      </c>
      <c r="C1780" s="68" t="s">
        <v>1278</v>
      </c>
      <c r="D1780" s="68" t="s">
        <v>1285</v>
      </c>
      <c r="E1780" s="68">
        <v>0</v>
      </c>
      <c r="F1780" s="68" t="s">
        <v>1285</v>
      </c>
      <c r="G1780" s="68">
        <v>3</v>
      </c>
      <c r="H1780" s="68" t="s">
        <v>1285</v>
      </c>
      <c r="I1780" s="68">
        <v>0</v>
      </c>
      <c r="J1780" s="68" t="s">
        <v>1278</v>
      </c>
    </row>
    <row r="1781" spans="1:10" ht="12.75" customHeight="1">
      <c r="A1781" s="71"/>
      <c r="B1781" s="71" t="s">
        <v>1279</v>
      </c>
      <c r="C1781" s="68" t="s">
        <v>1278</v>
      </c>
      <c r="D1781" s="68" t="s">
        <v>1285</v>
      </c>
      <c r="E1781" s="68">
        <v>0</v>
      </c>
      <c r="F1781" s="68" t="s">
        <v>1285</v>
      </c>
      <c r="G1781" s="68">
        <v>2</v>
      </c>
      <c r="H1781" s="68" t="s">
        <v>1285</v>
      </c>
      <c r="I1781" s="68">
        <v>0</v>
      </c>
      <c r="J1781" s="68" t="s">
        <v>1278</v>
      </c>
    </row>
    <row r="1782" spans="1:10" ht="12.75" customHeight="1">
      <c r="A1782" s="71"/>
      <c r="B1782" s="71" t="s">
        <v>1280</v>
      </c>
      <c r="C1782" s="68" t="s">
        <v>1278</v>
      </c>
      <c r="D1782" s="68">
        <v>0</v>
      </c>
      <c r="E1782" s="68">
        <v>0</v>
      </c>
      <c r="F1782" s="68">
        <v>0</v>
      </c>
      <c r="G1782" s="68" t="s">
        <v>1285</v>
      </c>
      <c r="H1782" s="68">
        <v>0</v>
      </c>
      <c r="I1782" s="68">
        <v>0</v>
      </c>
      <c r="J1782" s="68" t="s">
        <v>1278</v>
      </c>
    </row>
    <row r="1783" spans="1:10" ht="12.75" customHeight="1">
      <c r="A1783" s="71"/>
      <c r="B1783" s="69" t="s">
        <v>1281</v>
      </c>
      <c r="C1783" s="68" t="s">
        <v>1278</v>
      </c>
      <c r="D1783" s="68">
        <v>3</v>
      </c>
      <c r="E1783" s="68">
        <v>0</v>
      </c>
      <c r="F1783" s="68" t="s">
        <v>1285</v>
      </c>
      <c r="G1783" s="68">
        <v>1</v>
      </c>
      <c r="H1783" s="68">
        <v>0</v>
      </c>
      <c r="I1783" s="68">
        <v>0</v>
      </c>
      <c r="J1783" s="68" t="s">
        <v>1278</v>
      </c>
    </row>
    <row r="1784" spans="1:10" ht="12.75" customHeight="1">
      <c r="A1784" s="71"/>
      <c r="B1784" s="71" t="s">
        <v>1283</v>
      </c>
      <c r="C1784" s="68" t="s">
        <v>1278</v>
      </c>
      <c r="D1784" s="68">
        <v>1</v>
      </c>
      <c r="E1784" s="68">
        <v>0</v>
      </c>
      <c r="F1784" s="68">
        <v>0</v>
      </c>
      <c r="G1784" s="68">
        <v>1</v>
      </c>
      <c r="H1784" s="68">
        <v>0</v>
      </c>
      <c r="I1784" s="68">
        <v>0</v>
      </c>
      <c r="J1784" s="68" t="s">
        <v>1278</v>
      </c>
    </row>
    <row r="1785" spans="1:10" ht="12.75" customHeight="1">
      <c r="A1785" s="71"/>
      <c r="B1785" s="71" t="s">
        <v>1284</v>
      </c>
      <c r="C1785" s="68" t="s">
        <v>1278</v>
      </c>
      <c r="D1785" s="68" t="s">
        <v>1285</v>
      </c>
      <c r="E1785" s="68">
        <v>0</v>
      </c>
      <c r="F1785" s="68">
        <v>0</v>
      </c>
      <c r="G1785" s="68" t="s">
        <v>1285</v>
      </c>
      <c r="H1785" s="68">
        <v>0</v>
      </c>
      <c r="I1785" s="68">
        <v>0</v>
      </c>
      <c r="J1785" s="68" t="s">
        <v>1278</v>
      </c>
    </row>
    <row r="1786" spans="1:10" ht="12.75" customHeight="1">
      <c r="A1786" s="71"/>
      <c r="B1786" s="71" t="s">
        <v>1286</v>
      </c>
      <c r="C1786" s="68" t="s">
        <v>1278</v>
      </c>
      <c r="D1786" s="68">
        <v>2</v>
      </c>
      <c r="E1786" s="68">
        <v>0</v>
      </c>
      <c r="F1786" s="68" t="s">
        <v>1285</v>
      </c>
      <c r="G1786" s="68" t="s">
        <v>1285</v>
      </c>
      <c r="H1786" s="68">
        <v>0</v>
      </c>
      <c r="I1786" s="68">
        <v>0</v>
      </c>
      <c r="J1786" s="68" t="s">
        <v>1278</v>
      </c>
    </row>
    <row r="1787" spans="1:10" ht="12.75" customHeight="1">
      <c r="A1787" s="71"/>
      <c r="B1787" s="71" t="s">
        <v>1287</v>
      </c>
      <c r="C1787" s="68" t="s">
        <v>1278</v>
      </c>
      <c r="D1787" s="68" t="s">
        <v>1285</v>
      </c>
      <c r="E1787" s="68" t="s">
        <v>1278</v>
      </c>
      <c r="F1787" s="68" t="s">
        <v>1278</v>
      </c>
      <c r="G1787" s="68" t="s">
        <v>1278</v>
      </c>
      <c r="H1787" s="68" t="s">
        <v>1278</v>
      </c>
      <c r="I1787" s="68" t="s">
        <v>1278</v>
      </c>
      <c r="J1787" s="68" t="s">
        <v>1278</v>
      </c>
    </row>
    <row r="1788" spans="1:10" ht="12.75" customHeight="1">
      <c r="A1788" s="71"/>
      <c r="B1788" s="71" t="s">
        <v>1288</v>
      </c>
      <c r="C1788" s="68" t="s">
        <v>1278</v>
      </c>
      <c r="D1788" s="68" t="s">
        <v>1285</v>
      </c>
      <c r="E1788" s="68">
        <v>0</v>
      </c>
      <c r="F1788" s="68" t="s">
        <v>1285</v>
      </c>
      <c r="G1788" s="68" t="s">
        <v>1285</v>
      </c>
      <c r="H1788" s="68">
        <v>0</v>
      </c>
      <c r="I1788" s="68">
        <v>0</v>
      </c>
      <c r="J1788" s="68" t="s">
        <v>1278</v>
      </c>
    </row>
    <row r="1789" spans="1:10" ht="12.75" customHeight="1">
      <c r="A1789" s="71"/>
      <c r="B1789" s="69" t="s">
        <v>1289</v>
      </c>
      <c r="C1789" s="68" t="s">
        <v>1278</v>
      </c>
      <c r="D1789" s="68">
        <v>6</v>
      </c>
      <c r="E1789" s="68">
        <v>0</v>
      </c>
      <c r="F1789" s="68" t="s">
        <v>1285</v>
      </c>
      <c r="G1789" s="68">
        <v>2</v>
      </c>
      <c r="H1789" s="68" t="s">
        <v>1285</v>
      </c>
      <c r="I1789" s="68">
        <v>0</v>
      </c>
      <c r="J1789" s="68" t="s">
        <v>1278</v>
      </c>
    </row>
    <row r="1790" spans="1:10" ht="12.75" customHeight="1">
      <c r="A1790" s="71"/>
      <c r="B1790" s="71" t="s">
        <v>1290</v>
      </c>
      <c r="C1790" s="68" t="s">
        <v>1278</v>
      </c>
      <c r="D1790" s="68">
        <v>4</v>
      </c>
      <c r="E1790" s="68">
        <v>0</v>
      </c>
      <c r="F1790" s="68">
        <v>0</v>
      </c>
      <c r="G1790" s="68">
        <v>2</v>
      </c>
      <c r="H1790" s="68" t="s">
        <v>1285</v>
      </c>
      <c r="I1790" s="68">
        <v>0</v>
      </c>
      <c r="J1790" s="68" t="s">
        <v>1278</v>
      </c>
    </row>
    <row r="1791" spans="1:10" ht="12.75" customHeight="1">
      <c r="A1791" s="71"/>
      <c r="B1791" s="71" t="s">
        <v>1291</v>
      </c>
      <c r="C1791" s="68" t="s">
        <v>1278</v>
      </c>
      <c r="D1791" s="68">
        <v>2</v>
      </c>
      <c r="E1791" s="68" t="s">
        <v>1278</v>
      </c>
      <c r="F1791" s="68" t="s">
        <v>1278</v>
      </c>
      <c r="G1791" s="68" t="s">
        <v>1278</v>
      </c>
      <c r="H1791" s="68" t="s">
        <v>1278</v>
      </c>
      <c r="I1791" s="68" t="s">
        <v>1278</v>
      </c>
      <c r="J1791" s="68" t="s">
        <v>1278</v>
      </c>
    </row>
    <row r="1792" spans="1:10" ht="12.75" customHeight="1">
      <c r="A1792" s="71"/>
      <c r="B1792" s="71" t="s">
        <v>1292</v>
      </c>
      <c r="C1792" s="68" t="s">
        <v>1278</v>
      </c>
      <c r="D1792" s="68" t="s">
        <v>1285</v>
      </c>
      <c r="E1792" s="68">
        <v>0</v>
      </c>
      <c r="F1792" s="68" t="s">
        <v>1285</v>
      </c>
      <c r="G1792" s="68" t="s">
        <v>1285</v>
      </c>
      <c r="H1792" s="68">
        <v>0</v>
      </c>
      <c r="I1792" s="68">
        <v>0</v>
      </c>
      <c r="J1792" s="68" t="s">
        <v>1278</v>
      </c>
    </row>
    <row r="1793" spans="1:10" ht="12.75" customHeight="1">
      <c r="A1793" s="71"/>
      <c r="B1793" s="71" t="s">
        <v>1293</v>
      </c>
      <c r="C1793" s="68" t="s">
        <v>1278</v>
      </c>
      <c r="D1793" s="68" t="s">
        <v>1285</v>
      </c>
      <c r="E1793" s="68" t="s">
        <v>1278</v>
      </c>
      <c r="F1793" s="68" t="s">
        <v>1285</v>
      </c>
      <c r="G1793" s="68" t="s">
        <v>1285</v>
      </c>
      <c r="H1793" s="68" t="s">
        <v>1285</v>
      </c>
      <c r="I1793" s="68" t="s">
        <v>1278</v>
      </c>
      <c r="J1793" s="68" t="s">
        <v>1278</v>
      </c>
    </row>
    <row r="1794" spans="1:10" ht="12.75" customHeight="1">
      <c r="A1794" s="71"/>
      <c r="B1794" s="71" t="s">
        <v>1294</v>
      </c>
      <c r="C1794" s="68" t="s">
        <v>1278</v>
      </c>
      <c r="D1794" s="68" t="s">
        <v>1278</v>
      </c>
      <c r="E1794" s="68">
        <v>0</v>
      </c>
      <c r="F1794" s="68" t="s">
        <v>1285</v>
      </c>
      <c r="G1794" s="68">
        <v>0</v>
      </c>
      <c r="H1794" s="68">
        <v>0</v>
      </c>
      <c r="I1794" s="68">
        <v>0</v>
      </c>
      <c r="J1794" s="68" t="s">
        <v>1278</v>
      </c>
    </row>
    <row r="1795" spans="1:10" ht="12.75" customHeight="1">
      <c r="A1795" s="71"/>
      <c r="B1795" s="71" t="s">
        <v>1295</v>
      </c>
      <c r="C1795" s="68" t="s">
        <v>1278</v>
      </c>
      <c r="D1795" s="68" t="s">
        <v>1285</v>
      </c>
      <c r="E1795" s="68">
        <v>0</v>
      </c>
      <c r="F1795" s="68" t="s">
        <v>1285</v>
      </c>
      <c r="G1795" s="68">
        <v>0</v>
      </c>
      <c r="H1795" s="68">
        <v>0</v>
      </c>
      <c r="I1795" s="68">
        <v>0</v>
      </c>
      <c r="J1795" s="68" t="s">
        <v>1278</v>
      </c>
    </row>
    <row r="1796" spans="1:10" ht="12.75" customHeight="1">
      <c r="A1796" s="71"/>
      <c r="B1796" s="69" t="s">
        <v>1296</v>
      </c>
      <c r="C1796" s="68">
        <v>2</v>
      </c>
      <c r="D1796" s="68" t="s">
        <v>1285</v>
      </c>
      <c r="E1796" s="68">
        <v>0</v>
      </c>
      <c r="F1796" s="68">
        <v>0</v>
      </c>
      <c r="G1796" s="68">
        <v>0</v>
      </c>
      <c r="H1796" s="68" t="s">
        <v>1285</v>
      </c>
      <c r="I1796" s="68">
        <v>0</v>
      </c>
      <c r="J1796" s="68">
        <v>2</v>
      </c>
    </row>
    <row r="1797" spans="1:10" ht="12.75" customHeight="1">
      <c r="A1797" s="70"/>
      <c r="B1797" s="72"/>
      <c r="C1797" s="68"/>
      <c r="D1797" s="68"/>
      <c r="E1797" s="68"/>
      <c r="F1797" s="68"/>
      <c r="G1797" s="68"/>
      <c r="H1797" s="68"/>
      <c r="I1797" s="68"/>
      <c r="J1797" s="68"/>
    </row>
    <row r="1798" spans="1:10" s="73" customFormat="1" ht="12.75" customHeight="1">
      <c r="A1798" s="69" t="s">
        <v>1458</v>
      </c>
      <c r="B1798" s="69" t="s">
        <v>1459</v>
      </c>
      <c r="C1798" s="74"/>
      <c r="D1798" s="74"/>
      <c r="E1798" s="74"/>
      <c r="F1798" s="74"/>
      <c r="G1798" s="74"/>
      <c r="H1798" s="74"/>
      <c r="I1798" s="74"/>
      <c r="J1798" s="74"/>
    </row>
    <row r="1799" spans="1:10" ht="12.75" customHeight="1">
      <c r="A1799" s="70"/>
      <c r="B1799" s="72"/>
      <c r="C1799" s="68"/>
      <c r="D1799" s="68"/>
      <c r="E1799" s="68"/>
      <c r="F1799" s="68"/>
      <c r="G1799" s="68"/>
      <c r="H1799" s="68"/>
      <c r="I1799" s="68"/>
      <c r="J1799" s="68"/>
    </row>
    <row r="1800" spans="1:10" ht="12.75" customHeight="1">
      <c r="A1800" s="70"/>
      <c r="B1800" s="71"/>
      <c r="C1800" s="68"/>
      <c r="D1800" s="68"/>
      <c r="E1800" s="68"/>
      <c r="F1800" s="68"/>
      <c r="G1800" s="68"/>
      <c r="H1800" s="68"/>
      <c r="I1800" s="68"/>
      <c r="J1800" s="68"/>
    </row>
    <row r="1801" spans="1:10" ht="12.75" customHeight="1">
      <c r="A1801" s="70"/>
      <c r="B1801" s="69" t="s">
        <v>1276</v>
      </c>
      <c r="C1801" s="68">
        <v>37</v>
      </c>
      <c r="D1801" s="68">
        <v>16</v>
      </c>
      <c r="E1801" s="68">
        <v>0</v>
      </c>
      <c r="F1801" s="68" t="s">
        <v>1285</v>
      </c>
      <c r="G1801" s="68">
        <v>15</v>
      </c>
      <c r="H1801" s="68">
        <v>1</v>
      </c>
      <c r="I1801" s="68" t="s">
        <v>1285</v>
      </c>
      <c r="J1801" s="68">
        <v>5</v>
      </c>
    </row>
    <row r="1802" spans="1:10" ht="12.75" customHeight="1">
      <c r="A1802" s="70"/>
      <c r="B1802" s="69" t="s">
        <v>1277</v>
      </c>
      <c r="C1802" s="68" t="s">
        <v>1278</v>
      </c>
      <c r="D1802" s="68" t="s">
        <v>1285</v>
      </c>
      <c r="E1802" s="68">
        <v>0</v>
      </c>
      <c r="F1802" s="68" t="s">
        <v>1285</v>
      </c>
      <c r="G1802" s="68">
        <v>1</v>
      </c>
      <c r="H1802" s="68" t="s">
        <v>1285</v>
      </c>
      <c r="I1802" s="68">
        <v>0</v>
      </c>
      <c r="J1802" s="68" t="s">
        <v>1278</v>
      </c>
    </row>
    <row r="1803" spans="1:10" ht="12.75" customHeight="1">
      <c r="A1803" s="70"/>
      <c r="B1803" s="71" t="s">
        <v>1279</v>
      </c>
      <c r="C1803" s="68" t="s">
        <v>1278</v>
      </c>
      <c r="D1803" s="68" t="s">
        <v>1285</v>
      </c>
      <c r="E1803" s="68">
        <v>0</v>
      </c>
      <c r="F1803" s="68">
        <v>0</v>
      </c>
      <c r="G1803" s="68" t="s">
        <v>1285</v>
      </c>
      <c r="H1803" s="68" t="s">
        <v>1285</v>
      </c>
      <c r="I1803" s="68">
        <v>0</v>
      </c>
      <c r="J1803" s="68" t="s">
        <v>1278</v>
      </c>
    </row>
    <row r="1804" spans="1:10" ht="12.75" customHeight="1">
      <c r="A1804" s="70"/>
      <c r="B1804" s="71" t="s">
        <v>1280</v>
      </c>
      <c r="C1804" s="68" t="s">
        <v>1278</v>
      </c>
      <c r="D1804" s="68">
        <v>0</v>
      </c>
      <c r="E1804" s="68">
        <v>0</v>
      </c>
      <c r="F1804" s="68" t="s">
        <v>1285</v>
      </c>
      <c r="G1804" s="68" t="s">
        <v>1299</v>
      </c>
      <c r="H1804" s="68" t="s">
        <v>1285</v>
      </c>
      <c r="I1804" s="68">
        <v>0</v>
      </c>
      <c r="J1804" s="68" t="s">
        <v>1278</v>
      </c>
    </row>
    <row r="1805" spans="1:10" ht="12.75" customHeight="1">
      <c r="A1805" s="70"/>
      <c r="B1805" s="69" t="s">
        <v>1281</v>
      </c>
      <c r="C1805" s="68" t="s">
        <v>1278</v>
      </c>
      <c r="D1805" s="68">
        <v>10</v>
      </c>
      <c r="E1805" s="68">
        <v>0</v>
      </c>
      <c r="F1805" s="68" t="s">
        <v>1285</v>
      </c>
      <c r="G1805" s="68">
        <v>7</v>
      </c>
      <c r="H1805" s="68" t="s">
        <v>1285</v>
      </c>
      <c r="I1805" s="68" t="s">
        <v>1285</v>
      </c>
      <c r="J1805" s="68" t="s">
        <v>1278</v>
      </c>
    </row>
    <row r="1806" spans="1:10" ht="12.75" customHeight="1">
      <c r="A1806" s="70"/>
      <c r="B1806" s="71" t="s">
        <v>1283</v>
      </c>
      <c r="C1806" s="68" t="s">
        <v>1278</v>
      </c>
      <c r="D1806" s="68">
        <v>1</v>
      </c>
      <c r="E1806" s="68">
        <v>0</v>
      </c>
      <c r="F1806" s="68">
        <v>0</v>
      </c>
      <c r="G1806" s="68">
        <v>6</v>
      </c>
      <c r="H1806" s="68" t="s">
        <v>1285</v>
      </c>
      <c r="I1806" s="68" t="s">
        <v>1285</v>
      </c>
      <c r="J1806" s="68" t="s">
        <v>1278</v>
      </c>
    </row>
    <row r="1807" spans="1:10" ht="12.75" customHeight="1">
      <c r="A1807" s="70"/>
      <c r="B1807" s="71" t="s">
        <v>1284</v>
      </c>
      <c r="C1807" s="68" t="s">
        <v>1278</v>
      </c>
      <c r="D1807" s="68" t="s">
        <v>1285</v>
      </c>
      <c r="E1807" s="68">
        <v>0</v>
      </c>
      <c r="F1807" s="68">
        <v>0</v>
      </c>
      <c r="G1807" s="68" t="s">
        <v>1285</v>
      </c>
      <c r="H1807" s="68" t="s">
        <v>1285</v>
      </c>
      <c r="I1807" s="68">
        <v>0</v>
      </c>
      <c r="J1807" s="68" t="s">
        <v>1278</v>
      </c>
    </row>
    <row r="1808" spans="1:10" ht="12.75" customHeight="1">
      <c r="A1808" s="70"/>
      <c r="B1808" s="71" t="s">
        <v>1286</v>
      </c>
      <c r="C1808" s="68" t="s">
        <v>1278</v>
      </c>
      <c r="D1808" s="68">
        <v>8</v>
      </c>
      <c r="E1808" s="68">
        <v>0</v>
      </c>
      <c r="F1808" s="68" t="s">
        <v>1285</v>
      </c>
      <c r="G1808" s="68" t="s">
        <v>1299</v>
      </c>
      <c r="H1808" s="68" t="s">
        <v>1285</v>
      </c>
      <c r="I1808" s="68">
        <v>0</v>
      </c>
      <c r="J1808" s="68" t="s">
        <v>1278</v>
      </c>
    </row>
    <row r="1809" spans="1:10" ht="12.75" customHeight="1">
      <c r="A1809" s="70"/>
      <c r="B1809" s="71" t="s">
        <v>1287</v>
      </c>
      <c r="C1809" s="68" t="s">
        <v>1278</v>
      </c>
      <c r="D1809" s="68" t="s">
        <v>1285</v>
      </c>
      <c r="E1809" s="68" t="s">
        <v>1278</v>
      </c>
      <c r="F1809" s="68" t="s">
        <v>1278</v>
      </c>
      <c r="G1809" s="68" t="s">
        <v>1278</v>
      </c>
      <c r="H1809" s="68" t="s">
        <v>1278</v>
      </c>
      <c r="I1809" s="68" t="s">
        <v>1278</v>
      </c>
      <c r="J1809" s="68" t="s">
        <v>1278</v>
      </c>
    </row>
    <row r="1810" spans="1:10" ht="12.75" customHeight="1">
      <c r="A1810" s="70"/>
      <c r="B1810" s="71" t="s">
        <v>1288</v>
      </c>
      <c r="C1810" s="68" t="s">
        <v>1278</v>
      </c>
      <c r="D1810" s="68" t="s">
        <v>1285</v>
      </c>
      <c r="E1810" s="68">
        <v>0</v>
      </c>
      <c r="F1810" s="68">
        <v>0</v>
      </c>
      <c r="G1810" s="68" t="s">
        <v>1285</v>
      </c>
      <c r="H1810" s="68" t="s">
        <v>1285</v>
      </c>
      <c r="I1810" s="68">
        <v>0</v>
      </c>
      <c r="J1810" s="68" t="s">
        <v>1278</v>
      </c>
    </row>
    <row r="1811" spans="1:10" ht="12.75" customHeight="1">
      <c r="A1811" s="70"/>
      <c r="B1811" s="69" t="s">
        <v>1289</v>
      </c>
      <c r="C1811" s="68" t="s">
        <v>1278</v>
      </c>
      <c r="D1811" s="68">
        <v>6</v>
      </c>
      <c r="E1811" s="68">
        <v>0</v>
      </c>
      <c r="F1811" s="68" t="s">
        <v>1285</v>
      </c>
      <c r="G1811" s="68">
        <v>8</v>
      </c>
      <c r="H1811" s="68">
        <v>1</v>
      </c>
      <c r="I1811" s="68" t="s">
        <v>1285</v>
      </c>
      <c r="J1811" s="68" t="s">
        <v>1278</v>
      </c>
    </row>
    <row r="1812" spans="1:10" ht="12.75" customHeight="1">
      <c r="A1812" s="70"/>
      <c r="B1812" s="71" t="s">
        <v>1290</v>
      </c>
      <c r="C1812" s="68" t="s">
        <v>1278</v>
      </c>
      <c r="D1812" s="68">
        <v>3</v>
      </c>
      <c r="E1812" s="68">
        <v>0</v>
      </c>
      <c r="F1812" s="68" t="s">
        <v>1285</v>
      </c>
      <c r="G1812" s="68">
        <v>7</v>
      </c>
      <c r="H1812" s="68" t="s">
        <v>1285</v>
      </c>
      <c r="I1812" s="68" t="s">
        <v>1285</v>
      </c>
      <c r="J1812" s="68" t="s">
        <v>1278</v>
      </c>
    </row>
    <row r="1813" spans="1:10" ht="12.75" customHeight="1">
      <c r="A1813" s="70"/>
      <c r="B1813" s="71" t="s">
        <v>1291</v>
      </c>
      <c r="C1813" s="68" t="s">
        <v>1278</v>
      </c>
      <c r="D1813" s="68">
        <v>2</v>
      </c>
      <c r="E1813" s="68" t="s">
        <v>1278</v>
      </c>
      <c r="F1813" s="68" t="s">
        <v>1278</v>
      </c>
      <c r="G1813" s="68" t="s">
        <v>1278</v>
      </c>
      <c r="H1813" s="68" t="s">
        <v>1278</v>
      </c>
      <c r="I1813" s="68" t="s">
        <v>1278</v>
      </c>
      <c r="J1813" s="68" t="s">
        <v>1278</v>
      </c>
    </row>
    <row r="1814" spans="1:10" ht="12.75" customHeight="1">
      <c r="A1814" s="70"/>
      <c r="B1814" s="71" t="s">
        <v>1292</v>
      </c>
      <c r="C1814" s="68" t="s">
        <v>1278</v>
      </c>
      <c r="D1814" s="68">
        <v>1</v>
      </c>
      <c r="E1814" s="68">
        <v>0</v>
      </c>
      <c r="F1814" s="68">
        <v>0</v>
      </c>
      <c r="G1814" s="68" t="s">
        <v>1299</v>
      </c>
      <c r="H1814" s="68" t="s">
        <v>1285</v>
      </c>
      <c r="I1814" s="68">
        <v>0</v>
      </c>
      <c r="J1814" s="68" t="s">
        <v>1278</v>
      </c>
    </row>
    <row r="1815" spans="1:10" ht="12.75" customHeight="1">
      <c r="A1815" s="70"/>
      <c r="B1815" s="71" t="s">
        <v>1293</v>
      </c>
      <c r="C1815" s="68" t="s">
        <v>1278</v>
      </c>
      <c r="D1815" s="68" t="s">
        <v>1285</v>
      </c>
      <c r="E1815" s="68" t="s">
        <v>1278</v>
      </c>
      <c r="F1815" s="68" t="s">
        <v>1285</v>
      </c>
      <c r="G1815" s="68" t="s">
        <v>1285</v>
      </c>
      <c r="H1815" s="68" t="s">
        <v>1285</v>
      </c>
      <c r="I1815" s="68" t="s">
        <v>1278</v>
      </c>
      <c r="J1815" s="68" t="s">
        <v>1278</v>
      </c>
    </row>
    <row r="1816" spans="1:10" ht="12.75" customHeight="1">
      <c r="A1816" s="70"/>
      <c r="B1816" s="71" t="s">
        <v>1294</v>
      </c>
      <c r="C1816" s="68" t="s">
        <v>1278</v>
      </c>
      <c r="D1816" s="68" t="s">
        <v>1278</v>
      </c>
      <c r="E1816" s="68">
        <v>0</v>
      </c>
      <c r="F1816" s="68" t="s">
        <v>1285</v>
      </c>
      <c r="G1816" s="68" t="s">
        <v>1285</v>
      </c>
      <c r="H1816" s="68" t="s">
        <v>1285</v>
      </c>
      <c r="I1816" s="68">
        <v>0</v>
      </c>
      <c r="J1816" s="68" t="s">
        <v>1278</v>
      </c>
    </row>
    <row r="1817" spans="1:10" ht="12.75" customHeight="1">
      <c r="A1817" s="70"/>
      <c r="B1817" s="71" t="s">
        <v>1295</v>
      </c>
      <c r="C1817" s="68" t="s">
        <v>1278</v>
      </c>
      <c r="D1817" s="68" t="s">
        <v>1285</v>
      </c>
      <c r="E1817" s="68">
        <v>0</v>
      </c>
      <c r="F1817" s="68" t="s">
        <v>1285</v>
      </c>
      <c r="G1817" s="68">
        <v>0</v>
      </c>
      <c r="H1817" s="68" t="s">
        <v>1285</v>
      </c>
      <c r="I1817" s="68">
        <v>0</v>
      </c>
      <c r="J1817" s="68" t="s">
        <v>1278</v>
      </c>
    </row>
    <row r="1818" spans="1:10" ht="12.75" customHeight="1">
      <c r="A1818" s="70"/>
      <c r="B1818" s="69" t="s">
        <v>1296</v>
      </c>
      <c r="C1818" s="68">
        <v>6</v>
      </c>
      <c r="D1818" s="68" t="s">
        <v>1299</v>
      </c>
      <c r="E1818" s="68">
        <v>0</v>
      </c>
      <c r="F1818" s="68">
        <v>0</v>
      </c>
      <c r="G1818" s="68" t="s">
        <v>1285</v>
      </c>
      <c r="H1818" s="68" t="s">
        <v>1285</v>
      </c>
      <c r="I1818" s="68">
        <v>0</v>
      </c>
      <c r="J1818" s="68">
        <v>5</v>
      </c>
    </row>
    <row r="1819" spans="1:10" ht="12.75" customHeight="1">
      <c r="A1819" s="70"/>
      <c r="B1819" s="72"/>
      <c r="C1819" s="68"/>
      <c r="D1819" s="68"/>
      <c r="E1819" s="68"/>
      <c r="F1819" s="68"/>
      <c r="G1819" s="68"/>
      <c r="H1819" s="68"/>
      <c r="I1819" s="68"/>
      <c r="J1819" s="68"/>
    </row>
    <row r="1820" spans="1:10" s="73" customFormat="1" ht="12.75" customHeight="1">
      <c r="A1820" s="69" t="s">
        <v>1460</v>
      </c>
      <c r="B1820" s="69" t="s">
        <v>1461</v>
      </c>
      <c r="C1820" s="74"/>
      <c r="D1820" s="74"/>
      <c r="E1820" s="74"/>
      <c r="F1820" s="74"/>
      <c r="G1820" s="74"/>
      <c r="H1820" s="74"/>
      <c r="I1820" s="74"/>
      <c r="J1820" s="74"/>
    </row>
    <row r="1821" spans="1:10" ht="12.75" customHeight="1">
      <c r="A1821" s="70"/>
      <c r="B1821" s="72"/>
      <c r="C1821" s="68"/>
      <c r="D1821" s="68"/>
      <c r="E1821" s="68"/>
      <c r="F1821" s="68"/>
      <c r="G1821" s="68"/>
      <c r="H1821" s="68"/>
      <c r="I1821" s="68"/>
      <c r="J1821" s="68"/>
    </row>
    <row r="1822" spans="1:10" ht="12.75" customHeight="1">
      <c r="A1822" s="70"/>
      <c r="B1822" s="71"/>
      <c r="C1822" s="68"/>
      <c r="D1822" s="68"/>
      <c r="E1822" s="68"/>
      <c r="F1822" s="68"/>
      <c r="G1822" s="68"/>
      <c r="H1822" s="68"/>
      <c r="I1822" s="68"/>
      <c r="J1822" s="68"/>
    </row>
    <row r="1823" spans="1:10" ht="12.75" customHeight="1">
      <c r="A1823" s="70"/>
      <c r="B1823" s="69" t="s">
        <v>1276</v>
      </c>
      <c r="C1823" s="68">
        <v>61</v>
      </c>
      <c r="D1823" s="68">
        <v>33</v>
      </c>
      <c r="E1823" s="68">
        <v>0</v>
      </c>
      <c r="F1823" s="68" t="s">
        <v>1285</v>
      </c>
      <c r="G1823" s="68">
        <v>25</v>
      </c>
      <c r="H1823" s="68">
        <v>1</v>
      </c>
      <c r="I1823" s="68" t="s">
        <v>1285</v>
      </c>
      <c r="J1823" s="68">
        <v>1</v>
      </c>
    </row>
    <row r="1824" spans="1:10" ht="12.75" customHeight="1">
      <c r="A1824" s="70"/>
      <c r="B1824" s="69" t="s">
        <v>1277</v>
      </c>
      <c r="C1824" s="68" t="s">
        <v>1278</v>
      </c>
      <c r="D1824" s="68" t="s">
        <v>1285</v>
      </c>
      <c r="E1824" s="68">
        <v>0</v>
      </c>
      <c r="F1824" s="68" t="s">
        <v>1285</v>
      </c>
      <c r="G1824" s="68">
        <v>3</v>
      </c>
      <c r="H1824" s="68" t="s">
        <v>1299</v>
      </c>
      <c r="I1824" s="68">
        <v>0</v>
      </c>
      <c r="J1824" s="68" t="s">
        <v>1278</v>
      </c>
    </row>
    <row r="1825" spans="1:10" ht="12.75" customHeight="1">
      <c r="A1825" s="70"/>
      <c r="B1825" s="71" t="s">
        <v>1279</v>
      </c>
      <c r="C1825" s="68" t="s">
        <v>1278</v>
      </c>
      <c r="D1825" s="68" t="s">
        <v>1285</v>
      </c>
      <c r="E1825" s="68">
        <v>0</v>
      </c>
      <c r="F1825" s="68">
        <v>0</v>
      </c>
      <c r="G1825" s="68">
        <v>1</v>
      </c>
      <c r="H1825" s="68" t="s">
        <v>1299</v>
      </c>
      <c r="I1825" s="68">
        <v>0</v>
      </c>
      <c r="J1825" s="68" t="s">
        <v>1278</v>
      </c>
    </row>
    <row r="1826" spans="1:10" ht="12.75" customHeight="1">
      <c r="A1826" s="70"/>
      <c r="B1826" s="71" t="s">
        <v>1280</v>
      </c>
      <c r="C1826" s="68" t="s">
        <v>1278</v>
      </c>
      <c r="D1826" s="68">
        <v>0</v>
      </c>
      <c r="E1826" s="68">
        <v>0</v>
      </c>
      <c r="F1826" s="68" t="s">
        <v>1285</v>
      </c>
      <c r="G1826" s="68">
        <v>2</v>
      </c>
      <c r="H1826" s="68" t="s">
        <v>1285</v>
      </c>
      <c r="I1826" s="68">
        <v>0</v>
      </c>
      <c r="J1826" s="68" t="s">
        <v>1278</v>
      </c>
    </row>
    <row r="1827" spans="1:10" ht="12.75" customHeight="1">
      <c r="A1827" s="70"/>
      <c r="B1827" s="69" t="s">
        <v>1281</v>
      </c>
      <c r="C1827" s="68" t="s">
        <v>1278</v>
      </c>
      <c r="D1827" s="68">
        <v>17</v>
      </c>
      <c r="E1827" s="68">
        <v>0</v>
      </c>
      <c r="F1827" s="68" t="s">
        <v>1285</v>
      </c>
      <c r="G1827" s="68">
        <v>13</v>
      </c>
      <c r="H1827" s="68" t="s">
        <v>1285</v>
      </c>
      <c r="I1827" s="68" t="s">
        <v>1285</v>
      </c>
      <c r="J1827" s="68" t="s">
        <v>1278</v>
      </c>
    </row>
    <row r="1828" spans="1:10" ht="12.75" customHeight="1">
      <c r="A1828" s="70"/>
      <c r="B1828" s="71" t="s">
        <v>1283</v>
      </c>
      <c r="C1828" s="68" t="s">
        <v>1278</v>
      </c>
      <c r="D1828" s="68">
        <v>2</v>
      </c>
      <c r="E1828" s="68">
        <v>0</v>
      </c>
      <c r="F1828" s="68" t="s">
        <v>1285</v>
      </c>
      <c r="G1828" s="68">
        <v>10</v>
      </c>
      <c r="H1828" s="68" t="s">
        <v>1285</v>
      </c>
      <c r="I1828" s="68" t="s">
        <v>1285</v>
      </c>
      <c r="J1828" s="68" t="s">
        <v>1278</v>
      </c>
    </row>
    <row r="1829" spans="1:10" ht="12.75" customHeight="1">
      <c r="A1829" s="70"/>
      <c r="B1829" s="71" t="s">
        <v>1284</v>
      </c>
      <c r="C1829" s="68" t="s">
        <v>1278</v>
      </c>
      <c r="D1829" s="68">
        <v>2</v>
      </c>
      <c r="E1829" s="68">
        <v>0</v>
      </c>
      <c r="F1829" s="68">
        <v>0</v>
      </c>
      <c r="G1829" s="68" t="s">
        <v>1285</v>
      </c>
      <c r="H1829" s="68">
        <v>0</v>
      </c>
      <c r="I1829" s="68">
        <v>0</v>
      </c>
      <c r="J1829" s="68" t="s">
        <v>1278</v>
      </c>
    </row>
    <row r="1830" spans="1:10" ht="12.75" customHeight="1">
      <c r="A1830" s="70"/>
      <c r="B1830" s="71" t="s">
        <v>1286</v>
      </c>
      <c r="C1830" s="68" t="s">
        <v>1278</v>
      </c>
      <c r="D1830" s="68">
        <v>11</v>
      </c>
      <c r="E1830" s="68">
        <v>0</v>
      </c>
      <c r="F1830" s="68" t="s">
        <v>1285</v>
      </c>
      <c r="G1830" s="68">
        <v>1</v>
      </c>
      <c r="H1830" s="68" t="s">
        <v>1285</v>
      </c>
      <c r="I1830" s="68">
        <v>0</v>
      </c>
      <c r="J1830" s="68" t="s">
        <v>1278</v>
      </c>
    </row>
    <row r="1831" spans="1:10" ht="12.75" customHeight="1">
      <c r="A1831" s="70"/>
      <c r="B1831" s="71" t="s">
        <v>1287</v>
      </c>
      <c r="C1831" s="68" t="s">
        <v>1278</v>
      </c>
      <c r="D1831" s="68" t="s">
        <v>1285</v>
      </c>
      <c r="E1831" s="68" t="s">
        <v>1278</v>
      </c>
      <c r="F1831" s="68" t="s">
        <v>1278</v>
      </c>
      <c r="G1831" s="68" t="s">
        <v>1278</v>
      </c>
      <c r="H1831" s="68" t="s">
        <v>1278</v>
      </c>
      <c r="I1831" s="68" t="s">
        <v>1278</v>
      </c>
      <c r="J1831" s="68" t="s">
        <v>1278</v>
      </c>
    </row>
    <row r="1832" spans="1:10" ht="12.75" customHeight="1">
      <c r="A1832" s="70"/>
      <c r="B1832" s="71" t="s">
        <v>1288</v>
      </c>
      <c r="C1832" s="68" t="s">
        <v>1278</v>
      </c>
      <c r="D1832" s="68" t="s">
        <v>1299</v>
      </c>
      <c r="E1832" s="68">
        <v>0</v>
      </c>
      <c r="F1832" s="68">
        <v>0</v>
      </c>
      <c r="G1832" s="68" t="s">
        <v>1299</v>
      </c>
      <c r="H1832" s="68">
        <v>0</v>
      </c>
      <c r="I1832" s="68">
        <v>0</v>
      </c>
      <c r="J1832" s="68" t="s">
        <v>1278</v>
      </c>
    </row>
    <row r="1833" spans="1:10" ht="12.75" customHeight="1">
      <c r="A1833" s="70"/>
      <c r="B1833" s="69" t="s">
        <v>1289</v>
      </c>
      <c r="C1833" s="68" t="s">
        <v>1278</v>
      </c>
      <c r="D1833" s="68">
        <v>16</v>
      </c>
      <c r="E1833" s="68">
        <v>0</v>
      </c>
      <c r="F1833" s="68" t="s">
        <v>1285</v>
      </c>
      <c r="G1833" s="68">
        <v>10</v>
      </c>
      <c r="H1833" s="68">
        <v>1</v>
      </c>
      <c r="I1833" s="68">
        <v>0</v>
      </c>
      <c r="J1833" s="68" t="s">
        <v>1278</v>
      </c>
    </row>
    <row r="1834" spans="1:10" ht="12.75" customHeight="1">
      <c r="A1834" s="70"/>
      <c r="B1834" s="71" t="s">
        <v>1290</v>
      </c>
      <c r="C1834" s="68" t="s">
        <v>1278</v>
      </c>
      <c r="D1834" s="68">
        <v>8</v>
      </c>
      <c r="E1834" s="68">
        <v>0</v>
      </c>
      <c r="F1834" s="68" t="s">
        <v>1285</v>
      </c>
      <c r="G1834" s="68">
        <v>8</v>
      </c>
      <c r="H1834" s="68" t="s">
        <v>1285</v>
      </c>
      <c r="I1834" s="68">
        <v>0</v>
      </c>
      <c r="J1834" s="68" t="s">
        <v>1278</v>
      </c>
    </row>
    <row r="1835" spans="1:10" ht="12.75" customHeight="1">
      <c r="A1835" s="70"/>
      <c r="B1835" s="71" t="s">
        <v>1291</v>
      </c>
      <c r="C1835" s="68" t="s">
        <v>1278</v>
      </c>
      <c r="D1835" s="68">
        <v>4</v>
      </c>
      <c r="E1835" s="68" t="s">
        <v>1278</v>
      </c>
      <c r="F1835" s="68" t="s">
        <v>1278</v>
      </c>
      <c r="G1835" s="68" t="s">
        <v>1278</v>
      </c>
      <c r="H1835" s="68" t="s">
        <v>1278</v>
      </c>
      <c r="I1835" s="68" t="s">
        <v>1278</v>
      </c>
      <c r="J1835" s="68" t="s">
        <v>1278</v>
      </c>
    </row>
    <row r="1836" spans="1:10" ht="12.75" customHeight="1">
      <c r="A1836" s="70"/>
      <c r="B1836" s="71" t="s">
        <v>1292</v>
      </c>
      <c r="C1836" s="68" t="s">
        <v>1278</v>
      </c>
      <c r="D1836" s="68">
        <v>1</v>
      </c>
      <c r="E1836" s="68">
        <v>0</v>
      </c>
      <c r="F1836" s="68" t="s">
        <v>1285</v>
      </c>
      <c r="G1836" s="68" t="s">
        <v>1285</v>
      </c>
      <c r="H1836" s="68" t="s">
        <v>1285</v>
      </c>
      <c r="I1836" s="68">
        <v>0</v>
      </c>
      <c r="J1836" s="68" t="s">
        <v>1278</v>
      </c>
    </row>
    <row r="1837" spans="1:10" ht="12.75" customHeight="1">
      <c r="A1837" s="70"/>
      <c r="B1837" s="71" t="s">
        <v>1293</v>
      </c>
      <c r="C1837" s="68" t="s">
        <v>1278</v>
      </c>
      <c r="D1837" s="68" t="s">
        <v>1285</v>
      </c>
      <c r="E1837" s="68" t="s">
        <v>1278</v>
      </c>
      <c r="F1837" s="68" t="s">
        <v>1285</v>
      </c>
      <c r="G1837" s="68" t="s">
        <v>1285</v>
      </c>
      <c r="H1837" s="68" t="s">
        <v>1285</v>
      </c>
      <c r="I1837" s="68" t="s">
        <v>1278</v>
      </c>
      <c r="J1837" s="68" t="s">
        <v>1278</v>
      </c>
    </row>
    <row r="1838" spans="1:10" ht="12.75" customHeight="1">
      <c r="A1838" s="70"/>
      <c r="B1838" s="71" t="s">
        <v>1294</v>
      </c>
      <c r="C1838" s="68" t="s">
        <v>1278</v>
      </c>
      <c r="D1838" s="68" t="s">
        <v>1278</v>
      </c>
      <c r="E1838" s="68">
        <v>0</v>
      </c>
      <c r="F1838" s="68" t="s">
        <v>1285</v>
      </c>
      <c r="G1838" s="68" t="s">
        <v>1285</v>
      </c>
      <c r="H1838" s="68">
        <v>0</v>
      </c>
      <c r="I1838" s="68">
        <v>0</v>
      </c>
      <c r="J1838" s="68" t="s">
        <v>1278</v>
      </c>
    </row>
    <row r="1839" spans="1:10" ht="12.75" customHeight="1">
      <c r="A1839" s="70"/>
      <c r="B1839" s="71" t="s">
        <v>1295</v>
      </c>
      <c r="C1839" s="68" t="s">
        <v>1278</v>
      </c>
      <c r="D1839" s="68" t="s">
        <v>1299</v>
      </c>
      <c r="E1839" s="68">
        <v>0</v>
      </c>
      <c r="F1839" s="68" t="s">
        <v>1285</v>
      </c>
      <c r="G1839" s="68" t="s">
        <v>1299</v>
      </c>
      <c r="H1839" s="68" t="s">
        <v>1285</v>
      </c>
      <c r="I1839" s="68">
        <v>0</v>
      </c>
      <c r="J1839" s="68" t="s">
        <v>1278</v>
      </c>
    </row>
    <row r="1840" spans="1:10" ht="12.75" customHeight="1" thickBot="1">
      <c r="A1840" s="70"/>
      <c r="B1840" s="69" t="s">
        <v>1296</v>
      </c>
      <c r="C1840" s="68">
        <v>1</v>
      </c>
      <c r="D1840" s="68" t="s">
        <v>1285</v>
      </c>
      <c r="E1840" s="68">
        <v>0</v>
      </c>
      <c r="F1840" s="68">
        <v>0</v>
      </c>
      <c r="G1840" s="68" t="s">
        <v>1285</v>
      </c>
      <c r="H1840" s="68" t="s">
        <v>1285</v>
      </c>
      <c r="I1840" s="68">
        <v>0</v>
      </c>
      <c r="J1840" s="68">
        <v>1</v>
      </c>
    </row>
    <row r="1841" spans="1:12" s="65" customFormat="1" ht="12" customHeight="1">
      <c r="A1841" s="2172"/>
      <c r="B1841" s="2172"/>
      <c r="C1841" s="2172"/>
      <c r="D1841" s="2172"/>
      <c r="E1841" s="2172"/>
      <c r="F1841" s="2172"/>
      <c r="G1841" s="2172"/>
      <c r="H1841" s="2172"/>
      <c r="I1841" s="2172"/>
      <c r="J1841" s="2172"/>
      <c r="K1841" s="67"/>
      <c r="L1841" s="66"/>
    </row>
    <row r="1842" spans="1:12" ht="12" customHeight="1">
      <c r="A1842" s="2173"/>
      <c r="B1842" s="2173"/>
      <c r="C1842" s="2173"/>
      <c r="D1842" s="2173"/>
      <c r="E1842" s="2173"/>
      <c r="F1842" s="2173"/>
      <c r="G1842" s="2173"/>
      <c r="H1842" s="2173"/>
      <c r="I1842" s="2173"/>
      <c r="J1842" s="2173"/>
      <c r="K1842" s="64"/>
      <c r="L1842" s="62"/>
    </row>
    <row r="1843" spans="1:12" ht="12" customHeight="1">
      <c r="A1843" s="2173"/>
      <c r="B1843" s="2173"/>
      <c r="C1843" s="2173"/>
      <c r="D1843" s="2173"/>
      <c r="E1843" s="2173"/>
      <c r="F1843" s="2173"/>
      <c r="G1843" s="2173"/>
      <c r="H1843" s="2173"/>
      <c r="I1843" s="2173"/>
      <c r="J1843" s="2173"/>
      <c r="K1843" s="64"/>
      <c r="L1843" s="62"/>
    </row>
    <row r="1844" spans="1:12" ht="12" customHeight="1">
      <c r="A1844" s="2171"/>
      <c r="B1844" s="2171"/>
      <c r="C1844" s="2171"/>
      <c r="D1844" s="2171"/>
      <c r="E1844" s="2171"/>
      <c r="F1844" s="2171"/>
      <c r="G1844" s="2171"/>
      <c r="H1844" s="2171"/>
      <c r="I1844" s="2171"/>
      <c r="J1844" s="2171"/>
      <c r="K1844" s="63"/>
      <c r="L1844" s="62"/>
    </row>
    <row r="1845" spans="1:12" ht="12" customHeight="1">
      <c r="A1845" s="2171"/>
      <c r="B1845" s="2171"/>
      <c r="C1845" s="2171"/>
      <c r="D1845" s="2171"/>
      <c r="E1845" s="2171"/>
      <c r="F1845" s="2171"/>
      <c r="G1845" s="2171"/>
      <c r="H1845" s="2171"/>
      <c r="I1845" s="2171"/>
      <c r="J1845" s="2171"/>
      <c r="K1845" s="63"/>
      <c r="L1845" s="62"/>
    </row>
    <row r="1846" spans="1:12" ht="12" customHeight="1">
      <c r="A1846" s="2171"/>
      <c r="B1846" s="2171"/>
      <c r="C1846" s="2171"/>
      <c r="D1846" s="2171"/>
      <c r="E1846" s="2171"/>
      <c r="F1846" s="2171"/>
      <c r="G1846" s="2171"/>
      <c r="H1846" s="2171"/>
      <c r="I1846" s="2171"/>
      <c r="J1846" s="2171"/>
      <c r="K1846" s="63"/>
      <c r="L1846" s="62"/>
    </row>
    <row r="1847" spans="1:12" ht="12" customHeight="1">
      <c r="A1847" s="2171"/>
      <c r="B1847" s="2171"/>
      <c r="C1847" s="2171"/>
      <c r="D1847" s="2171"/>
      <c r="E1847" s="2171"/>
      <c r="F1847" s="2171"/>
      <c r="G1847" s="2171"/>
      <c r="H1847" s="2171"/>
      <c r="I1847" s="2171"/>
      <c r="J1847" s="2171"/>
      <c r="K1847" s="63"/>
      <c r="L1847" s="62"/>
    </row>
    <row r="1848" spans="1:12" ht="12" customHeight="1">
      <c r="A1848" s="2170"/>
      <c r="B1848" s="2170"/>
      <c r="C1848" s="2170"/>
      <c r="D1848" s="2170"/>
      <c r="E1848" s="2170"/>
      <c r="F1848" s="2170"/>
      <c r="G1848" s="2170"/>
      <c r="H1848" s="2170"/>
      <c r="I1848" s="2170"/>
      <c r="J1848" s="2170"/>
      <c r="K1848" s="62"/>
      <c r="L1848" s="62"/>
    </row>
    <row r="1849" spans="1:12" ht="12" customHeight="1">
      <c r="A1849" s="2170"/>
      <c r="B1849" s="2170"/>
      <c r="C1849" s="2170"/>
      <c r="D1849" s="2170"/>
      <c r="E1849" s="2170"/>
      <c r="F1849" s="2170"/>
      <c r="G1849" s="2170"/>
      <c r="H1849" s="2170"/>
      <c r="I1849" s="2170"/>
      <c r="J1849" s="2170"/>
      <c r="K1849" s="62"/>
      <c r="L1849" s="62"/>
    </row>
    <row r="1850" spans="1:12" ht="12" customHeight="1">
      <c r="A1850" s="2171"/>
      <c r="B1850" s="2171"/>
      <c r="C1850" s="2171"/>
      <c r="D1850" s="2171"/>
      <c r="E1850" s="2171"/>
      <c r="F1850" s="2171"/>
      <c r="G1850" s="2171"/>
      <c r="H1850" s="2171"/>
      <c r="I1850" s="2171"/>
      <c r="J1850" s="2171"/>
      <c r="K1850" s="63"/>
      <c r="L1850" s="62"/>
    </row>
    <row r="1851" spans="1:12" ht="12" customHeight="1">
      <c r="A1851" s="2171"/>
      <c r="B1851" s="2171"/>
      <c r="C1851" s="2171"/>
      <c r="D1851" s="2171"/>
      <c r="E1851" s="2171"/>
      <c r="F1851" s="2171"/>
      <c r="G1851" s="2171"/>
      <c r="H1851" s="2171"/>
      <c r="I1851" s="2171"/>
      <c r="J1851" s="2171"/>
      <c r="K1851" s="63"/>
      <c r="L1851" s="62"/>
    </row>
    <row r="1852" spans="1:12" ht="12" customHeight="1">
      <c r="A1852" s="2171"/>
      <c r="B1852" s="2171"/>
      <c r="C1852" s="2171"/>
      <c r="D1852" s="2171"/>
      <c r="E1852" s="2171"/>
      <c r="F1852" s="2171"/>
      <c r="G1852" s="2171"/>
      <c r="H1852" s="2171"/>
      <c r="I1852" s="2171"/>
      <c r="J1852" s="2171"/>
      <c r="K1852" s="63"/>
      <c r="L1852" s="62"/>
    </row>
    <row r="1853" spans="1:12" ht="12" customHeight="1">
      <c r="A1853" s="2171"/>
      <c r="B1853" s="2171"/>
      <c r="C1853" s="2171"/>
      <c r="D1853" s="2171"/>
      <c r="E1853" s="2171"/>
      <c r="F1853" s="2171"/>
      <c r="G1853" s="2171"/>
      <c r="H1853" s="2171"/>
      <c r="I1853" s="2171"/>
      <c r="J1853" s="2171"/>
      <c r="K1853" s="63"/>
      <c r="L1853" s="62"/>
    </row>
    <row r="1854" spans="1:12" ht="12" customHeight="1">
      <c r="A1854" s="2171"/>
      <c r="B1854" s="2171"/>
      <c r="C1854" s="2171"/>
      <c r="D1854" s="2171"/>
      <c r="E1854" s="2171"/>
      <c r="F1854" s="2171"/>
      <c r="G1854" s="2171"/>
      <c r="H1854" s="2171"/>
      <c r="I1854" s="2171"/>
      <c r="J1854" s="2171"/>
      <c r="K1854" s="63"/>
      <c r="L1854" s="62"/>
    </row>
    <row r="1855" spans="1:12" ht="12" customHeight="1">
      <c r="A1855" s="2171"/>
      <c r="B1855" s="2171"/>
      <c r="C1855" s="2171"/>
      <c r="D1855" s="2171"/>
      <c r="E1855" s="2171"/>
      <c r="F1855" s="2171"/>
      <c r="G1855" s="2171"/>
      <c r="H1855" s="2171"/>
      <c r="I1855" s="2171"/>
      <c r="J1855" s="2171"/>
      <c r="K1855" s="63"/>
      <c r="L1855" s="62"/>
    </row>
    <row r="1856" spans="1:12" ht="12" customHeight="1">
      <c r="A1856" s="2170"/>
      <c r="B1856" s="2170"/>
      <c r="C1856" s="2170"/>
      <c r="D1856" s="2170"/>
      <c r="E1856" s="2170"/>
      <c r="F1856" s="2170"/>
      <c r="G1856" s="2170"/>
      <c r="H1856" s="2170"/>
      <c r="I1856" s="2170"/>
      <c r="J1856" s="2170"/>
      <c r="K1856" s="62"/>
      <c r="L1856" s="62"/>
    </row>
    <row r="1857" spans="1:12" ht="12" customHeight="1">
      <c r="A1857" s="2170"/>
      <c r="B1857" s="2170"/>
      <c r="C1857" s="2170"/>
      <c r="D1857" s="2170"/>
      <c r="E1857" s="2170"/>
      <c r="F1857" s="2170"/>
      <c r="G1857" s="2170"/>
      <c r="H1857" s="2170"/>
      <c r="I1857" s="2170"/>
      <c r="J1857" s="2170"/>
      <c r="K1857" s="62"/>
      <c r="L1857" s="62"/>
    </row>
    <row r="1858" spans="1:12" ht="12" customHeight="1">
      <c r="A1858" s="2170"/>
      <c r="B1858" s="2170"/>
      <c r="C1858" s="2170"/>
      <c r="D1858" s="2170"/>
      <c r="E1858" s="2170"/>
      <c r="F1858" s="2170"/>
      <c r="G1858" s="2170"/>
      <c r="H1858" s="2170"/>
      <c r="I1858" s="2170"/>
      <c r="J1858" s="2170"/>
      <c r="K1858" s="62"/>
      <c r="L1858" s="62"/>
    </row>
    <row r="1859" spans="1:12" ht="12" customHeight="1">
      <c r="A1859" s="2170"/>
      <c r="B1859" s="2170"/>
      <c r="C1859" s="2170"/>
      <c r="D1859" s="2170"/>
      <c r="E1859" s="2170"/>
      <c r="F1859" s="2170"/>
      <c r="G1859" s="2170"/>
      <c r="H1859" s="2170"/>
      <c r="I1859" s="2170"/>
      <c r="J1859" s="2170"/>
      <c r="K1859" s="62"/>
      <c r="L1859" s="62"/>
    </row>
    <row r="1860" spans="1:12" ht="12" customHeight="1">
      <c r="A1860" s="2171"/>
      <c r="B1860" s="2171"/>
      <c r="C1860" s="2171"/>
      <c r="D1860" s="2171"/>
      <c r="E1860" s="2171"/>
      <c r="F1860" s="2171"/>
      <c r="G1860" s="2171"/>
      <c r="H1860" s="2171"/>
      <c r="I1860" s="2171"/>
      <c r="J1860" s="2171"/>
      <c r="K1860" s="63"/>
      <c r="L1860" s="62"/>
    </row>
    <row r="1861" spans="1:12" ht="12" customHeight="1">
      <c r="A1861" s="2170"/>
      <c r="B1861" s="2170"/>
      <c r="C1861" s="2170"/>
      <c r="D1861" s="2170"/>
      <c r="E1861" s="2170"/>
      <c r="F1861" s="2170"/>
      <c r="G1861" s="2170"/>
      <c r="H1861" s="2170"/>
      <c r="I1861" s="2170"/>
      <c r="J1861" s="2170"/>
      <c r="K1861" s="62"/>
    </row>
    <row r="1862" spans="1:12" ht="12" customHeight="1">
      <c r="A1862" s="61"/>
      <c r="B1862" s="62"/>
      <c r="C1862" s="62"/>
      <c r="D1862" s="62"/>
      <c r="E1862" s="62"/>
      <c r="F1862" s="62"/>
      <c r="G1862" s="62"/>
      <c r="H1862" s="62"/>
      <c r="I1862" s="62"/>
      <c r="J1862" s="62"/>
      <c r="K1862" s="62"/>
    </row>
    <row r="1863" spans="1:12" ht="12" customHeight="1">
      <c r="A1863" s="61"/>
      <c r="B1863" s="62"/>
      <c r="C1863" s="62"/>
      <c r="D1863" s="62"/>
      <c r="E1863" s="62"/>
      <c r="F1863" s="62"/>
      <c r="G1863" s="62"/>
      <c r="H1863" s="62"/>
      <c r="I1863" s="62"/>
      <c r="J1863" s="62"/>
      <c r="K1863" s="62"/>
    </row>
    <row r="1864" spans="1:12" ht="12" customHeight="1">
      <c r="A1864" s="61"/>
      <c r="B1864" s="62"/>
      <c r="C1864" s="62"/>
      <c r="D1864" s="62"/>
      <c r="E1864" s="62"/>
      <c r="F1864" s="62"/>
      <c r="G1864" s="62"/>
      <c r="H1864" s="62"/>
      <c r="I1864" s="62"/>
      <c r="J1864" s="62"/>
      <c r="K1864" s="62"/>
    </row>
    <row r="1865" spans="1:12" ht="12" customHeight="1">
      <c r="A1865" s="61"/>
      <c r="B1865" s="62"/>
      <c r="C1865" s="62"/>
      <c r="D1865" s="62"/>
      <c r="E1865" s="62"/>
      <c r="F1865" s="62"/>
      <c r="G1865" s="62"/>
      <c r="H1865" s="62"/>
      <c r="I1865" s="62"/>
      <c r="J1865" s="62"/>
      <c r="K1865" s="62"/>
    </row>
    <row r="1866" spans="1:12" ht="12" customHeight="1">
      <c r="A1866" s="61"/>
    </row>
    <row r="1867" spans="1:12" ht="12" customHeight="1">
      <c r="A1867" s="61"/>
    </row>
    <row r="1868" spans="1:12" ht="12" customHeight="1"/>
    <row r="1869" spans="1:12" ht="12" customHeight="1"/>
    <row r="1870" spans="1:12" ht="12" customHeight="1"/>
    <row r="1871" spans="1:12" ht="12" customHeight="1"/>
    <row r="1872" spans="1:12" ht="12" customHeight="1"/>
    <row r="1873" ht="12" customHeight="1"/>
    <row r="1874" ht="12" customHeight="1"/>
    <row r="1875" ht="12" customHeight="1"/>
    <row r="1876" ht="12" customHeight="1"/>
    <row r="1877" ht="12" customHeight="1"/>
    <row r="1878" ht="12" customHeight="1"/>
    <row r="1879" ht="12" customHeight="1"/>
    <row r="1880" ht="12" customHeight="1"/>
  </sheetData>
  <mergeCells count="21">
    <mergeCell ref="A1841:J1841"/>
    <mergeCell ref="A1842:J1842"/>
    <mergeCell ref="A1843:J1843"/>
    <mergeCell ref="A1844:J1844"/>
    <mergeCell ref="A1845:J1845"/>
    <mergeCell ref="A1846:J1846"/>
    <mergeCell ref="A1847:J1847"/>
    <mergeCell ref="A1858:J1858"/>
    <mergeCell ref="A1848:J1848"/>
    <mergeCell ref="A1849:J1849"/>
    <mergeCell ref="A1850:J1850"/>
    <mergeCell ref="A1851:J1851"/>
    <mergeCell ref="A1861:J1861"/>
    <mergeCell ref="A1859:J1859"/>
    <mergeCell ref="A1860:J1860"/>
    <mergeCell ref="A1852:J1852"/>
    <mergeCell ref="A1853:J1853"/>
    <mergeCell ref="A1854:J1854"/>
    <mergeCell ref="A1855:J1855"/>
    <mergeCell ref="A1856:J1856"/>
    <mergeCell ref="A1857:J1857"/>
  </mergeCells>
  <pageMargins left="0" right="0" top="0.75" bottom="0.75" header="0.3" footer="0.3"/>
  <pageSetup scale="95" fitToHeight="0" orientation="landscape" r:id="rId1"/>
  <drawing r:id="rId2"/>
  <legacyDrawing r:id="rId3"/>
  <oleObjects>
    <mc:AlternateContent xmlns:mc="http://schemas.openxmlformats.org/markup-compatibility/2006">
      <mc:Choice Requires="x14">
        <oleObject progId="Word.Document.12" shapeId="25601" r:id="rId4">
          <objectPr defaultSize="0" autoPict="0" r:id="rId5">
            <anchor moveWithCells="1">
              <from>
                <xdr:col>0</xdr:col>
                <xdr:colOff>0</xdr:colOff>
                <xdr:row>1841</xdr:row>
                <xdr:rowOff>0</xdr:rowOff>
              </from>
              <to>
                <xdr:col>9</xdr:col>
                <xdr:colOff>266700</xdr:colOff>
                <xdr:row>1868</xdr:row>
                <xdr:rowOff>63500</xdr:rowOff>
              </to>
            </anchor>
          </objectPr>
        </oleObject>
      </mc:Choice>
      <mc:Fallback>
        <oleObject progId="Word.Document.12" shapeId="2560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7BD0-3867-4C97-9382-F0A13C98FA8C}">
  <sheetPr codeName="Sheet21"/>
  <dimension ref="A1:J279"/>
  <sheetViews>
    <sheetView workbookViewId="0"/>
  </sheetViews>
  <sheetFormatPr baseColWidth="10" defaultColWidth="8.83203125" defaultRowHeight="15"/>
  <cols>
    <col min="1" max="1" width="27.5" customWidth="1"/>
    <col min="2" max="2" width="16.5" customWidth="1"/>
    <col min="3" max="3" width="24.33203125" customWidth="1"/>
    <col min="4" max="4" width="17.33203125" customWidth="1"/>
    <col min="5" max="5" width="12.5" bestFit="1" customWidth="1"/>
    <col min="6" max="6" width="27" customWidth="1"/>
    <col min="7" max="7" width="17.5" customWidth="1"/>
    <col min="8" max="8" width="10.5" customWidth="1"/>
    <col min="9" max="9" width="12.6640625" customWidth="1"/>
    <col min="10" max="10" width="16.33203125" style="15" customWidth="1"/>
  </cols>
  <sheetData>
    <row r="1" spans="1:10">
      <c r="A1" s="453" t="s">
        <v>1492</v>
      </c>
      <c r="B1" t="s">
        <v>1493</v>
      </c>
    </row>
    <row r="3" spans="1:10">
      <c r="A3" t="s">
        <v>1494</v>
      </c>
      <c r="B3" s="478">
        <v>45225</v>
      </c>
    </row>
    <row r="4" spans="1:10">
      <c r="B4" s="478"/>
    </row>
    <row r="5" spans="1:10">
      <c r="A5" s="463" t="s">
        <v>5437</v>
      </c>
      <c r="B5" s="1978"/>
      <c r="C5" s="464"/>
      <c r="D5" s="464"/>
      <c r="E5" s="464"/>
      <c r="F5" s="464"/>
      <c r="G5" s="464"/>
      <c r="H5" s="464"/>
      <c r="I5" s="464"/>
      <c r="J5" s="473"/>
    </row>
    <row r="6" spans="1:10" ht="30.75" customHeight="1">
      <c r="A6" s="2174" t="s">
        <v>5440</v>
      </c>
      <c r="B6" s="2174"/>
      <c r="C6" s="2174"/>
      <c r="D6" s="2174"/>
      <c r="E6" s="2174"/>
      <c r="F6" s="2174"/>
      <c r="G6" s="2174"/>
      <c r="H6" s="2174"/>
      <c r="I6" s="2174"/>
      <c r="J6" s="2174"/>
    </row>
    <row r="7" spans="1:10">
      <c r="B7" s="478"/>
    </row>
    <row r="8" spans="1:10">
      <c r="A8" s="4" t="s">
        <v>5439</v>
      </c>
      <c r="B8" s="1976"/>
      <c r="C8" s="23"/>
      <c r="D8" s="23"/>
      <c r="E8" s="23"/>
      <c r="F8" s="23"/>
      <c r="G8" s="23"/>
      <c r="H8" s="23"/>
      <c r="I8" s="23"/>
      <c r="J8" s="1977"/>
    </row>
    <row r="9" spans="1:10" ht="75" customHeight="1">
      <c r="A9" s="2174" t="s">
        <v>5438</v>
      </c>
      <c r="B9" s="2174"/>
      <c r="C9" s="2174"/>
      <c r="D9" s="2174"/>
      <c r="E9" s="2174"/>
      <c r="F9" s="2174"/>
      <c r="G9" s="2174"/>
      <c r="H9" s="2174"/>
      <c r="I9" s="2174"/>
      <c r="J9" s="2174"/>
    </row>
    <row r="10" spans="1:10">
      <c r="B10" s="478"/>
    </row>
    <row r="11" spans="1:10">
      <c r="B11" s="478"/>
      <c r="C11" s="463" t="s">
        <v>5441</v>
      </c>
      <c r="D11" s="463"/>
      <c r="E11" s="463"/>
      <c r="F11" s="4" t="s">
        <v>5442</v>
      </c>
      <c r="G11" s="23"/>
      <c r="H11" s="23"/>
      <c r="I11" s="23"/>
    </row>
    <row r="12" spans="1:10">
      <c r="E12" s="1971" t="s">
        <v>4962</v>
      </c>
      <c r="H12" s="1971" t="s">
        <v>4963</v>
      </c>
      <c r="I12" s="1971" t="s">
        <v>4962</v>
      </c>
    </row>
    <row r="13" spans="1:10">
      <c r="A13" s="24" t="s">
        <v>1495</v>
      </c>
      <c r="B13" s="24" t="s">
        <v>1496</v>
      </c>
      <c r="C13" s="24" t="s">
        <v>1497</v>
      </c>
      <c r="D13" s="24" t="s">
        <v>1498</v>
      </c>
      <c r="E13" s="24">
        <v>2021</v>
      </c>
      <c r="F13" s="24" t="s">
        <v>1497</v>
      </c>
      <c r="G13" s="24" t="s">
        <v>1498</v>
      </c>
      <c r="H13" s="24">
        <v>2021</v>
      </c>
      <c r="I13" s="24">
        <v>2021</v>
      </c>
      <c r="J13" s="456" t="s">
        <v>1499</v>
      </c>
    </row>
    <row r="14" spans="1:10">
      <c r="A14" t="s">
        <v>1500</v>
      </c>
      <c r="B14" t="s">
        <v>1501</v>
      </c>
      <c r="C14" t="s">
        <v>1502</v>
      </c>
      <c r="D14" t="s">
        <v>1503</v>
      </c>
      <c r="E14" s="11">
        <v>2000</v>
      </c>
      <c r="F14" t="s">
        <v>4960</v>
      </c>
      <c r="G14" t="s">
        <v>4961</v>
      </c>
      <c r="H14" s="11">
        <v>20</v>
      </c>
      <c r="I14" s="11">
        <f>H14*'Unit Conversions'!$E$33</f>
        <v>2000</v>
      </c>
    </row>
    <row r="15" spans="1:10">
      <c r="A15" t="s">
        <v>1504</v>
      </c>
      <c r="B15" t="s">
        <v>1505</v>
      </c>
      <c r="C15" t="s">
        <v>1502</v>
      </c>
      <c r="D15" t="s">
        <v>1503</v>
      </c>
      <c r="E15" s="11"/>
      <c r="F15" t="s">
        <v>4960</v>
      </c>
      <c r="G15" t="s">
        <v>4961</v>
      </c>
      <c r="H15" s="11">
        <v>6900855.8200000003</v>
      </c>
      <c r="I15" s="11">
        <f>H15*'Unit Conversions'!$E$33</f>
        <v>690085582</v>
      </c>
    </row>
    <row r="16" spans="1:10">
      <c r="A16" t="s">
        <v>1506</v>
      </c>
      <c r="B16" t="s">
        <v>1507</v>
      </c>
      <c r="C16" t="s">
        <v>1502</v>
      </c>
      <c r="D16" t="s">
        <v>1503</v>
      </c>
      <c r="E16" s="11">
        <v>7829000</v>
      </c>
      <c r="F16" t="s">
        <v>4960</v>
      </c>
      <c r="G16" t="s">
        <v>4961</v>
      </c>
      <c r="H16" s="11">
        <v>383130</v>
      </c>
      <c r="I16" s="11">
        <f>H16*'Unit Conversions'!$E$33</f>
        <v>38313000</v>
      </c>
    </row>
    <row r="17" spans="1:10">
      <c r="A17" t="s">
        <v>1508</v>
      </c>
      <c r="B17" t="s">
        <v>1509</v>
      </c>
      <c r="C17" t="s">
        <v>1502</v>
      </c>
      <c r="D17" t="s">
        <v>1503</v>
      </c>
      <c r="E17" s="11"/>
      <c r="F17" t="s">
        <v>4960</v>
      </c>
      <c r="G17" t="s">
        <v>4961</v>
      </c>
      <c r="H17" s="11">
        <v>3641770.46</v>
      </c>
      <c r="I17" s="11">
        <f>H17*'Unit Conversions'!$E$33</f>
        <v>364177046</v>
      </c>
    </row>
    <row r="18" spans="1:10">
      <c r="A18" t="s">
        <v>1510</v>
      </c>
      <c r="B18" t="s">
        <v>1511</v>
      </c>
      <c r="C18" t="s">
        <v>1502</v>
      </c>
      <c r="D18" t="s">
        <v>1503</v>
      </c>
      <c r="E18" s="11">
        <v>5373000</v>
      </c>
      <c r="F18" t="s">
        <v>4960</v>
      </c>
      <c r="G18" t="s">
        <v>4961</v>
      </c>
      <c r="H18" s="11">
        <v>458970</v>
      </c>
      <c r="I18" s="11">
        <f>H18*'Unit Conversions'!$E$33</f>
        <v>45897000</v>
      </c>
    </row>
    <row r="19" spans="1:10">
      <c r="A19" t="s">
        <v>1512</v>
      </c>
      <c r="B19" t="s">
        <v>1513</v>
      </c>
      <c r="C19" t="s">
        <v>1502</v>
      </c>
      <c r="D19" t="s">
        <v>1503</v>
      </c>
      <c r="E19" s="11">
        <v>599900</v>
      </c>
      <c r="F19" t="s">
        <v>4960</v>
      </c>
      <c r="G19" t="s">
        <v>4961</v>
      </c>
      <c r="H19" s="11">
        <v>11363.3</v>
      </c>
      <c r="I19" s="11">
        <f>H19*'Unit Conversions'!$E$33</f>
        <v>1136330</v>
      </c>
    </row>
    <row r="20" spans="1:10">
      <c r="A20" t="s">
        <v>1514</v>
      </c>
      <c r="B20" t="s">
        <v>1515</v>
      </c>
      <c r="C20" t="s">
        <v>1502</v>
      </c>
      <c r="D20" t="s">
        <v>1503</v>
      </c>
      <c r="E20" s="11">
        <v>747.6</v>
      </c>
      <c r="F20" t="s">
        <v>4960</v>
      </c>
      <c r="G20" t="s">
        <v>4961</v>
      </c>
      <c r="H20" s="11">
        <v>187.56200000000001</v>
      </c>
      <c r="I20" s="11">
        <f>H20*'Unit Conversions'!$E$33</f>
        <v>18756.2</v>
      </c>
    </row>
    <row r="21" spans="1:10">
      <c r="A21" t="s">
        <v>1516</v>
      </c>
      <c r="B21" t="s">
        <v>1517</v>
      </c>
      <c r="C21" t="s">
        <v>1502</v>
      </c>
      <c r="D21" t="s">
        <v>1503</v>
      </c>
      <c r="E21" s="11"/>
      <c r="F21" t="s">
        <v>4960</v>
      </c>
      <c r="G21" t="s">
        <v>4961</v>
      </c>
      <c r="H21" s="11">
        <v>5236390.6849999996</v>
      </c>
      <c r="I21" s="11">
        <f>H21*'Unit Conversions'!$E$33</f>
        <v>523639068.49999994</v>
      </c>
    </row>
    <row r="22" spans="1:10">
      <c r="A22" t="s">
        <v>1518</v>
      </c>
      <c r="B22" t="s">
        <v>1519</v>
      </c>
      <c r="C22" t="s">
        <v>1502</v>
      </c>
      <c r="D22" t="s">
        <v>1503</v>
      </c>
      <c r="E22" s="11">
        <v>50300</v>
      </c>
      <c r="F22" t="s">
        <v>4960</v>
      </c>
      <c r="G22" t="s">
        <v>4961</v>
      </c>
      <c r="H22" s="11">
        <v>3915.6149999999998</v>
      </c>
      <c r="I22" s="11">
        <f>H22*'Unit Conversions'!$E$33</f>
        <v>391561.5</v>
      </c>
    </row>
    <row r="23" spans="1:10">
      <c r="A23" t="s">
        <v>1520</v>
      </c>
      <c r="B23" t="s">
        <v>1521</v>
      </c>
      <c r="C23" t="s">
        <v>1502</v>
      </c>
      <c r="D23" t="s">
        <v>1503</v>
      </c>
      <c r="E23" s="11">
        <v>42208759.700000003</v>
      </c>
      <c r="F23" t="s">
        <v>4960</v>
      </c>
      <c r="G23" t="s">
        <v>4961</v>
      </c>
      <c r="H23" s="11">
        <v>1179577.5970000001</v>
      </c>
      <c r="I23" s="11">
        <f>H23*'Unit Conversions'!$E$33</f>
        <v>117957759.7</v>
      </c>
    </row>
    <row r="24" spans="1:10">
      <c r="A24" t="s">
        <v>1522</v>
      </c>
      <c r="B24" t="s">
        <v>1523</v>
      </c>
      <c r="C24" t="s">
        <v>1502</v>
      </c>
      <c r="D24" t="s">
        <v>1503</v>
      </c>
      <c r="E24" s="11">
        <v>443420</v>
      </c>
      <c r="F24" t="s">
        <v>4960</v>
      </c>
      <c r="G24" t="s">
        <v>4961</v>
      </c>
      <c r="H24" s="11">
        <v>16748.2</v>
      </c>
      <c r="I24" s="11">
        <f>H24*'Unit Conversions'!$E$33</f>
        <v>1674820</v>
      </c>
    </row>
    <row r="25" spans="1:10">
      <c r="A25" t="s">
        <v>1524</v>
      </c>
      <c r="B25" t="s">
        <v>1525</v>
      </c>
      <c r="C25" t="s">
        <v>1502</v>
      </c>
      <c r="D25" t="s">
        <v>1503</v>
      </c>
      <c r="E25" s="11">
        <v>970</v>
      </c>
      <c r="F25" t="s">
        <v>4960</v>
      </c>
      <c r="G25" t="s">
        <v>4961</v>
      </c>
      <c r="H25" s="11">
        <v>29</v>
      </c>
      <c r="I25" s="11">
        <f>H25*'Unit Conversions'!$E$33</f>
        <v>2900</v>
      </c>
    </row>
    <row r="26" spans="1:10">
      <c r="A26" t="s">
        <v>1526</v>
      </c>
      <c r="B26" t="s">
        <v>1527</v>
      </c>
      <c r="C26" t="s">
        <v>1502</v>
      </c>
      <c r="D26" t="s">
        <v>1503</v>
      </c>
      <c r="E26" s="11">
        <v>4000</v>
      </c>
      <c r="F26" t="s">
        <v>4960</v>
      </c>
      <c r="G26" t="s">
        <v>4961</v>
      </c>
      <c r="H26" s="11">
        <v>90</v>
      </c>
      <c r="I26" s="11">
        <f>H26*'Unit Conversions'!$E$33</f>
        <v>9000</v>
      </c>
    </row>
    <row r="27" spans="1:10">
      <c r="A27" t="s">
        <v>1528</v>
      </c>
      <c r="B27" t="s">
        <v>1529</v>
      </c>
      <c r="C27" t="s">
        <v>1502</v>
      </c>
      <c r="D27" t="s">
        <v>1503</v>
      </c>
      <c r="E27" s="11">
        <v>31265000</v>
      </c>
      <c r="F27" t="s">
        <v>4960</v>
      </c>
      <c r="G27" t="s">
        <v>4961</v>
      </c>
      <c r="H27" s="11">
        <v>3635190</v>
      </c>
      <c r="I27" s="11">
        <f>H27*'Unit Conversions'!$E$33</f>
        <v>363519000</v>
      </c>
    </row>
    <row r="28" spans="1:10">
      <c r="A28" t="s">
        <v>1530</v>
      </c>
      <c r="B28" t="s">
        <v>1531</v>
      </c>
      <c r="C28" t="s">
        <v>1502</v>
      </c>
      <c r="D28" t="s">
        <v>1503</v>
      </c>
      <c r="E28" s="11">
        <v>1319765.3999999999</v>
      </c>
      <c r="F28" t="s">
        <v>4960</v>
      </c>
      <c r="G28" t="s">
        <v>4961</v>
      </c>
      <c r="H28" s="11">
        <v>25974.594000000001</v>
      </c>
      <c r="I28" s="11">
        <f>H28*'Unit Conversions'!$E$33</f>
        <v>2597459.4</v>
      </c>
      <c r="J28" s="15">
        <v>1</v>
      </c>
    </row>
    <row r="29" spans="1:10">
      <c r="A29" t="s">
        <v>1532</v>
      </c>
      <c r="B29" t="s">
        <v>1533</v>
      </c>
      <c r="C29" t="s">
        <v>1502</v>
      </c>
      <c r="D29" t="s">
        <v>1503</v>
      </c>
      <c r="E29" s="11">
        <v>2089000</v>
      </c>
      <c r="F29" t="s">
        <v>4960</v>
      </c>
      <c r="G29" t="s">
        <v>4961</v>
      </c>
      <c r="H29" s="11">
        <v>47806</v>
      </c>
      <c r="I29" s="11">
        <f>H29*'Unit Conversions'!$E$33</f>
        <v>4780600</v>
      </c>
    </row>
    <row r="30" spans="1:10">
      <c r="A30" t="s">
        <v>1534</v>
      </c>
      <c r="B30" t="s">
        <v>1535</v>
      </c>
      <c r="C30" t="s">
        <v>1502</v>
      </c>
      <c r="D30" t="s">
        <v>1503</v>
      </c>
      <c r="E30" s="11">
        <v>1270000</v>
      </c>
      <c r="F30" t="s">
        <v>4960</v>
      </c>
      <c r="G30" t="s">
        <v>4961</v>
      </c>
      <c r="H30" s="11">
        <v>21030</v>
      </c>
      <c r="I30" s="11">
        <f>H30*'Unit Conversions'!$E$33</f>
        <v>2103000</v>
      </c>
    </row>
    <row r="31" spans="1:10">
      <c r="A31" t="s">
        <v>1536</v>
      </c>
      <c r="B31" t="s">
        <v>1537</v>
      </c>
      <c r="C31" t="s">
        <v>1502</v>
      </c>
      <c r="D31" t="s">
        <v>1503</v>
      </c>
      <c r="E31" s="11">
        <v>865640</v>
      </c>
      <c r="F31" t="s">
        <v>4960</v>
      </c>
      <c r="G31" t="s">
        <v>4961</v>
      </c>
      <c r="H31" s="11">
        <v>13656.7</v>
      </c>
      <c r="I31" s="11">
        <f>H31*'Unit Conversions'!$E$33</f>
        <v>1365670</v>
      </c>
      <c r="J31" s="15">
        <v>1</v>
      </c>
    </row>
    <row r="32" spans="1:10">
      <c r="A32" t="s">
        <v>1538</v>
      </c>
      <c r="B32" t="s">
        <v>1539</v>
      </c>
      <c r="C32" t="s">
        <v>1502</v>
      </c>
      <c r="D32" t="s">
        <v>1503</v>
      </c>
      <c r="E32" s="11">
        <v>2800000</v>
      </c>
      <c r="F32" t="s">
        <v>4960</v>
      </c>
      <c r="G32" t="s">
        <v>4961</v>
      </c>
      <c r="H32" s="11">
        <v>39500</v>
      </c>
      <c r="I32" s="11">
        <f>H32*'Unit Conversions'!$E$33</f>
        <v>3950000</v>
      </c>
    </row>
    <row r="33" spans="1:10">
      <c r="A33" t="s">
        <v>1540</v>
      </c>
      <c r="B33" t="s">
        <v>1541</v>
      </c>
      <c r="C33" t="s">
        <v>1502</v>
      </c>
      <c r="D33" t="s">
        <v>1503</v>
      </c>
      <c r="E33" s="11">
        <v>6100000</v>
      </c>
      <c r="F33" t="s">
        <v>4960</v>
      </c>
      <c r="G33" t="s">
        <v>4961</v>
      </c>
      <c r="H33" s="11">
        <v>127400</v>
      </c>
      <c r="I33" s="11">
        <f>H33*'Unit Conversions'!$E$33</f>
        <v>12740000</v>
      </c>
    </row>
    <row r="34" spans="1:10">
      <c r="A34" t="s">
        <v>1542</v>
      </c>
      <c r="B34" t="s">
        <v>1543</v>
      </c>
      <c r="C34" t="s">
        <v>1502</v>
      </c>
      <c r="D34" t="s">
        <v>1503</v>
      </c>
      <c r="E34" s="11">
        <v>8110000</v>
      </c>
      <c r="F34" t="s">
        <v>4960</v>
      </c>
      <c r="G34" t="s">
        <v>4961</v>
      </c>
      <c r="H34" s="11">
        <v>100680</v>
      </c>
      <c r="I34" s="11">
        <f>H34*'Unit Conversions'!$E$33</f>
        <v>10068000</v>
      </c>
    </row>
    <row r="35" spans="1:10">
      <c r="A35" t="s">
        <v>1544</v>
      </c>
      <c r="B35" t="s">
        <v>1545</v>
      </c>
      <c r="C35" t="s">
        <v>1502</v>
      </c>
      <c r="D35" t="s">
        <v>1503</v>
      </c>
      <c r="E35" s="11">
        <v>3500475.5</v>
      </c>
      <c r="F35" t="s">
        <v>4960</v>
      </c>
      <c r="G35" t="s">
        <v>4961</v>
      </c>
      <c r="H35" s="11">
        <v>50465.972000000002</v>
      </c>
      <c r="I35" s="11">
        <f>H35*'Unit Conversions'!$E$33</f>
        <v>5046597.2</v>
      </c>
      <c r="J35" s="15">
        <v>1</v>
      </c>
    </row>
    <row r="36" spans="1:10">
      <c r="A36" t="s">
        <v>1546</v>
      </c>
      <c r="B36" t="s">
        <v>1547</v>
      </c>
      <c r="C36" t="s">
        <v>1502</v>
      </c>
      <c r="D36" t="s">
        <v>1503</v>
      </c>
      <c r="E36" s="11">
        <v>2100</v>
      </c>
      <c r="F36" t="s">
        <v>4960</v>
      </c>
      <c r="G36" t="s">
        <v>4961</v>
      </c>
      <c r="H36" s="11">
        <v>81</v>
      </c>
      <c r="I36" s="11">
        <f>H36*'Unit Conversions'!$E$33</f>
        <v>8100</v>
      </c>
    </row>
    <row r="37" spans="1:10">
      <c r="A37" t="s">
        <v>1548</v>
      </c>
      <c r="B37" t="s">
        <v>1549</v>
      </c>
      <c r="C37" t="s">
        <v>1502</v>
      </c>
      <c r="D37" t="s">
        <v>1503</v>
      </c>
      <c r="E37" s="11">
        <v>8000</v>
      </c>
      <c r="F37" t="s">
        <v>4960</v>
      </c>
      <c r="G37" t="s">
        <v>4961</v>
      </c>
      <c r="H37" s="11">
        <v>130</v>
      </c>
      <c r="I37" s="11">
        <f>H37*'Unit Conversions'!$E$33</f>
        <v>13000</v>
      </c>
    </row>
    <row r="38" spans="1:10">
      <c r="A38" t="s">
        <v>1550</v>
      </c>
      <c r="B38" t="s">
        <v>1551</v>
      </c>
      <c r="C38" t="s">
        <v>1502</v>
      </c>
      <c r="D38" t="s">
        <v>1503</v>
      </c>
      <c r="E38" s="11">
        <v>1008000</v>
      </c>
      <c r="F38" t="s">
        <v>4960</v>
      </c>
      <c r="G38" t="s">
        <v>4961</v>
      </c>
      <c r="H38" s="11">
        <v>22630</v>
      </c>
      <c r="I38" s="11">
        <f>H38*'Unit Conversions'!$E$33</f>
        <v>2263000</v>
      </c>
    </row>
    <row r="39" spans="1:10">
      <c r="A39" t="s">
        <v>1552</v>
      </c>
      <c r="B39" t="s">
        <v>1553</v>
      </c>
      <c r="C39" t="s">
        <v>1502</v>
      </c>
      <c r="D39" t="s">
        <v>1503</v>
      </c>
      <c r="E39" s="11">
        <v>5624000</v>
      </c>
      <c r="F39" t="s">
        <v>4960</v>
      </c>
      <c r="G39" t="s">
        <v>4961</v>
      </c>
      <c r="H39" s="11">
        <v>81740</v>
      </c>
      <c r="I39" s="11">
        <f>H39*'Unit Conversions'!$E$33</f>
        <v>8174000</v>
      </c>
    </row>
    <row r="40" spans="1:10">
      <c r="A40" t="s">
        <v>1554</v>
      </c>
      <c r="B40" t="s">
        <v>1555</v>
      </c>
      <c r="C40" t="s">
        <v>1502</v>
      </c>
      <c r="D40" t="s">
        <v>1503</v>
      </c>
      <c r="E40" s="11">
        <v>100000</v>
      </c>
      <c r="F40" t="s">
        <v>4960</v>
      </c>
      <c r="G40" t="s">
        <v>4961</v>
      </c>
      <c r="H40" s="11">
        <v>1820</v>
      </c>
      <c r="I40" s="11">
        <f>H40*'Unit Conversions'!$E$33</f>
        <v>182000</v>
      </c>
    </row>
    <row r="41" spans="1:10">
      <c r="A41" t="s">
        <v>1556</v>
      </c>
      <c r="B41" t="s">
        <v>1557</v>
      </c>
      <c r="C41" t="s">
        <v>1502</v>
      </c>
      <c r="D41" t="s">
        <v>1503</v>
      </c>
      <c r="E41" s="11">
        <v>300</v>
      </c>
      <c r="F41" t="s">
        <v>4960</v>
      </c>
      <c r="G41" t="s">
        <v>4961</v>
      </c>
      <c r="H41" s="11">
        <v>3</v>
      </c>
      <c r="I41" s="11">
        <f>H41*'Unit Conversions'!$E$33</f>
        <v>300</v>
      </c>
    </row>
    <row r="42" spans="1:10">
      <c r="A42" t="s">
        <v>1558</v>
      </c>
      <c r="B42" t="s">
        <v>1559</v>
      </c>
      <c r="C42" t="s">
        <v>1502</v>
      </c>
      <c r="D42" t="s">
        <v>1503</v>
      </c>
      <c r="E42" s="11">
        <v>4868367.2</v>
      </c>
      <c r="F42" t="s">
        <v>4960</v>
      </c>
      <c r="G42" t="s">
        <v>4961</v>
      </c>
      <c r="H42" s="11">
        <v>381193.67200000002</v>
      </c>
      <c r="I42" s="11">
        <f>H42*'Unit Conversions'!$E$33</f>
        <v>38119367.200000003</v>
      </c>
    </row>
    <row r="43" spans="1:10">
      <c r="A43" t="s">
        <v>1560</v>
      </c>
      <c r="B43" t="s">
        <v>1561</v>
      </c>
      <c r="C43" t="s">
        <v>1502</v>
      </c>
      <c r="D43" t="s">
        <v>1503</v>
      </c>
      <c r="E43" s="11">
        <v>58252760</v>
      </c>
      <c r="F43" t="s">
        <v>4960</v>
      </c>
      <c r="G43" t="s">
        <v>4961</v>
      </c>
      <c r="H43" s="11">
        <v>2393695.61</v>
      </c>
      <c r="I43" s="11">
        <f>H43*'Unit Conversions'!$E$33</f>
        <v>239369561</v>
      </c>
    </row>
    <row r="44" spans="1:10">
      <c r="A44" t="s">
        <v>1562</v>
      </c>
      <c r="B44" t="s">
        <v>1563</v>
      </c>
      <c r="C44" t="s">
        <v>1502</v>
      </c>
      <c r="D44" t="s">
        <v>1503</v>
      </c>
      <c r="E44" s="11">
        <v>7000</v>
      </c>
      <c r="F44" t="s">
        <v>4960</v>
      </c>
      <c r="G44" t="s">
        <v>4961</v>
      </c>
      <c r="H44" s="11">
        <v>100</v>
      </c>
      <c r="I44" s="11">
        <f>H44*'Unit Conversions'!$E$33</f>
        <v>10000</v>
      </c>
    </row>
    <row r="45" spans="1:10">
      <c r="A45" t="s">
        <v>1564</v>
      </c>
      <c r="B45" t="s">
        <v>1565</v>
      </c>
      <c r="C45" t="s">
        <v>1502</v>
      </c>
      <c r="D45" t="s">
        <v>1503</v>
      </c>
      <c r="E45" s="11">
        <v>4000</v>
      </c>
      <c r="F45" t="s">
        <v>4960</v>
      </c>
      <c r="G45" t="s">
        <v>4961</v>
      </c>
      <c r="H45" s="11">
        <v>134</v>
      </c>
      <c r="I45" s="11">
        <f>H45*'Unit Conversions'!$E$33</f>
        <v>13400</v>
      </c>
    </row>
    <row r="46" spans="1:10">
      <c r="A46" t="s">
        <v>1566</v>
      </c>
      <c r="B46" t="s">
        <v>1567</v>
      </c>
      <c r="C46" t="s">
        <v>1502</v>
      </c>
      <c r="D46" t="s">
        <v>1503</v>
      </c>
      <c r="E46" s="11">
        <v>94000</v>
      </c>
      <c r="F46" t="s">
        <v>4960</v>
      </c>
      <c r="G46" t="s">
        <v>4961</v>
      </c>
      <c r="H46" s="11">
        <v>5130</v>
      </c>
      <c r="I46" s="11">
        <f>H46*'Unit Conversions'!$E$33</f>
        <v>513000</v>
      </c>
    </row>
    <row r="47" spans="1:10">
      <c r="A47" t="s">
        <v>1568</v>
      </c>
      <c r="B47" t="s">
        <v>1569</v>
      </c>
      <c r="C47" t="s">
        <v>1502</v>
      </c>
      <c r="D47" t="s">
        <v>1503</v>
      </c>
      <c r="E47" s="11">
        <v>260000</v>
      </c>
      <c r="F47" t="s">
        <v>4960</v>
      </c>
      <c r="G47" t="s">
        <v>4961</v>
      </c>
      <c r="H47" s="11">
        <v>258620</v>
      </c>
      <c r="I47" s="11">
        <f>H47*'Unit Conversions'!$E$33</f>
        <v>25862000</v>
      </c>
    </row>
    <row r="48" spans="1:10">
      <c r="A48" t="s">
        <v>1570</v>
      </c>
      <c r="B48" t="s">
        <v>1571</v>
      </c>
      <c r="C48" t="s">
        <v>1502</v>
      </c>
      <c r="D48" t="s">
        <v>1503</v>
      </c>
      <c r="E48" s="11">
        <v>1800000</v>
      </c>
      <c r="F48" t="s">
        <v>4960</v>
      </c>
      <c r="G48" t="s">
        <v>4961</v>
      </c>
      <c r="H48" s="11">
        <v>49100</v>
      </c>
      <c r="I48" s="11">
        <f>H48*'Unit Conversions'!$E$33</f>
        <v>4910000</v>
      </c>
    </row>
    <row r="49" spans="1:9">
      <c r="A49" t="s">
        <v>1572</v>
      </c>
      <c r="B49" t="s">
        <v>1573</v>
      </c>
      <c r="C49" t="s">
        <v>1502</v>
      </c>
      <c r="D49" t="s">
        <v>1503</v>
      </c>
      <c r="E49" s="11">
        <v>38259000</v>
      </c>
      <c r="F49" t="s">
        <v>4960</v>
      </c>
      <c r="G49" t="s">
        <v>4961</v>
      </c>
      <c r="H49" s="11">
        <v>569910</v>
      </c>
      <c r="I49" s="11">
        <f>H49*'Unit Conversions'!$E$33</f>
        <v>56991000</v>
      </c>
    </row>
    <row r="50" spans="1:9">
      <c r="A50" t="s">
        <v>1574</v>
      </c>
      <c r="B50" t="s">
        <v>1575</v>
      </c>
      <c r="C50" t="s">
        <v>1502</v>
      </c>
      <c r="D50" t="s">
        <v>1503</v>
      </c>
      <c r="E50" s="11"/>
      <c r="F50" t="s">
        <v>4960</v>
      </c>
      <c r="G50" t="s">
        <v>4961</v>
      </c>
      <c r="H50" s="11">
        <v>510363.02799999999</v>
      </c>
      <c r="I50" s="11">
        <f>H50*'Unit Conversions'!$E$33</f>
        <v>51036302.799999997</v>
      </c>
    </row>
    <row r="51" spans="1:9">
      <c r="A51" t="s">
        <v>1576</v>
      </c>
      <c r="B51" t="s">
        <v>1577</v>
      </c>
      <c r="C51" t="s">
        <v>1502</v>
      </c>
      <c r="D51" t="s">
        <v>1503</v>
      </c>
      <c r="E51" s="11">
        <v>395464.6</v>
      </c>
      <c r="F51" t="s">
        <v>4960</v>
      </c>
      <c r="G51" t="s">
        <v>4961</v>
      </c>
      <c r="H51" s="11">
        <v>14993.782999999999</v>
      </c>
      <c r="I51" s="11">
        <f>H51*'Unit Conversions'!$E$33</f>
        <v>1499378.3</v>
      </c>
    </row>
    <row r="52" spans="1:9">
      <c r="A52" t="s">
        <v>1578</v>
      </c>
      <c r="B52" t="s">
        <v>1579</v>
      </c>
      <c r="C52" t="s">
        <v>1502</v>
      </c>
      <c r="D52" t="s">
        <v>1503</v>
      </c>
      <c r="E52" s="11">
        <v>3630</v>
      </c>
      <c r="F52" t="s">
        <v>4960</v>
      </c>
      <c r="G52" t="s">
        <v>4961</v>
      </c>
      <c r="H52" s="11">
        <v>85.7</v>
      </c>
      <c r="I52" s="11">
        <f>H52*'Unit Conversions'!$E$33</f>
        <v>8570</v>
      </c>
    </row>
    <row r="53" spans="1:9">
      <c r="A53" t="s">
        <v>1580</v>
      </c>
      <c r="B53" t="s">
        <v>1581</v>
      </c>
      <c r="C53" t="s">
        <v>1502</v>
      </c>
      <c r="D53" t="s">
        <v>1503</v>
      </c>
      <c r="E53" s="11">
        <v>1313900</v>
      </c>
      <c r="F53" t="s">
        <v>4960</v>
      </c>
      <c r="G53" t="s">
        <v>4961</v>
      </c>
      <c r="H53" s="11">
        <v>105955.37</v>
      </c>
      <c r="I53" s="11">
        <f>H53*'Unit Conversions'!$E$33</f>
        <v>10595537</v>
      </c>
    </row>
    <row r="54" spans="1:9">
      <c r="A54" t="s">
        <v>263</v>
      </c>
      <c r="B54" t="s">
        <v>1582</v>
      </c>
      <c r="C54" t="s">
        <v>1502</v>
      </c>
      <c r="D54" t="s">
        <v>1503</v>
      </c>
      <c r="E54" s="11">
        <v>108862000</v>
      </c>
      <c r="F54" t="s">
        <v>4960</v>
      </c>
      <c r="G54" t="s">
        <v>4961</v>
      </c>
      <c r="H54" s="11">
        <v>5206950</v>
      </c>
      <c r="I54" s="11">
        <f>H54*'Unit Conversions'!$E$33</f>
        <v>520695000</v>
      </c>
    </row>
    <row r="55" spans="1:9">
      <c r="A55" t="s">
        <v>1583</v>
      </c>
      <c r="B55" t="s">
        <v>1584</v>
      </c>
      <c r="C55" t="s">
        <v>1502</v>
      </c>
      <c r="D55" t="s">
        <v>1503</v>
      </c>
      <c r="E55" s="11">
        <v>3500000</v>
      </c>
      <c r="F55" t="s">
        <v>4960</v>
      </c>
      <c r="G55" t="s">
        <v>4961</v>
      </c>
      <c r="H55" s="11">
        <v>235000</v>
      </c>
      <c r="I55" s="11">
        <f>H55*'Unit Conversions'!$E$33</f>
        <v>23500000</v>
      </c>
    </row>
    <row r="56" spans="1:9">
      <c r="A56" t="s">
        <v>1585</v>
      </c>
      <c r="B56" t="s">
        <v>1586</v>
      </c>
      <c r="C56" t="s">
        <v>1502</v>
      </c>
      <c r="D56" t="s">
        <v>1503</v>
      </c>
      <c r="E56" s="11">
        <v>6200000</v>
      </c>
      <c r="F56" t="s">
        <v>4960</v>
      </c>
      <c r="G56" t="s">
        <v>4961</v>
      </c>
      <c r="H56" s="11">
        <v>97500</v>
      </c>
      <c r="I56" s="11">
        <f>H56*'Unit Conversions'!$E$33</f>
        <v>9750000</v>
      </c>
    </row>
    <row r="57" spans="1:9">
      <c r="A57" t="s">
        <v>1587</v>
      </c>
      <c r="B57" t="s">
        <v>1588</v>
      </c>
      <c r="C57" t="s">
        <v>1502</v>
      </c>
      <c r="D57" t="s">
        <v>1503</v>
      </c>
      <c r="E57" s="11">
        <v>13680000</v>
      </c>
      <c r="F57" t="s">
        <v>4960</v>
      </c>
      <c r="G57" t="s">
        <v>4961</v>
      </c>
      <c r="H57" s="11">
        <v>338980</v>
      </c>
      <c r="I57" s="11">
        <f>H57*'Unit Conversions'!$E$33</f>
        <v>33898000</v>
      </c>
    </row>
    <row r="58" spans="1:9">
      <c r="A58" t="s">
        <v>1589</v>
      </c>
      <c r="B58" t="s">
        <v>1590</v>
      </c>
      <c r="C58" t="s">
        <v>1502</v>
      </c>
      <c r="D58" t="s">
        <v>1503</v>
      </c>
      <c r="E58" s="11">
        <v>550000</v>
      </c>
      <c r="F58" t="s">
        <v>4960</v>
      </c>
      <c r="G58" t="s">
        <v>4961</v>
      </c>
      <c r="H58" s="11">
        <v>106780</v>
      </c>
      <c r="I58" s="11">
        <f>H58*'Unit Conversions'!$E$33</f>
        <v>10678000</v>
      </c>
    </row>
    <row r="59" spans="1:9">
      <c r="A59" t="s">
        <v>1591</v>
      </c>
      <c r="B59" t="s">
        <v>1592</v>
      </c>
      <c r="C59" t="s">
        <v>1502</v>
      </c>
      <c r="D59" t="s">
        <v>1503</v>
      </c>
      <c r="E59" s="11">
        <v>1993000</v>
      </c>
      <c r="F59" t="s">
        <v>4960</v>
      </c>
      <c r="G59" t="s">
        <v>4961</v>
      </c>
      <c r="H59" s="11">
        <v>427180</v>
      </c>
      <c r="I59" s="11">
        <f>H59*'Unit Conversions'!$E$33</f>
        <v>42718000</v>
      </c>
    </row>
    <row r="60" spans="1:9">
      <c r="A60" t="s">
        <v>1593</v>
      </c>
      <c r="B60" t="s">
        <v>1594</v>
      </c>
      <c r="C60" t="s">
        <v>1502</v>
      </c>
      <c r="D60" t="s">
        <v>1503</v>
      </c>
      <c r="E60" s="11">
        <v>65000</v>
      </c>
      <c r="F60" t="s">
        <v>4960</v>
      </c>
      <c r="G60" t="s">
        <v>4961</v>
      </c>
      <c r="H60" s="11">
        <v>1330</v>
      </c>
      <c r="I60" s="11">
        <f>H60*'Unit Conversions'!$E$33</f>
        <v>133000</v>
      </c>
    </row>
    <row r="61" spans="1:9">
      <c r="A61" t="s">
        <v>1595</v>
      </c>
      <c r="B61" t="s">
        <v>1596</v>
      </c>
      <c r="C61" t="s">
        <v>1502</v>
      </c>
      <c r="D61" t="s">
        <v>1503</v>
      </c>
      <c r="E61" s="11">
        <v>50000</v>
      </c>
      <c r="F61" t="s">
        <v>4960</v>
      </c>
      <c r="G61" t="s">
        <v>4961</v>
      </c>
      <c r="H61" s="11">
        <v>790</v>
      </c>
      <c r="I61" s="11">
        <f>H61*'Unit Conversions'!$E$33</f>
        <v>79000</v>
      </c>
    </row>
    <row r="62" spans="1:9">
      <c r="A62" t="s">
        <v>1597</v>
      </c>
      <c r="B62" t="s">
        <v>1598</v>
      </c>
      <c r="C62" t="s">
        <v>1502</v>
      </c>
      <c r="D62" t="s">
        <v>1503</v>
      </c>
      <c r="E62" s="11">
        <v>243000</v>
      </c>
      <c r="F62" t="s">
        <v>4960</v>
      </c>
      <c r="G62" t="s">
        <v>4961</v>
      </c>
      <c r="H62" s="11">
        <v>18110</v>
      </c>
      <c r="I62" s="11">
        <f>H62*'Unit Conversions'!$E$33</f>
        <v>1811000</v>
      </c>
    </row>
    <row r="63" spans="1:9">
      <c r="A63" t="s">
        <v>1599</v>
      </c>
      <c r="B63" t="s">
        <v>1600</v>
      </c>
      <c r="C63" t="s">
        <v>1502</v>
      </c>
      <c r="D63" t="s">
        <v>1503</v>
      </c>
      <c r="E63" s="11"/>
      <c r="F63" t="s">
        <v>4960</v>
      </c>
      <c r="G63" t="s">
        <v>4961</v>
      </c>
      <c r="H63" s="11">
        <v>18619.400000000001</v>
      </c>
      <c r="I63" s="11">
        <f>H63*'Unit Conversions'!$E$33</f>
        <v>1861940.0000000002</v>
      </c>
    </row>
    <row r="64" spans="1:9">
      <c r="A64" t="s">
        <v>1601</v>
      </c>
      <c r="B64" t="s">
        <v>1602</v>
      </c>
      <c r="C64" t="s">
        <v>1502</v>
      </c>
      <c r="D64" t="s">
        <v>1503</v>
      </c>
      <c r="E64" s="11">
        <v>2908600</v>
      </c>
      <c r="F64" t="s">
        <v>4960</v>
      </c>
      <c r="G64" t="s">
        <v>4961</v>
      </c>
      <c r="H64" s="11">
        <v>64010</v>
      </c>
      <c r="I64" s="11">
        <f>H64*'Unit Conversions'!$E$33</f>
        <v>6401000</v>
      </c>
    </row>
    <row r="65" spans="1:10">
      <c r="A65" t="s">
        <v>1603</v>
      </c>
      <c r="B65" t="s">
        <v>1604</v>
      </c>
      <c r="C65" t="s">
        <v>1502</v>
      </c>
      <c r="D65" t="s">
        <v>1503</v>
      </c>
      <c r="E65" s="11"/>
      <c r="F65" t="s">
        <v>4960</v>
      </c>
      <c r="G65" t="s">
        <v>4961</v>
      </c>
      <c r="H65" s="11"/>
      <c r="I65" s="11">
        <f>H65*'Unit Conversions'!$E$33</f>
        <v>0</v>
      </c>
    </row>
    <row r="66" spans="1:10">
      <c r="A66" t="s">
        <v>1605</v>
      </c>
      <c r="B66" t="s">
        <v>1606</v>
      </c>
      <c r="C66" t="s">
        <v>1502</v>
      </c>
      <c r="D66" t="s">
        <v>1503</v>
      </c>
      <c r="E66" s="11">
        <v>200</v>
      </c>
      <c r="F66" t="s">
        <v>4960</v>
      </c>
      <c r="G66" t="s">
        <v>4961</v>
      </c>
      <c r="H66" s="11">
        <v>27</v>
      </c>
      <c r="I66" s="11">
        <f>H66*'Unit Conversions'!$E$33</f>
        <v>2700</v>
      </c>
    </row>
    <row r="67" spans="1:10">
      <c r="A67" t="s">
        <v>1607</v>
      </c>
      <c r="B67" t="s">
        <v>1608</v>
      </c>
      <c r="C67" t="s">
        <v>1502</v>
      </c>
      <c r="D67" t="s">
        <v>1503</v>
      </c>
      <c r="E67" s="11">
        <v>95156.6</v>
      </c>
      <c r="F67" t="s">
        <v>4960</v>
      </c>
      <c r="G67" t="s">
        <v>4961</v>
      </c>
      <c r="H67" s="11">
        <v>1231.3489999999999</v>
      </c>
      <c r="I67" s="11">
        <f>H67*'Unit Conversions'!$E$33</f>
        <v>123134.9</v>
      </c>
      <c r="J67" s="15">
        <v>1</v>
      </c>
    </row>
    <row r="68" spans="1:10">
      <c r="A68" t="s">
        <v>1609</v>
      </c>
      <c r="B68" t="s">
        <v>1610</v>
      </c>
      <c r="C68" t="s">
        <v>1502</v>
      </c>
      <c r="D68" t="s">
        <v>1503</v>
      </c>
      <c r="E68" s="11">
        <v>2475335</v>
      </c>
      <c r="F68" t="s">
        <v>4960</v>
      </c>
      <c r="G68" t="s">
        <v>4961</v>
      </c>
      <c r="H68" s="11">
        <v>35297.97</v>
      </c>
      <c r="I68" s="11">
        <f>H68*'Unit Conversions'!$E$33</f>
        <v>3529797</v>
      </c>
      <c r="J68" s="15">
        <v>1</v>
      </c>
    </row>
    <row r="69" spans="1:10">
      <c r="A69" t="s">
        <v>1611</v>
      </c>
      <c r="B69" t="s">
        <v>1612</v>
      </c>
      <c r="C69" t="s">
        <v>1502</v>
      </c>
      <c r="D69" t="s">
        <v>1503</v>
      </c>
      <c r="E69" s="11">
        <v>11658000</v>
      </c>
      <c r="F69" t="s">
        <v>4960</v>
      </c>
      <c r="G69" t="s">
        <v>4961</v>
      </c>
      <c r="H69" s="11">
        <v>165910</v>
      </c>
      <c r="I69" s="11">
        <f>H69*'Unit Conversions'!$E$33</f>
        <v>16591000</v>
      </c>
      <c r="J69" s="15">
        <v>1</v>
      </c>
    </row>
    <row r="70" spans="1:10">
      <c r="A70" t="s">
        <v>1613</v>
      </c>
      <c r="B70" t="s">
        <v>1614</v>
      </c>
      <c r="C70" t="s">
        <v>1502</v>
      </c>
      <c r="D70" t="s">
        <v>1503</v>
      </c>
      <c r="E70" s="11">
        <v>3000</v>
      </c>
      <c r="F70" t="s">
        <v>4960</v>
      </c>
      <c r="G70" t="s">
        <v>4961</v>
      </c>
      <c r="H70" s="11">
        <v>17039</v>
      </c>
      <c r="I70" s="11">
        <f>H70*'Unit Conversions'!$E$33</f>
        <v>1703900</v>
      </c>
    </row>
    <row r="71" spans="1:10">
      <c r="A71" t="s">
        <v>1615</v>
      </c>
      <c r="B71" t="s">
        <v>1616</v>
      </c>
      <c r="C71" t="s">
        <v>1502</v>
      </c>
      <c r="D71" t="s">
        <v>1503</v>
      </c>
      <c r="E71" s="11">
        <v>6000</v>
      </c>
      <c r="F71" t="s">
        <v>4960</v>
      </c>
      <c r="G71" t="s">
        <v>4961</v>
      </c>
      <c r="H71" s="11">
        <v>250</v>
      </c>
      <c r="I71" s="11">
        <f>H71*'Unit Conversions'!$E$33</f>
        <v>25000</v>
      </c>
    </row>
    <row r="72" spans="1:10">
      <c r="A72" t="s">
        <v>1617</v>
      </c>
      <c r="B72" t="s">
        <v>1618</v>
      </c>
      <c r="C72" t="s">
        <v>1502</v>
      </c>
      <c r="D72" t="s">
        <v>1503</v>
      </c>
      <c r="E72" s="11">
        <v>2357000</v>
      </c>
      <c r="F72" t="s">
        <v>4960</v>
      </c>
      <c r="G72" t="s">
        <v>4961</v>
      </c>
      <c r="H72" s="11">
        <v>26180</v>
      </c>
      <c r="I72" s="11">
        <f>H72*'Unit Conversions'!$E$33</f>
        <v>2618000</v>
      </c>
      <c r="J72" s="15">
        <v>1</v>
      </c>
    </row>
    <row r="73" spans="1:10">
      <c r="A73" t="s">
        <v>1619</v>
      </c>
      <c r="B73" t="s">
        <v>1620</v>
      </c>
      <c r="C73" t="s">
        <v>1502</v>
      </c>
      <c r="D73" t="s">
        <v>1503</v>
      </c>
      <c r="E73" s="11">
        <v>877000</v>
      </c>
      <c r="F73" t="s">
        <v>4960</v>
      </c>
      <c r="G73" t="s">
        <v>4961</v>
      </c>
      <c r="H73" s="11">
        <v>24290</v>
      </c>
      <c r="I73" s="11">
        <f>H73*'Unit Conversions'!$E$33</f>
        <v>2429000</v>
      </c>
    </row>
    <row r="74" spans="1:10">
      <c r="A74" t="s">
        <v>1621</v>
      </c>
      <c r="B74" t="s">
        <v>1622</v>
      </c>
      <c r="C74" t="s">
        <v>1502</v>
      </c>
      <c r="D74" t="s">
        <v>1503</v>
      </c>
      <c r="E74" s="11">
        <v>7530600</v>
      </c>
      <c r="F74" t="s">
        <v>4960</v>
      </c>
      <c r="G74" t="s">
        <v>4961</v>
      </c>
      <c r="H74" s="11">
        <v>413160.71</v>
      </c>
      <c r="I74" s="11">
        <f>H74*'Unit Conversions'!$E$33</f>
        <v>41316071</v>
      </c>
    </row>
    <row r="75" spans="1:10">
      <c r="A75" t="s">
        <v>1623</v>
      </c>
      <c r="B75" t="s">
        <v>1624</v>
      </c>
      <c r="C75" t="s">
        <v>1502</v>
      </c>
      <c r="D75" t="s">
        <v>1503</v>
      </c>
      <c r="E75" s="11"/>
      <c r="F75" t="s">
        <v>4960</v>
      </c>
      <c r="G75" t="s">
        <v>4961</v>
      </c>
      <c r="H75" s="11">
        <v>7812828.4970000004</v>
      </c>
      <c r="I75" s="11">
        <f>H75*'Unit Conversions'!$E$33</f>
        <v>781282849.70000005</v>
      </c>
    </row>
    <row r="76" spans="1:10">
      <c r="A76" t="s">
        <v>1625</v>
      </c>
      <c r="B76" t="s">
        <v>1626</v>
      </c>
      <c r="C76" t="s">
        <v>1502</v>
      </c>
      <c r="D76" t="s">
        <v>1503</v>
      </c>
      <c r="E76" s="11"/>
      <c r="F76" t="s">
        <v>4960</v>
      </c>
      <c r="G76" t="s">
        <v>4961</v>
      </c>
      <c r="H76" s="11">
        <v>13347985.526000001</v>
      </c>
      <c r="I76" s="11">
        <f>H76*'Unit Conversions'!$E$33</f>
        <v>1334798552.6000001</v>
      </c>
    </row>
    <row r="77" spans="1:10">
      <c r="A77" t="s">
        <v>1627</v>
      </c>
      <c r="B77" t="s">
        <v>1628</v>
      </c>
      <c r="C77" t="s">
        <v>1502</v>
      </c>
      <c r="D77" t="s">
        <v>1503</v>
      </c>
      <c r="E77" s="11"/>
      <c r="F77" t="s">
        <v>4960</v>
      </c>
      <c r="G77" t="s">
        <v>4961</v>
      </c>
      <c r="H77" s="11">
        <v>11622962.797</v>
      </c>
      <c r="I77" s="11">
        <f>H77*'Unit Conversions'!$E$33</f>
        <v>1162296279.7</v>
      </c>
    </row>
    <row r="78" spans="1:10">
      <c r="A78" t="s">
        <v>1629</v>
      </c>
      <c r="B78" t="s">
        <v>1630</v>
      </c>
      <c r="C78" t="s">
        <v>1502</v>
      </c>
      <c r="D78" t="s">
        <v>1503</v>
      </c>
      <c r="E78" s="11"/>
      <c r="F78" t="s">
        <v>4960</v>
      </c>
      <c r="G78" t="s">
        <v>4961</v>
      </c>
      <c r="H78" s="11">
        <v>6162324.0719999997</v>
      </c>
      <c r="I78" s="11">
        <f>H78*'Unit Conversions'!$E$33</f>
        <v>616232407.19999993</v>
      </c>
    </row>
    <row r="79" spans="1:10">
      <c r="A79" t="s">
        <v>1631</v>
      </c>
      <c r="B79" t="s">
        <v>1632</v>
      </c>
      <c r="C79" t="s">
        <v>1502</v>
      </c>
      <c r="D79" t="s">
        <v>1503</v>
      </c>
      <c r="E79" s="11"/>
      <c r="F79" t="s">
        <v>4960</v>
      </c>
      <c r="G79" t="s">
        <v>4961</v>
      </c>
      <c r="H79" s="11">
        <v>7960695.0839999998</v>
      </c>
      <c r="I79" s="11">
        <f>H79*'Unit Conversions'!$E$33</f>
        <v>796069508.39999998</v>
      </c>
    </row>
    <row r="80" spans="1:10">
      <c r="A80" t="s">
        <v>1633</v>
      </c>
      <c r="B80" t="s">
        <v>1634</v>
      </c>
      <c r="C80" t="s">
        <v>1502</v>
      </c>
      <c r="D80" t="s">
        <v>1503</v>
      </c>
      <c r="E80" s="11">
        <v>1024000</v>
      </c>
      <c r="F80" t="s">
        <v>4960</v>
      </c>
      <c r="G80" t="s">
        <v>4961</v>
      </c>
      <c r="H80" s="11">
        <v>54700</v>
      </c>
      <c r="I80" s="11">
        <f>H80*'Unit Conversions'!$E$33</f>
        <v>5470000</v>
      </c>
    </row>
    <row r="81" spans="1:10">
      <c r="A81" t="s">
        <v>1635</v>
      </c>
      <c r="B81" t="s">
        <v>1636</v>
      </c>
      <c r="C81" t="s">
        <v>1502</v>
      </c>
      <c r="D81" t="s">
        <v>1503</v>
      </c>
      <c r="E81" s="11">
        <v>3077000</v>
      </c>
      <c r="F81" t="s">
        <v>4960</v>
      </c>
      <c r="G81" t="s">
        <v>4961</v>
      </c>
      <c r="H81" s="11">
        <v>40310</v>
      </c>
      <c r="I81" s="11">
        <f>H81*'Unit Conversions'!$E$33</f>
        <v>4031000</v>
      </c>
    </row>
    <row r="82" spans="1:10">
      <c r="A82" t="s">
        <v>1637</v>
      </c>
      <c r="B82" t="s">
        <v>1638</v>
      </c>
      <c r="C82" t="s">
        <v>1502</v>
      </c>
      <c r="D82" t="s">
        <v>1503</v>
      </c>
      <c r="E82" s="11"/>
      <c r="F82" t="s">
        <v>4960</v>
      </c>
      <c r="G82" t="s">
        <v>4961</v>
      </c>
      <c r="H82" s="11">
        <v>1146123.0009999999</v>
      </c>
      <c r="I82" s="11">
        <f>H82*'Unit Conversions'!$E$33</f>
        <v>114612300.09999999</v>
      </c>
    </row>
    <row r="83" spans="1:10">
      <c r="A83" t="s">
        <v>1639</v>
      </c>
      <c r="B83" t="s">
        <v>1640</v>
      </c>
      <c r="C83" t="s">
        <v>1502</v>
      </c>
      <c r="D83" t="s">
        <v>1503</v>
      </c>
      <c r="E83" s="11">
        <v>690000</v>
      </c>
      <c r="F83" t="s">
        <v>4960</v>
      </c>
      <c r="G83" t="s">
        <v>4961</v>
      </c>
      <c r="H83" s="11">
        <v>75920</v>
      </c>
      <c r="I83" s="11">
        <f>H83*'Unit Conversions'!$E$33</f>
        <v>7592000</v>
      </c>
    </row>
    <row r="84" spans="1:10">
      <c r="A84" t="s">
        <v>1641</v>
      </c>
      <c r="B84" t="s">
        <v>1642</v>
      </c>
      <c r="C84" t="s">
        <v>1502</v>
      </c>
      <c r="D84" t="s">
        <v>1503</v>
      </c>
      <c r="E84" s="11">
        <v>11550053.4</v>
      </c>
      <c r="F84" t="s">
        <v>4960</v>
      </c>
      <c r="G84" t="s">
        <v>4961</v>
      </c>
      <c r="H84" s="11">
        <v>262284.46399999998</v>
      </c>
      <c r="I84" s="11">
        <f>H84*'Unit Conversions'!$E$33</f>
        <v>26228446.399999999</v>
      </c>
      <c r="J84" s="15">
        <v>1</v>
      </c>
    </row>
    <row r="85" spans="1:10">
      <c r="A85" t="s">
        <v>1643</v>
      </c>
      <c r="B85" t="s">
        <v>1644</v>
      </c>
      <c r="C85" t="s">
        <v>1502</v>
      </c>
      <c r="D85" t="s">
        <v>1503</v>
      </c>
      <c r="E85" s="11">
        <v>700000</v>
      </c>
      <c r="F85" t="s">
        <v>4960</v>
      </c>
      <c r="G85" t="s">
        <v>4961</v>
      </c>
      <c r="H85" s="11">
        <v>9870</v>
      </c>
      <c r="I85" s="11">
        <f>H85*'Unit Conversions'!$E$33</f>
        <v>987000</v>
      </c>
      <c r="J85" s="15">
        <v>1</v>
      </c>
    </row>
    <row r="86" spans="1:10">
      <c r="A86" t="s">
        <v>1645</v>
      </c>
      <c r="B86" t="s">
        <v>1646</v>
      </c>
      <c r="C86" t="s">
        <v>1502</v>
      </c>
      <c r="D86" t="s">
        <v>1503</v>
      </c>
      <c r="E86" s="11">
        <v>16314000</v>
      </c>
      <c r="F86" t="s">
        <v>4960</v>
      </c>
      <c r="G86" t="s">
        <v>4961</v>
      </c>
      <c r="H86" s="11">
        <v>385950</v>
      </c>
      <c r="I86" s="11">
        <f>H86*'Unit Conversions'!$E$33</f>
        <v>38595000</v>
      </c>
    </row>
    <row r="87" spans="1:10">
      <c r="A87" t="s">
        <v>1647</v>
      </c>
      <c r="B87" t="s">
        <v>1648</v>
      </c>
      <c r="C87" t="s">
        <v>1502</v>
      </c>
      <c r="D87" t="s">
        <v>1503</v>
      </c>
      <c r="E87" s="11"/>
      <c r="F87" t="s">
        <v>4960</v>
      </c>
      <c r="G87" t="s">
        <v>4961</v>
      </c>
      <c r="H87" s="11">
        <v>1629077.5290000001</v>
      </c>
      <c r="I87" s="11">
        <f>H87*'Unit Conversions'!$E$33</f>
        <v>162907752.90000001</v>
      </c>
    </row>
    <row r="88" spans="1:10">
      <c r="A88" t="s">
        <v>1649</v>
      </c>
      <c r="B88" t="s">
        <v>1650</v>
      </c>
      <c r="C88" t="s">
        <v>1502</v>
      </c>
      <c r="D88" t="s">
        <v>1503</v>
      </c>
      <c r="E88" s="11"/>
      <c r="F88" t="s">
        <v>4960</v>
      </c>
      <c r="G88" t="s">
        <v>4961</v>
      </c>
      <c r="H88" s="11">
        <v>7536835.5800000001</v>
      </c>
      <c r="I88" s="11">
        <f>H88*'Unit Conversions'!$E$33</f>
        <v>753683558</v>
      </c>
    </row>
    <row r="89" spans="1:10">
      <c r="A89" t="s">
        <v>1651</v>
      </c>
      <c r="B89" t="s">
        <v>1652</v>
      </c>
      <c r="C89" t="s">
        <v>1502</v>
      </c>
      <c r="D89" t="s">
        <v>1503</v>
      </c>
      <c r="E89" s="11">
        <v>2243000</v>
      </c>
      <c r="F89" t="s">
        <v>4960</v>
      </c>
      <c r="G89" t="s">
        <v>4961</v>
      </c>
      <c r="H89" s="11">
        <v>22680</v>
      </c>
      <c r="I89" s="11">
        <f>H89*'Unit Conversions'!$E$33</f>
        <v>2268000</v>
      </c>
      <c r="J89" s="15">
        <v>1</v>
      </c>
    </row>
    <row r="90" spans="1:10">
      <c r="A90" t="s">
        <v>1653</v>
      </c>
      <c r="B90" t="s">
        <v>1654</v>
      </c>
      <c r="C90" t="s">
        <v>1502</v>
      </c>
      <c r="D90" t="s">
        <v>1503</v>
      </c>
      <c r="E90" s="11">
        <v>76800</v>
      </c>
      <c r="F90" t="s">
        <v>4960</v>
      </c>
      <c r="G90" t="s">
        <v>4961</v>
      </c>
      <c r="H90" s="11">
        <v>3116</v>
      </c>
      <c r="I90" s="11">
        <f>H90*'Unit Conversions'!$E$33</f>
        <v>311600</v>
      </c>
    </row>
    <row r="91" spans="1:10">
      <c r="A91" t="s">
        <v>1655</v>
      </c>
      <c r="B91" t="s">
        <v>1656</v>
      </c>
      <c r="C91" t="s">
        <v>1502</v>
      </c>
      <c r="D91" t="s">
        <v>1503</v>
      </c>
      <c r="E91" s="11">
        <v>17956560</v>
      </c>
      <c r="F91" t="s">
        <v>4960</v>
      </c>
      <c r="G91" t="s">
        <v>4961</v>
      </c>
      <c r="H91" s="11">
        <v>285537.53999999998</v>
      </c>
      <c r="I91" s="11">
        <f>H91*'Unit Conversions'!$E$33</f>
        <v>28553753.999999996</v>
      </c>
      <c r="J91" s="15">
        <v>1</v>
      </c>
    </row>
    <row r="92" spans="1:10">
      <c r="A92" t="s">
        <v>1657</v>
      </c>
      <c r="B92" t="s">
        <v>1658</v>
      </c>
      <c r="C92" t="s">
        <v>1502</v>
      </c>
      <c r="D92" t="s">
        <v>1503</v>
      </c>
      <c r="E92" s="11">
        <v>70</v>
      </c>
      <c r="F92" t="s">
        <v>4960</v>
      </c>
      <c r="G92" t="s">
        <v>4961</v>
      </c>
      <c r="H92" s="11">
        <v>960.7</v>
      </c>
      <c r="I92" s="11">
        <f>H92*'Unit Conversions'!$E$33</f>
        <v>96070</v>
      </c>
    </row>
    <row r="93" spans="1:10">
      <c r="A93" t="s">
        <v>1659</v>
      </c>
      <c r="B93" t="s">
        <v>1660</v>
      </c>
      <c r="C93" t="s">
        <v>1502</v>
      </c>
      <c r="D93" t="s">
        <v>1503</v>
      </c>
      <c r="E93" s="11">
        <v>2000</v>
      </c>
      <c r="F93" t="s">
        <v>4960</v>
      </c>
      <c r="G93" t="s">
        <v>4961</v>
      </c>
      <c r="H93" s="11">
        <v>50</v>
      </c>
      <c r="I93" s="11">
        <f>H93*'Unit Conversions'!$E$33</f>
        <v>5000</v>
      </c>
    </row>
    <row r="94" spans="1:10">
      <c r="A94" t="s">
        <v>1661</v>
      </c>
      <c r="B94" t="s">
        <v>1662</v>
      </c>
      <c r="C94" t="s">
        <v>1502</v>
      </c>
      <c r="D94" t="s">
        <v>1503</v>
      </c>
      <c r="E94" s="11">
        <v>325000</v>
      </c>
      <c r="F94" t="s">
        <v>4960</v>
      </c>
      <c r="G94" t="s">
        <v>4961</v>
      </c>
      <c r="H94" s="11">
        <v>21532.36</v>
      </c>
      <c r="I94" s="11">
        <f>H94*'Unit Conversions'!$E$33</f>
        <v>2153236</v>
      </c>
    </row>
    <row r="95" spans="1:10">
      <c r="A95" t="s">
        <v>1663</v>
      </c>
      <c r="B95" t="s">
        <v>1664</v>
      </c>
      <c r="C95" t="s">
        <v>1502</v>
      </c>
      <c r="D95" t="s">
        <v>1503</v>
      </c>
      <c r="E95" s="11">
        <v>6009804.2000000002</v>
      </c>
      <c r="F95" t="s">
        <v>4960</v>
      </c>
      <c r="G95" t="s">
        <v>4961</v>
      </c>
      <c r="H95" s="11">
        <v>172151.41</v>
      </c>
      <c r="I95" s="11">
        <f>H95*'Unit Conversions'!$E$33</f>
        <v>17215141</v>
      </c>
    </row>
    <row r="96" spans="1:10">
      <c r="A96" t="s">
        <v>1665</v>
      </c>
      <c r="B96" t="s">
        <v>1666</v>
      </c>
      <c r="C96" t="s">
        <v>1502</v>
      </c>
      <c r="D96" t="s">
        <v>1503</v>
      </c>
      <c r="E96" s="11">
        <v>312000</v>
      </c>
      <c r="F96" t="s">
        <v>4960</v>
      </c>
      <c r="G96" t="s">
        <v>4961</v>
      </c>
      <c r="H96" s="11">
        <v>23799</v>
      </c>
      <c r="I96" s="11">
        <f>H96*'Unit Conversions'!$E$33</f>
        <v>2379900</v>
      </c>
    </row>
    <row r="97" spans="1:10">
      <c r="A97" t="s">
        <v>1667</v>
      </c>
      <c r="B97" t="s">
        <v>1668</v>
      </c>
      <c r="C97" t="s">
        <v>1502</v>
      </c>
      <c r="D97" t="s">
        <v>1503</v>
      </c>
      <c r="E97" s="11">
        <v>4708900</v>
      </c>
      <c r="F97" t="s">
        <v>4960</v>
      </c>
      <c r="G97" t="s">
        <v>4961</v>
      </c>
      <c r="H97" s="11">
        <v>126037.4</v>
      </c>
      <c r="I97" s="11">
        <f>H97*'Unit Conversions'!$E$33</f>
        <v>12603740</v>
      </c>
    </row>
    <row r="98" spans="1:10">
      <c r="A98" t="s">
        <v>1669</v>
      </c>
      <c r="B98" t="s">
        <v>1670</v>
      </c>
      <c r="C98" t="s">
        <v>1502</v>
      </c>
      <c r="D98" t="s">
        <v>1503</v>
      </c>
      <c r="E98" s="11"/>
      <c r="F98" t="s">
        <v>4960</v>
      </c>
      <c r="G98" t="s">
        <v>4961</v>
      </c>
      <c r="H98" s="11"/>
      <c r="I98" s="11">
        <f>H98*'Unit Conversions'!$E$33</f>
        <v>0</v>
      </c>
    </row>
    <row r="99" spans="1:10">
      <c r="A99" t="s">
        <v>1671</v>
      </c>
      <c r="B99" t="s">
        <v>1672</v>
      </c>
      <c r="C99" t="s">
        <v>1502</v>
      </c>
      <c r="D99" t="s">
        <v>1503</v>
      </c>
      <c r="E99" s="11">
        <v>3100000</v>
      </c>
      <c r="F99" t="s">
        <v>4960</v>
      </c>
      <c r="G99" t="s">
        <v>4961</v>
      </c>
      <c r="H99" s="11">
        <v>146380</v>
      </c>
      <c r="I99" s="11">
        <f>H99*'Unit Conversions'!$E$33</f>
        <v>14638000</v>
      </c>
    </row>
    <row r="100" spans="1:10">
      <c r="A100" t="s">
        <v>1673</v>
      </c>
      <c r="B100" t="s">
        <v>1674</v>
      </c>
      <c r="C100" t="s">
        <v>1502</v>
      </c>
      <c r="D100" t="s">
        <v>1503</v>
      </c>
      <c r="E100" s="11">
        <v>440000</v>
      </c>
      <c r="F100" t="s">
        <v>4960</v>
      </c>
      <c r="G100" t="s">
        <v>4961</v>
      </c>
      <c r="H100" s="11">
        <v>6340</v>
      </c>
      <c r="I100" s="11">
        <f>H100*'Unit Conversions'!$E$33</f>
        <v>634000</v>
      </c>
    </row>
    <row r="101" spans="1:10">
      <c r="A101" t="s">
        <v>1675</v>
      </c>
      <c r="B101" t="s">
        <v>1676</v>
      </c>
      <c r="C101" t="s">
        <v>1502</v>
      </c>
      <c r="D101" t="s">
        <v>1503</v>
      </c>
      <c r="E101" s="11">
        <v>300000</v>
      </c>
      <c r="F101" t="s">
        <v>4960</v>
      </c>
      <c r="G101" t="s">
        <v>4961</v>
      </c>
      <c r="H101" s="11">
        <v>8151.1</v>
      </c>
      <c r="I101" s="11">
        <f>H101*'Unit Conversions'!$E$33</f>
        <v>815110</v>
      </c>
    </row>
    <row r="102" spans="1:10">
      <c r="A102" t="s">
        <v>1677</v>
      </c>
      <c r="B102" t="s">
        <v>1678</v>
      </c>
      <c r="C102" t="s">
        <v>1502</v>
      </c>
      <c r="D102" t="s">
        <v>1503</v>
      </c>
      <c r="E102" s="11">
        <v>53000</v>
      </c>
      <c r="F102" t="s">
        <v>4960</v>
      </c>
      <c r="G102" t="s">
        <v>4961</v>
      </c>
      <c r="H102" s="11">
        <v>1049.2</v>
      </c>
      <c r="I102" s="11">
        <f>H102*'Unit Conversions'!$E$33</f>
        <v>104920</v>
      </c>
    </row>
    <row r="103" spans="1:10">
      <c r="A103" t="s">
        <v>1679</v>
      </c>
      <c r="B103" t="s">
        <v>1680</v>
      </c>
      <c r="C103" t="s">
        <v>1502</v>
      </c>
      <c r="D103" t="s">
        <v>1503</v>
      </c>
      <c r="E103" s="11">
        <v>2131930.4</v>
      </c>
      <c r="F103" t="s">
        <v>4960</v>
      </c>
      <c r="G103" t="s">
        <v>4961</v>
      </c>
      <c r="H103" s="11">
        <v>58671.88</v>
      </c>
      <c r="I103" s="11">
        <f>H103*'Unit Conversions'!$E$33</f>
        <v>5867188</v>
      </c>
      <c r="J103" s="15">
        <v>1</v>
      </c>
    </row>
    <row r="104" spans="1:10">
      <c r="A104" t="s">
        <v>1681</v>
      </c>
      <c r="B104" t="s">
        <v>1682</v>
      </c>
      <c r="C104" t="s">
        <v>1502</v>
      </c>
      <c r="D104" t="s">
        <v>1503</v>
      </c>
      <c r="E104" s="11">
        <v>3000</v>
      </c>
      <c r="F104" t="s">
        <v>4960</v>
      </c>
      <c r="G104" t="s">
        <v>4961</v>
      </c>
      <c r="H104" s="11">
        <v>80</v>
      </c>
      <c r="I104" s="11">
        <f>H104*'Unit Conversions'!$E$33</f>
        <v>8000</v>
      </c>
    </row>
    <row r="105" spans="1:10">
      <c r="A105" t="s">
        <v>1683</v>
      </c>
      <c r="B105" t="s">
        <v>1684</v>
      </c>
      <c r="C105" t="s">
        <v>1502</v>
      </c>
      <c r="D105" t="s">
        <v>1503</v>
      </c>
      <c r="E105" s="11"/>
      <c r="F105" t="s">
        <v>4960</v>
      </c>
      <c r="G105" t="s">
        <v>4961</v>
      </c>
      <c r="H105" s="11">
        <v>2431.1</v>
      </c>
      <c r="I105" s="11">
        <f>H105*'Unit Conversions'!$E$33</f>
        <v>243110</v>
      </c>
    </row>
    <row r="106" spans="1:10">
      <c r="A106" t="s">
        <v>1685</v>
      </c>
      <c r="B106" t="s">
        <v>1686</v>
      </c>
      <c r="C106" t="s">
        <v>1502</v>
      </c>
      <c r="D106" t="s">
        <v>1503</v>
      </c>
      <c r="E106" s="11">
        <v>1554000</v>
      </c>
      <c r="F106" t="s">
        <v>4960</v>
      </c>
      <c r="G106" t="s">
        <v>4961</v>
      </c>
      <c r="H106" s="11">
        <v>46120</v>
      </c>
      <c r="I106" s="11">
        <f>H106*'Unit Conversions'!$E$33</f>
        <v>4612000</v>
      </c>
    </row>
    <row r="107" spans="1:10">
      <c r="A107" t="s">
        <v>1687</v>
      </c>
      <c r="B107" t="s">
        <v>1688</v>
      </c>
      <c r="C107" t="s">
        <v>1502</v>
      </c>
      <c r="D107" t="s">
        <v>1503</v>
      </c>
      <c r="E107" s="11">
        <v>1000</v>
      </c>
      <c r="F107" t="s">
        <v>4960</v>
      </c>
      <c r="G107" t="s">
        <v>4961</v>
      </c>
      <c r="H107" s="11">
        <v>160</v>
      </c>
      <c r="I107" s="11">
        <f>H107*'Unit Conversions'!$E$33</f>
        <v>16000</v>
      </c>
    </row>
    <row r="108" spans="1:10">
      <c r="A108" t="s">
        <v>1689</v>
      </c>
      <c r="B108" t="s">
        <v>1690</v>
      </c>
      <c r="C108" t="s">
        <v>1502</v>
      </c>
      <c r="D108" t="s">
        <v>1503</v>
      </c>
      <c r="E108" s="11">
        <v>420000</v>
      </c>
      <c r="F108" t="s">
        <v>4960</v>
      </c>
      <c r="G108" t="s">
        <v>4961</v>
      </c>
      <c r="H108" s="11">
        <v>10430</v>
      </c>
      <c r="I108" s="11">
        <f>H108*'Unit Conversions'!$E$33</f>
        <v>1043000</v>
      </c>
    </row>
    <row r="109" spans="1:10">
      <c r="A109" t="s">
        <v>1691</v>
      </c>
      <c r="B109" t="s">
        <v>1692</v>
      </c>
      <c r="C109" t="s">
        <v>1502</v>
      </c>
      <c r="D109" t="s">
        <v>1503</v>
      </c>
      <c r="E109" s="11"/>
      <c r="F109" t="s">
        <v>4960</v>
      </c>
      <c r="G109" t="s">
        <v>4961</v>
      </c>
      <c r="H109" s="11">
        <v>12281992.244999999</v>
      </c>
      <c r="I109" s="11">
        <f>H109*'Unit Conversions'!$E$33</f>
        <v>1228199224.5</v>
      </c>
    </row>
    <row r="110" spans="1:10">
      <c r="A110" t="s">
        <v>1693</v>
      </c>
      <c r="B110" t="s">
        <v>1694</v>
      </c>
      <c r="C110" t="s">
        <v>1502</v>
      </c>
      <c r="D110" t="s">
        <v>1503</v>
      </c>
      <c r="E110" s="11">
        <v>2000</v>
      </c>
      <c r="F110" t="s">
        <v>4960</v>
      </c>
      <c r="G110" t="s">
        <v>4961</v>
      </c>
      <c r="H110" s="11">
        <v>40</v>
      </c>
      <c r="I110" s="11">
        <f>H110*'Unit Conversions'!$E$33</f>
        <v>4000</v>
      </c>
    </row>
    <row r="111" spans="1:10">
      <c r="A111" t="s">
        <v>1695</v>
      </c>
      <c r="B111" t="s">
        <v>1696</v>
      </c>
      <c r="C111" t="s">
        <v>1502</v>
      </c>
      <c r="D111" t="s">
        <v>1503</v>
      </c>
      <c r="E111" s="11">
        <v>1018000</v>
      </c>
      <c r="F111" t="s">
        <v>4960</v>
      </c>
      <c r="G111" t="s">
        <v>4961</v>
      </c>
      <c r="H111" s="11">
        <v>35760</v>
      </c>
      <c r="I111" s="11">
        <f>H111*'Unit Conversions'!$E$33</f>
        <v>3576000</v>
      </c>
    </row>
    <row r="112" spans="1:10">
      <c r="A112" t="s">
        <v>1697</v>
      </c>
      <c r="B112" t="s">
        <v>1698</v>
      </c>
      <c r="C112" t="s">
        <v>1502</v>
      </c>
      <c r="D112" t="s">
        <v>1503</v>
      </c>
      <c r="E112" s="11"/>
      <c r="F112" t="s">
        <v>4960</v>
      </c>
      <c r="G112" t="s">
        <v>4961</v>
      </c>
      <c r="H112" s="11">
        <v>7884285.892</v>
      </c>
      <c r="I112" s="11">
        <f>H112*'Unit Conversions'!$E$33</f>
        <v>788428589.20000005</v>
      </c>
    </row>
    <row r="113" spans="1:10">
      <c r="A113" t="s">
        <v>1699</v>
      </c>
      <c r="B113" t="s">
        <v>1700</v>
      </c>
      <c r="C113" t="s">
        <v>1502</v>
      </c>
      <c r="D113" t="s">
        <v>1503</v>
      </c>
      <c r="E113" s="11">
        <v>857000</v>
      </c>
      <c r="F113" t="s">
        <v>4960</v>
      </c>
      <c r="G113" t="s">
        <v>4961</v>
      </c>
      <c r="H113" s="11">
        <v>14760</v>
      </c>
      <c r="I113" s="11">
        <f>H113*'Unit Conversions'!$E$33</f>
        <v>1476000</v>
      </c>
      <c r="J113" s="15">
        <v>1</v>
      </c>
    </row>
    <row r="114" spans="1:10">
      <c r="A114" t="s">
        <v>1701</v>
      </c>
      <c r="B114" t="s">
        <v>1702</v>
      </c>
      <c r="C114" t="s">
        <v>1502</v>
      </c>
      <c r="D114" t="s">
        <v>1503</v>
      </c>
      <c r="E114" s="11">
        <v>1005000</v>
      </c>
      <c r="F114" t="s">
        <v>4960</v>
      </c>
      <c r="G114" t="s">
        <v>4961</v>
      </c>
      <c r="H114" s="11">
        <v>17950</v>
      </c>
      <c r="I114" s="11">
        <f>H114*'Unit Conversions'!$E$33</f>
        <v>1795000</v>
      </c>
    </row>
    <row r="115" spans="1:10">
      <c r="A115" t="s">
        <v>1703</v>
      </c>
      <c r="B115" t="s">
        <v>1704</v>
      </c>
      <c r="C115" t="s">
        <v>1502</v>
      </c>
      <c r="D115" t="s">
        <v>1503</v>
      </c>
      <c r="E115" s="11">
        <v>4139704.4</v>
      </c>
      <c r="F115" t="s">
        <v>4960</v>
      </c>
      <c r="G115" t="s">
        <v>4961</v>
      </c>
      <c r="H115" s="11">
        <v>50436.885999999999</v>
      </c>
      <c r="I115" s="11">
        <f>H115*'Unit Conversions'!$E$33</f>
        <v>5043688.5999999996</v>
      </c>
      <c r="J115" s="15">
        <v>1</v>
      </c>
    </row>
    <row r="116" spans="1:10">
      <c r="A116" t="s">
        <v>1705</v>
      </c>
      <c r="B116" t="s">
        <v>1706</v>
      </c>
      <c r="C116" t="s">
        <v>1502</v>
      </c>
      <c r="D116" t="s">
        <v>1503</v>
      </c>
      <c r="E116" s="11"/>
      <c r="F116" t="s">
        <v>4960</v>
      </c>
      <c r="G116" t="s">
        <v>4961</v>
      </c>
      <c r="H116" s="11">
        <v>25494462.671</v>
      </c>
      <c r="I116" s="11">
        <f>H116*'Unit Conversions'!$E$33</f>
        <v>2549446267.0999999</v>
      </c>
    </row>
    <row r="117" spans="1:10">
      <c r="A117" t="s">
        <v>1707</v>
      </c>
      <c r="B117" t="s">
        <v>1708</v>
      </c>
      <c r="C117" t="s">
        <v>1502</v>
      </c>
      <c r="D117" t="s">
        <v>1503</v>
      </c>
      <c r="E117" s="11"/>
      <c r="F117" t="s">
        <v>4960</v>
      </c>
      <c r="G117" t="s">
        <v>4961</v>
      </c>
      <c r="H117" s="11">
        <v>36006333.548</v>
      </c>
      <c r="I117" s="11">
        <f>H117*'Unit Conversions'!$E$33</f>
        <v>3600633354.8000002</v>
      </c>
    </row>
    <row r="118" spans="1:10">
      <c r="A118" t="s">
        <v>1709</v>
      </c>
      <c r="B118" t="s">
        <v>1710</v>
      </c>
      <c r="C118" t="s">
        <v>1502</v>
      </c>
      <c r="D118" t="s">
        <v>1503</v>
      </c>
      <c r="E118" s="11"/>
      <c r="F118" t="s">
        <v>4960</v>
      </c>
      <c r="G118" t="s">
        <v>4961</v>
      </c>
      <c r="H118" s="11">
        <v>10511870.877</v>
      </c>
      <c r="I118" s="11">
        <f>H118*'Unit Conversions'!$E$33</f>
        <v>1051187087.7</v>
      </c>
    </row>
    <row r="119" spans="1:10">
      <c r="A119" t="s">
        <v>1711</v>
      </c>
      <c r="B119" t="s">
        <v>1712</v>
      </c>
      <c r="C119" t="s">
        <v>1502</v>
      </c>
      <c r="D119" t="s">
        <v>1503</v>
      </c>
      <c r="E119" s="11"/>
      <c r="F119" t="s">
        <v>4960</v>
      </c>
      <c r="G119" t="s">
        <v>4961</v>
      </c>
      <c r="H119" s="11">
        <v>1971985.4</v>
      </c>
      <c r="I119" s="11">
        <f>H119*'Unit Conversions'!$E$33</f>
        <v>197198540</v>
      </c>
    </row>
    <row r="120" spans="1:10">
      <c r="A120" t="s">
        <v>1713</v>
      </c>
      <c r="B120" t="s">
        <v>1714</v>
      </c>
      <c r="C120" t="s">
        <v>1502</v>
      </c>
      <c r="D120" t="s">
        <v>1503</v>
      </c>
      <c r="E120" s="11">
        <v>26300000</v>
      </c>
      <c r="F120" t="s">
        <v>4960</v>
      </c>
      <c r="G120" t="s">
        <v>4961</v>
      </c>
      <c r="H120" s="11">
        <v>646000</v>
      </c>
      <c r="I120" s="11">
        <f>H120*'Unit Conversions'!$E$33</f>
        <v>64600000</v>
      </c>
    </row>
    <row r="121" spans="1:10">
      <c r="A121" t="s">
        <v>1715</v>
      </c>
      <c r="B121" t="s">
        <v>1716</v>
      </c>
      <c r="C121" t="s">
        <v>1502</v>
      </c>
      <c r="D121" t="s">
        <v>1503</v>
      </c>
      <c r="E121" s="11"/>
      <c r="F121" t="s">
        <v>4960</v>
      </c>
      <c r="G121" t="s">
        <v>4961</v>
      </c>
      <c r="H121" s="11">
        <v>8539885.477</v>
      </c>
      <c r="I121" s="11">
        <f>H121*'Unit Conversions'!$E$33</f>
        <v>853988547.70000005</v>
      </c>
    </row>
    <row r="122" spans="1:10">
      <c r="A122" t="s">
        <v>1717</v>
      </c>
      <c r="B122" t="s">
        <v>1718</v>
      </c>
      <c r="C122" t="s">
        <v>1502</v>
      </c>
      <c r="D122" t="s">
        <v>1503</v>
      </c>
      <c r="E122" s="11">
        <v>23200</v>
      </c>
      <c r="F122" t="s">
        <v>4960</v>
      </c>
      <c r="G122" t="s">
        <v>4961</v>
      </c>
      <c r="H122" s="11">
        <v>392</v>
      </c>
      <c r="I122" s="11">
        <f>H122*'Unit Conversions'!$E$33</f>
        <v>39200</v>
      </c>
    </row>
    <row r="123" spans="1:10">
      <c r="A123" t="s">
        <v>264</v>
      </c>
      <c r="B123" t="s">
        <v>1719</v>
      </c>
      <c r="C123" t="s">
        <v>1502</v>
      </c>
      <c r="D123" t="s">
        <v>1503</v>
      </c>
      <c r="E123" s="11">
        <v>154447948</v>
      </c>
      <c r="F123" t="s">
        <v>4960</v>
      </c>
      <c r="G123" t="s">
        <v>4961</v>
      </c>
      <c r="H123" s="11">
        <v>1785279.48</v>
      </c>
      <c r="I123" s="11">
        <f>H123*'Unit Conversions'!$E$33</f>
        <v>178527948</v>
      </c>
    </row>
    <row r="124" spans="1:10">
      <c r="A124" t="s">
        <v>1720</v>
      </c>
      <c r="B124" t="s">
        <v>1721</v>
      </c>
      <c r="C124" t="s">
        <v>1502</v>
      </c>
      <c r="D124" t="s">
        <v>1503</v>
      </c>
      <c r="E124" s="11"/>
      <c r="F124" t="s">
        <v>4960</v>
      </c>
      <c r="G124" t="s">
        <v>4961</v>
      </c>
      <c r="H124" s="11"/>
      <c r="I124" s="11">
        <f>H124*'Unit Conversions'!$E$33</f>
        <v>0</v>
      </c>
    </row>
    <row r="125" spans="1:10">
      <c r="A125" t="s">
        <v>1722</v>
      </c>
      <c r="B125" t="s">
        <v>1723</v>
      </c>
      <c r="C125" t="s">
        <v>1502</v>
      </c>
      <c r="D125" t="s">
        <v>1503</v>
      </c>
      <c r="E125" s="11">
        <v>436000</v>
      </c>
      <c r="F125" t="s">
        <v>4960</v>
      </c>
      <c r="G125" t="s">
        <v>4961</v>
      </c>
      <c r="H125" s="11">
        <v>43370</v>
      </c>
      <c r="I125" s="11">
        <f>H125*'Unit Conversions'!$E$33</f>
        <v>4337000</v>
      </c>
      <c r="J125" s="15">
        <v>1</v>
      </c>
    </row>
    <row r="126" spans="1:10">
      <c r="A126" t="s">
        <v>1724</v>
      </c>
      <c r="B126" t="s">
        <v>1725</v>
      </c>
      <c r="C126" t="s">
        <v>1502</v>
      </c>
      <c r="D126" t="s">
        <v>1503</v>
      </c>
      <c r="E126" s="11">
        <v>15699000</v>
      </c>
      <c r="F126" t="s">
        <v>4960</v>
      </c>
      <c r="G126" t="s">
        <v>4961</v>
      </c>
      <c r="H126" s="11">
        <v>470670</v>
      </c>
      <c r="I126" s="11">
        <f>H126*'Unit Conversions'!$E$33</f>
        <v>47067000</v>
      </c>
    </row>
    <row r="127" spans="1:10">
      <c r="A127" t="s">
        <v>1726</v>
      </c>
      <c r="B127" t="s">
        <v>1727</v>
      </c>
      <c r="C127" t="s">
        <v>1502</v>
      </c>
      <c r="D127" t="s">
        <v>1503</v>
      </c>
      <c r="E127" s="11">
        <v>4969000</v>
      </c>
      <c r="F127" t="s">
        <v>4960</v>
      </c>
      <c r="G127" t="s">
        <v>4961</v>
      </c>
      <c r="H127" s="11">
        <v>94240</v>
      </c>
      <c r="I127" s="11">
        <f>H127*'Unit Conversions'!$E$33</f>
        <v>9424000</v>
      </c>
    </row>
    <row r="128" spans="1:10">
      <c r="A128" t="s">
        <v>1728</v>
      </c>
      <c r="B128" t="s">
        <v>1729</v>
      </c>
      <c r="C128" t="s">
        <v>1502</v>
      </c>
      <c r="D128" t="s">
        <v>1503</v>
      </c>
      <c r="E128" s="11">
        <v>121000</v>
      </c>
      <c r="F128" t="s">
        <v>4960</v>
      </c>
      <c r="G128" t="s">
        <v>4961</v>
      </c>
      <c r="H128" s="11">
        <v>18720</v>
      </c>
      <c r="I128" s="11">
        <f>H128*'Unit Conversions'!$E$33</f>
        <v>1872000</v>
      </c>
    </row>
    <row r="129" spans="1:10">
      <c r="A129" t="s">
        <v>1730</v>
      </c>
      <c r="B129" t="s">
        <v>1731</v>
      </c>
      <c r="C129" t="s">
        <v>1502</v>
      </c>
      <c r="D129" t="s">
        <v>1503</v>
      </c>
      <c r="E129" s="11">
        <v>377000</v>
      </c>
      <c r="F129" t="s">
        <v>4960</v>
      </c>
      <c r="G129" t="s">
        <v>4961</v>
      </c>
      <c r="H129" s="11">
        <v>6435</v>
      </c>
      <c r="I129" s="11">
        <f>H129*'Unit Conversions'!$E$33</f>
        <v>643500</v>
      </c>
    </row>
    <row r="130" spans="1:10">
      <c r="A130" t="s">
        <v>1732</v>
      </c>
      <c r="B130" t="s">
        <v>1733</v>
      </c>
      <c r="C130" t="s">
        <v>1502</v>
      </c>
      <c r="D130" t="s">
        <v>1503</v>
      </c>
      <c r="E130" s="11">
        <v>7192812</v>
      </c>
      <c r="F130" t="s">
        <v>4960</v>
      </c>
      <c r="G130" t="s">
        <v>4961</v>
      </c>
      <c r="H130" s="11">
        <v>124030.30899999999</v>
      </c>
      <c r="I130" s="11">
        <f>H130*'Unit Conversions'!$E$33</f>
        <v>12403030.899999999</v>
      </c>
      <c r="J130" s="15">
        <v>1</v>
      </c>
    </row>
    <row r="131" spans="1:10">
      <c r="A131" t="s">
        <v>1734</v>
      </c>
      <c r="B131" t="s">
        <v>1735</v>
      </c>
      <c r="C131" t="s">
        <v>1502</v>
      </c>
      <c r="D131" t="s">
        <v>1503</v>
      </c>
      <c r="E131" s="11">
        <v>120000</v>
      </c>
      <c r="F131" t="s">
        <v>4960</v>
      </c>
      <c r="G131" t="s">
        <v>4961</v>
      </c>
      <c r="H131" s="11">
        <v>4170</v>
      </c>
      <c r="I131" s="11">
        <f>H131*'Unit Conversions'!$E$33</f>
        <v>417000</v>
      </c>
    </row>
    <row r="132" spans="1:10">
      <c r="A132" t="s">
        <v>1736</v>
      </c>
      <c r="B132" t="s">
        <v>1737</v>
      </c>
      <c r="C132" t="s">
        <v>1502</v>
      </c>
      <c r="D132" t="s">
        <v>1503</v>
      </c>
      <c r="E132" s="11">
        <v>199200</v>
      </c>
      <c r="F132" t="s">
        <v>4960</v>
      </c>
      <c r="G132" t="s">
        <v>4961</v>
      </c>
      <c r="H132" s="11">
        <v>10230</v>
      </c>
      <c r="I132" s="11">
        <f>H132*'Unit Conversions'!$E$33</f>
        <v>1023000</v>
      </c>
    </row>
    <row r="133" spans="1:10">
      <c r="A133" t="s">
        <v>1738</v>
      </c>
      <c r="B133" t="s">
        <v>1739</v>
      </c>
      <c r="C133" t="s">
        <v>1502</v>
      </c>
      <c r="D133" t="s">
        <v>1503</v>
      </c>
      <c r="E133" s="11">
        <v>4086000</v>
      </c>
      <c r="F133" t="s">
        <v>4960</v>
      </c>
      <c r="G133" t="s">
        <v>4961</v>
      </c>
      <c r="H133" s="11">
        <v>46590</v>
      </c>
      <c r="I133" s="11">
        <f>H133*'Unit Conversions'!$E$33</f>
        <v>4659000</v>
      </c>
    </row>
    <row r="134" spans="1:10">
      <c r="A134" t="s">
        <v>1740</v>
      </c>
      <c r="B134" t="s">
        <v>1741</v>
      </c>
      <c r="C134" t="s">
        <v>1502</v>
      </c>
      <c r="D134" t="s">
        <v>1503</v>
      </c>
      <c r="E134" s="11">
        <v>29669700</v>
      </c>
      <c r="F134" t="s">
        <v>4960</v>
      </c>
      <c r="G134" t="s">
        <v>4961</v>
      </c>
      <c r="H134" s="11">
        <v>2137959</v>
      </c>
      <c r="I134" s="11">
        <f>H134*'Unit Conversions'!$E$33</f>
        <v>213795900</v>
      </c>
    </row>
    <row r="135" spans="1:10">
      <c r="A135" t="s">
        <v>1742</v>
      </c>
      <c r="B135" t="s">
        <v>1743</v>
      </c>
      <c r="C135" t="s">
        <v>1502</v>
      </c>
      <c r="D135" t="s">
        <v>1503</v>
      </c>
      <c r="E135" s="11">
        <v>5800000</v>
      </c>
      <c r="F135" t="s">
        <v>4960</v>
      </c>
      <c r="G135" t="s">
        <v>4961</v>
      </c>
      <c r="H135" s="11">
        <v>277100</v>
      </c>
      <c r="I135" s="11">
        <f>H135*'Unit Conversions'!$E$33</f>
        <v>27710000</v>
      </c>
    </row>
    <row r="136" spans="1:10">
      <c r="A136" t="s">
        <v>1744</v>
      </c>
      <c r="B136" t="s">
        <v>1745</v>
      </c>
      <c r="C136" t="s">
        <v>1502</v>
      </c>
      <c r="D136" t="s">
        <v>1503</v>
      </c>
      <c r="E136" s="11">
        <v>1287400</v>
      </c>
      <c r="F136" t="s">
        <v>4960</v>
      </c>
      <c r="G136" t="s">
        <v>4961</v>
      </c>
      <c r="H136" s="11">
        <v>103661</v>
      </c>
      <c r="I136" s="11">
        <f>H136*'Unit Conversions'!$E$33</f>
        <v>10366100</v>
      </c>
    </row>
    <row r="137" spans="1:10">
      <c r="A137" t="s">
        <v>1746</v>
      </c>
      <c r="B137" t="s">
        <v>1747</v>
      </c>
      <c r="C137" t="s">
        <v>1502</v>
      </c>
      <c r="D137" t="s">
        <v>1503</v>
      </c>
      <c r="E137" s="11">
        <v>4120139.7</v>
      </c>
      <c r="F137" t="s">
        <v>4960</v>
      </c>
      <c r="G137" t="s">
        <v>4961</v>
      </c>
      <c r="H137" s="11">
        <v>60991.396999999997</v>
      </c>
      <c r="I137" s="11">
        <f>H137*'Unit Conversions'!$E$33</f>
        <v>6099139.6999999993</v>
      </c>
    </row>
    <row r="138" spans="1:10">
      <c r="A138" t="s">
        <v>1748</v>
      </c>
      <c r="B138" t="s">
        <v>1749</v>
      </c>
      <c r="C138" t="s">
        <v>1502</v>
      </c>
      <c r="D138" t="s">
        <v>1503</v>
      </c>
      <c r="E138" s="11">
        <v>2000</v>
      </c>
      <c r="F138" t="s">
        <v>4960</v>
      </c>
      <c r="G138" t="s">
        <v>4961</v>
      </c>
      <c r="H138" s="11">
        <v>340</v>
      </c>
      <c r="I138" s="11">
        <f>H138*'Unit Conversions'!$E$33</f>
        <v>34000</v>
      </c>
    </row>
    <row r="139" spans="1:10">
      <c r="A139" t="s">
        <v>1750</v>
      </c>
      <c r="B139" t="s">
        <v>1751</v>
      </c>
      <c r="C139" t="s">
        <v>1502</v>
      </c>
      <c r="D139" t="s">
        <v>1503</v>
      </c>
      <c r="E139" s="11">
        <v>5000</v>
      </c>
      <c r="F139" t="s">
        <v>4960</v>
      </c>
      <c r="G139" t="s">
        <v>4961</v>
      </c>
      <c r="H139" s="11">
        <v>60</v>
      </c>
      <c r="I139" s="11">
        <f>H139*'Unit Conversions'!$E$33</f>
        <v>6000</v>
      </c>
    </row>
    <row r="140" spans="1:10">
      <c r="A140" t="s">
        <v>1752</v>
      </c>
      <c r="B140" t="s">
        <v>1753</v>
      </c>
      <c r="C140" t="s">
        <v>1502</v>
      </c>
      <c r="D140" t="s">
        <v>1503</v>
      </c>
      <c r="E140" s="11">
        <v>1343000</v>
      </c>
      <c r="F140" t="s">
        <v>4960</v>
      </c>
      <c r="G140" t="s">
        <v>4961</v>
      </c>
      <c r="H140" s="11">
        <v>16030</v>
      </c>
      <c r="I140" s="11">
        <f>H140*'Unit Conversions'!$E$33</f>
        <v>1603000</v>
      </c>
    </row>
    <row r="141" spans="1:10">
      <c r="A141" t="s">
        <v>1754</v>
      </c>
      <c r="B141" t="s">
        <v>1755</v>
      </c>
      <c r="C141" t="s">
        <v>1502</v>
      </c>
      <c r="D141" t="s">
        <v>1503</v>
      </c>
      <c r="E141" s="11">
        <v>8000</v>
      </c>
      <c r="F141" t="s">
        <v>4960</v>
      </c>
      <c r="G141" t="s">
        <v>4961</v>
      </c>
      <c r="H141" s="11">
        <v>1500</v>
      </c>
      <c r="I141" s="11">
        <f>H141*'Unit Conversions'!$E$33</f>
        <v>150000</v>
      </c>
    </row>
    <row r="142" spans="1:10">
      <c r="A142" t="s">
        <v>1756</v>
      </c>
      <c r="B142" t="s">
        <v>1757</v>
      </c>
      <c r="C142" t="s">
        <v>1502</v>
      </c>
      <c r="D142" t="s">
        <v>1503</v>
      </c>
      <c r="E142" s="11"/>
      <c r="F142" t="s">
        <v>4960</v>
      </c>
      <c r="G142" t="s">
        <v>4961</v>
      </c>
      <c r="H142" s="11">
        <v>6107231.5690000001</v>
      </c>
      <c r="I142" s="11">
        <f>H142*'Unit Conversions'!$E$33</f>
        <v>610723156.89999998</v>
      </c>
    </row>
    <row r="143" spans="1:10">
      <c r="A143" t="s">
        <v>1758</v>
      </c>
      <c r="B143" t="s">
        <v>1759</v>
      </c>
      <c r="C143" t="s">
        <v>1502</v>
      </c>
      <c r="D143" t="s">
        <v>1503</v>
      </c>
      <c r="E143" s="11">
        <v>1224000</v>
      </c>
      <c r="F143" t="s">
        <v>4960</v>
      </c>
      <c r="G143" t="s">
        <v>4961</v>
      </c>
      <c r="H143" s="11">
        <v>20310</v>
      </c>
      <c r="I143" s="11">
        <f>H143*'Unit Conversions'!$E$33</f>
        <v>2031000</v>
      </c>
    </row>
    <row r="144" spans="1:10">
      <c r="A144" t="s">
        <v>1760</v>
      </c>
      <c r="B144" t="s">
        <v>1761</v>
      </c>
      <c r="C144" t="s">
        <v>1502</v>
      </c>
      <c r="D144" t="s">
        <v>1503</v>
      </c>
      <c r="E144" s="11">
        <v>139300</v>
      </c>
      <c r="F144" t="s">
        <v>4960</v>
      </c>
      <c r="G144" t="s">
        <v>4961</v>
      </c>
      <c r="H144" s="11">
        <v>6793</v>
      </c>
      <c r="I144" s="11">
        <f>H144*'Unit Conversions'!$E$33</f>
        <v>679300</v>
      </c>
    </row>
    <row r="145" spans="1:10">
      <c r="A145" t="s">
        <v>1762</v>
      </c>
      <c r="B145" t="s">
        <v>1763</v>
      </c>
      <c r="C145" t="s">
        <v>1502</v>
      </c>
      <c r="D145" t="s">
        <v>1503</v>
      </c>
      <c r="E145" s="11">
        <v>500000</v>
      </c>
      <c r="F145" t="s">
        <v>4960</v>
      </c>
      <c r="G145" t="s">
        <v>4961</v>
      </c>
      <c r="H145" s="11">
        <v>19230.400000000001</v>
      </c>
      <c r="I145" s="11">
        <f>H145*'Unit Conversions'!$E$33</f>
        <v>1923040.0000000002</v>
      </c>
    </row>
    <row r="146" spans="1:10">
      <c r="A146" t="s">
        <v>1764</v>
      </c>
      <c r="B146" t="s">
        <v>1765</v>
      </c>
      <c r="C146" t="s">
        <v>1502</v>
      </c>
      <c r="D146" t="s">
        <v>1503</v>
      </c>
      <c r="E146" s="11">
        <v>1720000</v>
      </c>
      <c r="F146" t="s">
        <v>4960</v>
      </c>
      <c r="G146" t="s">
        <v>4961</v>
      </c>
      <c r="H146" s="11">
        <v>153500</v>
      </c>
      <c r="I146" s="11">
        <f>H146*'Unit Conversions'!$E$33</f>
        <v>15350000</v>
      </c>
    </row>
    <row r="147" spans="1:10">
      <c r="A147" t="s">
        <v>1766</v>
      </c>
      <c r="B147" t="s">
        <v>1767</v>
      </c>
      <c r="C147" t="s">
        <v>1502</v>
      </c>
      <c r="D147" t="s">
        <v>1503</v>
      </c>
      <c r="E147" s="11">
        <v>2670</v>
      </c>
      <c r="F147" t="s">
        <v>4960</v>
      </c>
      <c r="G147" t="s">
        <v>4961</v>
      </c>
      <c r="H147" s="11">
        <v>99.4</v>
      </c>
      <c r="I147" s="11">
        <f>H147*'Unit Conversions'!$E$33</f>
        <v>9940</v>
      </c>
    </row>
    <row r="148" spans="1:10">
      <c r="A148" t="s">
        <v>1768</v>
      </c>
      <c r="B148" t="s">
        <v>1769</v>
      </c>
      <c r="C148" t="s">
        <v>1502</v>
      </c>
      <c r="D148" t="s">
        <v>1503</v>
      </c>
      <c r="E148" s="11"/>
      <c r="F148" t="s">
        <v>4960</v>
      </c>
      <c r="G148" t="s">
        <v>4961</v>
      </c>
      <c r="H148" s="11">
        <v>6603895.1490000002</v>
      </c>
      <c r="I148" s="11">
        <f>H148*'Unit Conversions'!$E$33</f>
        <v>660389514.89999998</v>
      </c>
    </row>
    <row r="149" spans="1:10">
      <c r="A149" t="s">
        <v>1770</v>
      </c>
      <c r="B149" t="s">
        <v>1771</v>
      </c>
      <c r="C149" t="s">
        <v>1502</v>
      </c>
      <c r="D149" t="s">
        <v>1503</v>
      </c>
      <c r="E149" s="11"/>
      <c r="F149" t="s">
        <v>4960</v>
      </c>
      <c r="G149" t="s">
        <v>4961</v>
      </c>
      <c r="H149" s="11">
        <v>8221154.2170000002</v>
      </c>
      <c r="I149" s="11">
        <f>H149*'Unit Conversions'!$E$33</f>
        <v>822115421.70000005</v>
      </c>
    </row>
    <row r="150" spans="1:10">
      <c r="A150" t="s">
        <v>1772</v>
      </c>
      <c r="B150" t="s">
        <v>1773</v>
      </c>
      <c r="C150" t="s">
        <v>1502</v>
      </c>
      <c r="D150" t="s">
        <v>1503</v>
      </c>
      <c r="E150" s="11"/>
      <c r="F150" t="s">
        <v>4960</v>
      </c>
      <c r="G150" t="s">
        <v>4961</v>
      </c>
      <c r="H150" s="11">
        <v>6191413.5800000001</v>
      </c>
      <c r="I150" s="11">
        <f>H150*'Unit Conversions'!$E$33</f>
        <v>619141358</v>
      </c>
    </row>
    <row r="151" spans="1:10">
      <c r="A151" t="s">
        <v>1774</v>
      </c>
      <c r="B151" t="s">
        <v>1775</v>
      </c>
      <c r="C151" t="s">
        <v>1502</v>
      </c>
      <c r="D151" t="s">
        <v>1503</v>
      </c>
      <c r="E151" s="11">
        <v>1730</v>
      </c>
      <c r="F151" t="s">
        <v>4960</v>
      </c>
      <c r="G151" t="s">
        <v>4961</v>
      </c>
      <c r="H151" s="11">
        <v>51.7</v>
      </c>
      <c r="I151" s="11">
        <f>H151*'Unit Conversions'!$E$33</f>
        <v>5170</v>
      </c>
    </row>
    <row r="152" spans="1:10">
      <c r="A152" t="s">
        <v>1776</v>
      </c>
      <c r="B152" t="s">
        <v>1777</v>
      </c>
      <c r="C152" t="s">
        <v>1502</v>
      </c>
      <c r="D152" t="s">
        <v>1503</v>
      </c>
      <c r="E152" s="11">
        <v>1372000</v>
      </c>
      <c r="F152" t="s">
        <v>4960</v>
      </c>
      <c r="G152" t="s">
        <v>4961</v>
      </c>
      <c r="H152" s="11">
        <v>28120</v>
      </c>
      <c r="I152" s="11">
        <f>H152*'Unit Conversions'!$E$33</f>
        <v>2812000</v>
      </c>
    </row>
    <row r="153" spans="1:10">
      <c r="A153" t="s">
        <v>1778</v>
      </c>
      <c r="B153" t="s">
        <v>1779</v>
      </c>
      <c r="C153" t="s">
        <v>1502</v>
      </c>
      <c r="D153" t="s">
        <v>1503</v>
      </c>
      <c r="E153" s="11"/>
      <c r="F153" t="s">
        <v>4960</v>
      </c>
      <c r="G153" t="s">
        <v>4961</v>
      </c>
      <c r="H153" s="11">
        <v>10100188.759</v>
      </c>
      <c r="I153" s="11">
        <f>H153*'Unit Conversions'!$E$33</f>
        <v>1010018875.9</v>
      </c>
    </row>
    <row r="154" spans="1:10">
      <c r="A154" t="s">
        <v>1780</v>
      </c>
      <c r="B154" t="s">
        <v>1781</v>
      </c>
      <c r="C154" t="s">
        <v>1502</v>
      </c>
      <c r="D154" t="s">
        <v>1503</v>
      </c>
      <c r="E154" s="11"/>
      <c r="F154" t="s">
        <v>4960</v>
      </c>
      <c r="G154" t="s">
        <v>4961</v>
      </c>
      <c r="H154" s="11">
        <v>35315056.868000001</v>
      </c>
      <c r="I154" s="11">
        <f>H154*'Unit Conversions'!$E$33</f>
        <v>3531505686.8000002</v>
      </c>
    </row>
    <row r="155" spans="1:10">
      <c r="A155" t="s">
        <v>1782</v>
      </c>
      <c r="B155" t="s">
        <v>1783</v>
      </c>
      <c r="C155" t="s">
        <v>1502</v>
      </c>
      <c r="D155" t="s">
        <v>1503</v>
      </c>
      <c r="E155" s="11">
        <v>429000</v>
      </c>
      <c r="F155" t="s">
        <v>4960</v>
      </c>
      <c r="G155" t="s">
        <v>4961</v>
      </c>
      <c r="H155" s="11">
        <v>24330</v>
      </c>
      <c r="I155" s="11">
        <f>H155*'Unit Conversions'!$E$33</f>
        <v>2433000</v>
      </c>
    </row>
    <row r="156" spans="1:10">
      <c r="A156" t="s">
        <v>1784</v>
      </c>
      <c r="B156" t="s">
        <v>1785</v>
      </c>
      <c r="C156" t="s">
        <v>1502</v>
      </c>
      <c r="D156" t="s">
        <v>1503</v>
      </c>
      <c r="E156" s="11"/>
      <c r="F156" t="s">
        <v>4960</v>
      </c>
      <c r="G156" t="s">
        <v>4961</v>
      </c>
      <c r="H156" s="11">
        <v>15324865.094000001</v>
      </c>
      <c r="I156" s="11">
        <f>H156*'Unit Conversions'!$E$33</f>
        <v>1532486509.4000001</v>
      </c>
    </row>
    <row r="157" spans="1:10">
      <c r="A157" t="s">
        <v>1786</v>
      </c>
      <c r="B157" t="s">
        <v>1787</v>
      </c>
      <c r="C157" t="s">
        <v>1502</v>
      </c>
      <c r="D157" t="s">
        <v>1503</v>
      </c>
      <c r="E157" s="11">
        <v>2279000</v>
      </c>
      <c r="F157" t="s">
        <v>4960</v>
      </c>
      <c r="G157" t="s">
        <v>4961</v>
      </c>
      <c r="H157" s="11">
        <v>29378</v>
      </c>
      <c r="I157" s="11">
        <f>H157*'Unit Conversions'!$E$33</f>
        <v>2937800</v>
      </c>
      <c r="J157" s="15">
        <v>1</v>
      </c>
    </row>
    <row r="158" spans="1:10">
      <c r="A158" t="s">
        <v>1788</v>
      </c>
      <c r="B158" t="s">
        <v>1789</v>
      </c>
      <c r="C158" t="s">
        <v>1502</v>
      </c>
      <c r="D158" t="s">
        <v>1503</v>
      </c>
      <c r="E158" s="11">
        <v>62472</v>
      </c>
      <c r="F158" t="s">
        <v>4960</v>
      </c>
      <c r="G158" t="s">
        <v>4961</v>
      </c>
      <c r="H158" s="11">
        <v>1328.11</v>
      </c>
      <c r="I158" s="11">
        <f>H158*'Unit Conversions'!$E$33</f>
        <v>132811</v>
      </c>
      <c r="J158" s="15">
        <v>1</v>
      </c>
    </row>
    <row r="159" spans="1:10">
      <c r="A159" t="s">
        <v>1790</v>
      </c>
      <c r="B159" t="s">
        <v>1791</v>
      </c>
      <c r="C159" t="s">
        <v>1502</v>
      </c>
      <c r="D159" t="s">
        <v>1503</v>
      </c>
      <c r="E159" s="11">
        <v>1362000</v>
      </c>
      <c r="F159" t="s">
        <v>4960</v>
      </c>
      <c r="G159" t="s">
        <v>4961</v>
      </c>
      <c r="H159" s="11">
        <v>19700</v>
      </c>
      <c r="I159" s="11">
        <f>H159*'Unit Conversions'!$E$33</f>
        <v>1970000</v>
      </c>
      <c r="J159" s="15">
        <v>1</v>
      </c>
    </row>
    <row r="160" spans="1:10">
      <c r="A160" t="s">
        <v>1792</v>
      </c>
      <c r="B160" t="s">
        <v>1793</v>
      </c>
      <c r="C160" t="s">
        <v>1502</v>
      </c>
      <c r="D160" t="s">
        <v>1503</v>
      </c>
      <c r="E160" s="11"/>
      <c r="F160" t="s">
        <v>4960</v>
      </c>
      <c r="G160" t="s">
        <v>4961</v>
      </c>
      <c r="H160" s="11"/>
      <c r="I160" s="11">
        <f>H160*'Unit Conversions'!$E$33</f>
        <v>0</v>
      </c>
    </row>
    <row r="161" spans="1:10">
      <c r="A161" t="s">
        <v>1794</v>
      </c>
      <c r="B161" t="s">
        <v>1795</v>
      </c>
      <c r="C161" t="s">
        <v>1502</v>
      </c>
      <c r="D161" t="s">
        <v>1503</v>
      </c>
      <c r="E161" s="11"/>
      <c r="F161" t="s">
        <v>4960</v>
      </c>
      <c r="G161" t="s">
        <v>4961</v>
      </c>
      <c r="H161" s="11"/>
      <c r="I161" s="11">
        <f>H161*'Unit Conversions'!$E$33</f>
        <v>0</v>
      </c>
    </row>
    <row r="162" spans="1:10">
      <c r="A162" t="s">
        <v>1796</v>
      </c>
      <c r="B162" t="s">
        <v>1797</v>
      </c>
      <c r="C162" t="s">
        <v>1502</v>
      </c>
      <c r="D162" t="s">
        <v>1503</v>
      </c>
      <c r="E162" s="11">
        <v>7512000</v>
      </c>
      <c r="F162" t="s">
        <v>4960</v>
      </c>
      <c r="G162" t="s">
        <v>4961</v>
      </c>
      <c r="H162" s="11">
        <v>302910</v>
      </c>
      <c r="I162" s="11">
        <f>H162*'Unit Conversions'!$E$33</f>
        <v>30291000</v>
      </c>
    </row>
    <row r="163" spans="1:10">
      <c r="A163" t="s">
        <v>1798</v>
      </c>
      <c r="B163" t="s">
        <v>1799</v>
      </c>
      <c r="C163" t="s">
        <v>1502</v>
      </c>
      <c r="D163" t="s">
        <v>1503</v>
      </c>
      <c r="E163" s="11"/>
      <c r="F163" t="s">
        <v>4960</v>
      </c>
      <c r="G163" t="s">
        <v>4961</v>
      </c>
      <c r="H163" s="11"/>
      <c r="I163" s="11">
        <f>H163*'Unit Conversions'!$E$33</f>
        <v>0</v>
      </c>
    </row>
    <row r="164" spans="1:10">
      <c r="A164" t="s">
        <v>1800</v>
      </c>
      <c r="B164" t="s">
        <v>1801</v>
      </c>
      <c r="C164" t="s">
        <v>1502</v>
      </c>
      <c r="D164" t="s">
        <v>1503</v>
      </c>
      <c r="E164" s="11">
        <v>1711000</v>
      </c>
      <c r="F164" t="s">
        <v>4960</v>
      </c>
      <c r="G164" t="s">
        <v>4961</v>
      </c>
      <c r="H164" s="11">
        <v>22750</v>
      </c>
      <c r="I164" s="11">
        <f>H164*'Unit Conversions'!$E$33</f>
        <v>2275000</v>
      </c>
    </row>
    <row r="165" spans="1:10">
      <c r="A165" t="s">
        <v>1802</v>
      </c>
      <c r="B165" t="s">
        <v>1803</v>
      </c>
      <c r="C165" t="s">
        <v>1502</v>
      </c>
      <c r="D165" t="s">
        <v>1503</v>
      </c>
      <c r="E165" s="11">
        <v>3000000</v>
      </c>
      <c r="F165" t="s">
        <v>4960</v>
      </c>
      <c r="G165" t="s">
        <v>4961</v>
      </c>
      <c r="H165" s="11">
        <v>408950</v>
      </c>
      <c r="I165" s="11">
        <f>H165*'Unit Conversions'!$E$33</f>
        <v>40895000</v>
      </c>
    </row>
    <row r="166" spans="1:10">
      <c r="A166" t="s">
        <v>1804</v>
      </c>
      <c r="B166" t="s">
        <v>1805</v>
      </c>
      <c r="C166" t="s">
        <v>1502</v>
      </c>
      <c r="D166" t="s">
        <v>1503</v>
      </c>
      <c r="E166" s="11">
        <v>3900</v>
      </c>
      <c r="F166" t="s">
        <v>4960</v>
      </c>
      <c r="G166" t="s">
        <v>4961</v>
      </c>
      <c r="H166" s="11">
        <v>59</v>
      </c>
      <c r="I166" s="11">
        <f>H166*'Unit Conversions'!$E$33</f>
        <v>5900</v>
      </c>
    </row>
    <row r="167" spans="1:10">
      <c r="A167" t="s">
        <v>1806</v>
      </c>
      <c r="B167" t="s">
        <v>1807</v>
      </c>
      <c r="C167" t="s">
        <v>1502</v>
      </c>
      <c r="D167" t="s">
        <v>1503</v>
      </c>
      <c r="E167" s="11"/>
      <c r="F167" t="s">
        <v>4960</v>
      </c>
      <c r="G167" t="s">
        <v>4961</v>
      </c>
      <c r="H167" s="11">
        <v>3747214.7850000001</v>
      </c>
      <c r="I167" s="11">
        <f>H167*'Unit Conversions'!$E$33</f>
        <v>374721478.5</v>
      </c>
    </row>
    <row r="168" spans="1:10">
      <c r="A168" t="s">
        <v>1808</v>
      </c>
      <c r="B168" t="s">
        <v>1809</v>
      </c>
      <c r="C168" t="s">
        <v>1502</v>
      </c>
      <c r="D168" t="s">
        <v>1503</v>
      </c>
      <c r="E168" s="11">
        <v>20084000</v>
      </c>
      <c r="F168" t="s">
        <v>4960</v>
      </c>
      <c r="G168" t="s">
        <v>4961</v>
      </c>
      <c r="H168" s="11">
        <v>971260</v>
      </c>
      <c r="I168" s="11">
        <f>H168*'Unit Conversions'!$E$33</f>
        <v>97126000</v>
      </c>
    </row>
    <row r="169" spans="1:10">
      <c r="A169" t="s">
        <v>1810</v>
      </c>
      <c r="B169" t="s">
        <v>1811</v>
      </c>
      <c r="C169" t="s">
        <v>1502</v>
      </c>
      <c r="D169" t="s">
        <v>1503</v>
      </c>
      <c r="E169" s="11">
        <v>500</v>
      </c>
      <c r="F169" t="s">
        <v>4960</v>
      </c>
      <c r="G169" t="s">
        <v>4961</v>
      </c>
      <c r="H169" s="11">
        <v>70</v>
      </c>
      <c r="I169" s="11">
        <f>H169*'Unit Conversions'!$E$33</f>
        <v>7000</v>
      </c>
    </row>
    <row r="170" spans="1:10">
      <c r="A170" t="s">
        <v>1812</v>
      </c>
      <c r="B170" t="s">
        <v>1813</v>
      </c>
      <c r="C170" t="s">
        <v>1502</v>
      </c>
      <c r="D170" t="s">
        <v>1503</v>
      </c>
      <c r="E170" s="11"/>
      <c r="F170" t="s">
        <v>4960</v>
      </c>
      <c r="G170" t="s">
        <v>4961</v>
      </c>
      <c r="H170" s="11">
        <v>29123643.287999999</v>
      </c>
      <c r="I170" s="11">
        <f>H170*'Unit Conversions'!$E$33</f>
        <v>2912364328.7999997</v>
      </c>
    </row>
    <row r="171" spans="1:10">
      <c r="A171" t="s">
        <v>1814</v>
      </c>
      <c r="B171" t="s">
        <v>1815</v>
      </c>
      <c r="C171" t="s">
        <v>1502</v>
      </c>
      <c r="D171" t="s">
        <v>1503</v>
      </c>
      <c r="E171" s="11">
        <v>417000</v>
      </c>
      <c r="F171" t="s">
        <v>4960</v>
      </c>
      <c r="G171" t="s">
        <v>4961</v>
      </c>
      <c r="H171" s="11">
        <v>12600</v>
      </c>
      <c r="I171" s="11">
        <f>H171*'Unit Conversions'!$E$33</f>
        <v>1260000</v>
      </c>
    </row>
    <row r="172" spans="1:10">
      <c r="A172" t="s">
        <v>1816</v>
      </c>
      <c r="B172" t="s">
        <v>1817</v>
      </c>
      <c r="C172" t="s">
        <v>1502</v>
      </c>
      <c r="D172" t="s">
        <v>1503</v>
      </c>
      <c r="E172" s="11">
        <v>8341000</v>
      </c>
      <c r="F172" t="s">
        <v>4960</v>
      </c>
      <c r="G172" t="s">
        <v>4961</v>
      </c>
      <c r="H172" s="11">
        <v>431310</v>
      </c>
      <c r="I172" s="11">
        <f>H172*'Unit Conversions'!$E$33</f>
        <v>43131000</v>
      </c>
    </row>
    <row r="173" spans="1:10">
      <c r="A173" t="s">
        <v>1818</v>
      </c>
      <c r="B173" t="s">
        <v>1819</v>
      </c>
      <c r="C173" t="s">
        <v>1502</v>
      </c>
      <c r="D173" t="s">
        <v>1503</v>
      </c>
      <c r="E173" s="11">
        <v>7800</v>
      </c>
      <c r="F173" t="s">
        <v>4960</v>
      </c>
      <c r="G173" t="s">
        <v>4961</v>
      </c>
      <c r="H173" s="11">
        <v>87.5</v>
      </c>
      <c r="I173" s="11">
        <f>H173*'Unit Conversions'!$E$33</f>
        <v>8750</v>
      </c>
      <c r="J173" s="15">
        <v>1</v>
      </c>
    </row>
    <row r="174" spans="1:10">
      <c r="A174" t="s">
        <v>1820</v>
      </c>
      <c r="B174" t="s">
        <v>1821</v>
      </c>
      <c r="C174" t="s">
        <v>1502</v>
      </c>
      <c r="D174" t="s">
        <v>1503</v>
      </c>
      <c r="E174" s="11">
        <v>10990000</v>
      </c>
      <c r="F174" t="s">
        <v>4960</v>
      </c>
      <c r="G174" t="s">
        <v>4961</v>
      </c>
      <c r="H174" s="11">
        <v>129800</v>
      </c>
      <c r="I174" s="11">
        <f>H174*'Unit Conversions'!$E$33</f>
        <v>12980000</v>
      </c>
    </row>
    <row r="175" spans="1:10">
      <c r="A175" t="s">
        <v>1822</v>
      </c>
      <c r="B175" t="s">
        <v>1823</v>
      </c>
      <c r="C175" t="s">
        <v>1502</v>
      </c>
      <c r="D175" t="s">
        <v>1503</v>
      </c>
      <c r="E175" s="11"/>
      <c r="F175" t="s">
        <v>4960</v>
      </c>
      <c r="G175" t="s">
        <v>4961</v>
      </c>
      <c r="H175" s="11">
        <v>1983423.47</v>
      </c>
      <c r="I175" s="11">
        <f>H175*'Unit Conversions'!$E$33</f>
        <v>198342347</v>
      </c>
    </row>
    <row r="176" spans="1:10">
      <c r="A176" t="s">
        <v>1824</v>
      </c>
      <c r="B176" t="s">
        <v>1825</v>
      </c>
      <c r="C176" t="s">
        <v>1502</v>
      </c>
      <c r="D176" t="s">
        <v>1503</v>
      </c>
      <c r="E176" s="11">
        <v>8900</v>
      </c>
      <c r="F176" t="s">
        <v>4960</v>
      </c>
      <c r="G176" t="s">
        <v>4961</v>
      </c>
      <c r="H176" s="11">
        <v>2555.6</v>
      </c>
      <c r="I176" s="11">
        <f>H176*'Unit Conversions'!$E$33</f>
        <v>255560</v>
      </c>
    </row>
    <row r="177" spans="1:10">
      <c r="A177" t="s">
        <v>1826</v>
      </c>
      <c r="B177" t="s">
        <v>1827</v>
      </c>
      <c r="C177" t="s">
        <v>1502</v>
      </c>
      <c r="D177" t="s">
        <v>1503</v>
      </c>
      <c r="E177" s="11">
        <v>1332800</v>
      </c>
      <c r="F177" t="s">
        <v>4960</v>
      </c>
      <c r="G177" t="s">
        <v>4961</v>
      </c>
      <c r="H177" s="11">
        <v>1126312</v>
      </c>
      <c r="I177" s="11">
        <f>H177*'Unit Conversions'!$E$33</f>
        <v>112631200</v>
      </c>
    </row>
    <row r="178" spans="1:10">
      <c r="A178" t="s">
        <v>1828</v>
      </c>
      <c r="B178" t="s">
        <v>1829</v>
      </c>
      <c r="C178" t="s">
        <v>1502</v>
      </c>
      <c r="D178" t="s">
        <v>1503</v>
      </c>
      <c r="E178" s="11">
        <v>80</v>
      </c>
      <c r="F178" t="s">
        <v>4960</v>
      </c>
      <c r="G178" t="s">
        <v>4961</v>
      </c>
      <c r="H178" s="11">
        <v>5.4</v>
      </c>
      <c r="I178" s="11">
        <f>H178*'Unit Conversions'!$E$33</f>
        <v>540</v>
      </c>
    </row>
    <row r="179" spans="1:10">
      <c r="A179" t="s">
        <v>1830</v>
      </c>
      <c r="B179" t="s">
        <v>1831</v>
      </c>
      <c r="C179" t="s">
        <v>1502</v>
      </c>
      <c r="D179" t="s">
        <v>1503</v>
      </c>
      <c r="E179" s="11">
        <v>5650000</v>
      </c>
      <c r="F179" t="s">
        <v>4960</v>
      </c>
      <c r="G179" t="s">
        <v>4961</v>
      </c>
      <c r="H179" s="11">
        <v>414138.32</v>
      </c>
      <c r="I179" s="11">
        <f>H179*'Unit Conversions'!$E$33</f>
        <v>41413832</v>
      </c>
    </row>
    <row r="180" spans="1:10">
      <c r="A180" t="s">
        <v>1832</v>
      </c>
      <c r="B180" t="s">
        <v>1833</v>
      </c>
      <c r="C180" t="s">
        <v>1502</v>
      </c>
      <c r="D180" t="s">
        <v>1503</v>
      </c>
      <c r="E180" s="11">
        <v>450000</v>
      </c>
      <c r="F180" t="s">
        <v>4960</v>
      </c>
      <c r="G180" t="s">
        <v>4961</v>
      </c>
      <c r="H180" s="11">
        <v>397100</v>
      </c>
      <c r="I180" s="11">
        <f>H180*'Unit Conversions'!$E$33</f>
        <v>39710000</v>
      </c>
    </row>
    <row r="181" spans="1:10">
      <c r="A181" t="s">
        <v>1834</v>
      </c>
      <c r="B181" t="s">
        <v>1835</v>
      </c>
      <c r="C181" t="s">
        <v>1502</v>
      </c>
      <c r="D181" t="s">
        <v>1503</v>
      </c>
      <c r="E181" s="11">
        <v>75000</v>
      </c>
      <c r="F181" t="s">
        <v>4960</v>
      </c>
      <c r="G181" t="s">
        <v>4961</v>
      </c>
      <c r="H181" s="11">
        <v>860</v>
      </c>
      <c r="I181" s="11">
        <f>H181*'Unit Conversions'!$E$33</f>
        <v>86000</v>
      </c>
    </row>
    <row r="182" spans="1:10">
      <c r="A182" t="s">
        <v>1836</v>
      </c>
      <c r="B182" t="s">
        <v>1837</v>
      </c>
      <c r="C182" t="s">
        <v>1502</v>
      </c>
      <c r="D182" t="s">
        <v>1503</v>
      </c>
      <c r="E182" s="11">
        <v>4000000</v>
      </c>
      <c r="F182" t="s">
        <v>4960</v>
      </c>
      <c r="G182" t="s">
        <v>4961</v>
      </c>
      <c r="H182" s="11">
        <v>60500</v>
      </c>
      <c r="I182" s="11">
        <f>H182*'Unit Conversions'!$E$33</f>
        <v>6050000</v>
      </c>
    </row>
    <row r="183" spans="1:10">
      <c r="A183" t="s">
        <v>1838</v>
      </c>
      <c r="B183" t="s">
        <v>1839</v>
      </c>
      <c r="C183" t="s">
        <v>1502</v>
      </c>
      <c r="D183" t="s">
        <v>1503</v>
      </c>
      <c r="E183" s="11">
        <v>826000</v>
      </c>
      <c r="F183" t="s">
        <v>4960</v>
      </c>
      <c r="G183" t="s">
        <v>4961</v>
      </c>
      <c r="H183" s="11">
        <v>85710</v>
      </c>
      <c r="I183" s="11">
        <f>H183*'Unit Conversions'!$E$33</f>
        <v>8571000</v>
      </c>
    </row>
    <row r="184" spans="1:10">
      <c r="A184" t="s">
        <v>1840</v>
      </c>
      <c r="B184" t="s">
        <v>1841</v>
      </c>
      <c r="C184" t="s">
        <v>1502</v>
      </c>
      <c r="D184" t="s">
        <v>1503</v>
      </c>
      <c r="E184" s="11"/>
      <c r="F184" t="s">
        <v>4960</v>
      </c>
      <c r="G184" t="s">
        <v>4961</v>
      </c>
      <c r="H184" s="11">
        <v>4628016.5379999997</v>
      </c>
      <c r="I184" s="11">
        <f>H184*'Unit Conversions'!$E$33</f>
        <v>462801653.79999995</v>
      </c>
    </row>
    <row r="185" spans="1:10">
      <c r="A185" t="s">
        <v>1842</v>
      </c>
      <c r="B185" t="s">
        <v>1843</v>
      </c>
      <c r="C185" t="s">
        <v>1502</v>
      </c>
      <c r="D185" t="s">
        <v>1503</v>
      </c>
      <c r="E185" s="11">
        <v>800000</v>
      </c>
      <c r="F185" t="s">
        <v>4960</v>
      </c>
      <c r="G185" t="s">
        <v>4961</v>
      </c>
      <c r="H185" s="11">
        <v>388120</v>
      </c>
      <c r="I185" s="11">
        <f>H185*'Unit Conversions'!$E$33</f>
        <v>38812000</v>
      </c>
    </row>
    <row r="186" spans="1:10">
      <c r="A186" t="s">
        <v>1844</v>
      </c>
      <c r="B186" t="s">
        <v>1845</v>
      </c>
      <c r="C186" t="s">
        <v>1502</v>
      </c>
      <c r="D186" t="s">
        <v>1503</v>
      </c>
      <c r="E186" s="11">
        <v>5970</v>
      </c>
      <c r="F186" t="s">
        <v>4960</v>
      </c>
      <c r="G186" t="s">
        <v>4961</v>
      </c>
      <c r="H186" s="11">
        <v>1840.3</v>
      </c>
      <c r="I186" s="11">
        <f>H186*'Unit Conversions'!$E$33</f>
        <v>184030</v>
      </c>
    </row>
    <row r="187" spans="1:10">
      <c r="A187" t="s">
        <v>1846</v>
      </c>
      <c r="B187" t="s">
        <v>1847</v>
      </c>
      <c r="C187" t="s">
        <v>1502</v>
      </c>
      <c r="D187" t="s">
        <v>1503</v>
      </c>
      <c r="E187" s="11">
        <v>17700000</v>
      </c>
      <c r="F187" t="s">
        <v>4960</v>
      </c>
      <c r="G187" t="s">
        <v>4961</v>
      </c>
      <c r="H187" s="11">
        <v>465950</v>
      </c>
      <c r="I187" s="11">
        <f>H187*'Unit Conversions'!$E$33</f>
        <v>46595000</v>
      </c>
    </row>
    <row r="188" spans="1:10">
      <c r="A188" t="s">
        <v>1848</v>
      </c>
      <c r="B188" t="s">
        <v>1849</v>
      </c>
      <c r="C188" t="s">
        <v>1502</v>
      </c>
      <c r="D188" t="s">
        <v>1503</v>
      </c>
      <c r="E188" s="11">
        <v>36872000</v>
      </c>
      <c r="F188" t="s">
        <v>4960</v>
      </c>
      <c r="G188" t="s">
        <v>4961</v>
      </c>
      <c r="H188" s="11">
        <v>686440</v>
      </c>
      <c r="I188" s="11">
        <f>H188*'Unit Conversions'!$E$33</f>
        <v>68644000</v>
      </c>
    </row>
    <row r="189" spans="1:10">
      <c r="A189" t="s">
        <v>1850</v>
      </c>
      <c r="B189" t="s">
        <v>1851</v>
      </c>
      <c r="C189" t="s">
        <v>1502</v>
      </c>
      <c r="D189" t="s">
        <v>1503</v>
      </c>
      <c r="E189" s="11">
        <v>1503000</v>
      </c>
      <c r="F189" t="s">
        <v>4960</v>
      </c>
      <c r="G189" t="s">
        <v>4961</v>
      </c>
      <c r="H189" s="11">
        <v>50910</v>
      </c>
      <c r="I189" s="11">
        <f>H189*'Unit Conversions'!$E$33</f>
        <v>5091000</v>
      </c>
    </row>
    <row r="190" spans="1:10">
      <c r="A190" t="s">
        <v>1852</v>
      </c>
      <c r="B190" t="s">
        <v>1853</v>
      </c>
      <c r="C190" t="s">
        <v>1502</v>
      </c>
      <c r="D190" t="s">
        <v>1503</v>
      </c>
      <c r="E190" s="11">
        <v>1003000</v>
      </c>
      <c r="F190" t="s">
        <v>4960</v>
      </c>
      <c r="G190" t="s">
        <v>4961</v>
      </c>
      <c r="H190" s="11">
        <v>18120</v>
      </c>
      <c r="I190" s="11">
        <f>H190*'Unit Conversions'!$E$33</f>
        <v>1812000</v>
      </c>
      <c r="J190" s="15">
        <v>1</v>
      </c>
    </row>
    <row r="191" spans="1:10">
      <c r="A191" t="s">
        <v>1854</v>
      </c>
      <c r="B191" t="s">
        <v>1855</v>
      </c>
      <c r="C191" t="s">
        <v>1502</v>
      </c>
      <c r="D191" t="s">
        <v>1503</v>
      </c>
      <c r="E191" s="11">
        <v>804000</v>
      </c>
      <c r="F191" t="s">
        <v>4960</v>
      </c>
      <c r="G191" t="s">
        <v>4961</v>
      </c>
      <c r="H191" s="11">
        <v>9850</v>
      </c>
      <c r="I191" s="11">
        <f>H191*'Unit Conversions'!$E$33</f>
        <v>985000</v>
      </c>
    </row>
    <row r="192" spans="1:10">
      <c r="A192" t="s">
        <v>1856</v>
      </c>
      <c r="B192" t="s">
        <v>1857</v>
      </c>
      <c r="C192" t="s">
        <v>1502</v>
      </c>
      <c r="D192" t="s">
        <v>1503</v>
      </c>
      <c r="E192" s="11">
        <v>2113700</v>
      </c>
      <c r="F192" t="s">
        <v>4960</v>
      </c>
      <c r="G192" t="s">
        <v>4961</v>
      </c>
      <c r="H192" s="11">
        <v>41210</v>
      </c>
      <c r="I192" s="11">
        <f>H192*'Unit Conversions'!$E$33</f>
        <v>4121000</v>
      </c>
    </row>
    <row r="193" spans="1:10">
      <c r="A193" t="s">
        <v>1858</v>
      </c>
      <c r="B193" t="s">
        <v>1859</v>
      </c>
      <c r="C193" t="s">
        <v>1502</v>
      </c>
      <c r="D193" t="s">
        <v>1503</v>
      </c>
      <c r="E193" s="11"/>
      <c r="F193" t="s">
        <v>4960</v>
      </c>
      <c r="G193" t="s">
        <v>4961</v>
      </c>
      <c r="H193" s="11">
        <v>4</v>
      </c>
      <c r="I193" s="11">
        <f>H193*'Unit Conversions'!$E$33</f>
        <v>400</v>
      </c>
    </row>
    <row r="194" spans="1:10">
      <c r="A194" t="s">
        <v>1860</v>
      </c>
      <c r="B194" t="s">
        <v>1861</v>
      </c>
      <c r="C194" t="s">
        <v>1502</v>
      </c>
      <c r="D194" t="s">
        <v>1503</v>
      </c>
      <c r="E194" s="11">
        <v>616000</v>
      </c>
      <c r="F194" t="s">
        <v>4960</v>
      </c>
      <c r="G194" t="s">
        <v>4961</v>
      </c>
      <c r="H194" s="11">
        <v>101750</v>
      </c>
      <c r="I194" s="11">
        <f>H194*'Unit Conversions'!$E$33</f>
        <v>10175000</v>
      </c>
    </row>
    <row r="195" spans="1:10">
      <c r="A195" t="s">
        <v>1862</v>
      </c>
      <c r="B195" t="s">
        <v>1863</v>
      </c>
      <c r="C195" t="s">
        <v>1502</v>
      </c>
      <c r="D195" t="s">
        <v>1503</v>
      </c>
      <c r="E195" s="11"/>
      <c r="F195" t="s">
        <v>4960</v>
      </c>
      <c r="G195" t="s">
        <v>4961</v>
      </c>
      <c r="H195" s="11">
        <v>11984861.809</v>
      </c>
      <c r="I195" s="11">
        <f>H195*'Unit Conversions'!$E$33</f>
        <v>1198486180.9000001</v>
      </c>
    </row>
    <row r="196" spans="1:10">
      <c r="A196" t="s">
        <v>1864</v>
      </c>
      <c r="B196" t="s">
        <v>1865</v>
      </c>
      <c r="C196" t="s">
        <v>1502</v>
      </c>
      <c r="D196" t="s">
        <v>1503</v>
      </c>
      <c r="E196" s="11">
        <v>82610</v>
      </c>
      <c r="F196" t="s">
        <v>4960</v>
      </c>
      <c r="G196" t="s">
        <v>4961</v>
      </c>
      <c r="H196" s="11">
        <v>14662.2</v>
      </c>
      <c r="I196" s="11">
        <f>H196*'Unit Conversions'!$E$33</f>
        <v>1466220</v>
      </c>
    </row>
    <row r="197" spans="1:10">
      <c r="A197" t="s">
        <v>1866</v>
      </c>
      <c r="B197" t="s">
        <v>1867</v>
      </c>
      <c r="C197" t="s">
        <v>1502</v>
      </c>
      <c r="D197" t="s">
        <v>1503</v>
      </c>
      <c r="E197" s="11"/>
      <c r="F197" t="s">
        <v>4960</v>
      </c>
      <c r="G197" t="s">
        <v>4961</v>
      </c>
      <c r="H197" s="11">
        <v>782592.60900000005</v>
      </c>
      <c r="I197" s="11">
        <f>H197*'Unit Conversions'!$E$33</f>
        <v>78259260.900000006</v>
      </c>
    </row>
    <row r="198" spans="1:10">
      <c r="A198" t="s">
        <v>1868</v>
      </c>
      <c r="B198" t="s">
        <v>1869</v>
      </c>
      <c r="C198" t="s">
        <v>1502</v>
      </c>
      <c r="D198" t="s">
        <v>1503</v>
      </c>
      <c r="E198" s="11">
        <v>30510000</v>
      </c>
      <c r="F198" t="s">
        <v>4960</v>
      </c>
      <c r="G198" t="s">
        <v>4961</v>
      </c>
      <c r="H198" s="11">
        <v>363030</v>
      </c>
      <c r="I198" s="11">
        <f>H198*'Unit Conversions'!$E$33</f>
        <v>36303000</v>
      </c>
    </row>
    <row r="199" spans="1:10">
      <c r="A199" t="s">
        <v>1870</v>
      </c>
      <c r="B199" t="s">
        <v>1871</v>
      </c>
      <c r="C199" t="s">
        <v>1502</v>
      </c>
      <c r="D199" t="s">
        <v>1503</v>
      </c>
      <c r="E199" s="11">
        <v>565000</v>
      </c>
      <c r="F199" t="s">
        <v>4960</v>
      </c>
      <c r="G199" t="s">
        <v>4961</v>
      </c>
      <c r="H199" s="11">
        <v>21813.16</v>
      </c>
      <c r="I199" s="11">
        <f>H199*'Unit Conversions'!$E$33</f>
        <v>2181316</v>
      </c>
    </row>
    <row r="200" spans="1:10">
      <c r="A200" t="s">
        <v>1872</v>
      </c>
      <c r="B200" t="s">
        <v>1873</v>
      </c>
      <c r="C200" t="s">
        <v>1502</v>
      </c>
      <c r="D200" t="s">
        <v>1503</v>
      </c>
      <c r="E200" s="11">
        <v>4290296</v>
      </c>
      <c r="F200" t="s">
        <v>4960</v>
      </c>
      <c r="G200" t="s">
        <v>4961</v>
      </c>
      <c r="H200" s="11">
        <v>255156.89</v>
      </c>
      <c r="I200" s="11">
        <f>H200*'Unit Conversions'!$E$33</f>
        <v>25515689</v>
      </c>
    </row>
    <row r="201" spans="1:10">
      <c r="A201" t="s">
        <v>1874</v>
      </c>
      <c r="B201" t="s">
        <v>1875</v>
      </c>
      <c r="C201" t="s">
        <v>1502</v>
      </c>
      <c r="D201" t="s">
        <v>1503</v>
      </c>
      <c r="E201" s="11">
        <v>5590000</v>
      </c>
      <c r="F201" t="s">
        <v>4960</v>
      </c>
      <c r="G201" t="s">
        <v>4961</v>
      </c>
      <c r="H201" s="11">
        <v>126830</v>
      </c>
      <c r="I201" s="11">
        <f>H201*'Unit Conversions'!$E$33</f>
        <v>12683000</v>
      </c>
    </row>
    <row r="202" spans="1:10">
      <c r="A202" t="s">
        <v>1876</v>
      </c>
      <c r="B202" t="s">
        <v>1877</v>
      </c>
      <c r="C202" t="s">
        <v>1502</v>
      </c>
      <c r="D202" t="s">
        <v>1503</v>
      </c>
      <c r="E202" s="11">
        <v>300</v>
      </c>
      <c r="F202" t="s">
        <v>4960</v>
      </c>
      <c r="G202" t="s">
        <v>4961</v>
      </c>
      <c r="H202" s="11">
        <v>43</v>
      </c>
      <c r="I202" s="11">
        <f>H202*'Unit Conversions'!$E$33</f>
        <v>4300</v>
      </c>
    </row>
    <row r="203" spans="1:10">
      <c r="A203" t="s">
        <v>1878</v>
      </c>
      <c r="B203" t="s">
        <v>1879</v>
      </c>
      <c r="C203" t="s">
        <v>1502</v>
      </c>
      <c r="D203" t="s">
        <v>1503</v>
      </c>
      <c r="E203" s="11">
        <v>331000</v>
      </c>
      <c r="F203" t="s">
        <v>4960</v>
      </c>
      <c r="G203" t="s">
        <v>4961</v>
      </c>
      <c r="H203" s="11">
        <v>14410</v>
      </c>
      <c r="I203" s="11">
        <f>H203*'Unit Conversions'!$E$33</f>
        <v>1441000</v>
      </c>
    </row>
    <row r="204" spans="1:10">
      <c r="A204" t="s">
        <v>1880</v>
      </c>
      <c r="B204" t="s">
        <v>1881</v>
      </c>
      <c r="C204" t="s">
        <v>1502</v>
      </c>
      <c r="D204" t="s">
        <v>1503</v>
      </c>
      <c r="E204" s="11">
        <v>11078760</v>
      </c>
      <c r="F204" t="s">
        <v>4960</v>
      </c>
      <c r="G204" t="s">
        <v>4961</v>
      </c>
      <c r="H204" s="11">
        <v>144994.6</v>
      </c>
      <c r="I204" s="11">
        <f>H204*'Unit Conversions'!$E$33</f>
        <v>14499460</v>
      </c>
      <c r="J204" s="15">
        <v>1</v>
      </c>
    </row>
    <row r="205" spans="1:10">
      <c r="A205" t="s">
        <v>1882</v>
      </c>
      <c r="B205" t="s">
        <v>1883</v>
      </c>
      <c r="C205" t="s">
        <v>1502</v>
      </c>
      <c r="D205" t="s">
        <v>1503</v>
      </c>
      <c r="E205" s="11"/>
      <c r="F205" t="s">
        <v>4960</v>
      </c>
      <c r="G205" t="s">
        <v>4961</v>
      </c>
      <c r="H205" s="11">
        <v>8659330.4199999999</v>
      </c>
      <c r="I205" s="11">
        <f>H205*'Unit Conversions'!$E$33</f>
        <v>865933042</v>
      </c>
    </row>
    <row r="206" spans="1:10">
      <c r="A206" t="s">
        <v>1884</v>
      </c>
      <c r="B206" t="s">
        <v>1885</v>
      </c>
      <c r="C206" t="s">
        <v>1502</v>
      </c>
      <c r="D206" t="s">
        <v>1503</v>
      </c>
      <c r="E206" s="11">
        <v>50200</v>
      </c>
      <c r="F206" t="s">
        <v>4960</v>
      </c>
      <c r="G206" t="s">
        <v>4961</v>
      </c>
      <c r="H206" s="11">
        <v>1689</v>
      </c>
      <c r="I206" s="11">
        <f>H206*'Unit Conversions'!$E$33</f>
        <v>168900</v>
      </c>
    </row>
    <row r="207" spans="1:10">
      <c r="A207" t="s">
        <v>1886</v>
      </c>
      <c r="B207" t="s">
        <v>1887</v>
      </c>
      <c r="C207" t="s">
        <v>1502</v>
      </c>
      <c r="D207" t="s">
        <v>1503</v>
      </c>
      <c r="E207" s="11">
        <v>2295000</v>
      </c>
      <c r="F207" t="s">
        <v>4960</v>
      </c>
      <c r="G207" t="s">
        <v>4961</v>
      </c>
      <c r="H207" s="11">
        <v>25950</v>
      </c>
      <c r="I207" s="11">
        <f>H207*'Unit Conversions'!$E$33</f>
        <v>2595000</v>
      </c>
    </row>
    <row r="208" spans="1:10">
      <c r="A208" t="s">
        <v>1888</v>
      </c>
      <c r="B208" t="s">
        <v>1889</v>
      </c>
      <c r="C208" t="s">
        <v>1502</v>
      </c>
      <c r="D208" t="s">
        <v>1503</v>
      </c>
      <c r="E208" s="11">
        <v>965233.7</v>
      </c>
      <c r="F208" t="s">
        <v>4960</v>
      </c>
      <c r="G208" t="s">
        <v>4961</v>
      </c>
      <c r="H208" s="11">
        <v>39622.955000000002</v>
      </c>
      <c r="I208" s="11">
        <f>H208*'Unit Conversions'!$E$33</f>
        <v>3962295.5</v>
      </c>
      <c r="J208" s="15">
        <v>1</v>
      </c>
    </row>
    <row r="209" spans="1:10">
      <c r="A209" t="s">
        <v>1890</v>
      </c>
      <c r="B209" t="s">
        <v>1891</v>
      </c>
      <c r="C209" t="s">
        <v>1502</v>
      </c>
      <c r="D209" t="s">
        <v>1503</v>
      </c>
      <c r="E209" s="11">
        <v>4734000</v>
      </c>
      <c r="F209" t="s">
        <v>4960</v>
      </c>
      <c r="G209" t="s">
        <v>4961</v>
      </c>
      <c r="H209" s="11">
        <v>168091.4</v>
      </c>
      <c r="I209" s="11">
        <f>H209*'Unit Conversions'!$E$33</f>
        <v>16809140</v>
      </c>
    </row>
    <row r="210" spans="1:10">
      <c r="A210" t="s">
        <v>1892</v>
      </c>
      <c r="B210" t="s">
        <v>1893</v>
      </c>
      <c r="C210" t="s">
        <v>1502</v>
      </c>
      <c r="D210" t="s">
        <v>1503</v>
      </c>
      <c r="E210" s="11">
        <v>41900</v>
      </c>
      <c r="F210" t="s">
        <v>4960</v>
      </c>
      <c r="G210" t="s">
        <v>4961</v>
      </c>
      <c r="H210" s="11">
        <v>3912</v>
      </c>
      <c r="I210" s="11">
        <f>H210*'Unit Conversions'!$E$33</f>
        <v>391200</v>
      </c>
    </row>
    <row r="211" spans="1:10">
      <c r="A211" t="s">
        <v>1894</v>
      </c>
      <c r="B211" t="s">
        <v>1895</v>
      </c>
      <c r="C211" t="s">
        <v>1502</v>
      </c>
      <c r="D211" t="s">
        <v>1503</v>
      </c>
      <c r="E211" s="11"/>
      <c r="F211" t="s">
        <v>4960</v>
      </c>
      <c r="G211" t="s">
        <v>4961</v>
      </c>
      <c r="H211" s="11">
        <v>7555.1</v>
      </c>
      <c r="I211" s="11">
        <f>H211*'Unit Conversions'!$E$33</f>
        <v>755510</v>
      </c>
    </row>
    <row r="212" spans="1:10">
      <c r="A212" t="s">
        <v>1896</v>
      </c>
      <c r="B212" t="s">
        <v>1897</v>
      </c>
      <c r="C212" t="s">
        <v>1502</v>
      </c>
      <c r="D212" t="s">
        <v>1503</v>
      </c>
      <c r="E212" s="11"/>
      <c r="F212" t="s">
        <v>4960</v>
      </c>
      <c r="G212" t="s">
        <v>4961</v>
      </c>
      <c r="H212" s="11">
        <v>10466856.911</v>
      </c>
      <c r="I212" s="11">
        <f>H212*'Unit Conversions'!$E$33</f>
        <v>1046685691.1</v>
      </c>
    </row>
    <row r="213" spans="1:10">
      <c r="A213" t="s">
        <v>1898</v>
      </c>
      <c r="B213" t="s">
        <v>1899</v>
      </c>
      <c r="C213" t="s">
        <v>1502</v>
      </c>
      <c r="D213" t="s">
        <v>1503</v>
      </c>
      <c r="E213" s="11">
        <v>2500</v>
      </c>
      <c r="F213" t="s">
        <v>4960</v>
      </c>
      <c r="G213" t="s">
        <v>4961</v>
      </c>
      <c r="H213" s="11">
        <v>485</v>
      </c>
      <c r="I213" s="11">
        <f>H213*'Unit Conversions'!$E$33</f>
        <v>48500</v>
      </c>
    </row>
    <row r="214" spans="1:10">
      <c r="A214" t="s">
        <v>1900</v>
      </c>
      <c r="B214" t="s">
        <v>1901</v>
      </c>
      <c r="C214" t="s">
        <v>1502</v>
      </c>
      <c r="D214" t="s">
        <v>1503</v>
      </c>
      <c r="E214" s="11">
        <v>21000</v>
      </c>
      <c r="F214" t="s">
        <v>4960</v>
      </c>
      <c r="G214" t="s">
        <v>4961</v>
      </c>
      <c r="H214" s="11">
        <v>740</v>
      </c>
      <c r="I214" s="11">
        <f>H214*'Unit Conversions'!$E$33</f>
        <v>74000</v>
      </c>
    </row>
    <row r="215" spans="1:10">
      <c r="A215" t="s">
        <v>1902</v>
      </c>
      <c r="B215" t="s">
        <v>1903</v>
      </c>
      <c r="C215" t="s">
        <v>1502</v>
      </c>
      <c r="D215" t="s">
        <v>1503</v>
      </c>
      <c r="E215" s="11">
        <v>8588000</v>
      </c>
      <c r="F215" t="s">
        <v>4960</v>
      </c>
      <c r="G215" t="s">
        <v>4961</v>
      </c>
      <c r="H215" s="11">
        <v>130790</v>
      </c>
      <c r="I215" s="11">
        <f>H215*'Unit Conversions'!$E$33</f>
        <v>13079000</v>
      </c>
      <c r="J215" s="15">
        <v>1</v>
      </c>
    </row>
    <row r="216" spans="1:10">
      <c r="A216" t="s">
        <v>1904</v>
      </c>
      <c r="B216" t="s">
        <v>1905</v>
      </c>
      <c r="C216" t="s">
        <v>1502</v>
      </c>
      <c r="D216" t="s">
        <v>1503</v>
      </c>
      <c r="E216" s="11">
        <v>121649000</v>
      </c>
      <c r="F216" t="s">
        <v>4960</v>
      </c>
      <c r="G216" t="s">
        <v>4961</v>
      </c>
      <c r="H216" s="11">
        <v>2154940</v>
      </c>
      <c r="I216" s="11">
        <f>H216*'Unit Conversions'!$E$33</f>
        <v>215494000</v>
      </c>
    </row>
    <row r="217" spans="1:10">
      <c r="A217" t="s">
        <v>1906</v>
      </c>
      <c r="B217" t="s">
        <v>1907</v>
      </c>
      <c r="C217" t="s">
        <v>1502</v>
      </c>
      <c r="D217" t="s">
        <v>1503</v>
      </c>
      <c r="E217" s="11">
        <v>1268400</v>
      </c>
      <c r="F217" t="s">
        <v>4960</v>
      </c>
      <c r="G217" t="s">
        <v>4961</v>
      </c>
      <c r="H217" s="11">
        <v>20044.599999999999</v>
      </c>
      <c r="I217" s="11">
        <f>H217*'Unit Conversions'!$E$33</f>
        <v>2004459.9999999998</v>
      </c>
    </row>
    <row r="218" spans="1:10">
      <c r="A218" t="s">
        <v>1908</v>
      </c>
      <c r="B218" t="s">
        <v>1909</v>
      </c>
      <c r="C218" t="s">
        <v>1502</v>
      </c>
      <c r="D218" t="s">
        <v>1503</v>
      </c>
      <c r="E218" s="11"/>
      <c r="F218" t="s">
        <v>4960</v>
      </c>
      <c r="G218" t="s">
        <v>4961</v>
      </c>
      <c r="H218" s="11">
        <v>2706638.48</v>
      </c>
      <c r="I218" s="11">
        <f>H218*'Unit Conversions'!$E$33</f>
        <v>270663848</v>
      </c>
    </row>
    <row r="219" spans="1:10">
      <c r="A219" t="s">
        <v>1910</v>
      </c>
      <c r="B219" t="s">
        <v>1911</v>
      </c>
      <c r="C219" t="s">
        <v>1502</v>
      </c>
      <c r="D219" t="s">
        <v>1503</v>
      </c>
      <c r="E219" s="11">
        <v>3430000</v>
      </c>
      <c r="F219" t="s">
        <v>4960</v>
      </c>
      <c r="G219" t="s">
        <v>4961</v>
      </c>
      <c r="H219" s="11">
        <v>1736370</v>
      </c>
      <c r="I219" s="11">
        <f>H219*'Unit Conversions'!$E$33</f>
        <v>173637000</v>
      </c>
    </row>
    <row r="220" spans="1:10">
      <c r="A220" t="s">
        <v>1912</v>
      </c>
      <c r="B220" t="s">
        <v>1913</v>
      </c>
      <c r="C220" t="s">
        <v>1502</v>
      </c>
      <c r="D220" t="s">
        <v>1503</v>
      </c>
      <c r="E220" s="11">
        <v>20994840</v>
      </c>
      <c r="F220" t="s">
        <v>4960</v>
      </c>
      <c r="G220" t="s">
        <v>4961</v>
      </c>
      <c r="H220" s="11">
        <v>1126648.3999999999</v>
      </c>
      <c r="I220" s="11">
        <f>H220*'Unit Conversions'!$E$33</f>
        <v>112664839.99999999</v>
      </c>
    </row>
    <row r="221" spans="1:10">
      <c r="A221" t="s">
        <v>1914</v>
      </c>
      <c r="B221" t="s">
        <v>1915</v>
      </c>
      <c r="C221" t="s">
        <v>1502</v>
      </c>
      <c r="D221" t="s">
        <v>1503</v>
      </c>
      <c r="E221" s="11">
        <v>3830000</v>
      </c>
      <c r="F221" t="s">
        <v>4960</v>
      </c>
      <c r="G221" t="s">
        <v>4961</v>
      </c>
      <c r="H221" s="11">
        <v>95110</v>
      </c>
      <c r="I221" s="11">
        <f>H221*'Unit Conversions'!$E$33</f>
        <v>9511000</v>
      </c>
    </row>
    <row r="222" spans="1:10">
      <c r="A222" t="s">
        <v>1916</v>
      </c>
      <c r="B222" t="s">
        <v>1917</v>
      </c>
      <c r="C222" t="s">
        <v>1502</v>
      </c>
      <c r="D222" t="s">
        <v>1503</v>
      </c>
      <c r="E222" s="11">
        <v>560</v>
      </c>
      <c r="F222" t="s">
        <v>4960</v>
      </c>
      <c r="G222" t="s">
        <v>4961</v>
      </c>
      <c r="H222" s="11">
        <v>6.6</v>
      </c>
      <c r="I222" s="11">
        <f>H222*'Unit Conversions'!$E$33</f>
        <v>660</v>
      </c>
    </row>
    <row r="223" spans="1:10">
      <c r="A223" t="s">
        <v>1918</v>
      </c>
      <c r="B223" t="s">
        <v>1919</v>
      </c>
      <c r="C223" t="s">
        <v>1502</v>
      </c>
      <c r="D223" t="s">
        <v>1503</v>
      </c>
      <c r="E223" s="11">
        <v>23000</v>
      </c>
      <c r="F223" t="s">
        <v>4960</v>
      </c>
      <c r="G223" t="s">
        <v>4961</v>
      </c>
      <c r="H223" s="11">
        <v>1200</v>
      </c>
      <c r="I223" s="11">
        <f>H223*'Unit Conversions'!$E$33</f>
        <v>120000</v>
      </c>
    </row>
    <row r="224" spans="1:10">
      <c r="A224" t="s">
        <v>1920</v>
      </c>
      <c r="B224" t="s">
        <v>1921</v>
      </c>
      <c r="C224" t="s">
        <v>1502</v>
      </c>
      <c r="D224" t="s">
        <v>1503</v>
      </c>
      <c r="E224" s="11">
        <v>1584000</v>
      </c>
      <c r="F224" t="s">
        <v>4960</v>
      </c>
      <c r="G224" t="s">
        <v>4961</v>
      </c>
      <c r="H224" s="11">
        <v>39490</v>
      </c>
      <c r="I224" s="11">
        <f>H224*'Unit Conversions'!$E$33</f>
        <v>3949000</v>
      </c>
    </row>
    <row r="225" spans="1:10">
      <c r="A225" t="s">
        <v>1922</v>
      </c>
      <c r="B225" t="s">
        <v>1923</v>
      </c>
      <c r="C225" t="s">
        <v>1502</v>
      </c>
      <c r="D225" t="s">
        <v>1503</v>
      </c>
      <c r="E225" s="11">
        <v>721000</v>
      </c>
      <c r="F225" t="s">
        <v>4960</v>
      </c>
      <c r="G225" t="s">
        <v>4961</v>
      </c>
      <c r="H225" s="11">
        <v>11957</v>
      </c>
      <c r="I225" s="11">
        <f>H225*'Unit Conversions'!$E$33</f>
        <v>1195700</v>
      </c>
    </row>
    <row r="226" spans="1:10">
      <c r="A226" t="s">
        <v>1924</v>
      </c>
      <c r="B226" t="s">
        <v>1925</v>
      </c>
      <c r="C226" t="s">
        <v>1502</v>
      </c>
      <c r="D226" t="s">
        <v>1503</v>
      </c>
      <c r="E226" s="11">
        <v>1985</v>
      </c>
      <c r="F226" t="s">
        <v>4960</v>
      </c>
      <c r="G226" t="s">
        <v>4961</v>
      </c>
      <c r="H226" s="11">
        <v>23</v>
      </c>
      <c r="I226" s="11">
        <f>H226*'Unit Conversions'!$E$33</f>
        <v>2300</v>
      </c>
    </row>
    <row r="227" spans="1:10">
      <c r="A227" t="s">
        <v>1926</v>
      </c>
      <c r="B227" t="s">
        <v>1927</v>
      </c>
      <c r="C227" t="s">
        <v>1502</v>
      </c>
      <c r="D227" t="s">
        <v>1503</v>
      </c>
      <c r="E227" s="11">
        <v>1100000</v>
      </c>
      <c r="F227" t="s">
        <v>4960</v>
      </c>
      <c r="G227" t="s">
        <v>4961</v>
      </c>
      <c r="H227" s="11">
        <v>441290</v>
      </c>
      <c r="I227" s="11">
        <f>H227*'Unit Conversions'!$E$33</f>
        <v>44129000</v>
      </c>
    </row>
    <row r="228" spans="1:10">
      <c r="A228" t="s">
        <v>1928</v>
      </c>
      <c r="B228" t="s">
        <v>1929</v>
      </c>
      <c r="C228" t="s">
        <v>1502</v>
      </c>
      <c r="D228" t="s">
        <v>1503</v>
      </c>
      <c r="E228" s="11">
        <v>2615000</v>
      </c>
      <c r="F228" t="s">
        <v>4960</v>
      </c>
      <c r="G228" t="s">
        <v>4961</v>
      </c>
      <c r="H228" s="11">
        <v>34850</v>
      </c>
      <c r="I228" s="11">
        <f>H228*'Unit Conversions'!$E$33</f>
        <v>3485000</v>
      </c>
    </row>
    <row r="229" spans="1:10">
      <c r="A229" t="s">
        <v>1930</v>
      </c>
      <c r="B229" t="s">
        <v>1931</v>
      </c>
      <c r="C229" t="s">
        <v>1502</v>
      </c>
      <c r="D229" t="s">
        <v>1503</v>
      </c>
      <c r="E229" s="11"/>
      <c r="F229" t="s">
        <v>4960</v>
      </c>
      <c r="G229" t="s">
        <v>4961</v>
      </c>
      <c r="H229" s="11">
        <v>10542610.779999999</v>
      </c>
      <c r="I229" s="11">
        <f>H229*'Unit Conversions'!$E$33</f>
        <v>1054261077.9999999</v>
      </c>
    </row>
    <row r="230" spans="1:10">
      <c r="A230" t="s">
        <v>1932</v>
      </c>
      <c r="B230" t="s">
        <v>1933</v>
      </c>
      <c r="C230" t="s">
        <v>1502</v>
      </c>
      <c r="D230" t="s">
        <v>1503</v>
      </c>
      <c r="E230" s="11">
        <v>2394700</v>
      </c>
      <c r="F230" t="s">
        <v>4960</v>
      </c>
      <c r="G230" t="s">
        <v>4961</v>
      </c>
      <c r="H230" s="11">
        <v>282527</v>
      </c>
      <c r="I230" s="11">
        <f>H230*'Unit Conversions'!$E$33</f>
        <v>28252700</v>
      </c>
    </row>
    <row r="231" spans="1:10">
      <c r="A231" t="s">
        <v>1934</v>
      </c>
      <c r="B231" t="s">
        <v>1935</v>
      </c>
      <c r="C231" t="s">
        <v>1502</v>
      </c>
      <c r="D231" t="s">
        <v>1503</v>
      </c>
      <c r="E231" s="11"/>
      <c r="F231" t="s">
        <v>4960</v>
      </c>
      <c r="G231" t="s">
        <v>4961</v>
      </c>
      <c r="H231" s="11">
        <v>10542626.279999999</v>
      </c>
      <c r="I231" s="11">
        <f>H231*'Unit Conversions'!$E$33</f>
        <v>1054262627.9999999</v>
      </c>
    </row>
    <row r="232" spans="1:10">
      <c r="A232" t="s">
        <v>1936</v>
      </c>
      <c r="B232" t="s">
        <v>1937</v>
      </c>
      <c r="C232" t="s">
        <v>1502</v>
      </c>
      <c r="D232" t="s">
        <v>1503</v>
      </c>
      <c r="E232" s="11"/>
      <c r="F232" t="s">
        <v>4960</v>
      </c>
      <c r="G232" t="s">
        <v>4961</v>
      </c>
      <c r="H232" s="11">
        <v>808767.10900000005</v>
      </c>
      <c r="I232" s="11">
        <f>H232*'Unit Conversions'!$E$33</f>
        <v>80876710.900000006</v>
      </c>
    </row>
    <row r="233" spans="1:10">
      <c r="A233" t="s">
        <v>1938</v>
      </c>
      <c r="B233" t="s">
        <v>1939</v>
      </c>
      <c r="C233" t="s">
        <v>1502</v>
      </c>
      <c r="D233" t="s">
        <v>1503</v>
      </c>
      <c r="E233" s="11">
        <v>4000</v>
      </c>
      <c r="F233" t="s">
        <v>4960</v>
      </c>
      <c r="G233" t="s">
        <v>4961</v>
      </c>
      <c r="H233" s="11">
        <v>420</v>
      </c>
      <c r="I233" s="11">
        <f>H233*'Unit Conversions'!$E$33</f>
        <v>42000</v>
      </c>
    </row>
    <row r="234" spans="1:10">
      <c r="A234" t="s">
        <v>1940</v>
      </c>
      <c r="B234" t="s">
        <v>1941</v>
      </c>
      <c r="C234" t="s">
        <v>1502</v>
      </c>
      <c r="D234" t="s">
        <v>1503</v>
      </c>
      <c r="E234" s="11">
        <v>58000</v>
      </c>
      <c r="F234" t="s">
        <v>4960</v>
      </c>
      <c r="G234" t="s">
        <v>4961</v>
      </c>
      <c r="H234" s="11">
        <v>780</v>
      </c>
      <c r="I234" s="11">
        <f>H234*'Unit Conversions'!$E$33</f>
        <v>78000</v>
      </c>
    </row>
    <row r="235" spans="1:10">
      <c r="A235" t="s">
        <v>1942</v>
      </c>
      <c r="B235" t="s">
        <v>1943</v>
      </c>
      <c r="C235" t="s">
        <v>1502</v>
      </c>
      <c r="D235" t="s">
        <v>1503</v>
      </c>
      <c r="E235" s="11">
        <v>1326000</v>
      </c>
      <c r="F235" t="s">
        <v>4960</v>
      </c>
      <c r="G235" t="s">
        <v>4961</v>
      </c>
      <c r="H235" s="11">
        <v>18560</v>
      </c>
      <c r="I235" s="11">
        <f>H235*'Unit Conversions'!$E$33</f>
        <v>1856000</v>
      </c>
      <c r="J235" s="15">
        <v>1</v>
      </c>
    </row>
    <row r="236" spans="1:10">
      <c r="A236" t="s">
        <v>1944</v>
      </c>
      <c r="B236" t="s">
        <v>1945</v>
      </c>
      <c r="C236" t="s">
        <v>1502</v>
      </c>
      <c r="D236" t="s">
        <v>1503</v>
      </c>
      <c r="E236" s="11">
        <v>180950</v>
      </c>
      <c r="F236" t="s">
        <v>4960</v>
      </c>
      <c r="G236" t="s">
        <v>4961</v>
      </c>
      <c r="H236" s="11">
        <v>6109.6</v>
      </c>
      <c r="I236" s="11">
        <f>H236*'Unit Conversions'!$E$33</f>
        <v>610960</v>
      </c>
      <c r="J236" s="15">
        <v>1</v>
      </c>
    </row>
    <row r="237" spans="1:10">
      <c r="A237" t="s">
        <v>1946</v>
      </c>
      <c r="B237" t="s">
        <v>1947</v>
      </c>
      <c r="C237" t="s">
        <v>1502</v>
      </c>
      <c r="D237" t="s">
        <v>1503</v>
      </c>
      <c r="E237" s="11">
        <v>2535170</v>
      </c>
      <c r="F237" t="s">
        <v>4960</v>
      </c>
      <c r="G237" t="s">
        <v>4961</v>
      </c>
      <c r="H237" s="11">
        <v>30029.1</v>
      </c>
      <c r="I237" s="11">
        <f>H237*'Unit Conversions'!$E$33</f>
        <v>3002910</v>
      </c>
      <c r="J237" s="15">
        <v>1</v>
      </c>
    </row>
    <row r="238" spans="1:10">
      <c r="A238" t="s">
        <v>1948</v>
      </c>
      <c r="B238" t="s">
        <v>1949</v>
      </c>
      <c r="C238" t="s">
        <v>1502</v>
      </c>
      <c r="D238" t="s">
        <v>1503</v>
      </c>
      <c r="E238" s="11">
        <v>177000</v>
      </c>
      <c r="F238" t="s">
        <v>4960</v>
      </c>
      <c r="G238" t="s">
        <v>4961</v>
      </c>
      <c r="H238" s="11">
        <v>11950</v>
      </c>
      <c r="I238" s="11">
        <f>H238*'Unit Conversions'!$E$33</f>
        <v>1195000</v>
      </c>
    </row>
    <row r="239" spans="1:10">
      <c r="A239" t="s">
        <v>1950</v>
      </c>
      <c r="B239" t="s">
        <v>1951</v>
      </c>
      <c r="C239" t="s">
        <v>1502</v>
      </c>
      <c r="D239" t="s">
        <v>1503</v>
      </c>
      <c r="E239" s="11"/>
      <c r="F239" t="s">
        <v>4960</v>
      </c>
      <c r="G239" t="s">
        <v>4961</v>
      </c>
      <c r="H239" s="11"/>
      <c r="I239" s="11">
        <f>H239*'Unit Conversions'!$E$33</f>
        <v>0</v>
      </c>
    </row>
    <row r="240" spans="1:10">
      <c r="A240" t="s">
        <v>1952</v>
      </c>
      <c r="B240" t="s">
        <v>1953</v>
      </c>
      <c r="C240" t="s">
        <v>1502</v>
      </c>
      <c r="D240" t="s">
        <v>1503</v>
      </c>
      <c r="E240" s="11">
        <v>150</v>
      </c>
      <c r="F240" t="s">
        <v>4960</v>
      </c>
      <c r="G240" t="s">
        <v>4961</v>
      </c>
      <c r="H240" s="11">
        <v>15.5</v>
      </c>
      <c r="I240" s="11">
        <f>H240*'Unit Conversions'!$E$33</f>
        <v>1550</v>
      </c>
    </row>
    <row r="241" spans="1:9">
      <c r="A241" t="s">
        <v>1954</v>
      </c>
      <c r="B241" t="s">
        <v>1955</v>
      </c>
      <c r="C241" t="s">
        <v>1502</v>
      </c>
      <c r="D241" t="s">
        <v>1503</v>
      </c>
      <c r="E241" s="11">
        <v>4660617</v>
      </c>
      <c r="F241" t="s">
        <v>4960</v>
      </c>
      <c r="G241" t="s">
        <v>4961</v>
      </c>
      <c r="H241" s="11">
        <v>139133.76000000001</v>
      </c>
      <c r="I241" s="11">
        <f>H241*'Unit Conversions'!$E$33</f>
        <v>13913376</v>
      </c>
    </row>
    <row r="242" spans="1:9">
      <c r="A242" t="s">
        <v>1956</v>
      </c>
      <c r="B242" t="s">
        <v>1957</v>
      </c>
      <c r="C242" t="s">
        <v>1502</v>
      </c>
      <c r="D242" t="s">
        <v>1503</v>
      </c>
      <c r="E242" s="11">
        <v>1000</v>
      </c>
      <c r="F242" t="s">
        <v>4960</v>
      </c>
      <c r="G242" t="s">
        <v>4961</v>
      </c>
      <c r="H242" s="11">
        <v>10</v>
      </c>
      <c r="I242" s="11">
        <f>H242*'Unit Conversions'!$E$33</f>
        <v>1000</v>
      </c>
    </row>
    <row r="243" spans="1:9">
      <c r="A243" t="s">
        <v>1958</v>
      </c>
      <c r="B243" t="s">
        <v>1959</v>
      </c>
      <c r="C243" t="s">
        <v>1502</v>
      </c>
      <c r="D243" t="s">
        <v>1503</v>
      </c>
      <c r="E243" s="11">
        <v>5300000</v>
      </c>
      <c r="F243" t="s">
        <v>4960</v>
      </c>
      <c r="G243" t="s">
        <v>4961</v>
      </c>
      <c r="H243" s="11">
        <v>503380</v>
      </c>
      <c r="I243" s="11">
        <f>H243*'Unit Conversions'!$E$33</f>
        <v>50338000</v>
      </c>
    </row>
    <row r="244" spans="1:9">
      <c r="A244" t="s">
        <v>1960</v>
      </c>
      <c r="B244" t="s">
        <v>1961</v>
      </c>
      <c r="C244" t="s">
        <v>1502</v>
      </c>
      <c r="D244" t="s">
        <v>1503</v>
      </c>
      <c r="E244" s="11"/>
      <c r="F244" t="s">
        <v>4960</v>
      </c>
      <c r="G244" t="s">
        <v>4961</v>
      </c>
      <c r="H244" s="11">
        <v>7786882.4970000004</v>
      </c>
      <c r="I244" s="11">
        <f>H244*'Unit Conversions'!$E$33</f>
        <v>778688249.70000005</v>
      </c>
    </row>
    <row r="245" spans="1:9">
      <c r="A245" t="s">
        <v>1962</v>
      </c>
      <c r="B245" t="s">
        <v>1963</v>
      </c>
      <c r="C245" t="s">
        <v>1502</v>
      </c>
      <c r="D245" t="s">
        <v>1503</v>
      </c>
      <c r="E245" s="11"/>
      <c r="F245" t="s">
        <v>4960</v>
      </c>
      <c r="G245" t="s">
        <v>4961</v>
      </c>
      <c r="H245" s="11">
        <v>6452868.6720000003</v>
      </c>
      <c r="I245" s="11">
        <f>H245*'Unit Conversions'!$E$33</f>
        <v>645286867.20000005</v>
      </c>
    </row>
    <row r="246" spans="1:9">
      <c r="A246" t="s">
        <v>1964</v>
      </c>
      <c r="B246" t="s">
        <v>1965</v>
      </c>
      <c r="C246" t="s">
        <v>1502</v>
      </c>
      <c r="D246" t="s">
        <v>1503</v>
      </c>
      <c r="E246" s="11">
        <v>2650000</v>
      </c>
      <c r="F246" t="s">
        <v>4960</v>
      </c>
      <c r="G246" t="s">
        <v>4961</v>
      </c>
      <c r="H246" s="11">
        <v>38200</v>
      </c>
      <c r="I246" s="11">
        <f>H246*'Unit Conversions'!$E$33</f>
        <v>3820000</v>
      </c>
    </row>
    <row r="247" spans="1:9">
      <c r="A247" t="s">
        <v>1966</v>
      </c>
      <c r="B247" t="s">
        <v>1967</v>
      </c>
      <c r="C247" t="s">
        <v>1502</v>
      </c>
      <c r="D247" t="s">
        <v>1503</v>
      </c>
      <c r="E247" s="11">
        <v>17150000</v>
      </c>
      <c r="F247" t="s">
        <v>4960</v>
      </c>
      <c r="G247" t="s">
        <v>4961</v>
      </c>
      <c r="H247" s="11">
        <v>235000</v>
      </c>
      <c r="I247" s="11">
        <f>H247*'Unit Conversions'!$E$33</f>
        <v>23500000</v>
      </c>
    </row>
    <row r="248" spans="1:9">
      <c r="A248" t="s">
        <v>1968</v>
      </c>
      <c r="B248" t="s">
        <v>1969</v>
      </c>
      <c r="C248" t="s">
        <v>1502</v>
      </c>
      <c r="D248" t="s">
        <v>1503</v>
      </c>
      <c r="E248" s="11">
        <v>838000</v>
      </c>
      <c r="F248" t="s">
        <v>4960</v>
      </c>
      <c r="G248" t="s">
        <v>4961</v>
      </c>
      <c r="H248" s="11">
        <v>49170</v>
      </c>
      <c r="I248" s="11">
        <f>H248*'Unit Conversions'!$E$33</f>
        <v>4917000</v>
      </c>
    </row>
    <row r="249" spans="1:9">
      <c r="A249" t="s">
        <v>1970</v>
      </c>
      <c r="B249" t="s">
        <v>1971</v>
      </c>
      <c r="C249" t="s">
        <v>1502</v>
      </c>
      <c r="D249" t="s">
        <v>1503</v>
      </c>
      <c r="E249" s="11">
        <v>1940000</v>
      </c>
      <c r="F249" t="s">
        <v>4960</v>
      </c>
      <c r="G249" t="s">
        <v>4961</v>
      </c>
      <c r="H249" s="11">
        <v>338380</v>
      </c>
      <c r="I249" s="11">
        <f>H249*'Unit Conversions'!$E$33</f>
        <v>33838000</v>
      </c>
    </row>
    <row r="250" spans="1:9">
      <c r="A250" t="s">
        <v>1972</v>
      </c>
      <c r="B250" t="s">
        <v>1973</v>
      </c>
      <c r="C250" t="s">
        <v>1502</v>
      </c>
      <c r="D250" t="s">
        <v>1503</v>
      </c>
      <c r="E250" s="11"/>
      <c r="F250" t="s">
        <v>4960</v>
      </c>
      <c r="G250" t="s">
        <v>4961</v>
      </c>
      <c r="H250" s="11">
        <v>6537806.1490000002</v>
      </c>
      <c r="I250" s="11">
        <f>H250*'Unit Conversions'!$E$33</f>
        <v>653780614.89999998</v>
      </c>
    </row>
    <row r="251" spans="1:9">
      <c r="A251" t="s">
        <v>1974</v>
      </c>
      <c r="B251" t="s">
        <v>1975</v>
      </c>
      <c r="C251" t="s">
        <v>1502</v>
      </c>
      <c r="D251" t="s">
        <v>1503</v>
      </c>
      <c r="E251" s="11">
        <v>111500</v>
      </c>
      <c r="F251" t="s">
        <v>4960</v>
      </c>
      <c r="G251" t="s">
        <v>4961</v>
      </c>
      <c r="H251" s="11">
        <v>3414</v>
      </c>
      <c r="I251" s="11">
        <f>H251*'Unit Conversions'!$E$33</f>
        <v>341400</v>
      </c>
    </row>
    <row r="252" spans="1:9">
      <c r="A252" t="s">
        <v>1976</v>
      </c>
      <c r="B252" t="s">
        <v>1977</v>
      </c>
      <c r="C252" t="s">
        <v>1502</v>
      </c>
      <c r="D252" t="s">
        <v>1503</v>
      </c>
      <c r="E252" s="11"/>
      <c r="F252" t="s">
        <v>4960</v>
      </c>
      <c r="G252" t="s">
        <v>4961</v>
      </c>
      <c r="H252" s="11">
        <v>1979511.47</v>
      </c>
      <c r="I252" s="11">
        <f>H252*'Unit Conversions'!$E$33</f>
        <v>197951147</v>
      </c>
    </row>
    <row r="253" spans="1:9">
      <c r="A253" t="s">
        <v>1978</v>
      </c>
      <c r="B253" t="s">
        <v>1979</v>
      </c>
      <c r="C253" t="s">
        <v>1502</v>
      </c>
      <c r="D253" t="s">
        <v>1503</v>
      </c>
      <c r="E253" s="11">
        <v>20000</v>
      </c>
      <c r="F253" t="s">
        <v>4960</v>
      </c>
      <c r="G253" t="s">
        <v>4961</v>
      </c>
      <c r="H253" s="11">
        <v>350</v>
      </c>
      <c r="I253" s="11">
        <f>H253*'Unit Conversions'!$E$33</f>
        <v>35000</v>
      </c>
    </row>
    <row r="254" spans="1:9">
      <c r="A254" t="s">
        <v>1980</v>
      </c>
      <c r="B254" t="s">
        <v>1981</v>
      </c>
      <c r="C254" t="s">
        <v>1502</v>
      </c>
      <c r="D254" t="s">
        <v>1503</v>
      </c>
      <c r="E254" s="11"/>
      <c r="F254" t="s">
        <v>4960</v>
      </c>
      <c r="G254" t="s">
        <v>4961</v>
      </c>
      <c r="H254" s="11">
        <v>2706638.48</v>
      </c>
      <c r="I254" s="11">
        <f>H254*'Unit Conversions'!$E$33</f>
        <v>270663848</v>
      </c>
    </row>
    <row r="255" spans="1:9">
      <c r="A255" t="s">
        <v>1982</v>
      </c>
      <c r="B255" t="s">
        <v>1983</v>
      </c>
      <c r="C255" t="s">
        <v>1502</v>
      </c>
      <c r="D255" t="s">
        <v>1503</v>
      </c>
      <c r="E255" s="11"/>
      <c r="F255" t="s">
        <v>4960</v>
      </c>
      <c r="G255" t="s">
        <v>4961</v>
      </c>
      <c r="H255" s="11">
        <v>10542626.279999999</v>
      </c>
      <c r="I255" s="11">
        <f>H255*'Unit Conversions'!$E$33</f>
        <v>1054262627.9999999</v>
      </c>
    </row>
    <row r="256" spans="1:9">
      <c r="A256" t="s">
        <v>1984</v>
      </c>
      <c r="B256" t="s">
        <v>1985</v>
      </c>
      <c r="C256" t="s">
        <v>1502</v>
      </c>
      <c r="D256" t="s">
        <v>1503</v>
      </c>
      <c r="E256" s="11">
        <v>25000</v>
      </c>
      <c r="F256" t="s">
        <v>4960</v>
      </c>
      <c r="G256" t="s">
        <v>4961</v>
      </c>
      <c r="H256" s="11">
        <v>540</v>
      </c>
      <c r="I256" s="11">
        <f>H256*'Unit Conversions'!$E$33</f>
        <v>54000</v>
      </c>
    </row>
    <row r="257" spans="1:9">
      <c r="A257" t="s">
        <v>1986</v>
      </c>
      <c r="B257" t="s">
        <v>1987</v>
      </c>
      <c r="C257" t="s">
        <v>1502</v>
      </c>
      <c r="D257" t="s">
        <v>1503</v>
      </c>
      <c r="E257" s="11">
        <v>2831300</v>
      </c>
      <c r="F257" t="s">
        <v>4960</v>
      </c>
      <c r="G257" t="s">
        <v>4961</v>
      </c>
      <c r="H257" s="11">
        <v>97005</v>
      </c>
      <c r="I257" s="11">
        <f>H257*'Unit Conversions'!$E$33</f>
        <v>9700500</v>
      </c>
    </row>
    <row r="258" spans="1:9">
      <c r="A258" t="s">
        <v>1988</v>
      </c>
      <c r="B258" t="s">
        <v>1989</v>
      </c>
      <c r="C258" t="s">
        <v>1502</v>
      </c>
      <c r="D258" t="s">
        <v>1503</v>
      </c>
      <c r="E258" s="11">
        <v>19881000</v>
      </c>
      <c r="F258" t="s">
        <v>4960</v>
      </c>
      <c r="G258" t="s">
        <v>4961</v>
      </c>
      <c r="H258" s="11">
        <v>380890</v>
      </c>
      <c r="I258" s="11">
        <f>H258*'Unit Conversions'!$E$33</f>
        <v>38089000</v>
      </c>
    </row>
    <row r="259" spans="1:9">
      <c r="A259" t="s">
        <v>1990</v>
      </c>
      <c r="B259" t="s">
        <v>1991</v>
      </c>
      <c r="C259" t="s">
        <v>1502</v>
      </c>
      <c r="D259" t="s">
        <v>1503</v>
      </c>
      <c r="E259" s="11"/>
      <c r="F259" t="s">
        <v>4960</v>
      </c>
      <c r="G259" t="s">
        <v>4961</v>
      </c>
      <c r="H259" s="11">
        <v>18</v>
      </c>
      <c r="I259" s="11">
        <f>H259*'Unit Conversions'!$E$33</f>
        <v>1800</v>
      </c>
    </row>
    <row r="260" spans="1:9">
      <c r="A260" t="s">
        <v>1992</v>
      </c>
      <c r="B260" t="s">
        <v>1993</v>
      </c>
      <c r="C260" t="s">
        <v>1502</v>
      </c>
      <c r="D260" t="s">
        <v>1503</v>
      </c>
      <c r="E260" s="11">
        <v>13502500</v>
      </c>
      <c r="F260" t="s">
        <v>4960</v>
      </c>
      <c r="G260" t="s">
        <v>4961</v>
      </c>
      <c r="H260" s="11">
        <v>395212</v>
      </c>
      <c r="I260" s="11">
        <f>H260*'Unit Conversions'!$E$33</f>
        <v>39521200</v>
      </c>
    </row>
    <row r="261" spans="1:9">
      <c r="A261" t="s">
        <v>1994</v>
      </c>
      <c r="B261" t="s">
        <v>1995</v>
      </c>
      <c r="C261" t="s">
        <v>1502</v>
      </c>
      <c r="D261" t="s">
        <v>1503</v>
      </c>
      <c r="E261" s="11">
        <v>6900000</v>
      </c>
      <c r="F261" t="s">
        <v>4960</v>
      </c>
      <c r="G261" t="s">
        <v>4961</v>
      </c>
      <c r="H261" s="11">
        <v>144150</v>
      </c>
      <c r="I261" s="11">
        <f>H261*'Unit Conversions'!$E$33</f>
        <v>14415000</v>
      </c>
    </row>
    <row r="262" spans="1:9">
      <c r="A262" t="s">
        <v>1996</v>
      </c>
      <c r="B262" t="s">
        <v>1997</v>
      </c>
      <c r="C262" t="s">
        <v>1502</v>
      </c>
      <c r="D262" t="s">
        <v>1503</v>
      </c>
      <c r="E262" s="11">
        <v>32924000</v>
      </c>
      <c r="F262" t="s">
        <v>4960</v>
      </c>
      <c r="G262" t="s">
        <v>4961</v>
      </c>
      <c r="H262" s="11">
        <v>413110</v>
      </c>
      <c r="I262" s="11">
        <f>H262*'Unit Conversions'!$E$33</f>
        <v>41311000</v>
      </c>
    </row>
    <row r="263" spans="1:9">
      <c r="A263" t="s">
        <v>1998</v>
      </c>
      <c r="B263" t="s">
        <v>1999</v>
      </c>
      <c r="C263" t="s">
        <v>1502</v>
      </c>
      <c r="D263" t="s">
        <v>1503</v>
      </c>
      <c r="E263" s="11"/>
      <c r="F263" t="s">
        <v>4960</v>
      </c>
      <c r="G263" t="s">
        <v>4961</v>
      </c>
      <c r="H263" s="11">
        <v>19023454.528999999</v>
      </c>
      <c r="I263" s="11">
        <f>H263*'Unit Conversions'!$E$33</f>
        <v>1902345452.8999999</v>
      </c>
    </row>
    <row r="264" spans="1:9">
      <c r="A264" t="s">
        <v>2000</v>
      </c>
      <c r="B264" t="s">
        <v>2001</v>
      </c>
      <c r="C264" t="s">
        <v>1502</v>
      </c>
      <c r="D264" t="s">
        <v>1503</v>
      </c>
      <c r="E264" s="11">
        <v>2030605</v>
      </c>
      <c r="F264" t="s">
        <v>4960</v>
      </c>
      <c r="G264" t="s">
        <v>4961</v>
      </c>
      <c r="H264" s="11">
        <v>140696.04999999999</v>
      </c>
      <c r="I264" s="11">
        <f>H264*'Unit Conversions'!$E$33</f>
        <v>14069604.999999998</v>
      </c>
    </row>
    <row r="265" spans="1:9">
      <c r="A265" t="s">
        <v>2</v>
      </c>
      <c r="B265" t="s">
        <v>2002</v>
      </c>
      <c r="C265" t="s">
        <v>1502</v>
      </c>
      <c r="D265" t="s">
        <v>1503</v>
      </c>
      <c r="E265" s="11">
        <v>157736800</v>
      </c>
      <c r="F265" t="s">
        <v>4960</v>
      </c>
      <c r="G265" t="s">
        <v>4961</v>
      </c>
      <c r="H265" s="11">
        <v>4058103.5380000002</v>
      </c>
      <c r="I265" s="11">
        <f>H265*'Unit Conversions'!$E$33</f>
        <v>405810353.80000001</v>
      </c>
    </row>
    <row r="266" spans="1:9">
      <c r="A266" t="s">
        <v>2003</v>
      </c>
      <c r="B266" t="s">
        <v>2004</v>
      </c>
      <c r="C266" t="s">
        <v>1502</v>
      </c>
      <c r="D266" t="s">
        <v>1503</v>
      </c>
      <c r="E266" s="11">
        <v>4016100</v>
      </c>
      <c r="F266" t="s">
        <v>4960</v>
      </c>
      <c r="G266" t="s">
        <v>4961</v>
      </c>
      <c r="H266" s="11">
        <v>256906</v>
      </c>
      <c r="I266" s="11">
        <f>H266*'Unit Conversions'!$E$33</f>
        <v>25690600</v>
      </c>
    </row>
    <row r="267" spans="1:9">
      <c r="A267" t="s">
        <v>2005</v>
      </c>
      <c r="B267" t="s">
        <v>2006</v>
      </c>
      <c r="C267" t="s">
        <v>1502</v>
      </c>
      <c r="D267" t="s">
        <v>1503</v>
      </c>
      <c r="E267" s="11">
        <v>2000</v>
      </c>
      <c r="F267" t="s">
        <v>4960</v>
      </c>
      <c r="G267" t="s">
        <v>4961</v>
      </c>
      <c r="H267" s="11">
        <v>70</v>
      </c>
      <c r="I267" s="11">
        <f>H267*'Unit Conversions'!$E$33</f>
        <v>7000</v>
      </c>
    </row>
    <row r="268" spans="1:9">
      <c r="A268" t="s">
        <v>2007</v>
      </c>
      <c r="B268" t="s">
        <v>2008</v>
      </c>
      <c r="C268" t="s">
        <v>1502</v>
      </c>
      <c r="D268" t="s">
        <v>1503</v>
      </c>
      <c r="E268" s="11">
        <v>2600000</v>
      </c>
      <c r="F268" t="s">
        <v>4960</v>
      </c>
      <c r="G268" t="s">
        <v>4961</v>
      </c>
      <c r="H268" s="11">
        <v>215000</v>
      </c>
      <c r="I268" s="11">
        <f>H268*'Unit Conversions'!$E$33</f>
        <v>21500000</v>
      </c>
    </row>
    <row r="269" spans="1:9">
      <c r="A269" t="s">
        <v>2009</v>
      </c>
      <c r="B269" t="s">
        <v>2010</v>
      </c>
      <c r="C269" t="s">
        <v>1502</v>
      </c>
      <c r="D269" t="s">
        <v>1503</v>
      </c>
      <c r="E269" s="11">
        <v>1000</v>
      </c>
      <c r="F269" t="s">
        <v>4960</v>
      </c>
      <c r="G269" t="s">
        <v>4961</v>
      </c>
      <c r="H269" s="11">
        <v>70</v>
      </c>
      <c r="I269" s="11">
        <f>H269*'Unit Conversions'!$E$33</f>
        <v>7000</v>
      </c>
    </row>
    <row r="270" spans="1:9">
      <c r="A270" t="s">
        <v>2011</v>
      </c>
      <c r="B270" t="s">
        <v>2012</v>
      </c>
      <c r="C270" t="s">
        <v>1502</v>
      </c>
      <c r="D270" t="s">
        <v>1503</v>
      </c>
      <c r="E270" s="11">
        <v>900</v>
      </c>
      <c r="F270" t="s">
        <v>4960</v>
      </c>
      <c r="G270" t="s">
        <v>4961</v>
      </c>
      <c r="H270" s="11">
        <v>33</v>
      </c>
      <c r="I270" s="11">
        <f>H270*'Unit Conversions'!$E$33</f>
        <v>3300</v>
      </c>
    </row>
    <row r="271" spans="1:9">
      <c r="A271" t="s">
        <v>2013</v>
      </c>
      <c r="B271" t="s">
        <v>2014</v>
      </c>
      <c r="C271" t="s">
        <v>1502</v>
      </c>
      <c r="D271" t="s">
        <v>1503</v>
      </c>
      <c r="E271" s="11">
        <v>6787000</v>
      </c>
      <c r="F271" t="s">
        <v>4960</v>
      </c>
      <c r="G271" t="s">
        <v>4961</v>
      </c>
      <c r="H271" s="11">
        <v>123600</v>
      </c>
      <c r="I271" s="11">
        <f>H271*'Unit Conversions'!$E$33</f>
        <v>12360000</v>
      </c>
    </row>
    <row r="272" spans="1:9">
      <c r="A272" t="s">
        <v>2015</v>
      </c>
      <c r="B272" t="s">
        <v>2016</v>
      </c>
      <c r="C272" t="s">
        <v>1502</v>
      </c>
      <c r="D272" t="s">
        <v>1503</v>
      </c>
      <c r="E272" s="11">
        <v>20000</v>
      </c>
      <c r="F272" t="s">
        <v>4960</v>
      </c>
      <c r="G272" t="s">
        <v>4961</v>
      </c>
      <c r="H272" s="11">
        <v>1870</v>
      </c>
      <c r="I272" s="11">
        <f>H272*'Unit Conversions'!$E$33</f>
        <v>187000</v>
      </c>
    </row>
    <row r="273" spans="1:9">
      <c r="A273" t="s">
        <v>265</v>
      </c>
      <c r="B273" t="s">
        <v>2017</v>
      </c>
      <c r="C273" t="s">
        <v>1502</v>
      </c>
      <c r="D273" t="s">
        <v>1503</v>
      </c>
      <c r="E273" s="11"/>
      <c r="F273" t="s">
        <v>4960</v>
      </c>
      <c r="G273" t="s">
        <v>4961</v>
      </c>
      <c r="H273" s="11">
        <v>47812049.112999998</v>
      </c>
      <c r="I273" s="11">
        <f>H273*'Unit Conversions'!$E$33</f>
        <v>4781204911.3000002</v>
      </c>
    </row>
    <row r="274" spans="1:9">
      <c r="A274" t="s">
        <v>2018</v>
      </c>
      <c r="B274" t="s">
        <v>2019</v>
      </c>
      <c r="C274" t="s">
        <v>1502</v>
      </c>
      <c r="D274" t="s">
        <v>1503</v>
      </c>
      <c r="E274" s="11">
        <v>11290</v>
      </c>
      <c r="F274" t="s">
        <v>4960</v>
      </c>
      <c r="G274" t="s">
        <v>4961</v>
      </c>
      <c r="H274" s="11">
        <v>494.1</v>
      </c>
      <c r="I274" s="11">
        <f>H274*'Unit Conversions'!$E$33</f>
        <v>49410</v>
      </c>
    </row>
    <row r="275" spans="1:9">
      <c r="A275" t="s">
        <v>2020</v>
      </c>
      <c r="B275" t="s">
        <v>2021</v>
      </c>
      <c r="C275" t="s">
        <v>1502</v>
      </c>
      <c r="D275" t="s">
        <v>1503</v>
      </c>
      <c r="E275" s="11"/>
      <c r="F275" t="s">
        <v>4960</v>
      </c>
      <c r="G275" t="s">
        <v>4961</v>
      </c>
      <c r="H275" s="11"/>
      <c r="I275" s="11">
        <f>H275*'Unit Conversions'!$E$33</f>
        <v>0</v>
      </c>
    </row>
    <row r="276" spans="1:9">
      <c r="A276" t="s">
        <v>2022</v>
      </c>
      <c r="B276" t="s">
        <v>2023</v>
      </c>
      <c r="C276" t="s">
        <v>1502</v>
      </c>
      <c r="D276" t="s">
        <v>1503</v>
      </c>
      <c r="E276" s="11">
        <v>1158000</v>
      </c>
      <c r="F276" t="s">
        <v>4960</v>
      </c>
      <c r="G276" t="s">
        <v>4961</v>
      </c>
      <c r="H276" s="11">
        <v>234520</v>
      </c>
      <c r="I276" s="11">
        <f>H276*'Unit Conversions'!$E$33</f>
        <v>23452000</v>
      </c>
    </row>
    <row r="277" spans="1:9">
      <c r="A277" t="s">
        <v>2024</v>
      </c>
      <c r="B277" t="s">
        <v>2025</v>
      </c>
      <c r="C277" t="s">
        <v>1502</v>
      </c>
      <c r="D277" t="s">
        <v>1503</v>
      </c>
      <c r="E277" s="11">
        <v>12000000</v>
      </c>
      <c r="F277" t="s">
        <v>4960</v>
      </c>
      <c r="G277" t="s">
        <v>4961</v>
      </c>
      <c r="H277" s="11">
        <v>963410</v>
      </c>
      <c r="I277" s="11">
        <f>H277*'Unit Conversions'!$E$33</f>
        <v>96341000</v>
      </c>
    </row>
    <row r="278" spans="1:9">
      <c r="A278" t="s">
        <v>2026</v>
      </c>
      <c r="B278" t="s">
        <v>2027</v>
      </c>
      <c r="C278" t="s">
        <v>1502</v>
      </c>
      <c r="D278" t="s">
        <v>1503</v>
      </c>
      <c r="E278" s="11">
        <v>3800000</v>
      </c>
      <c r="F278" t="s">
        <v>4960</v>
      </c>
      <c r="G278" t="s">
        <v>4961</v>
      </c>
      <c r="H278" s="11">
        <v>238390</v>
      </c>
      <c r="I278" s="11">
        <f>H278*'Unit Conversions'!$E$33</f>
        <v>23839000</v>
      </c>
    </row>
    <row r="279" spans="1:9">
      <c r="A279" t="s">
        <v>2028</v>
      </c>
      <c r="B279" t="s">
        <v>2029</v>
      </c>
      <c r="C279" t="s">
        <v>1502</v>
      </c>
      <c r="D279" t="s">
        <v>1503</v>
      </c>
      <c r="E279" s="11">
        <v>4000000</v>
      </c>
      <c r="F279" t="s">
        <v>4960</v>
      </c>
      <c r="G279" t="s">
        <v>4961</v>
      </c>
      <c r="H279" s="11">
        <v>162000</v>
      </c>
      <c r="I279" s="11">
        <f>H279*'Unit Conversions'!$E$33</f>
        <v>16200000</v>
      </c>
    </row>
  </sheetData>
  <mergeCells count="2">
    <mergeCell ref="A6:J6"/>
    <mergeCell ref="A9:J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21CD7-3634-4940-9A5E-E413B77D2030}">
  <sheetPr codeName="Sheet22"/>
  <dimension ref="A1:I111"/>
  <sheetViews>
    <sheetView workbookViewId="0"/>
  </sheetViews>
  <sheetFormatPr baseColWidth="10" defaultColWidth="8.83203125" defaultRowHeight="15"/>
  <cols>
    <col min="1" max="1" width="26.1640625" customWidth="1"/>
    <col min="2" max="2" width="23.33203125" customWidth="1"/>
    <col min="3" max="3" width="13.5" customWidth="1"/>
    <col min="5" max="5" width="20.5" customWidth="1"/>
    <col min="6" max="6" width="28.6640625" style="15" customWidth="1"/>
    <col min="7" max="7" width="10.5" customWidth="1"/>
    <col min="8" max="8" width="9.6640625" customWidth="1"/>
  </cols>
  <sheetData>
    <row r="1" spans="1:2">
      <c r="A1" s="24" t="s">
        <v>4731</v>
      </c>
      <c r="B1" s="25"/>
    </row>
    <row r="2" spans="1:2">
      <c r="A2" s="16" t="s">
        <v>4725</v>
      </c>
      <c r="B2" s="16" t="s">
        <v>4726</v>
      </c>
    </row>
    <row r="3" spans="1:2">
      <c r="A3" s="16">
        <v>1</v>
      </c>
      <c r="B3" s="16" t="s">
        <v>38</v>
      </c>
    </row>
    <row r="4" spans="1:2">
      <c r="A4" s="16" t="s">
        <v>4722</v>
      </c>
      <c r="B4" s="16" t="s">
        <v>4727</v>
      </c>
    </row>
    <row r="5" spans="1:2">
      <c r="A5" s="16" t="s">
        <v>4723</v>
      </c>
      <c r="B5" s="16" t="s">
        <v>4140</v>
      </c>
    </row>
    <row r="6" spans="1:2">
      <c r="A6" s="16" t="s">
        <v>4719</v>
      </c>
      <c r="B6" s="16" t="s">
        <v>4612</v>
      </c>
    </row>
    <row r="7" spans="1:2">
      <c r="A7" s="16" t="s">
        <v>4720</v>
      </c>
      <c r="B7" s="16" t="s">
        <v>4728</v>
      </c>
    </row>
    <row r="8" spans="1:2">
      <c r="A8" s="16" t="s">
        <v>4721</v>
      </c>
      <c r="B8" s="16" t="s">
        <v>4729</v>
      </c>
    </row>
    <row r="9" spans="1:2">
      <c r="A9" s="16" t="s">
        <v>4724</v>
      </c>
      <c r="B9" s="16" t="s">
        <v>4730</v>
      </c>
    </row>
    <row r="10" spans="1:2">
      <c r="A10" s="16">
        <v>2</v>
      </c>
      <c r="B10" t="s">
        <v>4699</v>
      </c>
    </row>
    <row r="11" spans="1:2">
      <c r="A11" s="1742" t="s">
        <v>4643</v>
      </c>
      <c r="B11" s="1732" t="s">
        <v>4707</v>
      </c>
    </row>
    <row r="12" spans="1:2">
      <c r="A12" s="1742" t="s">
        <v>4644</v>
      </c>
      <c r="B12" s="1732" t="s">
        <v>4708</v>
      </c>
    </row>
    <row r="13" spans="1:2">
      <c r="A13" s="1742" t="s">
        <v>4700</v>
      </c>
      <c r="B13" s="1732" t="s">
        <v>4709</v>
      </c>
    </row>
    <row r="14" spans="1:2">
      <c r="A14" s="16" t="s">
        <v>4701</v>
      </c>
      <c r="B14" t="s">
        <v>4710</v>
      </c>
    </row>
    <row r="15" spans="1:2">
      <c r="A15" s="16" t="s">
        <v>4702</v>
      </c>
      <c r="B15" t="s">
        <v>4711</v>
      </c>
    </row>
    <row r="16" spans="1:2">
      <c r="A16" s="16" t="s">
        <v>4706</v>
      </c>
      <c r="B16" t="s">
        <v>4712</v>
      </c>
    </row>
    <row r="17" spans="1:9">
      <c r="A17" s="16" t="s">
        <v>4703</v>
      </c>
      <c r="B17" t="s">
        <v>4718</v>
      </c>
    </row>
    <row r="18" spans="1:9">
      <c r="A18" s="16" t="s">
        <v>4704</v>
      </c>
      <c r="B18" t="s">
        <v>453</v>
      </c>
    </row>
    <row r="19" spans="1:9">
      <c r="A19" s="16" t="s">
        <v>4713</v>
      </c>
      <c r="B19" t="s">
        <v>4717</v>
      </c>
    </row>
    <row r="20" spans="1:9">
      <c r="A20" s="16" t="s">
        <v>4705</v>
      </c>
      <c r="B20" t="s">
        <v>4716</v>
      </c>
    </row>
    <row r="21" spans="1:9">
      <c r="A21" s="16" t="s">
        <v>4714</v>
      </c>
      <c r="B21" t="s">
        <v>4715</v>
      </c>
    </row>
    <row r="22" spans="1:9">
      <c r="A22" s="16">
        <v>4</v>
      </c>
      <c r="B22" t="s">
        <v>3980</v>
      </c>
    </row>
    <row r="23" spans="1:9">
      <c r="A23" s="16">
        <v>5</v>
      </c>
      <c r="B23" t="s">
        <v>453</v>
      </c>
    </row>
    <row r="24" spans="1:9">
      <c r="A24" s="16"/>
    </row>
    <row r="25" spans="1:9" s="3" customFormat="1">
      <c r="A25" s="24" t="s">
        <v>4636</v>
      </c>
      <c r="B25" s="24" t="s">
        <v>4637</v>
      </c>
      <c r="C25" s="24" t="s">
        <v>4638</v>
      </c>
      <c r="D25" s="24" t="s">
        <v>4639</v>
      </c>
      <c r="E25" s="24" t="s">
        <v>1130</v>
      </c>
      <c r="F25" s="1744" t="s">
        <v>4640</v>
      </c>
      <c r="G25" s="24">
        <v>2020</v>
      </c>
      <c r="H25" s="24">
        <v>2021</v>
      </c>
      <c r="I25" s="24">
        <v>2022</v>
      </c>
    </row>
    <row r="26" spans="1:9">
      <c r="A26" t="s">
        <v>5536</v>
      </c>
      <c r="B26" t="s">
        <v>4641</v>
      </c>
      <c r="C26" t="s">
        <v>1582</v>
      </c>
      <c r="D26" t="s">
        <v>122</v>
      </c>
      <c r="E26" t="s">
        <v>4642</v>
      </c>
      <c r="F26" s="15">
        <v>1</v>
      </c>
      <c r="G26">
        <v>10000000</v>
      </c>
      <c r="H26">
        <v>10500000</v>
      </c>
      <c r="I26">
        <v>10500000</v>
      </c>
    </row>
    <row r="27" spans="1:9">
      <c r="A27" t="s">
        <v>5536</v>
      </c>
      <c r="B27" t="s">
        <v>4641</v>
      </c>
      <c r="C27" t="s">
        <v>1582</v>
      </c>
      <c r="D27" t="s">
        <v>122</v>
      </c>
      <c r="E27" t="s">
        <v>4642</v>
      </c>
      <c r="F27" s="15" t="s">
        <v>4722</v>
      </c>
      <c r="G27">
        <v>9700000</v>
      </c>
      <c r="H27">
        <v>10100000</v>
      </c>
      <c r="I27">
        <v>10100000</v>
      </c>
    </row>
    <row r="28" spans="1:9">
      <c r="A28" t="s">
        <v>5536</v>
      </c>
      <c r="B28" t="s">
        <v>4641</v>
      </c>
      <c r="C28" t="s">
        <v>1582</v>
      </c>
      <c r="D28" t="s">
        <v>122</v>
      </c>
      <c r="E28" t="s">
        <v>4642</v>
      </c>
      <c r="F28" s="15" t="s">
        <v>4723</v>
      </c>
      <c r="G28">
        <v>347000</v>
      </c>
      <c r="H28">
        <v>338000</v>
      </c>
      <c r="I28">
        <v>361000</v>
      </c>
    </row>
    <row r="29" spans="1:9">
      <c r="A29" t="s">
        <v>5536</v>
      </c>
      <c r="B29" t="s">
        <v>4641</v>
      </c>
      <c r="C29" t="s">
        <v>1582</v>
      </c>
      <c r="D29" t="s">
        <v>122</v>
      </c>
      <c r="E29" t="s">
        <v>4642</v>
      </c>
      <c r="F29" s="15" t="s">
        <v>4719</v>
      </c>
      <c r="G29">
        <v>342000</v>
      </c>
      <c r="H29">
        <v>332000</v>
      </c>
      <c r="I29">
        <v>356000</v>
      </c>
    </row>
    <row r="30" spans="1:9">
      <c r="A30" t="s">
        <v>5536</v>
      </c>
      <c r="B30" t="s">
        <v>4641</v>
      </c>
      <c r="C30" t="s">
        <v>1582</v>
      </c>
      <c r="D30" t="s">
        <v>122</v>
      </c>
      <c r="E30" t="s">
        <v>4642</v>
      </c>
      <c r="F30" s="15" t="s">
        <v>4720</v>
      </c>
      <c r="G30">
        <v>5800</v>
      </c>
      <c r="H30">
        <v>5400</v>
      </c>
      <c r="I30">
        <v>5000</v>
      </c>
    </row>
    <row r="31" spans="1:9">
      <c r="A31" t="s">
        <v>5536</v>
      </c>
      <c r="B31" t="s">
        <v>4641</v>
      </c>
      <c r="C31" t="s">
        <v>1582</v>
      </c>
      <c r="D31" t="s">
        <v>122</v>
      </c>
      <c r="E31" t="s">
        <v>4642</v>
      </c>
      <c r="F31" s="15">
        <v>2</v>
      </c>
      <c r="G31">
        <v>1480000</v>
      </c>
      <c r="H31">
        <v>1470000</v>
      </c>
      <c r="I31">
        <v>1390000</v>
      </c>
    </row>
    <row r="32" spans="1:9">
      <c r="A32" t="s">
        <v>5536</v>
      </c>
      <c r="B32" t="s">
        <v>4641</v>
      </c>
      <c r="C32" t="s">
        <v>1582</v>
      </c>
      <c r="D32" t="s">
        <v>122</v>
      </c>
      <c r="E32" t="s">
        <v>4642</v>
      </c>
      <c r="F32" s="59" t="s">
        <v>4643</v>
      </c>
      <c r="G32">
        <v>1010000</v>
      </c>
      <c r="H32">
        <v>1000000</v>
      </c>
      <c r="I32">
        <v>897000</v>
      </c>
    </row>
    <row r="33" spans="1:9">
      <c r="A33" t="s">
        <v>5536</v>
      </c>
      <c r="B33" t="s">
        <v>4641</v>
      </c>
      <c r="C33" t="s">
        <v>1582</v>
      </c>
      <c r="D33" t="s">
        <v>122</v>
      </c>
      <c r="E33" t="s">
        <v>4642</v>
      </c>
      <c r="F33" s="59" t="s">
        <v>4644</v>
      </c>
      <c r="G33">
        <v>144000</v>
      </c>
      <c r="H33">
        <v>150000</v>
      </c>
      <c r="I33">
        <v>161000</v>
      </c>
    </row>
    <row r="34" spans="1:9">
      <c r="A34" t="s">
        <v>5536</v>
      </c>
      <c r="B34" t="s">
        <v>4641</v>
      </c>
      <c r="C34" t="s">
        <v>1582</v>
      </c>
      <c r="D34" t="s">
        <v>122</v>
      </c>
      <c r="E34" t="s">
        <v>4642</v>
      </c>
      <c r="F34" s="59" t="s">
        <v>4700</v>
      </c>
      <c r="G34">
        <v>296000</v>
      </c>
      <c r="H34">
        <v>289000</v>
      </c>
      <c r="I34">
        <v>305000</v>
      </c>
    </row>
    <row r="35" spans="1:9">
      <c r="A35" t="s">
        <v>5536</v>
      </c>
      <c r="B35" t="s">
        <v>4641</v>
      </c>
      <c r="C35" t="s">
        <v>1582</v>
      </c>
      <c r="D35" t="s">
        <v>122</v>
      </c>
      <c r="E35" t="s">
        <v>4642</v>
      </c>
      <c r="F35" s="15" t="s">
        <v>4701</v>
      </c>
      <c r="G35">
        <v>26600</v>
      </c>
      <c r="H35">
        <v>28600</v>
      </c>
      <c r="I35">
        <v>26900</v>
      </c>
    </row>
    <row r="36" spans="1:9">
      <c r="A36" t="s">
        <v>5536</v>
      </c>
      <c r="B36" t="s">
        <v>4641</v>
      </c>
      <c r="C36" t="s">
        <v>1582</v>
      </c>
      <c r="D36" t="s">
        <v>122</v>
      </c>
      <c r="E36" t="s">
        <v>4642</v>
      </c>
      <c r="F36" s="15">
        <v>4</v>
      </c>
      <c r="G36">
        <v>27700</v>
      </c>
      <c r="H36">
        <v>28300</v>
      </c>
      <c r="I36">
        <v>31100</v>
      </c>
    </row>
    <row r="37" spans="1:9">
      <c r="A37" t="s">
        <v>5536</v>
      </c>
      <c r="B37" t="s">
        <v>4641</v>
      </c>
      <c r="C37" t="s">
        <v>1582</v>
      </c>
      <c r="D37" t="s">
        <v>122</v>
      </c>
      <c r="E37" t="s">
        <v>4642</v>
      </c>
      <c r="F37" s="15">
        <v>5</v>
      </c>
      <c r="G37">
        <v>28400</v>
      </c>
      <c r="H37">
        <v>28400</v>
      </c>
      <c r="I37">
        <v>28400</v>
      </c>
    </row>
    <row r="38" spans="1:9">
      <c r="A38" t="s">
        <v>5536</v>
      </c>
      <c r="B38" t="s">
        <v>4641</v>
      </c>
      <c r="C38" t="s">
        <v>1582</v>
      </c>
      <c r="D38" t="s">
        <v>122</v>
      </c>
      <c r="E38" t="s">
        <v>4642</v>
      </c>
      <c r="F38" s="15" t="s">
        <v>4725</v>
      </c>
      <c r="G38">
        <v>11600000</v>
      </c>
      <c r="H38">
        <v>12000000</v>
      </c>
      <c r="I38">
        <v>11900000</v>
      </c>
    </row>
    <row r="39" spans="1:9">
      <c r="A39" t="s">
        <v>5536</v>
      </c>
      <c r="B39" t="s">
        <v>4641</v>
      </c>
      <c r="C39" t="s">
        <v>1582</v>
      </c>
      <c r="D39" t="s">
        <v>122</v>
      </c>
      <c r="E39" t="s">
        <v>4642</v>
      </c>
      <c r="F39" s="15" t="s">
        <v>4713</v>
      </c>
      <c r="G39">
        <v>15600</v>
      </c>
      <c r="H39">
        <v>15600</v>
      </c>
      <c r="I39">
        <v>14800</v>
      </c>
    </row>
    <row r="40" spans="1:9">
      <c r="A40" t="s">
        <v>5536</v>
      </c>
      <c r="B40" t="s">
        <v>4641</v>
      </c>
      <c r="C40" t="s">
        <v>1582</v>
      </c>
      <c r="D40" t="s">
        <v>122</v>
      </c>
      <c r="E40" t="s">
        <v>4642</v>
      </c>
      <c r="F40" s="15" t="s">
        <v>4714</v>
      </c>
      <c r="G40">
        <v>15600</v>
      </c>
      <c r="H40">
        <v>15600</v>
      </c>
      <c r="I40">
        <v>14800</v>
      </c>
    </row>
    <row r="41" spans="1:9">
      <c r="A41" t="s">
        <v>5536</v>
      </c>
      <c r="B41" t="s">
        <v>4641</v>
      </c>
      <c r="C41" t="s">
        <v>4645</v>
      </c>
      <c r="D41" t="s">
        <v>122</v>
      </c>
      <c r="E41" t="s">
        <v>4642</v>
      </c>
      <c r="F41" s="15">
        <v>1</v>
      </c>
      <c r="G41">
        <v>31500000</v>
      </c>
      <c r="H41">
        <v>33100000</v>
      </c>
      <c r="I41">
        <v>33500000</v>
      </c>
    </row>
    <row r="42" spans="1:9">
      <c r="A42" t="s">
        <v>5536</v>
      </c>
      <c r="B42" t="s">
        <v>4641</v>
      </c>
      <c r="C42" t="s">
        <v>4645</v>
      </c>
      <c r="D42" t="s">
        <v>122</v>
      </c>
      <c r="E42" t="s">
        <v>4642</v>
      </c>
      <c r="F42" s="15" t="s">
        <v>4722</v>
      </c>
      <c r="G42">
        <v>30600000</v>
      </c>
      <c r="H42">
        <v>32200000</v>
      </c>
      <c r="I42">
        <v>32600000</v>
      </c>
    </row>
    <row r="43" spans="1:9">
      <c r="A43" t="s">
        <v>5536</v>
      </c>
      <c r="B43" t="s">
        <v>4641</v>
      </c>
      <c r="C43" t="s">
        <v>4645</v>
      </c>
      <c r="D43" t="s">
        <v>122</v>
      </c>
      <c r="E43" t="s">
        <v>4642</v>
      </c>
      <c r="F43" s="15" t="s">
        <v>4723</v>
      </c>
      <c r="G43">
        <v>895000</v>
      </c>
      <c r="H43">
        <v>900000</v>
      </c>
      <c r="I43">
        <v>910000</v>
      </c>
    </row>
    <row r="44" spans="1:9">
      <c r="A44" t="s">
        <v>5536</v>
      </c>
      <c r="B44" t="s">
        <v>4641</v>
      </c>
      <c r="C44" t="s">
        <v>4645</v>
      </c>
      <c r="D44" t="s">
        <v>122</v>
      </c>
      <c r="E44" t="s">
        <v>4642</v>
      </c>
      <c r="F44" s="15" t="s">
        <v>4719</v>
      </c>
      <c r="G44">
        <v>386000</v>
      </c>
      <c r="H44">
        <v>381000</v>
      </c>
      <c r="I44">
        <v>409000</v>
      </c>
    </row>
    <row r="45" spans="1:9">
      <c r="A45" t="s">
        <v>5536</v>
      </c>
      <c r="B45" t="s">
        <v>4641</v>
      </c>
      <c r="C45" t="s">
        <v>4645</v>
      </c>
      <c r="D45" t="s">
        <v>122</v>
      </c>
      <c r="E45" t="s">
        <v>4642</v>
      </c>
      <c r="F45" s="15" t="s">
        <v>4720</v>
      </c>
      <c r="G45">
        <v>464000</v>
      </c>
      <c r="H45">
        <v>473000</v>
      </c>
      <c r="I45">
        <v>455000</v>
      </c>
    </row>
    <row r="46" spans="1:9">
      <c r="A46" t="s">
        <v>5536</v>
      </c>
      <c r="B46" t="s">
        <v>4641</v>
      </c>
      <c r="C46" t="s">
        <v>4645</v>
      </c>
      <c r="D46" t="s">
        <v>122</v>
      </c>
      <c r="E46" t="s">
        <v>4642</v>
      </c>
      <c r="F46" s="15" t="s">
        <v>4721</v>
      </c>
      <c r="G46">
        <v>45400</v>
      </c>
      <c r="H46">
        <v>45100</v>
      </c>
      <c r="I46">
        <v>45200</v>
      </c>
    </row>
    <row r="47" spans="1:9">
      <c r="A47" t="s">
        <v>5536</v>
      </c>
      <c r="B47" t="s">
        <v>4641</v>
      </c>
      <c r="C47" t="s">
        <v>4645</v>
      </c>
      <c r="D47" t="s">
        <v>122</v>
      </c>
      <c r="E47" t="s">
        <v>4642</v>
      </c>
      <c r="F47" s="15" t="s">
        <v>4724</v>
      </c>
      <c r="G47">
        <v>16.7</v>
      </c>
      <c r="H47">
        <v>6.09</v>
      </c>
      <c r="I47">
        <v>4.1500000000000004</v>
      </c>
    </row>
    <row r="48" spans="1:9">
      <c r="A48" t="s">
        <v>5536</v>
      </c>
      <c r="B48" t="s">
        <v>4641</v>
      </c>
      <c r="C48" t="s">
        <v>4645</v>
      </c>
      <c r="D48" t="s">
        <v>122</v>
      </c>
      <c r="E48" t="s">
        <v>4642</v>
      </c>
      <c r="F48" s="15">
        <v>2</v>
      </c>
      <c r="G48">
        <v>3380000</v>
      </c>
      <c r="H48">
        <v>3510000</v>
      </c>
      <c r="I48">
        <v>3420000</v>
      </c>
    </row>
    <row r="49" spans="1:9">
      <c r="A49" t="s">
        <v>5536</v>
      </c>
      <c r="B49" t="s">
        <v>4641</v>
      </c>
      <c r="C49" t="s">
        <v>4645</v>
      </c>
      <c r="D49" t="s">
        <v>122</v>
      </c>
      <c r="E49" t="s">
        <v>4642</v>
      </c>
      <c r="F49" s="59" t="s">
        <v>4643</v>
      </c>
      <c r="G49">
        <v>1960000</v>
      </c>
      <c r="H49">
        <v>2030000</v>
      </c>
      <c r="I49">
        <v>1920000</v>
      </c>
    </row>
    <row r="50" spans="1:9">
      <c r="A50" t="s">
        <v>5536</v>
      </c>
      <c r="B50" t="s">
        <v>4641</v>
      </c>
      <c r="C50" t="s">
        <v>4645</v>
      </c>
      <c r="D50" t="s">
        <v>122</v>
      </c>
      <c r="E50" t="s">
        <v>4642</v>
      </c>
      <c r="F50" s="59" t="s">
        <v>4644</v>
      </c>
      <c r="G50">
        <v>525000</v>
      </c>
      <c r="H50">
        <v>537000</v>
      </c>
      <c r="I50">
        <v>559000</v>
      </c>
    </row>
    <row r="51" spans="1:9">
      <c r="A51" t="s">
        <v>5536</v>
      </c>
      <c r="B51" t="s">
        <v>4641</v>
      </c>
      <c r="C51" t="s">
        <v>4645</v>
      </c>
      <c r="D51" t="s">
        <v>122</v>
      </c>
      <c r="E51" t="s">
        <v>4642</v>
      </c>
      <c r="F51" s="59" t="s">
        <v>4700</v>
      </c>
      <c r="G51">
        <v>811000</v>
      </c>
      <c r="H51">
        <v>856000</v>
      </c>
      <c r="I51">
        <v>842000</v>
      </c>
    </row>
    <row r="52" spans="1:9">
      <c r="A52" t="s">
        <v>5536</v>
      </c>
      <c r="B52" t="s">
        <v>4641</v>
      </c>
      <c r="C52" t="s">
        <v>4645</v>
      </c>
      <c r="D52" t="s">
        <v>122</v>
      </c>
      <c r="E52" t="s">
        <v>4642</v>
      </c>
      <c r="F52" s="15" t="s">
        <v>4701</v>
      </c>
      <c r="G52">
        <v>80300</v>
      </c>
      <c r="H52">
        <v>84500</v>
      </c>
      <c r="I52">
        <v>83700</v>
      </c>
    </row>
    <row r="53" spans="1:9">
      <c r="A53" t="s">
        <v>5536</v>
      </c>
      <c r="B53" t="s">
        <v>4641</v>
      </c>
      <c r="C53" t="s">
        <v>4645</v>
      </c>
      <c r="D53" t="s">
        <v>122</v>
      </c>
      <c r="E53" t="s">
        <v>4642</v>
      </c>
      <c r="F53" s="15" t="s">
        <v>4703</v>
      </c>
      <c r="G53">
        <v>158</v>
      </c>
      <c r="H53">
        <v>156</v>
      </c>
      <c r="I53">
        <v>157</v>
      </c>
    </row>
    <row r="54" spans="1:9">
      <c r="A54" t="s">
        <v>5536</v>
      </c>
      <c r="B54" t="s">
        <v>4641</v>
      </c>
      <c r="C54" t="s">
        <v>4645</v>
      </c>
      <c r="D54" t="s">
        <v>122</v>
      </c>
      <c r="E54" t="s">
        <v>4642</v>
      </c>
      <c r="F54" s="15" t="s">
        <v>4704</v>
      </c>
      <c r="G54">
        <v>8180</v>
      </c>
      <c r="H54">
        <v>8370</v>
      </c>
      <c r="I54">
        <v>8600</v>
      </c>
    </row>
    <row r="55" spans="1:9">
      <c r="A55" t="s">
        <v>5536</v>
      </c>
      <c r="B55" t="s">
        <v>4641</v>
      </c>
      <c r="C55" t="s">
        <v>4645</v>
      </c>
      <c r="D55" t="s">
        <v>122</v>
      </c>
      <c r="E55" t="s">
        <v>4642</v>
      </c>
      <c r="F55" s="15">
        <v>4</v>
      </c>
      <c r="G55">
        <v>57500</v>
      </c>
      <c r="H55">
        <v>58400</v>
      </c>
      <c r="I55">
        <v>61200</v>
      </c>
    </row>
    <row r="56" spans="1:9">
      <c r="A56" t="s">
        <v>5536</v>
      </c>
      <c r="B56" t="s">
        <v>4641</v>
      </c>
      <c r="C56" t="s">
        <v>4645</v>
      </c>
      <c r="D56" t="s">
        <v>122</v>
      </c>
      <c r="E56" t="s">
        <v>4642</v>
      </c>
      <c r="F56" s="15">
        <v>5</v>
      </c>
      <c r="G56">
        <v>47300</v>
      </c>
      <c r="H56">
        <v>47300</v>
      </c>
      <c r="I56">
        <v>47300</v>
      </c>
    </row>
    <row r="57" spans="1:9">
      <c r="A57" t="s">
        <v>5536</v>
      </c>
      <c r="B57" t="s">
        <v>4641</v>
      </c>
      <c r="C57" t="s">
        <v>4645</v>
      </c>
      <c r="D57" t="s">
        <v>122</v>
      </c>
      <c r="E57" t="s">
        <v>4642</v>
      </c>
      <c r="F57" s="15" t="s">
        <v>4725</v>
      </c>
      <c r="G57">
        <v>35100000</v>
      </c>
      <c r="H57">
        <v>36900000</v>
      </c>
      <c r="I57">
        <v>37100000</v>
      </c>
    </row>
    <row r="58" spans="1:9">
      <c r="A58" t="s">
        <v>5536</v>
      </c>
      <c r="B58" t="s">
        <v>4641</v>
      </c>
      <c r="C58" t="s">
        <v>4645</v>
      </c>
      <c r="D58" t="s">
        <v>122</v>
      </c>
      <c r="E58" t="s">
        <v>4642</v>
      </c>
      <c r="F58" s="15" t="s">
        <v>4713</v>
      </c>
      <c r="G58">
        <v>132000</v>
      </c>
      <c r="H58">
        <v>132000</v>
      </c>
      <c r="I58">
        <v>134000</v>
      </c>
    </row>
    <row r="59" spans="1:9">
      <c r="A59" t="s">
        <v>5536</v>
      </c>
      <c r="B59" t="s">
        <v>4641</v>
      </c>
      <c r="C59" t="s">
        <v>4645</v>
      </c>
      <c r="D59" t="s">
        <v>122</v>
      </c>
      <c r="E59" t="s">
        <v>4642</v>
      </c>
      <c r="F59" s="15" t="s">
        <v>4714</v>
      </c>
      <c r="G59">
        <v>132000</v>
      </c>
      <c r="H59">
        <v>132000</v>
      </c>
      <c r="I59">
        <v>134000</v>
      </c>
    </row>
    <row r="60" spans="1:9">
      <c r="A60" t="s">
        <v>5536</v>
      </c>
      <c r="B60" t="s">
        <v>4641</v>
      </c>
      <c r="C60" t="s">
        <v>4646</v>
      </c>
      <c r="D60" t="s">
        <v>122</v>
      </c>
      <c r="E60" t="s">
        <v>4642</v>
      </c>
      <c r="F60" s="15">
        <v>1</v>
      </c>
      <c r="G60">
        <v>2420000</v>
      </c>
      <c r="H60">
        <v>2580000</v>
      </c>
      <c r="I60">
        <v>2560000</v>
      </c>
    </row>
    <row r="61" spans="1:9">
      <c r="A61" t="s">
        <v>5536</v>
      </c>
      <c r="B61" t="s">
        <v>4641</v>
      </c>
      <c r="C61" t="s">
        <v>4646</v>
      </c>
      <c r="D61" t="s">
        <v>122</v>
      </c>
      <c r="E61" t="s">
        <v>4642</v>
      </c>
      <c r="F61" s="15" t="s">
        <v>4722</v>
      </c>
      <c r="G61">
        <v>2400000</v>
      </c>
      <c r="H61">
        <v>2560000</v>
      </c>
      <c r="I61">
        <v>2540000</v>
      </c>
    </row>
    <row r="62" spans="1:9">
      <c r="A62" t="s">
        <v>5536</v>
      </c>
      <c r="B62" t="s">
        <v>4641</v>
      </c>
      <c r="C62" t="s">
        <v>4646</v>
      </c>
      <c r="D62" t="s">
        <v>122</v>
      </c>
      <c r="E62" t="s">
        <v>4642</v>
      </c>
      <c r="F62" s="15" t="s">
        <v>4723</v>
      </c>
      <c r="G62">
        <v>18600</v>
      </c>
      <c r="H62">
        <v>17800</v>
      </c>
      <c r="I62">
        <v>19500</v>
      </c>
    </row>
    <row r="63" spans="1:9">
      <c r="A63" t="s">
        <v>5536</v>
      </c>
      <c r="B63" t="s">
        <v>4641</v>
      </c>
      <c r="C63" t="s">
        <v>4646</v>
      </c>
      <c r="D63" t="s">
        <v>122</v>
      </c>
      <c r="E63" t="s">
        <v>4642</v>
      </c>
      <c r="F63" s="15" t="s">
        <v>4719</v>
      </c>
      <c r="G63">
        <v>3310</v>
      </c>
      <c r="H63">
        <v>3470</v>
      </c>
      <c r="I63">
        <v>3740</v>
      </c>
    </row>
    <row r="64" spans="1:9">
      <c r="A64" t="s">
        <v>5536</v>
      </c>
      <c r="B64" t="s">
        <v>4641</v>
      </c>
      <c r="C64" t="s">
        <v>4646</v>
      </c>
      <c r="D64" t="s">
        <v>122</v>
      </c>
      <c r="E64" t="s">
        <v>4642</v>
      </c>
      <c r="F64" s="15" t="s">
        <v>4720</v>
      </c>
      <c r="G64">
        <v>13500</v>
      </c>
      <c r="H64">
        <v>12500</v>
      </c>
      <c r="I64">
        <v>13700</v>
      </c>
    </row>
    <row r="65" spans="1:9">
      <c r="A65" t="s">
        <v>5536</v>
      </c>
      <c r="B65" t="s">
        <v>4641</v>
      </c>
      <c r="C65" t="s">
        <v>4646</v>
      </c>
      <c r="D65" t="s">
        <v>122</v>
      </c>
      <c r="E65" t="s">
        <v>4642</v>
      </c>
      <c r="F65" s="15" t="s">
        <v>4721</v>
      </c>
      <c r="G65">
        <v>1830</v>
      </c>
      <c r="H65">
        <v>1770</v>
      </c>
      <c r="I65">
        <v>2080</v>
      </c>
    </row>
    <row r="66" spans="1:9">
      <c r="A66" t="s">
        <v>5536</v>
      </c>
      <c r="B66" t="s">
        <v>4641</v>
      </c>
      <c r="C66" t="s">
        <v>4646</v>
      </c>
      <c r="D66" t="s">
        <v>122</v>
      </c>
      <c r="E66" t="s">
        <v>4642</v>
      </c>
      <c r="F66" s="15" t="s">
        <v>4724</v>
      </c>
      <c r="G66">
        <v>0</v>
      </c>
      <c r="H66">
        <v>0</v>
      </c>
      <c r="I66">
        <v>0</v>
      </c>
    </row>
    <row r="67" spans="1:9">
      <c r="A67" t="s">
        <v>5536</v>
      </c>
      <c r="B67" t="s">
        <v>4641</v>
      </c>
      <c r="C67" t="s">
        <v>4646</v>
      </c>
      <c r="D67" t="s">
        <v>122</v>
      </c>
      <c r="E67" t="s">
        <v>4642</v>
      </c>
      <c r="F67" s="15">
        <v>2</v>
      </c>
      <c r="G67">
        <v>217000</v>
      </c>
      <c r="H67">
        <v>232000</v>
      </c>
      <c r="I67">
        <v>227000</v>
      </c>
    </row>
    <row r="68" spans="1:9">
      <c r="A68" t="s">
        <v>5536</v>
      </c>
      <c r="B68" t="s">
        <v>4641</v>
      </c>
      <c r="C68" t="s">
        <v>4646</v>
      </c>
      <c r="D68" t="s">
        <v>122</v>
      </c>
      <c r="E68" t="s">
        <v>4642</v>
      </c>
      <c r="F68" s="59" t="s">
        <v>4643</v>
      </c>
      <c r="G68">
        <v>99100</v>
      </c>
      <c r="H68">
        <v>104000</v>
      </c>
      <c r="I68">
        <v>103000</v>
      </c>
    </row>
    <row r="69" spans="1:9">
      <c r="A69" t="s">
        <v>5536</v>
      </c>
      <c r="B69" t="s">
        <v>4641</v>
      </c>
      <c r="C69" t="s">
        <v>4646</v>
      </c>
      <c r="D69" t="s">
        <v>122</v>
      </c>
      <c r="E69" t="s">
        <v>4642</v>
      </c>
      <c r="F69" s="59" t="s">
        <v>4644</v>
      </c>
      <c r="G69">
        <v>46400</v>
      </c>
      <c r="H69">
        <v>45600</v>
      </c>
      <c r="I69">
        <v>45600</v>
      </c>
    </row>
    <row r="70" spans="1:9">
      <c r="A70" t="s">
        <v>5536</v>
      </c>
      <c r="B70" t="s">
        <v>4641</v>
      </c>
      <c r="C70" t="s">
        <v>4646</v>
      </c>
      <c r="D70" t="s">
        <v>122</v>
      </c>
      <c r="E70" t="s">
        <v>4642</v>
      </c>
      <c r="F70" s="59" t="s">
        <v>4700</v>
      </c>
      <c r="G70">
        <v>64100</v>
      </c>
      <c r="H70">
        <v>74400</v>
      </c>
      <c r="I70">
        <v>70400</v>
      </c>
    </row>
    <row r="71" spans="1:9">
      <c r="A71" t="s">
        <v>5536</v>
      </c>
      <c r="B71" t="s">
        <v>4641</v>
      </c>
      <c r="C71" t="s">
        <v>4646</v>
      </c>
      <c r="D71" t="s">
        <v>122</v>
      </c>
      <c r="E71" t="s">
        <v>4642</v>
      </c>
      <c r="F71" s="15" t="s">
        <v>4701</v>
      </c>
      <c r="G71">
        <v>6940</v>
      </c>
      <c r="H71">
        <v>7720</v>
      </c>
      <c r="I71">
        <v>7050</v>
      </c>
    </row>
    <row r="72" spans="1:9">
      <c r="A72" t="s">
        <v>5536</v>
      </c>
      <c r="B72" t="s">
        <v>4641</v>
      </c>
      <c r="C72" t="s">
        <v>4646</v>
      </c>
      <c r="D72" t="s">
        <v>122</v>
      </c>
      <c r="E72" t="s">
        <v>4642</v>
      </c>
      <c r="F72" s="15" t="s">
        <v>4703</v>
      </c>
      <c r="G72">
        <v>125</v>
      </c>
      <c r="H72">
        <v>123</v>
      </c>
      <c r="I72">
        <v>121</v>
      </c>
    </row>
    <row r="73" spans="1:9">
      <c r="A73" t="s">
        <v>5536</v>
      </c>
      <c r="B73" t="s">
        <v>4641</v>
      </c>
      <c r="C73" t="s">
        <v>4646</v>
      </c>
      <c r="D73" t="s">
        <v>122</v>
      </c>
      <c r="E73" t="s">
        <v>4642</v>
      </c>
      <c r="F73" s="15" t="s">
        <v>4704</v>
      </c>
      <c r="G73">
        <v>106</v>
      </c>
      <c r="H73">
        <v>110</v>
      </c>
      <c r="I73">
        <v>110</v>
      </c>
    </row>
    <row r="74" spans="1:9">
      <c r="A74" t="s">
        <v>5536</v>
      </c>
      <c r="B74" t="s">
        <v>4641</v>
      </c>
      <c r="C74" t="s">
        <v>4646</v>
      </c>
      <c r="D74" t="s">
        <v>122</v>
      </c>
      <c r="E74" t="s">
        <v>4642</v>
      </c>
      <c r="F74" s="15">
        <v>4</v>
      </c>
      <c r="G74">
        <v>2710</v>
      </c>
      <c r="H74">
        <v>2700</v>
      </c>
      <c r="I74">
        <v>2520</v>
      </c>
    </row>
    <row r="75" spans="1:9">
      <c r="A75" t="s">
        <v>5536</v>
      </c>
      <c r="B75" t="s">
        <v>4641</v>
      </c>
      <c r="C75" t="s">
        <v>4646</v>
      </c>
      <c r="D75" t="s">
        <v>122</v>
      </c>
      <c r="E75" t="s">
        <v>4642</v>
      </c>
      <c r="F75" s="15">
        <v>5</v>
      </c>
      <c r="G75">
        <v>0</v>
      </c>
      <c r="H75">
        <v>0</v>
      </c>
      <c r="I75">
        <v>0</v>
      </c>
    </row>
    <row r="76" spans="1:9">
      <c r="A76" t="s">
        <v>5536</v>
      </c>
      <c r="B76" t="s">
        <v>4641</v>
      </c>
      <c r="C76" t="s">
        <v>4646</v>
      </c>
      <c r="D76" t="s">
        <v>122</v>
      </c>
      <c r="E76" t="s">
        <v>4642</v>
      </c>
      <c r="F76" s="15" t="s">
        <v>4725</v>
      </c>
      <c r="G76">
        <v>2650000</v>
      </c>
      <c r="H76">
        <v>2820000</v>
      </c>
      <c r="I76">
        <v>2800000</v>
      </c>
    </row>
    <row r="77" spans="1:9">
      <c r="A77" t="s">
        <v>5536</v>
      </c>
      <c r="B77" t="s">
        <v>4641</v>
      </c>
      <c r="C77" t="s">
        <v>4646</v>
      </c>
      <c r="D77" t="s">
        <v>122</v>
      </c>
      <c r="E77" t="s">
        <v>4642</v>
      </c>
      <c r="F77" s="15" t="s">
        <v>4713</v>
      </c>
      <c r="G77">
        <v>10100</v>
      </c>
      <c r="H77">
        <v>9820</v>
      </c>
      <c r="I77">
        <v>10300</v>
      </c>
    </row>
    <row r="78" spans="1:9">
      <c r="A78" t="s">
        <v>5536</v>
      </c>
      <c r="B78" t="s">
        <v>4641</v>
      </c>
      <c r="C78" t="s">
        <v>4646</v>
      </c>
      <c r="D78" t="s">
        <v>122</v>
      </c>
      <c r="E78" t="s">
        <v>4642</v>
      </c>
      <c r="F78" s="15" t="s">
        <v>4714</v>
      </c>
      <c r="G78">
        <v>10100</v>
      </c>
      <c r="H78">
        <v>9820</v>
      </c>
      <c r="I78">
        <v>10300</v>
      </c>
    </row>
    <row r="79" spans="1:9">
      <c r="A79" t="s">
        <v>5536</v>
      </c>
      <c r="B79" t="s">
        <v>4641</v>
      </c>
      <c r="C79" t="s">
        <v>1719</v>
      </c>
      <c r="D79" t="s">
        <v>122</v>
      </c>
      <c r="E79" t="s">
        <v>4642</v>
      </c>
      <c r="F79" s="15">
        <v>1</v>
      </c>
      <c r="G79">
        <v>2150000</v>
      </c>
      <c r="H79">
        <v>2370000</v>
      </c>
      <c r="I79">
        <v>2500000</v>
      </c>
    </row>
    <row r="80" spans="1:9">
      <c r="A80" t="s">
        <v>5536</v>
      </c>
      <c r="B80" t="s">
        <v>4641</v>
      </c>
      <c r="C80" t="s">
        <v>1719</v>
      </c>
      <c r="D80" t="s">
        <v>122</v>
      </c>
      <c r="E80" t="s">
        <v>4642</v>
      </c>
      <c r="F80" s="15" t="s">
        <v>4722</v>
      </c>
      <c r="G80">
        <v>2130000</v>
      </c>
      <c r="H80">
        <v>2350000</v>
      </c>
      <c r="I80">
        <v>2470000</v>
      </c>
    </row>
    <row r="81" spans="1:9">
      <c r="A81" t="s">
        <v>5536</v>
      </c>
      <c r="B81" t="s">
        <v>4641</v>
      </c>
      <c r="C81" t="s">
        <v>1719</v>
      </c>
      <c r="D81" t="s">
        <v>122</v>
      </c>
      <c r="E81" t="s">
        <v>4642</v>
      </c>
      <c r="F81" s="15" t="s">
        <v>4723</v>
      </c>
      <c r="G81">
        <v>21500</v>
      </c>
      <c r="H81">
        <v>24400</v>
      </c>
      <c r="I81">
        <v>28400</v>
      </c>
    </row>
    <row r="82" spans="1:9">
      <c r="A82" t="s">
        <v>5536</v>
      </c>
      <c r="B82" t="s">
        <v>4641</v>
      </c>
      <c r="C82" t="s">
        <v>1719</v>
      </c>
      <c r="D82" t="s">
        <v>122</v>
      </c>
      <c r="E82" t="s">
        <v>4642</v>
      </c>
      <c r="F82" s="15" t="s">
        <v>4719</v>
      </c>
      <c r="G82">
        <v>17400</v>
      </c>
      <c r="H82">
        <v>20600</v>
      </c>
      <c r="I82">
        <v>24300</v>
      </c>
    </row>
    <row r="83" spans="1:9">
      <c r="A83" t="s">
        <v>5536</v>
      </c>
      <c r="B83" t="s">
        <v>4641</v>
      </c>
      <c r="C83" t="s">
        <v>1719</v>
      </c>
      <c r="D83" t="s">
        <v>122</v>
      </c>
      <c r="E83" t="s">
        <v>4642</v>
      </c>
      <c r="F83" s="15" t="s">
        <v>4720</v>
      </c>
      <c r="G83">
        <v>4100</v>
      </c>
      <c r="H83">
        <v>3800</v>
      </c>
      <c r="I83">
        <v>4100</v>
      </c>
    </row>
    <row r="84" spans="1:9">
      <c r="A84" t="s">
        <v>5536</v>
      </c>
      <c r="B84" t="s">
        <v>4641</v>
      </c>
      <c r="C84" t="s">
        <v>1719</v>
      </c>
      <c r="D84" t="s">
        <v>122</v>
      </c>
      <c r="E84" t="s">
        <v>4642</v>
      </c>
      <c r="F84" s="15">
        <v>2</v>
      </c>
      <c r="G84">
        <v>173000</v>
      </c>
      <c r="H84">
        <v>203000</v>
      </c>
      <c r="I84">
        <v>222000</v>
      </c>
    </row>
    <row r="85" spans="1:9">
      <c r="A85" t="s">
        <v>5536</v>
      </c>
      <c r="B85" t="s">
        <v>4641</v>
      </c>
      <c r="C85" t="s">
        <v>1719</v>
      </c>
      <c r="D85" t="s">
        <v>122</v>
      </c>
      <c r="E85" t="s">
        <v>4642</v>
      </c>
      <c r="F85" s="59" t="s">
        <v>4643</v>
      </c>
      <c r="G85">
        <v>135000</v>
      </c>
      <c r="H85">
        <v>164000</v>
      </c>
      <c r="I85">
        <v>181000</v>
      </c>
    </row>
    <row r="86" spans="1:9">
      <c r="A86" t="s">
        <v>5536</v>
      </c>
      <c r="B86" t="s">
        <v>4641</v>
      </c>
      <c r="C86" t="s">
        <v>1719</v>
      </c>
      <c r="D86" t="s">
        <v>122</v>
      </c>
      <c r="E86" t="s">
        <v>4642</v>
      </c>
      <c r="F86" s="59" t="s">
        <v>4644</v>
      </c>
      <c r="G86">
        <v>23000</v>
      </c>
      <c r="H86">
        <v>23300</v>
      </c>
      <c r="I86">
        <v>23900</v>
      </c>
    </row>
    <row r="87" spans="1:9">
      <c r="A87" t="s">
        <v>5536</v>
      </c>
      <c r="B87" t="s">
        <v>4641</v>
      </c>
      <c r="C87" t="s">
        <v>1719</v>
      </c>
      <c r="D87" t="s">
        <v>122</v>
      </c>
      <c r="E87" t="s">
        <v>4642</v>
      </c>
      <c r="F87" s="59" t="s">
        <v>4700</v>
      </c>
      <c r="G87">
        <v>6280</v>
      </c>
      <c r="H87">
        <v>7370</v>
      </c>
      <c r="I87">
        <v>7720</v>
      </c>
    </row>
    <row r="88" spans="1:9">
      <c r="A88" t="s">
        <v>5536</v>
      </c>
      <c r="B88" t="s">
        <v>4641</v>
      </c>
      <c r="C88" t="s">
        <v>1719</v>
      </c>
      <c r="D88" t="s">
        <v>122</v>
      </c>
      <c r="E88" t="s">
        <v>4642</v>
      </c>
      <c r="F88" s="15" t="s">
        <v>4701</v>
      </c>
      <c r="G88">
        <v>5620</v>
      </c>
      <c r="H88">
        <v>5880</v>
      </c>
      <c r="I88">
        <v>6100</v>
      </c>
    </row>
    <row r="89" spans="1:9">
      <c r="A89" t="s">
        <v>5536</v>
      </c>
      <c r="B89" t="s">
        <v>4641</v>
      </c>
      <c r="C89" t="s">
        <v>1719</v>
      </c>
      <c r="D89" t="s">
        <v>122</v>
      </c>
      <c r="E89" t="s">
        <v>4642</v>
      </c>
      <c r="F89" s="15" t="s">
        <v>4704</v>
      </c>
      <c r="G89">
        <v>3090</v>
      </c>
      <c r="H89">
        <v>3230</v>
      </c>
      <c r="I89">
        <v>3370</v>
      </c>
    </row>
    <row r="90" spans="1:9">
      <c r="A90" t="s">
        <v>5536</v>
      </c>
      <c r="B90" t="s">
        <v>4641</v>
      </c>
      <c r="C90" t="s">
        <v>1719</v>
      </c>
      <c r="D90" t="s">
        <v>122</v>
      </c>
      <c r="E90" t="s">
        <v>4642</v>
      </c>
      <c r="F90" s="15">
        <v>5</v>
      </c>
      <c r="G90">
        <v>14200</v>
      </c>
      <c r="H90">
        <v>14200</v>
      </c>
      <c r="I90">
        <v>14200</v>
      </c>
    </row>
    <row r="91" spans="1:9">
      <c r="A91" t="s">
        <v>5536</v>
      </c>
      <c r="B91" t="s">
        <v>4641</v>
      </c>
      <c r="C91" t="s">
        <v>1719</v>
      </c>
      <c r="D91" t="s">
        <v>122</v>
      </c>
      <c r="E91" t="s">
        <v>4642</v>
      </c>
      <c r="F91" s="15" t="s">
        <v>4725</v>
      </c>
      <c r="G91">
        <v>2370000</v>
      </c>
      <c r="H91">
        <v>2620000</v>
      </c>
      <c r="I91">
        <v>2760000</v>
      </c>
    </row>
    <row r="92" spans="1:9">
      <c r="A92" t="s">
        <v>5536</v>
      </c>
      <c r="B92" t="s">
        <v>4641</v>
      </c>
      <c r="C92" t="s">
        <v>1719</v>
      </c>
      <c r="D92" t="s">
        <v>122</v>
      </c>
      <c r="E92" t="s">
        <v>4642</v>
      </c>
      <c r="F92" s="15" t="s">
        <v>4713</v>
      </c>
      <c r="G92">
        <v>26700</v>
      </c>
      <c r="H92">
        <v>26700</v>
      </c>
      <c r="I92">
        <v>27200</v>
      </c>
    </row>
    <row r="93" spans="1:9">
      <c r="A93" t="s">
        <v>5536</v>
      </c>
      <c r="B93" t="s">
        <v>4641</v>
      </c>
      <c r="C93" t="s">
        <v>1719</v>
      </c>
      <c r="D93" t="s">
        <v>122</v>
      </c>
      <c r="E93" t="s">
        <v>4642</v>
      </c>
      <c r="F93" s="15" t="s">
        <v>4714</v>
      </c>
      <c r="G93">
        <v>26700</v>
      </c>
      <c r="H93">
        <v>26700</v>
      </c>
      <c r="I93">
        <v>27200</v>
      </c>
    </row>
    <row r="94" spans="1:9">
      <c r="A94" t="s">
        <v>5536</v>
      </c>
      <c r="B94" t="s">
        <v>4641</v>
      </c>
      <c r="C94" t="s">
        <v>2002</v>
      </c>
      <c r="D94" t="s">
        <v>122</v>
      </c>
      <c r="E94" t="s">
        <v>4642</v>
      </c>
      <c r="F94" s="15">
        <v>1</v>
      </c>
      <c r="G94">
        <v>4540000</v>
      </c>
      <c r="H94">
        <v>4860000</v>
      </c>
      <c r="I94">
        <v>4910000</v>
      </c>
    </row>
    <row r="95" spans="1:9">
      <c r="A95" t="s">
        <v>5536</v>
      </c>
      <c r="B95" t="s">
        <v>4641</v>
      </c>
      <c r="C95" t="s">
        <v>2002</v>
      </c>
      <c r="D95" t="s">
        <v>122</v>
      </c>
      <c r="E95" t="s">
        <v>4642</v>
      </c>
      <c r="F95" s="15" t="s">
        <v>4722</v>
      </c>
      <c r="G95">
        <v>4480000</v>
      </c>
      <c r="H95">
        <v>4790000</v>
      </c>
      <c r="I95">
        <v>4850000</v>
      </c>
    </row>
    <row r="96" spans="1:9">
      <c r="A96" t="s">
        <v>5536</v>
      </c>
      <c r="B96" t="s">
        <v>4641</v>
      </c>
      <c r="C96" t="s">
        <v>2002</v>
      </c>
      <c r="D96" t="s">
        <v>122</v>
      </c>
      <c r="E96" t="s">
        <v>4642</v>
      </c>
      <c r="F96" s="15" t="s">
        <v>4723</v>
      </c>
      <c r="G96">
        <v>67700</v>
      </c>
      <c r="H96">
        <v>63300</v>
      </c>
      <c r="I96">
        <v>57400</v>
      </c>
    </row>
    <row r="97" spans="1:9">
      <c r="A97" t="s">
        <v>5536</v>
      </c>
      <c r="B97" t="s">
        <v>4641</v>
      </c>
      <c r="C97" t="s">
        <v>2002</v>
      </c>
      <c r="D97" t="s">
        <v>122</v>
      </c>
      <c r="E97" t="s">
        <v>4642</v>
      </c>
      <c r="F97" s="15" t="s">
        <v>4719</v>
      </c>
      <c r="G97">
        <v>2200</v>
      </c>
      <c r="H97">
        <v>2460</v>
      </c>
      <c r="I97">
        <v>2480</v>
      </c>
    </row>
    <row r="98" spans="1:9">
      <c r="A98" t="s">
        <v>5536</v>
      </c>
      <c r="B98" t="s">
        <v>4641</v>
      </c>
      <c r="C98" t="s">
        <v>2002</v>
      </c>
      <c r="D98" t="s">
        <v>122</v>
      </c>
      <c r="E98" t="s">
        <v>4642</v>
      </c>
      <c r="F98" s="15" t="s">
        <v>4720</v>
      </c>
      <c r="G98">
        <v>65600</v>
      </c>
      <c r="H98">
        <v>60800</v>
      </c>
      <c r="I98">
        <v>54900</v>
      </c>
    </row>
    <row r="99" spans="1:9">
      <c r="A99" t="s">
        <v>5536</v>
      </c>
      <c r="B99" t="s">
        <v>4641</v>
      </c>
      <c r="C99" t="s">
        <v>2002</v>
      </c>
      <c r="D99" t="s">
        <v>122</v>
      </c>
      <c r="E99" t="s">
        <v>4642</v>
      </c>
      <c r="F99" s="15" t="s">
        <v>4721</v>
      </c>
      <c r="G99">
        <v>0</v>
      </c>
      <c r="H99">
        <v>0</v>
      </c>
      <c r="I99">
        <v>0</v>
      </c>
    </row>
    <row r="100" spans="1:9">
      <c r="A100" t="s">
        <v>5536</v>
      </c>
      <c r="B100" t="s">
        <v>4641</v>
      </c>
      <c r="C100" t="s">
        <v>2002</v>
      </c>
      <c r="D100" t="s">
        <v>122</v>
      </c>
      <c r="E100" t="s">
        <v>4642</v>
      </c>
      <c r="F100" s="15" t="s">
        <v>4724</v>
      </c>
      <c r="G100">
        <v>0</v>
      </c>
      <c r="H100">
        <v>0</v>
      </c>
      <c r="I100">
        <v>0</v>
      </c>
    </row>
    <row r="101" spans="1:9">
      <c r="A101" t="s">
        <v>5536</v>
      </c>
      <c r="B101" t="s">
        <v>4641</v>
      </c>
      <c r="C101" t="s">
        <v>2002</v>
      </c>
      <c r="D101" t="s">
        <v>122</v>
      </c>
      <c r="E101" t="s">
        <v>4642</v>
      </c>
      <c r="F101" s="15">
        <v>2</v>
      </c>
      <c r="G101">
        <v>162000</v>
      </c>
      <c r="H101">
        <v>169000</v>
      </c>
      <c r="I101">
        <v>162000</v>
      </c>
    </row>
    <row r="102" spans="1:9">
      <c r="A102" t="s">
        <v>5536</v>
      </c>
      <c r="B102" t="s">
        <v>4641</v>
      </c>
      <c r="C102" t="s">
        <v>2002</v>
      </c>
      <c r="D102" t="s">
        <v>122</v>
      </c>
      <c r="E102" t="s">
        <v>4642</v>
      </c>
      <c r="F102" s="59" t="s">
        <v>4643</v>
      </c>
      <c r="G102">
        <v>62200</v>
      </c>
      <c r="H102">
        <v>63100</v>
      </c>
      <c r="I102">
        <v>63300</v>
      </c>
    </row>
    <row r="103" spans="1:9">
      <c r="A103" t="s">
        <v>5536</v>
      </c>
      <c r="B103" t="s">
        <v>4641</v>
      </c>
      <c r="C103" t="s">
        <v>2002</v>
      </c>
      <c r="D103" t="s">
        <v>122</v>
      </c>
      <c r="E103" t="s">
        <v>4642</v>
      </c>
      <c r="F103" s="59" t="s">
        <v>4644</v>
      </c>
      <c r="G103">
        <v>57300</v>
      </c>
      <c r="H103">
        <v>59600</v>
      </c>
      <c r="I103">
        <v>59600</v>
      </c>
    </row>
    <row r="104" spans="1:9">
      <c r="A104" t="s">
        <v>5536</v>
      </c>
      <c r="B104" t="s">
        <v>4641</v>
      </c>
      <c r="C104" t="s">
        <v>2002</v>
      </c>
      <c r="D104" t="s">
        <v>122</v>
      </c>
      <c r="E104" t="s">
        <v>4642</v>
      </c>
      <c r="F104" s="59" t="s">
        <v>4700</v>
      </c>
      <c r="G104">
        <v>42300</v>
      </c>
      <c r="H104">
        <v>46200</v>
      </c>
      <c r="I104">
        <v>39100</v>
      </c>
    </row>
    <row r="105" spans="1:9">
      <c r="A105" t="s">
        <v>5536</v>
      </c>
      <c r="B105" t="s">
        <v>4641</v>
      </c>
      <c r="C105" t="s">
        <v>2002</v>
      </c>
      <c r="D105" t="s">
        <v>122</v>
      </c>
      <c r="E105" t="s">
        <v>4642</v>
      </c>
      <c r="F105" s="15" t="s">
        <v>4701</v>
      </c>
      <c r="G105">
        <v>0</v>
      </c>
      <c r="H105">
        <v>0</v>
      </c>
      <c r="I105">
        <v>0</v>
      </c>
    </row>
    <row r="106" spans="1:9">
      <c r="A106" t="s">
        <v>5536</v>
      </c>
      <c r="B106" t="s">
        <v>4641</v>
      </c>
      <c r="C106" t="s">
        <v>2002</v>
      </c>
      <c r="D106" t="s">
        <v>122</v>
      </c>
      <c r="E106" t="s">
        <v>4642</v>
      </c>
      <c r="F106" s="15" t="s">
        <v>4704</v>
      </c>
      <c r="G106">
        <v>3.52</v>
      </c>
      <c r="H106">
        <v>3.73</v>
      </c>
      <c r="I106">
        <v>3.74</v>
      </c>
    </row>
    <row r="107" spans="1:9">
      <c r="A107" t="s">
        <v>5536</v>
      </c>
      <c r="B107" t="s">
        <v>4641</v>
      </c>
      <c r="C107" t="s">
        <v>2002</v>
      </c>
      <c r="D107" t="s">
        <v>122</v>
      </c>
      <c r="E107" t="s">
        <v>4642</v>
      </c>
      <c r="F107" s="15">
        <v>4</v>
      </c>
      <c r="G107">
        <v>0</v>
      </c>
      <c r="H107">
        <v>0</v>
      </c>
      <c r="I107">
        <v>0</v>
      </c>
    </row>
    <row r="108" spans="1:9">
      <c r="A108" t="s">
        <v>5536</v>
      </c>
      <c r="B108" t="s">
        <v>4641</v>
      </c>
      <c r="C108" t="s">
        <v>2002</v>
      </c>
      <c r="D108" t="s">
        <v>122</v>
      </c>
      <c r="E108" t="s">
        <v>4642</v>
      </c>
      <c r="F108" s="15">
        <v>5</v>
      </c>
      <c r="G108">
        <v>4730</v>
      </c>
      <c r="H108">
        <v>4730</v>
      </c>
      <c r="I108">
        <v>4730</v>
      </c>
    </row>
    <row r="109" spans="1:9">
      <c r="A109" t="s">
        <v>5536</v>
      </c>
      <c r="B109" t="s">
        <v>4641</v>
      </c>
      <c r="C109" t="s">
        <v>2002</v>
      </c>
      <c r="D109" t="s">
        <v>122</v>
      </c>
      <c r="E109" t="s">
        <v>4642</v>
      </c>
      <c r="F109" s="15" t="s">
        <v>4725</v>
      </c>
      <c r="G109">
        <v>4720000</v>
      </c>
      <c r="H109">
        <v>5040000</v>
      </c>
      <c r="I109">
        <v>5080000</v>
      </c>
    </row>
    <row r="110" spans="1:9">
      <c r="A110" t="s">
        <v>5536</v>
      </c>
      <c r="B110" t="s">
        <v>4641</v>
      </c>
      <c r="C110" t="s">
        <v>2002</v>
      </c>
      <c r="D110" t="s">
        <v>122</v>
      </c>
      <c r="E110" t="s">
        <v>4642</v>
      </c>
      <c r="F110" s="15" t="s">
        <v>4713</v>
      </c>
      <c r="G110">
        <v>8040</v>
      </c>
      <c r="H110">
        <v>8260</v>
      </c>
      <c r="I110">
        <v>7740</v>
      </c>
    </row>
    <row r="111" spans="1:9">
      <c r="A111" t="s">
        <v>5536</v>
      </c>
      <c r="B111" t="s">
        <v>4641</v>
      </c>
      <c r="C111" t="s">
        <v>2002</v>
      </c>
      <c r="D111" t="s">
        <v>122</v>
      </c>
      <c r="E111" t="s">
        <v>4642</v>
      </c>
      <c r="F111" s="15" t="s">
        <v>4714</v>
      </c>
      <c r="G111">
        <v>8040</v>
      </c>
      <c r="H111">
        <v>8260</v>
      </c>
      <c r="I111">
        <v>7740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23218-C85C-4FBD-AE44-F4CEB1044E0B}">
  <sheetPr codeName="Sheet23"/>
  <dimension ref="A1:Y47"/>
  <sheetViews>
    <sheetView zoomScale="115" zoomScaleNormal="115" workbookViewId="0"/>
  </sheetViews>
  <sheetFormatPr baseColWidth="10" defaultColWidth="8.83203125" defaultRowHeight="15"/>
  <cols>
    <col min="1" max="1" width="43.83203125" customWidth="1"/>
    <col min="2" max="2" width="32.83203125" customWidth="1"/>
    <col min="3" max="3" width="37.5" customWidth="1"/>
  </cols>
  <sheetData>
    <row r="1" spans="1:5">
      <c r="A1" s="3" t="s">
        <v>4737</v>
      </c>
    </row>
    <row r="2" spans="1:5">
      <c r="A2" t="s">
        <v>4738</v>
      </c>
    </row>
    <row r="3" spans="1:5">
      <c r="A3" t="s">
        <v>6064</v>
      </c>
    </row>
    <row r="4" spans="1:5">
      <c r="A4" t="s">
        <v>4739</v>
      </c>
    </row>
    <row r="6" spans="1:5">
      <c r="A6" t="s">
        <v>4740</v>
      </c>
    </row>
    <row r="9" spans="1:5">
      <c r="A9" s="25"/>
      <c r="B9" s="24" t="s">
        <v>4743</v>
      </c>
      <c r="C9" s="24" t="s">
        <v>6063</v>
      </c>
    </row>
    <row r="10" spans="1:5">
      <c r="A10" t="s">
        <v>263</v>
      </c>
      <c r="B10" s="1743">
        <f>H33/H38</f>
        <v>0.14782065942988892</v>
      </c>
      <c r="C10" s="459">
        <f>H42/H47</f>
        <v>0.27371657747881278</v>
      </c>
    </row>
    <row r="11" spans="1:5">
      <c r="A11" t="s">
        <v>4742</v>
      </c>
      <c r="B11" s="1743">
        <f>SUM(H34:H35)/H38</f>
        <v>0.13030319728034076</v>
      </c>
      <c r="C11" s="459">
        <f>SUM(H43:H44)/H47</f>
        <v>0.1121915655232799</v>
      </c>
    </row>
    <row r="12" spans="1:5">
      <c r="A12" t="s">
        <v>264</v>
      </c>
      <c r="B12" s="1743">
        <f>H36/H38</f>
        <v>5.1546938394571966E-2</v>
      </c>
      <c r="C12" s="459">
        <f>H45/H47</f>
        <v>3.2572891269685662E-2</v>
      </c>
    </row>
    <row r="16" spans="1:5">
      <c r="B16" s="24" t="s">
        <v>65</v>
      </c>
      <c r="C16" s="1744" t="s">
        <v>66</v>
      </c>
      <c r="D16" s="24" t="s">
        <v>41</v>
      </c>
      <c r="E16" s="24" t="s">
        <v>3958</v>
      </c>
    </row>
    <row r="17" spans="1:25">
      <c r="B17" t="s">
        <v>4744</v>
      </c>
      <c r="C17" s="15">
        <v>38</v>
      </c>
      <c r="D17" t="s">
        <v>55</v>
      </c>
      <c r="E17" s="1732">
        <v>15</v>
      </c>
    </row>
    <row r="18" spans="1:25" ht="32">
      <c r="B18" s="5" t="s">
        <v>4745</v>
      </c>
      <c r="C18" s="15">
        <f>31+4</f>
        <v>35</v>
      </c>
      <c r="D18" t="s">
        <v>55</v>
      </c>
      <c r="E18" s="1732">
        <v>15</v>
      </c>
    </row>
    <row r="19" spans="1:25">
      <c r="C19" s="15"/>
    </row>
    <row r="20" spans="1:25">
      <c r="C20" s="15"/>
    </row>
    <row r="21" spans="1:25">
      <c r="B21" s="24" t="s">
        <v>1</v>
      </c>
      <c r="C21" s="1744" t="s">
        <v>66</v>
      </c>
      <c r="D21" s="24" t="s">
        <v>41</v>
      </c>
    </row>
    <row r="22" spans="1:25">
      <c r="B22" t="s">
        <v>263</v>
      </c>
      <c r="C22" s="1745">
        <f>B10*$C$17+C10*$C$18</f>
        <v>15.197265270094228</v>
      </c>
      <c r="D22" t="s">
        <v>55</v>
      </c>
    </row>
    <row r="23" spans="1:25">
      <c r="B23" t="s">
        <v>4742</v>
      </c>
      <c r="C23" s="1745">
        <f t="shared" ref="C23:C24" si="0">B11*$C$17+C11*$C$18</f>
        <v>8.8782262899677455</v>
      </c>
      <c r="D23" t="s">
        <v>55</v>
      </c>
    </row>
    <row r="24" spans="1:25">
      <c r="B24" t="s">
        <v>264</v>
      </c>
      <c r="C24" s="1745">
        <f t="shared" si="0"/>
        <v>3.0988348534327326</v>
      </c>
      <c r="D24" t="s">
        <v>55</v>
      </c>
    </row>
    <row r="28" spans="1:25">
      <c r="A28" s="24" t="s">
        <v>6065</v>
      </c>
      <c r="B28" s="25"/>
    </row>
    <row r="29" spans="1:25">
      <c r="A29" s="453" t="s">
        <v>6066</v>
      </c>
    </row>
    <row r="31" spans="1:25">
      <c r="A31" s="17" t="s">
        <v>6067</v>
      </c>
    </row>
    <row r="32" spans="1:25">
      <c r="A32" s="1" t="s">
        <v>5973</v>
      </c>
      <c r="B32" s="1" t="s">
        <v>6044</v>
      </c>
      <c r="C32" s="1" t="s">
        <v>6060</v>
      </c>
      <c r="D32" s="1">
        <v>1990</v>
      </c>
      <c r="E32" s="1">
        <v>2005</v>
      </c>
      <c r="F32" s="1">
        <v>2010</v>
      </c>
      <c r="G32" s="1">
        <v>2015</v>
      </c>
      <c r="H32" s="1">
        <v>2020</v>
      </c>
      <c r="I32" s="1">
        <v>2025</v>
      </c>
      <c r="J32" s="1">
        <v>2030</v>
      </c>
      <c r="K32" s="1">
        <v>2035</v>
      </c>
      <c r="L32" s="1">
        <v>2040</v>
      </c>
      <c r="M32" s="1">
        <v>2045</v>
      </c>
      <c r="N32" s="1">
        <v>2050</v>
      </c>
      <c r="O32" s="1">
        <v>2055</v>
      </c>
      <c r="P32" s="1">
        <v>2060</v>
      </c>
      <c r="Q32" s="1">
        <v>2065</v>
      </c>
      <c r="R32" s="1">
        <v>2070</v>
      </c>
      <c r="S32" s="1">
        <v>2075</v>
      </c>
      <c r="T32" s="1">
        <v>2080</v>
      </c>
      <c r="U32" s="1">
        <v>2085</v>
      </c>
      <c r="V32" s="1">
        <v>2090</v>
      </c>
      <c r="W32" s="1">
        <v>2095</v>
      </c>
      <c r="X32" s="1">
        <v>2100</v>
      </c>
      <c r="Y32" s="1" t="s">
        <v>840</v>
      </c>
    </row>
    <row r="33" spans="1:25">
      <c r="A33" t="s">
        <v>5978</v>
      </c>
      <c r="B33" t="s">
        <v>6014</v>
      </c>
      <c r="C33" t="s">
        <v>263</v>
      </c>
      <c r="D33">
        <v>4.9047999999999998</v>
      </c>
      <c r="E33">
        <v>13.79827469</v>
      </c>
      <c r="F33">
        <v>18.319115499999999</v>
      </c>
      <c r="G33">
        <v>22.764292900000001</v>
      </c>
      <c r="H33">
        <v>28.205691899999898</v>
      </c>
      <c r="I33">
        <v>31.387212529999999</v>
      </c>
      <c r="J33">
        <v>33.393795300000001</v>
      </c>
      <c r="K33">
        <v>34.584178719999997</v>
      </c>
      <c r="L33">
        <v>35.362326539999899</v>
      </c>
      <c r="M33">
        <v>35.761141799999898</v>
      </c>
      <c r="N33">
        <v>35.726397460000001</v>
      </c>
      <c r="O33">
        <v>35.482433919999998</v>
      </c>
      <c r="P33">
        <v>35.122187314000001</v>
      </c>
      <c r="Q33">
        <v>34.533120071999903</v>
      </c>
      <c r="R33">
        <v>33.886755899999997</v>
      </c>
      <c r="S33">
        <v>33.146993530000003</v>
      </c>
      <c r="T33">
        <v>32.600212872</v>
      </c>
      <c r="U33">
        <v>32.072530905999997</v>
      </c>
      <c r="V33">
        <v>31.563061053999899</v>
      </c>
      <c r="W33">
        <v>31.041488243</v>
      </c>
      <c r="X33">
        <v>30.502526740999901</v>
      </c>
      <c r="Y33" t="s">
        <v>43</v>
      </c>
    </row>
    <row r="34" spans="1:25">
      <c r="A34" t="s">
        <v>5978</v>
      </c>
      <c r="B34" t="s">
        <v>6014</v>
      </c>
      <c r="C34" t="s">
        <v>6057</v>
      </c>
      <c r="D34">
        <v>3.2227677300000002</v>
      </c>
      <c r="E34">
        <v>2.7838656820000001</v>
      </c>
      <c r="F34">
        <v>2.9110564199999902</v>
      </c>
      <c r="G34">
        <v>2.85892956</v>
      </c>
      <c r="H34">
        <v>3.0754026200000002</v>
      </c>
      <c r="I34">
        <v>3.09234774911</v>
      </c>
      <c r="J34">
        <v>2.9812543079999898</v>
      </c>
      <c r="K34">
        <v>2.8621807345999999</v>
      </c>
      <c r="L34">
        <v>2.7406612929999898</v>
      </c>
      <c r="M34">
        <v>2.6600503710000001</v>
      </c>
      <c r="N34">
        <v>2.5849795939999902</v>
      </c>
      <c r="O34">
        <v>2.544058927</v>
      </c>
      <c r="P34">
        <v>2.536791864</v>
      </c>
      <c r="Q34">
        <v>2.5320825742299999</v>
      </c>
      <c r="R34">
        <v>2.5483259355999999</v>
      </c>
      <c r="S34">
        <v>2.55623497559999</v>
      </c>
      <c r="T34">
        <v>2.576336059</v>
      </c>
      <c r="U34">
        <v>2.58831817</v>
      </c>
      <c r="V34">
        <v>2.61160889999999</v>
      </c>
      <c r="W34">
        <v>2.6401156529999898</v>
      </c>
      <c r="X34">
        <v>2.6690074796999999</v>
      </c>
      <c r="Y34" t="s">
        <v>43</v>
      </c>
    </row>
    <row r="35" spans="1:25">
      <c r="A35" t="s">
        <v>5978</v>
      </c>
      <c r="B35" t="s">
        <v>6014</v>
      </c>
      <c r="C35" t="s">
        <v>6058</v>
      </c>
      <c r="D35">
        <v>23.056560375</v>
      </c>
      <c r="E35">
        <v>26.130698710000001</v>
      </c>
      <c r="F35">
        <v>23.580031699999999</v>
      </c>
      <c r="G35">
        <v>21.630577299999999</v>
      </c>
      <c r="H35">
        <v>21.787778549999999</v>
      </c>
      <c r="I35">
        <v>21.433506509999901</v>
      </c>
      <c r="J35">
        <v>20.057230359999998</v>
      </c>
      <c r="K35">
        <v>18.944574100000001</v>
      </c>
      <c r="L35">
        <v>18.2147820399999</v>
      </c>
      <c r="M35">
        <v>17.999622769999998</v>
      </c>
      <c r="N35">
        <v>17.9047561299999</v>
      </c>
      <c r="O35">
        <v>17.990222961000001</v>
      </c>
      <c r="P35">
        <v>18.150841534999898</v>
      </c>
      <c r="Q35">
        <v>18.29203257</v>
      </c>
      <c r="R35">
        <v>18.4581606499999</v>
      </c>
      <c r="S35">
        <v>18.66692634</v>
      </c>
      <c r="T35">
        <v>18.919922540999998</v>
      </c>
      <c r="U35">
        <v>19.163096589999999</v>
      </c>
      <c r="V35">
        <v>19.38811286</v>
      </c>
      <c r="W35">
        <v>19.582098019999901</v>
      </c>
      <c r="X35">
        <v>19.764617363999999</v>
      </c>
      <c r="Y35" t="s">
        <v>43</v>
      </c>
    </row>
    <row r="36" spans="1:25">
      <c r="A36" t="s">
        <v>5978</v>
      </c>
      <c r="B36" t="s">
        <v>6014</v>
      </c>
      <c r="C36" t="s">
        <v>264</v>
      </c>
      <c r="D36">
        <v>2.3987099999999999</v>
      </c>
      <c r="E36">
        <v>4.8708394999999998</v>
      </c>
      <c r="F36">
        <v>6.1523703599999999</v>
      </c>
      <c r="G36">
        <v>8.0704056000000008</v>
      </c>
      <c r="H36">
        <v>9.8356824300000003</v>
      </c>
      <c r="I36">
        <v>12.1308096127</v>
      </c>
      <c r="J36">
        <v>13.745283852</v>
      </c>
      <c r="K36">
        <v>15.1138597889999</v>
      </c>
      <c r="L36">
        <v>16.334145168999999</v>
      </c>
      <c r="M36">
        <v>17.652828745000001</v>
      </c>
      <c r="N36">
        <v>19.214869370999999</v>
      </c>
      <c r="O36">
        <v>21.105666658499899</v>
      </c>
      <c r="P36">
        <v>23.174238529699998</v>
      </c>
      <c r="Q36">
        <v>25.085766833600001</v>
      </c>
      <c r="R36">
        <v>26.339652155700001</v>
      </c>
      <c r="S36">
        <v>27.2820605894</v>
      </c>
      <c r="T36">
        <v>28.1336987691</v>
      </c>
      <c r="U36">
        <v>29.022809475899901</v>
      </c>
      <c r="V36">
        <v>29.998928129299902</v>
      </c>
      <c r="W36">
        <v>30.952562197700001</v>
      </c>
      <c r="X36">
        <v>31.864664099799999</v>
      </c>
      <c r="Y36" t="s">
        <v>43</v>
      </c>
    </row>
    <row r="37" spans="1:25">
      <c r="A37" t="s">
        <v>5978</v>
      </c>
      <c r="B37" t="s">
        <v>6014</v>
      </c>
      <c r="C37" t="s">
        <v>2002</v>
      </c>
      <c r="D37">
        <v>31.765999999999998</v>
      </c>
      <c r="E37">
        <v>39.535726699999998</v>
      </c>
      <c r="F37">
        <v>35.833538399999902</v>
      </c>
      <c r="G37">
        <v>35.514721999999999</v>
      </c>
      <c r="H37">
        <v>36.374949100000002</v>
      </c>
      <c r="I37">
        <v>35.5595839</v>
      </c>
      <c r="J37">
        <v>32.9568072</v>
      </c>
      <c r="K37">
        <v>30.275489999999898</v>
      </c>
      <c r="L37">
        <v>28.720346209999899</v>
      </c>
      <c r="M37">
        <v>28.264057999999899</v>
      </c>
      <c r="N37">
        <v>28.160200099999901</v>
      </c>
      <c r="O37">
        <v>28.382106389999901</v>
      </c>
      <c r="P37">
        <v>28.589454100000001</v>
      </c>
      <c r="Q37">
        <v>29.016214940000001</v>
      </c>
      <c r="R37">
        <v>29.510162319999999</v>
      </c>
      <c r="S37">
        <v>30.057203009999998</v>
      </c>
      <c r="T37">
        <v>30.655444689999999</v>
      </c>
      <c r="U37">
        <v>31.285189039999999</v>
      </c>
      <c r="V37">
        <v>31.8970528299999</v>
      </c>
      <c r="W37">
        <v>32.524071039999903</v>
      </c>
      <c r="X37">
        <v>33.159192569999902</v>
      </c>
      <c r="Y37" t="s">
        <v>43</v>
      </c>
    </row>
    <row r="38" spans="1:25">
      <c r="A38" t="s">
        <v>6062</v>
      </c>
      <c r="B38" t="s">
        <v>6014</v>
      </c>
      <c r="C38" t="s">
        <v>6059</v>
      </c>
      <c r="D38">
        <v>127.48154966300001</v>
      </c>
      <c r="E38">
        <v>161.40226105129997</v>
      </c>
      <c r="F38">
        <v>169.26331178899986</v>
      </c>
      <c r="G38">
        <v>180.22951103180003</v>
      </c>
      <c r="H38">
        <v>190.81021562738874</v>
      </c>
      <c r="I38">
        <v>198.82600618530216</v>
      </c>
      <c r="J38">
        <v>201.03095436816994</v>
      </c>
      <c r="K38">
        <v>201.70811256818877</v>
      </c>
      <c r="L38">
        <v>204.3296355151252</v>
      </c>
      <c r="M38">
        <v>209.48161096825834</v>
      </c>
      <c r="N38">
        <v>216.13786650062485</v>
      </c>
      <c r="O38">
        <v>225.1928742026104</v>
      </c>
      <c r="P38">
        <v>235.39044230293547</v>
      </c>
      <c r="Q38">
        <v>245.45313241142841</v>
      </c>
      <c r="R38">
        <v>255.08237364826223</v>
      </c>
      <c r="S38">
        <v>263.90506218173675</v>
      </c>
      <c r="T38">
        <v>272.63109747581285</v>
      </c>
      <c r="U38">
        <v>281.20977281479259</v>
      </c>
      <c r="V38">
        <v>289.85658031535201</v>
      </c>
      <c r="W38">
        <v>298.58670944992605</v>
      </c>
      <c r="X38">
        <v>308.18444915006626</v>
      </c>
    </row>
    <row r="40" spans="1:25">
      <c r="A40" s="17" t="s">
        <v>6068</v>
      </c>
    </row>
    <row r="41" spans="1:25">
      <c r="A41" s="1" t="s">
        <v>5973</v>
      </c>
      <c r="B41" s="1" t="s">
        <v>6060</v>
      </c>
      <c r="C41" s="1" t="s">
        <v>5974</v>
      </c>
      <c r="D41" s="1">
        <v>1990</v>
      </c>
      <c r="E41" s="1">
        <v>2005</v>
      </c>
      <c r="F41" s="1">
        <v>2010</v>
      </c>
      <c r="G41" s="1">
        <v>2015</v>
      </c>
      <c r="H41" s="1">
        <v>2020</v>
      </c>
      <c r="I41" s="1">
        <v>2025</v>
      </c>
      <c r="J41" s="1">
        <v>2030</v>
      </c>
      <c r="K41" s="1">
        <v>2035</v>
      </c>
      <c r="L41" s="1">
        <v>2040</v>
      </c>
      <c r="M41" s="1">
        <v>2045</v>
      </c>
      <c r="N41" s="1">
        <v>2050</v>
      </c>
      <c r="O41" s="1">
        <v>2055</v>
      </c>
      <c r="P41" s="1">
        <v>2060</v>
      </c>
      <c r="Q41" s="1">
        <v>2065</v>
      </c>
      <c r="R41" s="1">
        <v>2070</v>
      </c>
      <c r="S41" s="1">
        <v>2075</v>
      </c>
      <c r="T41" s="1">
        <v>2080</v>
      </c>
      <c r="U41" s="1">
        <v>2085</v>
      </c>
      <c r="V41" s="1">
        <v>2090</v>
      </c>
      <c r="W41" s="1">
        <v>2095</v>
      </c>
      <c r="X41" s="1">
        <v>2100</v>
      </c>
      <c r="Y41" s="1" t="s">
        <v>840</v>
      </c>
    </row>
    <row r="42" spans="1:25">
      <c r="A42" t="s">
        <v>5978</v>
      </c>
      <c r="B42" t="s">
        <v>263</v>
      </c>
      <c r="C42" t="s">
        <v>6061</v>
      </c>
      <c r="D42">
        <v>1.7129700000000001</v>
      </c>
      <c r="E42">
        <v>4.8883000000000001</v>
      </c>
      <c r="F42">
        <v>7.2100900000000001</v>
      </c>
      <c r="G42">
        <v>9.5363900000000008</v>
      </c>
      <c r="H42">
        <v>11.169039999999899</v>
      </c>
      <c r="I42">
        <v>13.025270000000001</v>
      </c>
      <c r="J42">
        <v>14.69384</v>
      </c>
      <c r="K42">
        <v>15.95467</v>
      </c>
      <c r="L42">
        <v>16.886230000000001</v>
      </c>
      <c r="M42">
        <v>17.473904999999998</v>
      </c>
      <c r="N42">
        <v>17.656073599999999</v>
      </c>
      <c r="O42">
        <v>17.482420000000001</v>
      </c>
      <c r="P42">
        <v>17.040586439999998</v>
      </c>
      <c r="Q42">
        <v>16.358994540000001</v>
      </c>
      <c r="R42">
        <v>15.583766472000001</v>
      </c>
      <c r="S42">
        <v>14.8160626177</v>
      </c>
      <c r="T42">
        <v>14.0557242198</v>
      </c>
      <c r="U42">
        <v>13.315648420300001</v>
      </c>
      <c r="V42">
        <v>12.6161604481</v>
      </c>
      <c r="W42">
        <v>11.9710399336</v>
      </c>
      <c r="X42">
        <v>11.3823378428</v>
      </c>
      <c r="Y42" t="s">
        <v>43</v>
      </c>
    </row>
    <row r="43" spans="1:25">
      <c r="A43" t="s">
        <v>5978</v>
      </c>
      <c r="B43" t="s">
        <v>6057</v>
      </c>
      <c r="C43" t="s">
        <v>6061</v>
      </c>
      <c r="D43">
        <v>0.83588099999999999</v>
      </c>
      <c r="E43">
        <v>0.64139599999999997</v>
      </c>
      <c r="F43">
        <v>0.48929600000000001</v>
      </c>
      <c r="G43">
        <v>0.51273199999999997</v>
      </c>
      <c r="H43">
        <v>0.57029620000000003</v>
      </c>
      <c r="I43">
        <v>0.61078449999999995</v>
      </c>
      <c r="J43">
        <v>0.64037480000000002</v>
      </c>
      <c r="K43">
        <v>0.6565896</v>
      </c>
      <c r="L43">
        <v>0.65700720000000001</v>
      </c>
      <c r="M43">
        <v>0.64703279999999996</v>
      </c>
      <c r="N43">
        <v>0.63640447999999905</v>
      </c>
      <c r="O43">
        <v>0.62418942499999996</v>
      </c>
      <c r="P43">
        <v>0.61101925199999996</v>
      </c>
      <c r="Q43">
        <v>0.59475869790000002</v>
      </c>
      <c r="R43">
        <v>0.57754078711000001</v>
      </c>
      <c r="S43">
        <v>0.56016197671000001</v>
      </c>
      <c r="T43">
        <v>0.543252384541</v>
      </c>
      <c r="U43">
        <v>0.52752112412499996</v>
      </c>
      <c r="V43">
        <v>0.51279199577099999</v>
      </c>
      <c r="W43">
        <v>0.49886718269999902</v>
      </c>
      <c r="X43">
        <v>0.48552810621999998</v>
      </c>
      <c r="Y43" t="s">
        <v>43</v>
      </c>
    </row>
    <row r="44" spans="1:25">
      <c r="A44" t="s">
        <v>5978</v>
      </c>
      <c r="B44" t="s">
        <v>6058</v>
      </c>
      <c r="C44" t="s">
        <v>6061</v>
      </c>
      <c r="D44">
        <v>3.9984500000000001</v>
      </c>
      <c r="E44">
        <v>4.4384300000000003</v>
      </c>
      <c r="F44">
        <v>4.1337400000000004</v>
      </c>
      <c r="G44">
        <v>3.9427400000000001</v>
      </c>
      <c r="H44">
        <v>4.007695</v>
      </c>
      <c r="I44">
        <v>4.0575720000000004</v>
      </c>
      <c r="J44">
        <v>4.1062260000000004</v>
      </c>
      <c r="K44">
        <v>4.1559922999999896</v>
      </c>
      <c r="L44">
        <v>4.1998642000000004</v>
      </c>
      <c r="M44">
        <v>4.2419222999999997</v>
      </c>
      <c r="N44">
        <v>4.2769905100000001</v>
      </c>
      <c r="O44">
        <v>4.2968490600000004</v>
      </c>
      <c r="P44">
        <v>4.3122421419999997</v>
      </c>
      <c r="Q44">
        <v>4.3154355037999999</v>
      </c>
      <c r="R44">
        <v>4.3152136225</v>
      </c>
      <c r="S44">
        <v>4.3105634018099996</v>
      </c>
      <c r="T44">
        <v>4.2993544571670004</v>
      </c>
      <c r="U44">
        <v>4.2839195871999998</v>
      </c>
      <c r="V44">
        <v>4.2598634261899999</v>
      </c>
      <c r="W44">
        <v>4.22492025708</v>
      </c>
      <c r="X44">
        <v>4.1757859739100001</v>
      </c>
      <c r="Y44" t="s">
        <v>43</v>
      </c>
    </row>
    <row r="45" spans="1:25">
      <c r="A45" t="s">
        <v>5978</v>
      </c>
      <c r="B45" t="s">
        <v>264</v>
      </c>
      <c r="C45" t="s">
        <v>6061</v>
      </c>
      <c r="D45">
        <v>0.34879700000000002</v>
      </c>
      <c r="E45">
        <v>0.69508099999999995</v>
      </c>
      <c r="F45">
        <v>0.91153799999999996</v>
      </c>
      <c r="G45">
        <v>1.1893</v>
      </c>
      <c r="H45">
        <v>1.3291409999999999</v>
      </c>
      <c r="I45">
        <v>1.49732199999999</v>
      </c>
      <c r="J45">
        <v>1.6597029999999999</v>
      </c>
      <c r="K45">
        <v>1.8356939999999999</v>
      </c>
      <c r="L45">
        <v>2.0273443000000002</v>
      </c>
      <c r="M45">
        <v>2.2325583</v>
      </c>
      <c r="N45">
        <v>2.4458450200000001</v>
      </c>
      <c r="O45">
        <v>2.6703445099999898</v>
      </c>
      <c r="P45">
        <v>2.9012935400000002</v>
      </c>
      <c r="Q45">
        <v>3.1344031247999999</v>
      </c>
      <c r="R45">
        <v>3.3616543943999999</v>
      </c>
      <c r="S45">
        <v>3.5800103396599998</v>
      </c>
      <c r="T45">
        <v>3.7755943626499899</v>
      </c>
      <c r="U45">
        <v>3.9430656696900002</v>
      </c>
      <c r="V45">
        <v>4.0694179770699996</v>
      </c>
      <c r="W45">
        <v>4.1433034272200002</v>
      </c>
      <c r="X45">
        <v>4.1595677446499897</v>
      </c>
      <c r="Y45" t="s">
        <v>43</v>
      </c>
    </row>
    <row r="46" spans="1:25">
      <c r="A46" t="s">
        <v>5978</v>
      </c>
      <c r="B46" t="s">
        <v>2002</v>
      </c>
      <c r="C46" t="s">
        <v>6061</v>
      </c>
      <c r="D46">
        <v>4.9811899999999998</v>
      </c>
      <c r="E46">
        <v>5.8047899999999997</v>
      </c>
      <c r="F46">
        <v>6.1376099999999996</v>
      </c>
      <c r="G46">
        <v>5.9510300000000003</v>
      </c>
      <c r="H46">
        <v>6.1517619999999997</v>
      </c>
      <c r="I46">
        <v>6.3631380000000002</v>
      </c>
      <c r="J46">
        <v>6.5757729999999999</v>
      </c>
      <c r="K46">
        <v>6.7844160000000002</v>
      </c>
      <c r="L46">
        <v>6.9768399999999904</v>
      </c>
      <c r="M46">
        <v>7.1510444</v>
      </c>
      <c r="N46">
        <v>7.3188782000000003</v>
      </c>
      <c r="O46">
        <v>7.4845290699999998</v>
      </c>
      <c r="P46">
        <v>7.6544152289999996</v>
      </c>
      <c r="Q46">
        <v>7.8192091000000001</v>
      </c>
      <c r="R46">
        <v>7.9647710839999997</v>
      </c>
      <c r="S46">
        <v>8.0868685514499994</v>
      </c>
      <c r="T46">
        <v>8.1823559000999992</v>
      </c>
      <c r="U46">
        <v>8.25647396956</v>
      </c>
      <c r="V46">
        <v>8.3128603933399994</v>
      </c>
      <c r="W46">
        <v>8.3482450821</v>
      </c>
      <c r="X46">
        <v>8.3589380298999991</v>
      </c>
      <c r="Y46" t="s">
        <v>43</v>
      </c>
    </row>
    <row r="47" spans="1:25">
      <c r="A47" t="s">
        <v>5978</v>
      </c>
      <c r="B47" t="s">
        <v>6059</v>
      </c>
      <c r="C47" t="s">
        <v>6061</v>
      </c>
      <c r="D47">
        <v>19.8546043999999</v>
      </c>
      <c r="E47">
        <v>29.364237800000001</v>
      </c>
      <c r="F47">
        <v>34.511812900000002</v>
      </c>
      <c r="G47">
        <v>37.845675</v>
      </c>
      <c r="H47">
        <v>40.805128074000002</v>
      </c>
      <c r="I47">
        <v>44.164367112999997</v>
      </c>
      <c r="J47">
        <v>47.6235906349999</v>
      </c>
      <c r="K47">
        <v>50.640757594999997</v>
      </c>
      <c r="L47">
        <v>53.257550236999897</v>
      </c>
      <c r="M47">
        <v>55.443167004999999</v>
      </c>
      <c r="N47">
        <v>57.151739779799897</v>
      </c>
      <c r="O47">
        <v>58.439570328109902</v>
      </c>
      <c r="P47">
        <v>59.419307464219898</v>
      </c>
      <c r="Q47">
        <v>59.990326264512902</v>
      </c>
      <c r="R47">
        <v>60.2590981581939</v>
      </c>
      <c r="S47">
        <v>60.309319723352601</v>
      </c>
      <c r="T47">
        <v>60.077910021711702</v>
      </c>
      <c r="U47">
        <v>59.558044680618998</v>
      </c>
      <c r="V47">
        <v>58.816105563293</v>
      </c>
      <c r="W47">
        <v>57.883089663460197</v>
      </c>
      <c r="X47">
        <v>56.829237112845597</v>
      </c>
      <c r="Y47" t="s">
        <v>43</v>
      </c>
    </row>
  </sheetData>
  <phoneticPr fontId="6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70601-6560-4DFE-8E44-3193D3C27230}">
  <sheetPr codeName="Sheet24"/>
  <dimension ref="A1:A22"/>
  <sheetViews>
    <sheetView workbookViewId="0"/>
  </sheetViews>
  <sheetFormatPr baseColWidth="10" defaultColWidth="8.83203125" defaultRowHeight="15"/>
  <cols>
    <col min="1" max="1" width="51.6640625" customWidth="1"/>
  </cols>
  <sheetData>
    <row r="1" spans="1:1">
      <c r="A1" s="1" t="s">
        <v>3831</v>
      </c>
    </row>
    <row r="2" spans="1:1">
      <c r="A2" t="s">
        <v>3832</v>
      </c>
    </row>
    <row r="3" spans="1:1">
      <c r="A3" t="s">
        <v>3833</v>
      </c>
    </row>
    <row r="4" spans="1:1">
      <c r="A4" t="s">
        <v>3834</v>
      </c>
    </row>
    <row r="5" spans="1:1">
      <c r="A5" t="s">
        <v>3835</v>
      </c>
    </row>
    <row r="7" spans="1:1">
      <c r="A7" s="1" t="s">
        <v>3836</v>
      </c>
    </row>
    <row r="8" spans="1:1">
      <c r="A8" t="s">
        <v>3837</v>
      </c>
    </row>
    <row r="9" spans="1:1">
      <c r="A9" t="s">
        <v>3838</v>
      </c>
    </row>
    <row r="10" spans="1:1">
      <c r="A10" t="s">
        <v>3839</v>
      </c>
    </row>
    <row r="11" spans="1:1">
      <c r="A11" t="s">
        <v>3840</v>
      </c>
    </row>
    <row r="13" spans="1:1">
      <c r="A13" s="1" t="s">
        <v>1</v>
      </c>
    </row>
    <row r="14" spans="1:1">
      <c r="A14" t="s">
        <v>2</v>
      </c>
    </row>
    <row r="15" spans="1:1">
      <c r="A15" t="s">
        <v>263</v>
      </c>
    </row>
    <row r="16" spans="1:1">
      <c r="A16" t="s">
        <v>3841</v>
      </c>
    </row>
    <row r="17" spans="1:1">
      <c r="A17" t="s">
        <v>264</v>
      </c>
    </row>
    <row r="18" spans="1:1">
      <c r="A18" t="s">
        <v>265</v>
      </c>
    </row>
    <row r="20" spans="1:1">
      <c r="A20" s="1" t="s">
        <v>5453</v>
      </c>
    </row>
    <row r="21" spans="1:1">
      <c r="A21" s="16" t="s">
        <v>5452</v>
      </c>
    </row>
    <row r="22" spans="1:1">
      <c r="A22" s="16" t="s">
        <v>5454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54E4A-6BD6-47CC-870E-6B9A5E20D6BD}">
  <sheetPr codeName="Sheet25"/>
  <dimension ref="A1:AE62"/>
  <sheetViews>
    <sheetView workbookViewId="0"/>
  </sheetViews>
  <sheetFormatPr baseColWidth="10" defaultColWidth="8.83203125" defaultRowHeight="15"/>
  <cols>
    <col min="1" max="1" width="37.33203125" customWidth="1"/>
    <col min="2" max="2" width="11" customWidth="1"/>
    <col min="3" max="3" width="12" customWidth="1"/>
    <col min="4" max="4" width="9.33203125" customWidth="1"/>
  </cols>
  <sheetData>
    <row r="1" spans="1:7">
      <c r="A1" s="55" t="s">
        <v>1462</v>
      </c>
      <c r="B1" s="56"/>
    </row>
    <row r="3" spans="1:7">
      <c r="A3" s="1" t="s">
        <v>413</v>
      </c>
      <c r="B3" s="1">
        <v>2021</v>
      </c>
      <c r="C3" s="1" t="s">
        <v>41</v>
      </c>
      <c r="D3" s="1" t="s">
        <v>1463</v>
      </c>
      <c r="E3" s="2"/>
      <c r="F3" s="2"/>
      <c r="G3" s="2"/>
    </row>
    <row r="4" spans="1:7">
      <c r="A4" t="s">
        <v>423</v>
      </c>
      <c r="B4" s="7">
        <v>41.7</v>
      </c>
      <c r="C4" t="s">
        <v>64</v>
      </c>
      <c r="D4" t="s">
        <v>1464</v>
      </c>
    </row>
    <row r="5" spans="1:7">
      <c r="A5" t="s">
        <v>418</v>
      </c>
      <c r="B5" s="7">
        <v>41.3</v>
      </c>
      <c r="C5" t="s">
        <v>64</v>
      </c>
      <c r="D5" t="s">
        <v>1465</v>
      </c>
    </row>
    <row r="6" spans="1:7">
      <c r="A6" t="s">
        <v>1466</v>
      </c>
      <c r="B6" s="7">
        <v>33.200000000000003</v>
      </c>
      <c r="C6" t="s">
        <v>64</v>
      </c>
      <c r="D6" t="s">
        <v>1467</v>
      </c>
    </row>
    <row r="7" spans="1:7">
      <c r="A7" t="s">
        <v>1468</v>
      </c>
      <c r="B7" s="7">
        <v>12.2</v>
      </c>
      <c r="C7" t="s">
        <v>64</v>
      </c>
      <c r="D7" t="s">
        <v>1469</v>
      </c>
    </row>
    <row r="8" spans="1:7">
      <c r="A8" t="s">
        <v>1470</v>
      </c>
      <c r="B8" s="7">
        <v>11.9</v>
      </c>
      <c r="C8" t="s">
        <v>64</v>
      </c>
      <c r="D8" t="s">
        <v>1465</v>
      </c>
    </row>
    <row r="9" spans="1:7">
      <c r="A9" t="s">
        <v>1471</v>
      </c>
      <c r="B9" s="7">
        <v>8</v>
      </c>
      <c r="C9" t="s">
        <v>64</v>
      </c>
      <c r="D9" t="s">
        <v>1465</v>
      </c>
    </row>
    <row r="10" spans="1:7">
      <c r="A10" t="s">
        <v>1472</v>
      </c>
      <c r="B10" s="7">
        <v>5</v>
      </c>
      <c r="C10" t="s">
        <v>64</v>
      </c>
      <c r="D10" t="s">
        <v>1473</v>
      </c>
    </row>
    <row r="11" spans="1:7">
      <c r="A11" t="s">
        <v>1474</v>
      </c>
      <c r="B11" s="7">
        <v>5</v>
      </c>
      <c r="C11" t="s">
        <v>64</v>
      </c>
      <c r="D11" t="s">
        <v>1475</v>
      </c>
    </row>
    <row r="12" spans="1:7">
      <c r="A12" t="s">
        <v>1476</v>
      </c>
      <c r="B12" s="7">
        <v>2</v>
      </c>
      <c r="C12" t="s">
        <v>64</v>
      </c>
      <c r="D12" t="s">
        <v>1477</v>
      </c>
    </row>
    <row r="13" spans="1:7">
      <c r="A13" t="s">
        <v>1478</v>
      </c>
      <c r="B13" s="7">
        <v>1.7</v>
      </c>
      <c r="C13" t="s">
        <v>64</v>
      </c>
      <c r="D13" t="s">
        <v>1479</v>
      </c>
    </row>
    <row r="14" spans="1:7">
      <c r="A14" t="s">
        <v>1480</v>
      </c>
      <c r="B14" s="7">
        <v>1.6</v>
      </c>
      <c r="C14" t="s">
        <v>64</v>
      </c>
      <c r="D14" t="s">
        <v>1464</v>
      </c>
    </row>
    <row r="15" spans="1:7">
      <c r="A15" t="s">
        <v>1481</v>
      </c>
      <c r="B15" s="7">
        <v>1.5</v>
      </c>
      <c r="C15" t="s">
        <v>64</v>
      </c>
      <c r="D15" t="s">
        <v>1482</v>
      </c>
    </row>
    <row r="16" spans="1:7">
      <c r="A16" t="s">
        <v>1483</v>
      </c>
      <c r="B16" s="7">
        <v>1.5</v>
      </c>
      <c r="C16" t="s">
        <v>64</v>
      </c>
      <c r="D16" t="s">
        <v>1484</v>
      </c>
    </row>
    <row r="17" spans="1:31">
      <c r="A17" t="s">
        <v>1485</v>
      </c>
      <c r="B17" s="7">
        <v>1</v>
      </c>
      <c r="C17" t="s">
        <v>64</v>
      </c>
      <c r="D17" t="s">
        <v>1486</v>
      </c>
    </row>
    <row r="18" spans="1:31">
      <c r="A18" t="s">
        <v>1487</v>
      </c>
      <c r="B18" s="7">
        <v>0.9</v>
      </c>
      <c r="C18" t="s">
        <v>64</v>
      </c>
      <c r="D18" t="s">
        <v>1484</v>
      </c>
    </row>
    <row r="19" spans="1:31">
      <c r="A19" t="s">
        <v>1488</v>
      </c>
      <c r="B19" s="7">
        <v>0.4</v>
      </c>
      <c r="C19" t="s">
        <v>64</v>
      </c>
      <c r="D19" t="s">
        <v>1486</v>
      </c>
    </row>
    <row r="20" spans="1:31">
      <c r="A20" t="s">
        <v>1489</v>
      </c>
      <c r="B20" s="7">
        <v>0.2</v>
      </c>
      <c r="C20" t="s">
        <v>64</v>
      </c>
      <c r="D20" t="s">
        <v>1486</v>
      </c>
    </row>
    <row r="23" spans="1:31">
      <c r="A23" s="1" t="s">
        <v>1490</v>
      </c>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row>
    <row r="24" spans="1:31">
      <c r="A24" s="3" t="s">
        <v>413</v>
      </c>
      <c r="B24" s="3">
        <v>2021</v>
      </c>
      <c r="C24" s="3">
        <v>2022</v>
      </c>
      <c r="D24" s="3">
        <v>2023</v>
      </c>
      <c r="E24" s="3">
        <v>2024</v>
      </c>
      <c r="F24" s="3">
        <v>2025</v>
      </c>
      <c r="G24" s="3">
        <v>2026</v>
      </c>
      <c r="H24" s="3">
        <v>2027</v>
      </c>
      <c r="I24" s="3">
        <v>2028</v>
      </c>
      <c r="J24" s="3">
        <v>2029</v>
      </c>
      <c r="K24" s="3">
        <v>2030</v>
      </c>
      <c r="L24" s="3">
        <v>2031</v>
      </c>
      <c r="M24" s="3">
        <v>2032</v>
      </c>
      <c r="N24" s="3">
        <v>2033</v>
      </c>
      <c r="O24" s="3">
        <v>2034</v>
      </c>
      <c r="P24" s="3">
        <v>2035</v>
      </c>
      <c r="Q24" s="3">
        <v>2036</v>
      </c>
      <c r="R24" s="3">
        <v>2037</v>
      </c>
      <c r="S24" s="3">
        <v>2038</v>
      </c>
      <c r="T24" s="3">
        <v>2039</v>
      </c>
      <c r="U24" s="3">
        <v>2040</v>
      </c>
      <c r="V24" s="3">
        <v>2041</v>
      </c>
      <c r="W24" s="3">
        <v>2042</v>
      </c>
      <c r="X24" s="3">
        <v>2043</v>
      </c>
      <c r="Y24" s="3">
        <v>2044</v>
      </c>
      <c r="Z24" s="3">
        <v>2045</v>
      </c>
      <c r="AA24" s="3">
        <v>2046</v>
      </c>
      <c r="AB24" s="3">
        <v>2047</v>
      </c>
      <c r="AC24" s="3">
        <v>2048</v>
      </c>
      <c r="AD24" s="3">
        <v>2049</v>
      </c>
      <c r="AE24" s="3">
        <v>2050</v>
      </c>
    </row>
    <row r="25" spans="1:31">
      <c r="A25" t="s">
        <v>423</v>
      </c>
      <c r="B25" s="449" cm="1">
        <f t="array" ref="B25">TREND(C25:L25,C$24:L$24,B$24)</f>
        <v>0.96649571269979617</v>
      </c>
      <c r="C25">
        <f>INDEX('AEO T23'!C$27:C$58,MATCH($D4,'AEO T23'!$B$27:$B$58,0))/INDEX('AEO T23'!$C$27:$C$58,MATCH($D4,'AEO T23'!$B$27:$B$58,0))</f>
        <v>1</v>
      </c>
      <c r="D25">
        <f>INDEX('AEO T23'!D$27:D$58,MATCH($D4,'AEO T23'!$B$27:$B$58,0))/INDEX('AEO T23'!$C$27:$C$58,MATCH($D4,'AEO T23'!$B$27:$B$58,0))</f>
        <v>0.98370642301290878</v>
      </c>
      <c r="E25">
        <f>INDEX('AEO T23'!E$27:E$58,MATCH($D4,'AEO T23'!$B$27:$B$58,0))/INDEX('AEO T23'!$C$27:$C$58,MATCH($D4,'AEO T23'!$B$27:$B$58,0))</f>
        <v>0.96851766473084799</v>
      </c>
      <c r="F25">
        <f>INDEX('AEO T23'!F$27:F$58,MATCH($D4,'AEO T23'!$B$27:$B$58,0))/INDEX('AEO T23'!$C$27:$C$58,MATCH($D4,'AEO T23'!$B$27:$B$58,0))</f>
        <v>0.99047829351136896</v>
      </c>
      <c r="G25">
        <f>INDEX('AEO T23'!G$27:G$58,MATCH($D4,'AEO T23'!$B$27:$B$58,0))/INDEX('AEO T23'!$C$27:$C$58,MATCH($D4,'AEO T23'!$B$27:$B$58,0))</f>
        <v>1.037781241324262</v>
      </c>
      <c r="H25">
        <f>INDEX('AEO T23'!H$27:H$58,MATCH($D4,'AEO T23'!$B$27:$B$58,0))/INDEX('AEO T23'!$C$27:$C$58,MATCH($D4,'AEO T23'!$B$27:$B$58,0))</f>
        <v>1.0623145907725564</v>
      </c>
      <c r="I25">
        <f>INDEX('AEO T23'!I$27:I$58,MATCH($D4,'AEO T23'!$B$27:$B$58,0))/INDEX('AEO T23'!$C$27:$C$58,MATCH($D4,'AEO T23'!$B$27:$B$58,0))</f>
        <v>1.0681478162795406</v>
      </c>
      <c r="J25">
        <f>INDEX('AEO T23'!J$27:J$58,MATCH($D4,'AEO T23'!$B$27:$B$58,0))/INDEX('AEO T23'!$C$27:$C$58,MATCH($D4,'AEO T23'!$B$27:$B$58,0))</f>
        <v>1.0733930879712759</v>
      </c>
      <c r="K25">
        <f>INDEX('AEO T23'!K$27:K$58,MATCH($D4,'AEO T23'!$B$27:$B$58,0))/INDEX('AEO T23'!$C$27:$C$58,MATCH($D4,'AEO T23'!$B$27:$B$58,0))</f>
        <v>1.0675807918385563</v>
      </c>
      <c r="L25">
        <f>INDEX('AEO T23'!L$27:L$58,MATCH($D4,'AEO T23'!$B$27:$B$58,0))/INDEX('AEO T23'!$C$27:$C$58,MATCH($D4,'AEO T23'!$B$27:$B$58,0))</f>
        <v>1.0653081219325953</v>
      </c>
      <c r="M25">
        <f>INDEX('AEO T23'!M$27:M$58,MATCH($D4,'AEO T23'!$B$27:$B$58,0))/INDEX('AEO T23'!$C$27:$C$58,MATCH($D4,'AEO T23'!$B$27:$B$58,0))</f>
        <v>1.0760380327170185</v>
      </c>
      <c r="N25">
        <f>INDEX('AEO T23'!N$27:N$58,MATCH($D4,'AEO T23'!$B$27:$B$58,0))/INDEX('AEO T23'!$C$27:$C$58,MATCH($D4,'AEO T23'!$B$27:$B$58,0))</f>
        <v>1.0724481286940051</v>
      </c>
      <c r="O25">
        <f>INDEX('AEO T23'!O$27:O$58,MATCH($D4,'AEO T23'!$B$27:$B$58,0))/INDEX('AEO T23'!$C$27:$C$58,MATCH($D4,'AEO T23'!$B$27:$B$58,0))</f>
        <v>1.071809416219289</v>
      </c>
      <c r="P25">
        <f>INDEX('AEO T23'!P$27:P$58,MATCH($D4,'AEO T23'!$B$27:$B$58,0))/INDEX('AEO T23'!$C$27:$C$58,MATCH($D4,'AEO T23'!$B$27:$B$58,0))</f>
        <v>1.0749614824625007</v>
      </c>
      <c r="Q25">
        <f>INDEX('AEO T23'!Q$27:Q$58,MATCH($D4,'AEO T23'!$B$27:$B$58,0))/INDEX('AEO T23'!$C$27:$C$58,MATCH($D4,'AEO T23'!$B$27:$B$58,0))</f>
        <v>1.077761478003874</v>
      </c>
      <c r="R25">
        <f>INDEX('AEO T23'!R$27:R$58,MATCH($D4,'AEO T23'!$B$27:$B$58,0))/INDEX('AEO T23'!$C$27:$C$58,MATCH($D4,'AEO T23'!$B$27:$B$58,0))</f>
        <v>1.0902402173463883</v>
      </c>
      <c r="S25">
        <f>INDEX('AEO T23'!S$27:S$58,MATCH($D4,'AEO T23'!$B$27:$B$58,0))/INDEX('AEO T23'!$C$27:$C$58,MATCH($D4,'AEO T23'!$B$27:$B$58,0))</f>
        <v>1.0979252313200367</v>
      </c>
      <c r="T25">
        <f>INDEX('AEO T23'!T$27:T$58,MATCH($D4,'AEO T23'!$B$27:$B$58,0))/INDEX('AEO T23'!$C$27:$C$58,MATCH($D4,'AEO T23'!$B$27:$B$58,0))</f>
        <v>1.100204995929138</v>
      </c>
      <c r="U25">
        <f>INDEX('AEO T23'!U$27:U$58,MATCH($D4,'AEO T23'!$B$27:$B$58,0))/INDEX('AEO T23'!$C$27:$C$58,MATCH($D4,'AEO T23'!$B$27:$B$58,0))</f>
        <v>1.1048672406828062</v>
      </c>
      <c r="V25">
        <f>INDEX('AEO T23'!V$27:V$58,MATCH($D4,'AEO T23'!$B$27:$B$58,0))/INDEX('AEO T23'!$C$27:$C$58,MATCH($D4,'AEO T23'!$B$27:$B$58,0))</f>
        <v>1.1131334763867231</v>
      </c>
      <c r="W25">
        <f>INDEX('AEO T23'!W$27:W$58,MATCH($D4,'AEO T23'!$B$27:$B$58,0))/INDEX('AEO T23'!$C$27:$C$58,MATCH($D4,'AEO T23'!$B$27:$B$58,0))</f>
        <v>1.1218564296637987</v>
      </c>
      <c r="X25">
        <f>INDEX('AEO T23'!X$27:X$58,MATCH($D4,'AEO T23'!$B$27:$B$58,0))/INDEX('AEO T23'!$C$27:$C$58,MATCH($D4,'AEO T23'!$B$27:$B$58,0))</f>
        <v>1.1252863560140007</v>
      </c>
      <c r="Y25">
        <f>INDEX('AEO T23'!Y$27:Y$58,MATCH($D4,'AEO T23'!$B$27:$B$58,0))/INDEX('AEO T23'!$C$27:$C$58,MATCH($D4,'AEO T23'!$B$27:$B$58,0))</f>
        <v>1.1254679882973975</v>
      </c>
      <c r="Z25">
        <f>INDEX('AEO T23'!Z$27:Z$58,MATCH($D4,'AEO T23'!$B$27:$B$58,0))/INDEX('AEO T23'!$C$27:$C$58,MATCH($D4,'AEO T23'!$B$27:$B$58,0))</f>
        <v>1.1229433224188945</v>
      </c>
      <c r="AA25">
        <f>INDEX('AEO T23'!AA$27:AA$58,MATCH($D4,'AEO T23'!$B$27:$B$58,0))/INDEX('AEO T23'!$C$27:$C$58,MATCH($D4,'AEO T23'!$B$27:$B$58,0))</f>
        <v>1.1246501739834049</v>
      </c>
      <c r="AB25">
        <f>INDEX('AEO T23'!AB$27:AB$58,MATCH($D4,'AEO T23'!$B$27:$B$58,0))/INDEX('AEO T23'!$C$27:$C$58,MATCH($D4,'AEO T23'!$B$27:$B$58,0))</f>
        <v>1.1297853831804232</v>
      </c>
      <c r="AC25">
        <f>INDEX('AEO T23'!AC$27:AC$58,MATCH($D4,'AEO T23'!$B$27:$B$58,0))/INDEX('AEO T23'!$C$27:$C$58,MATCH($D4,'AEO T23'!$B$27:$B$58,0))</f>
        <v>1.1305238156492785</v>
      </c>
      <c r="AD25">
        <f>INDEX('AEO T23'!AD$27:AD$58,MATCH($D4,'AEO T23'!$B$27:$B$58,0))/INDEX('AEO T23'!$C$27:$C$58,MATCH($D4,'AEO T23'!$B$27:$B$58,0))</f>
        <v>1.1320734485921988</v>
      </c>
      <c r="AE25">
        <f>INDEX('AEO T23'!AE$27:AE$58,MATCH($D4,'AEO T23'!$B$27:$B$58,0))/INDEX('AEO T23'!$C$27:$C$58,MATCH($D4,'AEO T23'!$B$27:$B$58,0))</f>
        <v>1.1435547751522244</v>
      </c>
    </row>
    <row r="26" spans="1:31">
      <c r="A26" t="s">
        <v>418</v>
      </c>
      <c r="B26" s="449" cm="1">
        <f t="array" ref="B26">TREND(C26:L26,C$24:L$24,B$24)</f>
        <v>0.94908704489538209</v>
      </c>
      <c r="C26">
        <f>INDEX('AEO T23'!C$27:C$58,MATCH($D5,'AEO T23'!$B$27:$B$58,0))/INDEX('AEO T23'!$C$27:$C$58,MATCH($D5,'AEO T23'!$B$27:$B$58,0))</f>
        <v>1</v>
      </c>
      <c r="D26">
        <f>INDEX('AEO T23'!D$27:D$58,MATCH($D5,'AEO T23'!$B$27:$B$58,0))/INDEX('AEO T23'!$C$27:$C$58,MATCH($D5,'AEO T23'!$B$27:$B$58,0))</f>
        <v>0.9553835897595977</v>
      </c>
      <c r="E26">
        <f>INDEX('AEO T23'!E$27:E$58,MATCH($D5,'AEO T23'!$B$27:$B$58,0))/INDEX('AEO T23'!$C$27:$C$58,MATCH($D5,'AEO T23'!$B$27:$B$58,0))</f>
        <v>0.94358624256774026</v>
      </c>
      <c r="F26">
        <f>INDEX('AEO T23'!F$27:F$58,MATCH($D5,'AEO T23'!$B$27:$B$58,0))/INDEX('AEO T23'!$C$27:$C$58,MATCH($D5,'AEO T23'!$B$27:$B$58,0))</f>
        <v>0.95889707532469559</v>
      </c>
      <c r="G26">
        <f>INDEX('AEO T23'!G$27:G$58,MATCH($D5,'AEO T23'!$B$27:$B$58,0))/INDEX('AEO T23'!$C$27:$C$58,MATCH($D5,'AEO T23'!$B$27:$B$58,0))</f>
        <v>0.97347726625042263</v>
      </c>
      <c r="H26">
        <f>INDEX('AEO T23'!H$27:H$58,MATCH($D5,'AEO T23'!$B$27:$B$58,0))/INDEX('AEO T23'!$C$27:$C$58,MATCH($D5,'AEO T23'!$B$27:$B$58,0))</f>
        <v>0.98295577390795319</v>
      </c>
      <c r="I26">
        <f>INDEX('AEO T23'!I$27:I$58,MATCH($D5,'AEO T23'!$B$27:$B$58,0))/INDEX('AEO T23'!$C$27:$C$58,MATCH($D5,'AEO T23'!$B$27:$B$58,0))</f>
        <v>0.99191493513361817</v>
      </c>
      <c r="J26">
        <f>INDEX('AEO T23'!J$27:J$58,MATCH($D5,'AEO T23'!$B$27:$B$58,0))/INDEX('AEO T23'!$C$27:$C$58,MATCH($D5,'AEO T23'!$B$27:$B$58,0))</f>
        <v>1.003786154878284</v>
      </c>
      <c r="K26">
        <f>INDEX('AEO T23'!K$27:K$58,MATCH($D5,'AEO T23'!$B$27:$B$58,0))/INDEX('AEO T23'!$C$27:$C$58,MATCH($D5,'AEO T23'!$B$27:$B$58,0))</f>
        <v>1.0162864727852083</v>
      </c>
      <c r="L26">
        <f>INDEX('AEO T23'!L$27:L$58,MATCH($D5,'AEO T23'!$B$27:$B$58,0))/INDEX('AEO T23'!$C$27:$C$58,MATCH($D5,'AEO T23'!$B$27:$B$58,0))</f>
        <v>1.0283998925241413</v>
      </c>
      <c r="M26">
        <f>INDEX('AEO T23'!M$27:M$58,MATCH($D5,'AEO T23'!$B$27:$B$58,0))/INDEX('AEO T23'!$C$27:$C$58,MATCH($D5,'AEO T23'!$B$27:$B$58,0))</f>
        <v>1.0369673053637007</v>
      </c>
      <c r="N26">
        <f>INDEX('AEO T23'!N$27:N$58,MATCH($D5,'AEO T23'!$B$27:$B$58,0))/INDEX('AEO T23'!$C$27:$C$58,MATCH($D5,'AEO T23'!$B$27:$B$58,0))</f>
        <v>1.0408961685826374</v>
      </c>
      <c r="O26">
        <f>INDEX('AEO T23'!O$27:O$58,MATCH($D5,'AEO T23'!$B$27:$B$58,0))/INDEX('AEO T23'!$C$27:$C$58,MATCH($D5,'AEO T23'!$B$27:$B$58,0))</f>
        <v>1.0479186625884209</v>
      </c>
      <c r="P26">
        <f>INDEX('AEO T23'!P$27:P$58,MATCH($D5,'AEO T23'!$B$27:$B$58,0))/INDEX('AEO T23'!$C$27:$C$58,MATCH($D5,'AEO T23'!$B$27:$B$58,0))</f>
        <v>1.0636929399043675</v>
      </c>
      <c r="Q26">
        <f>INDEX('AEO T23'!Q$27:Q$58,MATCH($D5,'AEO T23'!$B$27:$B$58,0))/INDEX('AEO T23'!$C$27:$C$58,MATCH($D5,'AEO T23'!$B$27:$B$58,0))</f>
        <v>1.076501371026078</v>
      </c>
      <c r="R26">
        <f>INDEX('AEO T23'!R$27:R$58,MATCH($D5,'AEO T23'!$B$27:$B$58,0))/INDEX('AEO T23'!$C$27:$C$58,MATCH($D5,'AEO T23'!$B$27:$B$58,0))</f>
        <v>1.0872451637884455</v>
      </c>
      <c r="S26">
        <f>INDEX('AEO T23'!S$27:S$58,MATCH($D5,'AEO T23'!$B$27:$B$58,0))/INDEX('AEO T23'!$C$27:$C$58,MATCH($D5,'AEO T23'!$B$27:$B$58,0))</f>
        <v>1.0988124365313205</v>
      </c>
      <c r="T26">
        <f>INDEX('AEO T23'!T$27:T$58,MATCH($D5,'AEO T23'!$B$27:$B$58,0))/INDEX('AEO T23'!$C$27:$C$58,MATCH($D5,'AEO T23'!$B$27:$B$58,0))</f>
        <v>1.1077194268211215</v>
      </c>
      <c r="U26">
        <f>INDEX('AEO T23'!U$27:U$58,MATCH($D5,'AEO T23'!$B$27:$B$58,0))/INDEX('AEO T23'!$C$27:$C$58,MATCH($D5,'AEO T23'!$B$27:$B$58,0))</f>
        <v>1.1196905113131026</v>
      </c>
      <c r="V26">
        <f>INDEX('AEO T23'!V$27:V$58,MATCH($D5,'AEO T23'!$B$27:$B$58,0))/INDEX('AEO T23'!$C$27:$C$58,MATCH($D5,'AEO T23'!$B$27:$B$58,0))</f>
        <v>1.1330013752855643</v>
      </c>
      <c r="W26">
        <f>INDEX('AEO T23'!W$27:W$58,MATCH($D5,'AEO T23'!$B$27:$B$58,0))/INDEX('AEO T23'!$C$27:$C$58,MATCH($D5,'AEO T23'!$B$27:$B$58,0))</f>
        <v>1.143491464331216</v>
      </c>
      <c r="X26">
        <f>INDEX('AEO T23'!X$27:X$58,MATCH($D5,'AEO T23'!$B$27:$B$58,0))/INDEX('AEO T23'!$C$27:$C$58,MATCH($D5,'AEO T23'!$B$27:$B$58,0))</f>
        <v>1.1488892596334814</v>
      </c>
      <c r="Y26">
        <f>INDEX('AEO T23'!Y$27:Y$58,MATCH($D5,'AEO T23'!$B$27:$B$58,0))/INDEX('AEO T23'!$C$27:$C$58,MATCH($D5,'AEO T23'!$B$27:$B$58,0))</f>
        <v>1.1618067584804663</v>
      </c>
      <c r="Z26">
        <f>INDEX('AEO T23'!Z$27:Z$58,MATCH($D5,'AEO T23'!$B$27:$B$58,0))/INDEX('AEO T23'!$C$27:$C$58,MATCH($D5,'AEO T23'!$B$27:$B$58,0))</f>
        <v>1.1768466630281738</v>
      </c>
      <c r="AA26">
        <f>INDEX('AEO T23'!AA$27:AA$58,MATCH($D5,'AEO T23'!$B$27:$B$58,0))/INDEX('AEO T23'!$C$27:$C$58,MATCH($D5,'AEO T23'!$B$27:$B$58,0))</f>
        <v>1.1889712133958548</v>
      </c>
      <c r="AB26">
        <f>INDEX('AEO T23'!AB$27:AB$58,MATCH($D5,'AEO T23'!$B$27:$B$58,0))/INDEX('AEO T23'!$C$27:$C$58,MATCH($D5,'AEO T23'!$B$27:$B$58,0))</f>
        <v>1.2012293313085123</v>
      </c>
      <c r="AC26">
        <f>INDEX('AEO T23'!AC$27:AC$58,MATCH($D5,'AEO T23'!$B$27:$B$58,0))/INDEX('AEO T23'!$C$27:$C$58,MATCH($D5,'AEO T23'!$B$27:$B$58,0))</f>
        <v>1.2104561872646828</v>
      </c>
      <c r="AD26">
        <f>INDEX('AEO T23'!AD$27:AD$58,MATCH($D5,'AEO T23'!$B$27:$B$58,0))/INDEX('AEO T23'!$C$27:$C$58,MATCH($D5,'AEO T23'!$B$27:$B$58,0))</f>
        <v>1.2188605581568823</v>
      </c>
      <c r="AE26">
        <f>INDEX('AEO T23'!AE$27:AE$58,MATCH($D5,'AEO T23'!$B$27:$B$58,0))/INDEX('AEO T23'!$C$27:$C$58,MATCH($D5,'AEO T23'!$B$27:$B$58,0))</f>
        <v>1.2296822653204866</v>
      </c>
    </row>
    <row r="27" spans="1:31">
      <c r="A27" t="s">
        <v>1466</v>
      </c>
      <c r="B27" s="449" cm="1">
        <f t="array" ref="B27">TREND(C27:L27,C$24:L$24,B$24)</f>
        <v>0.9300275722018938</v>
      </c>
      <c r="C27">
        <f>INDEX('AEO T23'!C$27:C$58,MATCH($D6,'AEO T23'!$B$27:$B$58,0))/INDEX('AEO T23'!$C$27:$C$58,MATCH($D6,'AEO T23'!$B$27:$B$58,0))</f>
        <v>1</v>
      </c>
      <c r="D27">
        <f>INDEX('AEO T23'!D$27:D$58,MATCH($D6,'AEO T23'!$B$27:$B$58,0))/INDEX('AEO T23'!$C$27:$C$58,MATCH($D6,'AEO T23'!$B$27:$B$58,0))</f>
        <v>0.95489196363004547</v>
      </c>
      <c r="E27">
        <f>INDEX('AEO T23'!E$27:E$58,MATCH($D6,'AEO T23'!$B$27:$B$58,0))/INDEX('AEO T23'!$C$27:$C$58,MATCH($D6,'AEO T23'!$B$27:$B$58,0))</f>
        <v>0.93072031443551695</v>
      </c>
      <c r="F27">
        <f>INDEX('AEO T23'!F$27:F$58,MATCH($D6,'AEO T23'!$B$27:$B$58,0))/INDEX('AEO T23'!$C$27:$C$58,MATCH($D6,'AEO T23'!$B$27:$B$58,0))</f>
        <v>0.95611660298099754</v>
      </c>
      <c r="G27">
        <f>INDEX('AEO T23'!G$27:G$58,MATCH($D6,'AEO T23'!$B$27:$B$58,0))/INDEX('AEO T23'!$C$27:$C$58,MATCH($D6,'AEO T23'!$B$27:$B$58,0))</f>
        <v>0.98798450617686773</v>
      </c>
      <c r="H27">
        <f>INDEX('AEO T23'!H$27:H$58,MATCH($D6,'AEO T23'!$B$27:$B$58,0))/INDEX('AEO T23'!$C$27:$C$58,MATCH($D6,'AEO T23'!$B$27:$B$58,0))</f>
        <v>1.014669427905456</v>
      </c>
      <c r="I27">
        <f>INDEX('AEO T23'!I$27:I$58,MATCH($D6,'AEO T23'!$B$27:$B$58,0))/INDEX('AEO T23'!$C$27:$C$58,MATCH($D6,'AEO T23'!$B$27:$B$58,0))</f>
        <v>1.0352861222647771</v>
      </c>
      <c r="J27">
        <f>INDEX('AEO T23'!J$27:J$58,MATCH($D6,'AEO T23'!$B$27:$B$58,0))/INDEX('AEO T23'!$C$27:$C$58,MATCH($D6,'AEO T23'!$B$27:$B$58,0))</f>
        <v>1.0490228594739768</v>
      </c>
      <c r="K27">
        <f>INDEX('AEO T23'!K$27:K$58,MATCH($D6,'AEO T23'!$B$27:$B$58,0))/INDEX('AEO T23'!$C$27:$C$58,MATCH($D6,'AEO T23'!$B$27:$B$58,0))</f>
        <v>1.0615091391455236</v>
      </c>
      <c r="L27">
        <f>INDEX('AEO T23'!L$27:L$58,MATCH($D6,'AEO T23'!$B$27:$B$58,0))/INDEX('AEO T23'!$C$27:$C$58,MATCH($D6,'AEO T23'!$B$27:$B$58,0))</f>
        <v>1.0779582014336868</v>
      </c>
      <c r="M27">
        <f>INDEX('AEO T23'!M$27:M$58,MATCH($D6,'AEO T23'!$B$27:$B$58,0))/INDEX('AEO T23'!$C$27:$C$58,MATCH($D6,'AEO T23'!$B$27:$B$58,0))</f>
        <v>1.0969306449862528</v>
      </c>
      <c r="N27">
        <f>INDEX('AEO T23'!N$27:N$58,MATCH($D6,'AEO T23'!$B$27:$B$58,0))/INDEX('AEO T23'!$C$27:$C$58,MATCH($D6,'AEO T23'!$B$27:$B$58,0))</f>
        <v>1.1136829227756815</v>
      </c>
      <c r="O27">
        <f>INDEX('AEO T23'!O$27:O$58,MATCH($D6,'AEO T23'!$B$27:$B$58,0))/INDEX('AEO T23'!$C$27:$C$58,MATCH($D6,'AEO T23'!$B$27:$B$58,0))</f>
        <v>1.133245123832316</v>
      </c>
      <c r="P27">
        <f>INDEX('AEO T23'!P$27:P$58,MATCH($D6,'AEO T23'!$B$27:$B$58,0))/INDEX('AEO T23'!$C$27:$C$58,MATCH($D6,'AEO T23'!$B$27:$B$58,0))</f>
        <v>1.151628067239975</v>
      </c>
      <c r="Q27">
        <f>INDEX('AEO T23'!Q$27:Q$58,MATCH($D6,'AEO T23'!$B$27:$B$58,0))/INDEX('AEO T23'!$C$27:$C$58,MATCH($D6,'AEO T23'!$B$27:$B$58,0))</f>
        <v>1.1660215787007955</v>
      </c>
      <c r="R27">
        <f>INDEX('AEO T23'!R$27:R$58,MATCH($D6,'AEO T23'!$B$27:$B$58,0))/INDEX('AEO T23'!$C$27:$C$58,MATCH($D6,'AEO T23'!$B$27:$B$58,0))</f>
        <v>1.1819306487306176</v>
      </c>
      <c r="S27">
        <f>INDEX('AEO T23'!S$27:S$58,MATCH($D6,'AEO T23'!$B$27:$B$58,0))/INDEX('AEO T23'!$C$27:$C$58,MATCH($D6,'AEO T23'!$B$27:$B$58,0))</f>
        <v>1.1943813917428654</v>
      </c>
      <c r="T27">
        <f>INDEX('AEO T23'!T$27:T$58,MATCH($D6,'AEO T23'!$B$27:$B$58,0))/INDEX('AEO T23'!$C$27:$C$58,MATCH($D6,'AEO T23'!$B$27:$B$58,0))</f>
        <v>1.2101162591533767</v>
      </c>
      <c r="U27">
        <f>INDEX('AEO T23'!U$27:U$58,MATCH($D6,'AEO T23'!$B$27:$B$58,0))/INDEX('AEO T23'!$C$27:$C$58,MATCH($D6,'AEO T23'!$B$27:$B$58,0))</f>
        <v>1.2298338650630265</v>
      </c>
      <c r="V27">
        <f>INDEX('AEO T23'!V$27:V$58,MATCH($D6,'AEO T23'!$B$27:$B$58,0))/INDEX('AEO T23'!$C$27:$C$58,MATCH($D6,'AEO T23'!$B$27:$B$58,0))</f>
        <v>1.2469655788555485</v>
      </c>
      <c r="W27">
        <f>INDEX('AEO T23'!W$27:W$58,MATCH($D6,'AEO T23'!$B$27:$B$58,0))/INDEX('AEO T23'!$C$27:$C$58,MATCH($D6,'AEO T23'!$B$27:$B$58,0))</f>
        <v>1.2624166719289935</v>
      </c>
      <c r="X27">
        <f>INDEX('AEO T23'!X$27:X$58,MATCH($D6,'AEO T23'!$B$27:$B$58,0))/INDEX('AEO T23'!$C$27:$C$58,MATCH($D6,'AEO T23'!$B$27:$B$58,0))</f>
        <v>1.277742102008586</v>
      </c>
      <c r="Y27">
        <f>INDEX('AEO T23'!Y$27:Y$58,MATCH($D6,'AEO T23'!$B$27:$B$58,0))/INDEX('AEO T23'!$C$27:$C$58,MATCH($D6,'AEO T23'!$B$27:$B$58,0))</f>
        <v>1.289792550268652</v>
      </c>
      <c r="Z27">
        <f>INDEX('AEO T23'!Z$27:Z$58,MATCH($D6,'AEO T23'!$B$27:$B$58,0))/INDEX('AEO T23'!$C$27:$C$58,MATCH($D6,'AEO T23'!$B$27:$B$58,0))</f>
        <v>1.3003396708483907</v>
      </c>
      <c r="AA27">
        <f>INDEX('AEO T23'!AA$27:AA$58,MATCH($D6,'AEO T23'!$B$27:$B$58,0))/INDEX('AEO T23'!$C$27:$C$58,MATCH($D6,'AEO T23'!$B$27:$B$58,0))</f>
        <v>1.3169019078825703</v>
      </c>
      <c r="AB27">
        <f>INDEX('AEO T23'!AB$27:AB$58,MATCH($D6,'AEO T23'!$B$27:$B$58,0))/INDEX('AEO T23'!$C$27:$C$58,MATCH($D6,'AEO T23'!$B$27:$B$58,0))</f>
        <v>1.336099606095982</v>
      </c>
      <c r="AC27">
        <f>INDEX('AEO T23'!AC$27:AC$58,MATCH($D6,'AEO T23'!$B$27:$B$58,0))/INDEX('AEO T23'!$C$27:$C$58,MATCH($D6,'AEO T23'!$B$27:$B$58,0))</f>
        <v>1.3466562552932002</v>
      </c>
      <c r="AD27">
        <f>INDEX('AEO T23'!AD$27:AD$58,MATCH($D6,'AEO T23'!$B$27:$B$58,0))/INDEX('AEO T23'!$C$27:$C$58,MATCH($D6,'AEO T23'!$B$27:$B$58,0))</f>
        <v>1.3625100901403626</v>
      </c>
      <c r="AE27">
        <f>INDEX('AEO T23'!AE$27:AE$58,MATCH($D6,'AEO T23'!$B$27:$B$58,0))/INDEX('AEO T23'!$C$27:$C$58,MATCH($D6,'AEO T23'!$B$27:$B$58,0))</f>
        <v>1.3892769638858753</v>
      </c>
    </row>
    <row r="28" spans="1:31">
      <c r="A28" t="s">
        <v>1468</v>
      </c>
      <c r="B28" s="449" cm="1">
        <f t="array" ref="B28">TREND(C28:L28,C$24:L$24,B$24)</f>
        <v>0.95501711020713032</v>
      </c>
      <c r="C28">
        <f>INDEX('AEO T23'!C$27:C$58,MATCH($D7,'AEO T23'!$B$27:$B$58,0))/INDEX('AEO T23'!$C$27:$C$58,MATCH($D7,'AEO T23'!$B$27:$B$58,0))</f>
        <v>1</v>
      </c>
      <c r="D28">
        <f>INDEX('AEO T23'!D$27:D$58,MATCH($D7,'AEO T23'!$B$27:$B$58,0))/INDEX('AEO T23'!$C$27:$C$58,MATCH($D7,'AEO T23'!$B$27:$B$58,0))</f>
        <v>0.99721578941400069</v>
      </c>
      <c r="E28">
        <f>INDEX('AEO T23'!E$27:E$58,MATCH($D7,'AEO T23'!$B$27:$B$58,0))/INDEX('AEO T23'!$C$27:$C$58,MATCH($D7,'AEO T23'!$B$27:$B$58,0))</f>
        <v>1.0154389190469324</v>
      </c>
      <c r="F28">
        <f>INDEX('AEO T23'!F$27:F$58,MATCH($D7,'AEO T23'!$B$27:$B$58,0))/INDEX('AEO T23'!$C$27:$C$58,MATCH($D7,'AEO T23'!$B$27:$B$58,0))</f>
        <v>1.0494555596709558</v>
      </c>
      <c r="G28">
        <f>INDEX('AEO T23'!G$27:G$58,MATCH($D7,'AEO T23'!$B$27:$B$58,0))/INDEX('AEO T23'!$C$27:$C$58,MATCH($D7,'AEO T23'!$B$27:$B$58,0))</f>
        <v>1.0913494606572394</v>
      </c>
      <c r="H28">
        <f>INDEX('AEO T23'!H$27:H$58,MATCH($D7,'AEO T23'!$B$27:$B$58,0))/INDEX('AEO T23'!$C$27:$C$58,MATCH($D7,'AEO T23'!$B$27:$B$58,0))</f>
        <v>1.1263496372108472</v>
      </c>
      <c r="I28">
        <f>INDEX('AEO T23'!I$27:I$58,MATCH($D7,'AEO T23'!$B$27:$B$58,0))/INDEX('AEO T23'!$C$27:$C$58,MATCH($D7,'AEO T23'!$B$27:$B$58,0))</f>
        <v>1.1515855277856539</v>
      </c>
      <c r="J28">
        <f>INDEX('AEO T23'!J$27:J$58,MATCH($D7,'AEO T23'!$B$27:$B$58,0))/INDEX('AEO T23'!$C$27:$C$58,MATCH($D7,'AEO T23'!$B$27:$B$58,0))</f>
        <v>1.17174721818327</v>
      </c>
      <c r="K28">
        <f>INDEX('AEO T23'!K$27:K$58,MATCH($D7,'AEO T23'!$B$27:$B$58,0))/INDEX('AEO T23'!$C$27:$C$58,MATCH($D7,'AEO T23'!$B$27:$B$58,0))</f>
        <v>1.1888081925693976</v>
      </c>
      <c r="L28">
        <f>INDEX('AEO T23'!L$27:L$58,MATCH($D7,'AEO T23'!$B$27:$B$58,0))/INDEX('AEO T23'!$C$27:$C$58,MATCH($D7,'AEO T23'!$B$27:$B$58,0))</f>
        <v>1.210209868122309</v>
      </c>
      <c r="M28">
        <f>INDEX('AEO T23'!M$27:M$58,MATCH($D7,'AEO T23'!$B$27:$B$58,0))/INDEX('AEO T23'!$C$27:$C$58,MATCH($D7,'AEO T23'!$B$27:$B$58,0))</f>
        <v>1.2377535219970195</v>
      </c>
      <c r="N28">
        <f>INDEX('AEO T23'!N$27:N$58,MATCH($D7,'AEO T23'!$B$27:$B$58,0))/INDEX('AEO T23'!$C$27:$C$58,MATCH($D7,'AEO T23'!$B$27:$B$58,0))</f>
        <v>1.2606514167528653</v>
      </c>
      <c r="O28">
        <f>INDEX('AEO T23'!O$27:O$58,MATCH($D7,'AEO T23'!$B$27:$B$58,0))/INDEX('AEO T23'!$C$27:$C$58,MATCH($D7,'AEO T23'!$B$27:$B$58,0))</f>
        <v>1.2862990290498357</v>
      </c>
      <c r="P28">
        <f>INDEX('AEO T23'!P$27:P$58,MATCH($D7,'AEO T23'!$B$27:$B$58,0))/INDEX('AEO T23'!$C$27:$C$58,MATCH($D7,'AEO T23'!$B$27:$B$58,0))</f>
        <v>1.3111908068525695</v>
      </c>
      <c r="Q28">
        <f>INDEX('AEO T23'!Q$27:Q$58,MATCH($D7,'AEO T23'!$B$27:$B$58,0))/INDEX('AEO T23'!$C$27:$C$58,MATCH($D7,'AEO T23'!$B$27:$B$58,0))</f>
        <v>1.3287891884724718</v>
      </c>
      <c r="R28">
        <f>INDEX('AEO T23'!R$27:R$58,MATCH($D7,'AEO T23'!$B$27:$B$58,0))/INDEX('AEO T23'!$C$27:$C$58,MATCH($D7,'AEO T23'!$B$27:$B$58,0))</f>
        <v>1.3452041767699048</v>
      </c>
      <c r="S28">
        <f>INDEX('AEO T23'!S$27:S$58,MATCH($D7,'AEO T23'!$B$27:$B$58,0))/INDEX('AEO T23'!$C$27:$C$58,MATCH($D7,'AEO T23'!$B$27:$B$58,0))</f>
        <v>1.3605891506742915</v>
      </c>
      <c r="T28">
        <f>INDEX('AEO T23'!T$27:T$58,MATCH($D7,'AEO T23'!$B$27:$B$58,0))/INDEX('AEO T23'!$C$27:$C$58,MATCH($D7,'AEO T23'!$B$27:$B$58,0))</f>
        <v>1.3657909729657371</v>
      </c>
      <c r="U28">
        <f>INDEX('AEO T23'!U$27:U$58,MATCH($D7,'AEO T23'!$B$27:$B$58,0))/INDEX('AEO T23'!$C$27:$C$58,MATCH($D7,'AEO T23'!$B$27:$B$58,0))</f>
        <v>1.373853759861315</v>
      </c>
      <c r="V28">
        <f>INDEX('AEO T23'!V$27:V$58,MATCH($D7,'AEO T23'!$B$27:$B$58,0))/INDEX('AEO T23'!$C$27:$C$58,MATCH($D7,'AEO T23'!$B$27:$B$58,0))</f>
        <v>1.3869907038984692</v>
      </c>
      <c r="W28">
        <f>INDEX('AEO T23'!W$27:W$58,MATCH($D7,'AEO T23'!$B$27:$B$58,0))/INDEX('AEO T23'!$C$27:$C$58,MATCH($D7,'AEO T23'!$B$27:$B$58,0))</f>
        <v>1.3921734829305796</v>
      </c>
      <c r="X28">
        <f>INDEX('AEO T23'!X$27:X$58,MATCH($D7,'AEO T23'!$B$27:$B$58,0))/INDEX('AEO T23'!$C$27:$C$58,MATCH($D7,'AEO T23'!$B$27:$B$58,0))</f>
        <v>1.3899112513106227</v>
      </c>
      <c r="Y28">
        <f>INDEX('AEO T23'!Y$27:Y$58,MATCH($D7,'AEO T23'!$B$27:$B$58,0))/INDEX('AEO T23'!$C$27:$C$58,MATCH($D7,'AEO T23'!$B$27:$B$58,0))</f>
        <v>1.3827650369287532</v>
      </c>
      <c r="Z28">
        <f>INDEX('AEO T23'!Z$27:Z$58,MATCH($D7,'AEO T23'!$B$27:$B$58,0))/INDEX('AEO T23'!$C$27:$C$58,MATCH($D7,'AEO T23'!$B$27:$B$58,0))</f>
        <v>1.3739193461375332</v>
      </c>
      <c r="AA28">
        <f>INDEX('AEO T23'!AA$27:AA$58,MATCH($D7,'AEO T23'!$B$27:$B$58,0))/INDEX('AEO T23'!$C$27:$C$58,MATCH($D7,'AEO T23'!$B$27:$B$58,0))</f>
        <v>1.3719234619345795</v>
      </c>
      <c r="AB28">
        <f>INDEX('AEO T23'!AB$27:AB$58,MATCH($D7,'AEO T23'!$B$27:$B$58,0))/INDEX('AEO T23'!$C$27:$C$58,MATCH($D7,'AEO T23'!$B$27:$B$58,0))</f>
        <v>1.3760786365680457</v>
      </c>
      <c r="AC28">
        <f>INDEX('AEO T23'!AC$27:AC$58,MATCH($D7,'AEO T23'!$B$27:$B$58,0))/INDEX('AEO T23'!$C$27:$C$58,MATCH($D7,'AEO T23'!$B$27:$B$58,0))</f>
        <v>1.3727557922332636</v>
      </c>
      <c r="AD28">
        <f>INDEX('AEO T23'!AD$27:AD$58,MATCH($D7,'AEO T23'!$B$27:$B$58,0))/INDEX('AEO T23'!$C$27:$C$58,MATCH($D7,'AEO T23'!$B$27:$B$58,0))</f>
        <v>1.3719022884123357</v>
      </c>
      <c r="AE28">
        <f>INDEX('AEO T23'!AE$27:AE$58,MATCH($D7,'AEO T23'!$B$27:$B$58,0))/INDEX('AEO T23'!$C$27:$C$58,MATCH($D7,'AEO T23'!$B$27:$B$58,0))</f>
        <v>1.3799497115936028</v>
      </c>
    </row>
    <row r="29" spans="1:31">
      <c r="A29" t="s">
        <v>1470</v>
      </c>
      <c r="B29" s="449" cm="1">
        <f t="array" ref="B29">TREND(C29:L29,C$24:L$24,B$24)</f>
        <v>0.94908704489538209</v>
      </c>
      <c r="C29">
        <f>INDEX('AEO T23'!C$27:C$58,MATCH($D8,'AEO T23'!$B$27:$B$58,0))/INDEX('AEO T23'!$C$27:$C$58,MATCH($D8,'AEO T23'!$B$27:$B$58,0))</f>
        <v>1</v>
      </c>
      <c r="D29">
        <f>INDEX('AEO T23'!D$27:D$58,MATCH($D8,'AEO T23'!$B$27:$B$58,0))/INDEX('AEO T23'!$C$27:$C$58,MATCH($D8,'AEO T23'!$B$27:$B$58,0))</f>
        <v>0.9553835897595977</v>
      </c>
      <c r="E29">
        <f>INDEX('AEO T23'!E$27:E$58,MATCH($D8,'AEO T23'!$B$27:$B$58,0))/INDEX('AEO T23'!$C$27:$C$58,MATCH($D8,'AEO T23'!$B$27:$B$58,0))</f>
        <v>0.94358624256774026</v>
      </c>
      <c r="F29">
        <f>INDEX('AEO T23'!F$27:F$58,MATCH($D8,'AEO T23'!$B$27:$B$58,0))/INDEX('AEO T23'!$C$27:$C$58,MATCH($D8,'AEO T23'!$B$27:$B$58,0))</f>
        <v>0.95889707532469559</v>
      </c>
      <c r="G29">
        <f>INDEX('AEO T23'!G$27:G$58,MATCH($D8,'AEO T23'!$B$27:$B$58,0))/INDEX('AEO T23'!$C$27:$C$58,MATCH($D8,'AEO T23'!$B$27:$B$58,0))</f>
        <v>0.97347726625042263</v>
      </c>
      <c r="H29">
        <f>INDEX('AEO T23'!H$27:H$58,MATCH($D8,'AEO T23'!$B$27:$B$58,0))/INDEX('AEO T23'!$C$27:$C$58,MATCH($D8,'AEO T23'!$B$27:$B$58,0))</f>
        <v>0.98295577390795319</v>
      </c>
      <c r="I29">
        <f>INDEX('AEO T23'!I$27:I$58,MATCH($D8,'AEO T23'!$B$27:$B$58,0))/INDEX('AEO T23'!$C$27:$C$58,MATCH($D8,'AEO T23'!$B$27:$B$58,0))</f>
        <v>0.99191493513361817</v>
      </c>
      <c r="J29">
        <f>INDEX('AEO T23'!J$27:J$58,MATCH($D8,'AEO T23'!$B$27:$B$58,0))/INDEX('AEO T23'!$C$27:$C$58,MATCH($D8,'AEO T23'!$B$27:$B$58,0))</f>
        <v>1.003786154878284</v>
      </c>
      <c r="K29">
        <f>INDEX('AEO T23'!K$27:K$58,MATCH($D8,'AEO T23'!$B$27:$B$58,0))/INDEX('AEO T23'!$C$27:$C$58,MATCH($D8,'AEO T23'!$B$27:$B$58,0))</f>
        <v>1.0162864727852083</v>
      </c>
      <c r="L29">
        <f>INDEX('AEO T23'!L$27:L$58,MATCH($D8,'AEO T23'!$B$27:$B$58,0))/INDEX('AEO T23'!$C$27:$C$58,MATCH($D8,'AEO T23'!$B$27:$B$58,0))</f>
        <v>1.0283998925241413</v>
      </c>
      <c r="M29">
        <f>INDEX('AEO T23'!M$27:M$58,MATCH($D8,'AEO T23'!$B$27:$B$58,0))/INDEX('AEO T23'!$C$27:$C$58,MATCH($D8,'AEO T23'!$B$27:$B$58,0))</f>
        <v>1.0369673053637007</v>
      </c>
      <c r="N29">
        <f>INDEX('AEO T23'!N$27:N$58,MATCH($D8,'AEO T23'!$B$27:$B$58,0))/INDEX('AEO T23'!$C$27:$C$58,MATCH($D8,'AEO T23'!$B$27:$B$58,0))</f>
        <v>1.0408961685826374</v>
      </c>
      <c r="O29">
        <f>INDEX('AEO T23'!O$27:O$58,MATCH($D8,'AEO T23'!$B$27:$B$58,0))/INDEX('AEO T23'!$C$27:$C$58,MATCH($D8,'AEO T23'!$B$27:$B$58,0))</f>
        <v>1.0479186625884209</v>
      </c>
      <c r="P29">
        <f>INDEX('AEO T23'!P$27:P$58,MATCH($D8,'AEO T23'!$B$27:$B$58,0))/INDEX('AEO T23'!$C$27:$C$58,MATCH($D8,'AEO T23'!$B$27:$B$58,0))</f>
        <v>1.0636929399043675</v>
      </c>
      <c r="Q29">
        <f>INDEX('AEO T23'!Q$27:Q$58,MATCH($D8,'AEO T23'!$B$27:$B$58,0))/INDEX('AEO T23'!$C$27:$C$58,MATCH($D8,'AEO T23'!$B$27:$B$58,0))</f>
        <v>1.076501371026078</v>
      </c>
      <c r="R29">
        <f>INDEX('AEO T23'!R$27:R$58,MATCH($D8,'AEO T23'!$B$27:$B$58,0))/INDEX('AEO T23'!$C$27:$C$58,MATCH($D8,'AEO T23'!$B$27:$B$58,0))</f>
        <v>1.0872451637884455</v>
      </c>
      <c r="S29">
        <f>INDEX('AEO T23'!S$27:S$58,MATCH($D8,'AEO T23'!$B$27:$B$58,0))/INDEX('AEO T23'!$C$27:$C$58,MATCH($D8,'AEO T23'!$B$27:$B$58,0))</f>
        <v>1.0988124365313205</v>
      </c>
      <c r="T29">
        <f>INDEX('AEO T23'!T$27:T$58,MATCH($D8,'AEO T23'!$B$27:$B$58,0))/INDEX('AEO T23'!$C$27:$C$58,MATCH($D8,'AEO T23'!$B$27:$B$58,0))</f>
        <v>1.1077194268211215</v>
      </c>
      <c r="U29">
        <f>INDEX('AEO T23'!U$27:U$58,MATCH($D8,'AEO T23'!$B$27:$B$58,0))/INDEX('AEO T23'!$C$27:$C$58,MATCH($D8,'AEO T23'!$B$27:$B$58,0))</f>
        <v>1.1196905113131026</v>
      </c>
      <c r="V29">
        <f>INDEX('AEO T23'!V$27:V$58,MATCH($D8,'AEO T23'!$B$27:$B$58,0))/INDEX('AEO T23'!$C$27:$C$58,MATCH($D8,'AEO T23'!$B$27:$B$58,0))</f>
        <v>1.1330013752855643</v>
      </c>
      <c r="W29">
        <f>INDEX('AEO T23'!W$27:W$58,MATCH($D8,'AEO T23'!$B$27:$B$58,0))/INDEX('AEO T23'!$C$27:$C$58,MATCH($D8,'AEO T23'!$B$27:$B$58,0))</f>
        <v>1.143491464331216</v>
      </c>
      <c r="X29">
        <f>INDEX('AEO T23'!X$27:X$58,MATCH($D8,'AEO T23'!$B$27:$B$58,0))/INDEX('AEO T23'!$C$27:$C$58,MATCH($D8,'AEO T23'!$B$27:$B$58,0))</f>
        <v>1.1488892596334814</v>
      </c>
      <c r="Y29">
        <f>INDEX('AEO T23'!Y$27:Y$58,MATCH($D8,'AEO T23'!$B$27:$B$58,0))/INDEX('AEO T23'!$C$27:$C$58,MATCH($D8,'AEO T23'!$B$27:$B$58,0))</f>
        <v>1.1618067584804663</v>
      </c>
      <c r="Z29">
        <f>INDEX('AEO T23'!Z$27:Z$58,MATCH($D8,'AEO T23'!$B$27:$B$58,0))/INDEX('AEO T23'!$C$27:$C$58,MATCH($D8,'AEO T23'!$B$27:$B$58,0))</f>
        <v>1.1768466630281738</v>
      </c>
      <c r="AA29">
        <f>INDEX('AEO T23'!AA$27:AA$58,MATCH($D8,'AEO T23'!$B$27:$B$58,0))/INDEX('AEO T23'!$C$27:$C$58,MATCH($D8,'AEO T23'!$B$27:$B$58,0))</f>
        <v>1.1889712133958548</v>
      </c>
      <c r="AB29">
        <f>INDEX('AEO T23'!AB$27:AB$58,MATCH($D8,'AEO T23'!$B$27:$B$58,0))/INDEX('AEO T23'!$C$27:$C$58,MATCH($D8,'AEO T23'!$B$27:$B$58,0))</f>
        <v>1.2012293313085123</v>
      </c>
      <c r="AC29">
        <f>INDEX('AEO T23'!AC$27:AC$58,MATCH($D8,'AEO T23'!$B$27:$B$58,0))/INDEX('AEO T23'!$C$27:$C$58,MATCH($D8,'AEO T23'!$B$27:$B$58,0))</f>
        <v>1.2104561872646828</v>
      </c>
      <c r="AD29">
        <f>INDEX('AEO T23'!AD$27:AD$58,MATCH($D8,'AEO T23'!$B$27:$B$58,0))/INDEX('AEO T23'!$C$27:$C$58,MATCH($D8,'AEO T23'!$B$27:$B$58,0))</f>
        <v>1.2188605581568823</v>
      </c>
      <c r="AE29">
        <f>INDEX('AEO T23'!AE$27:AE$58,MATCH($D8,'AEO T23'!$B$27:$B$58,0))/INDEX('AEO T23'!$C$27:$C$58,MATCH($D8,'AEO T23'!$B$27:$B$58,0))</f>
        <v>1.2296822653204866</v>
      </c>
    </row>
    <row r="30" spans="1:31">
      <c r="A30" t="s">
        <v>1471</v>
      </c>
      <c r="B30" s="449" cm="1">
        <f t="array" ref="B30">TREND(C30:L30,C$24:L$24,B$24)</f>
        <v>0.94908704489538209</v>
      </c>
      <c r="C30">
        <f>INDEX('AEO T23'!C$27:C$58,MATCH($D9,'AEO T23'!$B$27:$B$58,0))/INDEX('AEO T23'!$C$27:$C$58,MATCH($D9,'AEO T23'!$B$27:$B$58,0))</f>
        <v>1</v>
      </c>
      <c r="D30">
        <f>INDEX('AEO T23'!D$27:D$58,MATCH($D9,'AEO T23'!$B$27:$B$58,0))/INDEX('AEO T23'!$C$27:$C$58,MATCH($D9,'AEO T23'!$B$27:$B$58,0))</f>
        <v>0.9553835897595977</v>
      </c>
      <c r="E30">
        <f>INDEX('AEO T23'!E$27:E$58,MATCH($D9,'AEO T23'!$B$27:$B$58,0))/INDEX('AEO T23'!$C$27:$C$58,MATCH($D9,'AEO T23'!$B$27:$B$58,0))</f>
        <v>0.94358624256774026</v>
      </c>
      <c r="F30">
        <f>INDEX('AEO T23'!F$27:F$58,MATCH($D9,'AEO T23'!$B$27:$B$58,0))/INDEX('AEO T23'!$C$27:$C$58,MATCH($D9,'AEO T23'!$B$27:$B$58,0))</f>
        <v>0.95889707532469559</v>
      </c>
      <c r="G30">
        <f>INDEX('AEO T23'!G$27:G$58,MATCH($D9,'AEO T23'!$B$27:$B$58,0))/INDEX('AEO T23'!$C$27:$C$58,MATCH($D9,'AEO T23'!$B$27:$B$58,0))</f>
        <v>0.97347726625042263</v>
      </c>
      <c r="H30">
        <f>INDEX('AEO T23'!H$27:H$58,MATCH($D9,'AEO T23'!$B$27:$B$58,0))/INDEX('AEO T23'!$C$27:$C$58,MATCH($D9,'AEO T23'!$B$27:$B$58,0))</f>
        <v>0.98295577390795319</v>
      </c>
      <c r="I30">
        <f>INDEX('AEO T23'!I$27:I$58,MATCH($D9,'AEO T23'!$B$27:$B$58,0))/INDEX('AEO T23'!$C$27:$C$58,MATCH($D9,'AEO T23'!$B$27:$B$58,0))</f>
        <v>0.99191493513361817</v>
      </c>
      <c r="J30">
        <f>INDEX('AEO T23'!J$27:J$58,MATCH($D9,'AEO T23'!$B$27:$B$58,0))/INDEX('AEO T23'!$C$27:$C$58,MATCH($D9,'AEO T23'!$B$27:$B$58,0))</f>
        <v>1.003786154878284</v>
      </c>
      <c r="K30">
        <f>INDEX('AEO T23'!K$27:K$58,MATCH($D9,'AEO T23'!$B$27:$B$58,0))/INDEX('AEO T23'!$C$27:$C$58,MATCH($D9,'AEO T23'!$B$27:$B$58,0))</f>
        <v>1.0162864727852083</v>
      </c>
      <c r="L30">
        <f>INDEX('AEO T23'!L$27:L$58,MATCH($D9,'AEO T23'!$B$27:$B$58,0))/INDEX('AEO T23'!$C$27:$C$58,MATCH($D9,'AEO T23'!$B$27:$B$58,0))</f>
        <v>1.0283998925241413</v>
      </c>
      <c r="M30">
        <f>INDEX('AEO T23'!M$27:M$58,MATCH($D9,'AEO T23'!$B$27:$B$58,0))/INDEX('AEO T23'!$C$27:$C$58,MATCH($D9,'AEO T23'!$B$27:$B$58,0))</f>
        <v>1.0369673053637007</v>
      </c>
      <c r="N30">
        <f>INDEX('AEO T23'!N$27:N$58,MATCH($D9,'AEO T23'!$B$27:$B$58,0))/INDEX('AEO T23'!$C$27:$C$58,MATCH($D9,'AEO T23'!$B$27:$B$58,0))</f>
        <v>1.0408961685826374</v>
      </c>
      <c r="O30">
        <f>INDEX('AEO T23'!O$27:O$58,MATCH($D9,'AEO T23'!$B$27:$B$58,0))/INDEX('AEO T23'!$C$27:$C$58,MATCH($D9,'AEO T23'!$B$27:$B$58,0))</f>
        <v>1.0479186625884209</v>
      </c>
      <c r="P30">
        <f>INDEX('AEO T23'!P$27:P$58,MATCH($D9,'AEO T23'!$B$27:$B$58,0))/INDEX('AEO T23'!$C$27:$C$58,MATCH($D9,'AEO T23'!$B$27:$B$58,0))</f>
        <v>1.0636929399043675</v>
      </c>
      <c r="Q30">
        <f>INDEX('AEO T23'!Q$27:Q$58,MATCH($D9,'AEO T23'!$B$27:$B$58,0))/INDEX('AEO T23'!$C$27:$C$58,MATCH($D9,'AEO T23'!$B$27:$B$58,0))</f>
        <v>1.076501371026078</v>
      </c>
      <c r="R30">
        <f>INDEX('AEO T23'!R$27:R$58,MATCH($D9,'AEO T23'!$B$27:$B$58,0))/INDEX('AEO T23'!$C$27:$C$58,MATCH($D9,'AEO T23'!$B$27:$B$58,0))</f>
        <v>1.0872451637884455</v>
      </c>
      <c r="S30">
        <f>INDEX('AEO T23'!S$27:S$58,MATCH($D9,'AEO T23'!$B$27:$B$58,0))/INDEX('AEO T23'!$C$27:$C$58,MATCH($D9,'AEO T23'!$B$27:$B$58,0))</f>
        <v>1.0988124365313205</v>
      </c>
      <c r="T30">
        <f>INDEX('AEO T23'!T$27:T$58,MATCH($D9,'AEO T23'!$B$27:$B$58,0))/INDEX('AEO T23'!$C$27:$C$58,MATCH($D9,'AEO T23'!$B$27:$B$58,0))</f>
        <v>1.1077194268211215</v>
      </c>
      <c r="U30">
        <f>INDEX('AEO T23'!U$27:U$58,MATCH($D9,'AEO T23'!$B$27:$B$58,0))/INDEX('AEO T23'!$C$27:$C$58,MATCH($D9,'AEO T23'!$B$27:$B$58,0))</f>
        <v>1.1196905113131026</v>
      </c>
      <c r="V30">
        <f>INDEX('AEO T23'!V$27:V$58,MATCH($D9,'AEO T23'!$B$27:$B$58,0))/INDEX('AEO T23'!$C$27:$C$58,MATCH($D9,'AEO T23'!$B$27:$B$58,0))</f>
        <v>1.1330013752855643</v>
      </c>
      <c r="W30">
        <f>INDEX('AEO T23'!W$27:W$58,MATCH($D9,'AEO T23'!$B$27:$B$58,0))/INDEX('AEO T23'!$C$27:$C$58,MATCH($D9,'AEO T23'!$B$27:$B$58,0))</f>
        <v>1.143491464331216</v>
      </c>
      <c r="X30">
        <f>INDEX('AEO T23'!X$27:X$58,MATCH($D9,'AEO T23'!$B$27:$B$58,0))/INDEX('AEO T23'!$C$27:$C$58,MATCH($D9,'AEO T23'!$B$27:$B$58,0))</f>
        <v>1.1488892596334814</v>
      </c>
      <c r="Y30">
        <f>INDEX('AEO T23'!Y$27:Y$58,MATCH($D9,'AEO T23'!$B$27:$B$58,0))/INDEX('AEO T23'!$C$27:$C$58,MATCH($D9,'AEO T23'!$B$27:$B$58,0))</f>
        <v>1.1618067584804663</v>
      </c>
      <c r="Z30">
        <f>INDEX('AEO T23'!Z$27:Z$58,MATCH($D9,'AEO T23'!$B$27:$B$58,0))/INDEX('AEO T23'!$C$27:$C$58,MATCH($D9,'AEO T23'!$B$27:$B$58,0))</f>
        <v>1.1768466630281738</v>
      </c>
      <c r="AA30">
        <f>INDEX('AEO T23'!AA$27:AA$58,MATCH($D9,'AEO T23'!$B$27:$B$58,0))/INDEX('AEO T23'!$C$27:$C$58,MATCH($D9,'AEO T23'!$B$27:$B$58,0))</f>
        <v>1.1889712133958548</v>
      </c>
      <c r="AB30">
        <f>INDEX('AEO T23'!AB$27:AB$58,MATCH($D9,'AEO T23'!$B$27:$B$58,0))/INDEX('AEO T23'!$C$27:$C$58,MATCH($D9,'AEO T23'!$B$27:$B$58,0))</f>
        <v>1.2012293313085123</v>
      </c>
      <c r="AC30">
        <f>INDEX('AEO T23'!AC$27:AC$58,MATCH($D9,'AEO T23'!$B$27:$B$58,0))/INDEX('AEO T23'!$C$27:$C$58,MATCH($D9,'AEO T23'!$B$27:$B$58,0))</f>
        <v>1.2104561872646828</v>
      </c>
      <c r="AD30">
        <f>INDEX('AEO T23'!AD$27:AD$58,MATCH($D9,'AEO T23'!$B$27:$B$58,0))/INDEX('AEO T23'!$C$27:$C$58,MATCH($D9,'AEO T23'!$B$27:$B$58,0))</f>
        <v>1.2188605581568823</v>
      </c>
      <c r="AE30">
        <f>INDEX('AEO T23'!AE$27:AE$58,MATCH($D9,'AEO T23'!$B$27:$B$58,0))/INDEX('AEO T23'!$C$27:$C$58,MATCH($D9,'AEO T23'!$B$27:$B$58,0))</f>
        <v>1.2296822653204866</v>
      </c>
    </row>
    <row r="31" spans="1:31">
      <c r="A31" t="s">
        <v>1472</v>
      </c>
      <c r="B31" s="449" cm="1">
        <f t="array" ref="B31">TREND(C31:L31,C$24:L$24,B$24)</f>
        <v>0.98739102281914093</v>
      </c>
      <c r="C31">
        <f>INDEX('AEO T23'!C$27:C$58,MATCH($D10,'AEO T23'!$B$27:$B$58,0))/INDEX('AEO T23'!$C$27:$C$58,MATCH($D10,'AEO T23'!$B$27:$B$58,0))</f>
        <v>1</v>
      </c>
      <c r="D31">
        <f>INDEX('AEO T23'!D$27:D$58,MATCH($D10,'AEO T23'!$B$27:$B$58,0))/INDEX('AEO T23'!$C$27:$C$58,MATCH($D10,'AEO T23'!$B$27:$B$58,0))</f>
        <v>0.98472949204166094</v>
      </c>
      <c r="E31">
        <f>INDEX('AEO T23'!E$27:E$58,MATCH($D10,'AEO T23'!$B$27:$B$58,0))/INDEX('AEO T23'!$C$27:$C$58,MATCH($D10,'AEO T23'!$B$27:$B$58,0))</f>
        <v>0.97212275117829705</v>
      </c>
      <c r="F31">
        <f>INDEX('AEO T23'!F$27:F$58,MATCH($D10,'AEO T23'!$B$27:$B$58,0))/INDEX('AEO T23'!$C$27:$C$58,MATCH($D10,'AEO T23'!$B$27:$B$58,0))</f>
        <v>0.96252210740065602</v>
      </c>
      <c r="G31">
        <f>INDEX('AEO T23'!G$27:G$58,MATCH($D10,'AEO T23'!$B$27:$B$58,0))/INDEX('AEO T23'!$C$27:$C$58,MATCH($D10,'AEO T23'!$B$27:$B$58,0))</f>
        <v>0.95895867411264668</v>
      </c>
      <c r="H31">
        <f>INDEX('AEO T23'!H$27:H$58,MATCH($D10,'AEO T23'!$B$27:$B$58,0))/INDEX('AEO T23'!$C$27:$C$58,MATCH($D10,'AEO T23'!$B$27:$B$58,0))</f>
        <v>0.9594040634764992</v>
      </c>
      <c r="I31">
        <f>INDEX('AEO T23'!I$27:I$58,MATCH($D10,'AEO T23'!$B$27:$B$58,0))/INDEX('AEO T23'!$C$27:$C$58,MATCH($D10,'AEO T23'!$B$27:$B$58,0))</f>
        <v>0.96214245276512023</v>
      </c>
      <c r="J31">
        <f>INDEX('AEO T23'!J$27:J$58,MATCH($D10,'AEO T23'!$B$27:$B$58,0))/INDEX('AEO T23'!$C$27:$C$58,MATCH($D10,'AEO T23'!$B$27:$B$58,0))</f>
        <v>0.96337919233831126</v>
      </c>
      <c r="K31">
        <f>INDEX('AEO T23'!K$27:K$58,MATCH($D10,'AEO T23'!$B$27:$B$58,0))/INDEX('AEO T23'!$C$27:$C$58,MATCH($D10,'AEO T23'!$B$27:$B$58,0))</f>
        <v>0.96203340519129055</v>
      </c>
      <c r="L31">
        <f>INDEX('AEO T23'!L$27:L$58,MATCH($D10,'AEO T23'!$B$27:$B$58,0))/INDEX('AEO T23'!$C$27:$C$58,MATCH($D10,'AEO T23'!$B$27:$B$58,0))</f>
        <v>0.95957161793908341</v>
      </c>
      <c r="M31">
        <f>INDEX('AEO T23'!M$27:M$58,MATCH($D10,'AEO T23'!$B$27:$B$58,0))/INDEX('AEO T23'!$C$27:$C$58,MATCH($D10,'AEO T23'!$B$27:$B$58,0))</f>
        <v>0.95864165849532423</v>
      </c>
      <c r="N31">
        <f>INDEX('AEO T23'!N$27:N$58,MATCH($D10,'AEO T23'!$B$27:$B$58,0))/INDEX('AEO T23'!$C$27:$C$58,MATCH($D10,'AEO T23'!$B$27:$B$58,0))</f>
        <v>0.95706878712557442</v>
      </c>
      <c r="O31">
        <f>INDEX('AEO T23'!O$27:O$58,MATCH($D10,'AEO T23'!$B$27:$B$58,0))/INDEX('AEO T23'!$C$27:$C$58,MATCH($D10,'AEO T23'!$B$27:$B$58,0))</f>
        <v>0.95279691040273895</v>
      </c>
      <c r="P31">
        <f>INDEX('AEO T23'!P$27:P$58,MATCH($D10,'AEO T23'!$B$27:$B$58,0))/INDEX('AEO T23'!$C$27:$C$58,MATCH($D10,'AEO T23'!$B$27:$B$58,0))</f>
        <v>0.94753336325356341</v>
      </c>
      <c r="Q31">
        <f>INDEX('AEO T23'!Q$27:Q$58,MATCH($D10,'AEO T23'!$B$27:$B$58,0))/INDEX('AEO T23'!$C$27:$C$58,MATCH($D10,'AEO T23'!$B$27:$B$58,0))</f>
        <v>0.94278612229333847</v>
      </c>
      <c r="R31">
        <f>INDEX('AEO T23'!R$27:R$58,MATCH($D10,'AEO T23'!$B$27:$B$58,0))/INDEX('AEO T23'!$C$27:$C$58,MATCH($D10,'AEO T23'!$B$27:$B$58,0))</f>
        <v>0.93905638095556543</v>
      </c>
      <c r="S31">
        <f>INDEX('AEO T23'!S$27:S$58,MATCH($D10,'AEO T23'!$B$27:$B$58,0))/INDEX('AEO T23'!$C$27:$C$58,MATCH($D10,'AEO T23'!$B$27:$B$58,0))</f>
        <v>0.9358785905038165</v>
      </c>
      <c r="T31">
        <f>INDEX('AEO T23'!T$27:T$58,MATCH($D10,'AEO T23'!$B$27:$B$58,0))/INDEX('AEO T23'!$C$27:$C$58,MATCH($D10,'AEO T23'!$B$27:$B$58,0))</f>
        <v>0.93299724985785137</v>
      </c>
      <c r="U31">
        <f>INDEX('AEO T23'!U$27:U$58,MATCH($D10,'AEO T23'!$B$27:$B$58,0))/INDEX('AEO T23'!$C$27:$C$58,MATCH($D10,'AEO T23'!$B$27:$B$58,0))</f>
        <v>0.93096689756509343</v>
      </c>
      <c r="V31">
        <f>INDEX('AEO T23'!V$27:V$58,MATCH($D10,'AEO T23'!$B$27:$B$58,0))/INDEX('AEO T23'!$C$27:$C$58,MATCH($D10,'AEO T23'!$B$27:$B$58,0))</f>
        <v>0.92995166722685252</v>
      </c>
      <c r="W31">
        <f>INDEX('AEO T23'!W$27:W$58,MATCH($D10,'AEO T23'!$B$27:$B$58,0))/INDEX('AEO T23'!$C$27:$C$58,MATCH($D10,'AEO T23'!$B$27:$B$58,0))</f>
        <v>0.92973739937943001</v>
      </c>
      <c r="X31">
        <f>INDEX('AEO T23'!X$27:X$58,MATCH($D10,'AEO T23'!$B$27:$B$58,0))/INDEX('AEO T23'!$C$27:$C$58,MATCH($D10,'AEO T23'!$B$27:$B$58,0))</f>
        <v>0.92995301524941387</v>
      </c>
      <c r="Y31">
        <f>INDEX('AEO T23'!Y$27:Y$58,MATCH($D10,'AEO T23'!$B$27:$B$58,0))/INDEX('AEO T23'!$C$27:$C$58,MATCH($D10,'AEO T23'!$B$27:$B$58,0))</f>
        <v>0.93031778067093074</v>
      </c>
      <c r="Z31">
        <f>INDEX('AEO T23'!Z$27:Z$58,MATCH($D10,'AEO T23'!$B$27:$B$58,0))/INDEX('AEO T23'!$C$27:$C$58,MATCH($D10,'AEO T23'!$B$27:$B$58,0))</f>
        <v>0.93066880168150856</v>
      </c>
      <c r="AA31">
        <f>INDEX('AEO T23'!AA$27:AA$58,MATCH($D10,'AEO T23'!$B$27:$B$58,0))/INDEX('AEO T23'!$C$27:$C$58,MATCH($D10,'AEO T23'!$B$27:$B$58,0))</f>
        <v>0.93138758221396545</v>
      </c>
      <c r="AB31">
        <f>INDEX('AEO T23'!AB$27:AB$58,MATCH($D10,'AEO T23'!$B$27:$B$58,0))/INDEX('AEO T23'!$C$27:$C$58,MATCH($D10,'AEO T23'!$B$27:$B$58,0))</f>
        <v>0.93300552089075284</v>
      </c>
      <c r="AC31">
        <f>INDEX('AEO T23'!AC$27:AC$58,MATCH($D10,'AEO T23'!$B$27:$B$58,0))/INDEX('AEO T23'!$C$27:$C$58,MATCH($D10,'AEO T23'!$B$27:$B$58,0))</f>
        <v>0.93839030878265428</v>
      </c>
      <c r="AD31">
        <f>INDEX('AEO T23'!AD$27:AD$58,MATCH($D10,'AEO T23'!$B$27:$B$58,0))/INDEX('AEO T23'!$C$27:$C$58,MATCH($D10,'AEO T23'!$B$27:$B$58,0))</f>
        <v>0.94445191238406112</v>
      </c>
      <c r="AE31">
        <f>INDEX('AEO T23'!AE$27:AE$58,MATCH($D10,'AEO T23'!$B$27:$B$58,0))/INDEX('AEO T23'!$C$27:$C$58,MATCH($D10,'AEO T23'!$B$27:$B$58,0))</f>
        <v>0.95052488950245517</v>
      </c>
    </row>
    <row r="32" spans="1:31">
      <c r="A32" t="s">
        <v>1474</v>
      </c>
      <c r="B32" s="449" cm="1">
        <f t="array" ref="B32">TREND(C32:L32,C$24:L$24,B$24)</f>
        <v>0.98172141278547942</v>
      </c>
      <c r="C32">
        <f>INDEX('AEO T23'!C$27:C$58,MATCH($D11,'AEO T23'!$B$27:$B$58,0))/INDEX('AEO T23'!$C$27:$C$58,MATCH($D11,'AEO T23'!$B$27:$B$58,0))</f>
        <v>1</v>
      </c>
      <c r="D32">
        <f>INDEX('AEO T23'!D$27:D$58,MATCH($D11,'AEO T23'!$B$27:$B$58,0))/INDEX('AEO T23'!$C$27:$C$58,MATCH($D11,'AEO T23'!$B$27:$B$58,0))</f>
        <v>0.98878324520060457</v>
      </c>
      <c r="E32">
        <f>INDEX('AEO T23'!E$27:E$58,MATCH($D11,'AEO T23'!$B$27:$B$58,0))/INDEX('AEO T23'!$C$27:$C$58,MATCH($D11,'AEO T23'!$B$27:$B$58,0))</f>
        <v>0.98818464217550939</v>
      </c>
      <c r="F32">
        <f>INDEX('AEO T23'!F$27:F$58,MATCH($D11,'AEO T23'!$B$27:$B$58,0))/INDEX('AEO T23'!$C$27:$C$58,MATCH($D11,'AEO T23'!$B$27:$B$58,0))</f>
        <v>0.96336471195209672</v>
      </c>
      <c r="G32">
        <f>INDEX('AEO T23'!G$27:G$58,MATCH($D11,'AEO T23'!$B$27:$B$58,0))/INDEX('AEO T23'!$C$27:$C$58,MATCH($D11,'AEO T23'!$B$27:$B$58,0))</f>
        <v>0.95596241661264858</v>
      </c>
      <c r="H32">
        <f>INDEX('AEO T23'!H$27:H$58,MATCH($D11,'AEO T23'!$B$27:$B$58,0))/INDEX('AEO T23'!$C$27:$C$58,MATCH($D11,'AEO T23'!$B$27:$B$58,0))</f>
        <v>0.95791575216683844</v>
      </c>
      <c r="I32">
        <f>INDEX('AEO T23'!I$27:I$58,MATCH($D11,'AEO T23'!$B$27:$B$58,0))/INDEX('AEO T23'!$C$27:$C$58,MATCH($D11,'AEO T23'!$B$27:$B$58,0))</f>
        <v>0.96615465700393621</v>
      </c>
      <c r="J32">
        <f>INDEX('AEO T23'!J$27:J$58,MATCH($D11,'AEO T23'!$B$27:$B$58,0))/INDEX('AEO T23'!$C$27:$C$58,MATCH($D11,'AEO T23'!$B$27:$B$58,0))</f>
        <v>0.97551340872219372</v>
      </c>
      <c r="K32">
        <f>INDEX('AEO T23'!K$27:K$58,MATCH($D11,'AEO T23'!$B$27:$B$58,0))/INDEX('AEO T23'!$C$27:$C$58,MATCH($D11,'AEO T23'!$B$27:$B$58,0))</f>
        <v>0.98507172484789729</v>
      </c>
      <c r="L32">
        <f>INDEX('AEO T23'!L$27:L$58,MATCH($D11,'AEO T23'!$B$27:$B$58,0))/INDEX('AEO T23'!$C$27:$C$58,MATCH($D11,'AEO T23'!$B$27:$B$58,0))</f>
        <v>0.99503715525110314</v>
      </c>
      <c r="M32">
        <f>INDEX('AEO T23'!M$27:M$58,MATCH($D11,'AEO T23'!$B$27:$B$58,0))/INDEX('AEO T23'!$C$27:$C$58,MATCH($D11,'AEO T23'!$B$27:$B$58,0))</f>
        <v>1.0127873052791845</v>
      </c>
      <c r="N32">
        <f>INDEX('AEO T23'!N$27:N$58,MATCH($D11,'AEO T23'!$B$27:$B$58,0))/INDEX('AEO T23'!$C$27:$C$58,MATCH($D11,'AEO T23'!$B$27:$B$58,0))</f>
        <v>1.0301252959972869</v>
      </c>
      <c r="O32">
        <f>INDEX('AEO T23'!O$27:O$58,MATCH($D11,'AEO T23'!$B$27:$B$58,0))/INDEX('AEO T23'!$C$27:$C$58,MATCH($D11,'AEO T23'!$B$27:$B$58,0))</f>
        <v>1.0467860617598566</v>
      </c>
      <c r="P32">
        <f>INDEX('AEO T23'!P$27:P$58,MATCH($D11,'AEO T23'!$B$27:$B$58,0))/INDEX('AEO T23'!$C$27:$C$58,MATCH($D11,'AEO T23'!$B$27:$B$58,0))</f>
        <v>1.0600157063466387</v>
      </c>
      <c r="Q32">
        <f>INDEX('AEO T23'!Q$27:Q$58,MATCH($D11,'AEO T23'!$B$27:$B$58,0))/INDEX('AEO T23'!$C$27:$C$58,MATCH($D11,'AEO T23'!$B$27:$B$58,0))</f>
        <v>1.0711370384757386</v>
      </c>
      <c r="R32">
        <f>INDEX('AEO T23'!R$27:R$58,MATCH($D11,'AEO T23'!$B$27:$B$58,0))/INDEX('AEO T23'!$C$27:$C$58,MATCH($D11,'AEO T23'!$B$27:$B$58,0))</f>
        <v>1.0857394069350856</v>
      </c>
      <c r="S32">
        <f>INDEX('AEO T23'!S$27:S$58,MATCH($D11,'AEO T23'!$B$27:$B$58,0))/INDEX('AEO T23'!$C$27:$C$58,MATCH($D11,'AEO T23'!$B$27:$B$58,0))</f>
        <v>1.1030060155548151</v>
      </c>
      <c r="T32">
        <f>INDEX('AEO T23'!T$27:T$58,MATCH($D11,'AEO T23'!$B$27:$B$58,0))/INDEX('AEO T23'!$C$27:$C$58,MATCH($D11,'AEO T23'!$B$27:$B$58,0))</f>
        <v>1.118140186960846</v>
      </c>
      <c r="U32">
        <f>INDEX('AEO T23'!U$27:U$58,MATCH($D11,'AEO T23'!$B$27:$B$58,0))/INDEX('AEO T23'!$C$27:$C$58,MATCH($D11,'AEO T23'!$B$27:$B$58,0))</f>
        <v>1.1351842008103319</v>
      </c>
      <c r="V32">
        <f>INDEX('AEO T23'!V$27:V$58,MATCH($D11,'AEO T23'!$B$27:$B$58,0))/INDEX('AEO T23'!$C$27:$C$58,MATCH($D11,'AEO T23'!$B$27:$B$58,0))</f>
        <v>1.1505724398113795</v>
      </c>
      <c r="W32">
        <f>INDEX('AEO T23'!W$27:W$58,MATCH($D11,'AEO T23'!$B$27:$B$58,0))/INDEX('AEO T23'!$C$27:$C$58,MATCH($D11,'AEO T23'!$B$27:$B$58,0))</f>
        <v>1.1662763932166862</v>
      </c>
      <c r="X32">
        <f>INDEX('AEO T23'!X$27:X$58,MATCH($D11,'AEO T23'!$B$27:$B$58,0))/INDEX('AEO T23'!$C$27:$C$58,MATCH($D11,'AEO T23'!$B$27:$B$58,0))</f>
        <v>1.1822006563954055</v>
      </c>
      <c r="Y32">
        <f>INDEX('AEO T23'!Y$27:Y$58,MATCH($D11,'AEO T23'!$B$27:$B$58,0))/INDEX('AEO T23'!$C$27:$C$58,MATCH($D11,'AEO T23'!$B$27:$B$58,0))</f>
        <v>1.1957268454656642</v>
      </c>
      <c r="Z32">
        <f>INDEX('AEO T23'!Z$27:Z$58,MATCH($D11,'AEO T23'!$B$27:$B$58,0))/INDEX('AEO T23'!$C$27:$C$58,MATCH($D11,'AEO T23'!$B$27:$B$58,0))</f>
        <v>1.2101499258578661</v>
      </c>
      <c r="AA32">
        <f>INDEX('AEO T23'!AA$27:AA$58,MATCH($D11,'AEO T23'!$B$27:$B$58,0))/INDEX('AEO T23'!$C$27:$C$58,MATCH($D11,'AEO T23'!$B$27:$B$58,0))</f>
        <v>1.2258105785732238</v>
      </c>
      <c r="AB32">
        <f>INDEX('AEO T23'!AB$27:AB$58,MATCH($D11,'AEO T23'!$B$27:$B$58,0))/INDEX('AEO T23'!$C$27:$C$58,MATCH($D11,'AEO T23'!$B$27:$B$58,0))</f>
        <v>1.2432200476000919</v>
      </c>
      <c r="AC32">
        <f>INDEX('AEO T23'!AC$27:AC$58,MATCH($D11,'AEO T23'!$B$27:$B$58,0))/INDEX('AEO T23'!$C$27:$C$58,MATCH($D11,'AEO T23'!$B$27:$B$58,0))</f>
        <v>1.2589362978962395</v>
      </c>
      <c r="AD32">
        <f>INDEX('AEO T23'!AD$27:AD$58,MATCH($D11,'AEO T23'!$B$27:$B$58,0))/INDEX('AEO T23'!$C$27:$C$58,MATCH($D11,'AEO T23'!$B$27:$B$58,0))</f>
        <v>1.2730446680801577</v>
      </c>
      <c r="AE32">
        <f>INDEX('AEO T23'!AE$27:AE$58,MATCH($D11,'AEO T23'!$B$27:$B$58,0))/INDEX('AEO T23'!$C$27:$C$58,MATCH($D11,'AEO T23'!$B$27:$B$58,0))</f>
        <v>1.2950886939559429</v>
      </c>
    </row>
    <row r="33" spans="1:31">
      <c r="A33" t="s">
        <v>1476</v>
      </c>
      <c r="B33" s="449" cm="1">
        <f t="array" ref="B33">TREND(C33:L33,C$24:L$24,B$24)</f>
        <v>0.9390833232537048</v>
      </c>
      <c r="C33">
        <f>INDEX('AEO T23'!C$27:C$58,MATCH($D12,'AEO T23'!$B$27:$B$58,0))/INDEX('AEO T23'!$C$27:$C$58,MATCH($D12,'AEO T23'!$B$27:$B$58,0))</f>
        <v>1</v>
      </c>
      <c r="D33">
        <f>INDEX('AEO T23'!D$27:D$58,MATCH($D12,'AEO T23'!$B$27:$B$58,0))/INDEX('AEO T23'!$C$27:$C$58,MATCH($D12,'AEO T23'!$B$27:$B$58,0))</f>
        <v>0.94111349651798704</v>
      </c>
      <c r="E33">
        <f>INDEX('AEO T23'!E$27:E$58,MATCH($D12,'AEO T23'!$B$27:$B$58,0))/INDEX('AEO T23'!$C$27:$C$58,MATCH($D12,'AEO T23'!$B$27:$B$58,0))</f>
        <v>0.92510239160079455</v>
      </c>
      <c r="F33">
        <f>INDEX('AEO T23'!F$27:F$58,MATCH($D12,'AEO T23'!$B$27:$B$58,0))/INDEX('AEO T23'!$C$27:$C$58,MATCH($D12,'AEO T23'!$B$27:$B$58,0))</f>
        <v>0.92541797518267821</v>
      </c>
      <c r="G33">
        <f>INDEX('AEO T23'!G$27:G$58,MATCH($D12,'AEO T23'!$B$27:$B$58,0))/INDEX('AEO T23'!$C$27:$C$58,MATCH($D12,'AEO T23'!$B$27:$B$58,0))</f>
        <v>0.95157679981549981</v>
      </c>
      <c r="H33">
        <f>INDEX('AEO T23'!H$27:H$58,MATCH($D12,'AEO T23'!$B$27:$B$58,0))/INDEX('AEO T23'!$C$27:$C$58,MATCH($D12,'AEO T23'!$B$27:$B$58,0))</f>
        <v>0.96624161896307426</v>
      </c>
      <c r="I33">
        <f>INDEX('AEO T23'!I$27:I$58,MATCH($D12,'AEO T23'!$B$27:$B$58,0))/INDEX('AEO T23'!$C$27:$C$58,MATCH($D12,'AEO T23'!$B$27:$B$58,0))</f>
        <v>0.97762301791631168</v>
      </c>
      <c r="J33">
        <f>INDEX('AEO T23'!J$27:J$58,MATCH($D12,'AEO T23'!$B$27:$B$58,0))/INDEX('AEO T23'!$C$27:$C$58,MATCH($D12,'AEO T23'!$B$27:$B$58,0))</f>
        <v>0.9864737486861348</v>
      </c>
      <c r="K33">
        <f>INDEX('AEO T23'!K$27:K$58,MATCH($D12,'AEO T23'!$B$27:$B$58,0))/INDEX('AEO T23'!$C$27:$C$58,MATCH($D12,'AEO T23'!$B$27:$B$58,0))</f>
        <v>0.99156676088443441</v>
      </c>
      <c r="L33">
        <f>INDEX('AEO T23'!L$27:L$58,MATCH($D12,'AEO T23'!$B$27:$B$58,0))/INDEX('AEO T23'!$C$27:$C$58,MATCH($D12,'AEO T23'!$B$27:$B$58,0))</f>
        <v>0.99858969129154196</v>
      </c>
      <c r="M33">
        <f>INDEX('AEO T23'!M$27:M$58,MATCH($D12,'AEO T23'!$B$27:$B$58,0))/INDEX('AEO T23'!$C$27:$C$58,MATCH($D12,'AEO T23'!$B$27:$B$58,0))</f>
        <v>1.0070656403361631</v>
      </c>
      <c r="N33">
        <f>INDEX('AEO T23'!N$27:N$58,MATCH($D12,'AEO T23'!$B$27:$B$58,0))/INDEX('AEO T23'!$C$27:$C$58,MATCH($D12,'AEO T23'!$B$27:$B$58,0))</f>
        <v>1.0184516123564606</v>
      </c>
      <c r="O33">
        <f>INDEX('AEO T23'!O$27:O$58,MATCH($D12,'AEO T23'!$B$27:$B$58,0))/INDEX('AEO T23'!$C$27:$C$58,MATCH($D12,'AEO T23'!$B$27:$B$58,0))</f>
        <v>1.0306416050844451</v>
      </c>
      <c r="P33">
        <f>INDEX('AEO T23'!P$27:P$58,MATCH($D12,'AEO T23'!$B$27:$B$58,0))/INDEX('AEO T23'!$C$27:$C$58,MATCH($D12,'AEO T23'!$B$27:$B$58,0))</f>
        <v>1.0450190342378818</v>
      </c>
      <c r="Q33">
        <f>INDEX('AEO T23'!Q$27:Q$58,MATCH($D12,'AEO T23'!$B$27:$B$58,0))/INDEX('AEO T23'!$C$27:$C$58,MATCH($D12,'AEO T23'!$B$27:$B$58,0))</f>
        <v>1.052208902570051</v>
      </c>
      <c r="R33">
        <f>INDEX('AEO T23'!R$27:R$58,MATCH($D12,'AEO T23'!$B$27:$B$58,0))/INDEX('AEO T23'!$C$27:$C$58,MATCH($D12,'AEO T23'!$B$27:$B$58,0))</f>
        <v>1.0621390869397527</v>
      </c>
      <c r="S33">
        <f>INDEX('AEO T23'!S$27:S$58,MATCH($D12,'AEO T23'!$B$27:$B$58,0))/INDEX('AEO T23'!$C$27:$C$58,MATCH($D12,'AEO T23'!$B$27:$B$58,0))</f>
        <v>1.0719458404535778</v>
      </c>
      <c r="T33">
        <f>INDEX('AEO T23'!T$27:T$58,MATCH($D12,'AEO T23'!$B$27:$B$58,0))/INDEX('AEO T23'!$C$27:$C$58,MATCH($D12,'AEO T23'!$B$27:$B$58,0))</f>
        <v>1.0894834267644498</v>
      </c>
      <c r="U33">
        <f>INDEX('AEO T23'!U$27:U$58,MATCH($D12,'AEO T23'!$B$27:$B$58,0))/INDEX('AEO T23'!$C$27:$C$58,MATCH($D12,'AEO T23'!$B$27:$B$58,0))</f>
        <v>1.1068659063879747</v>
      </c>
      <c r="V33">
        <f>INDEX('AEO T23'!V$27:V$58,MATCH($D12,'AEO T23'!$B$27:$B$58,0))/INDEX('AEO T23'!$C$27:$C$58,MATCH($D12,'AEO T23'!$B$27:$B$58,0))</f>
        <v>1.1191795817002974</v>
      </c>
      <c r="W33">
        <f>INDEX('AEO T23'!W$27:W$58,MATCH($D12,'AEO T23'!$B$27:$B$58,0))/INDEX('AEO T23'!$C$27:$C$58,MATCH($D12,'AEO T23'!$B$27:$B$58,0))</f>
        <v>1.1346916349415384</v>
      </c>
      <c r="X33">
        <f>INDEX('AEO T23'!X$27:X$58,MATCH($D12,'AEO T23'!$B$27:$B$58,0))/INDEX('AEO T23'!$C$27:$C$58,MATCH($D12,'AEO T23'!$B$27:$B$58,0))</f>
        <v>1.140430624328121</v>
      </c>
      <c r="Y33">
        <f>INDEX('AEO T23'!Y$27:Y$58,MATCH($D12,'AEO T23'!$B$27:$B$58,0))/INDEX('AEO T23'!$C$27:$C$58,MATCH($D12,'AEO T23'!$B$27:$B$58,0))</f>
        <v>1.1499187735185181</v>
      </c>
      <c r="Z33">
        <f>INDEX('AEO T23'!Z$27:Z$58,MATCH($D12,'AEO T23'!$B$27:$B$58,0))/INDEX('AEO T23'!$C$27:$C$58,MATCH($D12,'AEO T23'!$B$27:$B$58,0))</f>
        <v>1.1615658718634161</v>
      </c>
      <c r="AA33">
        <f>INDEX('AEO T23'!AA$27:AA$58,MATCH($D12,'AEO T23'!$B$27:$B$58,0))/INDEX('AEO T23'!$C$27:$C$58,MATCH($D12,'AEO T23'!$B$27:$B$58,0))</f>
        <v>1.1787713024686548</v>
      </c>
      <c r="AB33">
        <f>INDEX('AEO T23'!AB$27:AB$58,MATCH($D12,'AEO T23'!$B$27:$B$58,0))/INDEX('AEO T23'!$C$27:$C$58,MATCH($D12,'AEO T23'!$B$27:$B$58,0))</f>
        <v>1.1890170284654964</v>
      </c>
      <c r="AC33">
        <f>INDEX('AEO T23'!AC$27:AC$58,MATCH($D12,'AEO T23'!$B$27:$B$58,0))/INDEX('AEO T23'!$C$27:$C$58,MATCH($D12,'AEO T23'!$B$27:$B$58,0))</f>
        <v>1.1923667791095751</v>
      </c>
      <c r="AD33">
        <f>INDEX('AEO T23'!AD$27:AD$58,MATCH($D12,'AEO T23'!$B$27:$B$58,0))/INDEX('AEO T23'!$C$27:$C$58,MATCH($D12,'AEO T23'!$B$27:$B$58,0))</f>
        <v>1.2005446816551666</v>
      </c>
      <c r="AE33">
        <f>INDEX('AEO T23'!AE$27:AE$58,MATCH($D12,'AEO T23'!$B$27:$B$58,0))/INDEX('AEO T23'!$C$27:$C$58,MATCH($D12,'AEO T23'!$B$27:$B$58,0))</f>
        <v>1.2124235799588399</v>
      </c>
    </row>
    <row r="34" spans="1:31">
      <c r="A34" t="s">
        <v>1478</v>
      </c>
      <c r="B34" s="449" cm="1">
        <f t="array" ref="B34">TREND(C34:L34,C$24:L$24,B$24)</f>
        <v>0.94383973906899854</v>
      </c>
      <c r="C34">
        <f>INDEX('AEO T23'!C$27:C$58,MATCH($D13,'AEO T23'!$B$27:$B$58,0))/INDEX('AEO T23'!$C$27:$C$58,MATCH($D13,'AEO T23'!$B$27:$B$58,0))</f>
        <v>1</v>
      </c>
      <c r="D34">
        <f>INDEX('AEO T23'!D$27:D$58,MATCH($D13,'AEO T23'!$B$27:$B$58,0))/INDEX('AEO T23'!$C$27:$C$58,MATCH($D13,'AEO T23'!$B$27:$B$58,0))</f>
        <v>0.95580432520018654</v>
      </c>
      <c r="E34">
        <f>INDEX('AEO T23'!E$27:E$58,MATCH($D13,'AEO T23'!$B$27:$B$58,0))/INDEX('AEO T23'!$C$27:$C$58,MATCH($D13,'AEO T23'!$B$27:$B$58,0))</f>
        <v>0.94636377058984078</v>
      </c>
      <c r="F34">
        <f>INDEX('AEO T23'!F$27:F$58,MATCH($D13,'AEO T23'!$B$27:$B$58,0))/INDEX('AEO T23'!$C$27:$C$58,MATCH($D13,'AEO T23'!$B$27:$B$58,0))</f>
        <v>0.96105345891384553</v>
      </c>
      <c r="G34">
        <f>INDEX('AEO T23'!G$27:G$58,MATCH($D13,'AEO T23'!$B$27:$B$58,0))/INDEX('AEO T23'!$C$27:$C$58,MATCH($D13,'AEO T23'!$B$27:$B$58,0))</f>
        <v>0.98395590640484376</v>
      </c>
      <c r="H34">
        <f>INDEX('AEO T23'!H$27:H$58,MATCH($D13,'AEO T23'!$B$27:$B$58,0))/INDEX('AEO T23'!$C$27:$C$58,MATCH($D13,'AEO T23'!$B$27:$B$58,0))</f>
        <v>1.0019078837373163</v>
      </c>
      <c r="I34">
        <f>INDEX('AEO T23'!I$27:I$58,MATCH($D13,'AEO T23'!$B$27:$B$58,0))/INDEX('AEO T23'!$C$27:$C$58,MATCH($D13,'AEO T23'!$B$27:$B$58,0))</f>
        <v>1.0169431996023186</v>
      </c>
      <c r="J34">
        <f>INDEX('AEO T23'!J$27:J$58,MATCH($D13,'AEO T23'!$B$27:$B$58,0))/INDEX('AEO T23'!$C$27:$C$58,MATCH($D13,'AEO T23'!$B$27:$B$58,0))</f>
        <v>1.0298501440432135</v>
      </c>
      <c r="K34">
        <f>INDEX('AEO T23'!K$27:K$58,MATCH($D13,'AEO T23'!$B$27:$B$58,0))/INDEX('AEO T23'!$C$27:$C$58,MATCH($D13,'AEO T23'!$B$27:$B$58,0))</f>
        <v>1.0397081962102712</v>
      </c>
      <c r="L34">
        <f>INDEX('AEO T23'!L$27:L$58,MATCH($D13,'AEO T23'!$B$27:$B$58,0))/INDEX('AEO T23'!$C$27:$C$58,MATCH($D13,'AEO T23'!$B$27:$B$58,0))</f>
        <v>1.0501980530500441</v>
      </c>
      <c r="M34">
        <f>INDEX('AEO T23'!M$27:M$58,MATCH($D13,'AEO T23'!$B$27:$B$58,0))/INDEX('AEO T23'!$C$27:$C$58,MATCH($D13,'AEO T23'!$B$27:$B$58,0))</f>
        <v>1.0631703194424671</v>
      </c>
      <c r="N34">
        <f>INDEX('AEO T23'!N$27:N$58,MATCH($D13,'AEO T23'!$B$27:$B$58,0))/INDEX('AEO T23'!$C$27:$C$58,MATCH($D13,'AEO T23'!$B$27:$B$58,0))</f>
        <v>1.0739833700217027</v>
      </c>
      <c r="O34">
        <f>INDEX('AEO T23'!O$27:O$58,MATCH($D13,'AEO T23'!$B$27:$B$58,0))/INDEX('AEO T23'!$C$27:$C$58,MATCH($D13,'AEO T23'!$B$27:$B$58,0))</f>
        <v>1.0817240171017395</v>
      </c>
      <c r="P34">
        <f>INDEX('AEO T23'!P$27:P$58,MATCH($D13,'AEO T23'!$B$27:$B$58,0))/INDEX('AEO T23'!$C$27:$C$58,MATCH($D13,'AEO T23'!$B$27:$B$58,0))</f>
        <v>1.0953372504454648</v>
      </c>
      <c r="Q34">
        <f>INDEX('AEO T23'!Q$27:Q$58,MATCH($D13,'AEO T23'!$B$27:$B$58,0))/INDEX('AEO T23'!$C$27:$C$58,MATCH($D13,'AEO T23'!$B$27:$B$58,0))</f>
        <v>1.1052342402084852</v>
      </c>
      <c r="R34">
        <f>INDEX('AEO T23'!R$27:R$58,MATCH($D13,'AEO T23'!$B$27:$B$58,0))/INDEX('AEO T23'!$C$27:$C$58,MATCH($D13,'AEO T23'!$B$27:$B$58,0))</f>
        <v>1.1176888921495578</v>
      </c>
      <c r="S34">
        <f>INDEX('AEO T23'!S$27:S$58,MATCH($D13,'AEO T23'!$B$27:$B$58,0))/INDEX('AEO T23'!$C$27:$C$58,MATCH($D13,'AEO T23'!$B$27:$B$58,0))</f>
        <v>1.1313169087504371</v>
      </c>
      <c r="T34">
        <f>INDEX('AEO T23'!T$27:T$58,MATCH($D13,'AEO T23'!$B$27:$B$58,0))/INDEX('AEO T23'!$C$27:$C$58,MATCH($D13,'AEO T23'!$B$27:$B$58,0))</f>
        <v>1.1449208461816125</v>
      </c>
      <c r="U34">
        <f>INDEX('AEO T23'!U$27:U$58,MATCH($D13,'AEO T23'!$B$27:$B$58,0))/INDEX('AEO T23'!$C$27:$C$58,MATCH($D13,'AEO T23'!$B$27:$B$58,0))</f>
        <v>1.1592138671428847</v>
      </c>
      <c r="V34">
        <f>INDEX('AEO T23'!V$27:V$58,MATCH($D13,'AEO T23'!$B$27:$B$58,0))/INDEX('AEO T23'!$C$27:$C$58,MATCH($D13,'AEO T23'!$B$27:$B$58,0))</f>
        <v>1.1735983856081835</v>
      </c>
      <c r="W34">
        <f>INDEX('AEO T23'!W$27:W$58,MATCH($D13,'AEO T23'!$B$27:$B$58,0))/INDEX('AEO T23'!$C$27:$C$58,MATCH($D13,'AEO T23'!$B$27:$B$58,0))</f>
        <v>1.1849552428955132</v>
      </c>
      <c r="X34">
        <f>INDEX('AEO T23'!X$27:X$58,MATCH($D13,'AEO T23'!$B$27:$B$58,0))/INDEX('AEO T23'!$C$27:$C$58,MATCH($D13,'AEO T23'!$B$27:$B$58,0))</f>
        <v>1.1892336344457308</v>
      </c>
      <c r="Y34">
        <f>INDEX('AEO T23'!Y$27:Y$58,MATCH($D13,'AEO T23'!$B$27:$B$58,0))/INDEX('AEO T23'!$C$27:$C$58,MATCH($D13,'AEO T23'!$B$27:$B$58,0))</f>
        <v>1.2000099857978836</v>
      </c>
      <c r="Z34">
        <f>INDEX('AEO T23'!Z$27:Z$58,MATCH($D13,'AEO T23'!$B$27:$B$58,0))/INDEX('AEO T23'!$C$27:$C$58,MATCH($D13,'AEO T23'!$B$27:$B$58,0))</f>
        <v>1.2138747934290377</v>
      </c>
      <c r="AA34">
        <f>INDEX('AEO T23'!AA$27:AA$58,MATCH($D13,'AEO T23'!$B$27:$B$58,0))/INDEX('AEO T23'!$C$27:$C$58,MATCH($D13,'AEO T23'!$B$27:$B$58,0))</f>
        <v>1.2264177607153932</v>
      </c>
      <c r="AB34">
        <f>INDEX('AEO T23'!AB$27:AB$58,MATCH($D13,'AEO T23'!$B$27:$B$58,0))/INDEX('AEO T23'!$C$27:$C$58,MATCH($D13,'AEO T23'!$B$27:$B$58,0))</f>
        <v>1.2384796290307825</v>
      </c>
      <c r="AC34">
        <f>INDEX('AEO T23'!AC$27:AC$58,MATCH($D13,'AEO T23'!$B$27:$B$58,0))/INDEX('AEO T23'!$C$27:$C$58,MATCH($D13,'AEO T23'!$B$27:$B$58,0))</f>
        <v>1.2471387673947363</v>
      </c>
      <c r="AD34">
        <f>INDEX('AEO T23'!AD$27:AD$58,MATCH($D13,'AEO T23'!$B$27:$B$58,0))/INDEX('AEO T23'!$C$27:$C$58,MATCH($D13,'AEO T23'!$B$27:$B$58,0))</f>
        <v>1.2557285664361497</v>
      </c>
      <c r="AE34">
        <f>INDEX('AEO T23'!AE$27:AE$58,MATCH($D13,'AEO T23'!$B$27:$B$58,0))/INDEX('AEO T23'!$C$27:$C$58,MATCH($D13,'AEO T23'!$B$27:$B$58,0))</f>
        <v>1.2665161346890699</v>
      </c>
    </row>
    <row r="35" spans="1:31">
      <c r="A35" t="s">
        <v>1480</v>
      </c>
      <c r="B35" s="449" cm="1">
        <f t="array" ref="B35">TREND(C35:L35,C$24:L$24,B$24)</f>
        <v>0.96649571269979617</v>
      </c>
      <c r="C35">
        <f>INDEX('AEO T23'!C$27:C$58,MATCH($D14,'AEO T23'!$B$27:$B$58,0))/INDEX('AEO T23'!$C$27:$C$58,MATCH($D14,'AEO T23'!$B$27:$B$58,0))</f>
        <v>1</v>
      </c>
      <c r="D35">
        <f>INDEX('AEO T23'!D$27:D$58,MATCH($D14,'AEO T23'!$B$27:$B$58,0))/INDEX('AEO T23'!$C$27:$C$58,MATCH($D14,'AEO T23'!$B$27:$B$58,0))</f>
        <v>0.98370642301290878</v>
      </c>
      <c r="E35">
        <f>INDEX('AEO T23'!E$27:E$58,MATCH($D14,'AEO T23'!$B$27:$B$58,0))/INDEX('AEO T23'!$C$27:$C$58,MATCH($D14,'AEO T23'!$B$27:$B$58,0))</f>
        <v>0.96851766473084799</v>
      </c>
      <c r="F35">
        <f>INDEX('AEO T23'!F$27:F$58,MATCH($D14,'AEO T23'!$B$27:$B$58,0))/INDEX('AEO T23'!$C$27:$C$58,MATCH($D14,'AEO T23'!$B$27:$B$58,0))</f>
        <v>0.99047829351136896</v>
      </c>
      <c r="G35">
        <f>INDEX('AEO T23'!G$27:G$58,MATCH($D14,'AEO T23'!$B$27:$B$58,0))/INDEX('AEO T23'!$C$27:$C$58,MATCH($D14,'AEO T23'!$B$27:$B$58,0))</f>
        <v>1.037781241324262</v>
      </c>
      <c r="H35">
        <f>INDEX('AEO T23'!H$27:H$58,MATCH($D14,'AEO T23'!$B$27:$B$58,0))/INDEX('AEO T23'!$C$27:$C$58,MATCH($D14,'AEO T23'!$B$27:$B$58,0))</f>
        <v>1.0623145907725564</v>
      </c>
      <c r="I35">
        <f>INDEX('AEO T23'!I$27:I$58,MATCH($D14,'AEO T23'!$B$27:$B$58,0))/INDEX('AEO T23'!$C$27:$C$58,MATCH($D14,'AEO T23'!$B$27:$B$58,0))</f>
        <v>1.0681478162795406</v>
      </c>
      <c r="J35">
        <f>INDEX('AEO T23'!J$27:J$58,MATCH($D14,'AEO T23'!$B$27:$B$58,0))/INDEX('AEO T23'!$C$27:$C$58,MATCH($D14,'AEO T23'!$B$27:$B$58,0))</f>
        <v>1.0733930879712759</v>
      </c>
      <c r="K35">
        <f>INDEX('AEO T23'!K$27:K$58,MATCH($D14,'AEO T23'!$B$27:$B$58,0))/INDEX('AEO T23'!$C$27:$C$58,MATCH($D14,'AEO T23'!$B$27:$B$58,0))</f>
        <v>1.0675807918385563</v>
      </c>
      <c r="L35">
        <f>INDEX('AEO T23'!L$27:L$58,MATCH($D14,'AEO T23'!$B$27:$B$58,0))/INDEX('AEO T23'!$C$27:$C$58,MATCH($D14,'AEO T23'!$B$27:$B$58,0))</f>
        <v>1.0653081219325953</v>
      </c>
      <c r="M35">
        <f>INDEX('AEO T23'!M$27:M$58,MATCH($D14,'AEO T23'!$B$27:$B$58,0))/INDEX('AEO T23'!$C$27:$C$58,MATCH($D14,'AEO T23'!$B$27:$B$58,0))</f>
        <v>1.0760380327170185</v>
      </c>
      <c r="N35">
        <f>INDEX('AEO T23'!N$27:N$58,MATCH($D14,'AEO T23'!$B$27:$B$58,0))/INDEX('AEO T23'!$C$27:$C$58,MATCH($D14,'AEO T23'!$B$27:$B$58,0))</f>
        <v>1.0724481286940051</v>
      </c>
      <c r="O35">
        <f>INDEX('AEO T23'!O$27:O$58,MATCH($D14,'AEO T23'!$B$27:$B$58,0))/INDEX('AEO T23'!$C$27:$C$58,MATCH($D14,'AEO T23'!$B$27:$B$58,0))</f>
        <v>1.071809416219289</v>
      </c>
      <c r="P35">
        <f>INDEX('AEO T23'!P$27:P$58,MATCH($D14,'AEO T23'!$B$27:$B$58,0))/INDEX('AEO T23'!$C$27:$C$58,MATCH($D14,'AEO T23'!$B$27:$B$58,0))</f>
        <v>1.0749614824625007</v>
      </c>
      <c r="Q35">
        <f>INDEX('AEO T23'!Q$27:Q$58,MATCH($D14,'AEO T23'!$B$27:$B$58,0))/INDEX('AEO T23'!$C$27:$C$58,MATCH($D14,'AEO T23'!$B$27:$B$58,0))</f>
        <v>1.077761478003874</v>
      </c>
      <c r="R35">
        <f>INDEX('AEO T23'!R$27:R$58,MATCH($D14,'AEO T23'!$B$27:$B$58,0))/INDEX('AEO T23'!$C$27:$C$58,MATCH($D14,'AEO T23'!$B$27:$B$58,0))</f>
        <v>1.0902402173463883</v>
      </c>
      <c r="S35">
        <f>INDEX('AEO T23'!S$27:S$58,MATCH($D14,'AEO T23'!$B$27:$B$58,0))/INDEX('AEO T23'!$C$27:$C$58,MATCH($D14,'AEO T23'!$B$27:$B$58,0))</f>
        <v>1.0979252313200367</v>
      </c>
      <c r="T35">
        <f>INDEX('AEO T23'!T$27:T$58,MATCH($D14,'AEO T23'!$B$27:$B$58,0))/INDEX('AEO T23'!$C$27:$C$58,MATCH($D14,'AEO T23'!$B$27:$B$58,0))</f>
        <v>1.100204995929138</v>
      </c>
      <c r="U35">
        <f>INDEX('AEO T23'!U$27:U$58,MATCH($D14,'AEO T23'!$B$27:$B$58,0))/INDEX('AEO T23'!$C$27:$C$58,MATCH($D14,'AEO T23'!$B$27:$B$58,0))</f>
        <v>1.1048672406828062</v>
      </c>
      <c r="V35">
        <f>INDEX('AEO T23'!V$27:V$58,MATCH($D14,'AEO T23'!$B$27:$B$58,0))/INDEX('AEO T23'!$C$27:$C$58,MATCH($D14,'AEO T23'!$B$27:$B$58,0))</f>
        <v>1.1131334763867231</v>
      </c>
      <c r="W35">
        <f>INDEX('AEO T23'!W$27:W$58,MATCH($D14,'AEO T23'!$B$27:$B$58,0))/INDEX('AEO T23'!$C$27:$C$58,MATCH($D14,'AEO T23'!$B$27:$B$58,0))</f>
        <v>1.1218564296637987</v>
      </c>
      <c r="X35">
        <f>INDEX('AEO T23'!X$27:X$58,MATCH($D14,'AEO T23'!$B$27:$B$58,0))/INDEX('AEO T23'!$C$27:$C$58,MATCH($D14,'AEO T23'!$B$27:$B$58,0))</f>
        <v>1.1252863560140007</v>
      </c>
      <c r="Y35">
        <f>INDEX('AEO T23'!Y$27:Y$58,MATCH($D14,'AEO T23'!$B$27:$B$58,0))/INDEX('AEO T23'!$C$27:$C$58,MATCH($D14,'AEO T23'!$B$27:$B$58,0))</f>
        <v>1.1254679882973975</v>
      </c>
      <c r="Z35">
        <f>INDEX('AEO T23'!Z$27:Z$58,MATCH($D14,'AEO T23'!$B$27:$B$58,0))/INDEX('AEO T23'!$C$27:$C$58,MATCH($D14,'AEO T23'!$B$27:$B$58,0))</f>
        <v>1.1229433224188945</v>
      </c>
      <c r="AA35">
        <f>INDEX('AEO T23'!AA$27:AA$58,MATCH($D14,'AEO T23'!$B$27:$B$58,0))/INDEX('AEO T23'!$C$27:$C$58,MATCH($D14,'AEO T23'!$B$27:$B$58,0))</f>
        <v>1.1246501739834049</v>
      </c>
      <c r="AB35">
        <f>INDEX('AEO T23'!AB$27:AB$58,MATCH($D14,'AEO T23'!$B$27:$B$58,0))/INDEX('AEO T23'!$C$27:$C$58,MATCH($D14,'AEO T23'!$B$27:$B$58,0))</f>
        <v>1.1297853831804232</v>
      </c>
      <c r="AC35">
        <f>INDEX('AEO T23'!AC$27:AC$58,MATCH($D14,'AEO T23'!$B$27:$B$58,0))/INDEX('AEO T23'!$C$27:$C$58,MATCH($D14,'AEO T23'!$B$27:$B$58,0))</f>
        <v>1.1305238156492785</v>
      </c>
      <c r="AD35">
        <f>INDEX('AEO T23'!AD$27:AD$58,MATCH($D14,'AEO T23'!$B$27:$B$58,0))/INDEX('AEO T23'!$C$27:$C$58,MATCH($D14,'AEO T23'!$B$27:$B$58,0))</f>
        <v>1.1320734485921988</v>
      </c>
      <c r="AE35">
        <f>INDEX('AEO T23'!AE$27:AE$58,MATCH($D14,'AEO T23'!$B$27:$B$58,0))/INDEX('AEO T23'!$C$27:$C$58,MATCH($D14,'AEO T23'!$B$27:$B$58,0))</f>
        <v>1.1435547751522244</v>
      </c>
    </row>
    <row r="36" spans="1:31">
      <c r="A36" t="s">
        <v>1481</v>
      </c>
      <c r="B36" s="449" cm="1">
        <f t="array" ref="B36">TREND(C36:L36,C$24:L$24,B$24)</f>
        <v>0.9684997103123365</v>
      </c>
      <c r="C36">
        <f>INDEX('AEO T23'!C$27:C$58,MATCH($D15,'AEO T23'!$B$27:$B$58,0))/INDEX('AEO T23'!$C$27:$C$58,MATCH($D15,'AEO T23'!$B$27:$B$58,0))</f>
        <v>1</v>
      </c>
      <c r="D36">
        <f>INDEX('AEO T23'!D$27:D$58,MATCH($D15,'AEO T23'!$B$27:$B$58,0))/INDEX('AEO T23'!$C$27:$C$58,MATCH($D15,'AEO T23'!$B$27:$B$58,0))</f>
        <v>0.98775732623463097</v>
      </c>
      <c r="E36">
        <f>INDEX('AEO T23'!E$27:E$58,MATCH($D15,'AEO T23'!$B$27:$B$58,0))/INDEX('AEO T23'!$C$27:$C$58,MATCH($D15,'AEO T23'!$B$27:$B$58,0))</f>
        <v>0.99372671194063023</v>
      </c>
      <c r="F36">
        <f>INDEX('AEO T23'!F$27:F$58,MATCH($D15,'AEO T23'!$B$27:$B$58,0))/INDEX('AEO T23'!$C$27:$C$58,MATCH($D15,'AEO T23'!$B$27:$B$58,0))</f>
        <v>1.0226348123855618</v>
      </c>
      <c r="G36">
        <f>INDEX('AEO T23'!G$27:G$58,MATCH($D15,'AEO T23'!$B$27:$B$58,0))/INDEX('AEO T23'!$C$27:$C$58,MATCH($D15,'AEO T23'!$B$27:$B$58,0))</f>
        <v>1.0563379404298716</v>
      </c>
      <c r="H36">
        <f>INDEX('AEO T23'!H$27:H$58,MATCH($D15,'AEO T23'!$B$27:$B$58,0))/INDEX('AEO T23'!$C$27:$C$58,MATCH($D15,'AEO T23'!$B$27:$B$58,0))</f>
        <v>1.0788806021059996</v>
      </c>
      <c r="I36">
        <f>INDEX('AEO T23'!I$27:I$58,MATCH($D15,'AEO T23'!$B$27:$B$58,0))/INDEX('AEO T23'!$C$27:$C$58,MATCH($D15,'AEO T23'!$B$27:$B$58,0))</f>
        <v>1.0945194308849167</v>
      </c>
      <c r="J36">
        <f>INDEX('AEO T23'!J$27:J$58,MATCH($D15,'AEO T23'!$B$27:$B$58,0))/INDEX('AEO T23'!$C$27:$C$58,MATCH($D15,'AEO T23'!$B$27:$B$58,0))</f>
        <v>1.1030429283535452</v>
      </c>
      <c r="K36">
        <f>INDEX('AEO T23'!K$27:K$58,MATCH($D15,'AEO T23'!$B$27:$B$58,0))/INDEX('AEO T23'!$C$27:$C$58,MATCH($D15,'AEO T23'!$B$27:$B$58,0))</f>
        <v>1.1057858996904963</v>
      </c>
      <c r="L36">
        <f>INDEX('AEO T23'!L$27:L$58,MATCH($D15,'AEO T23'!$B$27:$B$58,0))/INDEX('AEO T23'!$C$27:$C$58,MATCH($D15,'AEO T23'!$B$27:$B$58,0))</f>
        <v>1.110348005546161</v>
      </c>
      <c r="M36">
        <f>INDEX('AEO T23'!M$27:M$58,MATCH($D15,'AEO T23'!$B$27:$B$58,0))/INDEX('AEO T23'!$C$27:$C$58,MATCH($D15,'AEO T23'!$B$27:$B$58,0))</f>
        <v>1.1166328915788533</v>
      </c>
      <c r="N36">
        <f>INDEX('AEO T23'!N$27:N$58,MATCH($D15,'AEO T23'!$B$27:$B$58,0))/INDEX('AEO T23'!$C$27:$C$58,MATCH($D15,'AEO T23'!$B$27:$B$58,0))</f>
        <v>1.1265139090341072</v>
      </c>
      <c r="O36">
        <f>INDEX('AEO T23'!O$27:O$58,MATCH($D15,'AEO T23'!$B$27:$B$58,0))/INDEX('AEO T23'!$C$27:$C$58,MATCH($D15,'AEO T23'!$B$27:$B$58,0))</f>
        <v>1.1409752143206711</v>
      </c>
      <c r="P36">
        <f>INDEX('AEO T23'!P$27:P$58,MATCH($D15,'AEO T23'!$B$27:$B$58,0))/INDEX('AEO T23'!$C$27:$C$58,MATCH($D15,'AEO T23'!$B$27:$B$58,0))</f>
        <v>1.1559593906840115</v>
      </c>
      <c r="Q36">
        <f>INDEX('AEO T23'!Q$27:Q$58,MATCH($D15,'AEO T23'!$B$27:$B$58,0))/INDEX('AEO T23'!$C$27:$C$58,MATCH($D15,'AEO T23'!$B$27:$B$58,0))</f>
        <v>1.1666953155177997</v>
      </c>
      <c r="R36">
        <f>INDEX('AEO T23'!R$27:R$58,MATCH($D15,'AEO T23'!$B$27:$B$58,0))/INDEX('AEO T23'!$C$27:$C$58,MATCH($D15,'AEO T23'!$B$27:$B$58,0))</f>
        <v>1.1798435428334173</v>
      </c>
      <c r="S36">
        <f>INDEX('AEO T23'!S$27:S$58,MATCH($D15,'AEO T23'!$B$27:$B$58,0))/INDEX('AEO T23'!$C$27:$C$58,MATCH($D15,'AEO T23'!$B$27:$B$58,0))</f>
        <v>1.1928865527272989</v>
      </c>
      <c r="T36">
        <f>INDEX('AEO T23'!T$27:T$58,MATCH($D15,'AEO T23'!$B$27:$B$58,0))/INDEX('AEO T23'!$C$27:$C$58,MATCH($D15,'AEO T23'!$B$27:$B$58,0))</f>
        <v>1.2072239015085926</v>
      </c>
      <c r="U36">
        <f>INDEX('AEO T23'!U$27:U$58,MATCH($D15,'AEO T23'!$B$27:$B$58,0))/INDEX('AEO T23'!$C$27:$C$58,MATCH($D15,'AEO T23'!$B$27:$B$58,0))</f>
        <v>1.216197162305128</v>
      </c>
      <c r="V36">
        <f>INDEX('AEO T23'!V$27:V$58,MATCH($D15,'AEO T23'!$B$27:$B$58,0))/INDEX('AEO T23'!$C$27:$C$58,MATCH($D15,'AEO T23'!$B$27:$B$58,0))</f>
        <v>1.2314872921917936</v>
      </c>
      <c r="W36">
        <f>INDEX('AEO T23'!W$27:W$58,MATCH($D15,'AEO T23'!$B$27:$B$58,0))/INDEX('AEO T23'!$C$27:$C$58,MATCH($D15,'AEO T23'!$B$27:$B$58,0))</f>
        <v>1.2510182539438552</v>
      </c>
      <c r="X36">
        <f>INDEX('AEO T23'!X$27:X$58,MATCH($D15,'AEO T23'!$B$27:$B$58,0))/INDEX('AEO T23'!$C$27:$C$58,MATCH($D15,'AEO T23'!$B$27:$B$58,0))</f>
        <v>1.2652654778625836</v>
      </c>
      <c r="Y36">
        <f>INDEX('AEO T23'!Y$27:Y$58,MATCH($D15,'AEO T23'!$B$27:$B$58,0))/INDEX('AEO T23'!$C$27:$C$58,MATCH($D15,'AEO T23'!$B$27:$B$58,0))</f>
        <v>1.274490576747968</v>
      </c>
      <c r="Z36">
        <f>INDEX('AEO T23'!Z$27:Z$58,MATCH($D15,'AEO T23'!$B$27:$B$58,0))/INDEX('AEO T23'!$C$27:$C$58,MATCH($D15,'AEO T23'!$B$27:$B$58,0))</f>
        <v>1.2907872739743658</v>
      </c>
      <c r="AA36">
        <f>INDEX('AEO T23'!AA$27:AA$58,MATCH($D15,'AEO T23'!$B$27:$B$58,0))/INDEX('AEO T23'!$C$27:$C$58,MATCH($D15,'AEO T23'!$B$27:$B$58,0))</f>
        <v>1.3102925327942825</v>
      </c>
      <c r="AB36">
        <f>INDEX('AEO T23'!AB$27:AB$58,MATCH($D15,'AEO T23'!$B$27:$B$58,0))/INDEX('AEO T23'!$C$27:$C$58,MATCH($D15,'AEO T23'!$B$27:$B$58,0))</f>
        <v>1.3268553503299523</v>
      </c>
      <c r="AC36">
        <f>INDEX('AEO T23'!AC$27:AC$58,MATCH($D15,'AEO T23'!$B$27:$B$58,0))/INDEX('AEO T23'!$C$27:$C$58,MATCH($D15,'AEO T23'!$B$27:$B$58,0))</f>
        <v>1.3323830001262611</v>
      </c>
      <c r="AD36">
        <f>INDEX('AEO T23'!AD$27:AD$58,MATCH($D15,'AEO T23'!$B$27:$B$58,0))/INDEX('AEO T23'!$C$27:$C$58,MATCH($D15,'AEO T23'!$B$27:$B$58,0))</f>
        <v>1.3425487756819774</v>
      </c>
      <c r="AE36">
        <f>INDEX('AEO T23'!AE$27:AE$58,MATCH($D15,'AEO T23'!$B$27:$B$58,0))/INDEX('AEO T23'!$C$27:$C$58,MATCH($D15,'AEO T23'!$B$27:$B$58,0))</f>
        <v>1.3627774897417446</v>
      </c>
    </row>
    <row r="37" spans="1:31">
      <c r="A37" t="s">
        <v>1483</v>
      </c>
      <c r="B37" s="449" cm="1">
        <f t="array" ref="B37">TREND(C37:L37,C$24:L$24,B$24)</f>
        <v>0.98725592605590862</v>
      </c>
      <c r="C37">
        <f>INDEX('AEO T23'!C$27:C$58,MATCH($D16,'AEO T23'!$B$27:$B$58,0))/INDEX('AEO T23'!$C$27:$C$58,MATCH($D16,'AEO T23'!$B$27:$B$58,0))</f>
        <v>1</v>
      </c>
      <c r="D37">
        <f>INDEX('AEO T23'!D$27:D$58,MATCH($D16,'AEO T23'!$B$27:$B$58,0))/INDEX('AEO T23'!$C$27:$C$58,MATCH($D16,'AEO T23'!$B$27:$B$58,0))</f>
        <v>1.0058146268628363</v>
      </c>
      <c r="E37">
        <f>INDEX('AEO T23'!E$27:E$58,MATCH($D16,'AEO T23'!$B$27:$B$58,0))/INDEX('AEO T23'!$C$27:$C$58,MATCH($D16,'AEO T23'!$B$27:$B$58,0))</f>
        <v>0.99841580136095576</v>
      </c>
      <c r="F37">
        <f>INDEX('AEO T23'!F$27:F$58,MATCH($D16,'AEO T23'!$B$27:$B$58,0))/INDEX('AEO T23'!$C$27:$C$58,MATCH($D16,'AEO T23'!$B$27:$B$58,0))</f>
        <v>1.0206854021619698</v>
      </c>
      <c r="G37">
        <f>INDEX('AEO T23'!G$27:G$58,MATCH($D16,'AEO T23'!$B$27:$B$58,0))/INDEX('AEO T23'!$C$27:$C$58,MATCH($D16,'AEO T23'!$B$27:$B$58,0))</f>
        <v>1.0436535128500708</v>
      </c>
      <c r="H37">
        <f>INDEX('AEO T23'!H$27:H$58,MATCH($D16,'AEO T23'!$B$27:$B$58,0))/INDEX('AEO T23'!$C$27:$C$58,MATCH($D16,'AEO T23'!$B$27:$B$58,0))</f>
        <v>1.0570404263038611</v>
      </c>
      <c r="I37">
        <f>INDEX('AEO T23'!I$27:I$58,MATCH($D16,'AEO T23'!$B$27:$B$58,0))/INDEX('AEO T23'!$C$27:$C$58,MATCH($D16,'AEO T23'!$B$27:$B$58,0))</f>
        <v>1.0652039155736701</v>
      </c>
      <c r="J37">
        <f>INDEX('AEO T23'!J$27:J$58,MATCH($D16,'AEO T23'!$B$27:$B$58,0))/INDEX('AEO T23'!$C$27:$C$58,MATCH($D16,'AEO T23'!$B$27:$B$58,0))</f>
        <v>1.0683123858745647</v>
      </c>
      <c r="K37">
        <f>INDEX('AEO T23'!K$27:K$58,MATCH($D16,'AEO T23'!$B$27:$B$58,0))/INDEX('AEO T23'!$C$27:$C$58,MATCH($D16,'AEO T23'!$B$27:$B$58,0))</f>
        <v>1.0690995966100292</v>
      </c>
      <c r="L37">
        <f>INDEX('AEO T23'!L$27:L$58,MATCH($D16,'AEO T23'!$B$27:$B$58,0))/INDEX('AEO T23'!$C$27:$C$58,MATCH($D16,'AEO T23'!$B$27:$B$58,0))</f>
        <v>1.0712631761048836</v>
      </c>
      <c r="M37">
        <f>INDEX('AEO T23'!M$27:M$58,MATCH($D16,'AEO T23'!$B$27:$B$58,0))/INDEX('AEO T23'!$C$27:$C$58,MATCH($D16,'AEO T23'!$B$27:$B$58,0))</f>
        <v>1.0752573537455077</v>
      </c>
      <c r="N37">
        <f>INDEX('AEO T23'!N$27:N$58,MATCH($D16,'AEO T23'!$B$27:$B$58,0))/INDEX('AEO T23'!$C$27:$C$58,MATCH($D16,'AEO T23'!$B$27:$B$58,0))</f>
        <v>1.0795699027463601</v>
      </c>
      <c r="O37">
        <f>INDEX('AEO T23'!O$27:O$58,MATCH($D16,'AEO T23'!$B$27:$B$58,0))/INDEX('AEO T23'!$C$27:$C$58,MATCH($D16,'AEO T23'!$B$27:$B$58,0))</f>
        <v>1.0870584328363107</v>
      </c>
      <c r="P37">
        <f>INDEX('AEO T23'!P$27:P$58,MATCH($D16,'AEO T23'!$B$27:$B$58,0))/INDEX('AEO T23'!$C$27:$C$58,MATCH($D16,'AEO T23'!$B$27:$B$58,0))</f>
        <v>1.0939283618713567</v>
      </c>
      <c r="Q37">
        <f>INDEX('AEO T23'!Q$27:Q$58,MATCH($D16,'AEO T23'!$B$27:$B$58,0))/INDEX('AEO T23'!$C$27:$C$58,MATCH($D16,'AEO T23'!$B$27:$B$58,0))</f>
        <v>1.0979058848681948</v>
      </c>
      <c r="R37">
        <f>INDEX('AEO T23'!R$27:R$58,MATCH($D16,'AEO T23'!$B$27:$B$58,0))/INDEX('AEO T23'!$C$27:$C$58,MATCH($D16,'AEO T23'!$B$27:$B$58,0))</f>
        <v>1.1038040451787698</v>
      </c>
      <c r="S37">
        <f>INDEX('AEO T23'!S$27:S$58,MATCH($D16,'AEO T23'!$B$27:$B$58,0))/INDEX('AEO T23'!$C$27:$C$58,MATCH($D16,'AEO T23'!$B$27:$B$58,0))</f>
        <v>1.1047237681414099</v>
      </c>
      <c r="T37">
        <f>INDEX('AEO T23'!T$27:T$58,MATCH($D16,'AEO T23'!$B$27:$B$58,0))/INDEX('AEO T23'!$C$27:$C$58,MATCH($D16,'AEO T23'!$B$27:$B$58,0))</f>
        <v>1.1100219895202512</v>
      </c>
      <c r="U37">
        <f>INDEX('AEO T23'!U$27:U$58,MATCH($D16,'AEO T23'!$B$27:$B$58,0))/INDEX('AEO T23'!$C$27:$C$58,MATCH($D16,'AEO T23'!$B$27:$B$58,0))</f>
        <v>1.1186389274900119</v>
      </c>
      <c r="V37">
        <f>INDEX('AEO T23'!V$27:V$58,MATCH($D16,'AEO T23'!$B$27:$B$58,0))/INDEX('AEO T23'!$C$27:$C$58,MATCH($D16,'AEO T23'!$B$27:$B$58,0))</f>
        <v>1.1254090401889751</v>
      </c>
      <c r="W37">
        <f>INDEX('AEO T23'!W$27:W$58,MATCH($D16,'AEO T23'!$B$27:$B$58,0))/INDEX('AEO T23'!$C$27:$C$58,MATCH($D16,'AEO T23'!$B$27:$B$58,0))</f>
        <v>1.1296429443261469</v>
      </c>
      <c r="X37">
        <f>INDEX('AEO T23'!X$27:X$58,MATCH($D16,'AEO T23'!$B$27:$B$58,0))/INDEX('AEO T23'!$C$27:$C$58,MATCH($D16,'AEO T23'!$B$27:$B$58,0))</f>
        <v>1.1330534845111533</v>
      </c>
      <c r="Y37">
        <f>INDEX('AEO T23'!Y$27:Y$58,MATCH($D16,'AEO T23'!$B$27:$B$58,0))/INDEX('AEO T23'!$C$27:$C$58,MATCH($D16,'AEO T23'!$B$27:$B$58,0))</f>
        <v>1.1352716562926142</v>
      </c>
      <c r="Z37">
        <f>INDEX('AEO T23'!Z$27:Z$58,MATCH($D16,'AEO T23'!$B$27:$B$58,0))/INDEX('AEO T23'!$C$27:$C$58,MATCH($D16,'AEO T23'!$B$27:$B$58,0))</f>
        <v>1.1331868703636172</v>
      </c>
      <c r="AA37">
        <f>INDEX('AEO T23'!AA$27:AA$58,MATCH($D16,'AEO T23'!$B$27:$B$58,0))/INDEX('AEO T23'!$C$27:$C$58,MATCH($D16,'AEO T23'!$B$27:$B$58,0))</f>
        <v>1.1369210980116677</v>
      </c>
      <c r="AB37">
        <f>INDEX('AEO T23'!AB$27:AB$58,MATCH($D16,'AEO T23'!$B$27:$B$58,0))/INDEX('AEO T23'!$C$27:$C$58,MATCH($D16,'AEO T23'!$B$27:$B$58,0))</f>
        <v>1.1429228479760583</v>
      </c>
      <c r="AC37">
        <f>INDEX('AEO T23'!AC$27:AC$58,MATCH($D16,'AEO T23'!$B$27:$B$58,0))/INDEX('AEO T23'!$C$27:$C$58,MATCH($D16,'AEO T23'!$B$27:$B$58,0))</f>
        <v>1.1411043132943706</v>
      </c>
      <c r="AD37">
        <f>INDEX('AEO T23'!AD$27:AD$58,MATCH($D16,'AEO T23'!$B$27:$B$58,0))/INDEX('AEO T23'!$C$27:$C$58,MATCH($D16,'AEO T23'!$B$27:$B$58,0))</f>
        <v>1.142795428798433</v>
      </c>
      <c r="AE37">
        <f>INDEX('AEO T23'!AE$27:AE$58,MATCH($D16,'AEO T23'!$B$27:$B$58,0))/INDEX('AEO T23'!$C$27:$C$58,MATCH($D16,'AEO T23'!$B$27:$B$58,0))</f>
        <v>1.1556372744236774</v>
      </c>
    </row>
    <row r="38" spans="1:31">
      <c r="A38" t="s">
        <v>1485</v>
      </c>
      <c r="B38" s="449" cm="1">
        <f t="array" ref="B38">TREND(C38:L38,C$24:L$24,B$24)</f>
        <v>0.96491812902895191</v>
      </c>
      <c r="C38">
        <f>INDEX('AEO T23'!C$27:C$58,MATCH($D17,'AEO T23'!$B$27:$B$58,0))/INDEX('AEO T23'!$C$27:$C$58,MATCH($D17,'AEO T23'!$B$27:$B$58,0))</f>
        <v>1</v>
      </c>
      <c r="D38">
        <f>INDEX('AEO T23'!D$27:D$58,MATCH($D17,'AEO T23'!$B$27:$B$58,0))/INDEX('AEO T23'!$C$27:$C$58,MATCH($D17,'AEO T23'!$B$27:$B$58,0))</f>
        <v>1.0043806885773638</v>
      </c>
      <c r="E38">
        <f>INDEX('AEO T23'!E$27:E$58,MATCH($D17,'AEO T23'!$B$27:$B$58,0))/INDEX('AEO T23'!$C$27:$C$58,MATCH($D17,'AEO T23'!$B$27:$B$58,0))</f>
        <v>1.0283639836832663</v>
      </c>
      <c r="F38">
        <f>INDEX('AEO T23'!F$27:F$58,MATCH($D17,'AEO T23'!$B$27:$B$58,0))/INDEX('AEO T23'!$C$27:$C$58,MATCH($D17,'AEO T23'!$B$27:$B$58,0))</f>
        <v>1.0705157919218742</v>
      </c>
      <c r="G38">
        <f>INDEX('AEO T23'!G$27:G$58,MATCH($D17,'AEO T23'!$B$27:$B$58,0))/INDEX('AEO T23'!$C$27:$C$58,MATCH($D17,'AEO T23'!$B$27:$B$58,0))</f>
        <v>1.114279878244917</v>
      </c>
      <c r="H38">
        <f>INDEX('AEO T23'!H$27:H$58,MATCH($D17,'AEO T23'!$B$27:$B$58,0))/INDEX('AEO T23'!$C$27:$C$58,MATCH($D17,'AEO T23'!$B$27:$B$58,0))</f>
        <v>1.1467487784880264</v>
      </c>
      <c r="I38">
        <f>INDEX('AEO T23'!I$27:I$58,MATCH($D17,'AEO T23'!$B$27:$B$58,0))/INDEX('AEO T23'!$C$27:$C$58,MATCH($D17,'AEO T23'!$B$27:$B$58,0))</f>
        <v>1.1703588415131765</v>
      </c>
      <c r="J38">
        <f>INDEX('AEO T23'!J$27:J$58,MATCH($D17,'AEO T23'!$B$27:$B$58,0))/INDEX('AEO T23'!$C$27:$C$58,MATCH($D17,'AEO T23'!$B$27:$B$58,0))</f>
        <v>1.1886545439736358</v>
      </c>
      <c r="K38">
        <f>INDEX('AEO T23'!K$27:K$58,MATCH($D17,'AEO T23'!$B$27:$B$58,0))/INDEX('AEO T23'!$C$27:$C$58,MATCH($D17,'AEO T23'!$B$27:$B$58,0))</f>
        <v>1.2039305625684253</v>
      </c>
      <c r="L38">
        <f>INDEX('AEO T23'!L$27:L$58,MATCH($D17,'AEO T23'!$B$27:$B$58,0))/INDEX('AEO T23'!$C$27:$C$58,MATCH($D17,'AEO T23'!$B$27:$B$58,0))</f>
        <v>1.2173092279395272</v>
      </c>
      <c r="M38">
        <f>INDEX('AEO T23'!M$27:M$58,MATCH($D17,'AEO T23'!$B$27:$B$58,0))/INDEX('AEO T23'!$C$27:$C$58,MATCH($D17,'AEO T23'!$B$27:$B$58,0))</f>
        <v>1.2333364831590907</v>
      </c>
      <c r="N38">
        <f>INDEX('AEO T23'!N$27:N$58,MATCH($D17,'AEO T23'!$B$27:$B$58,0))/INDEX('AEO T23'!$C$27:$C$58,MATCH($D17,'AEO T23'!$B$27:$B$58,0))</f>
        <v>1.2492901279051973</v>
      </c>
      <c r="O38">
        <f>INDEX('AEO T23'!O$27:O$58,MATCH($D17,'AEO T23'!$B$27:$B$58,0))/INDEX('AEO T23'!$C$27:$C$58,MATCH($D17,'AEO T23'!$B$27:$B$58,0))</f>
        <v>1.268549715227117</v>
      </c>
      <c r="P38">
        <f>INDEX('AEO T23'!P$27:P$58,MATCH($D17,'AEO T23'!$B$27:$B$58,0))/INDEX('AEO T23'!$C$27:$C$58,MATCH($D17,'AEO T23'!$B$27:$B$58,0))</f>
        <v>1.2898389866342395</v>
      </c>
      <c r="Q38">
        <f>INDEX('AEO T23'!Q$27:Q$58,MATCH($D17,'AEO T23'!$B$27:$B$58,0))/INDEX('AEO T23'!$C$27:$C$58,MATCH($D17,'AEO T23'!$B$27:$B$58,0))</f>
        <v>1.3133389393868531</v>
      </c>
      <c r="R38">
        <f>INDEX('AEO T23'!R$27:R$58,MATCH($D17,'AEO T23'!$B$27:$B$58,0))/INDEX('AEO T23'!$C$27:$C$58,MATCH($D17,'AEO T23'!$B$27:$B$58,0))</f>
        <v>1.3384614660179937</v>
      </c>
      <c r="S38">
        <f>INDEX('AEO T23'!S$27:S$58,MATCH($D17,'AEO T23'!$B$27:$B$58,0))/INDEX('AEO T23'!$C$27:$C$58,MATCH($D17,'AEO T23'!$B$27:$B$58,0))</f>
        <v>1.3649852769508162</v>
      </c>
      <c r="T38">
        <f>INDEX('AEO T23'!T$27:T$58,MATCH($D17,'AEO T23'!$B$27:$B$58,0))/INDEX('AEO T23'!$C$27:$C$58,MATCH($D17,'AEO T23'!$B$27:$B$58,0))</f>
        <v>1.3947409363763832</v>
      </c>
      <c r="U38">
        <f>INDEX('AEO T23'!U$27:U$58,MATCH($D17,'AEO T23'!$B$27:$B$58,0))/INDEX('AEO T23'!$C$27:$C$58,MATCH($D17,'AEO T23'!$B$27:$B$58,0))</f>
        <v>1.4262573293104652</v>
      </c>
      <c r="V38">
        <f>INDEX('AEO T23'!V$27:V$58,MATCH($D17,'AEO T23'!$B$27:$B$58,0))/INDEX('AEO T23'!$C$27:$C$58,MATCH($D17,'AEO T23'!$B$27:$B$58,0))</f>
        <v>1.4561186192563804</v>
      </c>
      <c r="W38">
        <f>INDEX('AEO T23'!W$27:W$58,MATCH($D17,'AEO T23'!$B$27:$B$58,0))/INDEX('AEO T23'!$C$27:$C$58,MATCH($D17,'AEO T23'!$B$27:$B$58,0))</f>
        <v>1.4840334314233619</v>
      </c>
      <c r="X38">
        <f>INDEX('AEO T23'!X$27:X$58,MATCH($D17,'AEO T23'!$B$27:$B$58,0))/INDEX('AEO T23'!$C$27:$C$58,MATCH($D17,'AEO T23'!$B$27:$B$58,0))</f>
        <v>1.5131282637683179</v>
      </c>
      <c r="Y38">
        <f>INDEX('AEO T23'!Y$27:Y$58,MATCH($D17,'AEO T23'!$B$27:$B$58,0))/INDEX('AEO T23'!$C$27:$C$58,MATCH($D17,'AEO T23'!$B$27:$B$58,0))</f>
        <v>1.5454944351487467</v>
      </c>
      <c r="Z38">
        <f>INDEX('AEO T23'!Z$27:Z$58,MATCH($D17,'AEO T23'!$B$27:$B$58,0))/INDEX('AEO T23'!$C$27:$C$58,MATCH($D17,'AEO T23'!$B$27:$B$58,0))</f>
        <v>1.5805488141860518</v>
      </c>
      <c r="AA38">
        <f>INDEX('AEO T23'!AA$27:AA$58,MATCH($D17,'AEO T23'!$B$27:$B$58,0))/INDEX('AEO T23'!$C$27:$C$58,MATCH($D17,'AEO T23'!$B$27:$B$58,0))</f>
        <v>1.6151456858045625</v>
      </c>
      <c r="AB38">
        <f>INDEX('AEO T23'!AB$27:AB$58,MATCH($D17,'AEO T23'!$B$27:$B$58,0))/INDEX('AEO T23'!$C$27:$C$58,MATCH($D17,'AEO T23'!$B$27:$B$58,0))</f>
        <v>1.646777521443473</v>
      </c>
      <c r="AC38">
        <f>INDEX('AEO T23'!AC$27:AC$58,MATCH($D17,'AEO T23'!$B$27:$B$58,0))/INDEX('AEO T23'!$C$27:$C$58,MATCH($D17,'AEO T23'!$B$27:$B$58,0))</f>
        <v>1.6776076468860792</v>
      </c>
      <c r="AD38">
        <f>INDEX('AEO T23'!AD$27:AD$58,MATCH($D17,'AEO T23'!$B$27:$B$58,0))/INDEX('AEO T23'!$C$27:$C$58,MATCH($D17,'AEO T23'!$B$27:$B$58,0))</f>
        <v>1.7087461370886894</v>
      </c>
      <c r="AE38">
        <f>INDEX('AEO T23'!AE$27:AE$58,MATCH($D17,'AEO T23'!$B$27:$B$58,0))/INDEX('AEO T23'!$C$27:$C$58,MATCH($D17,'AEO T23'!$B$27:$B$58,0))</f>
        <v>1.7394486786799113</v>
      </c>
    </row>
    <row r="39" spans="1:31">
      <c r="A39" t="s">
        <v>1487</v>
      </c>
      <c r="B39" s="449" cm="1">
        <f t="array" ref="B39">TREND(C39:L39,C$24:L$24,B$24)</f>
        <v>0.98725592605590862</v>
      </c>
      <c r="C39">
        <f>INDEX('AEO T23'!C$27:C$58,MATCH($D18,'AEO T23'!$B$27:$B$58,0))/INDEX('AEO T23'!$C$27:$C$58,MATCH($D18,'AEO T23'!$B$27:$B$58,0))</f>
        <v>1</v>
      </c>
      <c r="D39">
        <f>INDEX('AEO T23'!D$27:D$58,MATCH($D18,'AEO T23'!$B$27:$B$58,0))/INDEX('AEO T23'!$C$27:$C$58,MATCH($D18,'AEO T23'!$B$27:$B$58,0))</f>
        <v>1.0058146268628363</v>
      </c>
      <c r="E39">
        <f>INDEX('AEO T23'!E$27:E$58,MATCH($D18,'AEO T23'!$B$27:$B$58,0))/INDEX('AEO T23'!$C$27:$C$58,MATCH($D18,'AEO T23'!$B$27:$B$58,0))</f>
        <v>0.99841580136095576</v>
      </c>
      <c r="F39">
        <f>INDEX('AEO T23'!F$27:F$58,MATCH($D18,'AEO T23'!$B$27:$B$58,0))/INDEX('AEO T23'!$C$27:$C$58,MATCH($D18,'AEO T23'!$B$27:$B$58,0))</f>
        <v>1.0206854021619698</v>
      </c>
      <c r="G39">
        <f>INDEX('AEO T23'!G$27:G$58,MATCH($D18,'AEO T23'!$B$27:$B$58,0))/INDEX('AEO T23'!$C$27:$C$58,MATCH($D18,'AEO T23'!$B$27:$B$58,0))</f>
        <v>1.0436535128500708</v>
      </c>
      <c r="H39">
        <f>INDEX('AEO T23'!H$27:H$58,MATCH($D18,'AEO T23'!$B$27:$B$58,0))/INDEX('AEO T23'!$C$27:$C$58,MATCH($D18,'AEO T23'!$B$27:$B$58,0))</f>
        <v>1.0570404263038611</v>
      </c>
      <c r="I39">
        <f>INDEX('AEO T23'!I$27:I$58,MATCH($D18,'AEO T23'!$B$27:$B$58,0))/INDEX('AEO T23'!$C$27:$C$58,MATCH($D18,'AEO T23'!$B$27:$B$58,0))</f>
        <v>1.0652039155736701</v>
      </c>
      <c r="J39">
        <f>INDEX('AEO T23'!J$27:J$58,MATCH($D18,'AEO T23'!$B$27:$B$58,0))/INDEX('AEO T23'!$C$27:$C$58,MATCH($D18,'AEO T23'!$B$27:$B$58,0))</f>
        <v>1.0683123858745647</v>
      </c>
      <c r="K39">
        <f>INDEX('AEO T23'!K$27:K$58,MATCH($D18,'AEO T23'!$B$27:$B$58,0))/INDEX('AEO T23'!$C$27:$C$58,MATCH($D18,'AEO T23'!$B$27:$B$58,0))</f>
        <v>1.0690995966100292</v>
      </c>
      <c r="L39">
        <f>INDEX('AEO T23'!L$27:L$58,MATCH($D18,'AEO T23'!$B$27:$B$58,0))/INDEX('AEO T23'!$C$27:$C$58,MATCH($D18,'AEO T23'!$B$27:$B$58,0))</f>
        <v>1.0712631761048836</v>
      </c>
      <c r="M39">
        <f>INDEX('AEO T23'!M$27:M$58,MATCH($D18,'AEO T23'!$B$27:$B$58,0))/INDEX('AEO T23'!$C$27:$C$58,MATCH($D18,'AEO T23'!$B$27:$B$58,0))</f>
        <v>1.0752573537455077</v>
      </c>
      <c r="N39">
        <f>INDEX('AEO T23'!N$27:N$58,MATCH($D18,'AEO T23'!$B$27:$B$58,0))/INDEX('AEO T23'!$C$27:$C$58,MATCH($D18,'AEO T23'!$B$27:$B$58,0))</f>
        <v>1.0795699027463601</v>
      </c>
      <c r="O39">
        <f>INDEX('AEO T23'!O$27:O$58,MATCH($D18,'AEO T23'!$B$27:$B$58,0))/INDEX('AEO T23'!$C$27:$C$58,MATCH($D18,'AEO T23'!$B$27:$B$58,0))</f>
        <v>1.0870584328363107</v>
      </c>
      <c r="P39">
        <f>INDEX('AEO T23'!P$27:P$58,MATCH($D18,'AEO T23'!$B$27:$B$58,0))/INDEX('AEO T23'!$C$27:$C$58,MATCH($D18,'AEO T23'!$B$27:$B$58,0))</f>
        <v>1.0939283618713567</v>
      </c>
      <c r="Q39">
        <f>INDEX('AEO T23'!Q$27:Q$58,MATCH($D18,'AEO T23'!$B$27:$B$58,0))/INDEX('AEO T23'!$C$27:$C$58,MATCH($D18,'AEO T23'!$B$27:$B$58,0))</f>
        <v>1.0979058848681948</v>
      </c>
      <c r="R39">
        <f>INDEX('AEO T23'!R$27:R$58,MATCH($D18,'AEO T23'!$B$27:$B$58,0))/INDEX('AEO T23'!$C$27:$C$58,MATCH($D18,'AEO T23'!$B$27:$B$58,0))</f>
        <v>1.1038040451787698</v>
      </c>
      <c r="S39">
        <f>INDEX('AEO T23'!S$27:S$58,MATCH($D18,'AEO T23'!$B$27:$B$58,0))/INDEX('AEO T23'!$C$27:$C$58,MATCH($D18,'AEO T23'!$B$27:$B$58,0))</f>
        <v>1.1047237681414099</v>
      </c>
      <c r="T39">
        <f>INDEX('AEO T23'!T$27:T$58,MATCH($D18,'AEO T23'!$B$27:$B$58,0))/INDEX('AEO T23'!$C$27:$C$58,MATCH($D18,'AEO T23'!$B$27:$B$58,0))</f>
        <v>1.1100219895202512</v>
      </c>
      <c r="U39">
        <f>INDEX('AEO T23'!U$27:U$58,MATCH($D18,'AEO T23'!$B$27:$B$58,0))/INDEX('AEO T23'!$C$27:$C$58,MATCH($D18,'AEO T23'!$B$27:$B$58,0))</f>
        <v>1.1186389274900119</v>
      </c>
      <c r="V39">
        <f>INDEX('AEO T23'!V$27:V$58,MATCH($D18,'AEO T23'!$B$27:$B$58,0))/INDEX('AEO T23'!$C$27:$C$58,MATCH($D18,'AEO T23'!$B$27:$B$58,0))</f>
        <v>1.1254090401889751</v>
      </c>
      <c r="W39">
        <f>INDEX('AEO T23'!W$27:W$58,MATCH($D18,'AEO T23'!$B$27:$B$58,0))/INDEX('AEO T23'!$C$27:$C$58,MATCH($D18,'AEO T23'!$B$27:$B$58,0))</f>
        <v>1.1296429443261469</v>
      </c>
      <c r="X39">
        <f>INDEX('AEO T23'!X$27:X$58,MATCH($D18,'AEO T23'!$B$27:$B$58,0))/INDEX('AEO T23'!$C$27:$C$58,MATCH($D18,'AEO T23'!$B$27:$B$58,0))</f>
        <v>1.1330534845111533</v>
      </c>
      <c r="Y39">
        <f>INDEX('AEO T23'!Y$27:Y$58,MATCH($D18,'AEO T23'!$B$27:$B$58,0))/INDEX('AEO T23'!$C$27:$C$58,MATCH($D18,'AEO T23'!$B$27:$B$58,0))</f>
        <v>1.1352716562926142</v>
      </c>
      <c r="Z39">
        <f>INDEX('AEO T23'!Z$27:Z$58,MATCH($D18,'AEO T23'!$B$27:$B$58,0))/INDEX('AEO T23'!$C$27:$C$58,MATCH($D18,'AEO T23'!$B$27:$B$58,0))</f>
        <v>1.1331868703636172</v>
      </c>
      <c r="AA39">
        <f>INDEX('AEO T23'!AA$27:AA$58,MATCH($D18,'AEO T23'!$B$27:$B$58,0))/INDEX('AEO T23'!$C$27:$C$58,MATCH($D18,'AEO T23'!$B$27:$B$58,0))</f>
        <v>1.1369210980116677</v>
      </c>
      <c r="AB39">
        <f>INDEX('AEO T23'!AB$27:AB$58,MATCH($D18,'AEO T23'!$B$27:$B$58,0))/INDEX('AEO T23'!$C$27:$C$58,MATCH($D18,'AEO T23'!$B$27:$B$58,0))</f>
        <v>1.1429228479760583</v>
      </c>
      <c r="AC39">
        <f>INDEX('AEO T23'!AC$27:AC$58,MATCH($D18,'AEO T23'!$B$27:$B$58,0))/INDEX('AEO T23'!$C$27:$C$58,MATCH($D18,'AEO T23'!$B$27:$B$58,0))</f>
        <v>1.1411043132943706</v>
      </c>
      <c r="AD39">
        <f>INDEX('AEO T23'!AD$27:AD$58,MATCH($D18,'AEO T23'!$B$27:$B$58,0))/INDEX('AEO T23'!$C$27:$C$58,MATCH($D18,'AEO T23'!$B$27:$B$58,0))</f>
        <v>1.142795428798433</v>
      </c>
      <c r="AE39">
        <f>INDEX('AEO T23'!AE$27:AE$58,MATCH($D18,'AEO T23'!$B$27:$B$58,0))/INDEX('AEO T23'!$C$27:$C$58,MATCH($D18,'AEO T23'!$B$27:$B$58,0))</f>
        <v>1.1556372744236774</v>
      </c>
    </row>
    <row r="40" spans="1:31">
      <c r="A40" t="s">
        <v>1488</v>
      </c>
      <c r="B40" s="449" cm="1">
        <f t="array" ref="B40">TREND(C40:L40,C$24:L$24,B$24)</f>
        <v>0.96491812902895191</v>
      </c>
      <c r="C40">
        <f>INDEX('AEO T23'!C$27:C$58,MATCH($D19,'AEO T23'!$B$27:$B$58,0))/INDEX('AEO T23'!$C$27:$C$58,MATCH($D19,'AEO T23'!$B$27:$B$58,0))</f>
        <v>1</v>
      </c>
      <c r="D40">
        <f>INDEX('AEO T23'!D$27:D$58,MATCH($D19,'AEO T23'!$B$27:$B$58,0))/INDEX('AEO T23'!$C$27:$C$58,MATCH($D19,'AEO T23'!$B$27:$B$58,0))</f>
        <v>1.0043806885773638</v>
      </c>
      <c r="E40">
        <f>INDEX('AEO T23'!E$27:E$58,MATCH($D19,'AEO T23'!$B$27:$B$58,0))/INDEX('AEO T23'!$C$27:$C$58,MATCH($D19,'AEO T23'!$B$27:$B$58,0))</f>
        <v>1.0283639836832663</v>
      </c>
      <c r="F40">
        <f>INDEX('AEO T23'!F$27:F$58,MATCH($D19,'AEO T23'!$B$27:$B$58,0))/INDEX('AEO T23'!$C$27:$C$58,MATCH($D19,'AEO T23'!$B$27:$B$58,0))</f>
        <v>1.0705157919218742</v>
      </c>
      <c r="G40">
        <f>INDEX('AEO T23'!G$27:G$58,MATCH($D19,'AEO T23'!$B$27:$B$58,0))/INDEX('AEO T23'!$C$27:$C$58,MATCH($D19,'AEO T23'!$B$27:$B$58,0))</f>
        <v>1.114279878244917</v>
      </c>
      <c r="H40">
        <f>INDEX('AEO T23'!H$27:H$58,MATCH($D19,'AEO T23'!$B$27:$B$58,0))/INDEX('AEO T23'!$C$27:$C$58,MATCH($D19,'AEO T23'!$B$27:$B$58,0))</f>
        <v>1.1467487784880264</v>
      </c>
      <c r="I40">
        <f>INDEX('AEO T23'!I$27:I$58,MATCH($D19,'AEO T23'!$B$27:$B$58,0))/INDEX('AEO T23'!$C$27:$C$58,MATCH($D19,'AEO T23'!$B$27:$B$58,0))</f>
        <v>1.1703588415131765</v>
      </c>
      <c r="J40">
        <f>INDEX('AEO T23'!J$27:J$58,MATCH($D19,'AEO T23'!$B$27:$B$58,0))/INDEX('AEO T23'!$C$27:$C$58,MATCH($D19,'AEO T23'!$B$27:$B$58,0))</f>
        <v>1.1886545439736358</v>
      </c>
      <c r="K40">
        <f>INDEX('AEO T23'!K$27:K$58,MATCH($D19,'AEO T23'!$B$27:$B$58,0))/INDEX('AEO T23'!$C$27:$C$58,MATCH($D19,'AEO T23'!$B$27:$B$58,0))</f>
        <v>1.2039305625684253</v>
      </c>
      <c r="L40">
        <f>INDEX('AEO T23'!L$27:L$58,MATCH($D19,'AEO T23'!$B$27:$B$58,0))/INDEX('AEO T23'!$C$27:$C$58,MATCH($D19,'AEO T23'!$B$27:$B$58,0))</f>
        <v>1.2173092279395272</v>
      </c>
      <c r="M40">
        <f>INDEX('AEO T23'!M$27:M$58,MATCH($D19,'AEO T23'!$B$27:$B$58,0))/INDEX('AEO T23'!$C$27:$C$58,MATCH($D19,'AEO T23'!$B$27:$B$58,0))</f>
        <v>1.2333364831590907</v>
      </c>
      <c r="N40">
        <f>INDEX('AEO T23'!N$27:N$58,MATCH($D19,'AEO T23'!$B$27:$B$58,0))/INDEX('AEO T23'!$C$27:$C$58,MATCH($D19,'AEO T23'!$B$27:$B$58,0))</f>
        <v>1.2492901279051973</v>
      </c>
      <c r="O40">
        <f>INDEX('AEO T23'!O$27:O$58,MATCH($D19,'AEO T23'!$B$27:$B$58,0))/INDEX('AEO T23'!$C$27:$C$58,MATCH($D19,'AEO T23'!$B$27:$B$58,0))</f>
        <v>1.268549715227117</v>
      </c>
      <c r="P40">
        <f>INDEX('AEO T23'!P$27:P$58,MATCH($D19,'AEO T23'!$B$27:$B$58,0))/INDEX('AEO T23'!$C$27:$C$58,MATCH($D19,'AEO T23'!$B$27:$B$58,0))</f>
        <v>1.2898389866342395</v>
      </c>
      <c r="Q40">
        <f>INDEX('AEO T23'!Q$27:Q$58,MATCH($D19,'AEO T23'!$B$27:$B$58,0))/INDEX('AEO T23'!$C$27:$C$58,MATCH($D19,'AEO T23'!$B$27:$B$58,0))</f>
        <v>1.3133389393868531</v>
      </c>
      <c r="R40">
        <f>INDEX('AEO T23'!R$27:R$58,MATCH($D19,'AEO T23'!$B$27:$B$58,0))/INDEX('AEO T23'!$C$27:$C$58,MATCH($D19,'AEO T23'!$B$27:$B$58,0))</f>
        <v>1.3384614660179937</v>
      </c>
      <c r="S40">
        <f>INDEX('AEO T23'!S$27:S$58,MATCH($D19,'AEO T23'!$B$27:$B$58,0))/INDEX('AEO T23'!$C$27:$C$58,MATCH($D19,'AEO T23'!$B$27:$B$58,0))</f>
        <v>1.3649852769508162</v>
      </c>
      <c r="T40">
        <f>INDEX('AEO T23'!T$27:T$58,MATCH($D19,'AEO T23'!$B$27:$B$58,0))/INDEX('AEO T23'!$C$27:$C$58,MATCH($D19,'AEO T23'!$B$27:$B$58,0))</f>
        <v>1.3947409363763832</v>
      </c>
      <c r="U40">
        <f>INDEX('AEO T23'!U$27:U$58,MATCH($D19,'AEO T23'!$B$27:$B$58,0))/INDEX('AEO T23'!$C$27:$C$58,MATCH($D19,'AEO T23'!$B$27:$B$58,0))</f>
        <v>1.4262573293104652</v>
      </c>
      <c r="V40">
        <f>INDEX('AEO T23'!V$27:V$58,MATCH($D19,'AEO T23'!$B$27:$B$58,0))/INDEX('AEO T23'!$C$27:$C$58,MATCH($D19,'AEO T23'!$B$27:$B$58,0))</f>
        <v>1.4561186192563804</v>
      </c>
      <c r="W40">
        <f>INDEX('AEO T23'!W$27:W$58,MATCH($D19,'AEO T23'!$B$27:$B$58,0))/INDEX('AEO T23'!$C$27:$C$58,MATCH($D19,'AEO T23'!$B$27:$B$58,0))</f>
        <v>1.4840334314233619</v>
      </c>
      <c r="X40">
        <f>INDEX('AEO T23'!X$27:X$58,MATCH($D19,'AEO T23'!$B$27:$B$58,0))/INDEX('AEO T23'!$C$27:$C$58,MATCH($D19,'AEO T23'!$B$27:$B$58,0))</f>
        <v>1.5131282637683179</v>
      </c>
      <c r="Y40">
        <f>INDEX('AEO T23'!Y$27:Y$58,MATCH($D19,'AEO T23'!$B$27:$B$58,0))/INDEX('AEO T23'!$C$27:$C$58,MATCH($D19,'AEO T23'!$B$27:$B$58,0))</f>
        <v>1.5454944351487467</v>
      </c>
      <c r="Z40">
        <f>INDEX('AEO T23'!Z$27:Z$58,MATCH($D19,'AEO T23'!$B$27:$B$58,0))/INDEX('AEO T23'!$C$27:$C$58,MATCH($D19,'AEO T23'!$B$27:$B$58,0))</f>
        <v>1.5805488141860518</v>
      </c>
      <c r="AA40">
        <f>INDEX('AEO T23'!AA$27:AA$58,MATCH($D19,'AEO T23'!$B$27:$B$58,0))/INDEX('AEO T23'!$C$27:$C$58,MATCH($D19,'AEO T23'!$B$27:$B$58,0))</f>
        <v>1.6151456858045625</v>
      </c>
      <c r="AB40">
        <f>INDEX('AEO T23'!AB$27:AB$58,MATCH($D19,'AEO T23'!$B$27:$B$58,0))/INDEX('AEO T23'!$C$27:$C$58,MATCH($D19,'AEO T23'!$B$27:$B$58,0))</f>
        <v>1.646777521443473</v>
      </c>
      <c r="AC40">
        <f>INDEX('AEO T23'!AC$27:AC$58,MATCH($D19,'AEO T23'!$B$27:$B$58,0))/INDEX('AEO T23'!$C$27:$C$58,MATCH($D19,'AEO T23'!$B$27:$B$58,0))</f>
        <v>1.6776076468860792</v>
      </c>
      <c r="AD40">
        <f>INDEX('AEO T23'!AD$27:AD$58,MATCH($D19,'AEO T23'!$B$27:$B$58,0))/INDEX('AEO T23'!$C$27:$C$58,MATCH($D19,'AEO T23'!$B$27:$B$58,0))</f>
        <v>1.7087461370886894</v>
      </c>
      <c r="AE40">
        <f>INDEX('AEO T23'!AE$27:AE$58,MATCH($D19,'AEO T23'!$B$27:$B$58,0))/INDEX('AEO T23'!$C$27:$C$58,MATCH($D19,'AEO T23'!$B$27:$B$58,0))</f>
        <v>1.7394486786799113</v>
      </c>
    </row>
    <row r="41" spans="1:31">
      <c r="A41" t="s">
        <v>1489</v>
      </c>
      <c r="B41" s="449" cm="1">
        <f t="array" ref="B41">TREND(C41:L41,C$24:L$24,B$24)</f>
        <v>0.96491812902895191</v>
      </c>
      <c r="C41">
        <f>INDEX('AEO T23'!C$27:C$58,MATCH($D20,'AEO T23'!$B$27:$B$58,0))/INDEX('AEO T23'!$C$27:$C$58,MATCH($D20,'AEO T23'!$B$27:$B$58,0))</f>
        <v>1</v>
      </c>
      <c r="D41">
        <f>INDEX('AEO T23'!D$27:D$58,MATCH($D20,'AEO T23'!$B$27:$B$58,0))/INDEX('AEO T23'!$C$27:$C$58,MATCH($D20,'AEO T23'!$B$27:$B$58,0))</f>
        <v>1.0043806885773638</v>
      </c>
      <c r="E41">
        <f>INDEX('AEO T23'!E$27:E$58,MATCH($D20,'AEO T23'!$B$27:$B$58,0))/INDEX('AEO T23'!$C$27:$C$58,MATCH($D20,'AEO T23'!$B$27:$B$58,0))</f>
        <v>1.0283639836832663</v>
      </c>
      <c r="F41">
        <f>INDEX('AEO T23'!F$27:F$58,MATCH($D20,'AEO T23'!$B$27:$B$58,0))/INDEX('AEO T23'!$C$27:$C$58,MATCH($D20,'AEO T23'!$B$27:$B$58,0))</f>
        <v>1.0705157919218742</v>
      </c>
      <c r="G41">
        <f>INDEX('AEO T23'!G$27:G$58,MATCH($D20,'AEO T23'!$B$27:$B$58,0))/INDEX('AEO T23'!$C$27:$C$58,MATCH($D20,'AEO T23'!$B$27:$B$58,0))</f>
        <v>1.114279878244917</v>
      </c>
      <c r="H41">
        <f>INDEX('AEO T23'!H$27:H$58,MATCH($D20,'AEO T23'!$B$27:$B$58,0))/INDEX('AEO T23'!$C$27:$C$58,MATCH($D20,'AEO T23'!$B$27:$B$58,0))</f>
        <v>1.1467487784880264</v>
      </c>
      <c r="I41">
        <f>INDEX('AEO T23'!I$27:I$58,MATCH($D20,'AEO T23'!$B$27:$B$58,0))/INDEX('AEO T23'!$C$27:$C$58,MATCH($D20,'AEO T23'!$B$27:$B$58,0))</f>
        <v>1.1703588415131765</v>
      </c>
      <c r="J41">
        <f>INDEX('AEO T23'!J$27:J$58,MATCH($D20,'AEO T23'!$B$27:$B$58,0))/INDEX('AEO T23'!$C$27:$C$58,MATCH($D20,'AEO T23'!$B$27:$B$58,0))</f>
        <v>1.1886545439736358</v>
      </c>
      <c r="K41">
        <f>INDEX('AEO T23'!K$27:K$58,MATCH($D20,'AEO T23'!$B$27:$B$58,0))/INDEX('AEO T23'!$C$27:$C$58,MATCH($D20,'AEO T23'!$B$27:$B$58,0))</f>
        <v>1.2039305625684253</v>
      </c>
      <c r="L41">
        <f>INDEX('AEO T23'!L$27:L$58,MATCH($D20,'AEO T23'!$B$27:$B$58,0))/INDEX('AEO T23'!$C$27:$C$58,MATCH($D20,'AEO T23'!$B$27:$B$58,0))</f>
        <v>1.2173092279395272</v>
      </c>
      <c r="M41">
        <f>INDEX('AEO T23'!M$27:M$58,MATCH($D20,'AEO T23'!$B$27:$B$58,0))/INDEX('AEO T23'!$C$27:$C$58,MATCH($D20,'AEO T23'!$B$27:$B$58,0))</f>
        <v>1.2333364831590907</v>
      </c>
      <c r="N41">
        <f>INDEX('AEO T23'!N$27:N$58,MATCH($D20,'AEO T23'!$B$27:$B$58,0))/INDEX('AEO T23'!$C$27:$C$58,MATCH($D20,'AEO T23'!$B$27:$B$58,0))</f>
        <v>1.2492901279051973</v>
      </c>
      <c r="O41">
        <f>INDEX('AEO T23'!O$27:O$58,MATCH($D20,'AEO T23'!$B$27:$B$58,0))/INDEX('AEO T23'!$C$27:$C$58,MATCH($D20,'AEO T23'!$B$27:$B$58,0))</f>
        <v>1.268549715227117</v>
      </c>
      <c r="P41">
        <f>INDEX('AEO T23'!P$27:P$58,MATCH($D20,'AEO T23'!$B$27:$B$58,0))/INDEX('AEO T23'!$C$27:$C$58,MATCH($D20,'AEO T23'!$B$27:$B$58,0))</f>
        <v>1.2898389866342395</v>
      </c>
      <c r="Q41">
        <f>INDEX('AEO T23'!Q$27:Q$58,MATCH($D20,'AEO T23'!$B$27:$B$58,0))/INDEX('AEO T23'!$C$27:$C$58,MATCH($D20,'AEO T23'!$B$27:$B$58,0))</f>
        <v>1.3133389393868531</v>
      </c>
      <c r="R41">
        <f>INDEX('AEO T23'!R$27:R$58,MATCH($D20,'AEO T23'!$B$27:$B$58,0))/INDEX('AEO T23'!$C$27:$C$58,MATCH($D20,'AEO T23'!$B$27:$B$58,0))</f>
        <v>1.3384614660179937</v>
      </c>
      <c r="S41">
        <f>INDEX('AEO T23'!S$27:S$58,MATCH($D20,'AEO T23'!$B$27:$B$58,0))/INDEX('AEO T23'!$C$27:$C$58,MATCH($D20,'AEO T23'!$B$27:$B$58,0))</f>
        <v>1.3649852769508162</v>
      </c>
      <c r="T41">
        <f>INDEX('AEO T23'!T$27:T$58,MATCH($D20,'AEO T23'!$B$27:$B$58,0))/INDEX('AEO T23'!$C$27:$C$58,MATCH($D20,'AEO T23'!$B$27:$B$58,0))</f>
        <v>1.3947409363763832</v>
      </c>
      <c r="U41">
        <f>INDEX('AEO T23'!U$27:U$58,MATCH($D20,'AEO T23'!$B$27:$B$58,0))/INDEX('AEO T23'!$C$27:$C$58,MATCH($D20,'AEO T23'!$B$27:$B$58,0))</f>
        <v>1.4262573293104652</v>
      </c>
      <c r="V41">
        <f>INDEX('AEO T23'!V$27:V$58,MATCH($D20,'AEO T23'!$B$27:$B$58,0))/INDEX('AEO T23'!$C$27:$C$58,MATCH($D20,'AEO T23'!$B$27:$B$58,0))</f>
        <v>1.4561186192563804</v>
      </c>
      <c r="W41">
        <f>INDEX('AEO T23'!W$27:W$58,MATCH($D20,'AEO T23'!$B$27:$B$58,0))/INDEX('AEO T23'!$C$27:$C$58,MATCH($D20,'AEO T23'!$B$27:$B$58,0))</f>
        <v>1.4840334314233619</v>
      </c>
      <c r="X41">
        <f>INDEX('AEO T23'!X$27:X$58,MATCH($D20,'AEO T23'!$B$27:$B$58,0))/INDEX('AEO T23'!$C$27:$C$58,MATCH($D20,'AEO T23'!$B$27:$B$58,0))</f>
        <v>1.5131282637683179</v>
      </c>
      <c r="Y41">
        <f>INDEX('AEO T23'!Y$27:Y$58,MATCH($D20,'AEO T23'!$B$27:$B$58,0))/INDEX('AEO T23'!$C$27:$C$58,MATCH($D20,'AEO T23'!$B$27:$B$58,0))</f>
        <v>1.5454944351487467</v>
      </c>
      <c r="Z41">
        <f>INDEX('AEO T23'!Z$27:Z$58,MATCH($D20,'AEO T23'!$B$27:$B$58,0))/INDEX('AEO T23'!$C$27:$C$58,MATCH($D20,'AEO T23'!$B$27:$B$58,0))</f>
        <v>1.5805488141860518</v>
      </c>
      <c r="AA41">
        <f>INDEX('AEO T23'!AA$27:AA$58,MATCH($D20,'AEO T23'!$B$27:$B$58,0))/INDEX('AEO T23'!$C$27:$C$58,MATCH($D20,'AEO T23'!$B$27:$B$58,0))</f>
        <v>1.6151456858045625</v>
      </c>
      <c r="AB41">
        <f>INDEX('AEO T23'!AB$27:AB$58,MATCH($D20,'AEO T23'!$B$27:$B$58,0))/INDEX('AEO T23'!$C$27:$C$58,MATCH($D20,'AEO T23'!$B$27:$B$58,0))</f>
        <v>1.646777521443473</v>
      </c>
      <c r="AC41">
        <f>INDEX('AEO T23'!AC$27:AC$58,MATCH($D20,'AEO T23'!$B$27:$B$58,0))/INDEX('AEO T23'!$C$27:$C$58,MATCH($D20,'AEO T23'!$B$27:$B$58,0))</f>
        <v>1.6776076468860792</v>
      </c>
      <c r="AD41">
        <f>INDEX('AEO T23'!AD$27:AD$58,MATCH($D20,'AEO T23'!$B$27:$B$58,0))/INDEX('AEO T23'!$C$27:$C$58,MATCH($D20,'AEO T23'!$B$27:$B$58,0))</f>
        <v>1.7087461370886894</v>
      </c>
      <c r="AE41">
        <f>INDEX('AEO T23'!AE$27:AE$58,MATCH($D20,'AEO T23'!$B$27:$B$58,0))/INDEX('AEO T23'!$C$27:$C$58,MATCH($D20,'AEO T23'!$B$27:$B$58,0))</f>
        <v>1.7394486786799113</v>
      </c>
    </row>
    <row r="44" spans="1:31">
      <c r="A44" s="55" t="s">
        <v>1491</v>
      </c>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row>
    <row r="45" spans="1:31">
      <c r="A45" s="3" t="s">
        <v>413</v>
      </c>
      <c r="B45" s="3">
        <v>2021</v>
      </c>
      <c r="C45" s="3">
        <v>2022</v>
      </c>
      <c r="D45" s="3">
        <v>2023</v>
      </c>
      <c r="E45" s="3">
        <v>2024</v>
      </c>
      <c r="F45" s="3">
        <v>2025</v>
      </c>
      <c r="G45" s="3">
        <v>2026</v>
      </c>
      <c r="H45" s="3">
        <v>2027</v>
      </c>
      <c r="I45" s="3">
        <v>2028</v>
      </c>
      <c r="J45" s="3">
        <v>2029</v>
      </c>
      <c r="K45" s="3">
        <v>2030</v>
      </c>
      <c r="L45" s="3">
        <v>2031</v>
      </c>
      <c r="M45" s="3">
        <v>2032</v>
      </c>
      <c r="N45" s="3">
        <v>2033</v>
      </c>
      <c r="O45" s="3">
        <v>2034</v>
      </c>
      <c r="P45" s="3">
        <v>2035</v>
      </c>
      <c r="Q45" s="3">
        <v>2036</v>
      </c>
      <c r="R45" s="3">
        <v>2037</v>
      </c>
      <c r="S45" s="3">
        <v>2038</v>
      </c>
      <c r="T45" s="3">
        <v>2039</v>
      </c>
      <c r="U45" s="3">
        <v>2040</v>
      </c>
      <c r="V45" s="3">
        <v>2041</v>
      </c>
      <c r="W45" s="3">
        <v>2042</v>
      </c>
      <c r="X45" s="3">
        <v>2043</v>
      </c>
      <c r="Y45" s="3">
        <v>2044</v>
      </c>
      <c r="Z45" s="3">
        <v>2045</v>
      </c>
      <c r="AA45" s="3">
        <v>2046</v>
      </c>
      <c r="AB45" s="3">
        <v>2047</v>
      </c>
      <c r="AC45" s="3">
        <v>2048</v>
      </c>
      <c r="AD45" s="3">
        <v>2049</v>
      </c>
      <c r="AE45" s="3">
        <v>2050</v>
      </c>
    </row>
    <row r="46" spans="1:31">
      <c r="A46" t="s">
        <v>423</v>
      </c>
      <c r="B46" s="450">
        <f>B4</f>
        <v>41.7</v>
      </c>
      <c r="C46">
        <f>$B46*(C25/$B25)</f>
        <v>43.145561280883271</v>
      </c>
      <c r="D46">
        <f>$B46*(D25/$B25)</f>
        <v>42.442565756501935</v>
      </c>
      <c r="E46">
        <f>$B46*(E25/$B25)</f>
        <v>41.787238255262757</v>
      </c>
      <c r="F46">
        <f t="shared" ref="F46:AE46" si="0">$B46*(F25/$B25)</f>
        <v>42.73474191007945</v>
      </c>
      <c r="G46">
        <f t="shared" si="0"/>
        <v>44.775654143707051</v>
      </c>
      <c r="H46">
        <f t="shared" si="0"/>
        <v>45.834159275753763</v>
      </c>
      <c r="I46">
        <f t="shared" si="0"/>
        <v>46.085837064330555</v>
      </c>
      <c r="J46">
        <f t="shared" si="0"/>
        <v>46.312147255541213</v>
      </c>
      <c r="K46">
        <f t="shared" si="0"/>
        <v>46.061372476564308</v>
      </c>
      <c r="L46">
        <f t="shared" si="0"/>
        <v>45.963316857865451</v>
      </c>
      <c r="M46">
        <f t="shared" si="0"/>
        <v>46.426264881153195</v>
      </c>
      <c r="N46">
        <f t="shared" si="0"/>
        <v>46.27137645713578</v>
      </c>
      <c r="O46">
        <f t="shared" si="0"/>
        <v>46.243818848917051</v>
      </c>
      <c r="P46">
        <f t="shared" si="0"/>
        <v>46.379816516174948</v>
      </c>
      <c r="Q46">
        <f t="shared" si="0"/>
        <v>46.500623895391463</v>
      </c>
      <c r="R46">
        <f t="shared" si="0"/>
        <v>47.039026108402091</v>
      </c>
      <c r="S46">
        <f t="shared" si="0"/>
        <v>47.370600349746582</v>
      </c>
      <c r="T46">
        <f t="shared" si="0"/>
        <v>47.468962073394543</v>
      </c>
      <c r="U46">
        <f t="shared" si="0"/>
        <v>47.670117240120419</v>
      </c>
      <c r="V46">
        <f t="shared" si="0"/>
        <v>48.026768619245985</v>
      </c>
      <c r="W46">
        <f t="shared" si="0"/>
        <v>48.403125334412337</v>
      </c>
      <c r="X46">
        <f t="shared" si="0"/>
        <v>48.551111431943895</v>
      </c>
      <c r="Y46">
        <f t="shared" si="0"/>
        <v>48.558948058757771</v>
      </c>
      <c r="Z46">
        <f t="shared" si="0"/>
        <v>48.450019932383064</v>
      </c>
      <c r="AA46">
        <f t="shared" si="0"/>
        <v>48.523663001157026</v>
      </c>
      <c r="AB46">
        <f t="shared" si="0"/>
        <v>48.745224484257129</v>
      </c>
      <c r="AC46">
        <f t="shared" si="0"/>
        <v>48.777084567593917</v>
      </c>
      <c r="AD46">
        <f t="shared" si="0"/>
        <v>48.843944350695573</v>
      </c>
      <c r="AE46">
        <f t="shared" si="0"/>
        <v>49.339312629376984</v>
      </c>
    </row>
    <row r="47" spans="1:31">
      <c r="A47" t="s">
        <v>418</v>
      </c>
      <c r="B47" s="450">
        <f t="shared" ref="B47:B62" si="1">B5</f>
        <v>41.3</v>
      </c>
      <c r="C47">
        <f t="shared" ref="C47:E47" si="2">$B47*(C26/$B26)</f>
        <v>43.515502842579096</v>
      </c>
      <c r="D47">
        <f t="shared" si="2"/>
        <v>41.573997315937198</v>
      </c>
      <c r="E47">
        <f t="shared" si="2"/>
        <v>41.060629820675032</v>
      </c>
      <c r="F47">
        <f t="shared" ref="F47:AE47" si="3">$B47*(F26/$B26)</f>
        <v>41.726888407032583</v>
      </c>
      <c r="G47">
        <f t="shared" si="3"/>
        <v>42.361352746706395</v>
      </c>
      <c r="H47">
        <f t="shared" si="3"/>
        <v>42.773814773621076</v>
      </c>
      <c r="I47">
        <f t="shared" si="3"/>
        <v>43.163677179403621</v>
      </c>
      <c r="J47">
        <f t="shared" si="3"/>
        <v>43.680259275947513</v>
      </c>
      <c r="K47">
        <f t="shared" si="3"/>
        <v>44.224216895359419</v>
      </c>
      <c r="L47">
        <f t="shared" si="3"/>
        <v>44.751338446442311</v>
      </c>
      <c r="M47">
        <f t="shared" si="3"/>
        <v>45.124153724215709</v>
      </c>
      <c r="N47">
        <f t="shared" si="3"/>
        <v>45.295120182787457</v>
      </c>
      <c r="O47">
        <f t="shared" si="3"/>
        <v>45.600707540658114</v>
      </c>
      <c r="P47">
        <f t="shared" si="3"/>
        <v>46.287133150039821</v>
      </c>
      <c r="Q47">
        <f t="shared" si="3"/>
        <v>46.8444984709256</v>
      </c>
      <c r="R47">
        <f t="shared" si="3"/>
        <v>47.312020015416486</v>
      </c>
      <c r="S47">
        <f t="shared" si="3"/>
        <v>47.815375705339946</v>
      </c>
      <c r="T47">
        <f t="shared" si="3"/>
        <v>48.2029678666146</v>
      </c>
      <c r="U47">
        <f t="shared" si="3"/>
        <v>48.723895627854162</v>
      </c>
      <c r="V47">
        <f t="shared" si="3"/>
        <v>49.303124566885003</v>
      </c>
      <c r="W47">
        <f t="shared" si="3"/>
        <v>49.759606066569965</v>
      </c>
      <c r="X47">
        <f t="shared" si="3"/>
        <v>49.994493843389364</v>
      </c>
      <c r="Y47">
        <f t="shared" si="3"/>
        <v>50.556605301184348</v>
      </c>
      <c r="Z47">
        <f t="shared" si="3"/>
        <v>51.211074310282221</v>
      </c>
      <c r="AA47">
        <f t="shared" si="3"/>
        <v>51.738680216272037</v>
      </c>
      <c r="AB47">
        <f t="shared" si="3"/>
        <v>52.272098381144964</v>
      </c>
      <c r="AC47">
        <f t="shared" si="3"/>
        <v>52.673609657733763</v>
      </c>
      <c r="AD47">
        <f t="shared" si="3"/>
        <v>53.039330083183359</v>
      </c>
      <c r="AE47">
        <f t="shared" si="3"/>
        <v>53.510242112022745</v>
      </c>
    </row>
    <row r="48" spans="1:31">
      <c r="A48" t="s">
        <v>1466</v>
      </c>
      <c r="B48" s="450">
        <f t="shared" si="1"/>
        <v>33.200000000000003</v>
      </c>
      <c r="C48">
        <f t="shared" ref="C48:E48" si="4">$B48*(C27/$B27)</f>
        <v>35.69786637765705</v>
      </c>
      <c r="D48">
        <f t="shared" si="4"/>
        <v>34.087605722763925</v>
      </c>
      <c r="E48">
        <f t="shared" si="4"/>
        <v>33.224729419690043</v>
      </c>
      <c r="F48">
        <f t="shared" ref="F48:AE48" si="5">$B48*(F27/$B27)</f>
        <v>34.131322734675031</v>
      </c>
      <c r="G48">
        <f t="shared" si="5"/>
        <v>35.26893888469732</v>
      </c>
      <c r="H48">
        <f t="shared" si="5"/>
        <v>36.221533654862689</v>
      </c>
      <c r="I48">
        <f t="shared" si="5"/>
        <v>36.957505655250735</v>
      </c>
      <c r="J48">
        <f t="shared" si="5"/>
        <v>37.447877864609737</v>
      </c>
      <c r="K48">
        <f t="shared" si="5"/>
        <v>37.893611407878673</v>
      </c>
      <c r="L48">
        <f t="shared" si="5"/>
        <v>38.480807835479276</v>
      </c>
      <c r="M48">
        <f t="shared" si="5"/>
        <v>39.158083590276419</v>
      </c>
      <c r="N48">
        <f t="shared" si="5"/>
        <v>39.756104164324832</v>
      </c>
      <c r="O48">
        <f t="shared" si="5"/>
        <v>40.454433003697439</v>
      </c>
      <c r="P48">
        <f t="shared" si="5"/>
        <v>41.110664861092083</v>
      </c>
      <c r="Q48">
        <f t="shared" si="5"/>
        <v>41.624482509925727</v>
      </c>
      <c r="R48">
        <f t="shared" si="5"/>
        <v>42.192402366043105</v>
      </c>
      <c r="S48">
        <f t="shared" si="5"/>
        <v>42.636867326396867</v>
      </c>
      <c r="T48">
        <f t="shared" si="5"/>
        <v>43.198568520687459</v>
      </c>
      <c r="U48">
        <f t="shared" si="5"/>
        <v>43.902444981737432</v>
      </c>
      <c r="V48">
        <f t="shared" si="5"/>
        <v>44.514010611523148</v>
      </c>
      <c r="W48">
        <f t="shared" si="5"/>
        <v>45.065581667447731</v>
      </c>
      <c r="X48">
        <f t="shared" si="5"/>
        <v>45.61266682260915</v>
      </c>
      <c r="Y48">
        <f t="shared" si="5"/>
        <v>46.042842114387859</v>
      </c>
      <c r="Z48">
        <f t="shared" si="5"/>
        <v>46.419351815512407</v>
      </c>
      <c r="AA48">
        <f t="shared" si="5"/>
        <v>47.010588340073639</v>
      </c>
      <c r="AB48">
        <f t="shared" si="5"/>
        <v>47.69590520565459</v>
      </c>
      <c r="AC48">
        <f t="shared" si="5"/>
        <v>48.072755058092689</v>
      </c>
      <c r="AD48">
        <f t="shared" si="5"/>
        <v>48.638703136040128</v>
      </c>
      <c r="AE48">
        <f t="shared" si="5"/>
        <v>49.594223418355057</v>
      </c>
    </row>
    <row r="49" spans="1:31">
      <c r="A49" t="s">
        <v>1468</v>
      </c>
      <c r="B49" s="450">
        <f t="shared" si="1"/>
        <v>12.2</v>
      </c>
      <c r="C49">
        <f t="shared" ref="C49:E49" si="6">$B49*(C28/$B28)</f>
        <v>12.774640233779669</v>
      </c>
      <c r="D49">
        <f t="shared" si="6"/>
        <v>12.739072945208447</v>
      </c>
      <c r="E49">
        <f t="shared" si="6"/>
        <v>12.97186687020268</v>
      </c>
      <c r="F49">
        <f t="shared" ref="F49:AE49" si="7">$B49*(F28/$B28)</f>
        <v>13.406417216136353</v>
      </c>
      <c r="G49">
        <f t="shared" si="7"/>
        <v>13.941596729225711</v>
      </c>
      <c r="H49">
        <f t="shared" si="7"/>
        <v>14.388711392816823</v>
      </c>
      <c r="I49">
        <f t="shared" si="7"/>
        <v>14.711090815889008</v>
      </c>
      <c r="J49">
        <f t="shared" si="7"/>
        <v>14.968649157223405</v>
      </c>
      <c r="K49">
        <f t="shared" si="7"/>
        <v>15.186596967043917</v>
      </c>
      <c r="L49">
        <f t="shared" si="7"/>
        <v>15.459995672632434</v>
      </c>
      <c r="M49">
        <f t="shared" si="7"/>
        <v>15.811855941605614</v>
      </c>
      <c r="N49">
        <f t="shared" si="7"/>
        <v>16.104368309222494</v>
      </c>
      <c r="O49">
        <f t="shared" si="7"/>
        <v>16.432007329171753</v>
      </c>
      <c r="P49">
        <f t="shared" si="7"/>
        <v>16.74999083538086</v>
      </c>
      <c r="Q49">
        <f t="shared" si="7"/>
        <v>16.974803829271877</v>
      </c>
      <c r="R49">
        <f t="shared" si="7"/>
        <v>17.184499399213284</v>
      </c>
      <c r="S49">
        <f t="shared" si="7"/>
        <v>17.381036905847914</v>
      </c>
      <c r="T49">
        <f t="shared" si="7"/>
        <v>17.447488314181186</v>
      </c>
      <c r="U49">
        <f t="shared" si="7"/>
        <v>17.550487516053824</v>
      </c>
      <c r="V49">
        <f t="shared" si="7"/>
        <v>17.71830724989977</v>
      </c>
      <c r="W49">
        <f t="shared" si="7"/>
        <v>17.784515387446156</v>
      </c>
      <c r="X49">
        <f t="shared" si="7"/>
        <v>17.755616192375726</v>
      </c>
      <c r="Y49">
        <f t="shared" si="7"/>
        <v>17.66432587461388</v>
      </c>
      <c r="Z49">
        <f t="shared" si="7"/>
        <v>17.551325357136786</v>
      </c>
      <c r="AA49">
        <f t="shared" si="7"/>
        <v>17.525828654495768</v>
      </c>
      <c r="AB49">
        <f t="shared" si="7"/>
        <v>17.57890951554683</v>
      </c>
      <c r="AC49">
        <f t="shared" si="7"/>
        <v>17.536461374617133</v>
      </c>
      <c r="AD49">
        <f t="shared" si="7"/>
        <v>17.525558170366626</v>
      </c>
      <c r="AE49">
        <f t="shared" si="7"/>
        <v>17.628361106316287</v>
      </c>
    </row>
    <row r="50" spans="1:31">
      <c r="A50" t="s">
        <v>1470</v>
      </c>
      <c r="B50" s="450">
        <f t="shared" si="1"/>
        <v>11.9</v>
      </c>
      <c r="C50">
        <f t="shared" ref="C50:E50" si="8">$B50*(C29/$B29)</f>
        <v>12.538365225827878</v>
      </c>
      <c r="D50">
        <f t="shared" si="8"/>
        <v>11.978948379168346</v>
      </c>
      <c r="E50">
        <f t="shared" si="8"/>
        <v>11.831028931380944</v>
      </c>
      <c r="F50">
        <f t="shared" ref="F50:AE50" si="9">$B50*(F29/$B29)</f>
        <v>12.023001744399219</v>
      </c>
      <c r="G50">
        <f t="shared" si="9"/>
        <v>12.205813503288285</v>
      </c>
      <c r="H50">
        <f t="shared" si="9"/>
        <v>12.32465849409421</v>
      </c>
      <c r="I50">
        <f t="shared" si="9"/>
        <v>12.436991729658672</v>
      </c>
      <c r="J50">
        <f t="shared" si="9"/>
        <v>12.585837418493352</v>
      </c>
      <c r="K50">
        <f t="shared" si="9"/>
        <v>12.742570969849325</v>
      </c>
      <c r="L50">
        <f t="shared" si="9"/>
        <v>12.89445345066982</v>
      </c>
      <c r="M50">
        <f t="shared" si="9"/>
        <v>13.001874801892663</v>
      </c>
      <c r="N50">
        <f t="shared" si="9"/>
        <v>13.051136323854015</v>
      </c>
      <c r="O50">
        <f t="shared" si="9"/>
        <v>13.139186918494714</v>
      </c>
      <c r="P50">
        <f t="shared" si="9"/>
        <v>13.336970568655543</v>
      </c>
      <c r="Q50">
        <f t="shared" si="9"/>
        <v>13.49756735602941</v>
      </c>
      <c r="R50">
        <f t="shared" si="9"/>
        <v>13.632276953594582</v>
      </c>
      <c r="S50">
        <f t="shared" si="9"/>
        <v>13.777311643911512</v>
      </c>
      <c r="T50">
        <f t="shared" si="9"/>
        <v>13.888990741227937</v>
      </c>
      <c r="U50">
        <f t="shared" si="9"/>
        <v>14.039088570737642</v>
      </c>
      <c r="V50">
        <f t="shared" si="9"/>
        <v>14.20598504469568</v>
      </c>
      <c r="W50">
        <f t="shared" si="9"/>
        <v>14.337513612401516</v>
      </c>
      <c r="X50">
        <f t="shared" si="9"/>
        <v>14.40519314131558</v>
      </c>
      <c r="Y50">
        <f t="shared" si="9"/>
        <v>14.567157459663287</v>
      </c>
      <c r="Z50">
        <f t="shared" si="9"/>
        <v>14.755733275844031</v>
      </c>
      <c r="AA50">
        <f t="shared" si="9"/>
        <v>14.907755316552961</v>
      </c>
      <c r="AB50">
        <f t="shared" si="9"/>
        <v>15.061452075923127</v>
      </c>
      <c r="AC50">
        <f t="shared" si="9"/>
        <v>15.177141765787695</v>
      </c>
      <c r="AD50">
        <f t="shared" si="9"/>
        <v>15.282518837527409</v>
      </c>
      <c r="AE50">
        <f t="shared" si="9"/>
        <v>15.41820535431164</v>
      </c>
    </row>
    <row r="51" spans="1:31">
      <c r="A51" t="s">
        <v>1471</v>
      </c>
      <c r="B51" s="450">
        <f t="shared" si="1"/>
        <v>8</v>
      </c>
      <c r="C51">
        <f t="shared" ref="C51:E51" si="10">$B51*(C30/$B30)</f>
        <v>8.4291530929935305</v>
      </c>
      <c r="D51">
        <f t="shared" si="10"/>
        <v>8.0530745406173754</v>
      </c>
      <c r="E51">
        <f t="shared" si="10"/>
        <v>7.9536328950460122</v>
      </c>
      <c r="F51">
        <f t="shared" ref="F51:AE51" si="11">$B51*(F30/$B30)</f>
        <v>8.0826902483356093</v>
      </c>
      <c r="G51">
        <f t="shared" si="11"/>
        <v>8.2055889097736365</v>
      </c>
      <c r="H51">
        <f t="shared" si="11"/>
        <v>8.2854847019120736</v>
      </c>
      <c r="I51">
        <f t="shared" si="11"/>
        <v>8.3610028434680146</v>
      </c>
      <c r="J51">
        <f t="shared" si="11"/>
        <v>8.4610671720963708</v>
      </c>
      <c r="K51">
        <f t="shared" si="11"/>
        <v>8.5664342654449239</v>
      </c>
      <c r="L51">
        <f t="shared" si="11"/>
        <v>8.6685401349040809</v>
      </c>
      <c r="M51">
        <f t="shared" si="11"/>
        <v>8.7407561693396048</v>
      </c>
      <c r="N51">
        <f t="shared" si="11"/>
        <v>8.7738731588934549</v>
      </c>
      <c r="O51">
        <f t="shared" si="11"/>
        <v>8.8330668359628319</v>
      </c>
      <c r="P51">
        <f t="shared" si="11"/>
        <v>8.9660306343902807</v>
      </c>
      <c r="Q51">
        <f t="shared" si="11"/>
        <v>9.0739948611962422</v>
      </c>
      <c r="R51">
        <f t="shared" si="11"/>
        <v>9.1645559351896342</v>
      </c>
      <c r="S51">
        <f t="shared" si="11"/>
        <v>9.2620582480077385</v>
      </c>
      <c r="T51">
        <f t="shared" si="11"/>
        <v>9.337136632758277</v>
      </c>
      <c r="U51">
        <f t="shared" si="11"/>
        <v>9.4380427366303472</v>
      </c>
      <c r="V51">
        <f t="shared" si="11"/>
        <v>9.5502420468542386</v>
      </c>
      <c r="W51">
        <f t="shared" si="11"/>
        <v>9.63866461337917</v>
      </c>
      <c r="X51">
        <f t="shared" si="11"/>
        <v>9.6841634563466084</v>
      </c>
      <c r="Y51">
        <f t="shared" si="11"/>
        <v>9.7930470317064113</v>
      </c>
      <c r="Z51">
        <f t="shared" si="11"/>
        <v>9.9198206896430463</v>
      </c>
      <c r="AA51">
        <f t="shared" si="11"/>
        <v>10.02202038087594</v>
      </c>
      <c r="AB51">
        <f t="shared" si="11"/>
        <v>10.125345933393698</v>
      </c>
      <c r="AC51">
        <f t="shared" si="11"/>
        <v>10.203120514815257</v>
      </c>
      <c r="AD51">
        <f t="shared" si="11"/>
        <v>10.273962243715905</v>
      </c>
      <c r="AE51">
        <f t="shared" si="11"/>
        <v>10.365180070125472</v>
      </c>
    </row>
    <row r="52" spans="1:31">
      <c r="A52" t="s">
        <v>1472</v>
      </c>
      <c r="B52" s="450">
        <f t="shared" si="1"/>
        <v>5</v>
      </c>
      <c r="C52">
        <f t="shared" ref="C52:E52" si="12">$B52*(C31/$B31)</f>
        <v>5.0638499687026659</v>
      </c>
      <c r="D52">
        <f t="shared" si="12"/>
        <v>4.986522407455757</v>
      </c>
      <c r="E52">
        <f t="shared" si="12"/>
        <v>4.9226837631293687</v>
      </c>
      <c r="F52">
        <f t="shared" ref="F52:AE52" si="13">$B52*(F31/$B31)</f>
        <v>4.8740675434364364</v>
      </c>
      <c r="G52">
        <f t="shared" si="13"/>
        <v>4.856022851892476</v>
      </c>
      <c r="H52">
        <f t="shared" si="13"/>
        <v>4.8582782368086805</v>
      </c>
      <c r="I52">
        <f t="shared" si="13"/>
        <v>4.8721450293221604</v>
      </c>
      <c r="J52">
        <f t="shared" si="13"/>
        <v>4.8784076929711571</v>
      </c>
      <c r="K52">
        <f t="shared" si="13"/>
        <v>4.8715928287688364</v>
      </c>
      <c r="L52">
        <f t="shared" si="13"/>
        <v>4.8591267074687936</v>
      </c>
      <c r="M52">
        <f t="shared" si="13"/>
        <v>4.8544175323686192</v>
      </c>
      <c r="N52">
        <f t="shared" si="13"/>
        <v>4.8464527477321386</v>
      </c>
      <c r="O52">
        <f t="shared" si="13"/>
        <v>4.8248206049229063</v>
      </c>
      <c r="P52">
        <f t="shared" si="13"/>
        <v>4.7981667918562891</v>
      </c>
      <c r="Q52">
        <f t="shared" si="13"/>
        <v>4.77412747586843</v>
      </c>
      <c r="R52">
        <f t="shared" si="13"/>
        <v>4.7552406253118784</v>
      </c>
      <c r="S52">
        <f t="shared" si="13"/>
        <v>4.7391487712322462</v>
      </c>
      <c r="T52">
        <f t="shared" si="13"/>
        <v>4.7245580944923535</v>
      </c>
      <c r="U52">
        <f t="shared" si="13"/>
        <v>4.7142766950982162</v>
      </c>
      <c r="V52">
        <f t="shared" si="13"/>
        <v>4.7091357209816893</v>
      </c>
      <c r="W52">
        <f t="shared" si="13"/>
        <v>4.708050700749224</v>
      </c>
      <c r="X52">
        <f t="shared" si="13"/>
        <v>4.709142547165694</v>
      </c>
      <c r="Y52">
        <f t="shared" si="13"/>
        <v>4.7109896645340257</v>
      </c>
      <c r="Z52">
        <f t="shared" si="13"/>
        <v>4.7127671822674539</v>
      </c>
      <c r="AA52">
        <f t="shared" si="13"/>
        <v>4.7164069790442404</v>
      </c>
      <c r="AB52">
        <f t="shared" si="13"/>
        <v>4.7245999777620531</v>
      </c>
      <c r="AC52">
        <f t="shared" si="13"/>
        <v>4.7518677357599284</v>
      </c>
      <c r="AD52">
        <f t="shared" si="13"/>
        <v>4.7825627869672012</v>
      </c>
      <c r="AE52">
        <f t="shared" si="13"/>
        <v>4.8133154319581122</v>
      </c>
    </row>
    <row r="53" spans="1:31">
      <c r="A53" t="s">
        <v>1474</v>
      </c>
      <c r="B53" s="450">
        <f t="shared" si="1"/>
        <v>5</v>
      </c>
      <c r="C53">
        <f t="shared" ref="C53:E53" si="14">$B53*(C32/$B32)</f>
        <v>5.0930945733507933</v>
      </c>
      <c r="D53">
        <f t="shared" si="14"/>
        <v>5.0359665803513867</v>
      </c>
      <c r="E53">
        <f t="shared" si="14"/>
        <v>5.0329178385326836</v>
      </c>
      <c r="F53">
        <f t="shared" ref="F53:AE53" si="15">$B53*(F32/$B32)</f>
        <v>4.906507586600874</v>
      </c>
      <c r="G53">
        <f t="shared" si="15"/>
        <v>4.8688069963771916</v>
      </c>
      <c r="H53">
        <f t="shared" si="15"/>
        <v>4.8787555190881688</v>
      </c>
      <c r="I53">
        <f t="shared" si="15"/>
        <v>4.9207170406043454</v>
      </c>
      <c r="J53">
        <f t="shared" si="15"/>
        <v>4.9683820481939396</v>
      </c>
      <c r="K53">
        <f t="shared" si="15"/>
        <v>5.0170634561841325</v>
      </c>
      <c r="L53">
        <f t="shared" si="15"/>
        <v>5.067818335691805</v>
      </c>
      <c r="M53">
        <f t="shared" si="15"/>
        <v>5.1582215284759876</v>
      </c>
      <c r="N53">
        <f t="shared" si="15"/>
        <v>5.2465255549151628</v>
      </c>
      <c r="O53">
        <f t="shared" si="15"/>
        <v>5.3313804106083742</v>
      </c>
      <c r="P53">
        <f t="shared" si="15"/>
        <v>5.3987602416606739</v>
      </c>
      <c r="Q53">
        <f t="shared" si="15"/>
        <v>5.4554022379758251</v>
      </c>
      <c r="R53">
        <f t="shared" si="15"/>
        <v>5.5297734815341935</v>
      </c>
      <c r="S53">
        <f t="shared" si="15"/>
        <v>5.6177139521955102</v>
      </c>
      <c r="T53">
        <f t="shared" si="15"/>
        <v>5.6947937184557276</v>
      </c>
      <c r="U53">
        <f t="shared" si="15"/>
        <v>5.781600492900659</v>
      </c>
      <c r="V53">
        <f t="shared" si="15"/>
        <v>5.8599742494503193</v>
      </c>
      <c r="W53">
        <f t="shared" si="15"/>
        <v>5.9399559693190405</v>
      </c>
      <c r="X53">
        <f t="shared" si="15"/>
        <v>6.0210597476991872</v>
      </c>
      <c r="Y53">
        <f t="shared" si="15"/>
        <v>6.0899499078510377</v>
      </c>
      <c r="Z53">
        <f t="shared" si="15"/>
        <v>6.1634080203275632</v>
      </c>
      <c r="AA53">
        <f t="shared" si="15"/>
        <v>6.2431692056872832</v>
      </c>
      <c r="AB53">
        <f t="shared" si="15"/>
        <v>6.3318372779129444</v>
      </c>
      <c r="AC53">
        <f t="shared" si="15"/>
        <v>6.4118816270096755</v>
      </c>
      <c r="AD53">
        <f t="shared" si="15"/>
        <v>6.4837368906322137</v>
      </c>
      <c r="AE53">
        <f t="shared" si="15"/>
        <v>6.5960091991949801</v>
      </c>
    </row>
    <row r="54" spans="1:31">
      <c r="A54" t="s">
        <v>1476</v>
      </c>
      <c r="B54" s="450">
        <f t="shared" si="1"/>
        <v>2</v>
      </c>
      <c r="C54">
        <f t="shared" ref="C54:E54" si="16">$B54*(C33/$B33)</f>
        <v>2.1297364679743924</v>
      </c>
      <c r="D54">
        <f t="shared" si="16"/>
        <v>2.0043237340372486</v>
      </c>
      <c r="E54">
        <f t="shared" si="16"/>
        <v>1.9702243000025395</v>
      </c>
      <c r="F54">
        <f t="shared" ref="F54:AE54" si="17">$B54*(F33/$B33)</f>
        <v>1.9708964098655712</v>
      </c>
      <c r="G54">
        <f t="shared" si="17"/>
        <v>2.0266078126454383</v>
      </c>
      <c r="H54">
        <f t="shared" si="17"/>
        <v>2.0578400127802765</v>
      </c>
      <c r="I54">
        <f t="shared" si="17"/>
        <v>2.0820793931875521</v>
      </c>
      <c r="J54">
        <f t="shared" si="17"/>
        <v>2.1009291172762672</v>
      </c>
      <c r="K54">
        <f t="shared" si="17"/>
        <v>2.1117758910868245</v>
      </c>
      <c r="L54">
        <f t="shared" si="17"/>
        <v>2.1267328820868876</v>
      </c>
      <c r="M54">
        <f t="shared" si="17"/>
        <v>2.1447844198679098</v>
      </c>
      <c r="N54">
        <f t="shared" si="17"/>
        <v>2.1690335397028737</v>
      </c>
      <c r="O54">
        <f t="shared" si="17"/>
        <v>2.194995011760005</v>
      </c>
      <c r="P54">
        <f t="shared" si="17"/>
        <v>2.225615146943797</v>
      </c>
      <c r="Q54">
        <f t="shared" si="17"/>
        <v>2.240927671730752</v>
      </c>
      <c r="R54">
        <f t="shared" si="17"/>
        <v>2.262076347516615</v>
      </c>
      <c r="S54">
        <f t="shared" si="17"/>
        <v>2.2829621481074445</v>
      </c>
      <c r="T54">
        <f t="shared" si="17"/>
        <v>2.3203125852339568</v>
      </c>
      <c r="U54">
        <f t="shared" si="17"/>
        <v>2.3573326859919996</v>
      </c>
      <c r="V54">
        <f t="shared" si="17"/>
        <v>2.3835575693594495</v>
      </c>
      <c r="W54">
        <f t="shared" si="17"/>
        <v>2.4165941548404808</v>
      </c>
      <c r="X54">
        <f t="shared" si="17"/>
        <v>2.4288166898264039</v>
      </c>
      <c r="Y54">
        <f t="shared" si="17"/>
        <v>2.4490239471707742</v>
      </c>
      <c r="Z54">
        <f t="shared" si="17"/>
        <v>2.4738291972619875</v>
      </c>
      <c r="AA54">
        <f t="shared" si="17"/>
        <v>2.5104722302691673</v>
      </c>
      <c r="AB54">
        <f t="shared" si="17"/>
        <v>2.5322929265655141</v>
      </c>
      <c r="AC54">
        <f t="shared" si="17"/>
        <v>2.5394270126708292</v>
      </c>
      <c r="AD54">
        <f t="shared" si="17"/>
        <v>2.556843789953716</v>
      </c>
      <c r="AE54">
        <f t="shared" si="17"/>
        <v>2.5821427128704082</v>
      </c>
    </row>
    <row r="55" spans="1:31">
      <c r="A55" t="s">
        <v>1478</v>
      </c>
      <c r="B55" s="450">
        <f t="shared" si="1"/>
        <v>1.7</v>
      </c>
      <c r="C55">
        <f t="shared" ref="C55:E55" si="18">$B55*(C34/$B34)</f>
        <v>1.8011532356932507</v>
      </c>
      <c r="D55">
        <f t="shared" si="18"/>
        <v>1.7215500530239198</v>
      </c>
      <c r="E55">
        <f t="shared" si="18"/>
        <v>1.7045461675407567</v>
      </c>
      <c r="F55">
        <f t="shared" ref="F55:AE55" si="19">$B55*(F34/$B34)</f>
        <v>1.7310045471968631</v>
      </c>
      <c r="G55">
        <f t="shared" si="19"/>
        <v>1.7722553646005694</v>
      </c>
      <c r="H55">
        <f t="shared" si="19"/>
        <v>1.8045896266600443</v>
      </c>
      <c r="I55">
        <f t="shared" si="19"/>
        <v>1.8316705344799631</v>
      </c>
      <c r="J55">
        <f t="shared" si="19"/>
        <v>1.8549179192225942</v>
      </c>
      <c r="K55">
        <f t="shared" si="19"/>
        <v>1.8726737817809229</v>
      </c>
      <c r="L55">
        <f t="shared" si="19"/>
        <v>1.8915676213698387</v>
      </c>
      <c r="M55">
        <f t="shared" si="19"/>
        <v>1.9149326609568265</v>
      </c>
      <c r="N55">
        <f t="shared" si="19"/>
        <v>1.9344086219953314</v>
      </c>
      <c r="O55">
        <f t="shared" si="19"/>
        <v>1.948350713529899</v>
      </c>
      <c r="P55">
        <f t="shared" si="19"/>
        <v>1.9728702328151972</v>
      </c>
      <c r="Q55">
        <f t="shared" si="19"/>
        <v>1.9906962279504843</v>
      </c>
      <c r="R55">
        <f t="shared" si="19"/>
        <v>2.0131289645935802</v>
      </c>
      <c r="S55">
        <f t="shared" si="19"/>
        <v>2.0376751107903357</v>
      </c>
      <c r="T55">
        <f t="shared" si="19"/>
        <v>2.0621778867126657</v>
      </c>
      <c r="U55">
        <f t="shared" si="19"/>
        <v>2.0879218076648924</v>
      </c>
      <c r="V55">
        <f t="shared" si="19"/>
        <v>2.1138305296425548</v>
      </c>
      <c r="W55">
        <f t="shared" si="19"/>
        <v>2.1342859698929355</v>
      </c>
      <c r="X55">
        <f t="shared" si="19"/>
        <v>2.1419920086771724</v>
      </c>
      <c r="Y55">
        <f t="shared" si="19"/>
        <v>2.1614018687840697</v>
      </c>
      <c r="Z55">
        <f t="shared" si="19"/>
        <v>2.1863745119111875</v>
      </c>
      <c r="AA55">
        <f t="shared" si="19"/>
        <v>2.208966318024201</v>
      </c>
      <c r="AB55">
        <f t="shared" si="19"/>
        <v>2.23069159116897</v>
      </c>
      <c r="AC55">
        <f t="shared" si="19"/>
        <v>2.2462880262515212</v>
      </c>
      <c r="AD55">
        <f t="shared" si="19"/>
        <v>2.261759570588918</v>
      </c>
      <c r="AE55">
        <f t="shared" si="19"/>
        <v>2.2811896340529265</v>
      </c>
    </row>
    <row r="56" spans="1:31">
      <c r="A56" t="s">
        <v>1480</v>
      </c>
      <c r="B56" s="450">
        <f t="shared" si="1"/>
        <v>1.6</v>
      </c>
      <c r="C56">
        <f t="shared" ref="C56:E56" si="20">$B56*(C35/$B35)</f>
        <v>1.6554651810410848</v>
      </c>
      <c r="D56">
        <f t="shared" si="20"/>
        <v>1.6284917316643428</v>
      </c>
      <c r="E56">
        <f t="shared" si="20"/>
        <v>1.6033472711851418</v>
      </c>
      <c r="F56">
        <f t="shared" ref="F56:AE56" si="21">$B56*(F35/$B35)</f>
        <v>1.6397023274850628</v>
      </c>
      <c r="G56">
        <f t="shared" si="21"/>
        <v>1.7180107105499109</v>
      </c>
      <c r="H56">
        <f t="shared" si="21"/>
        <v>1.7586248163358758</v>
      </c>
      <c r="I56">
        <f t="shared" si="21"/>
        <v>1.7682815180558487</v>
      </c>
      <c r="J56">
        <f t="shared" si="21"/>
        <v>1.7769648827066171</v>
      </c>
      <c r="K56">
        <f t="shared" si="21"/>
        <v>1.7673428288369999</v>
      </c>
      <c r="L56">
        <f t="shared" si="21"/>
        <v>1.7635805029396814</v>
      </c>
      <c r="M56">
        <f t="shared" si="21"/>
        <v>1.7813434966389714</v>
      </c>
      <c r="N56">
        <f t="shared" si="21"/>
        <v>1.7754005355255935</v>
      </c>
      <c r="O56">
        <f t="shared" si="21"/>
        <v>1.7743431692630045</v>
      </c>
      <c r="P56">
        <f t="shared" si="21"/>
        <v>1.7795613051769763</v>
      </c>
      <c r="Q56">
        <f t="shared" si="21"/>
        <v>1.78419660030279</v>
      </c>
      <c r="R56">
        <f t="shared" si="21"/>
        <v>1.8048547187876101</v>
      </c>
      <c r="S56">
        <f t="shared" si="21"/>
        <v>1.8175769918367992</v>
      </c>
      <c r="T56">
        <f t="shared" si="21"/>
        <v>1.821351062768136</v>
      </c>
      <c r="U56">
        <f t="shared" si="21"/>
        <v>1.8290692466233254</v>
      </c>
      <c r="V56">
        <f t="shared" si="21"/>
        <v>1.8427537120094382</v>
      </c>
      <c r="W56">
        <f t="shared" si="21"/>
        <v>1.8571942574354854</v>
      </c>
      <c r="X56">
        <f t="shared" si="21"/>
        <v>1.86287238108178</v>
      </c>
      <c r="Y56">
        <f t="shared" si="21"/>
        <v>1.8631730670026962</v>
      </c>
      <c r="Z56">
        <f t="shared" si="21"/>
        <v>1.8589935705470719</v>
      </c>
      <c r="AA56">
        <f t="shared" si="21"/>
        <v>1.8618192038813246</v>
      </c>
      <c r="AB56">
        <f t="shared" si="21"/>
        <v>1.8703203639043502</v>
      </c>
      <c r="AC56">
        <f t="shared" si="21"/>
        <v>1.8715428131450904</v>
      </c>
      <c r="AD56">
        <f t="shared" si="21"/>
        <v>1.8741081765254894</v>
      </c>
      <c r="AE56">
        <f t="shared" si="21"/>
        <v>1.8931151128777739</v>
      </c>
    </row>
    <row r="57" spans="1:31">
      <c r="A57" t="s">
        <v>1481</v>
      </c>
      <c r="B57" s="450">
        <f t="shared" si="1"/>
        <v>1.5</v>
      </c>
      <c r="C57">
        <f t="shared" ref="C57:E57" si="22">$B57*(C36/$B36)</f>
        <v>1.548787246943272</v>
      </c>
      <c r="D57">
        <f t="shared" si="22"/>
        <v>1.5298259499469813</v>
      </c>
      <c r="E57">
        <f t="shared" si="22"/>
        <v>1.5390712584005186</v>
      </c>
      <c r="F57">
        <f t="shared" ref="F57:AE57" si="23">$B57*(F36/$B36)</f>
        <v>1.5838437557029836</v>
      </c>
      <c r="G57">
        <f t="shared" si="23"/>
        <v>1.6360427306001066</v>
      </c>
      <c r="H57">
        <f t="shared" si="23"/>
        <v>1.6709565175162506</v>
      </c>
      <c r="I57">
        <f t="shared" si="23"/>
        <v>1.6951777360861668</v>
      </c>
      <c r="J57">
        <f t="shared" si="23"/>
        <v>1.7083788202649319</v>
      </c>
      <c r="K57">
        <f t="shared" si="23"/>
        <v>1.712627099290333</v>
      </c>
      <c r="L57">
        <f t="shared" si="23"/>
        <v>1.7196928306587913</v>
      </c>
      <c r="M57">
        <f t="shared" si="23"/>
        <v>1.7294267819947171</v>
      </c>
      <c r="N57">
        <f t="shared" si="23"/>
        <v>1.7447303758162382</v>
      </c>
      <c r="O57">
        <f t="shared" si="23"/>
        <v>1.7671278610182217</v>
      </c>
      <c r="P57">
        <f t="shared" si="23"/>
        <v>1.7903351622757124</v>
      </c>
      <c r="Q57">
        <f t="shared" si="23"/>
        <v>1.8069628257424251</v>
      </c>
      <c r="R57">
        <f t="shared" si="23"/>
        <v>1.8273266325287647</v>
      </c>
      <c r="S57">
        <f t="shared" si="23"/>
        <v>1.8475274799141634</v>
      </c>
      <c r="T57">
        <f t="shared" si="23"/>
        <v>1.8697329828616089</v>
      </c>
      <c r="U57">
        <f t="shared" si="23"/>
        <v>1.8836306547467787</v>
      </c>
      <c r="V57">
        <f t="shared" si="23"/>
        <v>1.9073118129193527</v>
      </c>
      <c r="W57">
        <f t="shared" si="23"/>
        <v>1.9375611174014824</v>
      </c>
      <c r="X57">
        <f t="shared" si="23"/>
        <v>1.9596270361111543</v>
      </c>
      <c r="Y57">
        <f t="shared" si="23"/>
        <v>1.973914751616628</v>
      </c>
      <c r="Z57">
        <f t="shared" si="23"/>
        <v>1.9991548684481688</v>
      </c>
      <c r="AA57">
        <f t="shared" si="23"/>
        <v>2.0293643645567836</v>
      </c>
      <c r="AB57">
        <f t="shared" si="23"/>
        <v>2.0550166451294771</v>
      </c>
      <c r="AC57">
        <f t="shared" si="23"/>
        <v>2.0635777986395691</v>
      </c>
      <c r="AD57">
        <f t="shared" si="23"/>
        <v>2.07932242217555</v>
      </c>
      <c r="AE57">
        <f t="shared" si="23"/>
        <v>2.1106523965333794</v>
      </c>
    </row>
    <row r="58" spans="1:31">
      <c r="A58" t="s">
        <v>1483</v>
      </c>
      <c r="B58" s="450">
        <f t="shared" si="1"/>
        <v>1.5</v>
      </c>
      <c r="C58">
        <f t="shared" ref="C58:E58" si="24">$B58*(C37/$B37)</f>
        <v>1.5193628727988557</v>
      </c>
      <c r="D58">
        <f t="shared" si="24"/>
        <v>1.5281974009734278</v>
      </c>
      <c r="E58">
        <f t="shared" si="24"/>
        <v>1.5169559002035535</v>
      </c>
      <c r="F58">
        <f t="shared" ref="F58:AE58" si="25">$B58*(F37/$B37)</f>
        <v>1.5507915048526657</v>
      </c>
      <c r="G58">
        <f t="shared" si="25"/>
        <v>1.5856883994905013</v>
      </c>
      <c r="H58">
        <f t="shared" si="25"/>
        <v>1.6060279787735616</v>
      </c>
      <c r="I58">
        <f t="shared" si="25"/>
        <v>1.6184312812826012</v>
      </c>
      <c r="J58">
        <f t="shared" si="25"/>
        <v>1.6231541756489785</v>
      </c>
      <c r="K58">
        <f t="shared" si="25"/>
        <v>1.6243502344135119</v>
      </c>
      <c r="L58">
        <f t="shared" si="25"/>
        <v>1.6276374967703426</v>
      </c>
      <c r="M58">
        <f t="shared" si="25"/>
        <v>1.63370610198487</v>
      </c>
      <c r="N58">
        <f t="shared" si="25"/>
        <v>1.6402584288238911</v>
      </c>
      <c r="O58">
        <f t="shared" si="25"/>
        <v>1.6516362234143989</v>
      </c>
      <c r="P58">
        <f t="shared" si="25"/>
        <v>1.6620741385290108</v>
      </c>
      <c r="Q58">
        <f t="shared" si="25"/>
        <v>1.6681174392961102</v>
      </c>
      <c r="R58">
        <f t="shared" si="25"/>
        <v>1.6770788850898137</v>
      </c>
      <c r="S58">
        <f t="shared" si="25"/>
        <v>1.6784762780125098</v>
      </c>
      <c r="T58">
        <f t="shared" si="25"/>
        <v>1.6865261988673903</v>
      </c>
      <c r="U58">
        <f t="shared" si="25"/>
        <v>1.6996184544958555</v>
      </c>
      <c r="V58">
        <f t="shared" si="25"/>
        <v>1.7099047123753242</v>
      </c>
      <c r="W58">
        <f t="shared" si="25"/>
        <v>1.7163375491283324</v>
      </c>
      <c r="X58">
        <f t="shared" si="25"/>
        <v>1.7215193972616194</v>
      </c>
      <c r="Y58">
        <f t="shared" si="25"/>
        <v>1.7248896051118612</v>
      </c>
      <c r="Z58">
        <f t="shared" si="25"/>
        <v>1.72172205877361</v>
      </c>
      <c r="AA58">
        <f t="shared" si="25"/>
        <v>1.7273957056206368</v>
      </c>
      <c r="AB58">
        <f t="shared" si="25"/>
        <v>1.7365145416883538</v>
      </c>
      <c r="AC58">
        <f t="shared" si="25"/>
        <v>1.7337515276101003</v>
      </c>
      <c r="AD58">
        <f t="shared" si="25"/>
        <v>1.7363209457205873</v>
      </c>
      <c r="AE58">
        <f t="shared" si="25"/>
        <v>1.7558323691817981</v>
      </c>
    </row>
    <row r="59" spans="1:31">
      <c r="A59" t="s">
        <v>1485</v>
      </c>
      <c r="B59" s="450">
        <f t="shared" si="1"/>
        <v>1</v>
      </c>
      <c r="C59">
        <f t="shared" ref="C59:E59" si="26">$B59*(C38/$B38)</f>
        <v>1.0363573550082978</v>
      </c>
      <c r="D59">
        <f t="shared" si="26"/>
        <v>1.0408973138354496</v>
      </c>
      <c r="E59">
        <f t="shared" si="26"/>
        <v>1.0657525781157862</v>
      </c>
      <c r="F59">
        <f t="shared" ref="F59:AE59" si="27">$B59*(F38/$B38)</f>
        <v>1.1094369146107668</v>
      </c>
      <c r="G59">
        <f t="shared" si="27"/>
        <v>1.1547921473568703</v>
      </c>
      <c r="H59">
        <f t="shared" si="27"/>
        <v>1.1884415309328473</v>
      </c>
      <c r="I59">
        <f t="shared" si="27"/>
        <v>1.2129099934011711</v>
      </c>
      <c r="J59">
        <f t="shared" si="27"/>
        <v>1.2318708792111115</v>
      </c>
      <c r="K59">
        <f t="shared" si="27"/>
        <v>1.2477022934370652</v>
      </c>
      <c r="L59">
        <f t="shared" si="27"/>
        <v>1.2615673716946014</v>
      </c>
      <c r="M59">
        <f t="shared" si="27"/>
        <v>1.2781773355219912</v>
      </c>
      <c r="N59">
        <f t="shared" si="27"/>
        <v>1.2947110125938084</v>
      </c>
      <c r="O59">
        <f t="shared" si="27"/>
        <v>1.3146708275693044</v>
      </c>
      <c r="P59">
        <f t="shared" si="27"/>
        <v>1.3367341205748435</v>
      </c>
      <c r="Q59">
        <f t="shared" si="27"/>
        <v>1.3610884694523622</v>
      </c>
      <c r="R59">
        <f t="shared" si="27"/>
        <v>1.3871243847029366</v>
      </c>
      <c r="S59">
        <f t="shared" si="27"/>
        <v>1.4146125312460167</v>
      </c>
      <c r="T59">
        <f t="shared" si="27"/>
        <v>1.445450027744825</v>
      </c>
      <c r="U59">
        <f t="shared" si="27"/>
        <v>1.4781122733653924</v>
      </c>
      <c r="V59">
        <f t="shared" si="27"/>
        <v>1.5090592408308769</v>
      </c>
      <c r="W59">
        <f t="shared" si="27"/>
        <v>1.5379889617338034</v>
      </c>
      <c r="X59">
        <f t="shared" si="27"/>
        <v>1.5681416052272319</v>
      </c>
      <c r="Y59">
        <f t="shared" si="27"/>
        <v>1.6016845249907983</v>
      </c>
      <c r="Z59">
        <f t="shared" si="27"/>
        <v>1.6380133885313581</v>
      </c>
      <c r="AA59">
        <f t="shared" si="27"/>
        <v>1.6738681108934796</v>
      </c>
      <c r="AB59">
        <f t="shared" si="27"/>
        <v>1.7066499964102781</v>
      </c>
      <c r="AC59">
        <f t="shared" si="27"/>
        <v>1.7386010236685514</v>
      </c>
      <c r="AD59">
        <f t="shared" si="27"/>
        <v>1.7708716270138802</v>
      </c>
      <c r="AE59">
        <f t="shared" si="27"/>
        <v>1.8026904318093913</v>
      </c>
    </row>
    <row r="60" spans="1:31">
      <c r="A60" t="s">
        <v>1487</v>
      </c>
      <c r="B60" s="450">
        <f t="shared" si="1"/>
        <v>0.9</v>
      </c>
      <c r="C60">
        <f t="shared" ref="C60:E60" si="28">$B60*(C39/$B39)</f>
        <v>0.91161772367931349</v>
      </c>
      <c r="D60">
        <f t="shared" si="28"/>
        <v>0.9169184405840568</v>
      </c>
      <c r="E60">
        <f t="shared" si="28"/>
        <v>0.91017354012213214</v>
      </c>
      <c r="F60">
        <f t="shared" ref="F60:AE60" si="29">$B60*(F39/$B39)</f>
        <v>0.93047490291159951</v>
      </c>
      <c r="G60">
        <f t="shared" si="29"/>
        <v>0.9514130396943008</v>
      </c>
      <c r="H60">
        <f t="shared" si="29"/>
        <v>0.96361678726413702</v>
      </c>
      <c r="I60">
        <f t="shared" si="29"/>
        <v>0.97105876876956077</v>
      </c>
      <c r="J60">
        <f t="shared" si="29"/>
        <v>0.97389250538938699</v>
      </c>
      <c r="K60">
        <f t="shared" si="29"/>
        <v>0.97461014064810714</v>
      </c>
      <c r="L60">
        <f t="shared" si="29"/>
        <v>0.97658249806220565</v>
      </c>
      <c r="M60">
        <f t="shared" si="29"/>
        <v>0.98022366119092197</v>
      </c>
      <c r="N60">
        <f t="shared" si="29"/>
        <v>0.98415505729433461</v>
      </c>
      <c r="O60">
        <f t="shared" si="29"/>
        <v>0.99098173404863943</v>
      </c>
      <c r="P60">
        <f t="shared" si="29"/>
        <v>0.99724448311740643</v>
      </c>
      <c r="Q60">
        <f t="shared" si="29"/>
        <v>1.0008704635776662</v>
      </c>
      <c r="R60">
        <f t="shared" si="29"/>
        <v>1.0062473310538884</v>
      </c>
      <c r="S60">
        <f t="shared" si="29"/>
        <v>1.0070857668075057</v>
      </c>
      <c r="T60">
        <f t="shared" si="29"/>
        <v>1.0119157193204342</v>
      </c>
      <c r="U60">
        <f t="shared" si="29"/>
        <v>1.0197710726975133</v>
      </c>
      <c r="V60">
        <f t="shared" si="29"/>
        <v>1.0259428274251945</v>
      </c>
      <c r="W60">
        <f t="shared" si="29"/>
        <v>1.0298025294769995</v>
      </c>
      <c r="X60">
        <f t="shared" si="29"/>
        <v>1.0329116383569716</v>
      </c>
      <c r="Y60">
        <f t="shared" si="29"/>
        <v>1.0349337630671167</v>
      </c>
      <c r="Z60">
        <f t="shared" si="29"/>
        <v>1.033033235264166</v>
      </c>
      <c r="AA60">
        <f t="shared" si="29"/>
        <v>1.0364374233723821</v>
      </c>
      <c r="AB60">
        <f t="shared" si="29"/>
        <v>1.0419087250130123</v>
      </c>
      <c r="AC60">
        <f t="shared" si="29"/>
        <v>1.0402509165660603</v>
      </c>
      <c r="AD60">
        <f t="shared" si="29"/>
        <v>1.0417925674323525</v>
      </c>
      <c r="AE60">
        <f t="shared" si="29"/>
        <v>1.0534994215090789</v>
      </c>
    </row>
    <row r="61" spans="1:31">
      <c r="A61" t="s">
        <v>1488</v>
      </c>
      <c r="B61" s="450">
        <f t="shared" si="1"/>
        <v>0.4</v>
      </c>
      <c r="C61">
        <f t="shared" ref="C61:E61" si="30">$B61*(C40/$B40)</f>
        <v>0.41454294200331915</v>
      </c>
      <c r="D61">
        <f t="shared" si="30"/>
        <v>0.41635892553417986</v>
      </c>
      <c r="E61">
        <f t="shared" si="30"/>
        <v>0.42630103124631447</v>
      </c>
      <c r="F61">
        <f t="shared" ref="F61:AE61" si="31">$B61*(F40/$B40)</f>
        <v>0.44377476584430675</v>
      </c>
      <c r="G61">
        <f t="shared" si="31"/>
        <v>0.46191685894274814</v>
      </c>
      <c r="H61">
        <f t="shared" si="31"/>
        <v>0.47537661237313894</v>
      </c>
      <c r="I61">
        <f t="shared" si="31"/>
        <v>0.48516399736046845</v>
      </c>
      <c r="J61">
        <f t="shared" si="31"/>
        <v>0.49274835168444464</v>
      </c>
      <c r="K61">
        <f t="shared" si="31"/>
        <v>0.49908091737482607</v>
      </c>
      <c r="L61">
        <f t="shared" si="31"/>
        <v>0.50462694867784064</v>
      </c>
      <c r="M61">
        <f t="shared" si="31"/>
        <v>0.51127093420879655</v>
      </c>
      <c r="N61">
        <f t="shared" si="31"/>
        <v>0.51788440503752342</v>
      </c>
      <c r="O61">
        <f t="shared" si="31"/>
        <v>0.52586833102772179</v>
      </c>
      <c r="P61">
        <f t="shared" si="31"/>
        <v>0.53469364822993748</v>
      </c>
      <c r="Q61">
        <f t="shared" si="31"/>
        <v>0.54443538778094491</v>
      </c>
      <c r="R61">
        <f t="shared" si="31"/>
        <v>0.55484975388117463</v>
      </c>
      <c r="S61">
        <f t="shared" si="31"/>
        <v>0.56584501249840669</v>
      </c>
      <c r="T61">
        <f t="shared" si="31"/>
        <v>0.57818001109793005</v>
      </c>
      <c r="U61">
        <f t="shared" si="31"/>
        <v>0.59124490934615703</v>
      </c>
      <c r="V61">
        <f t="shared" si="31"/>
        <v>0.6036236963323508</v>
      </c>
      <c r="W61">
        <f t="shared" si="31"/>
        <v>0.61519558469352142</v>
      </c>
      <c r="X61">
        <f t="shared" si="31"/>
        <v>0.62725664209089282</v>
      </c>
      <c r="Y61">
        <f t="shared" si="31"/>
        <v>0.6406738099963194</v>
      </c>
      <c r="Z61">
        <f t="shared" si="31"/>
        <v>0.65520535541254332</v>
      </c>
      <c r="AA61">
        <f t="shared" si="31"/>
        <v>0.66954724435739188</v>
      </c>
      <c r="AB61">
        <f t="shared" si="31"/>
        <v>0.6826599985641113</v>
      </c>
      <c r="AC61">
        <f t="shared" si="31"/>
        <v>0.69544040946742058</v>
      </c>
      <c r="AD61">
        <f t="shared" si="31"/>
        <v>0.70834865080555209</v>
      </c>
      <c r="AE61">
        <f t="shared" si="31"/>
        <v>0.72107617272375657</v>
      </c>
    </row>
    <row r="62" spans="1:31">
      <c r="A62" t="s">
        <v>1489</v>
      </c>
      <c r="B62" s="450">
        <f t="shared" si="1"/>
        <v>0.2</v>
      </c>
      <c r="C62">
        <f t="shared" ref="C62:E62" si="32">$B62*(C41/$B41)</f>
        <v>0.20727147100165957</v>
      </c>
      <c r="D62">
        <f t="shared" si="32"/>
        <v>0.20817946276708993</v>
      </c>
      <c r="E62">
        <f t="shared" si="32"/>
        <v>0.21315051562315723</v>
      </c>
      <c r="F62">
        <f t="shared" ref="F62:AE62" si="33">$B62*(F41/$B41)</f>
        <v>0.22188738292215338</v>
      </c>
      <c r="G62">
        <f t="shared" si="33"/>
        <v>0.23095842947137407</v>
      </c>
      <c r="H62">
        <f t="shared" si="33"/>
        <v>0.23768830618656947</v>
      </c>
      <c r="I62">
        <f t="shared" si="33"/>
        <v>0.24258199868023422</v>
      </c>
      <c r="J62">
        <f t="shared" si="33"/>
        <v>0.24637417584222232</v>
      </c>
      <c r="K62">
        <f t="shared" si="33"/>
        <v>0.24954045868741304</v>
      </c>
      <c r="L62">
        <f t="shared" si="33"/>
        <v>0.25231347433892032</v>
      </c>
      <c r="M62">
        <f t="shared" si="33"/>
        <v>0.25563546710439827</v>
      </c>
      <c r="N62">
        <f t="shared" si="33"/>
        <v>0.25894220251876171</v>
      </c>
      <c r="O62">
        <f t="shared" si="33"/>
        <v>0.2629341655138609</v>
      </c>
      <c r="P62">
        <f t="shared" si="33"/>
        <v>0.26734682411496874</v>
      </c>
      <c r="Q62">
        <f t="shared" si="33"/>
        <v>0.27221769389047246</v>
      </c>
      <c r="R62">
        <f t="shared" si="33"/>
        <v>0.27742487694058732</v>
      </c>
      <c r="S62">
        <f t="shared" si="33"/>
        <v>0.28292250624920334</v>
      </c>
      <c r="T62">
        <f t="shared" si="33"/>
        <v>0.28909000554896502</v>
      </c>
      <c r="U62">
        <f t="shared" si="33"/>
        <v>0.29562245467307852</v>
      </c>
      <c r="V62">
        <f t="shared" si="33"/>
        <v>0.3018118481661754</v>
      </c>
      <c r="W62">
        <f t="shared" si="33"/>
        <v>0.30759779234676071</v>
      </c>
      <c r="X62">
        <f t="shared" si="33"/>
        <v>0.31362832104544641</v>
      </c>
      <c r="Y62">
        <f t="shared" si="33"/>
        <v>0.3203369049981597</v>
      </c>
      <c r="Z62">
        <f t="shared" si="33"/>
        <v>0.32760267770627166</v>
      </c>
      <c r="AA62">
        <f t="shared" si="33"/>
        <v>0.33477362217869594</v>
      </c>
      <c r="AB62">
        <f t="shared" si="33"/>
        <v>0.34132999928205565</v>
      </c>
      <c r="AC62">
        <f t="shared" si="33"/>
        <v>0.34772020473371029</v>
      </c>
      <c r="AD62">
        <f t="shared" si="33"/>
        <v>0.35417432540277605</v>
      </c>
      <c r="AE62">
        <f t="shared" si="33"/>
        <v>0.36053808636187828</v>
      </c>
    </row>
  </sheetData>
  <phoneticPr fontId="6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3C9AD-11EC-4BCD-BF7C-26D7D0F8150F}">
  <dimension ref="A1:M71"/>
  <sheetViews>
    <sheetView workbookViewId="0"/>
  </sheetViews>
  <sheetFormatPr baseColWidth="10" defaultColWidth="8.83203125" defaultRowHeight="15"/>
  <cols>
    <col min="1" max="1" width="57.1640625" customWidth="1"/>
    <col min="2" max="6" width="15.33203125" customWidth="1"/>
    <col min="7" max="13" width="10.1640625" customWidth="1"/>
  </cols>
  <sheetData>
    <row r="1" spans="1:13">
      <c r="A1" s="453" t="s">
        <v>6055</v>
      </c>
      <c r="B1" t="s">
        <v>5690</v>
      </c>
    </row>
    <row r="3" spans="1:13">
      <c r="A3" s="24" t="s">
        <v>5693</v>
      </c>
      <c r="B3" s="25"/>
      <c r="C3" s="25"/>
      <c r="D3" s="25"/>
      <c r="E3" s="25"/>
      <c r="F3" s="25"/>
      <c r="G3" s="25"/>
      <c r="H3" s="25"/>
      <c r="I3" s="25"/>
      <c r="J3" s="25"/>
      <c r="K3" s="25"/>
      <c r="L3" s="25"/>
      <c r="M3" s="25"/>
    </row>
    <row r="4" spans="1:13" ht="16" thickBot="1">
      <c r="A4" s="17" t="s">
        <v>5692</v>
      </c>
    </row>
    <row r="5" spans="1:13">
      <c r="A5" s="2037" t="s">
        <v>5694</v>
      </c>
      <c r="B5" s="2175" t="s">
        <v>4282</v>
      </c>
      <c r="C5" s="2176"/>
      <c r="D5" s="2175" t="s">
        <v>5697</v>
      </c>
      <c r="E5" s="2176"/>
      <c r="F5" s="2175" t="s">
        <v>3884</v>
      </c>
      <c r="G5" s="2176"/>
      <c r="H5" s="2175" t="s">
        <v>416</v>
      </c>
      <c r="I5" s="2176"/>
      <c r="J5" s="2042" t="s">
        <v>5698</v>
      </c>
      <c r="K5" s="2175" t="s">
        <v>1265</v>
      </c>
      <c r="L5" s="2177"/>
      <c r="M5" s="2176"/>
    </row>
    <row r="6" spans="1:13">
      <c r="A6" s="2038"/>
      <c r="B6" s="2039" t="s">
        <v>5695</v>
      </c>
      <c r="C6" s="2040" t="s">
        <v>5696</v>
      </c>
      <c r="D6" s="2039" t="s">
        <v>5695</v>
      </c>
      <c r="E6" s="2040" t="s">
        <v>5696</v>
      </c>
      <c r="F6" s="2039" t="s">
        <v>5695</v>
      </c>
      <c r="G6" s="2040" t="s">
        <v>5696</v>
      </c>
      <c r="H6" s="2039" t="s">
        <v>5695</v>
      </c>
      <c r="I6" s="2040" t="s">
        <v>5696</v>
      </c>
      <c r="J6" s="2041" t="s">
        <v>1265</v>
      </c>
      <c r="K6" s="2039" t="s">
        <v>5695</v>
      </c>
      <c r="L6" s="13" t="s">
        <v>5696</v>
      </c>
      <c r="M6" s="2040" t="s">
        <v>1265</v>
      </c>
    </row>
    <row r="7" spans="1:13">
      <c r="A7" s="2034" t="s">
        <v>5699</v>
      </c>
      <c r="B7" s="2027">
        <v>172</v>
      </c>
      <c r="C7" s="2030">
        <v>26.2</v>
      </c>
      <c r="D7" s="2027">
        <v>151</v>
      </c>
      <c r="E7" s="2030">
        <v>790</v>
      </c>
      <c r="F7" s="2027">
        <v>1.1000000000000001</v>
      </c>
      <c r="G7" s="2030">
        <v>3.2</v>
      </c>
      <c r="H7" s="2027">
        <v>0</v>
      </c>
      <c r="I7" s="2030">
        <v>423</v>
      </c>
      <c r="J7" s="2034">
        <v>0</v>
      </c>
      <c r="K7" s="2027">
        <v>324</v>
      </c>
      <c r="L7" s="2028">
        <v>1242</v>
      </c>
      <c r="M7" s="2029">
        <v>1567</v>
      </c>
    </row>
    <row r="8" spans="1:13">
      <c r="A8" s="2034" t="s">
        <v>5700</v>
      </c>
      <c r="B8" s="2027">
        <v>0</v>
      </c>
      <c r="C8" s="2030">
        <v>0</v>
      </c>
      <c r="D8" s="2027">
        <v>0</v>
      </c>
      <c r="E8" s="2030">
        <v>0</v>
      </c>
      <c r="F8" s="2027">
        <v>0</v>
      </c>
      <c r="G8" s="2030">
        <v>0</v>
      </c>
      <c r="H8" s="2027">
        <v>0</v>
      </c>
      <c r="I8" s="2030">
        <v>0</v>
      </c>
      <c r="J8" s="2034">
        <v>35.1</v>
      </c>
      <c r="K8" s="2027">
        <v>0</v>
      </c>
      <c r="L8">
        <v>0</v>
      </c>
      <c r="M8" s="2030">
        <v>35.1</v>
      </c>
    </row>
    <row r="9" spans="1:13">
      <c r="A9" s="2034" t="s">
        <v>5701</v>
      </c>
      <c r="B9" s="2027">
        <v>56.5</v>
      </c>
      <c r="C9" s="2030">
        <v>3</v>
      </c>
      <c r="D9" s="2027">
        <v>0</v>
      </c>
      <c r="E9" s="2030">
        <v>0</v>
      </c>
      <c r="F9" s="2027">
        <v>52</v>
      </c>
      <c r="G9" s="2030">
        <v>9.3000000000000007</v>
      </c>
      <c r="H9" s="2027">
        <v>0</v>
      </c>
      <c r="I9" s="2030">
        <v>0</v>
      </c>
      <c r="J9" s="2034">
        <v>0</v>
      </c>
      <c r="K9" s="2027">
        <v>109</v>
      </c>
      <c r="L9">
        <v>12.2</v>
      </c>
      <c r="M9" s="2030">
        <v>121</v>
      </c>
    </row>
    <row r="10" spans="1:13">
      <c r="A10" s="2034" t="s">
        <v>5702</v>
      </c>
      <c r="B10" s="2027">
        <v>10.4</v>
      </c>
      <c r="C10" s="2030">
        <v>9.1</v>
      </c>
      <c r="D10" s="2027">
        <v>4.9000000000000004</v>
      </c>
      <c r="E10" s="2030">
        <v>33.4</v>
      </c>
      <c r="F10" s="2027">
        <v>4.5</v>
      </c>
      <c r="G10" s="2030">
        <v>2.6</v>
      </c>
      <c r="H10" s="2027">
        <v>0</v>
      </c>
      <c r="I10" s="2030">
        <v>0</v>
      </c>
      <c r="J10" s="2034">
        <v>0</v>
      </c>
      <c r="K10" s="2027">
        <v>19.899999999999999</v>
      </c>
      <c r="L10">
        <v>45.2</v>
      </c>
      <c r="M10" s="2030">
        <v>65.099999999999994</v>
      </c>
    </row>
    <row r="11" spans="1:13">
      <c r="A11" s="2034" t="s">
        <v>572</v>
      </c>
      <c r="B11" s="2027">
        <v>96.4</v>
      </c>
      <c r="C11" s="2030">
        <v>1.1000000000000001</v>
      </c>
      <c r="D11" s="2027">
        <v>1.2</v>
      </c>
      <c r="E11" s="2030">
        <v>0.7</v>
      </c>
      <c r="F11" s="2027">
        <v>6</v>
      </c>
      <c r="G11" s="2030">
        <v>0.5</v>
      </c>
      <c r="H11" s="2027">
        <v>0</v>
      </c>
      <c r="I11" s="2030">
        <v>0</v>
      </c>
      <c r="J11" s="2034">
        <v>0</v>
      </c>
      <c r="K11" s="2027">
        <v>104</v>
      </c>
      <c r="L11">
        <v>2.4</v>
      </c>
      <c r="M11" s="2030">
        <v>106</v>
      </c>
    </row>
    <row r="12" spans="1:13">
      <c r="A12" s="2034" t="s">
        <v>1265</v>
      </c>
      <c r="B12" s="2027">
        <v>335</v>
      </c>
      <c r="C12" s="2030">
        <v>39.4</v>
      </c>
      <c r="D12" s="2027">
        <v>157</v>
      </c>
      <c r="E12" s="2030">
        <v>824</v>
      </c>
      <c r="F12" s="2027">
        <v>63.7</v>
      </c>
      <c r="G12" s="2030">
        <v>15.6</v>
      </c>
      <c r="H12" s="2027">
        <v>0</v>
      </c>
      <c r="I12" s="2030">
        <v>423</v>
      </c>
      <c r="J12" s="2034">
        <v>35.1</v>
      </c>
      <c r="K12" s="2027">
        <v>556</v>
      </c>
      <c r="L12" s="2028">
        <v>1302</v>
      </c>
      <c r="M12" s="2029">
        <v>1893</v>
      </c>
    </row>
    <row r="13" spans="1:13" ht="16" thickBot="1">
      <c r="A13" s="2036" t="s">
        <v>5703</v>
      </c>
      <c r="B13" s="2031">
        <v>-0.24</v>
      </c>
      <c r="C13" s="2033">
        <v>0.25</v>
      </c>
      <c r="D13" s="2031">
        <v>-0.28999999999999998</v>
      </c>
      <c r="E13" s="2033">
        <v>-0.14000000000000001</v>
      </c>
      <c r="F13" s="2031">
        <v>0.74</v>
      </c>
      <c r="G13" s="2033">
        <v>0.31</v>
      </c>
      <c r="H13" s="2031">
        <v>0</v>
      </c>
      <c r="I13" s="2033">
        <v>-0.27</v>
      </c>
      <c r="J13" s="2035">
        <v>0</v>
      </c>
      <c r="K13" s="2031">
        <v>-0.2</v>
      </c>
      <c r="L13" s="2032">
        <v>-0.18</v>
      </c>
      <c r="M13" s="2033">
        <v>-0.19</v>
      </c>
    </row>
    <row r="14" spans="1:13">
      <c r="A14" s="20" t="s">
        <v>5704</v>
      </c>
    </row>
    <row r="18" spans="1:6">
      <c r="A18" s="24" t="s">
        <v>5705</v>
      </c>
      <c r="B18" s="25"/>
      <c r="C18" s="25"/>
      <c r="D18" s="25"/>
      <c r="E18" s="25"/>
      <c r="F18" s="25"/>
    </row>
    <row r="19" spans="1:6">
      <c r="A19" s="17" t="s">
        <v>5706</v>
      </c>
    </row>
    <row r="20" spans="1:6">
      <c r="A20" s="3" t="s">
        <v>5694</v>
      </c>
      <c r="B20" s="13" t="s">
        <v>4282</v>
      </c>
      <c r="C20" s="13" t="s">
        <v>5697</v>
      </c>
      <c r="D20" s="13" t="s">
        <v>3884</v>
      </c>
      <c r="E20" s="13" t="s">
        <v>5698</v>
      </c>
      <c r="F20" s="13" t="s">
        <v>1265</v>
      </c>
    </row>
    <row r="21" spans="1:6">
      <c r="A21" t="s">
        <v>5699</v>
      </c>
      <c r="B21">
        <v>15.2</v>
      </c>
      <c r="C21">
        <v>72.400000000000006</v>
      </c>
      <c r="D21">
        <v>32.799999999999997</v>
      </c>
      <c r="E21">
        <v>0</v>
      </c>
      <c r="F21">
        <v>120</v>
      </c>
    </row>
    <row r="22" spans="1:6">
      <c r="A22" t="s">
        <v>5700</v>
      </c>
      <c r="B22">
        <v>0</v>
      </c>
      <c r="C22">
        <v>0</v>
      </c>
      <c r="D22">
        <v>0</v>
      </c>
      <c r="E22">
        <v>2.7</v>
      </c>
      <c r="F22">
        <v>2.7</v>
      </c>
    </row>
    <row r="23" spans="1:6">
      <c r="A23" t="s">
        <v>5701</v>
      </c>
      <c r="B23">
        <v>6.6</v>
      </c>
      <c r="C23">
        <v>0</v>
      </c>
      <c r="D23">
        <v>6.8</v>
      </c>
      <c r="E23">
        <v>0</v>
      </c>
      <c r="F23">
        <v>13.4</v>
      </c>
    </row>
    <row r="24" spans="1:6">
      <c r="A24" t="s">
        <v>5702</v>
      </c>
      <c r="B24">
        <v>2.4</v>
      </c>
      <c r="C24">
        <v>4.8</v>
      </c>
      <c r="D24">
        <v>0.9</v>
      </c>
      <c r="E24">
        <v>0</v>
      </c>
      <c r="F24">
        <v>8.1</v>
      </c>
    </row>
    <row r="25" spans="1:6">
      <c r="A25" t="s">
        <v>572</v>
      </c>
      <c r="B25">
        <v>7.9</v>
      </c>
      <c r="C25">
        <v>0.2</v>
      </c>
      <c r="D25">
        <v>0.5</v>
      </c>
      <c r="E25">
        <v>0</v>
      </c>
      <c r="F25">
        <v>8.6</v>
      </c>
    </row>
    <row r="26" spans="1:6">
      <c r="A26" t="s">
        <v>1265</v>
      </c>
      <c r="B26">
        <v>32.1</v>
      </c>
      <c r="C26">
        <v>77.3</v>
      </c>
      <c r="D26">
        <v>41.1</v>
      </c>
      <c r="E26">
        <v>2.7</v>
      </c>
      <c r="F26">
        <v>153</v>
      </c>
    </row>
    <row r="27" spans="1:6">
      <c r="A27" t="s">
        <v>5703</v>
      </c>
      <c r="B27" s="6">
        <v>-0.05</v>
      </c>
      <c r="C27" s="6">
        <v>-0.17</v>
      </c>
      <c r="D27" s="6">
        <v>-0.17</v>
      </c>
      <c r="E27" s="6">
        <v>-0.74</v>
      </c>
      <c r="F27" s="6">
        <v>-0.18</v>
      </c>
    </row>
    <row r="31" spans="1:6">
      <c r="A31" s="24" t="s">
        <v>5688</v>
      </c>
      <c r="B31" s="25"/>
      <c r="C31" s="25"/>
      <c r="D31" s="25"/>
      <c r="E31" s="25"/>
      <c r="F31" s="25"/>
    </row>
    <row r="32" spans="1:6">
      <c r="A32" s="17" t="s">
        <v>5689</v>
      </c>
    </row>
    <row r="33" spans="1:6" ht="32">
      <c r="A33" s="57" t="s">
        <v>5686</v>
      </c>
      <c r="B33" s="58" t="s">
        <v>5681</v>
      </c>
      <c r="C33" s="58" t="s">
        <v>5682</v>
      </c>
      <c r="D33" s="58" t="s">
        <v>5683</v>
      </c>
      <c r="E33" s="58" t="s">
        <v>5684</v>
      </c>
      <c r="F33" s="58" t="s">
        <v>5685</v>
      </c>
    </row>
    <row r="34" spans="1:6">
      <c r="A34" t="s">
        <v>5661</v>
      </c>
      <c r="B34">
        <v>150</v>
      </c>
      <c r="C34">
        <v>2.7</v>
      </c>
      <c r="D34">
        <v>8.6</v>
      </c>
      <c r="E34">
        <v>0</v>
      </c>
      <c r="F34">
        <v>162</v>
      </c>
    </row>
    <row r="35" spans="1:6">
      <c r="A35" s="2046" t="s">
        <v>5662</v>
      </c>
      <c r="B35">
        <v>137</v>
      </c>
      <c r="C35">
        <v>0</v>
      </c>
      <c r="D35">
        <v>7.9</v>
      </c>
      <c r="E35">
        <v>0</v>
      </c>
      <c r="F35">
        <v>145</v>
      </c>
    </row>
    <row r="36" spans="1:6">
      <c r="A36" s="2046" t="s">
        <v>5663</v>
      </c>
      <c r="B36">
        <v>1</v>
      </c>
      <c r="C36">
        <v>0</v>
      </c>
      <c r="D36">
        <v>0</v>
      </c>
      <c r="E36">
        <v>0</v>
      </c>
      <c r="F36">
        <v>1</v>
      </c>
    </row>
    <row r="37" spans="1:6">
      <c r="A37" s="2046" t="s">
        <v>5664</v>
      </c>
      <c r="B37">
        <v>7.3</v>
      </c>
      <c r="C37">
        <v>0</v>
      </c>
      <c r="D37">
        <v>0.7</v>
      </c>
      <c r="E37">
        <v>0</v>
      </c>
      <c r="F37">
        <v>8</v>
      </c>
    </row>
    <row r="38" spans="1:6">
      <c r="A38" s="2046" t="s">
        <v>5665</v>
      </c>
      <c r="B38">
        <v>3.8</v>
      </c>
      <c r="C38">
        <v>0</v>
      </c>
      <c r="D38">
        <v>0</v>
      </c>
      <c r="E38">
        <v>0</v>
      </c>
      <c r="F38">
        <v>3.8</v>
      </c>
    </row>
    <row r="39" spans="1:6">
      <c r="A39" s="2046" t="s">
        <v>5687</v>
      </c>
      <c r="B39">
        <v>0.3</v>
      </c>
      <c r="C39">
        <v>0</v>
      </c>
      <c r="D39">
        <v>0</v>
      </c>
      <c r="E39">
        <v>0</v>
      </c>
      <c r="F39">
        <v>0.3</v>
      </c>
    </row>
    <row r="40" spans="1:6">
      <c r="A40" s="2046" t="s">
        <v>5666</v>
      </c>
      <c r="B40">
        <v>0.01</v>
      </c>
      <c r="C40">
        <v>0</v>
      </c>
      <c r="D40">
        <v>0</v>
      </c>
      <c r="E40">
        <v>0</v>
      </c>
      <c r="F40">
        <v>0.01</v>
      </c>
    </row>
    <row r="41" spans="1:6">
      <c r="A41" s="2046" t="s">
        <v>5667</v>
      </c>
      <c r="B41">
        <v>0.8</v>
      </c>
      <c r="C41">
        <v>2.7</v>
      </c>
      <c r="D41">
        <v>0</v>
      </c>
      <c r="E41">
        <v>0</v>
      </c>
      <c r="F41">
        <v>3.5</v>
      </c>
    </row>
    <row r="42" spans="1:6">
      <c r="A42" t="s">
        <v>5668</v>
      </c>
      <c r="B42">
        <v>0</v>
      </c>
      <c r="C42">
        <v>134</v>
      </c>
      <c r="D42">
        <v>0</v>
      </c>
      <c r="E42" s="1732">
        <v>9.9</v>
      </c>
      <c r="F42">
        <v>144</v>
      </c>
    </row>
    <row r="43" spans="1:6">
      <c r="A43" s="2046" t="s">
        <v>5669</v>
      </c>
      <c r="B43">
        <v>0</v>
      </c>
      <c r="C43">
        <v>132</v>
      </c>
      <c r="D43">
        <v>0</v>
      </c>
      <c r="E43">
        <v>0</v>
      </c>
      <c r="F43">
        <v>132</v>
      </c>
    </row>
    <row r="44" spans="1:6">
      <c r="A44" s="2046" t="s">
        <v>5670</v>
      </c>
      <c r="B44">
        <v>0</v>
      </c>
      <c r="C44">
        <v>1.7</v>
      </c>
      <c r="D44">
        <v>0</v>
      </c>
      <c r="E44" s="1732">
        <v>9.9</v>
      </c>
      <c r="F44">
        <v>11.6</v>
      </c>
    </row>
    <row r="45" spans="1:6">
      <c r="A45" t="s">
        <v>5671</v>
      </c>
      <c r="B45">
        <v>0</v>
      </c>
      <c r="C45">
        <v>0</v>
      </c>
      <c r="D45">
        <v>0</v>
      </c>
      <c r="E45">
        <v>0</v>
      </c>
      <c r="F45">
        <v>0</v>
      </c>
    </row>
    <row r="46" spans="1:6">
      <c r="A46" s="2046" t="s">
        <v>5672</v>
      </c>
      <c r="B46">
        <v>0</v>
      </c>
      <c r="C46">
        <v>0</v>
      </c>
      <c r="D46">
        <v>0</v>
      </c>
      <c r="E46">
        <v>0</v>
      </c>
      <c r="F46">
        <v>0</v>
      </c>
    </row>
    <row r="47" spans="1:6">
      <c r="A47" s="2046" t="s">
        <v>5673</v>
      </c>
      <c r="B47">
        <v>0</v>
      </c>
      <c r="C47">
        <v>0</v>
      </c>
      <c r="D47">
        <v>0</v>
      </c>
      <c r="E47">
        <v>0</v>
      </c>
      <c r="F47">
        <v>0</v>
      </c>
    </row>
    <row r="48" spans="1:6">
      <c r="A48" t="s">
        <v>5674</v>
      </c>
      <c r="B48">
        <v>0</v>
      </c>
      <c r="C48">
        <v>21.5</v>
      </c>
      <c r="D48">
        <v>0</v>
      </c>
      <c r="E48">
        <v>0</v>
      </c>
      <c r="F48">
        <v>21.5</v>
      </c>
    </row>
    <row r="49" spans="1:6">
      <c r="A49" s="2046" t="s">
        <v>5675</v>
      </c>
      <c r="B49">
        <v>0</v>
      </c>
      <c r="C49">
        <v>13.4</v>
      </c>
      <c r="D49">
        <v>0</v>
      </c>
      <c r="E49">
        <v>0</v>
      </c>
      <c r="F49">
        <v>13.4</v>
      </c>
    </row>
    <row r="50" spans="1:6">
      <c r="A50" s="2046" t="s">
        <v>5676</v>
      </c>
      <c r="B50">
        <v>0</v>
      </c>
      <c r="C50">
        <v>8.1</v>
      </c>
      <c r="D50">
        <v>0</v>
      </c>
      <c r="E50">
        <v>0</v>
      </c>
      <c r="F50">
        <v>8.1</v>
      </c>
    </row>
    <row r="51" spans="1:6">
      <c r="A51" t="s">
        <v>5677</v>
      </c>
      <c r="B51">
        <v>6.7</v>
      </c>
      <c r="C51">
        <v>8.6</v>
      </c>
      <c r="D51">
        <v>0</v>
      </c>
      <c r="E51">
        <v>0</v>
      </c>
      <c r="F51">
        <v>15.2</v>
      </c>
    </row>
    <row r="52" spans="1:6">
      <c r="A52" t="s">
        <v>5678</v>
      </c>
      <c r="B52">
        <v>0</v>
      </c>
      <c r="C52">
        <v>0</v>
      </c>
      <c r="D52">
        <v>0</v>
      </c>
      <c r="E52">
        <v>0</v>
      </c>
      <c r="F52">
        <v>0</v>
      </c>
    </row>
    <row r="53" spans="1:6">
      <c r="A53" t="s">
        <v>5679</v>
      </c>
      <c r="B53">
        <v>157</v>
      </c>
      <c r="C53">
        <v>167</v>
      </c>
      <c r="D53">
        <v>8.6</v>
      </c>
      <c r="E53">
        <v>8.9</v>
      </c>
      <c r="F53">
        <v>342</v>
      </c>
    </row>
    <row r="54" spans="1:6">
      <c r="A54" t="s">
        <v>5680</v>
      </c>
      <c r="B54" s="6">
        <v>0.11</v>
      </c>
      <c r="C54" s="6">
        <v>-0.19</v>
      </c>
      <c r="D54" s="6">
        <v>0.31</v>
      </c>
      <c r="E54" s="6">
        <v>0.17</v>
      </c>
      <c r="F54" s="6">
        <v>-0.06</v>
      </c>
    </row>
    <row r="55" spans="1:6">
      <c r="A55" s="2043" t="s">
        <v>5707</v>
      </c>
      <c r="B55" s="1732"/>
    </row>
    <row r="57" spans="1:6">
      <c r="A57" s="2044" t="s">
        <v>48</v>
      </c>
    </row>
    <row r="58" spans="1:6">
      <c r="A58" t="s">
        <v>5731</v>
      </c>
    </row>
    <row r="59" spans="1:6">
      <c r="A59" t="s">
        <v>5716</v>
      </c>
    </row>
    <row r="61" spans="1:6">
      <c r="A61" s="8" t="s">
        <v>5715</v>
      </c>
      <c r="B61" s="9"/>
      <c r="C61" s="9"/>
      <c r="D61" s="9"/>
    </row>
    <row r="62" spans="1:6">
      <c r="A62" s="1" t="s">
        <v>65</v>
      </c>
      <c r="B62" s="452" t="s">
        <v>66</v>
      </c>
      <c r="C62" s="1" t="s">
        <v>41</v>
      </c>
      <c r="D62" s="1" t="s">
        <v>3958</v>
      </c>
    </row>
    <row r="63" spans="1:6">
      <c r="A63" t="s">
        <v>5709</v>
      </c>
      <c r="B63">
        <f>SUM(B53:C53)</f>
        <v>324</v>
      </c>
      <c r="C63" t="s">
        <v>5708</v>
      </c>
      <c r="D63" t="s">
        <v>5710</v>
      </c>
    </row>
    <row r="64" spans="1:6">
      <c r="A64" t="s">
        <v>5711</v>
      </c>
      <c r="B64">
        <v>13</v>
      </c>
      <c r="C64" t="s">
        <v>5712</v>
      </c>
      <c r="D64" t="s">
        <v>5713</v>
      </c>
    </row>
    <row r="65" spans="1:4">
      <c r="A65" t="s">
        <v>5709</v>
      </c>
      <c r="B65">
        <f>B63*B64</f>
        <v>4212</v>
      </c>
      <c r="C65" t="s">
        <v>5692</v>
      </c>
    </row>
    <row r="66" spans="1:4">
      <c r="A66" t="s">
        <v>5714</v>
      </c>
      <c r="B66" s="459">
        <f>C53/B63</f>
        <v>0.51543209876543206</v>
      </c>
    </row>
    <row r="67" spans="1:4">
      <c r="A67" t="s">
        <v>5719</v>
      </c>
      <c r="B67" s="459">
        <f>SUM(D12:E12)/M12</f>
        <v>0.51822503961965138</v>
      </c>
    </row>
    <row r="68" spans="1:4">
      <c r="A68" t="s">
        <v>5720</v>
      </c>
      <c r="B68" s="459">
        <f>J12/M12</f>
        <v>1.8541996830427895E-2</v>
      </c>
    </row>
    <row r="69" spans="1:4">
      <c r="A69" t="s">
        <v>5717</v>
      </c>
      <c r="B69" s="2045">
        <f>B65*B66*B67</f>
        <v>1125.0665610142632</v>
      </c>
      <c r="C69" t="s">
        <v>5692</v>
      </c>
    </row>
    <row r="70" spans="1:4">
      <c r="A70" t="s">
        <v>5718</v>
      </c>
      <c r="B70" s="2045">
        <f>B65*B66*B68</f>
        <v>40.254675118858962</v>
      </c>
      <c r="C70" t="s">
        <v>5692</v>
      </c>
      <c r="D70" t="s">
        <v>5721</v>
      </c>
    </row>
    <row r="71" spans="1:4">
      <c r="A71" t="s">
        <v>5722</v>
      </c>
      <c r="B71" s="2045">
        <f>B65-SUM(B69:B70)</f>
        <v>3046.6787638668775</v>
      </c>
      <c r="C71" t="s">
        <v>5692</v>
      </c>
    </row>
  </sheetData>
  <mergeCells count="5">
    <mergeCell ref="B5:C5"/>
    <mergeCell ref="D5:E5"/>
    <mergeCell ref="F5:G5"/>
    <mergeCell ref="H5:I5"/>
    <mergeCell ref="K5:M5"/>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8979A-8C15-4E66-995B-C4FD537DA1EC}">
  <sheetPr codeName="Sheet26"/>
  <dimension ref="A1:AH2837"/>
  <sheetViews>
    <sheetView workbookViewId="0">
      <pane xSplit="2" ySplit="1" topLeftCell="C2" activePane="bottomRight" state="frozen"/>
      <selection pane="topRight" activeCell="C1" sqref="C1"/>
      <selection pane="bottomLeft" activeCell="A2" sqref="A2"/>
      <selection pane="bottomRight" activeCell="B1" sqref="B1"/>
    </sheetView>
  </sheetViews>
  <sheetFormatPr baseColWidth="10" defaultColWidth="9.33203125" defaultRowHeight="15" customHeight="1"/>
  <cols>
    <col min="1" max="1" width="20.6640625" style="28" hidden="1" customWidth="1"/>
    <col min="2" max="2" width="45.6640625" style="28" customWidth="1"/>
    <col min="3" max="16384" width="9.33203125" style="28"/>
  </cols>
  <sheetData>
    <row r="1" spans="1:33" ht="15" customHeight="1" thickBot="1">
      <c r="B1" s="50" t="s">
        <v>2046</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2047</v>
      </c>
      <c r="D3" s="48" t="s">
        <v>311</v>
      </c>
      <c r="E3" s="47"/>
      <c r="F3" s="47"/>
      <c r="G3" s="47"/>
    </row>
    <row r="4" spans="1:33" ht="15" customHeight="1">
      <c r="C4" s="48" t="s">
        <v>2048</v>
      </c>
      <c r="D4" s="48" t="s">
        <v>2049</v>
      </c>
      <c r="E4" s="47"/>
      <c r="F4" s="47"/>
      <c r="G4" s="48" t="s">
        <v>207</v>
      </c>
    </row>
    <row r="5" spans="1:33" ht="15" customHeight="1">
      <c r="C5" s="48" t="s">
        <v>2050</v>
      </c>
      <c r="D5" s="48" t="s">
        <v>2051</v>
      </c>
      <c r="E5" s="47"/>
      <c r="F5" s="47"/>
      <c r="G5" s="47"/>
    </row>
    <row r="6" spans="1:33" ht="15" customHeight="1">
      <c r="C6" s="48" t="s">
        <v>2052</v>
      </c>
      <c r="D6" s="47"/>
      <c r="E6" s="48" t="s">
        <v>2053</v>
      </c>
      <c r="F6" s="47"/>
      <c r="G6" s="47"/>
    </row>
    <row r="7" spans="1:33" ht="12" customHeight="1"/>
    <row r="8" spans="1:33" ht="12" customHeight="1"/>
    <row r="9" spans="1:33" ht="12" customHeight="1">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row>
    <row r="10" spans="1:33" ht="15" customHeight="1">
      <c r="A10" s="34" t="s">
        <v>2054</v>
      </c>
      <c r="B10" s="46" t="s">
        <v>2055</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2056</v>
      </c>
      <c r="AG10" s="29"/>
    </row>
    <row r="11" spans="1:33" ht="15" customHeight="1">
      <c r="B11" s="45" t="s">
        <v>2057</v>
      </c>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2058</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2059</v>
      </c>
      <c r="AG12" s="29"/>
    </row>
    <row r="13" spans="1:33" ht="15" customHeight="1" thickBot="1">
      <c r="B13" s="42" t="s">
        <v>2060</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t="s">
        <v>2061</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B15" s="33" t="s">
        <v>2062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row>
    <row r="16" spans="1:33" ht="15" customHeight="1">
      <c r="A16" s="34" t="s">
        <v>2063</v>
      </c>
      <c r="B16" s="37" t="s">
        <v>2064</v>
      </c>
      <c r="C16" s="38">
        <v>0.49108499999999999</v>
      </c>
      <c r="D16" s="38">
        <v>0.47627199999999997</v>
      </c>
      <c r="E16" s="38">
        <v>0.44470500000000002</v>
      </c>
      <c r="F16" s="38">
        <v>0.44110500000000002</v>
      </c>
      <c r="G16" s="38">
        <v>0.43927500000000003</v>
      </c>
      <c r="H16" s="38">
        <v>0.43809599999999999</v>
      </c>
      <c r="I16" s="38">
        <v>0.43680099999999999</v>
      </c>
      <c r="J16" s="38">
        <v>0.43521399999999999</v>
      </c>
      <c r="K16" s="38">
        <v>0.43328899999999998</v>
      </c>
      <c r="L16" s="38">
        <v>0.43090899999999999</v>
      </c>
      <c r="M16" s="38">
        <v>0.42821300000000001</v>
      </c>
      <c r="N16" s="38">
        <v>0.425705</v>
      </c>
      <c r="O16" s="38">
        <v>0.42308499999999999</v>
      </c>
      <c r="P16" s="38">
        <v>0.42072399999999999</v>
      </c>
      <c r="Q16" s="38">
        <v>0.418734</v>
      </c>
      <c r="R16" s="38">
        <v>0.417076</v>
      </c>
      <c r="S16" s="38">
        <v>0.415495</v>
      </c>
      <c r="T16" s="38">
        <v>0.41414200000000001</v>
      </c>
      <c r="U16" s="38">
        <v>0.41298400000000002</v>
      </c>
      <c r="V16" s="38">
        <v>0.41198600000000002</v>
      </c>
      <c r="W16" s="38">
        <v>0.41108</v>
      </c>
      <c r="X16" s="38">
        <v>0.410385</v>
      </c>
      <c r="Y16" s="38">
        <v>0.40991899999999998</v>
      </c>
      <c r="Z16" s="38">
        <v>0.40958800000000001</v>
      </c>
      <c r="AA16" s="38">
        <v>0.40919800000000001</v>
      </c>
      <c r="AB16" s="38">
        <v>0.40895199999999998</v>
      </c>
      <c r="AC16" s="38">
        <v>0.40879199999999999</v>
      </c>
      <c r="AD16" s="38">
        <v>0.408746</v>
      </c>
      <c r="AE16" s="38">
        <v>0.40881400000000001</v>
      </c>
      <c r="AF16" s="35">
        <v>-6.5269999999999998E-3</v>
      </c>
      <c r="AG16" s="29"/>
    </row>
    <row r="17" spans="1:33" ht="15" customHeight="1">
      <c r="A17" s="34" t="s">
        <v>2065</v>
      </c>
      <c r="B17" s="37" t="s">
        <v>2066</v>
      </c>
      <c r="C17" s="38">
        <v>0.43249700000000002</v>
      </c>
      <c r="D17" s="38">
        <v>0.43121700000000002</v>
      </c>
      <c r="E17" s="38">
        <v>0.37339299999999997</v>
      </c>
      <c r="F17" s="38">
        <v>0.36809900000000001</v>
      </c>
      <c r="G17" s="38">
        <v>0.36198599999999997</v>
      </c>
      <c r="H17" s="38">
        <v>0.355601</v>
      </c>
      <c r="I17" s="38">
        <v>0.34908499999999998</v>
      </c>
      <c r="J17" s="38">
        <v>0.34247100000000003</v>
      </c>
      <c r="K17" s="38">
        <v>0.336113</v>
      </c>
      <c r="L17" s="38">
        <v>0.32974399999999998</v>
      </c>
      <c r="M17" s="38">
        <v>0.32350200000000001</v>
      </c>
      <c r="N17" s="38">
        <v>0.317799</v>
      </c>
      <c r="O17" s="38">
        <v>0.31203199999999998</v>
      </c>
      <c r="P17" s="38">
        <v>0.30630299999999999</v>
      </c>
      <c r="Q17" s="38">
        <v>0.30079400000000001</v>
      </c>
      <c r="R17" s="38">
        <v>0.29545399999999999</v>
      </c>
      <c r="S17" s="38">
        <v>0.29028399999999999</v>
      </c>
      <c r="T17" s="38">
        <v>0.28525600000000001</v>
      </c>
      <c r="U17" s="38">
        <v>0.28043400000000002</v>
      </c>
      <c r="V17" s="38">
        <v>0.27566299999999999</v>
      </c>
      <c r="W17" s="38">
        <v>0.27098800000000001</v>
      </c>
      <c r="X17" s="38">
        <v>0.26628299999999999</v>
      </c>
      <c r="Y17" s="38">
        <v>0.26175999999999999</v>
      </c>
      <c r="Z17" s="38">
        <v>0.25726100000000002</v>
      </c>
      <c r="AA17" s="38">
        <v>0.25269200000000003</v>
      </c>
      <c r="AB17" s="38">
        <v>0.24818499999999999</v>
      </c>
      <c r="AC17" s="38">
        <v>0.24379000000000001</v>
      </c>
      <c r="AD17" s="38">
        <v>0.239424</v>
      </c>
      <c r="AE17" s="38">
        <v>0.23517399999999999</v>
      </c>
      <c r="AF17" s="35">
        <v>-2.1524000000000001E-2</v>
      </c>
      <c r="AG17" s="29"/>
    </row>
    <row r="18" spans="1:33" ht="15" customHeight="1">
      <c r="A18" s="34" t="s">
        <v>2067</v>
      </c>
      <c r="B18" s="37" t="s">
        <v>2068</v>
      </c>
      <c r="C18" s="38">
        <v>0.92358200000000001</v>
      </c>
      <c r="D18" s="38">
        <v>0.90748899999999999</v>
      </c>
      <c r="E18" s="38">
        <v>0.81809799999999999</v>
      </c>
      <c r="F18" s="38">
        <v>0.80920400000000003</v>
      </c>
      <c r="G18" s="38">
        <v>0.801261</v>
      </c>
      <c r="H18" s="38">
        <v>0.79369699999999999</v>
      </c>
      <c r="I18" s="38">
        <v>0.78588599999999997</v>
      </c>
      <c r="J18" s="38">
        <v>0.77768499999999996</v>
      </c>
      <c r="K18" s="38">
        <v>0.76940299999999995</v>
      </c>
      <c r="L18" s="38">
        <v>0.76065300000000002</v>
      </c>
      <c r="M18" s="38">
        <v>0.75171500000000002</v>
      </c>
      <c r="N18" s="38">
        <v>0.74350400000000005</v>
      </c>
      <c r="O18" s="38">
        <v>0.73511700000000002</v>
      </c>
      <c r="P18" s="38">
        <v>0.72702699999999998</v>
      </c>
      <c r="Q18" s="38">
        <v>0.71952799999999995</v>
      </c>
      <c r="R18" s="38">
        <v>0.71253</v>
      </c>
      <c r="S18" s="38">
        <v>0.70577900000000005</v>
      </c>
      <c r="T18" s="38">
        <v>0.69939799999999996</v>
      </c>
      <c r="U18" s="38">
        <v>0.69341699999999995</v>
      </c>
      <c r="V18" s="38">
        <v>0.68764800000000004</v>
      </c>
      <c r="W18" s="38">
        <v>0.68206800000000001</v>
      </c>
      <c r="X18" s="38">
        <v>0.67666800000000005</v>
      </c>
      <c r="Y18" s="38">
        <v>0.67168000000000005</v>
      </c>
      <c r="Z18" s="38">
        <v>0.66684900000000003</v>
      </c>
      <c r="AA18" s="38">
        <v>0.66188999999999998</v>
      </c>
      <c r="AB18" s="38">
        <v>0.65713699999999997</v>
      </c>
      <c r="AC18" s="38">
        <v>0.652582</v>
      </c>
      <c r="AD18" s="38">
        <v>0.64817000000000002</v>
      </c>
      <c r="AE18" s="38">
        <v>0.643988</v>
      </c>
      <c r="AF18" s="35">
        <v>-1.2795000000000001E-2</v>
      </c>
      <c r="AG18" s="29"/>
    </row>
    <row r="19" spans="1:33" ht="15" customHeight="1">
      <c r="A19" s="34" t="s">
        <v>2069</v>
      </c>
      <c r="B19" s="37" t="s">
        <v>2070</v>
      </c>
      <c r="C19" s="38">
        <v>5.1493919999999997</v>
      </c>
      <c r="D19" s="38">
        <v>5.1864509999999999</v>
      </c>
      <c r="E19" s="38">
        <v>4.9444739999999996</v>
      </c>
      <c r="F19" s="38">
        <v>4.9739610000000001</v>
      </c>
      <c r="G19" s="38">
        <v>4.9999250000000002</v>
      </c>
      <c r="H19" s="38">
        <v>5.0162659999999999</v>
      </c>
      <c r="I19" s="38">
        <v>5.0251890000000001</v>
      </c>
      <c r="J19" s="38">
        <v>5.021217</v>
      </c>
      <c r="K19" s="38">
        <v>5.0104759999999997</v>
      </c>
      <c r="L19" s="38">
        <v>4.9947030000000003</v>
      </c>
      <c r="M19" s="38">
        <v>4.9782209999999996</v>
      </c>
      <c r="N19" s="38">
        <v>4.9699590000000002</v>
      </c>
      <c r="O19" s="38">
        <v>4.9584260000000002</v>
      </c>
      <c r="P19" s="38">
        <v>4.9477130000000002</v>
      </c>
      <c r="Q19" s="38">
        <v>4.9395699999999998</v>
      </c>
      <c r="R19" s="38">
        <v>4.9326210000000001</v>
      </c>
      <c r="S19" s="38">
        <v>4.9238910000000002</v>
      </c>
      <c r="T19" s="38">
        <v>4.9177400000000002</v>
      </c>
      <c r="U19" s="38">
        <v>4.9127590000000003</v>
      </c>
      <c r="V19" s="38">
        <v>4.9078949999999999</v>
      </c>
      <c r="W19" s="38">
        <v>4.9040470000000003</v>
      </c>
      <c r="X19" s="38">
        <v>4.9028879999999999</v>
      </c>
      <c r="Y19" s="38">
        <v>4.904204</v>
      </c>
      <c r="Z19" s="38">
        <v>4.9038760000000003</v>
      </c>
      <c r="AA19" s="38">
        <v>4.8964850000000002</v>
      </c>
      <c r="AB19" s="38">
        <v>4.8918569999999999</v>
      </c>
      <c r="AC19" s="38">
        <v>4.8909269999999996</v>
      </c>
      <c r="AD19" s="38">
        <v>4.8908509999999996</v>
      </c>
      <c r="AE19" s="38">
        <v>4.8888410000000002</v>
      </c>
      <c r="AF19" s="35">
        <v>-1.853E-3</v>
      </c>
      <c r="AG19" s="29"/>
    </row>
    <row r="20" spans="1:33" ht="15" customHeight="1">
      <c r="A20" s="34" t="s">
        <v>2071</v>
      </c>
      <c r="B20" s="37" t="s">
        <v>2072</v>
      </c>
      <c r="C20" s="38">
        <v>0.53893199999999997</v>
      </c>
      <c r="D20" s="38">
        <v>0.57440999999999998</v>
      </c>
      <c r="E20" s="38">
        <v>0.51306799999999997</v>
      </c>
      <c r="F20" s="38">
        <v>0.48986400000000002</v>
      </c>
      <c r="G20" s="38">
        <v>0.47216399999999997</v>
      </c>
      <c r="H20" s="38">
        <v>0.45763999999999999</v>
      </c>
      <c r="I20" s="38">
        <v>0.44519999999999998</v>
      </c>
      <c r="J20" s="38">
        <v>0.435137</v>
      </c>
      <c r="K20" s="38">
        <v>0.42601699999999998</v>
      </c>
      <c r="L20" s="38">
        <v>0.41791</v>
      </c>
      <c r="M20" s="38">
        <v>0.409804</v>
      </c>
      <c r="N20" s="38">
        <v>0.40263100000000002</v>
      </c>
      <c r="O20" s="38">
        <v>0.39503899999999997</v>
      </c>
      <c r="P20" s="38">
        <v>0.38751400000000003</v>
      </c>
      <c r="Q20" s="38">
        <v>0.37993500000000002</v>
      </c>
      <c r="R20" s="38">
        <v>0.37285699999999999</v>
      </c>
      <c r="S20" s="38">
        <v>0.36608299999999999</v>
      </c>
      <c r="T20" s="38">
        <v>0.35957499999999998</v>
      </c>
      <c r="U20" s="38">
        <v>0.35324100000000003</v>
      </c>
      <c r="V20" s="38">
        <v>0.34762199999999999</v>
      </c>
      <c r="W20" s="38">
        <v>0.34207100000000001</v>
      </c>
      <c r="X20" s="38">
        <v>0.33705400000000002</v>
      </c>
      <c r="Y20" s="38">
        <v>0.332011</v>
      </c>
      <c r="Z20" s="38">
        <v>0.327538</v>
      </c>
      <c r="AA20" s="38">
        <v>0.32387199999999999</v>
      </c>
      <c r="AB20" s="38">
        <v>0.32008300000000001</v>
      </c>
      <c r="AC20" s="38">
        <v>0.31608900000000001</v>
      </c>
      <c r="AD20" s="38">
        <v>0.31211100000000003</v>
      </c>
      <c r="AE20" s="38">
        <v>0.30802400000000002</v>
      </c>
      <c r="AF20" s="35">
        <v>-1.9781E-2</v>
      </c>
      <c r="AG20" s="29"/>
    </row>
    <row r="21" spans="1:33" ht="15" customHeight="1">
      <c r="A21" s="34" t="s">
        <v>2073</v>
      </c>
      <c r="B21" s="37" t="s">
        <v>2074</v>
      </c>
      <c r="C21" s="38">
        <v>5.1475070000000001</v>
      </c>
      <c r="D21" s="38">
        <v>5.0465470000000003</v>
      </c>
      <c r="E21" s="38">
        <v>5.1137750000000004</v>
      </c>
      <c r="F21" s="38">
        <v>5.1573500000000001</v>
      </c>
      <c r="G21" s="38">
        <v>5.199471</v>
      </c>
      <c r="H21" s="38">
        <v>5.2454710000000002</v>
      </c>
      <c r="I21" s="38">
        <v>5.2835999999999999</v>
      </c>
      <c r="J21" s="38">
        <v>5.3131449999999996</v>
      </c>
      <c r="K21" s="38">
        <v>5.3340480000000001</v>
      </c>
      <c r="L21" s="38">
        <v>5.3517140000000003</v>
      </c>
      <c r="M21" s="38">
        <v>5.370762</v>
      </c>
      <c r="N21" s="38">
        <v>5.3910790000000004</v>
      </c>
      <c r="O21" s="38">
        <v>5.410012</v>
      </c>
      <c r="P21" s="38">
        <v>5.4423029999999999</v>
      </c>
      <c r="Q21" s="38">
        <v>5.480111</v>
      </c>
      <c r="R21" s="38">
        <v>5.5210910000000002</v>
      </c>
      <c r="S21" s="38">
        <v>5.5586989999999998</v>
      </c>
      <c r="T21" s="38">
        <v>5.5969009999999999</v>
      </c>
      <c r="U21" s="38">
        <v>5.6345140000000002</v>
      </c>
      <c r="V21" s="38">
        <v>5.6741359999999998</v>
      </c>
      <c r="W21" s="38">
        <v>5.7181050000000004</v>
      </c>
      <c r="X21" s="38">
        <v>5.7650790000000001</v>
      </c>
      <c r="Y21" s="38">
        <v>5.8151010000000003</v>
      </c>
      <c r="Z21" s="38">
        <v>5.8676279999999998</v>
      </c>
      <c r="AA21" s="38">
        <v>5.9247030000000001</v>
      </c>
      <c r="AB21" s="38">
        <v>5.9857060000000004</v>
      </c>
      <c r="AC21" s="38">
        <v>6.047695</v>
      </c>
      <c r="AD21" s="38">
        <v>6.1117330000000001</v>
      </c>
      <c r="AE21" s="38">
        <v>6.1818410000000004</v>
      </c>
      <c r="AF21" s="35">
        <v>6.561E-3</v>
      </c>
      <c r="AG21" s="29"/>
    </row>
    <row r="22" spans="1:33" ht="15" customHeight="1">
      <c r="A22" s="34" t="s">
        <v>2075</v>
      </c>
      <c r="B22" s="33" t="s">
        <v>2076</v>
      </c>
      <c r="C22" s="39">
        <v>11.759411999999999</v>
      </c>
      <c r="D22" s="39">
        <v>11.714898</v>
      </c>
      <c r="E22" s="39">
        <v>11.389414</v>
      </c>
      <c r="F22" s="39">
        <v>11.43038</v>
      </c>
      <c r="G22" s="39">
        <v>11.472821</v>
      </c>
      <c r="H22" s="39">
        <v>11.513076</v>
      </c>
      <c r="I22" s="39">
        <v>11.539876</v>
      </c>
      <c r="J22" s="39">
        <v>11.547186</v>
      </c>
      <c r="K22" s="39">
        <v>11.539944</v>
      </c>
      <c r="L22" s="39">
        <v>11.524981</v>
      </c>
      <c r="M22" s="39">
        <v>11.510503</v>
      </c>
      <c r="N22" s="39">
        <v>11.507173999999999</v>
      </c>
      <c r="O22" s="39">
        <v>11.498595</v>
      </c>
      <c r="P22" s="39">
        <v>11.504557999999999</v>
      </c>
      <c r="Q22" s="39">
        <v>11.519144000000001</v>
      </c>
      <c r="R22" s="39">
        <v>11.539099999999999</v>
      </c>
      <c r="S22" s="39">
        <v>11.554452</v>
      </c>
      <c r="T22" s="39">
        <v>11.573613999999999</v>
      </c>
      <c r="U22" s="39">
        <v>11.593931</v>
      </c>
      <c r="V22" s="39">
        <v>11.6173</v>
      </c>
      <c r="W22" s="39">
        <v>11.646291</v>
      </c>
      <c r="X22" s="39">
        <v>11.681689</v>
      </c>
      <c r="Y22" s="39">
        <v>11.722996</v>
      </c>
      <c r="Z22" s="39">
        <v>11.765891</v>
      </c>
      <c r="AA22" s="39">
        <v>11.806951</v>
      </c>
      <c r="AB22" s="39">
        <v>11.854780999999999</v>
      </c>
      <c r="AC22" s="39">
        <v>11.907292999999999</v>
      </c>
      <c r="AD22" s="39">
        <v>11.962864</v>
      </c>
      <c r="AE22" s="39">
        <v>12.022694</v>
      </c>
      <c r="AF22" s="31">
        <v>7.9100000000000004E-4</v>
      </c>
      <c r="AG22" s="29"/>
    </row>
    <row r="23" spans="1:33" ht="15" customHeight="1">
      <c r="A23" s="34" t="s">
        <v>2077</v>
      </c>
      <c r="B23" s="37" t="s">
        <v>2078</v>
      </c>
      <c r="C23" s="38">
        <v>9.4318840000000002</v>
      </c>
      <c r="D23" s="38">
        <v>9.0614460000000001</v>
      </c>
      <c r="E23" s="38">
        <v>9.2159829999999996</v>
      </c>
      <c r="F23" s="38">
        <v>9.2775800000000004</v>
      </c>
      <c r="G23" s="38">
        <v>9.2647940000000002</v>
      </c>
      <c r="H23" s="38">
        <v>9.2480410000000006</v>
      </c>
      <c r="I23" s="38">
        <v>9.2045560000000002</v>
      </c>
      <c r="J23" s="38">
        <v>9.1618700000000004</v>
      </c>
      <c r="K23" s="38">
        <v>9.1329999999999991</v>
      </c>
      <c r="L23" s="38">
        <v>9.1532210000000003</v>
      </c>
      <c r="M23" s="38">
        <v>9.2185980000000001</v>
      </c>
      <c r="N23" s="38">
        <v>9.2462999999999997</v>
      </c>
      <c r="O23" s="38">
        <v>9.3134979999999992</v>
      </c>
      <c r="P23" s="38">
        <v>9.3774160000000002</v>
      </c>
      <c r="Q23" s="38">
        <v>9.4475390000000008</v>
      </c>
      <c r="R23" s="38">
        <v>9.487012</v>
      </c>
      <c r="S23" s="38">
        <v>9.4913959999999999</v>
      </c>
      <c r="T23" s="38">
        <v>9.4915699999999994</v>
      </c>
      <c r="U23" s="38">
        <v>9.5147720000000007</v>
      </c>
      <c r="V23" s="38">
        <v>9.5577690000000004</v>
      </c>
      <c r="W23" s="38">
        <v>9.6436150000000005</v>
      </c>
      <c r="X23" s="38">
        <v>9.717905</v>
      </c>
      <c r="Y23" s="38">
        <v>9.8050350000000002</v>
      </c>
      <c r="Z23" s="38">
        <v>9.9067640000000008</v>
      </c>
      <c r="AA23" s="38">
        <v>9.9749020000000002</v>
      </c>
      <c r="AB23" s="38">
        <v>10.062101999999999</v>
      </c>
      <c r="AC23" s="38">
        <v>10.154728</v>
      </c>
      <c r="AD23" s="38">
        <v>10.235389</v>
      </c>
      <c r="AE23" s="38">
        <v>10.336385</v>
      </c>
      <c r="AF23" s="35">
        <v>3.2759999999999998E-3</v>
      </c>
      <c r="AG23" s="29"/>
    </row>
    <row r="24" spans="1:33" ht="15" customHeight="1">
      <c r="A24" s="34" t="s">
        <v>2079</v>
      </c>
      <c r="B24" s="33" t="s">
        <v>2080</v>
      </c>
      <c r="C24" s="39">
        <v>21.191296000000001</v>
      </c>
      <c r="D24" s="39">
        <v>20.776344000000002</v>
      </c>
      <c r="E24" s="39">
        <v>20.605395999999999</v>
      </c>
      <c r="F24" s="39">
        <v>20.70796</v>
      </c>
      <c r="G24" s="39">
        <v>20.737615999999999</v>
      </c>
      <c r="H24" s="39">
        <v>20.761116000000001</v>
      </c>
      <c r="I24" s="39">
        <v>20.744430999999999</v>
      </c>
      <c r="J24" s="39">
        <v>20.709057000000001</v>
      </c>
      <c r="K24" s="39">
        <v>20.672943</v>
      </c>
      <c r="L24" s="39">
        <v>20.678201999999999</v>
      </c>
      <c r="M24" s="39">
        <v>20.729101</v>
      </c>
      <c r="N24" s="39">
        <v>20.753473</v>
      </c>
      <c r="O24" s="39">
        <v>20.812092</v>
      </c>
      <c r="P24" s="39">
        <v>20.881972999999999</v>
      </c>
      <c r="Q24" s="39">
        <v>20.966681999999999</v>
      </c>
      <c r="R24" s="39">
        <v>21.026112000000001</v>
      </c>
      <c r="S24" s="39">
        <v>21.045849</v>
      </c>
      <c r="T24" s="39">
        <v>21.065186000000001</v>
      </c>
      <c r="U24" s="39">
        <v>21.108703999999999</v>
      </c>
      <c r="V24" s="39">
        <v>21.175068</v>
      </c>
      <c r="W24" s="39">
        <v>21.289905999999998</v>
      </c>
      <c r="X24" s="39">
        <v>21.399592999999999</v>
      </c>
      <c r="Y24" s="39">
        <v>21.528030000000001</v>
      </c>
      <c r="Z24" s="39">
        <v>21.672654999999999</v>
      </c>
      <c r="AA24" s="39">
        <v>21.781853000000002</v>
      </c>
      <c r="AB24" s="39">
        <v>21.916882999999999</v>
      </c>
      <c r="AC24" s="39">
        <v>22.062021000000001</v>
      </c>
      <c r="AD24" s="39">
        <v>22.198253999999999</v>
      </c>
      <c r="AE24" s="39">
        <v>22.359076999999999</v>
      </c>
      <c r="AF24" s="31">
        <v>1.918E-3</v>
      </c>
      <c r="AG24" s="29"/>
    </row>
    <row r="25" spans="1:33" ht="15" customHeight="1">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row>
    <row r="26" spans="1:33" ht="15" customHeight="1">
      <c r="B26" s="33" t="s">
        <v>2081</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row>
    <row r="27" spans="1:33" ht="15" customHeight="1">
      <c r="A27" s="34" t="s">
        <v>2082</v>
      </c>
      <c r="B27" s="37" t="s">
        <v>2064</v>
      </c>
      <c r="C27" s="38">
        <v>0.18417</v>
      </c>
      <c r="D27" s="38">
        <v>0.18602299999999999</v>
      </c>
      <c r="E27" s="38">
        <v>0.18863199999999999</v>
      </c>
      <c r="F27" s="38">
        <v>0.191692</v>
      </c>
      <c r="G27" s="38">
        <v>0.19420399999999999</v>
      </c>
      <c r="H27" s="38">
        <v>0.196406</v>
      </c>
      <c r="I27" s="38">
        <v>0.19853999999999999</v>
      </c>
      <c r="J27" s="38">
        <v>0.20072200000000001</v>
      </c>
      <c r="K27" s="38">
        <v>0.202935</v>
      </c>
      <c r="L27" s="38">
        <v>0.205179</v>
      </c>
      <c r="M27" s="38">
        <v>0.20732100000000001</v>
      </c>
      <c r="N27" s="38">
        <v>0.20930499999999999</v>
      </c>
      <c r="O27" s="38">
        <v>0.21121400000000001</v>
      </c>
      <c r="P27" s="38">
        <v>0.213091</v>
      </c>
      <c r="Q27" s="38">
        <v>0.21490200000000001</v>
      </c>
      <c r="R27" s="38">
        <v>0.21660199999999999</v>
      </c>
      <c r="S27" s="38">
        <v>0.21811900000000001</v>
      </c>
      <c r="T27" s="38">
        <v>0.21973400000000001</v>
      </c>
      <c r="U27" s="38">
        <v>0.221137</v>
      </c>
      <c r="V27" s="38">
        <v>0.222524</v>
      </c>
      <c r="W27" s="38">
        <v>0.22395899999999999</v>
      </c>
      <c r="X27" s="38">
        <v>0.22544900000000001</v>
      </c>
      <c r="Y27" s="38">
        <v>0.22698099999999999</v>
      </c>
      <c r="Z27" s="38">
        <v>0.22847799999999999</v>
      </c>
      <c r="AA27" s="38">
        <v>0.22992799999999999</v>
      </c>
      <c r="AB27" s="38">
        <v>0.23150899999999999</v>
      </c>
      <c r="AC27" s="38">
        <v>0.233095</v>
      </c>
      <c r="AD27" s="38">
        <v>0.23477400000000001</v>
      </c>
      <c r="AE27" s="38">
        <v>0.23650399999999999</v>
      </c>
      <c r="AF27" s="35">
        <v>8.9720000000000008E-3</v>
      </c>
      <c r="AG27" s="29"/>
    </row>
    <row r="28" spans="1:33" ht="15" customHeight="1">
      <c r="A28" s="34" t="s">
        <v>2083</v>
      </c>
      <c r="B28" s="37" t="s">
        <v>2084</v>
      </c>
      <c r="C28" s="38">
        <v>0.39596900000000002</v>
      </c>
      <c r="D28" s="38">
        <v>0.39445999999999998</v>
      </c>
      <c r="E28" s="38">
        <v>0.392349</v>
      </c>
      <c r="F28" s="38">
        <v>0.39025199999999999</v>
      </c>
      <c r="G28" s="38">
        <v>0.38748500000000002</v>
      </c>
      <c r="H28" s="38">
        <v>0.38474000000000003</v>
      </c>
      <c r="I28" s="38">
        <v>0.38548199999999999</v>
      </c>
      <c r="J28" s="38">
        <v>0.38607900000000001</v>
      </c>
      <c r="K28" s="38">
        <v>0.386712</v>
      </c>
      <c r="L28" s="38">
        <v>0.38741700000000001</v>
      </c>
      <c r="M28" s="38">
        <v>0.38801600000000003</v>
      </c>
      <c r="N28" s="38">
        <v>0.38861299999999999</v>
      </c>
      <c r="O28" s="38">
        <v>0.389156</v>
      </c>
      <c r="P28" s="38">
        <v>0.389708</v>
      </c>
      <c r="Q28" s="38">
        <v>0.39005899999999999</v>
      </c>
      <c r="R28" s="38">
        <v>0.390538</v>
      </c>
      <c r="S28" s="38">
        <v>0.39096799999999998</v>
      </c>
      <c r="T28" s="38">
        <v>0.391343</v>
      </c>
      <c r="U28" s="38">
        <v>0.39174199999999998</v>
      </c>
      <c r="V28" s="38">
        <v>0.39216099999999998</v>
      </c>
      <c r="W28" s="38">
        <v>0.39252999999999999</v>
      </c>
      <c r="X28" s="38">
        <v>0.39300499999999999</v>
      </c>
      <c r="Y28" s="38">
        <v>0.39331199999999999</v>
      </c>
      <c r="Z28" s="38">
        <v>0.39369100000000001</v>
      </c>
      <c r="AA28" s="38">
        <v>0.393619</v>
      </c>
      <c r="AB28" s="38">
        <v>0.39405200000000001</v>
      </c>
      <c r="AC28" s="38">
        <v>0.39433800000000002</v>
      </c>
      <c r="AD28" s="38">
        <v>0.39477499999999999</v>
      </c>
      <c r="AE28" s="38">
        <v>0.39507900000000001</v>
      </c>
      <c r="AF28" s="35">
        <v>-8.0000000000000007E-5</v>
      </c>
      <c r="AG28" s="29"/>
    </row>
    <row r="29" spans="1:33" ht="15" customHeight="1">
      <c r="A29" s="34" t="s">
        <v>2085</v>
      </c>
      <c r="B29" s="37" t="s">
        <v>2086</v>
      </c>
      <c r="C29" s="38">
        <v>1.325E-3</v>
      </c>
      <c r="D29" s="38">
        <v>1.467E-3</v>
      </c>
      <c r="E29" s="38">
        <v>9.810000000000001E-4</v>
      </c>
      <c r="F29" s="38">
        <v>1.142E-3</v>
      </c>
      <c r="G29" s="38">
        <v>1.17E-3</v>
      </c>
      <c r="H29" s="38">
        <v>1.199E-3</v>
      </c>
      <c r="I29" s="38">
        <v>1.206E-3</v>
      </c>
      <c r="J29" s="38">
        <v>1.1900000000000001E-3</v>
      </c>
      <c r="K29" s="38">
        <v>1.191E-3</v>
      </c>
      <c r="L29" s="38">
        <v>1.1590000000000001E-3</v>
      </c>
      <c r="M29" s="38">
        <v>1.147E-3</v>
      </c>
      <c r="N29" s="38">
        <v>1.1349999999999999E-3</v>
      </c>
      <c r="O29" s="38">
        <v>1.119E-3</v>
      </c>
      <c r="P29" s="38">
        <v>1.103E-3</v>
      </c>
      <c r="Q29" s="38">
        <v>1.091E-3</v>
      </c>
      <c r="R29" s="38">
        <v>1.078E-3</v>
      </c>
      <c r="S29" s="38">
        <v>1.0660000000000001E-3</v>
      </c>
      <c r="T29" s="38">
        <v>1.0560000000000001E-3</v>
      </c>
      <c r="U29" s="38">
        <v>1.044E-3</v>
      </c>
      <c r="V29" s="38">
        <v>1.024E-3</v>
      </c>
      <c r="W29" s="38">
        <v>1.0200000000000001E-3</v>
      </c>
      <c r="X29" s="38">
        <v>1.0039999999999999E-3</v>
      </c>
      <c r="Y29" s="38">
        <v>1.0089999999999999E-3</v>
      </c>
      <c r="Z29" s="38">
        <v>9.9099999999999991E-4</v>
      </c>
      <c r="AA29" s="38">
        <v>9.3400000000000004E-4</v>
      </c>
      <c r="AB29" s="38">
        <v>9.3000000000000005E-4</v>
      </c>
      <c r="AC29" s="38">
        <v>9.2400000000000002E-4</v>
      </c>
      <c r="AD29" s="38">
        <v>9.1399999999999999E-4</v>
      </c>
      <c r="AE29" s="38">
        <v>9.1100000000000003E-4</v>
      </c>
      <c r="AF29" s="35">
        <v>-1.3299E-2</v>
      </c>
      <c r="AG29" s="29"/>
    </row>
    <row r="30" spans="1:33" ht="15" customHeight="1">
      <c r="A30" s="34" t="s">
        <v>2087</v>
      </c>
      <c r="B30" s="37" t="s">
        <v>2088</v>
      </c>
      <c r="C30" s="38">
        <v>0.29769400000000001</v>
      </c>
      <c r="D30" s="38">
        <v>0.292076</v>
      </c>
      <c r="E30" s="38">
        <v>0.27771600000000002</v>
      </c>
      <c r="F30" s="38">
        <v>0.28067399999999998</v>
      </c>
      <c r="G30" s="38">
        <v>0.28298299999999998</v>
      </c>
      <c r="H30" s="38">
        <v>0.28470800000000002</v>
      </c>
      <c r="I30" s="38">
        <v>0.28731099999999998</v>
      </c>
      <c r="J30" s="38">
        <v>0.287663</v>
      </c>
      <c r="K30" s="38">
        <v>0.28661300000000001</v>
      </c>
      <c r="L30" s="38">
        <v>0.28493400000000002</v>
      </c>
      <c r="M30" s="38">
        <v>0.28319</v>
      </c>
      <c r="N30" s="38">
        <v>0.28128999999999998</v>
      </c>
      <c r="O30" s="38">
        <v>0.27938000000000002</v>
      </c>
      <c r="P30" s="38">
        <v>0.27725100000000003</v>
      </c>
      <c r="Q30" s="38">
        <v>0.27511099999999999</v>
      </c>
      <c r="R30" s="38">
        <v>0.272868</v>
      </c>
      <c r="S30" s="38">
        <v>0.27056799999999998</v>
      </c>
      <c r="T30" s="38">
        <v>0.26822299999999999</v>
      </c>
      <c r="U30" s="38">
        <v>0.26585700000000001</v>
      </c>
      <c r="V30" s="38">
        <v>0.26344699999999999</v>
      </c>
      <c r="W30" s="38">
        <v>0.26114999999999999</v>
      </c>
      <c r="X30" s="38">
        <v>0.25877899999999998</v>
      </c>
      <c r="Y30" s="38">
        <v>0.25665500000000002</v>
      </c>
      <c r="Z30" s="38">
        <v>0.25448999999999999</v>
      </c>
      <c r="AA30" s="38">
        <v>0.25175900000000001</v>
      </c>
      <c r="AB30" s="38">
        <v>0.24922900000000001</v>
      </c>
      <c r="AC30" s="38">
        <v>0.24699299999999999</v>
      </c>
      <c r="AD30" s="38">
        <v>0.24487600000000001</v>
      </c>
      <c r="AE30" s="38">
        <v>0.24285599999999999</v>
      </c>
      <c r="AF30" s="35">
        <v>-7.2449999999999997E-3</v>
      </c>
      <c r="AG30" s="29"/>
    </row>
    <row r="31" spans="1:33" ht="12" customHeight="1">
      <c r="A31" s="34" t="s">
        <v>2089</v>
      </c>
      <c r="B31" s="37" t="s">
        <v>2090</v>
      </c>
      <c r="C31" s="38">
        <v>2.065E-3</v>
      </c>
      <c r="D31" s="38">
        <v>3.6930000000000001E-3</v>
      </c>
      <c r="E31" s="38">
        <v>3.0739999999999999E-3</v>
      </c>
      <c r="F31" s="38">
        <v>2.9650000000000002E-3</v>
      </c>
      <c r="G31" s="38">
        <v>2.5639999999999999E-3</v>
      </c>
      <c r="H31" s="38">
        <v>2.2230000000000001E-3</v>
      </c>
      <c r="I31" s="38">
        <v>2.0149999999999999E-3</v>
      </c>
      <c r="J31" s="38">
        <v>2.0409999999999998E-3</v>
      </c>
      <c r="K31" s="38">
        <v>2.0720000000000001E-3</v>
      </c>
      <c r="L31" s="38">
        <v>2.0990000000000002E-3</v>
      </c>
      <c r="M31" s="38">
        <v>2.1280000000000001E-3</v>
      </c>
      <c r="N31" s="38">
        <v>2.153E-3</v>
      </c>
      <c r="O31" s="38">
        <v>2.1740000000000002E-3</v>
      </c>
      <c r="P31" s="38">
        <v>2.1930000000000001E-3</v>
      </c>
      <c r="Q31" s="38">
        <v>2.2100000000000002E-3</v>
      </c>
      <c r="R31" s="38">
        <v>2.2239999999999998E-3</v>
      </c>
      <c r="S31" s="38">
        <v>2.235E-3</v>
      </c>
      <c r="T31" s="38">
        <v>2.2499999999999998E-3</v>
      </c>
      <c r="U31" s="38">
        <v>2.2590000000000002E-3</v>
      </c>
      <c r="V31" s="38">
        <v>2.2629999999999998E-3</v>
      </c>
      <c r="W31" s="38">
        <v>2.2850000000000001E-3</v>
      </c>
      <c r="X31" s="38">
        <v>2.294E-3</v>
      </c>
      <c r="Y31" s="38">
        <v>2.3089999999999999E-3</v>
      </c>
      <c r="Z31" s="38">
        <v>2.3210000000000001E-3</v>
      </c>
      <c r="AA31" s="38">
        <v>2.3189999999999999E-3</v>
      </c>
      <c r="AB31" s="38">
        <v>2.3400000000000001E-3</v>
      </c>
      <c r="AC31" s="38">
        <v>2.3449999999999999E-3</v>
      </c>
      <c r="AD31" s="38">
        <v>2.3549999999999999E-3</v>
      </c>
      <c r="AE31" s="38">
        <v>2.3679999999999999E-3</v>
      </c>
      <c r="AF31" s="35">
        <v>4.8999999999999998E-3</v>
      </c>
      <c r="AG31" s="29"/>
    </row>
    <row r="32" spans="1:33" ht="12" customHeight="1">
      <c r="A32" s="34" t="s">
        <v>2091</v>
      </c>
      <c r="B32" s="37" t="s">
        <v>2068</v>
      </c>
      <c r="C32" s="38">
        <v>0.88122299999999998</v>
      </c>
      <c r="D32" s="38">
        <v>0.87771900000000003</v>
      </c>
      <c r="E32" s="38">
        <v>0.86275199999999996</v>
      </c>
      <c r="F32" s="38">
        <v>0.86672499999999997</v>
      </c>
      <c r="G32" s="38">
        <v>0.86840700000000004</v>
      </c>
      <c r="H32" s="38">
        <v>0.86927699999999997</v>
      </c>
      <c r="I32" s="38">
        <v>0.87455400000000005</v>
      </c>
      <c r="J32" s="38">
        <v>0.87769600000000003</v>
      </c>
      <c r="K32" s="38">
        <v>0.87952200000000003</v>
      </c>
      <c r="L32" s="38">
        <v>0.88078800000000002</v>
      </c>
      <c r="M32" s="38">
        <v>0.88180099999999995</v>
      </c>
      <c r="N32" s="38">
        <v>0.88249599999999995</v>
      </c>
      <c r="O32" s="38">
        <v>0.88304300000000002</v>
      </c>
      <c r="P32" s="38">
        <v>0.88334599999999996</v>
      </c>
      <c r="Q32" s="38">
        <v>0.88337299999999996</v>
      </c>
      <c r="R32" s="38">
        <v>0.88331000000000004</v>
      </c>
      <c r="S32" s="38">
        <v>0.88295699999999999</v>
      </c>
      <c r="T32" s="38">
        <v>0.88260499999999997</v>
      </c>
      <c r="U32" s="38">
        <v>0.88203900000000002</v>
      </c>
      <c r="V32" s="38">
        <v>0.88141700000000001</v>
      </c>
      <c r="W32" s="38">
        <v>0.88094300000000003</v>
      </c>
      <c r="X32" s="38">
        <v>0.88053000000000003</v>
      </c>
      <c r="Y32" s="38">
        <v>0.88026599999999999</v>
      </c>
      <c r="Z32" s="38">
        <v>0.87997099999999995</v>
      </c>
      <c r="AA32" s="38">
        <v>0.87856000000000001</v>
      </c>
      <c r="AB32" s="38">
        <v>0.87805800000000001</v>
      </c>
      <c r="AC32" s="38">
        <v>0.87769600000000003</v>
      </c>
      <c r="AD32" s="38">
        <v>0.87769399999999997</v>
      </c>
      <c r="AE32" s="38">
        <v>0.877718</v>
      </c>
      <c r="AF32" s="35">
        <v>-1.4200000000000001E-4</v>
      </c>
      <c r="AG32" s="29"/>
    </row>
    <row r="33" spans="1:33" ht="12" customHeight="1">
      <c r="A33" s="34" t="s">
        <v>2092</v>
      </c>
      <c r="B33" s="37" t="s">
        <v>2070</v>
      </c>
      <c r="C33" s="38">
        <v>3.602684</v>
      </c>
      <c r="D33" s="38">
        <v>3.610131</v>
      </c>
      <c r="E33" s="38">
        <v>3.5027339999999998</v>
      </c>
      <c r="F33" s="38">
        <v>3.5410949999999999</v>
      </c>
      <c r="G33" s="38">
        <v>3.5789089999999999</v>
      </c>
      <c r="H33" s="38">
        <v>3.5987490000000002</v>
      </c>
      <c r="I33" s="38">
        <v>3.6282909999999999</v>
      </c>
      <c r="J33" s="38">
        <v>3.6445759999999998</v>
      </c>
      <c r="K33" s="38">
        <v>3.6556850000000001</v>
      </c>
      <c r="L33" s="38">
        <v>3.6654399999999998</v>
      </c>
      <c r="M33" s="38">
        <v>3.6726009999999998</v>
      </c>
      <c r="N33" s="38">
        <v>3.6732589999999998</v>
      </c>
      <c r="O33" s="38">
        <v>3.6711459999999998</v>
      </c>
      <c r="P33" s="38">
        <v>3.667367</v>
      </c>
      <c r="Q33" s="38">
        <v>3.6648679999999998</v>
      </c>
      <c r="R33" s="38">
        <v>3.6607940000000001</v>
      </c>
      <c r="S33" s="38">
        <v>3.6515330000000001</v>
      </c>
      <c r="T33" s="38">
        <v>3.644504</v>
      </c>
      <c r="U33" s="38">
        <v>3.6357249999999999</v>
      </c>
      <c r="V33" s="38">
        <v>3.626458</v>
      </c>
      <c r="W33" s="38">
        <v>3.6187040000000001</v>
      </c>
      <c r="X33" s="38">
        <v>3.6147429999999998</v>
      </c>
      <c r="Y33" s="38">
        <v>3.6141260000000002</v>
      </c>
      <c r="Z33" s="38">
        <v>3.6097969999999999</v>
      </c>
      <c r="AA33" s="38">
        <v>3.5982889999999998</v>
      </c>
      <c r="AB33" s="38">
        <v>3.5909900000000001</v>
      </c>
      <c r="AC33" s="38">
        <v>3.588797</v>
      </c>
      <c r="AD33" s="38">
        <v>3.5870440000000001</v>
      </c>
      <c r="AE33" s="38">
        <v>3.5822229999999999</v>
      </c>
      <c r="AF33" s="35">
        <v>-2.03E-4</v>
      </c>
      <c r="AG33" s="29"/>
    </row>
    <row r="34" spans="1:33" ht="12" customHeight="1">
      <c r="A34" s="34" t="s">
        <v>2093</v>
      </c>
      <c r="B34" s="37" t="s">
        <v>2094</v>
      </c>
      <c r="C34" s="38">
        <v>1.5702000000000001E-2</v>
      </c>
      <c r="D34" s="38">
        <v>1.9207999999999999E-2</v>
      </c>
      <c r="E34" s="38">
        <v>1.9094E-2</v>
      </c>
      <c r="F34" s="38">
        <v>1.8315999999999999E-2</v>
      </c>
      <c r="G34" s="38">
        <v>1.8041999999999999E-2</v>
      </c>
      <c r="H34" s="38">
        <v>1.8336999999999999E-2</v>
      </c>
      <c r="I34" s="38">
        <v>1.8714000000000001E-2</v>
      </c>
      <c r="J34" s="38">
        <v>1.8981999999999999E-2</v>
      </c>
      <c r="K34" s="38">
        <v>2.0091999999999999E-2</v>
      </c>
      <c r="L34" s="38">
        <v>1.9321999999999999E-2</v>
      </c>
      <c r="M34" s="38">
        <v>1.9576E-2</v>
      </c>
      <c r="N34" s="38">
        <v>1.9640000000000001E-2</v>
      </c>
      <c r="O34" s="38">
        <v>1.9606999999999999E-2</v>
      </c>
      <c r="P34" s="38">
        <v>1.9595000000000001E-2</v>
      </c>
      <c r="Q34" s="38">
        <v>1.9439999999999999E-2</v>
      </c>
      <c r="R34" s="38">
        <v>1.9E-2</v>
      </c>
      <c r="S34" s="38">
        <v>1.8727000000000001E-2</v>
      </c>
      <c r="T34" s="38">
        <v>1.8585999999999998E-2</v>
      </c>
      <c r="U34" s="38">
        <v>1.8516000000000001E-2</v>
      </c>
      <c r="V34" s="38">
        <v>1.8429999999999998E-2</v>
      </c>
      <c r="W34" s="38">
        <v>1.8342000000000001E-2</v>
      </c>
      <c r="X34" s="38">
        <v>1.8221000000000001E-2</v>
      </c>
      <c r="Y34" s="38">
        <v>1.8114999999999999E-2</v>
      </c>
      <c r="Z34" s="38">
        <v>1.8010999999999999E-2</v>
      </c>
      <c r="AA34" s="38">
        <v>1.7923000000000001E-2</v>
      </c>
      <c r="AB34" s="38">
        <v>1.7819999999999999E-2</v>
      </c>
      <c r="AC34" s="38">
        <v>1.7704999999999999E-2</v>
      </c>
      <c r="AD34" s="38">
        <v>1.7649999999999999E-2</v>
      </c>
      <c r="AE34" s="38">
        <v>1.7652000000000001E-2</v>
      </c>
      <c r="AF34" s="35">
        <v>4.1900000000000001E-3</v>
      </c>
      <c r="AG34" s="29"/>
    </row>
    <row r="35" spans="1:33" ht="12" customHeight="1">
      <c r="A35" s="34" t="s">
        <v>2095</v>
      </c>
      <c r="B35" s="37" t="s">
        <v>2096</v>
      </c>
      <c r="C35" s="38">
        <v>0.120805</v>
      </c>
      <c r="D35" s="38">
        <v>0.120805</v>
      </c>
      <c r="E35" s="38">
        <v>0.120805</v>
      </c>
      <c r="F35" s="38">
        <v>0.120805</v>
      </c>
      <c r="G35" s="38">
        <v>0.120805</v>
      </c>
      <c r="H35" s="38">
        <v>0.120805</v>
      </c>
      <c r="I35" s="38">
        <v>0.120805</v>
      </c>
      <c r="J35" s="38">
        <v>0.120805</v>
      </c>
      <c r="K35" s="38">
        <v>0.120805</v>
      </c>
      <c r="L35" s="38">
        <v>0.120805</v>
      </c>
      <c r="M35" s="38">
        <v>0.120805</v>
      </c>
      <c r="N35" s="38">
        <v>0.120805</v>
      </c>
      <c r="O35" s="38">
        <v>0.120805</v>
      </c>
      <c r="P35" s="38">
        <v>0.120805</v>
      </c>
      <c r="Q35" s="38">
        <v>0.120805</v>
      </c>
      <c r="R35" s="38">
        <v>0.120805</v>
      </c>
      <c r="S35" s="38">
        <v>0.120805</v>
      </c>
      <c r="T35" s="38">
        <v>0.120805</v>
      </c>
      <c r="U35" s="38">
        <v>0.120805</v>
      </c>
      <c r="V35" s="38">
        <v>0.120805</v>
      </c>
      <c r="W35" s="38">
        <v>0.120805</v>
      </c>
      <c r="X35" s="38">
        <v>0.120805</v>
      </c>
      <c r="Y35" s="38">
        <v>0.120805</v>
      </c>
      <c r="Z35" s="38">
        <v>0.120805</v>
      </c>
      <c r="AA35" s="38">
        <v>0.120805</v>
      </c>
      <c r="AB35" s="38">
        <v>0.120805</v>
      </c>
      <c r="AC35" s="38">
        <v>0.120805</v>
      </c>
      <c r="AD35" s="38">
        <v>0.120805</v>
      </c>
      <c r="AE35" s="38">
        <v>0.120805</v>
      </c>
      <c r="AF35" s="35">
        <v>0</v>
      </c>
      <c r="AG35" s="29"/>
    </row>
    <row r="36" spans="1:33" ht="12" customHeight="1">
      <c r="A36" s="34" t="s">
        <v>2097</v>
      </c>
      <c r="B36" s="37" t="s">
        <v>2074</v>
      </c>
      <c r="C36" s="38">
        <v>4.5945159999999996</v>
      </c>
      <c r="D36" s="38">
        <v>4.5189029999999999</v>
      </c>
      <c r="E36" s="38">
        <v>4.5454340000000002</v>
      </c>
      <c r="F36" s="38">
        <v>4.5357770000000004</v>
      </c>
      <c r="G36" s="38">
        <v>4.5412850000000002</v>
      </c>
      <c r="H36" s="38">
        <v>4.5410360000000001</v>
      </c>
      <c r="I36" s="38">
        <v>4.5667999999999997</v>
      </c>
      <c r="J36" s="38">
        <v>4.5905269999999998</v>
      </c>
      <c r="K36" s="38">
        <v>4.6117980000000003</v>
      </c>
      <c r="L36" s="38">
        <v>4.6365270000000001</v>
      </c>
      <c r="M36" s="38">
        <v>4.6628579999999999</v>
      </c>
      <c r="N36" s="38">
        <v>4.6800059999999997</v>
      </c>
      <c r="O36" s="38">
        <v>4.6936140000000002</v>
      </c>
      <c r="P36" s="38">
        <v>4.7130299999999998</v>
      </c>
      <c r="Q36" s="38">
        <v>4.7273149999999999</v>
      </c>
      <c r="R36" s="38">
        <v>4.7434750000000001</v>
      </c>
      <c r="S36" s="38">
        <v>4.7545330000000003</v>
      </c>
      <c r="T36" s="38">
        <v>4.7640880000000001</v>
      </c>
      <c r="U36" s="38">
        <v>4.77827</v>
      </c>
      <c r="V36" s="38">
        <v>4.796735</v>
      </c>
      <c r="W36" s="38">
        <v>4.8181409999999998</v>
      </c>
      <c r="X36" s="38">
        <v>4.8428240000000002</v>
      </c>
      <c r="Y36" s="38">
        <v>4.8693020000000002</v>
      </c>
      <c r="Z36" s="38">
        <v>4.8985760000000003</v>
      </c>
      <c r="AA36" s="38">
        <v>4.9279440000000001</v>
      </c>
      <c r="AB36" s="38">
        <v>4.9659589999999998</v>
      </c>
      <c r="AC36" s="38">
        <v>5.0038489999999998</v>
      </c>
      <c r="AD36" s="38">
        <v>5.045757</v>
      </c>
      <c r="AE36" s="38">
        <v>5.0911910000000002</v>
      </c>
      <c r="AF36" s="35">
        <v>3.673E-3</v>
      </c>
      <c r="AG36" s="29"/>
    </row>
    <row r="37" spans="1:33" ht="12" customHeight="1">
      <c r="A37" s="34" t="s">
        <v>2098</v>
      </c>
      <c r="B37" s="33" t="s">
        <v>2076</v>
      </c>
      <c r="C37" s="39">
        <v>9.214931</v>
      </c>
      <c r="D37" s="39">
        <v>9.1467639999999992</v>
      </c>
      <c r="E37" s="39">
        <v>9.0508199999999999</v>
      </c>
      <c r="F37" s="39">
        <v>9.0827179999999998</v>
      </c>
      <c r="G37" s="39">
        <v>9.1274470000000001</v>
      </c>
      <c r="H37" s="39">
        <v>9.1482039999999998</v>
      </c>
      <c r="I37" s="39">
        <v>9.2091639999999995</v>
      </c>
      <c r="J37" s="39">
        <v>9.2525849999999998</v>
      </c>
      <c r="K37" s="39">
        <v>9.2879020000000008</v>
      </c>
      <c r="L37" s="39">
        <v>9.3228819999999999</v>
      </c>
      <c r="M37" s="39">
        <v>9.3576409999999992</v>
      </c>
      <c r="N37" s="39">
        <v>9.3762050000000006</v>
      </c>
      <c r="O37" s="39">
        <v>9.3882150000000006</v>
      </c>
      <c r="P37" s="39">
        <v>9.4041420000000002</v>
      </c>
      <c r="Q37" s="39">
        <v>9.4158000000000008</v>
      </c>
      <c r="R37" s="39">
        <v>9.427384</v>
      </c>
      <c r="S37" s="39">
        <v>9.4285560000000004</v>
      </c>
      <c r="T37" s="39">
        <v>9.4305880000000002</v>
      </c>
      <c r="U37" s="39">
        <v>9.4353560000000005</v>
      </c>
      <c r="V37" s="39">
        <v>9.4438440000000003</v>
      </c>
      <c r="W37" s="39">
        <v>9.4569349999999996</v>
      </c>
      <c r="X37" s="39">
        <v>9.4771230000000006</v>
      </c>
      <c r="Y37" s="39">
        <v>9.5026139999999995</v>
      </c>
      <c r="Z37" s="39">
        <v>9.5271600000000003</v>
      </c>
      <c r="AA37" s="39">
        <v>9.5435219999999994</v>
      </c>
      <c r="AB37" s="39">
        <v>9.5736340000000002</v>
      </c>
      <c r="AC37" s="39">
        <v>9.6088500000000003</v>
      </c>
      <c r="AD37" s="39">
        <v>9.6489499999999992</v>
      </c>
      <c r="AE37" s="39">
        <v>9.6895889999999998</v>
      </c>
      <c r="AF37" s="31">
        <v>1.7949999999999999E-3</v>
      </c>
      <c r="AG37" s="29"/>
    </row>
    <row r="38" spans="1:33" ht="12" customHeight="1">
      <c r="A38" s="34" t="s">
        <v>2099</v>
      </c>
      <c r="B38" s="37" t="s">
        <v>2078</v>
      </c>
      <c r="C38" s="38">
        <v>8.418628</v>
      </c>
      <c r="D38" s="38">
        <v>8.1140220000000003</v>
      </c>
      <c r="E38" s="38">
        <v>8.1917259999999992</v>
      </c>
      <c r="F38" s="38">
        <v>8.1594289999999994</v>
      </c>
      <c r="G38" s="38">
        <v>8.0919919999999994</v>
      </c>
      <c r="H38" s="38">
        <v>8.0060850000000006</v>
      </c>
      <c r="I38" s="38">
        <v>7.955819</v>
      </c>
      <c r="J38" s="38">
        <v>7.9158020000000002</v>
      </c>
      <c r="K38" s="38">
        <v>7.8963580000000002</v>
      </c>
      <c r="L38" s="38">
        <v>7.9300129999999998</v>
      </c>
      <c r="M38" s="38">
        <v>8.0035220000000002</v>
      </c>
      <c r="N38" s="38">
        <v>8.0267309999999998</v>
      </c>
      <c r="O38" s="38">
        <v>8.0801970000000001</v>
      </c>
      <c r="P38" s="38">
        <v>8.1208340000000003</v>
      </c>
      <c r="Q38" s="38">
        <v>8.1497419999999998</v>
      </c>
      <c r="R38" s="38">
        <v>8.1508179999999992</v>
      </c>
      <c r="S38" s="38">
        <v>8.1182960000000008</v>
      </c>
      <c r="T38" s="38">
        <v>8.0792339999999996</v>
      </c>
      <c r="U38" s="38">
        <v>8.0688680000000002</v>
      </c>
      <c r="V38" s="38">
        <v>8.0798349999999992</v>
      </c>
      <c r="W38" s="38">
        <v>8.1258210000000002</v>
      </c>
      <c r="X38" s="38">
        <v>8.1633040000000001</v>
      </c>
      <c r="Y38" s="38">
        <v>8.2102930000000001</v>
      </c>
      <c r="Z38" s="38">
        <v>8.2706389999999992</v>
      </c>
      <c r="AA38" s="38">
        <v>8.2967460000000006</v>
      </c>
      <c r="AB38" s="38">
        <v>8.3478860000000008</v>
      </c>
      <c r="AC38" s="38">
        <v>8.401999</v>
      </c>
      <c r="AD38" s="38">
        <v>8.4501869999999997</v>
      </c>
      <c r="AE38" s="38">
        <v>8.5127570000000006</v>
      </c>
      <c r="AF38" s="35">
        <v>3.97E-4</v>
      </c>
      <c r="AG38" s="29"/>
    </row>
    <row r="39" spans="1:33" ht="12" customHeight="1">
      <c r="A39" s="34" t="s">
        <v>2100</v>
      </c>
      <c r="B39" s="33" t="s">
        <v>2080</v>
      </c>
      <c r="C39" s="39">
        <v>17.633558000000001</v>
      </c>
      <c r="D39" s="39">
        <v>17.260786</v>
      </c>
      <c r="E39" s="39">
        <v>17.242546000000001</v>
      </c>
      <c r="F39" s="39">
        <v>17.242146000000002</v>
      </c>
      <c r="G39" s="39">
        <v>17.219439999999999</v>
      </c>
      <c r="H39" s="39">
        <v>17.154288999999999</v>
      </c>
      <c r="I39" s="39">
        <v>17.164981999999998</v>
      </c>
      <c r="J39" s="39">
        <v>17.168388</v>
      </c>
      <c r="K39" s="39">
        <v>17.184260999999999</v>
      </c>
      <c r="L39" s="39">
        <v>17.252894999999999</v>
      </c>
      <c r="M39" s="39">
        <v>17.361163999999999</v>
      </c>
      <c r="N39" s="39">
        <v>17.402934999999999</v>
      </c>
      <c r="O39" s="39">
        <v>17.468412000000001</v>
      </c>
      <c r="P39" s="39">
        <v>17.524977</v>
      </c>
      <c r="Q39" s="39">
        <v>17.565542000000001</v>
      </c>
      <c r="R39" s="39">
        <v>17.578201</v>
      </c>
      <c r="S39" s="39">
        <v>17.546852000000001</v>
      </c>
      <c r="T39" s="39">
        <v>17.509823000000001</v>
      </c>
      <c r="U39" s="39">
        <v>17.504223</v>
      </c>
      <c r="V39" s="39">
        <v>17.523678</v>
      </c>
      <c r="W39" s="39">
        <v>17.582756</v>
      </c>
      <c r="X39" s="39">
        <v>17.640426999999999</v>
      </c>
      <c r="Y39" s="39">
        <v>17.712906</v>
      </c>
      <c r="Z39" s="39">
        <v>17.797798</v>
      </c>
      <c r="AA39" s="39">
        <v>17.840267000000001</v>
      </c>
      <c r="AB39" s="39">
        <v>17.921520000000001</v>
      </c>
      <c r="AC39" s="39">
        <v>18.010849</v>
      </c>
      <c r="AD39" s="39">
        <v>18.099136000000001</v>
      </c>
      <c r="AE39" s="39">
        <v>18.202347</v>
      </c>
      <c r="AF39" s="31">
        <v>1.134E-3</v>
      </c>
      <c r="AG39" s="29"/>
    </row>
    <row r="40" spans="1:33" ht="12" customHeight="1">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row>
    <row r="41" spans="1:33" ht="12" customHeight="1">
      <c r="B41" s="33" t="s">
        <v>2101</v>
      </c>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row>
    <row r="42" spans="1:33" ht="12" customHeight="1">
      <c r="A42" s="34" t="s">
        <v>2102</v>
      </c>
      <c r="B42" s="37" t="s">
        <v>2103</v>
      </c>
      <c r="C42" s="38">
        <v>3.7640660000000001</v>
      </c>
      <c r="D42" s="38">
        <v>3.8774359999999999</v>
      </c>
      <c r="E42" s="38">
        <v>3.8122020000000001</v>
      </c>
      <c r="F42" s="38">
        <v>3.8999269999999999</v>
      </c>
      <c r="G42" s="38">
        <v>4.0103020000000003</v>
      </c>
      <c r="H42" s="38">
        <v>4.0910460000000004</v>
      </c>
      <c r="I42" s="38">
        <v>4.1493570000000002</v>
      </c>
      <c r="J42" s="38">
        <v>4.1851479999999999</v>
      </c>
      <c r="K42" s="38">
        <v>4.2145169999999998</v>
      </c>
      <c r="L42" s="38">
        <v>4.2588860000000004</v>
      </c>
      <c r="M42" s="38">
        <v>4.313447</v>
      </c>
      <c r="N42" s="38">
        <v>4.3578830000000002</v>
      </c>
      <c r="O42" s="38">
        <v>4.4107849999999997</v>
      </c>
      <c r="P42" s="38">
        <v>4.4538880000000001</v>
      </c>
      <c r="Q42" s="38">
        <v>4.4881679999999999</v>
      </c>
      <c r="R42" s="38">
        <v>4.5289739999999998</v>
      </c>
      <c r="S42" s="38">
        <v>4.5556179999999999</v>
      </c>
      <c r="T42" s="38">
        <v>4.6019889999999997</v>
      </c>
      <c r="U42" s="38">
        <v>4.659065</v>
      </c>
      <c r="V42" s="38">
        <v>4.7057950000000002</v>
      </c>
      <c r="W42" s="38">
        <v>4.7464120000000003</v>
      </c>
      <c r="X42" s="38">
        <v>4.7937580000000004</v>
      </c>
      <c r="Y42" s="38">
        <v>4.8290420000000003</v>
      </c>
      <c r="Z42" s="38">
        <v>4.8597450000000002</v>
      </c>
      <c r="AA42" s="38">
        <v>4.9079249999999996</v>
      </c>
      <c r="AB42" s="38">
        <v>4.968235</v>
      </c>
      <c r="AC42" s="38">
        <v>4.9968909999999997</v>
      </c>
      <c r="AD42" s="38">
        <v>5.0403700000000002</v>
      </c>
      <c r="AE42" s="38">
        <v>5.1258660000000003</v>
      </c>
      <c r="AF42" s="35">
        <v>1.1089999999999999E-2</v>
      </c>
      <c r="AG42" s="29"/>
    </row>
    <row r="43" spans="1:33" ht="12" customHeight="1">
      <c r="A43" s="34" t="s">
        <v>2104</v>
      </c>
      <c r="B43" s="37" t="s">
        <v>2084</v>
      </c>
      <c r="C43" s="38">
        <v>0.29296100000000003</v>
      </c>
      <c r="D43" s="38">
        <v>0.29184599999999999</v>
      </c>
      <c r="E43" s="38">
        <v>0.28855799999999998</v>
      </c>
      <c r="F43" s="38">
        <v>0.28835699999999997</v>
      </c>
      <c r="G43" s="38">
        <v>0.287908</v>
      </c>
      <c r="H43" s="38">
        <v>0.28598200000000001</v>
      </c>
      <c r="I43" s="38">
        <v>0.28506799999999999</v>
      </c>
      <c r="J43" s="38">
        <v>0.28583199999999997</v>
      </c>
      <c r="K43" s="38">
        <v>0.28615400000000002</v>
      </c>
      <c r="L43" s="38">
        <v>0.28532600000000002</v>
      </c>
      <c r="M43" s="38">
        <v>0.285028</v>
      </c>
      <c r="N43" s="38">
        <v>0.28497</v>
      </c>
      <c r="O43" s="38">
        <v>0.28505000000000003</v>
      </c>
      <c r="P43" s="38">
        <v>0.28587800000000002</v>
      </c>
      <c r="Q43" s="38">
        <v>0.28722999999999999</v>
      </c>
      <c r="R43" s="38">
        <v>0.28936200000000001</v>
      </c>
      <c r="S43" s="38">
        <v>0.29157899999999998</v>
      </c>
      <c r="T43" s="38">
        <v>0.29358600000000001</v>
      </c>
      <c r="U43" s="38">
        <v>0.29565000000000002</v>
      </c>
      <c r="V43" s="38">
        <v>0.29796899999999998</v>
      </c>
      <c r="W43" s="38">
        <v>0.30004500000000001</v>
      </c>
      <c r="X43" s="38">
        <v>0.30201099999999997</v>
      </c>
      <c r="Y43" s="38">
        <v>0.303898</v>
      </c>
      <c r="Z43" s="38">
        <v>0.30581000000000003</v>
      </c>
      <c r="AA43" s="38">
        <v>0.30781599999999998</v>
      </c>
      <c r="AB43" s="38">
        <v>0.309581</v>
      </c>
      <c r="AC43" s="38">
        <v>0.31126999999999999</v>
      </c>
      <c r="AD43" s="38">
        <v>0.31289800000000001</v>
      </c>
      <c r="AE43" s="38">
        <v>0.31510700000000003</v>
      </c>
      <c r="AF43" s="35">
        <v>2.6059999999999998E-3</v>
      </c>
      <c r="AG43" s="29"/>
    </row>
    <row r="44" spans="1:33" ht="12" customHeight="1">
      <c r="A44" s="34" t="s">
        <v>2105</v>
      </c>
      <c r="B44" s="37" t="s">
        <v>2088</v>
      </c>
      <c r="C44" s="38">
        <v>1.1103190000000001</v>
      </c>
      <c r="D44" s="38">
        <v>1.10399</v>
      </c>
      <c r="E44" s="38">
        <v>1.083148</v>
      </c>
      <c r="F44" s="38">
        <v>1.075752</v>
      </c>
      <c r="G44" s="38">
        <v>1.068146</v>
      </c>
      <c r="H44" s="38">
        <v>1.057798</v>
      </c>
      <c r="I44" s="38">
        <v>1.0522450000000001</v>
      </c>
      <c r="J44" s="38">
        <v>1.0513589999999999</v>
      </c>
      <c r="K44" s="38">
        <v>1.049995</v>
      </c>
      <c r="L44" s="38">
        <v>1.0457890000000001</v>
      </c>
      <c r="M44" s="38">
        <v>1.0438179999999999</v>
      </c>
      <c r="N44" s="38">
        <v>1.0417130000000001</v>
      </c>
      <c r="O44" s="38">
        <v>1.039992</v>
      </c>
      <c r="P44" s="38">
        <v>1.0409189999999999</v>
      </c>
      <c r="Q44" s="38">
        <v>1.0431490000000001</v>
      </c>
      <c r="R44" s="38">
        <v>1.0479529999999999</v>
      </c>
      <c r="S44" s="38">
        <v>1.0532490000000001</v>
      </c>
      <c r="T44" s="38">
        <v>1.0580130000000001</v>
      </c>
      <c r="U44" s="38">
        <v>1.0631699999999999</v>
      </c>
      <c r="V44" s="38">
        <v>1.069069</v>
      </c>
      <c r="W44" s="38">
        <v>1.0743050000000001</v>
      </c>
      <c r="X44" s="38">
        <v>1.079013</v>
      </c>
      <c r="Y44" s="38">
        <v>1.083534</v>
      </c>
      <c r="Z44" s="38">
        <v>1.0882309999999999</v>
      </c>
      <c r="AA44" s="38">
        <v>1.0929549999999999</v>
      </c>
      <c r="AB44" s="38">
        <v>1.096991</v>
      </c>
      <c r="AC44" s="38">
        <v>1.1004389999999999</v>
      </c>
      <c r="AD44" s="38">
        <v>1.103701</v>
      </c>
      <c r="AE44" s="38">
        <v>1.109048</v>
      </c>
      <c r="AF44" s="35">
        <v>-4.1E-5</v>
      </c>
      <c r="AG44" s="29"/>
    </row>
    <row r="45" spans="1:33" ht="12" customHeight="1">
      <c r="A45" s="34" t="s">
        <v>2106</v>
      </c>
      <c r="B45" s="37" t="s">
        <v>2090</v>
      </c>
      <c r="C45" s="38">
        <v>5.4612000000000001E-2</v>
      </c>
      <c r="D45" s="38">
        <v>6.0594000000000002E-2</v>
      </c>
      <c r="E45" s="38">
        <v>4.2014000000000003E-2</v>
      </c>
      <c r="F45" s="38">
        <v>3.6399000000000001E-2</v>
      </c>
      <c r="G45" s="38">
        <v>3.3191999999999999E-2</v>
      </c>
      <c r="H45" s="38">
        <v>3.0807999999999999E-2</v>
      </c>
      <c r="I45" s="38">
        <v>2.9021999999999999E-2</v>
      </c>
      <c r="J45" s="38">
        <v>2.8118000000000001E-2</v>
      </c>
      <c r="K45" s="38">
        <v>2.7484000000000001E-2</v>
      </c>
      <c r="L45" s="38">
        <v>2.7149E-2</v>
      </c>
      <c r="M45" s="38">
        <v>2.7168999999999999E-2</v>
      </c>
      <c r="N45" s="38">
        <v>2.7543000000000002E-2</v>
      </c>
      <c r="O45" s="38">
        <v>2.8034E-2</v>
      </c>
      <c r="P45" s="38">
        <v>2.8743000000000001E-2</v>
      </c>
      <c r="Q45" s="38">
        <v>2.9177999999999999E-2</v>
      </c>
      <c r="R45" s="38">
        <v>2.9798000000000002E-2</v>
      </c>
      <c r="S45" s="38">
        <v>3.0748999999999999E-2</v>
      </c>
      <c r="T45" s="38">
        <v>3.0870000000000002E-2</v>
      </c>
      <c r="U45" s="38">
        <v>3.1850999999999997E-2</v>
      </c>
      <c r="V45" s="38">
        <v>3.2607999999999998E-2</v>
      </c>
      <c r="W45" s="38">
        <v>3.3100999999999998E-2</v>
      </c>
      <c r="X45" s="38">
        <v>3.3167000000000002E-2</v>
      </c>
      <c r="Y45" s="38">
        <v>3.3339000000000001E-2</v>
      </c>
      <c r="Z45" s="38">
        <v>3.3570999999999997E-2</v>
      </c>
      <c r="AA45" s="38">
        <v>3.3549000000000002E-2</v>
      </c>
      <c r="AB45" s="38">
        <v>3.3748E-2</v>
      </c>
      <c r="AC45" s="38">
        <v>3.3671E-2</v>
      </c>
      <c r="AD45" s="38">
        <v>3.3585999999999998E-2</v>
      </c>
      <c r="AE45" s="38">
        <v>3.3841000000000003E-2</v>
      </c>
      <c r="AF45" s="35">
        <v>-1.6945999999999999E-2</v>
      </c>
      <c r="AG45" s="29"/>
    </row>
    <row r="46" spans="1:33" ht="12" customHeight="1">
      <c r="A46" s="34" t="s">
        <v>2107</v>
      </c>
      <c r="B46" s="37" t="s">
        <v>2108</v>
      </c>
      <c r="C46" s="38">
        <v>0.52429800000000004</v>
      </c>
      <c r="D46" s="38">
        <v>0.59491700000000003</v>
      </c>
      <c r="E46" s="38">
        <v>0.55000000000000004</v>
      </c>
      <c r="F46" s="38">
        <v>0.55000000000000004</v>
      </c>
      <c r="G46" s="38">
        <v>0.55000000000000004</v>
      </c>
      <c r="H46" s="38">
        <v>0.55000000000000004</v>
      </c>
      <c r="I46" s="38">
        <v>0.55000000000000004</v>
      </c>
      <c r="J46" s="38">
        <v>0.55000000000000004</v>
      </c>
      <c r="K46" s="38">
        <v>0.55000000000000004</v>
      </c>
      <c r="L46" s="38">
        <v>0.55000000000000004</v>
      </c>
      <c r="M46" s="38">
        <v>0.55000000000000004</v>
      </c>
      <c r="N46" s="38">
        <v>0.55000000000000004</v>
      </c>
      <c r="O46" s="38">
        <v>0.55000000000000004</v>
      </c>
      <c r="P46" s="38">
        <v>0.55000000000000004</v>
      </c>
      <c r="Q46" s="38">
        <v>0.55000000000000004</v>
      </c>
      <c r="R46" s="38">
        <v>0.55000000000000004</v>
      </c>
      <c r="S46" s="38">
        <v>0.55000000000000004</v>
      </c>
      <c r="T46" s="38">
        <v>0.55000000000000004</v>
      </c>
      <c r="U46" s="38">
        <v>0.55000000000000004</v>
      </c>
      <c r="V46" s="38">
        <v>0.55000000000000004</v>
      </c>
      <c r="W46" s="38">
        <v>0.55000000000000004</v>
      </c>
      <c r="X46" s="38">
        <v>0.55000000000000004</v>
      </c>
      <c r="Y46" s="38">
        <v>0.55000000000000004</v>
      </c>
      <c r="Z46" s="38">
        <v>0.55000000000000004</v>
      </c>
      <c r="AA46" s="38">
        <v>0.55000000000000004</v>
      </c>
      <c r="AB46" s="38">
        <v>0.55000000000000004</v>
      </c>
      <c r="AC46" s="38">
        <v>0.55000000000000004</v>
      </c>
      <c r="AD46" s="38">
        <v>0.55000000000000004</v>
      </c>
      <c r="AE46" s="38">
        <v>0.55000000000000004</v>
      </c>
      <c r="AF46" s="35">
        <v>1.7110000000000001E-3</v>
      </c>
      <c r="AG46" s="29"/>
    </row>
    <row r="47" spans="1:33" ht="12" customHeight="1">
      <c r="A47" s="34" t="s">
        <v>2109</v>
      </c>
      <c r="B47" s="37" t="s">
        <v>2110</v>
      </c>
      <c r="C47" s="38">
        <v>3.2173419999999999</v>
      </c>
      <c r="D47" s="38">
        <v>3.0394709999999998</v>
      </c>
      <c r="E47" s="38">
        <v>2.9684550000000001</v>
      </c>
      <c r="F47" s="38">
        <v>3.0472199999999998</v>
      </c>
      <c r="G47" s="38">
        <v>3.0512160000000002</v>
      </c>
      <c r="H47" s="38">
        <v>3.060635</v>
      </c>
      <c r="I47" s="38">
        <v>3.0901169999999998</v>
      </c>
      <c r="J47" s="38">
        <v>3.1222449999999999</v>
      </c>
      <c r="K47" s="38">
        <v>3.1534140000000002</v>
      </c>
      <c r="L47" s="38">
        <v>3.1778599999999999</v>
      </c>
      <c r="M47" s="38">
        <v>3.2078190000000002</v>
      </c>
      <c r="N47" s="38">
        <v>3.2244899999999999</v>
      </c>
      <c r="O47" s="38">
        <v>3.2669440000000001</v>
      </c>
      <c r="P47" s="38">
        <v>3.2877190000000001</v>
      </c>
      <c r="Q47" s="38">
        <v>3.2947229999999998</v>
      </c>
      <c r="R47" s="38">
        <v>3.3158379999999998</v>
      </c>
      <c r="S47" s="38">
        <v>3.3381449999999999</v>
      </c>
      <c r="T47" s="38">
        <v>3.3573390000000001</v>
      </c>
      <c r="U47" s="38">
        <v>3.3865989999999999</v>
      </c>
      <c r="V47" s="38">
        <v>3.4124469999999998</v>
      </c>
      <c r="W47" s="38">
        <v>3.4319109999999999</v>
      </c>
      <c r="X47" s="38">
        <v>3.4347970000000001</v>
      </c>
      <c r="Y47" s="38">
        <v>3.4521359999999999</v>
      </c>
      <c r="Z47" s="38">
        <v>3.4761419999999998</v>
      </c>
      <c r="AA47" s="38">
        <v>3.4836670000000001</v>
      </c>
      <c r="AB47" s="38">
        <v>3.49743</v>
      </c>
      <c r="AC47" s="38">
        <v>3.503711</v>
      </c>
      <c r="AD47" s="38">
        <v>3.5113530000000002</v>
      </c>
      <c r="AE47" s="38">
        <v>3.5157600000000002</v>
      </c>
      <c r="AF47" s="35">
        <v>3.173E-3</v>
      </c>
      <c r="AG47" s="29"/>
    </row>
    <row r="48" spans="1:33" ht="12" customHeight="1">
      <c r="A48" s="34" t="s">
        <v>2111</v>
      </c>
      <c r="B48" s="37" t="s">
        <v>2068</v>
      </c>
      <c r="C48" s="38">
        <v>8.9635999999999996</v>
      </c>
      <c r="D48" s="38">
        <v>8.9682519999999997</v>
      </c>
      <c r="E48" s="38">
        <v>8.7443760000000008</v>
      </c>
      <c r="F48" s="38">
        <v>8.8976550000000003</v>
      </c>
      <c r="G48" s="38">
        <v>9.0007640000000002</v>
      </c>
      <c r="H48" s="38">
        <v>9.0762699999999992</v>
      </c>
      <c r="I48" s="38">
        <v>9.1558089999999996</v>
      </c>
      <c r="J48" s="38">
        <v>9.222702</v>
      </c>
      <c r="K48" s="38">
        <v>9.2815630000000002</v>
      </c>
      <c r="L48" s="38">
        <v>9.3450109999999995</v>
      </c>
      <c r="M48" s="38">
        <v>9.4272810000000007</v>
      </c>
      <c r="N48" s="38">
        <v>9.486599</v>
      </c>
      <c r="O48" s="38">
        <v>9.5808049999999998</v>
      </c>
      <c r="P48" s="38">
        <v>9.6471470000000004</v>
      </c>
      <c r="Q48" s="38">
        <v>9.6924480000000006</v>
      </c>
      <c r="R48" s="38">
        <v>9.7619240000000005</v>
      </c>
      <c r="S48" s="38">
        <v>9.8193420000000007</v>
      </c>
      <c r="T48" s="38">
        <v>9.8917970000000004</v>
      </c>
      <c r="U48" s="38">
        <v>9.9863370000000007</v>
      </c>
      <c r="V48" s="38">
        <v>10.067888999999999</v>
      </c>
      <c r="W48" s="38">
        <v>10.135775000000001</v>
      </c>
      <c r="X48" s="38">
        <v>10.192746</v>
      </c>
      <c r="Y48" s="38">
        <v>10.251948000000001</v>
      </c>
      <c r="Z48" s="38">
        <v>10.313499</v>
      </c>
      <c r="AA48" s="38">
        <v>10.375913000000001</v>
      </c>
      <c r="AB48" s="38">
        <v>10.455987</v>
      </c>
      <c r="AC48" s="38">
        <v>10.495983000000001</v>
      </c>
      <c r="AD48" s="38">
        <v>10.551907</v>
      </c>
      <c r="AE48" s="38">
        <v>10.649623999999999</v>
      </c>
      <c r="AF48" s="35">
        <v>6.1739999999999998E-3</v>
      </c>
      <c r="AG48" s="29"/>
    </row>
    <row r="49" spans="1:33" ht="12" customHeight="1">
      <c r="A49" s="34" t="s">
        <v>2112</v>
      </c>
      <c r="B49" s="37" t="s">
        <v>2070</v>
      </c>
      <c r="C49" s="38">
        <v>8.8267939999999996</v>
      </c>
      <c r="D49" s="38">
        <v>8.528905</v>
      </c>
      <c r="E49" s="38">
        <v>8.4413289999999996</v>
      </c>
      <c r="F49" s="38">
        <v>8.584308</v>
      </c>
      <c r="G49" s="38">
        <v>8.8035119999999996</v>
      </c>
      <c r="H49" s="38">
        <v>8.9457810000000002</v>
      </c>
      <c r="I49" s="38">
        <v>9.0548160000000006</v>
      </c>
      <c r="J49" s="38">
        <v>9.1097929999999998</v>
      </c>
      <c r="K49" s="38">
        <v>9.1463509999999992</v>
      </c>
      <c r="L49" s="38">
        <v>9.1587080000000007</v>
      </c>
      <c r="M49" s="38">
        <v>9.1974119999999999</v>
      </c>
      <c r="N49" s="38">
        <v>9.2200509999999998</v>
      </c>
      <c r="O49" s="38">
        <v>9.2741539999999993</v>
      </c>
      <c r="P49" s="38">
        <v>9.3225719999999992</v>
      </c>
      <c r="Q49" s="38">
        <v>9.3845410000000005</v>
      </c>
      <c r="R49" s="38">
        <v>9.4420819999999992</v>
      </c>
      <c r="S49" s="38">
        <v>9.4969669999999997</v>
      </c>
      <c r="T49" s="38">
        <v>9.5730179999999994</v>
      </c>
      <c r="U49" s="38">
        <v>9.6328029999999991</v>
      </c>
      <c r="V49" s="38">
        <v>9.7080199999999994</v>
      </c>
      <c r="W49" s="38">
        <v>9.7764150000000001</v>
      </c>
      <c r="X49" s="38">
        <v>9.8481159999999992</v>
      </c>
      <c r="Y49" s="38">
        <v>9.9085610000000006</v>
      </c>
      <c r="Z49" s="38">
        <v>9.9629089999999998</v>
      </c>
      <c r="AA49" s="38">
        <v>9.965109</v>
      </c>
      <c r="AB49" s="38">
        <v>10.05059</v>
      </c>
      <c r="AC49" s="38">
        <v>10.137729999999999</v>
      </c>
      <c r="AD49" s="38">
        <v>10.221228</v>
      </c>
      <c r="AE49" s="38">
        <v>10.338547</v>
      </c>
      <c r="AF49" s="35">
        <v>5.6620000000000004E-3</v>
      </c>
      <c r="AG49" s="29"/>
    </row>
    <row r="50" spans="1:33" ht="15" customHeight="1">
      <c r="A50" s="34" t="s">
        <v>2113</v>
      </c>
      <c r="B50" s="37" t="s">
        <v>2114</v>
      </c>
      <c r="C50" s="38">
        <v>0</v>
      </c>
      <c r="D50" s="38">
        <v>0</v>
      </c>
      <c r="E50" s="38">
        <v>0</v>
      </c>
      <c r="F50" s="38">
        <v>0</v>
      </c>
      <c r="G50" s="38">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5" t="s">
        <v>1278</v>
      </c>
      <c r="AG50" s="29"/>
    </row>
    <row r="51" spans="1:33" ht="15" customHeight="1">
      <c r="A51" s="34" t="s">
        <v>2115</v>
      </c>
      <c r="B51" s="37" t="s">
        <v>2116</v>
      </c>
      <c r="C51" s="38">
        <v>2.058109</v>
      </c>
      <c r="D51" s="38">
        <v>2.092768</v>
      </c>
      <c r="E51" s="38">
        <v>2.0814270000000001</v>
      </c>
      <c r="F51" s="38">
        <v>2.0905629999999999</v>
      </c>
      <c r="G51" s="38">
        <v>2.1201449999999999</v>
      </c>
      <c r="H51" s="38">
        <v>2.120571</v>
      </c>
      <c r="I51" s="38">
        <v>2.1526890000000001</v>
      </c>
      <c r="J51" s="38">
        <v>2.1577320000000002</v>
      </c>
      <c r="K51" s="38">
        <v>2.1695030000000002</v>
      </c>
      <c r="L51" s="38">
        <v>2.1815989999999998</v>
      </c>
      <c r="M51" s="38">
        <v>2.2111010000000002</v>
      </c>
      <c r="N51" s="38">
        <v>2.2290570000000001</v>
      </c>
      <c r="O51" s="38">
        <v>2.2467280000000001</v>
      </c>
      <c r="P51" s="38">
        <v>2.2575560000000001</v>
      </c>
      <c r="Q51" s="38">
        <v>2.2863720000000001</v>
      </c>
      <c r="R51" s="38">
        <v>2.3044690000000001</v>
      </c>
      <c r="S51" s="38">
        <v>2.314082</v>
      </c>
      <c r="T51" s="38">
        <v>2.3346290000000001</v>
      </c>
      <c r="U51" s="38">
        <v>2.333602</v>
      </c>
      <c r="V51" s="38">
        <v>2.335842</v>
      </c>
      <c r="W51" s="38">
        <v>2.3531970000000002</v>
      </c>
      <c r="X51" s="38">
        <v>2.370949</v>
      </c>
      <c r="Y51" s="38">
        <v>2.3963049999999999</v>
      </c>
      <c r="Z51" s="38">
        <v>2.4046780000000001</v>
      </c>
      <c r="AA51" s="38">
        <v>2.4146890000000001</v>
      </c>
      <c r="AB51" s="38">
        <v>2.416207</v>
      </c>
      <c r="AC51" s="38">
        <v>2.4452199999999999</v>
      </c>
      <c r="AD51" s="38">
        <v>2.4601860000000002</v>
      </c>
      <c r="AE51" s="38">
        <v>2.4687199999999998</v>
      </c>
      <c r="AF51" s="35">
        <v>6.5180000000000004E-3</v>
      </c>
      <c r="AG51" s="29"/>
    </row>
    <row r="52" spans="1:33" ht="15" customHeight="1">
      <c r="A52" s="34" t="s">
        <v>2117</v>
      </c>
      <c r="B52" s="37" t="s">
        <v>2118</v>
      </c>
      <c r="C52" s="38">
        <v>10.884903</v>
      </c>
      <c r="D52" s="38">
        <v>10.621674000000001</v>
      </c>
      <c r="E52" s="38">
        <v>10.522755999999999</v>
      </c>
      <c r="F52" s="38">
        <v>10.67487</v>
      </c>
      <c r="G52" s="38">
        <v>10.923655999999999</v>
      </c>
      <c r="H52" s="38">
        <v>11.066350999999999</v>
      </c>
      <c r="I52" s="38">
        <v>11.207504999999999</v>
      </c>
      <c r="J52" s="38">
        <v>11.267524999999999</v>
      </c>
      <c r="K52" s="38">
        <v>11.315854</v>
      </c>
      <c r="L52" s="38">
        <v>11.340306999999999</v>
      </c>
      <c r="M52" s="38">
        <v>11.408512</v>
      </c>
      <c r="N52" s="38">
        <v>11.449107</v>
      </c>
      <c r="O52" s="38">
        <v>11.520882</v>
      </c>
      <c r="P52" s="38">
        <v>11.580128</v>
      </c>
      <c r="Q52" s="38">
        <v>11.670913000000001</v>
      </c>
      <c r="R52" s="38">
        <v>11.746551999999999</v>
      </c>
      <c r="S52" s="38">
        <v>11.811049000000001</v>
      </c>
      <c r="T52" s="38">
        <v>11.907646</v>
      </c>
      <c r="U52" s="38">
        <v>11.966405999999999</v>
      </c>
      <c r="V52" s="38">
        <v>12.043862000000001</v>
      </c>
      <c r="W52" s="38">
        <v>12.129612</v>
      </c>
      <c r="X52" s="38">
        <v>12.219065000000001</v>
      </c>
      <c r="Y52" s="38">
        <v>12.304866000000001</v>
      </c>
      <c r="Z52" s="38">
        <v>12.367585999999999</v>
      </c>
      <c r="AA52" s="38">
        <v>12.379797999999999</v>
      </c>
      <c r="AB52" s="38">
        <v>12.466796</v>
      </c>
      <c r="AC52" s="38">
        <v>12.58295</v>
      </c>
      <c r="AD52" s="38">
        <v>12.681414</v>
      </c>
      <c r="AE52" s="38">
        <v>12.807267</v>
      </c>
      <c r="AF52" s="35">
        <v>5.8250000000000003E-3</v>
      </c>
      <c r="AG52" s="29"/>
    </row>
    <row r="53" spans="1:33" ht="15" customHeight="1">
      <c r="A53" s="34" t="s">
        <v>2119</v>
      </c>
      <c r="B53" s="37" t="s">
        <v>2120</v>
      </c>
      <c r="C53" s="38">
        <v>0.45510800000000001</v>
      </c>
      <c r="D53" s="38">
        <v>0.46039799999999997</v>
      </c>
      <c r="E53" s="38">
        <v>0.45217499999999999</v>
      </c>
      <c r="F53" s="38">
        <v>0.44982299999999997</v>
      </c>
      <c r="G53" s="38">
        <v>0.45370199999999999</v>
      </c>
      <c r="H53" s="38">
        <v>0.45578000000000002</v>
      </c>
      <c r="I53" s="38">
        <v>0.45573000000000002</v>
      </c>
      <c r="J53" s="38">
        <v>0.45571200000000001</v>
      </c>
      <c r="K53" s="38">
        <v>0.451486</v>
      </c>
      <c r="L53" s="38">
        <v>0.4481</v>
      </c>
      <c r="M53" s="38">
        <v>0.44935999999999998</v>
      </c>
      <c r="N53" s="38">
        <v>0.44553500000000001</v>
      </c>
      <c r="O53" s="38">
        <v>0.44220500000000001</v>
      </c>
      <c r="P53" s="38">
        <v>0.43980599999999997</v>
      </c>
      <c r="Q53" s="38">
        <v>0.43729699999999999</v>
      </c>
      <c r="R53" s="38">
        <v>0.43605300000000002</v>
      </c>
      <c r="S53" s="38">
        <v>0.43048399999999998</v>
      </c>
      <c r="T53" s="38">
        <v>0.422705</v>
      </c>
      <c r="U53" s="38">
        <v>0.41761799999999999</v>
      </c>
      <c r="V53" s="38">
        <v>0.41546</v>
      </c>
      <c r="W53" s="38">
        <v>0.41492899999999999</v>
      </c>
      <c r="X53" s="38">
        <v>0.41280699999999998</v>
      </c>
      <c r="Y53" s="38">
        <v>0.409607</v>
      </c>
      <c r="Z53" s="38">
        <v>0.405553</v>
      </c>
      <c r="AA53" s="38">
        <v>0.40243699999999999</v>
      </c>
      <c r="AB53" s="38">
        <v>0.39993200000000001</v>
      </c>
      <c r="AC53" s="38">
        <v>0.395372</v>
      </c>
      <c r="AD53" s="38">
        <v>0.39264300000000002</v>
      </c>
      <c r="AE53" s="38">
        <v>0.39289600000000002</v>
      </c>
      <c r="AF53" s="35">
        <v>-5.2360000000000002E-3</v>
      </c>
      <c r="AG53" s="29"/>
    </row>
    <row r="54" spans="1:33" ht="15" customHeight="1">
      <c r="A54" s="34" t="s">
        <v>2121</v>
      </c>
      <c r="B54" s="37" t="s">
        <v>2122</v>
      </c>
      <c r="C54" s="38">
        <v>0.46647699999999997</v>
      </c>
      <c r="D54" s="38">
        <v>0.415327</v>
      </c>
      <c r="E54" s="38">
        <v>0.38265199999999999</v>
      </c>
      <c r="F54" s="38">
        <v>0.37940099999999999</v>
      </c>
      <c r="G54" s="38">
        <v>0.379158</v>
      </c>
      <c r="H54" s="38">
        <v>0.37786999999999998</v>
      </c>
      <c r="I54" s="38">
        <v>0.37490600000000002</v>
      </c>
      <c r="J54" s="38">
        <v>0.36729699999999998</v>
      </c>
      <c r="K54" s="38">
        <v>0.359207</v>
      </c>
      <c r="L54" s="38">
        <v>0.35152499999999998</v>
      </c>
      <c r="M54" s="38">
        <v>0.34389399999999998</v>
      </c>
      <c r="N54" s="38">
        <v>0.33547500000000002</v>
      </c>
      <c r="O54" s="38">
        <v>0.32717000000000002</v>
      </c>
      <c r="P54" s="38">
        <v>0.31922200000000001</v>
      </c>
      <c r="Q54" s="38">
        <v>0.31045400000000001</v>
      </c>
      <c r="R54" s="38">
        <v>0.30202299999999999</v>
      </c>
      <c r="S54" s="38">
        <v>0.294159</v>
      </c>
      <c r="T54" s="38">
        <v>0.28762399999999999</v>
      </c>
      <c r="U54" s="38">
        <v>0.282974</v>
      </c>
      <c r="V54" s="38">
        <v>0.27833999999999998</v>
      </c>
      <c r="W54" s="38">
        <v>0.27310499999999999</v>
      </c>
      <c r="X54" s="38">
        <v>0.267202</v>
      </c>
      <c r="Y54" s="38">
        <v>0.26116</v>
      </c>
      <c r="Z54" s="38">
        <v>0.256131</v>
      </c>
      <c r="AA54" s="38">
        <v>0.25772400000000001</v>
      </c>
      <c r="AB54" s="38">
        <v>0.26064599999999999</v>
      </c>
      <c r="AC54" s="38">
        <v>0.26731300000000002</v>
      </c>
      <c r="AD54" s="38">
        <v>0.26623999999999998</v>
      </c>
      <c r="AE54" s="38">
        <v>0.26201099999999999</v>
      </c>
      <c r="AF54" s="35">
        <v>-2.0389999999999998E-2</v>
      </c>
      <c r="AG54" s="29"/>
    </row>
    <row r="55" spans="1:33" ht="15" customHeight="1">
      <c r="A55" s="34" t="s">
        <v>2123</v>
      </c>
      <c r="B55" s="37" t="s">
        <v>2124</v>
      </c>
      <c r="C55" s="38">
        <v>0</v>
      </c>
      <c r="D55" s="38">
        <v>0</v>
      </c>
      <c r="E55" s="38">
        <v>0</v>
      </c>
      <c r="F55" s="38">
        <v>0</v>
      </c>
      <c r="G55" s="38">
        <v>0</v>
      </c>
      <c r="H55" s="38">
        <v>0</v>
      </c>
      <c r="I55" s="38">
        <v>0</v>
      </c>
      <c r="J55" s="38">
        <v>0</v>
      </c>
      <c r="K55" s="38">
        <v>0</v>
      </c>
      <c r="L55" s="38">
        <v>0</v>
      </c>
      <c r="M55" s="38">
        <v>0</v>
      </c>
      <c r="N55" s="38">
        <v>0</v>
      </c>
      <c r="O55" s="38">
        <v>0</v>
      </c>
      <c r="P55" s="38">
        <v>0</v>
      </c>
      <c r="Q55" s="38">
        <v>0</v>
      </c>
      <c r="R55" s="38">
        <v>0</v>
      </c>
      <c r="S55" s="38">
        <v>0</v>
      </c>
      <c r="T55" s="38">
        <v>0</v>
      </c>
      <c r="U55" s="38">
        <v>0</v>
      </c>
      <c r="V55" s="38">
        <v>0</v>
      </c>
      <c r="W55" s="38">
        <v>0</v>
      </c>
      <c r="X55" s="38">
        <v>0</v>
      </c>
      <c r="Y55" s="38">
        <v>0</v>
      </c>
      <c r="Z55" s="38">
        <v>0</v>
      </c>
      <c r="AA55" s="38">
        <v>0</v>
      </c>
      <c r="AB55" s="38">
        <v>0</v>
      </c>
      <c r="AC55" s="38">
        <v>0</v>
      </c>
      <c r="AD55" s="38">
        <v>0</v>
      </c>
      <c r="AE55" s="38">
        <v>0</v>
      </c>
      <c r="AF55" s="35" t="s">
        <v>1278</v>
      </c>
      <c r="AG55" s="29"/>
    </row>
    <row r="56" spans="1:33" ht="15" customHeight="1">
      <c r="A56" s="34" t="s">
        <v>2125</v>
      </c>
      <c r="B56" s="37" t="s">
        <v>2126</v>
      </c>
      <c r="C56" s="38">
        <v>-6.5519999999999995E-2</v>
      </c>
      <c r="D56" s="38">
        <v>-5.2675E-2</v>
      </c>
      <c r="E56" s="38">
        <v>-2.8473999999999999E-2</v>
      </c>
      <c r="F56" s="38">
        <v>-2.8059000000000001E-2</v>
      </c>
      <c r="G56" s="38">
        <v>-2.7151999999999999E-2</v>
      </c>
      <c r="H56" s="38">
        <v>-2.6974000000000001E-2</v>
      </c>
      <c r="I56" s="38">
        <v>-2.6755000000000001E-2</v>
      </c>
      <c r="J56" s="38">
        <v>-2.6592999999999999E-2</v>
      </c>
      <c r="K56" s="38">
        <v>-2.6707000000000002E-2</v>
      </c>
      <c r="L56" s="38">
        <v>-2.6644999999999999E-2</v>
      </c>
      <c r="M56" s="38">
        <v>-2.6433000000000002E-2</v>
      </c>
      <c r="N56" s="38">
        <v>-2.6505999999999998E-2</v>
      </c>
      <c r="O56" s="38">
        <v>-2.6363999999999999E-2</v>
      </c>
      <c r="P56" s="38">
        <v>-2.6169000000000001E-2</v>
      </c>
      <c r="Q56" s="38">
        <v>-2.6079000000000001E-2</v>
      </c>
      <c r="R56" s="38">
        <v>-2.5746999999999999E-2</v>
      </c>
      <c r="S56" s="38">
        <v>-2.5531999999999999E-2</v>
      </c>
      <c r="T56" s="38">
        <v>-2.5347999999999999E-2</v>
      </c>
      <c r="U56" s="38">
        <v>-2.5149999999999999E-2</v>
      </c>
      <c r="V56" s="38">
        <v>-2.4885999999999998E-2</v>
      </c>
      <c r="W56" s="38">
        <v>-2.4641E-2</v>
      </c>
      <c r="X56" s="38">
        <v>-2.4509E-2</v>
      </c>
      <c r="Y56" s="38">
        <v>-2.4396999999999999E-2</v>
      </c>
      <c r="Z56" s="38">
        <v>-2.4327999999999999E-2</v>
      </c>
      <c r="AA56" s="38">
        <v>-2.4147999999999999E-2</v>
      </c>
      <c r="AB56" s="38">
        <v>-2.3947E-2</v>
      </c>
      <c r="AC56" s="38">
        <v>-2.3865999999999998E-2</v>
      </c>
      <c r="AD56" s="38">
        <v>-2.3709999999999998E-2</v>
      </c>
      <c r="AE56" s="38">
        <v>-2.3342999999999999E-2</v>
      </c>
      <c r="AF56" s="35">
        <v>-3.6187999999999998E-2</v>
      </c>
      <c r="AG56" s="29"/>
    </row>
    <row r="57" spans="1:33" ht="15" customHeight="1">
      <c r="A57" s="34" t="s">
        <v>2127</v>
      </c>
      <c r="B57" s="37" t="s">
        <v>2128</v>
      </c>
      <c r="C57" s="38">
        <v>0.85606499999999996</v>
      </c>
      <c r="D57" s="38">
        <v>0.82304999999999995</v>
      </c>
      <c r="E57" s="38">
        <v>0.80635299999999999</v>
      </c>
      <c r="F57" s="38">
        <v>0.80116500000000002</v>
      </c>
      <c r="G57" s="38">
        <v>0.80570699999999995</v>
      </c>
      <c r="H57" s="38">
        <v>0.80667699999999998</v>
      </c>
      <c r="I57" s="38">
        <v>0.80388099999999996</v>
      </c>
      <c r="J57" s="38">
        <v>0.79641499999999998</v>
      </c>
      <c r="K57" s="38">
        <v>0.78398599999999996</v>
      </c>
      <c r="L57" s="38">
        <v>0.77298100000000003</v>
      </c>
      <c r="M57" s="38">
        <v>0.76682099999999997</v>
      </c>
      <c r="N57" s="38">
        <v>0.75450499999999998</v>
      </c>
      <c r="O57" s="38">
        <v>0.74301099999999998</v>
      </c>
      <c r="P57" s="38">
        <v>0.73285900000000004</v>
      </c>
      <c r="Q57" s="38">
        <v>0.72167199999999998</v>
      </c>
      <c r="R57" s="38">
        <v>0.71233000000000002</v>
      </c>
      <c r="S57" s="38">
        <v>0.69911100000000004</v>
      </c>
      <c r="T57" s="38">
        <v>0.68498199999999998</v>
      </c>
      <c r="U57" s="38">
        <v>0.67544199999999999</v>
      </c>
      <c r="V57" s="38">
        <v>0.66891299999999998</v>
      </c>
      <c r="W57" s="38">
        <v>0.66339300000000001</v>
      </c>
      <c r="X57" s="38">
        <v>0.65549999999999997</v>
      </c>
      <c r="Y57" s="38">
        <v>0.64637</v>
      </c>
      <c r="Z57" s="38">
        <v>0.63735600000000003</v>
      </c>
      <c r="AA57" s="38">
        <v>0.63601300000000005</v>
      </c>
      <c r="AB57" s="38">
        <v>0.63663099999999995</v>
      </c>
      <c r="AC57" s="38">
        <v>0.63882000000000005</v>
      </c>
      <c r="AD57" s="38">
        <v>0.63517299999999999</v>
      </c>
      <c r="AE57" s="38">
        <v>0.63156400000000001</v>
      </c>
      <c r="AF57" s="35">
        <v>-1.0803999999999999E-2</v>
      </c>
      <c r="AG57" s="29"/>
    </row>
    <row r="58" spans="1:33" ht="15" customHeight="1">
      <c r="A58" s="34" t="s">
        <v>2129</v>
      </c>
      <c r="B58" s="37" t="s">
        <v>2130</v>
      </c>
      <c r="C58" s="38">
        <v>0.918076</v>
      </c>
      <c r="D58" s="38">
        <v>0.98457799999999995</v>
      </c>
      <c r="E58" s="38">
        <v>0.91028900000000001</v>
      </c>
      <c r="F58" s="38">
        <v>0.90657900000000002</v>
      </c>
      <c r="G58" s="38">
        <v>0.90483100000000005</v>
      </c>
      <c r="H58" s="38">
        <v>0.90374500000000002</v>
      </c>
      <c r="I58" s="38">
        <v>0.90679799999999999</v>
      </c>
      <c r="J58" s="38">
        <v>0.90332000000000001</v>
      </c>
      <c r="K58" s="38">
        <v>0.89893800000000001</v>
      </c>
      <c r="L58" s="38">
        <v>0.89509300000000003</v>
      </c>
      <c r="M58" s="38">
        <v>0.89138700000000004</v>
      </c>
      <c r="N58" s="38">
        <v>0.89019999999999999</v>
      </c>
      <c r="O58" s="38">
        <v>0.89020600000000005</v>
      </c>
      <c r="P58" s="38">
        <v>0.89728600000000003</v>
      </c>
      <c r="Q58" s="38">
        <v>0.89668300000000001</v>
      </c>
      <c r="R58" s="38">
        <v>0.89757100000000001</v>
      </c>
      <c r="S58" s="38">
        <v>0.89926799999999996</v>
      </c>
      <c r="T58" s="38">
        <v>0.90170099999999997</v>
      </c>
      <c r="U58" s="38">
        <v>0.90580700000000003</v>
      </c>
      <c r="V58" s="38">
        <v>0.91853799999999997</v>
      </c>
      <c r="W58" s="38">
        <v>0.92452100000000004</v>
      </c>
      <c r="X58" s="38">
        <v>0.93119799999999997</v>
      </c>
      <c r="Y58" s="38">
        <v>0.93196400000000001</v>
      </c>
      <c r="Z58" s="38">
        <v>0.93861300000000003</v>
      </c>
      <c r="AA58" s="38">
        <v>0.94881700000000002</v>
      </c>
      <c r="AB58" s="38">
        <v>0.96047800000000005</v>
      </c>
      <c r="AC58" s="38">
        <v>0.98155700000000001</v>
      </c>
      <c r="AD58" s="38">
        <v>0.99059399999999997</v>
      </c>
      <c r="AE58" s="38">
        <v>0.99686799999999998</v>
      </c>
      <c r="AF58" s="35">
        <v>2.9450000000000001E-3</v>
      </c>
      <c r="AG58" s="29"/>
    </row>
    <row r="59" spans="1:33" ht="15" customHeight="1">
      <c r="A59" s="34" t="s">
        <v>2131</v>
      </c>
      <c r="B59" s="37" t="s">
        <v>2132</v>
      </c>
      <c r="C59" s="38">
        <v>1.500772</v>
      </c>
      <c r="D59" s="38">
        <v>1.573715</v>
      </c>
      <c r="E59" s="38">
        <v>1.5441100000000001</v>
      </c>
      <c r="F59" s="38">
        <v>1.5522039999999999</v>
      </c>
      <c r="G59" s="38">
        <v>1.557104</v>
      </c>
      <c r="H59" s="38">
        <v>1.5653379999999999</v>
      </c>
      <c r="I59" s="38">
        <v>1.5778289999999999</v>
      </c>
      <c r="J59" s="38">
        <v>1.588481</v>
      </c>
      <c r="K59" s="38">
        <v>1.595888</v>
      </c>
      <c r="L59" s="38">
        <v>1.605475</v>
      </c>
      <c r="M59" s="38">
        <v>1.61859</v>
      </c>
      <c r="N59" s="38">
        <v>1.6311960000000001</v>
      </c>
      <c r="O59" s="38">
        <v>1.6447590000000001</v>
      </c>
      <c r="P59" s="38">
        <v>1.6559740000000001</v>
      </c>
      <c r="Q59" s="38">
        <v>1.6610100000000001</v>
      </c>
      <c r="R59" s="38">
        <v>1.669924</v>
      </c>
      <c r="S59" s="38">
        <v>1.6773480000000001</v>
      </c>
      <c r="T59" s="38">
        <v>1.687114</v>
      </c>
      <c r="U59" s="38">
        <v>1.6990590000000001</v>
      </c>
      <c r="V59" s="38">
        <v>1.7115830000000001</v>
      </c>
      <c r="W59" s="38">
        <v>1.723722</v>
      </c>
      <c r="X59" s="38">
        <v>1.7336530000000001</v>
      </c>
      <c r="Y59" s="38">
        <v>1.7397769999999999</v>
      </c>
      <c r="Z59" s="38">
        <v>1.7428060000000001</v>
      </c>
      <c r="AA59" s="38">
        <v>1.7491080000000001</v>
      </c>
      <c r="AB59" s="38">
        <v>1.759927</v>
      </c>
      <c r="AC59" s="38">
        <v>1.765495</v>
      </c>
      <c r="AD59" s="38">
        <v>1.7731509999999999</v>
      </c>
      <c r="AE59" s="38">
        <v>1.788621</v>
      </c>
      <c r="AF59" s="35">
        <v>6.2859999999999999E-3</v>
      </c>
      <c r="AG59" s="29"/>
    </row>
    <row r="60" spans="1:33" ht="15" customHeight="1">
      <c r="A60" s="34" t="s">
        <v>2133</v>
      </c>
      <c r="B60" s="37" t="s">
        <v>2074</v>
      </c>
      <c r="C60" s="38">
        <v>3.4591750000000001</v>
      </c>
      <c r="D60" s="38">
        <v>3.4701240000000002</v>
      </c>
      <c r="E60" s="38">
        <v>3.448213</v>
      </c>
      <c r="F60" s="38">
        <v>3.4711820000000002</v>
      </c>
      <c r="G60" s="38">
        <v>3.512197</v>
      </c>
      <c r="H60" s="38">
        <v>3.544972</v>
      </c>
      <c r="I60" s="38">
        <v>3.5714890000000001</v>
      </c>
      <c r="J60" s="38">
        <v>3.5893510000000002</v>
      </c>
      <c r="K60" s="38">
        <v>3.5980349999999999</v>
      </c>
      <c r="L60" s="38">
        <v>3.6055999999999999</v>
      </c>
      <c r="M60" s="38">
        <v>3.6268699999999998</v>
      </c>
      <c r="N60" s="38">
        <v>3.6379640000000002</v>
      </c>
      <c r="O60" s="38">
        <v>3.6591830000000001</v>
      </c>
      <c r="P60" s="38">
        <v>3.6840169999999999</v>
      </c>
      <c r="Q60" s="38">
        <v>3.7007660000000002</v>
      </c>
      <c r="R60" s="38">
        <v>3.7219169999999999</v>
      </c>
      <c r="S60" s="38">
        <v>3.743449</v>
      </c>
      <c r="T60" s="38">
        <v>3.7603650000000002</v>
      </c>
      <c r="U60" s="38">
        <v>3.7831860000000002</v>
      </c>
      <c r="V60" s="38">
        <v>3.8108939999999998</v>
      </c>
      <c r="W60" s="38">
        <v>3.837329</v>
      </c>
      <c r="X60" s="38">
        <v>3.8596170000000001</v>
      </c>
      <c r="Y60" s="38">
        <v>3.8769149999999999</v>
      </c>
      <c r="Z60" s="38">
        <v>3.8955389999999999</v>
      </c>
      <c r="AA60" s="38">
        <v>3.933535</v>
      </c>
      <c r="AB60" s="38">
        <v>3.960731</v>
      </c>
      <c r="AC60" s="38">
        <v>3.9795530000000001</v>
      </c>
      <c r="AD60" s="38">
        <v>3.9996809999999998</v>
      </c>
      <c r="AE60" s="38">
        <v>4.0377619999999999</v>
      </c>
      <c r="AF60" s="35">
        <v>5.5389999999999997E-3</v>
      </c>
      <c r="AG60" s="29"/>
    </row>
    <row r="61" spans="1:33" ht="15" customHeight="1">
      <c r="A61" s="34" t="s">
        <v>2134</v>
      </c>
      <c r="B61" s="33" t="s">
        <v>2076</v>
      </c>
      <c r="C61" s="39">
        <v>26.915113000000002</v>
      </c>
      <c r="D61" s="39">
        <v>26.819358999999999</v>
      </c>
      <c r="E61" s="39">
        <v>26.360104</v>
      </c>
      <c r="F61" s="39">
        <v>26.712440000000001</v>
      </c>
      <c r="G61" s="39">
        <v>27.150521999999999</v>
      </c>
      <c r="H61" s="39">
        <v>27.440525000000001</v>
      </c>
      <c r="I61" s="39">
        <v>27.726922999999999</v>
      </c>
      <c r="J61" s="39">
        <v>27.895363</v>
      </c>
      <c r="K61" s="39">
        <v>28.052230999999999</v>
      </c>
      <c r="L61" s="39">
        <v>28.192837000000001</v>
      </c>
      <c r="M61" s="39">
        <v>28.41947</v>
      </c>
      <c r="N61" s="39">
        <v>28.578731999999999</v>
      </c>
      <c r="O61" s="39">
        <v>28.810009000000001</v>
      </c>
      <c r="P61" s="39">
        <v>28.993773000000001</v>
      </c>
      <c r="Q61" s="39">
        <v>29.157888</v>
      </c>
      <c r="R61" s="39">
        <v>29.340178000000002</v>
      </c>
      <c r="S61" s="39">
        <v>29.487925000000001</v>
      </c>
      <c r="T61" s="39">
        <v>29.671965</v>
      </c>
      <c r="U61" s="39">
        <v>29.855830999999998</v>
      </c>
      <c r="V61" s="39">
        <v>30.060037999999999</v>
      </c>
      <c r="W61" s="39">
        <v>30.25271</v>
      </c>
      <c r="X61" s="39">
        <v>30.430137999999999</v>
      </c>
      <c r="Y61" s="39">
        <v>30.591438</v>
      </c>
      <c r="Z61" s="39">
        <v>30.733761000000001</v>
      </c>
      <c r="AA61" s="39">
        <v>30.861542</v>
      </c>
      <c r="AB61" s="39">
        <v>31.078908999999999</v>
      </c>
      <c r="AC61" s="39">
        <v>31.283953</v>
      </c>
      <c r="AD61" s="39">
        <v>31.470282000000001</v>
      </c>
      <c r="AE61" s="39">
        <v>31.750063000000001</v>
      </c>
      <c r="AF61" s="31">
        <v>5.9179999999999996E-3</v>
      </c>
      <c r="AG61" s="29"/>
    </row>
    <row r="62" spans="1:33" ht="15" customHeight="1">
      <c r="A62" s="34" t="s">
        <v>2135</v>
      </c>
      <c r="B62" s="37" t="s">
        <v>2078</v>
      </c>
      <c r="C62" s="38">
        <v>6.3383190000000003</v>
      </c>
      <c r="D62" s="38">
        <v>6.2308620000000001</v>
      </c>
      <c r="E62" s="38">
        <v>6.2143259999999998</v>
      </c>
      <c r="F62" s="38">
        <v>6.2443249999999999</v>
      </c>
      <c r="G62" s="38">
        <v>6.2582880000000003</v>
      </c>
      <c r="H62" s="38">
        <v>6.2499710000000004</v>
      </c>
      <c r="I62" s="38">
        <v>6.2218879999999999</v>
      </c>
      <c r="J62" s="38">
        <v>6.1893969999999996</v>
      </c>
      <c r="K62" s="38">
        <v>6.1605850000000002</v>
      </c>
      <c r="L62" s="38">
        <v>6.1667820000000004</v>
      </c>
      <c r="M62" s="38">
        <v>6.2253090000000002</v>
      </c>
      <c r="N62" s="38">
        <v>6.2395110000000003</v>
      </c>
      <c r="O62" s="38">
        <v>6.2993940000000004</v>
      </c>
      <c r="P62" s="38">
        <v>6.3477829999999997</v>
      </c>
      <c r="Q62" s="38">
        <v>6.3800039999999996</v>
      </c>
      <c r="R62" s="38">
        <v>6.3954519999999997</v>
      </c>
      <c r="S62" s="38">
        <v>6.3918840000000001</v>
      </c>
      <c r="T62" s="38">
        <v>6.377059</v>
      </c>
      <c r="U62" s="38">
        <v>6.3885120000000004</v>
      </c>
      <c r="V62" s="38">
        <v>6.4192400000000003</v>
      </c>
      <c r="W62" s="38">
        <v>6.4716760000000004</v>
      </c>
      <c r="X62" s="38">
        <v>6.5059630000000004</v>
      </c>
      <c r="Y62" s="38">
        <v>6.5369950000000001</v>
      </c>
      <c r="Z62" s="38">
        <v>6.5771360000000003</v>
      </c>
      <c r="AA62" s="38">
        <v>6.6225480000000001</v>
      </c>
      <c r="AB62" s="38">
        <v>6.658074</v>
      </c>
      <c r="AC62" s="38">
        <v>6.6820950000000003</v>
      </c>
      <c r="AD62" s="38">
        <v>6.6983119999999996</v>
      </c>
      <c r="AE62" s="38">
        <v>6.7513639999999997</v>
      </c>
      <c r="AF62" s="35">
        <v>2.2569999999999999E-3</v>
      </c>
      <c r="AG62" s="29"/>
    </row>
    <row r="63" spans="1:33" ht="15" customHeight="1">
      <c r="A63" s="34" t="s">
        <v>2136</v>
      </c>
      <c r="B63" s="33" t="s">
        <v>2080</v>
      </c>
      <c r="C63" s="39">
        <v>33.253433000000001</v>
      </c>
      <c r="D63" s="39">
        <v>33.050220000000003</v>
      </c>
      <c r="E63" s="39">
        <v>32.574429000000002</v>
      </c>
      <c r="F63" s="39">
        <v>32.956764</v>
      </c>
      <c r="G63" s="39">
        <v>33.408810000000003</v>
      </c>
      <c r="H63" s="39">
        <v>33.690497999999998</v>
      </c>
      <c r="I63" s="39">
        <v>33.948810999999999</v>
      </c>
      <c r="J63" s="39">
        <v>34.084758999999998</v>
      </c>
      <c r="K63" s="39">
        <v>34.212814000000002</v>
      </c>
      <c r="L63" s="39">
        <v>34.359619000000002</v>
      </c>
      <c r="M63" s="39">
        <v>34.644779</v>
      </c>
      <c r="N63" s="39">
        <v>34.818244999999997</v>
      </c>
      <c r="O63" s="39">
        <v>35.109402000000003</v>
      </c>
      <c r="P63" s="39">
        <v>35.341557000000002</v>
      </c>
      <c r="Q63" s="39">
        <v>35.537891000000002</v>
      </c>
      <c r="R63" s="39">
        <v>35.73563</v>
      </c>
      <c r="S63" s="39">
        <v>35.879809999999999</v>
      </c>
      <c r="T63" s="39">
        <v>36.049022999999998</v>
      </c>
      <c r="U63" s="39">
        <v>36.244343000000001</v>
      </c>
      <c r="V63" s="39">
        <v>36.479278999999998</v>
      </c>
      <c r="W63" s="39">
        <v>36.724387999999998</v>
      </c>
      <c r="X63" s="39">
        <v>36.936100000000003</v>
      </c>
      <c r="Y63" s="39">
        <v>37.128433000000001</v>
      </c>
      <c r="Z63" s="39">
        <v>37.310898000000002</v>
      </c>
      <c r="AA63" s="39">
        <v>37.484088999999997</v>
      </c>
      <c r="AB63" s="39">
        <v>37.736984</v>
      </c>
      <c r="AC63" s="39">
        <v>37.966048999999998</v>
      </c>
      <c r="AD63" s="39">
        <v>38.168593999999999</v>
      </c>
      <c r="AE63" s="39">
        <v>38.501427</v>
      </c>
      <c r="AF63" s="31">
        <v>5.2469999999999999E-3</v>
      </c>
      <c r="AG63" s="29"/>
    </row>
    <row r="64" spans="1:33" ht="15" customHeight="1">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row>
    <row r="65" spans="1:33" ht="15" customHeight="1">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row>
    <row r="66" spans="1:33" ht="12" customHeight="1">
      <c r="B66" s="33" t="s">
        <v>2137</v>
      </c>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row>
    <row r="67" spans="1:33" ht="15" customHeight="1">
      <c r="A67" s="34" t="s">
        <v>2138</v>
      </c>
      <c r="B67" s="37" t="s">
        <v>2064</v>
      </c>
      <c r="C67" s="38">
        <v>1.1141E-2</v>
      </c>
      <c r="D67" s="38">
        <v>1.1729E-2</v>
      </c>
      <c r="E67" s="38">
        <v>1.1854E-2</v>
      </c>
      <c r="F67" s="38">
        <v>1.2011000000000001E-2</v>
      </c>
      <c r="G67" s="38">
        <v>1.2154999999999999E-2</v>
      </c>
      <c r="H67" s="38">
        <v>1.2286999999999999E-2</v>
      </c>
      <c r="I67" s="38">
        <v>1.2139E-2</v>
      </c>
      <c r="J67" s="38">
        <v>1.2241E-2</v>
      </c>
      <c r="K67" s="38">
        <v>1.2352E-2</v>
      </c>
      <c r="L67" s="38">
        <v>1.2460000000000001E-2</v>
      </c>
      <c r="M67" s="38">
        <v>1.2585000000000001E-2</v>
      </c>
      <c r="N67" s="38">
        <v>1.2732E-2</v>
      </c>
      <c r="O67" s="38">
        <v>1.2906000000000001E-2</v>
      </c>
      <c r="P67" s="38">
        <v>1.3096E-2</v>
      </c>
      <c r="Q67" s="38">
        <v>1.3308E-2</v>
      </c>
      <c r="R67" s="38">
        <v>1.3547E-2</v>
      </c>
      <c r="S67" s="38">
        <v>1.3806000000000001E-2</v>
      </c>
      <c r="T67" s="38">
        <v>1.4094000000000001E-2</v>
      </c>
      <c r="U67" s="38">
        <v>1.4423E-2</v>
      </c>
      <c r="V67" s="38">
        <v>1.4800000000000001E-2</v>
      </c>
      <c r="W67" s="38">
        <v>1.5214999999999999E-2</v>
      </c>
      <c r="X67" s="38">
        <v>1.5663E-2</v>
      </c>
      <c r="Y67" s="38">
        <v>1.6150000000000001E-2</v>
      </c>
      <c r="Z67" s="38">
        <v>1.6674999999999999E-2</v>
      </c>
      <c r="AA67" s="38">
        <v>1.7266E-2</v>
      </c>
      <c r="AB67" s="38">
        <v>1.7895999999999999E-2</v>
      </c>
      <c r="AC67" s="38">
        <v>1.8551999999999999E-2</v>
      </c>
      <c r="AD67" s="38">
        <v>1.9226E-2</v>
      </c>
      <c r="AE67" s="38">
        <v>1.9961E-2</v>
      </c>
      <c r="AF67" s="35">
        <v>2.1044E-2</v>
      </c>
      <c r="AG67" s="29"/>
    </row>
    <row r="68" spans="1:33" ht="15" customHeight="1">
      <c r="A68" s="34" t="s">
        <v>2139</v>
      </c>
      <c r="B68" s="37" t="s">
        <v>2084</v>
      </c>
      <c r="C68" s="38">
        <v>15.908166</v>
      </c>
      <c r="D68" s="38">
        <v>15.809616</v>
      </c>
      <c r="E68" s="38">
        <v>15.511004</v>
      </c>
      <c r="F68" s="38">
        <v>15.268024</v>
      </c>
      <c r="G68" s="38">
        <v>15.070434000000001</v>
      </c>
      <c r="H68" s="38">
        <v>14.894485</v>
      </c>
      <c r="I68" s="38">
        <v>14.692055</v>
      </c>
      <c r="J68" s="38">
        <v>14.462922000000001</v>
      </c>
      <c r="K68" s="38">
        <v>14.216043000000001</v>
      </c>
      <c r="L68" s="38">
        <v>13.985326000000001</v>
      </c>
      <c r="M68" s="38">
        <v>13.762236</v>
      </c>
      <c r="N68" s="38">
        <v>13.582144</v>
      </c>
      <c r="O68" s="38">
        <v>13.425252</v>
      </c>
      <c r="P68" s="38">
        <v>13.26919</v>
      </c>
      <c r="Q68" s="38">
        <v>13.110339</v>
      </c>
      <c r="R68" s="38">
        <v>12.976143</v>
      </c>
      <c r="S68" s="38">
        <v>12.860512</v>
      </c>
      <c r="T68" s="38">
        <v>12.754662</v>
      </c>
      <c r="U68" s="38">
        <v>12.676733</v>
      </c>
      <c r="V68" s="38">
        <v>12.61304</v>
      </c>
      <c r="W68" s="38">
        <v>12.567019999999999</v>
      </c>
      <c r="X68" s="38">
        <v>12.533942</v>
      </c>
      <c r="Y68" s="38">
        <v>12.523248000000001</v>
      </c>
      <c r="Z68" s="38">
        <v>12.533231000000001</v>
      </c>
      <c r="AA68" s="38">
        <v>12.569409</v>
      </c>
      <c r="AB68" s="38">
        <v>12.626434</v>
      </c>
      <c r="AC68" s="38">
        <v>12.693924000000001</v>
      </c>
      <c r="AD68" s="38">
        <v>12.770364000000001</v>
      </c>
      <c r="AE68" s="38">
        <v>12.869885999999999</v>
      </c>
      <c r="AF68" s="35">
        <v>-7.541E-3</v>
      </c>
      <c r="AG68" s="29"/>
    </row>
    <row r="69" spans="1:33" ht="15" customHeight="1">
      <c r="A69" s="34" t="s">
        <v>2140</v>
      </c>
      <c r="B69" s="37" t="s">
        <v>2141</v>
      </c>
      <c r="C69" s="38">
        <v>3.3808999999999999E-2</v>
      </c>
      <c r="D69" s="38">
        <v>3.4185E-2</v>
      </c>
      <c r="E69" s="38">
        <v>3.209E-2</v>
      </c>
      <c r="F69" s="38">
        <v>3.1961999999999997E-2</v>
      </c>
      <c r="G69" s="38">
        <v>3.1167E-2</v>
      </c>
      <c r="H69" s="38">
        <v>3.0303E-2</v>
      </c>
      <c r="I69" s="38">
        <v>2.9252E-2</v>
      </c>
      <c r="J69" s="38">
        <v>2.8077000000000001E-2</v>
      </c>
      <c r="K69" s="38">
        <v>2.6841E-2</v>
      </c>
      <c r="L69" s="38">
        <v>2.5627E-2</v>
      </c>
      <c r="M69" s="38">
        <v>2.4441000000000001E-2</v>
      </c>
      <c r="N69" s="38">
        <v>2.3382E-2</v>
      </c>
      <c r="O69" s="38">
        <v>2.2426999999999999E-2</v>
      </c>
      <c r="P69" s="38">
        <v>2.1575E-2</v>
      </c>
      <c r="Q69" s="38">
        <v>2.0766E-2</v>
      </c>
      <c r="R69" s="38">
        <v>2.0174000000000001E-2</v>
      </c>
      <c r="S69" s="38">
        <v>1.9734000000000002E-2</v>
      </c>
      <c r="T69" s="38">
        <v>1.9435000000000001E-2</v>
      </c>
      <c r="U69" s="38">
        <v>1.9276999999999999E-2</v>
      </c>
      <c r="V69" s="38">
        <v>1.9193000000000002E-2</v>
      </c>
      <c r="W69" s="38">
        <v>1.9181E-2</v>
      </c>
      <c r="X69" s="38">
        <v>1.9265000000000001E-2</v>
      </c>
      <c r="Y69" s="38">
        <v>1.9361E-2</v>
      </c>
      <c r="Z69" s="38">
        <v>1.9505000000000002E-2</v>
      </c>
      <c r="AA69" s="38">
        <v>1.9633999999999999E-2</v>
      </c>
      <c r="AB69" s="38">
        <v>1.9872000000000001E-2</v>
      </c>
      <c r="AC69" s="38">
        <v>2.0087000000000001E-2</v>
      </c>
      <c r="AD69" s="38">
        <v>2.0365999999999999E-2</v>
      </c>
      <c r="AE69" s="38">
        <v>2.0629999999999999E-2</v>
      </c>
      <c r="AF69" s="35">
        <v>-1.7486999999999999E-2</v>
      </c>
      <c r="AG69" s="29"/>
    </row>
    <row r="70" spans="1:33" ht="15" customHeight="1">
      <c r="A70" s="34" t="s">
        <v>2142</v>
      </c>
      <c r="B70" s="37" t="s">
        <v>2143</v>
      </c>
      <c r="C70" s="38">
        <v>3.1148349999999998</v>
      </c>
      <c r="D70" s="38">
        <v>3.3237399999999999</v>
      </c>
      <c r="E70" s="38">
        <v>3.3689740000000001</v>
      </c>
      <c r="F70" s="38">
        <v>3.3750149999999999</v>
      </c>
      <c r="G70" s="38">
        <v>3.413926</v>
      </c>
      <c r="H70" s="38">
        <v>3.4525600000000001</v>
      </c>
      <c r="I70" s="38">
        <v>3.4829819999999998</v>
      </c>
      <c r="J70" s="38">
        <v>3.5055329999999998</v>
      </c>
      <c r="K70" s="38">
        <v>3.5212840000000001</v>
      </c>
      <c r="L70" s="38">
        <v>3.5369169999999999</v>
      </c>
      <c r="M70" s="38">
        <v>3.561817</v>
      </c>
      <c r="N70" s="38">
        <v>3.588015</v>
      </c>
      <c r="O70" s="38">
        <v>3.611596</v>
      </c>
      <c r="P70" s="38">
        <v>3.6397140000000001</v>
      </c>
      <c r="Q70" s="38">
        <v>3.6762760000000001</v>
      </c>
      <c r="R70" s="38">
        <v>3.7200820000000001</v>
      </c>
      <c r="S70" s="38">
        <v>3.7660969999999998</v>
      </c>
      <c r="T70" s="38">
        <v>3.814152</v>
      </c>
      <c r="U70" s="38">
        <v>3.870053</v>
      </c>
      <c r="V70" s="38">
        <v>3.923549</v>
      </c>
      <c r="W70" s="38">
        <v>3.9779789999999999</v>
      </c>
      <c r="X70" s="38">
        <v>4.0332270000000001</v>
      </c>
      <c r="Y70" s="38">
        <v>4.0883070000000004</v>
      </c>
      <c r="Z70" s="38">
        <v>4.1418869999999997</v>
      </c>
      <c r="AA70" s="38">
        <v>4.1941439999999997</v>
      </c>
      <c r="AB70" s="38">
        <v>4.2502880000000003</v>
      </c>
      <c r="AC70" s="38">
        <v>4.3070320000000004</v>
      </c>
      <c r="AD70" s="38">
        <v>4.3629980000000002</v>
      </c>
      <c r="AE70" s="38">
        <v>4.4254559999999996</v>
      </c>
      <c r="AF70" s="35">
        <v>1.2622E-2</v>
      </c>
      <c r="AG70" s="29"/>
    </row>
    <row r="71" spans="1:33" ht="15" customHeight="1">
      <c r="A71" s="34" t="s">
        <v>2144</v>
      </c>
      <c r="B71" s="37" t="s">
        <v>2145</v>
      </c>
      <c r="C71" s="38">
        <v>6.710394</v>
      </c>
      <c r="D71" s="38">
        <v>6.7034130000000003</v>
      </c>
      <c r="E71" s="38">
        <v>6.6249399999999996</v>
      </c>
      <c r="F71" s="38">
        <v>6.5552809999999999</v>
      </c>
      <c r="G71" s="38">
        <v>6.4986370000000004</v>
      </c>
      <c r="H71" s="38">
        <v>6.4387129999999999</v>
      </c>
      <c r="I71" s="38">
        <v>6.388439</v>
      </c>
      <c r="J71" s="38">
        <v>6.3340430000000003</v>
      </c>
      <c r="K71" s="38">
        <v>6.2694660000000004</v>
      </c>
      <c r="L71" s="38">
        <v>6.2128870000000003</v>
      </c>
      <c r="M71" s="38">
        <v>6.1771039999999999</v>
      </c>
      <c r="N71" s="38">
        <v>6.140136</v>
      </c>
      <c r="O71" s="38">
        <v>6.1075359999999996</v>
      </c>
      <c r="P71" s="38">
        <v>6.0819799999999997</v>
      </c>
      <c r="Q71" s="38">
        <v>6.0541010000000002</v>
      </c>
      <c r="R71" s="38">
        <v>6.0366020000000002</v>
      </c>
      <c r="S71" s="38">
        <v>6.0252679999999996</v>
      </c>
      <c r="T71" s="38">
        <v>6.0116019999999999</v>
      </c>
      <c r="U71" s="38">
        <v>6.0073930000000004</v>
      </c>
      <c r="V71" s="38">
        <v>6.0090529999999998</v>
      </c>
      <c r="W71" s="38">
        <v>6.0116420000000002</v>
      </c>
      <c r="X71" s="38">
        <v>6.0117929999999999</v>
      </c>
      <c r="Y71" s="38">
        <v>6.0091279999999996</v>
      </c>
      <c r="Z71" s="38">
        <v>6.0039829999999998</v>
      </c>
      <c r="AA71" s="38">
        <v>6.0041169999999999</v>
      </c>
      <c r="AB71" s="38">
        <v>6.0055630000000004</v>
      </c>
      <c r="AC71" s="38">
        <v>6.0028839999999999</v>
      </c>
      <c r="AD71" s="38">
        <v>5.9988760000000001</v>
      </c>
      <c r="AE71" s="38">
        <v>6.0131100000000002</v>
      </c>
      <c r="AF71" s="35">
        <v>-3.9110000000000004E-3</v>
      </c>
      <c r="AG71" s="29"/>
    </row>
    <row r="72" spans="1:33" ht="15" customHeight="1">
      <c r="A72" s="34" t="s">
        <v>2146</v>
      </c>
      <c r="B72" s="37" t="s">
        <v>2090</v>
      </c>
      <c r="C72" s="38">
        <v>0.68735900000000005</v>
      </c>
      <c r="D72" s="38">
        <v>0.53381999999999996</v>
      </c>
      <c r="E72" s="38">
        <v>0.52093199999999995</v>
      </c>
      <c r="F72" s="38">
        <v>0.52183400000000002</v>
      </c>
      <c r="G72" s="38">
        <v>0.49887500000000001</v>
      </c>
      <c r="H72" s="38">
        <v>0.48908000000000001</v>
      </c>
      <c r="I72" s="38">
        <v>0.471003</v>
      </c>
      <c r="J72" s="38">
        <v>0.45943400000000001</v>
      </c>
      <c r="K72" s="38">
        <v>0.450907</v>
      </c>
      <c r="L72" s="38">
        <v>0.45094699999999999</v>
      </c>
      <c r="M72" s="38">
        <v>0.45018399999999997</v>
      </c>
      <c r="N72" s="38">
        <v>0.45026899999999997</v>
      </c>
      <c r="O72" s="38">
        <v>0.44808999999999999</v>
      </c>
      <c r="P72" s="38">
        <v>0.44790400000000002</v>
      </c>
      <c r="Q72" s="38">
        <v>0.44462400000000002</v>
      </c>
      <c r="R72" s="38">
        <v>0.44349899999999998</v>
      </c>
      <c r="S72" s="38">
        <v>0.44226599999999999</v>
      </c>
      <c r="T72" s="38">
        <v>0.439998</v>
      </c>
      <c r="U72" s="38">
        <v>0.43826799999999999</v>
      </c>
      <c r="V72" s="38">
        <v>0.43705699999999997</v>
      </c>
      <c r="W72" s="38">
        <v>0.43709500000000001</v>
      </c>
      <c r="X72" s="38">
        <v>0.435527</v>
      </c>
      <c r="Y72" s="38">
        <v>0.43457400000000002</v>
      </c>
      <c r="Z72" s="38">
        <v>0.43301099999999998</v>
      </c>
      <c r="AA72" s="38">
        <v>0.43873000000000001</v>
      </c>
      <c r="AB72" s="38">
        <v>0.43797000000000003</v>
      </c>
      <c r="AC72" s="38">
        <v>0.43318899999999999</v>
      </c>
      <c r="AD72" s="38">
        <v>0.42951400000000001</v>
      </c>
      <c r="AE72" s="38">
        <v>0.42482599999999998</v>
      </c>
      <c r="AF72" s="35">
        <v>-1.7038000000000001E-2</v>
      </c>
      <c r="AG72" s="29"/>
    </row>
    <row r="73" spans="1:33" ht="12" customHeight="1">
      <c r="A73" s="34" t="s">
        <v>2147</v>
      </c>
      <c r="B73" s="37" t="s">
        <v>2148</v>
      </c>
      <c r="C73" s="38">
        <v>0.148367</v>
      </c>
      <c r="D73" s="38">
        <v>0.148336</v>
      </c>
      <c r="E73" s="38">
        <v>0.14841399999999999</v>
      </c>
      <c r="F73" s="38">
        <v>0.14844399999999999</v>
      </c>
      <c r="G73" s="38">
        <v>0.14850099999999999</v>
      </c>
      <c r="H73" s="38">
        <v>0.148367</v>
      </c>
      <c r="I73" s="38">
        <v>0.148231</v>
      </c>
      <c r="J73" s="38">
        <v>0.14813000000000001</v>
      </c>
      <c r="K73" s="38">
        <v>0.14802399999999999</v>
      </c>
      <c r="L73" s="38">
        <v>0.14791499999999999</v>
      </c>
      <c r="M73" s="38">
        <v>0.14780699999999999</v>
      </c>
      <c r="N73" s="38">
        <v>0.14769599999999999</v>
      </c>
      <c r="O73" s="38">
        <v>0.147615</v>
      </c>
      <c r="P73" s="38">
        <v>0.147588</v>
      </c>
      <c r="Q73" s="38">
        <v>0.147618</v>
      </c>
      <c r="R73" s="38">
        <v>0.14768000000000001</v>
      </c>
      <c r="S73" s="38">
        <v>0.14777299999999999</v>
      </c>
      <c r="T73" s="38">
        <v>0.14788699999999999</v>
      </c>
      <c r="U73" s="38">
        <v>0.14802699999999999</v>
      </c>
      <c r="V73" s="38">
        <v>0.14815700000000001</v>
      </c>
      <c r="W73" s="38">
        <v>0.148284</v>
      </c>
      <c r="X73" s="38">
        <v>0.14840500000000001</v>
      </c>
      <c r="Y73" s="38">
        <v>0.14852499999999999</v>
      </c>
      <c r="Z73" s="38">
        <v>0.14867900000000001</v>
      </c>
      <c r="AA73" s="38">
        <v>0.14885100000000001</v>
      </c>
      <c r="AB73" s="38">
        <v>0.14901900000000001</v>
      </c>
      <c r="AC73" s="38">
        <v>0.14917</v>
      </c>
      <c r="AD73" s="38">
        <v>0.14933299999999999</v>
      </c>
      <c r="AE73" s="38">
        <v>0.14951700000000001</v>
      </c>
      <c r="AF73" s="35">
        <v>2.7599999999999999E-4</v>
      </c>
      <c r="AG73" s="29"/>
    </row>
    <row r="74" spans="1:33" ht="15" customHeight="1">
      <c r="A74" s="34" t="s">
        <v>2149</v>
      </c>
      <c r="B74" s="37" t="s">
        <v>2068</v>
      </c>
      <c r="C74" s="38">
        <v>26.580262999999999</v>
      </c>
      <c r="D74" s="38">
        <v>26.530654999999999</v>
      </c>
      <c r="E74" s="38">
        <v>26.186115000000001</v>
      </c>
      <c r="F74" s="38">
        <v>25.880607999999999</v>
      </c>
      <c r="G74" s="38">
        <v>25.642529</v>
      </c>
      <c r="H74" s="38">
        <v>25.435493000000001</v>
      </c>
      <c r="I74" s="38">
        <v>25.194845000000001</v>
      </c>
      <c r="J74" s="38">
        <v>24.922301999999998</v>
      </c>
      <c r="K74" s="38">
        <v>24.618075999999999</v>
      </c>
      <c r="L74" s="38">
        <v>24.346453</v>
      </c>
      <c r="M74" s="38">
        <v>24.111736000000001</v>
      </c>
      <c r="N74" s="38">
        <v>23.920991999999998</v>
      </c>
      <c r="O74" s="38">
        <v>23.752991000000002</v>
      </c>
      <c r="P74" s="38">
        <v>23.599468000000002</v>
      </c>
      <c r="Q74" s="38">
        <v>23.446263999999999</v>
      </c>
      <c r="R74" s="38">
        <v>23.337551000000001</v>
      </c>
      <c r="S74" s="38">
        <v>23.255721999999999</v>
      </c>
      <c r="T74" s="38">
        <v>23.182393999999999</v>
      </c>
      <c r="U74" s="38">
        <v>23.154900000000001</v>
      </c>
      <c r="V74" s="38">
        <v>23.145657</v>
      </c>
      <c r="W74" s="38">
        <v>23.157236000000001</v>
      </c>
      <c r="X74" s="38">
        <v>23.178557999999999</v>
      </c>
      <c r="Y74" s="38">
        <v>23.219933999999999</v>
      </c>
      <c r="Z74" s="38">
        <v>23.277467999999999</v>
      </c>
      <c r="AA74" s="38">
        <v>23.372520000000002</v>
      </c>
      <c r="AB74" s="38">
        <v>23.487172999999999</v>
      </c>
      <c r="AC74" s="38">
        <v>23.604749999999999</v>
      </c>
      <c r="AD74" s="38">
        <v>23.730312000000001</v>
      </c>
      <c r="AE74" s="38">
        <v>23.902756</v>
      </c>
      <c r="AF74" s="35">
        <v>-3.7850000000000002E-3</v>
      </c>
      <c r="AG74" s="29"/>
    </row>
    <row r="75" spans="1:33" ht="15" customHeight="1">
      <c r="A75" s="34" t="s">
        <v>2150</v>
      </c>
      <c r="B75" s="37" t="s">
        <v>2151</v>
      </c>
      <c r="C75" s="38">
        <v>0.90573199999999998</v>
      </c>
      <c r="D75" s="38">
        <v>0.82054300000000002</v>
      </c>
      <c r="E75" s="38">
        <v>0.76098200000000005</v>
      </c>
      <c r="F75" s="38">
        <v>0.72675199999999995</v>
      </c>
      <c r="G75" s="38">
        <v>0.69584999999999997</v>
      </c>
      <c r="H75" s="38">
        <v>0.65398500000000004</v>
      </c>
      <c r="I75" s="38">
        <v>0.61392800000000003</v>
      </c>
      <c r="J75" s="38">
        <v>0.61203300000000005</v>
      </c>
      <c r="K75" s="38">
        <v>0.61031599999999997</v>
      </c>
      <c r="L75" s="38">
        <v>0.61189700000000002</v>
      </c>
      <c r="M75" s="38">
        <v>0.61776399999999998</v>
      </c>
      <c r="N75" s="38">
        <v>0.62628499999999998</v>
      </c>
      <c r="O75" s="38">
        <v>0.63076699999999997</v>
      </c>
      <c r="P75" s="38">
        <v>0.63347699999999996</v>
      </c>
      <c r="Q75" s="38">
        <v>0.63400299999999998</v>
      </c>
      <c r="R75" s="38">
        <v>0.63296799999999998</v>
      </c>
      <c r="S75" s="38">
        <v>0.63783100000000004</v>
      </c>
      <c r="T75" s="38">
        <v>0.63666800000000001</v>
      </c>
      <c r="U75" s="38">
        <v>0.64580700000000002</v>
      </c>
      <c r="V75" s="38">
        <v>0.65242699999999998</v>
      </c>
      <c r="W75" s="38">
        <v>0.65816600000000003</v>
      </c>
      <c r="X75" s="38">
        <v>0.66099399999999997</v>
      </c>
      <c r="Y75" s="38">
        <v>0.66509499999999999</v>
      </c>
      <c r="Z75" s="38">
        <v>0.66920299999999999</v>
      </c>
      <c r="AA75" s="38">
        <v>0.67453399999999997</v>
      </c>
      <c r="AB75" s="38">
        <v>0.68213500000000005</v>
      </c>
      <c r="AC75" s="38">
        <v>0.68949099999999997</v>
      </c>
      <c r="AD75" s="38">
        <v>0.691882</v>
      </c>
      <c r="AE75" s="38">
        <v>0.69677699999999998</v>
      </c>
      <c r="AF75" s="35">
        <v>-9.3229999999999997E-3</v>
      </c>
      <c r="AG75" s="29"/>
    </row>
    <row r="76" spans="1:33" ht="15" customHeight="1">
      <c r="A76" s="34" t="s">
        <v>2152</v>
      </c>
      <c r="B76" s="37" t="s">
        <v>2153</v>
      </c>
      <c r="C76" s="38">
        <v>0.33252300000000001</v>
      </c>
      <c r="D76" s="38">
        <v>0.377971</v>
      </c>
      <c r="E76" s="38">
        <v>0.38400499999999999</v>
      </c>
      <c r="F76" s="38">
        <v>0.40878300000000001</v>
      </c>
      <c r="G76" s="38">
        <v>0.44626100000000002</v>
      </c>
      <c r="H76" s="38">
        <v>0.47717300000000001</v>
      </c>
      <c r="I76" s="38">
        <v>0.50361</v>
      </c>
      <c r="J76" s="38">
        <v>0.52757100000000001</v>
      </c>
      <c r="K76" s="38">
        <v>0.57796899999999996</v>
      </c>
      <c r="L76" s="38">
        <v>0.62836700000000001</v>
      </c>
      <c r="M76" s="38">
        <v>0.68000400000000005</v>
      </c>
      <c r="N76" s="38">
        <v>0.72916400000000003</v>
      </c>
      <c r="O76" s="38">
        <v>0.77116200000000001</v>
      </c>
      <c r="P76" s="38">
        <v>0.79636099999999999</v>
      </c>
      <c r="Q76" s="38">
        <v>0.81439899999999998</v>
      </c>
      <c r="R76" s="38">
        <v>0.82996000000000003</v>
      </c>
      <c r="S76" s="38">
        <v>0.83835999999999999</v>
      </c>
      <c r="T76" s="38">
        <v>0.83835999999999999</v>
      </c>
      <c r="U76" s="38">
        <v>0.83959799999999996</v>
      </c>
      <c r="V76" s="38">
        <v>0.83835999999999999</v>
      </c>
      <c r="W76" s="38">
        <v>0.83835999999999999</v>
      </c>
      <c r="X76" s="38">
        <v>0.83835999999999999</v>
      </c>
      <c r="Y76" s="38">
        <v>0.83959799999999996</v>
      </c>
      <c r="Z76" s="38">
        <v>0.83835999999999999</v>
      </c>
      <c r="AA76" s="38">
        <v>0.83835999999999999</v>
      </c>
      <c r="AB76" s="38">
        <v>0.83835999999999999</v>
      </c>
      <c r="AC76" s="38">
        <v>0.83959799999999996</v>
      </c>
      <c r="AD76" s="38">
        <v>0.83835999999999999</v>
      </c>
      <c r="AE76" s="38">
        <v>0.83835999999999999</v>
      </c>
      <c r="AF76" s="35">
        <v>3.3577999999999997E-2</v>
      </c>
      <c r="AG76" s="29"/>
    </row>
    <row r="77" spans="1:33" ht="15" customHeight="1">
      <c r="A77" s="34" t="s">
        <v>2154</v>
      </c>
      <c r="B77" s="37" t="s">
        <v>2155</v>
      </c>
      <c r="C77" s="38">
        <v>0.107601</v>
      </c>
      <c r="D77" s="38">
        <v>0.114652</v>
      </c>
      <c r="E77" s="38">
        <v>0.124503</v>
      </c>
      <c r="F77" s="38">
        <v>0.12213400000000001</v>
      </c>
      <c r="G77" s="38">
        <v>0.133409</v>
      </c>
      <c r="H77" s="38">
        <v>0.13536400000000001</v>
      </c>
      <c r="I77" s="38">
        <v>0.14052200000000001</v>
      </c>
      <c r="J77" s="38">
        <v>0.144151</v>
      </c>
      <c r="K77" s="38">
        <v>0.14537</v>
      </c>
      <c r="L77" s="38">
        <v>0.14599899999999999</v>
      </c>
      <c r="M77" s="38">
        <v>0.14696799999999999</v>
      </c>
      <c r="N77" s="38">
        <v>0.14768200000000001</v>
      </c>
      <c r="O77" s="38">
        <v>0.14987800000000001</v>
      </c>
      <c r="P77" s="38">
        <v>0.15351100000000001</v>
      </c>
      <c r="Q77" s="38">
        <v>0.15892300000000001</v>
      </c>
      <c r="R77" s="38">
        <v>0.16472600000000001</v>
      </c>
      <c r="S77" s="38">
        <v>0.169792</v>
      </c>
      <c r="T77" s="38">
        <v>0.17785300000000001</v>
      </c>
      <c r="U77" s="38">
        <v>0.18484900000000001</v>
      </c>
      <c r="V77" s="38">
        <v>0.19353400000000001</v>
      </c>
      <c r="W77" s="38">
        <v>0.20268600000000001</v>
      </c>
      <c r="X77" s="38">
        <v>0.21374000000000001</v>
      </c>
      <c r="Y77" s="38">
        <v>0.22448699999999999</v>
      </c>
      <c r="Z77" s="38">
        <v>0.23605400000000001</v>
      </c>
      <c r="AA77" s="38">
        <v>0.244922</v>
      </c>
      <c r="AB77" s="38">
        <v>0.25933299999999998</v>
      </c>
      <c r="AC77" s="38">
        <v>0.27549200000000001</v>
      </c>
      <c r="AD77" s="38">
        <v>0.29215799999999997</v>
      </c>
      <c r="AE77" s="38">
        <v>0.30914900000000001</v>
      </c>
      <c r="AF77" s="35">
        <v>3.8412000000000002E-2</v>
      </c>
      <c r="AG77" s="29"/>
    </row>
    <row r="78" spans="1:33" ht="15" customHeight="1">
      <c r="A78" s="34" t="s">
        <v>2156</v>
      </c>
      <c r="B78" s="37" t="s">
        <v>2157</v>
      </c>
      <c r="C78" s="38">
        <v>5.3899999999999998E-4</v>
      </c>
      <c r="D78" s="38">
        <v>6.5099999999999999E-4</v>
      </c>
      <c r="E78" s="38">
        <v>7.6499999999999995E-4</v>
      </c>
      <c r="F78" s="38">
        <v>8.5400000000000005E-4</v>
      </c>
      <c r="G78" s="38">
        <v>9.4399999999999996E-4</v>
      </c>
      <c r="H78" s="38">
        <v>1.0280000000000001E-3</v>
      </c>
      <c r="I78" s="38">
        <v>1.114E-3</v>
      </c>
      <c r="J78" s="38">
        <v>1.1919999999999999E-3</v>
      </c>
      <c r="K78" s="38">
        <v>1.2719999999999999E-3</v>
      </c>
      <c r="L78" s="38">
        <v>1.351E-3</v>
      </c>
      <c r="M78" s="38">
        <v>1.428E-3</v>
      </c>
      <c r="N78" s="38">
        <v>1.503E-3</v>
      </c>
      <c r="O78" s="38">
        <v>1.5770000000000001E-3</v>
      </c>
      <c r="P78" s="38">
        <v>1.65E-3</v>
      </c>
      <c r="Q78" s="38">
        <v>1.717E-3</v>
      </c>
      <c r="R78" s="38">
        <v>1.7830000000000001E-3</v>
      </c>
      <c r="S78" s="38">
        <v>1.8439999999999999E-3</v>
      </c>
      <c r="T78" s="38">
        <v>1.8990000000000001E-3</v>
      </c>
      <c r="U78" s="38">
        <v>1.946E-3</v>
      </c>
      <c r="V78" s="38">
        <v>1.9870000000000001E-3</v>
      </c>
      <c r="W78" s="38">
        <v>2.0279999999999999E-3</v>
      </c>
      <c r="X78" s="38">
        <v>2.0590000000000001E-3</v>
      </c>
      <c r="Y78" s="38">
        <v>2.0860000000000002E-3</v>
      </c>
      <c r="Z78" s="38">
        <v>2.1080000000000001E-3</v>
      </c>
      <c r="AA78" s="38">
        <v>2.1329999999999999E-3</v>
      </c>
      <c r="AB78" s="38">
        <v>2.16E-3</v>
      </c>
      <c r="AC78" s="38">
        <v>2.1840000000000002E-3</v>
      </c>
      <c r="AD78" s="38">
        <v>2.2070000000000002E-3</v>
      </c>
      <c r="AE78" s="38">
        <v>2.2300000000000002E-3</v>
      </c>
      <c r="AF78" s="35">
        <v>5.2003000000000001E-2</v>
      </c>
      <c r="AG78" s="29"/>
    </row>
    <row r="79" spans="1:33" ht="12" customHeight="1">
      <c r="A79" s="34" t="s">
        <v>2158</v>
      </c>
      <c r="B79" s="37" t="s">
        <v>2074</v>
      </c>
      <c r="C79" s="38">
        <v>5.8361999999999997E-2</v>
      </c>
      <c r="D79" s="38">
        <v>7.1034E-2</v>
      </c>
      <c r="E79" s="38">
        <v>8.6294999999999997E-2</v>
      </c>
      <c r="F79" s="38">
        <v>0.10396900000000001</v>
      </c>
      <c r="G79" s="38">
        <v>0.12512400000000001</v>
      </c>
      <c r="H79" s="38">
        <v>0.15024399999999999</v>
      </c>
      <c r="I79" s="38">
        <v>0.17893800000000001</v>
      </c>
      <c r="J79" s="38">
        <v>0.21158399999999999</v>
      </c>
      <c r="K79" s="38">
        <v>0.247534</v>
      </c>
      <c r="L79" s="38">
        <v>0.280615</v>
      </c>
      <c r="M79" s="38">
        <v>0.31468699999999999</v>
      </c>
      <c r="N79" s="38">
        <v>0.34886600000000001</v>
      </c>
      <c r="O79" s="38">
        <v>0.38420700000000002</v>
      </c>
      <c r="P79" s="38">
        <v>0.41911799999999999</v>
      </c>
      <c r="Q79" s="38">
        <v>0.45283299999999999</v>
      </c>
      <c r="R79" s="38">
        <v>0.48568299999999998</v>
      </c>
      <c r="S79" s="38">
        <v>0.51746999999999999</v>
      </c>
      <c r="T79" s="38">
        <v>0.54762900000000003</v>
      </c>
      <c r="U79" s="38">
        <v>0.575928</v>
      </c>
      <c r="V79" s="38">
        <v>0.60268999999999995</v>
      </c>
      <c r="W79" s="38">
        <v>0.627668</v>
      </c>
      <c r="X79" s="38">
        <v>0.65048700000000004</v>
      </c>
      <c r="Y79" s="38">
        <v>0.67184600000000005</v>
      </c>
      <c r="Z79" s="38">
        <v>0.69111299999999998</v>
      </c>
      <c r="AA79" s="38">
        <v>0.71077699999999999</v>
      </c>
      <c r="AB79" s="38">
        <v>0.72935899999999998</v>
      </c>
      <c r="AC79" s="38">
        <v>0.74737900000000002</v>
      </c>
      <c r="AD79" s="38">
        <v>0.76507400000000003</v>
      </c>
      <c r="AE79" s="38">
        <v>0.78207000000000004</v>
      </c>
      <c r="AF79" s="35">
        <v>9.7119999999999998E-2</v>
      </c>
      <c r="AG79" s="29"/>
    </row>
    <row r="80" spans="1:33" ht="15" customHeight="1">
      <c r="A80" s="34" t="s">
        <v>2159</v>
      </c>
      <c r="B80" s="33" t="s">
        <v>2076</v>
      </c>
      <c r="C80" s="39">
        <v>27.985022000000001</v>
      </c>
      <c r="D80" s="39">
        <v>27.915506000000001</v>
      </c>
      <c r="E80" s="39">
        <v>27.542665</v>
      </c>
      <c r="F80" s="39">
        <v>27.243099000000001</v>
      </c>
      <c r="G80" s="39">
        <v>27.044117</v>
      </c>
      <c r="H80" s="39">
        <v>26.853287000000002</v>
      </c>
      <c r="I80" s="39">
        <v>26.632957000000001</v>
      </c>
      <c r="J80" s="39">
        <v>26.418835000000001</v>
      </c>
      <c r="K80" s="39">
        <v>26.200538999999999</v>
      </c>
      <c r="L80" s="39">
        <v>26.014679000000001</v>
      </c>
      <c r="M80" s="39">
        <v>25.872589000000001</v>
      </c>
      <c r="N80" s="39">
        <v>25.774491999999999</v>
      </c>
      <c r="O80" s="39">
        <v>25.690580000000001</v>
      </c>
      <c r="P80" s="39">
        <v>25.603587999999998</v>
      </c>
      <c r="Q80" s="39">
        <v>25.508139</v>
      </c>
      <c r="R80" s="39">
        <v>25.452673000000001</v>
      </c>
      <c r="S80" s="39">
        <v>25.421019000000001</v>
      </c>
      <c r="T80" s="39">
        <v>25.384802000000001</v>
      </c>
      <c r="U80" s="39">
        <v>25.403027000000002</v>
      </c>
      <c r="V80" s="39">
        <v>25.434656</v>
      </c>
      <c r="W80" s="39">
        <v>25.486145</v>
      </c>
      <c r="X80" s="39">
        <v>25.544197</v>
      </c>
      <c r="Y80" s="39">
        <v>25.623047</v>
      </c>
      <c r="Z80" s="39">
        <v>25.714303999999998</v>
      </c>
      <c r="AA80" s="39">
        <v>25.843246000000001</v>
      </c>
      <c r="AB80" s="39">
        <v>25.998518000000001</v>
      </c>
      <c r="AC80" s="39">
        <v>26.158894</v>
      </c>
      <c r="AD80" s="39">
        <v>26.319996</v>
      </c>
      <c r="AE80" s="39">
        <v>26.531341999999999</v>
      </c>
      <c r="AF80" s="31">
        <v>-1.903E-3</v>
      </c>
      <c r="AG80" s="29"/>
    </row>
    <row r="81" spans="1:33" ht="12" customHeight="1">
      <c r="A81" s="34" t="s">
        <v>2160</v>
      </c>
      <c r="B81" s="37" t="s">
        <v>2078</v>
      </c>
      <c r="C81" s="38">
        <v>0.106937</v>
      </c>
      <c r="D81" s="38">
        <v>0.12754699999999999</v>
      </c>
      <c r="E81" s="38">
        <v>0.15551999999999999</v>
      </c>
      <c r="F81" s="38">
        <v>0.18703</v>
      </c>
      <c r="G81" s="38">
        <v>0.22295499999999999</v>
      </c>
      <c r="H81" s="38">
        <v>0.26488800000000001</v>
      </c>
      <c r="I81" s="38">
        <v>0.31172699999999998</v>
      </c>
      <c r="J81" s="38">
        <v>0.36485099999999998</v>
      </c>
      <c r="K81" s="38">
        <v>0.42382900000000001</v>
      </c>
      <c r="L81" s="38">
        <v>0.47994599999999998</v>
      </c>
      <c r="M81" s="38">
        <v>0.54014200000000001</v>
      </c>
      <c r="N81" s="38">
        <v>0.59834399999999999</v>
      </c>
      <c r="O81" s="38">
        <v>0.66142400000000001</v>
      </c>
      <c r="P81" s="38">
        <v>0.72216599999999997</v>
      </c>
      <c r="Q81" s="38">
        <v>0.78066999999999998</v>
      </c>
      <c r="R81" s="38">
        <v>0.83455999999999997</v>
      </c>
      <c r="S81" s="38">
        <v>0.88357300000000005</v>
      </c>
      <c r="T81" s="38">
        <v>0.92870299999999995</v>
      </c>
      <c r="U81" s="38">
        <v>0.97254499999999999</v>
      </c>
      <c r="V81" s="38">
        <v>1.015199</v>
      </c>
      <c r="W81" s="38">
        <v>1.0585659999999999</v>
      </c>
      <c r="X81" s="38">
        <v>1.0964929999999999</v>
      </c>
      <c r="Y81" s="38">
        <v>1.132822</v>
      </c>
      <c r="Z81" s="38">
        <v>1.1668590000000001</v>
      </c>
      <c r="AA81" s="38">
        <v>1.1966730000000001</v>
      </c>
      <c r="AB81" s="38">
        <v>1.2260679999999999</v>
      </c>
      <c r="AC81" s="38">
        <v>1.254929</v>
      </c>
      <c r="AD81" s="38">
        <v>1.2812790000000001</v>
      </c>
      <c r="AE81" s="38">
        <v>1.3076650000000001</v>
      </c>
      <c r="AF81" s="35">
        <v>9.3539999999999998E-2</v>
      </c>
      <c r="AG81" s="29"/>
    </row>
    <row r="82" spans="1:33" ht="15" customHeight="1">
      <c r="A82" s="34" t="s">
        <v>2161</v>
      </c>
      <c r="B82" s="33" t="s">
        <v>2080</v>
      </c>
      <c r="C82" s="39">
        <v>28.091958999999999</v>
      </c>
      <c r="D82" s="39">
        <v>28.043053</v>
      </c>
      <c r="E82" s="39">
        <v>27.698184999999999</v>
      </c>
      <c r="F82" s="39">
        <v>27.430129999999998</v>
      </c>
      <c r="G82" s="39">
        <v>27.267073</v>
      </c>
      <c r="H82" s="39">
        <v>27.118175999999998</v>
      </c>
      <c r="I82" s="39">
        <v>26.944685</v>
      </c>
      <c r="J82" s="39">
        <v>26.783685999999999</v>
      </c>
      <c r="K82" s="39">
        <v>26.624369000000002</v>
      </c>
      <c r="L82" s="39">
        <v>26.494624999999999</v>
      </c>
      <c r="M82" s="39">
        <v>26.412731000000001</v>
      </c>
      <c r="N82" s="39">
        <v>26.372837000000001</v>
      </c>
      <c r="O82" s="39">
        <v>26.352004999999998</v>
      </c>
      <c r="P82" s="39">
        <v>26.325754</v>
      </c>
      <c r="Q82" s="39">
        <v>26.288809000000001</v>
      </c>
      <c r="R82" s="39">
        <v>26.287233000000001</v>
      </c>
      <c r="S82" s="39">
        <v>26.304592</v>
      </c>
      <c r="T82" s="39">
        <v>26.313504999999999</v>
      </c>
      <c r="U82" s="39">
        <v>26.375571999999998</v>
      </c>
      <c r="V82" s="39">
        <v>26.449853999999998</v>
      </c>
      <c r="W82" s="39">
        <v>26.544709999999998</v>
      </c>
      <c r="X82" s="39">
        <v>26.640689999999999</v>
      </c>
      <c r="Y82" s="39">
        <v>26.755869000000001</v>
      </c>
      <c r="Z82" s="39">
        <v>26.881163000000001</v>
      </c>
      <c r="AA82" s="39">
        <v>27.039919000000001</v>
      </c>
      <c r="AB82" s="39">
        <v>27.224585999999999</v>
      </c>
      <c r="AC82" s="39">
        <v>27.413822</v>
      </c>
      <c r="AD82" s="39">
        <v>27.601274</v>
      </c>
      <c r="AE82" s="39">
        <v>27.839006000000001</v>
      </c>
      <c r="AF82" s="31">
        <v>-3.2299999999999999E-4</v>
      </c>
      <c r="AG82" s="29"/>
    </row>
    <row r="83" spans="1:33" ht="15" customHeight="1">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1:33" ht="15" customHeight="1">
      <c r="B84" s="33" t="s">
        <v>2162</v>
      </c>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row>
    <row r="85" spans="1:33" ht="15" customHeight="1">
      <c r="A85" s="34" t="s">
        <v>2163</v>
      </c>
      <c r="B85" s="33" t="s">
        <v>2080</v>
      </c>
      <c r="C85" s="39">
        <v>-0.64424800000000004</v>
      </c>
      <c r="D85" s="39">
        <v>-0.40866599999999997</v>
      </c>
      <c r="E85" s="39">
        <v>-0.17788499999999999</v>
      </c>
      <c r="F85" s="39">
        <v>-0.175009</v>
      </c>
      <c r="G85" s="39">
        <v>-0.171654</v>
      </c>
      <c r="H85" s="39">
        <v>-0.16808600000000001</v>
      </c>
      <c r="I85" s="39">
        <v>-0.16530800000000001</v>
      </c>
      <c r="J85" s="39">
        <v>-0.16263900000000001</v>
      </c>
      <c r="K85" s="39">
        <v>-0.15972800000000001</v>
      </c>
      <c r="L85" s="39">
        <v>-0.157164</v>
      </c>
      <c r="M85" s="39">
        <v>-0.15531400000000001</v>
      </c>
      <c r="N85" s="39">
        <v>-0.15324599999999999</v>
      </c>
      <c r="O85" s="39">
        <v>-0.15140200000000001</v>
      </c>
      <c r="P85" s="39">
        <v>-0.14976400000000001</v>
      </c>
      <c r="Q85" s="39">
        <v>-0.14776900000000001</v>
      </c>
      <c r="R85" s="39">
        <v>-0.14599400000000001</v>
      </c>
      <c r="S85" s="39">
        <v>-0.1444</v>
      </c>
      <c r="T85" s="39">
        <v>-0.14260500000000001</v>
      </c>
      <c r="U85" s="39">
        <v>-0.140957</v>
      </c>
      <c r="V85" s="39">
        <v>-0.139626</v>
      </c>
      <c r="W85" s="39">
        <v>-0.138261</v>
      </c>
      <c r="X85" s="39">
        <v>-0.13671700000000001</v>
      </c>
      <c r="Y85" s="39">
        <v>-0.13497700000000001</v>
      </c>
      <c r="Z85" s="39">
        <v>-0.133103</v>
      </c>
      <c r="AA85" s="39">
        <v>-0.13144900000000001</v>
      </c>
      <c r="AB85" s="39">
        <v>-0.12968399999999999</v>
      </c>
      <c r="AC85" s="39">
        <v>-0.12767100000000001</v>
      </c>
      <c r="AD85" s="39">
        <v>-0.12559000000000001</v>
      </c>
      <c r="AE85" s="39">
        <v>-0.124139</v>
      </c>
      <c r="AF85" s="31">
        <v>-5.7113999999999998E-2</v>
      </c>
      <c r="AG85" s="29"/>
    </row>
    <row r="86" spans="1:33" ht="15" customHeight="1">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row>
    <row r="87" spans="1:33" ht="15" customHeight="1">
      <c r="B87" s="33" t="s">
        <v>2164</v>
      </c>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row>
    <row r="88" spans="1:33" ht="15" customHeight="1">
      <c r="A88" s="34" t="s">
        <v>2165</v>
      </c>
      <c r="B88" s="37" t="s">
        <v>2166</v>
      </c>
      <c r="C88" s="38">
        <v>4.4504619999999999</v>
      </c>
      <c r="D88" s="38">
        <v>4.5514599999999996</v>
      </c>
      <c r="E88" s="38">
        <v>4.4573929999999997</v>
      </c>
      <c r="F88" s="38">
        <v>4.5447350000000002</v>
      </c>
      <c r="G88" s="38">
        <v>4.6559359999999996</v>
      </c>
      <c r="H88" s="38">
        <v>4.7378349999999996</v>
      </c>
      <c r="I88" s="38">
        <v>4.7968380000000002</v>
      </c>
      <c r="J88" s="38">
        <v>4.8333259999999996</v>
      </c>
      <c r="K88" s="38">
        <v>4.863092</v>
      </c>
      <c r="L88" s="38">
        <v>4.9074340000000003</v>
      </c>
      <c r="M88" s="38">
        <v>4.9615650000000002</v>
      </c>
      <c r="N88" s="38">
        <v>5.0056250000000002</v>
      </c>
      <c r="O88" s="38">
        <v>5.0579900000000002</v>
      </c>
      <c r="P88" s="38">
        <v>5.1007999999999996</v>
      </c>
      <c r="Q88" s="38">
        <v>5.1351129999999996</v>
      </c>
      <c r="R88" s="38">
        <v>5.1761980000000003</v>
      </c>
      <c r="S88" s="38">
        <v>5.2030370000000001</v>
      </c>
      <c r="T88" s="38">
        <v>5.2499589999999996</v>
      </c>
      <c r="U88" s="38">
        <v>5.3076090000000002</v>
      </c>
      <c r="V88" s="38">
        <v>5.3551039999999999</v>
      </c>
      <c r="W88" s="38">
        <v>5.3966649999999996</v>
      </c>
      <c r="X88" s="38">
        <v>5.4452550000000004</v>
      </c>
      <c r="Y88" s="38">
        <v>5.4820919999999997</v>
      </c>
      <c r="Z88" s="38">
        <v>5.5144859999999998</v>
      </c>
      <c r="AA88" s="38">
        <v>5.5643180000000001</v>
      </c>
      <c r="AB88" s="38">
        <v>5.6265929999999997</v>
      </c>
      <c r="AC88" s="38">
        <v>5.6573310000000001</v>
      </c>
      <c r="AD88" s="38">
        <v>5.7031150000000004</v>
      </c>
      <c r="AE88" s="38">
        <v>5.7911450000000002</v>
      </c>
      <c r="AF88" s="35">
        <v>9.4490000000000008E-3</v>
      </c>
      <c r="AG88" s="29"/>
    </row>
    <row r="89" spans="1:33" ht="15" customHeight="1">
      <c r="A89" s="34" t="s">
        <v>2167</v>
      </c>
      <c r="B89" s="37" t="s">
        <v>2084</v>
      </c>
      <c r="C89" s="38">
        <v>16.186696999999999</v>
      </c>
      <c r="D89" s="38">
        <v>16.314539</v>
      </c>
      <c r="E89" s="38">
        <v>16.236139000000001</v>
      </c>
      <c r="F89" s="38">
        <v>15.990171999999999</v>
      </c>
      <c r="G89" s="38">
        <v>15.7888</v>
      </c>
      <c r="H89" s="38">
        <v>15.607678999999999</v>
      </c>
      <c r="I89" s="38">
        <v>15.404502000000001</v>
      </c>
      <c r="J89" s="38">
        <v>15.176081</v>
      </c>
      <c r="K89" s="38">
        <v>14.929452</v>
      </c>
      <c r="L89" s="38">
        <v>14.697958</v>
      </c>
      <c r="M89" s="38">
        <v>14.474534</v>
      </c>
      <c r="N89" s="38">
        <v>14.294471</v>
      </c>
      <c r="O89" s="38">
        <v>14.137753</v>
      </c>
      <c r="P89" s="38">
        <v>13.982632000000001</v>
      </c>
      <c r="Q89" s="38">
        <v>13.825029000000001</v>
      </c>
      <c r="R89" s="38">
        <v>13.693063</v>
      </c>
      <c r="S89" s="38">
        <v>13.579750000000001</v>
      </c>
      <c r="T89" s="38">
        <v>13.47598</v>
      </c>
      <c r="U89" s="38">
        <v>13.400293</v>
      </c>
      <c r="V89" s="38">
        <v>13.339155</v>
      </c>
      <c r="W89" s="38">
        <v>13.295448</v>
      </c>
      <c r="X89" s="38">
        <v>13.264718999999999</v>
      </c>
      <c r="Y89" s="38">
        <v>13.256188999999999</v>
      </c>
      <c r="Z89" s="38">
        <v>13.26849</v>
      </c>
      <c r="AA89" s="38">
        <v>13.306704999999999</v>
      </c>
      <c r="AB89" s="38">
        <v>13.366092</v>
      </c>
      <c r="AC89" s="38">
        <v>13.435746999999999</v>
      </c>
      <c r="AD89" s="38">
        <v>13.514469999999999</v>
      </c>
      <c r="AE89" s="38">
        <v>13.616789000000001</v>
      </c>
      <c r="AF89" s="35">
        <v>-6.1549999999999999E-3</v>
      </c>
      <c r="AG89" s="29"/>
    </row>
    <row r="90" spans="1:33" ht="15" customHeight="1">
      <c r="A90" s="34" t="s">
        <v>2168</v>
      </c>
      <c r="B90" s="37" t="s">
        <v>2141</v>
      </c>
      <c r="C90" s="38">
        <v>3.3808999999999999E-2</v>
      </c>
      <c r="D90" s="38">
        <v>3.4185E-2</v>
      </c>
      <c r="E90" s="38">
        <v>3.209E-2</v>
      </c>
      <c r="F90" s="38">
        <v>3.1961999999999997E-2</v>
      </c>
      <c r="G90" s="38">
        <v>3.1167E-2</v>
      </c>
      <c r="H90" s="38">
        <v>3.0303E-2</v>
      </c>
      <c r="I90" s="38">
        <v>2.9252E-2</v>
      </c>
      <c r="J90" s="38">
        <v>2.8077000000000001E-2</v>
      </c>
      <c r="K90" s="38">
        <v>2.6841E-2</v>
      </c>
      <c r="L90" s="38">
        <v>2.5627E-2</v>
      </c>
      <c r="M90" s="38">
        <v>2.4441000000000001E-2</v>
      </c>
      <c r="N90" s="38">
        <v>2.3382E-2</v>
      </c>
      <c r="O90" s="38">
        <v>2.2426999999999999E-2</v>
      </c>
      <c r="P90" s="38">
        <v>2.1575E-2</v>
      </c>
      <c r="Q90" s="38">
        <v>2.0766E-2</v>
      </c>
      <c r="R90" s="38">
        <v>2.0174000000000001E-2</v>
      </c>
      <c r="S90" s="38">
        <v>1.9734000000000002E-2</v>
      </c>
      <c r="T90" s="38">
        <v>1.9435000000000001E-2</v>
      </c>
      <c r="U90" s="38">
        <v>1.9276999999999999E-2</v>
      </c>
      <c r="V90" s="38">
        <v>1.9193000000000002E-2</v>
      </c>
      <c r="W90" s="38">
        <v>1.9181E-2</v>
      </c>
      <c r="X90" s="38">
        <v>1.9265000000000001E-2</v>
      </c>
      <c r="Y90" s="38">
        <v>1.9361E-2</v>
      </c>
      <c r="Z90" s="38">
        <v>1.9505000000000002E-2</v>
      </c>
      <c r="AA90" s="38">
        <v>1.9633999999999999E-2</v>
      </c>
      <c r="AB90" s="38">
        <v>1.9872000000000001E-2</v>
      </c>
      <c r="AC90" s="38">
        <v>2.0087000000000001E-2</v>
      </c>
      <c r="AD90" s="38">
        <v>2.0365999999999999E-2</v>
      </c>
      <c r="AE90" s="38">
        <v>2.0629999999999999E-2</v>
      </c>
      <c r="AF90" s="35">
        <v>-1.7486999999999999E-2</v>
      </c>
      <c r="AG90" s="29"/>
    </row>
    <row r="91" spans="1:33" ht="15" customHeight="1">
      <c r="A91" s="34" t="s">
        <v>2169</v>
      </c>
      <c r="B91" s="37" t="s">
        <v>2143</v>
      </c>
      <c r="C91" s="38">
        <v>3.2076410000000002</v>
      </c>
      <c r="D91" s="38">
        <v>3.4227699999999999</v>
      </c>
      <c r="E91" s="38">
        <v>3.4693510000000001</v>
      </c>
      <c r="F91" s="38">
        <v>3.4755720000000001</v>
      </c>
      <c r="G91" s="38">
        <v>3.5156429999999999</v>
      </c>
      <c r="H91" s="38">
        <v>3.555428</v>
      </c>
      <c r="I91" s="38">
        <v>3.5867559999999998</v>
      </c>
      <c r="J91" s="38">
        <v>3.609979</v>
      </c>
      <c r="K91" s="38">
        <v>3.6261999999999999</v>
      </c>
      <c r="L91" s="38">
        <v>3.6422979999999998</v>
      </c>
      <c r="M91" s="38">
        <v>3.6679409999999999</v>
      </c>
      <c r="N91" s="38">
        <v>3.6949190000000001</v>
      </c>
      <c r="O91" s="38">
        <v>3.7192029999999998</v>
      </c>
      <c r="P91" s="38">
        <v>3.7481580000000001</v>
      </c>
      <c r="Q91" s="38">
        <v>3.7858100000000001</v>
      </c>
      <c r="R91" s="38">
        <v>3.8309199999999999</v>
      </c>
      <c r="S91" s="38">
        <v>3.8783069999999999</v>
      </c>
      <c r="T91" s="38">
        <v>3.9277929999999999</v>
      </c>
      <c r="U91" s="38">
        <v>3.98536</v>
      </c>
      <c r="V91" s="38">
        <v>4.0404499999999999</v>
      </c>
      <c r="W91" s="38">
        <v>4.0965020000000001</v>
      </c>
      <c r="X91" s="38">
        <v>4.1533959999999999</v>
      </c>
      <c r="Y91" s="38">
        <v>4.2101170000000003</v>
      </c>
      <c r="Z91" s="38">
        <v>4.2652929999999998</v>
      </c>
      <c r="AA91" s="38">
        <v>4.3191079999999999</v>
      </c>
      <c r="AB91" s="38">
        <v>4.3769239999999998</v>
      </c>
      <c r="AC91" s="38">
        <v>4.4353590000000001</v>
      </c>
      <c r="AD91" s="38">
        <v>4.4929920000000001</v>
      </c>
      <c r="AE91" s="38">
        <v>4.5573110000000003</v>
      </c>
      <c r="AF91" s="35">
        <v>1.2622E-2</v>
      </c>
      <c r="AG91" s="29"/>
    </row>
    <row r="92" spans="1:33" ht="12" customHeight="1">
      <c r="A92" s="34" t="s">
        <v>2170</v>
      </c>
      <c r="B92" s="37" t="s">
        <v>2171</v>
      </c>
      <c r="C92" s="38">
        <v>4.3489999999999996E-3</v>
      </c>
      <c r="D92" s="38">
        <v>4.4910000000000002E-3</v>
      </c>
      <c r="E92" s="38">
        <v>4.0049999999999999E-3</v>
      </c>
      <c r="F92" s="38">
        <v>4.1660000000000004E-3</v>
      </c>
      <c r="G92" s="38">
        <v>4.1939999999999998E-3</v>
      </c>
      <c r="H92" s="38">
        <v>4.2230000000000002E-3</v>
      </c>
      <c r="I92" s="38">
        <v>4.2300000000000003E-3</v>
      </c>
      <c r="J92" s="38">
        <v>4.2139999999999999E-3</v>
      </c>
      <c r="K92" s="38">
        <v>4.215E-3</v>
      </c>
      <c r="L92" s="38">
        <v>4.1830000000000001E-3</v>
      </c>
      <c r="M92" s="38">
        <v>4.1710000000000002E-3</v>
      </c>
      <c r="N92" s="38">
        <v>4.1590000000000004E-3</v>
      </c>
      <c r="O92" s="38">
        <v>4.143E-3</v>
      </c>
      <c r="P92" s="38">
        <v>4.1269999999999996E-3</v>
      </c>
      <c r="Q92" s="38">
        <v>4.1149999999999997E-3</v>
      </c>
      <c r="R92" s="38">
        <v>4.1019999999999997E-3</v>
      </c>
      <c r="S92" s="38">
        <v>4.0899999999999999E-3</v>
      </c>
      <c r="T92" s="38">
        <v>4.0800000000000003E-3</v>
      </c>
      <c r="U92" s="38">
        <v>4.0679999999999996E-3</v>
      </c>
      <c r="V92" s="38">
        <v>4.0480000000000004E-3</v>
      </c>
      <c r="W92" s="38">
        <v>4.0439999999999999E-3</v>
      </c>
      <c r="X92" s="38">
        <v>4.0280000000000003E-3</v>
      </c>
      <c r="Y92" s="38">
        <v>4.0330000000000001E-3</v>
      </c>
      <c r="Z92" s="38">
        <v>4.0150000000000003E-3</v>
      </c>
      <c r="AA92" s="38">
        <v>3.9579999999999997E-3</v>
      </c>
      <c r="AB92" s="38">
        <v>3.954E-3</v>
      </c>
      <c r="AC92" s="38">
        <v>3.9480000000000001E-3</v>
      </c>
      <c r="AD92" s="38">
        <v>3.9379999999999997E-3</v>
      </c>
      <c r="AE92" s="38">
        <v>3.9350000000000001E-3</v>
      </c>
      <c r="AF92" s="35">
        <v>-3.5690000000000001E-3</v>
      </c>
      <c r="AG92" s="29"/>
    </row>
    <row r="93" spans="1:33" ht="15" customHeight="1">
      <c r="A93" s="34" t="s">
        <v>2172</v>
      </c>
      <c r="B93" s="37" t="s">
        <v>2066</v>
      </c>
      <c r="C93" s="38">
        <v>8.2242510000000006</v>
      </c>
      <c r="D93" s="38">
        <v>8.2043820000000007</v>
      </c>
      <c r="E93" s="38">
        <v>8.0367040000000003</v>
      </c>
      <c r="F93" s="38">
        <v>7.9607049999999999</v>
      </c>
      <c r="G93" s="38">
        <v>7.8954069999999996</v>
      </c>
      <c r="H93" s="38">
        <v>7.8233940000000004</v>
      </c>
      <c r="I93" s="38">
        <v>7.7660989999999996</v>
      </c>
      <c r="J93" s="38">
        <v>7.7072029999999998</v>
      </c>
      <c r="K93" s="38">
        <v>7.6369980000000002</v>
      </c>
      <c r="L93" s="38">
        <v>7.5709200000000001</v>
      </c>
      <c r="M93" s="38">
        <v>7.5269209999999998</v>
      </c>
      <c r="N93" s="38">
        <v>7.4820450000000003</v>
      </c>
      <c r="O93" s="38">
        <v>7.4416330000000004</v>
      </c>
      <c r="P93" s="38">
        <v>7.4103899999999996</v>
      </c>
      <c r="Q93" s="38">
        <v>7.3784489999999998</v>
      </c>
      <c r="R93" s="38">
        <v>7.3590210000000003</v>
      </c>
      <c r="S93" s="38">
        <v>7.3460669999999997</v>
      </c>
      <c r="T93" s="38">
        <v>7.3304580000000001</v>
      </c>
      <c r="U93" s="38">
        <v>7.3244210000000001</v>
      </c>
      <c r="V93" s="38">
        <v>7.324719</v>
      </c>
      <c r="W93" s="38">
        <v>7.3254469999999996</v>
      </c>
      <c r="X93" s="38">
        <v>7.3232220000000003</v>
      </c>
      <c r="Y93" s="38">
        <v>7.318562</v>
      </c>
      <c r="Z93" s="38">
        <v>7.3116979999999998</v>
      </c>
      <c r="AA93" s="38">
        <v>7.3092499999999996</v>
      </c>
      <c r="AB93" s="38">
        <v>7.3076249999999998</v>
      </c>
      <c r="AC93" s="38">
        <v>7.3018960000000002</v>
      </c>
      <c r="AD93" s="38">
        <v>7.2948599999999999</v>
      </c>
      <c r="AE93" s="38">
        <v>7.3074789999999998</v>
      </c>
      <c r="AF93" s="35">
        <v>-4.2119999999999996E-3</v>
      </c>
      <c r="AG93" s="29"/>
    </row>
    <row r="94" spans="1:33" ht="15" customHeight="1">
      <c r="A94" s="34" t="s">
        <v>2173</v>
      </c>
      <c r="B94" s="37" t="s">
        <v>2090</v>
      </c>
      <c r="C94" s="38">
        <v>0.74403600000000003</v>
      </c>
      <c r="D94" s="38">
        <v>0.59810600000000003</v>
      </c>
      <c r="E94" s="38">
        <v>0.56601999999999997</v>
      </c>
      <c r="F94" s="38">
        <v>0.56119699999999995</v>
      </c>
      <c r="G94" s="38">
        <v>0.53463099999999997</v>
      </c>
      <c r="H94" s="38">
        <v>0.52211099999999999</v>
      </c>
      <c r="I94" s="38">
        <v>0.50204000000000004</v>
      </c>
      <c r="J94" s="38">
        <v>0.48959399999999997</v>
      </c>
      <c r="K94" s="38">
        <v>0.480462</v>
      </c>
      <c r="L94" s="38">
        <v>0.48019600000000001</v>
      </c>
      <c r="M94" s="38">
        <v>0.47948200000000002</v>
      </c>
      <c r="N94" s="38">
        <v>0.479964</v>
      </c>
      <c r="O94" s="38">
        <v>0.478298</v>
      </c>
      <c r="P94" s="38">
        <v>0.47883999999999999</v>
      </c>
      <c r="Q94" s="38">
        <v>0.47601199999999999</v>
      </c>
      <c r="R94" s="38">
        <v>0.47552100000000003</v>
      </c>
      <c r="S94" s="38">
        <v>0.47525000000000001</v>
      </c>
      <c r="T94" s="38">
        <v>0.47311700000000001</v>
      </c>
      <c r="U94" s="38">
        <v>0.47237899999999999</v>
      </c>
      <c r="V94" s="38">
        <v>0.47192800000000001</v>
      </c>
      <c r="W94" s="38">
        <v>0.47248099999999998</v>
      </c>
      <c r="X94" s="38">
        <v>0.47098699999999999</v>
      </c>
      <c r="Y94" s="38">
        <v>0.470221</v>
      </c>
      <c r="Z94" s="38">
        <v>0.46890199999999999</v>
      </c>
      <c r="AA94" s="38">
        <v>0.47459899999999999</v>
      </c>
      <c r="AB94" s="38">
        <v>0.47405799999999998</v>
      </c>
      <c r="AC94" s="38">
        <v>0.46920499999999998</v>
      </c>
      <c r="AD94" s="38">
        <v>0.46545399999999998</v>
      </c>
      <c r="AE94" s="38">
        <v>0.461036</v>
      </c>
      <c r="AF94" s="35">
        <v>-1.6948000000000001E-2</v>
      </c>
      <c r="AG94" s="29"/>
    </row>
    <row r="95" spans="1:33" ht="15" customHeight="1">
      <c r="A95" s="34" t="s">
        <v>2174</v>
      </c>
      <c r="B95" s="37" t="s">
        <v>2108</v>
      </c>
      <c r="C95" s="38">
        <v>0.52429800000000004</v>
      </c>
      <c r="D95" s="38">
        <v>0.59491700000000003</v>
      </c>
      <c r="E95" s="38">
        <v>0.55000000000000004</v>
      </c>
      <c r="F95" s="38">
        <v>0.55000000000000004</v>
      </c>
      <c r="G95" s="38">
        <v>0.55000000000000004</v>
      </c>
      <c r="H95" s="38">
        <v>0.55000000000000004</v>
      </c>
      <c r="I95" s="38">
        <v>0.55000000000000004</v>
      </c>
      <c r="J95" s="38">
        <v>0.55000000000000004</v>
      </c>
      <c r="K95" s="38">
        <v>0.55000000000000004</v>
      </c>
      <c r="L95" s="38">
        <v>0.55000000000000004</v>
      </c>
      <c r="M95" s="38">
        <v>0.55000000000000004</v>
      </c>
      <c r="N95" s="38">
        <v>0.55000000000000004</v>
      </c>
      <c r="O95" s="38">
        <v>0.55000000000000004</v>
      </c>
      <c r="P95" s="38">
        <v>0.55000000000000004</v>
      </c>
      <c r="Q95" s="38">
        <v>0.55000000000000004</v>
      </c>
      <c r="R95" s="38">
        <v>0.55000000000000004</v>
      </c>
      <c r="S95" s="38">
        <v>0.55000000000000004</v>
      </c>
      <c r="T95" s="38">
        <v>0.55000000000000004</v>
      </c>
      <c r="U95" s="38">
        <v>0.55000000000000004</v>
      </c>
      <c r="V95" s="38">
        <v>0.55000000000000004</v>
      </c>
      <c r="W95" s="38">
        <v>0.55000000000000004</v>
      </c>
      <c r="X95" s="38">
        <v>0.55000000000000004</v>
      </c>
      <c r="Y95" s="38">
        <v>0.55000000000000004</v>
      </c>
      <c r="Z95" s="38">
        <v>0.55000000000000004</v>
      </c>
      <c r="AA95" s="38">
        <v>0.55000000000000004</v>
      </c>
      <c r="AB95" s="38">
        <v>0.55000000000000004</v>
      </c>
      <c r="AC95" s="38">
        <v>0.55000000000000004</v>
      </c>
      <c r="AD95" s="38">
        <v>0.55000000000000004</v>
      </c>
      <c r="AE95" s="38">
        <v>0.55000000000000004</v>
      </c>
      <c r="AF95" s="35">
        <v>1.7110000000000001E-3</v>
      </c>
      <c r="AG95" s="29"/>
    </row>
    <row r="96" spans="1:33" ht="15" customHeight="1">
      <c r="A96" s="34" t="s">
        <v>2175</v>
      </c>
      <c r="B96" s="37" t="s">
        <v>2176</v>
      </c>
      <c r="C96" s="38">
        <v>3.3626849999999999</v>
      </c>
      <c r="D96" s="38">
        <v>3.1847819999999998</v>
      </c>
      <c r="E96" s="38">
        <v>3.113845</v>
      </c>
      <c r="F96" s="38">
        <v>3.1926399999999999</v>
      </c>
      <c r="G96" s="38">
        <v>3.1966939999999999</v>
      </c>
      <c r="H96" s="38">
        <v>3.205978</v>
      </c>
      <c r="I96" s="38">
        <v>3.235325</v>
      </c>
      <c r="J96" s="38">
        <v>3.2673510000000001</v>
      </c>
      <c r="K96" s="38">
        <v>3.2984140000000002</v>
      </c>
      <c r="L96" s="38">
        <v>3.3227519999999999</v>
      </c>
      <c r="M96" s="38">
        <v>3.3526020000000001</v>
      </c>
      <c r="N96" s="38">
        <v>3.3691629999999999</v>
      </c>
      <c r="O96" s="38">
        <v>3.4115350000000002</v>
      </c>
      <c r="P96" s="38">
        <v>3.432283</v>
      </c>
      <c r="Q96" s="38">
        <v>3.4393159999999998</v>
      </c>
      <c r="R96" s="38">
        <v>3.4604940000000002</v>
      </c>
      <c r="S96" s="38">
        <v>3.4828939999999999</v>
      </c>
      <c r="T96" s="38">
        <v>3.5022030000000002</v>
      </c>
      <c r="U96" s="38">
        <v>3.5316010000000002</v>
      </c>
      <c r="V96" s="38">
        <v>3.5575800000000002</v>
      </c>
      <c r="W96" s="38">
        <v>3.577172</v>
      </c>
      <c r="X96" s="38">
        <v>3.5801780000000001</v>
      </c>
      <c r="Y96" s="38">
        <v>3.5976379999999999</v>
      </c>
      <c r="Z96" s="38">
        <v>3.6217980000000001</v>
      </c>
      <c r="AA96" s="38">
        <v>3.6294940000000002</v>
      </c>
      <c r="AB96" s="38">
        <v>3.6434259999999998</v>
      </c>
      <c r="AC96" s="38">
        <v>3.6498569999999999</v>
      </c>
      <c r="AD96" s="38">
        <v>3.6576620000000002</v>
      </c>
      <c r="AE96" s="38">
        <v>3.6622530000000002</v>
      </c>
      <c r="AF96" s="35">
        <v>3.052E-3</v>
      </c>
      <c r="AG96" s="29"/>
    </row>
    <row r="97" spans="1:33" ht="15" customHeight="1">
      <c r="A97" s="34" t="s">
        <v>2177</v>
      </c>
      <c r="B97" s="37" t="s">
        <v>2068</v>
      </c>
      <c r="C97" s="38">
        <v>36.704425999999998</v>
      </c>
      <c r="D97" s="38">
        <v>36.875450000000001</v>
      </c>
      <c r="E97" s="38">
        <v>36.433456</v>
      </c>
      <c r="F97" s="38">
        <v>36.279186000000003</v>
      </c>
      <c r="G97" s="38">
        <v>36.141303999999998</v>
      </c>
      <c r="H97" s="38">
        <v>36.006649000000003</v>
      </c>
      <c r="I97" s="38">
        <v>35.845790999999998</v>
      </c>
      <c r="J97" s="38">
        <v>35.637745000000002</v>
      </c>
      <c r="K97" s="38">
        <v>35.388832000000001</v>
      </c>
      <c r="L97" s="38">
        <v>35.175739</v>
      </c>
      <c r="M97" s="38">
        <v>35.017212000000001</v>
      </c>
      <c r="N97" s="38">
        <v>34.880344000000001</v>
      </c>
      <c r="O97" s="38">
        <v>34.800552000000003</v>
      </c>
      <c r="P97" s="38">
        <v>34.707230000000003</v>
      </c>
      <c r="Q97" s="38">
        <v>34.593842000000002</v>
      </c>
      <c r="R97" s="38">
        <v>34.549320000000002</v>
      </c>
      <c r="S97" s="38">
        <v>34.519393999999998</v>
      </c>
      <c r="T97" s="38">
        <v>34.513587999999999</v>
      </c>
      <c r="U97" s="38">
        <v>34.575733</v>
      </c>
      <c r="V97" s="38">
        <v>34.642982000000003</v>
      </c>
      <c r="W97" s="38">
        <v>34.717758000000003</v>
      </c>
      <c r="X97" s="38">
        <v>34.791786000000002</v>
      </c>
      <c r="Y97" s="38">
        <v>34.888851000000003</v>
      </c>
      <c r="Z97" s="38">
        <v>35.004683999999997</v>
      </c>
      <c r="AA97" s="38">
        <v>35.157432999999997</v>
      </c>
      <c r="AB97" s="38">
        <v>35.348671000000003</v>
      </c>
      <c r="AC97" s="38">
        <v>35.503342000000004</v>
      </c>
      <c r="AD97" s="38">
        <v>35.682490999999999</v>
      </c>
      <c r="AE97" s="38">
        <v>35.949947000000002</v>
      </c>
      <c r="AF97" s="35">
        <v>-7.4100000000000001E-4</v>
      </c>
      <c r="AG97" s="29"/>
    </row>
    <row r="98" spans="1:33" ht="15" customHeight="1">
      <c r="A98" s="34" t="s">
        <v>2178</v>
      </c>
      <c r="B98" s="37" t="s">
        <v>2070</v>
      </c>
      <c r="C98" s="38">
        <v>17.68647</v>
      </c>
      <c r="D98" s="38">
        <v>17.440135999999999</v>
      </c>
      <c r="E98" s="38">
        <v>17.013041000000001</v>
      </c>
      <c r="F98" s="38">
        <v>17.221502000000001</v>
      </c>
      <c r="G98" s="38">
        <v>17.515754999999999</v>
      </c>
      <c r="H98" s="38">
        <v>17.696159000000002</v>
      </c>
      <c r="I98" s="38">
        <v>17.84882</v>
      </c>
      <c r="J98" s="38">
        <v>17.919737000000001</v>
      </c>
      <c r="K98" s="38">
        <v>17.957882000000001</v>
      </c>
      <c r="L98" s="38">
        <v>17.964850999999999</v>
      </c>
      <c r="M98" s="38">
        <v>17.995201000000002</v>
      </c>
      <c r="N98" s="38">
        <v>18.010954000000002</v>
      </c>
      <c r="O98" s="38">
        <v>18.053604</v>
      </c>
      <c r="P98" s="38">
        <v>18.091162000000001</v>
      </c>
      <c r="Q98" s="38">
        <v>18.147901999999998</v>
      </c>
      <c r="R98" s="38">
        <v>18.200220000000002</v>
      </c>
      <c r="S98" s="38">
        <v>18.242184000000002</v>
      </c>
      <c r="T98" s="38">
        <v>18.313113999999999</v>
      </c>
      <c r="U98" s="38">
        <v>18.366137999999999</v>
      </c>
      <c r="V98" s="38">
        <v>18.435905000000002</v>
      </c>
      <c r="W98" s="38">
        <v>18.501852</v>
      </c>
      <c r="X98" s="38">
        <v>18.579488999999999</v>
      </c>
      <c r="Y98" s="38">
        <v>18.651378999999999</v>
      </c>
      <c r="Z98" s="38">
        <v>18.712637000000001</v>
      </c>
      <c r="AA98" s="38">
        <v>18.704806999999999</v>
      </c>
      <c r="AB98" s="38">
        <v>18.792770000000001</v>
      </c>
      <c r="AC98" s="38">
        <v>18.892942000000001</v>
      </c>
      <c r="AD98" s="38">
        <v>18.991282000000002</v>
      </c>
      <c r="AE98" s="38">
        <v>19.118760999999999</v>
      </c>
      <c r="AF98" s="35">
        <v>2.7850000000000001E-3</v>
      </c>
      <c r="AG98" s="29"/>
    </row>
    <row r="99" spans="1:33" ht="15" customHeight="1">
      <c r="A99" s="34" t="s">
        <v>2179</v>
      </c>
      <c r="B99" s="37" t="s">
        <v>2114</v>
      </c>
      <c r="C99" s="38">
        <v>0</v>
      </c>
      <c r="D99" s="38">
        <v>0</v>
      </c>
      <c r="E99" s="38">
        <v>0</v>
      </c>
      <c r="F99" s="38">
        <v>0</v>
      </c>
      <c r="G99" s="38">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5" t="s">
        <v>1278</v>
      </c>
      <c r="AG99" s="29"/>
    </row>
    <row r="100" spans="1:33" ht="15" customHeight="1">
      <c r="A100" s="34" t="s">
        <v>2180</v>
      </c>
      <c r="B100" s="37" t="s">
        <v>2116</v>
      </c>
      <c r="C100" s="38">
        <v>2.058109</v>
      </c>
      <c r="D100" s="38">
        <v>2.092768</v>
      </c>
      <c r="E100" s="38">
        <v>2.0814270000000001</v>
      </c>
      <c r="F100" s="38">
        <v>2.0905629999999999</v>
      </c>
      <c r="G100" s="38">
        <v>2.1201449999999999</v>
      </c>
      <c r="H100" s="38">
        <v>2.120571</v>
      </c>
      <c r="I100" s="38">
        <v>2.1526890000000001</v>
      </c>
      <c r="J100" s="38">
        <v>2.1577320000000002</v>
      </c>
      <c r="K100" s="38">
        <v>2.1695030000000002</v>
      </c>
      <c r="L100" s="38">
        <v>2.1815989999999998</v>
      </c>
      <c r="M100" s="38">
        <v>2.2111010000000002</v>
      </c>
      <c r="N100" s="38">
        <v>2.2290570000000001</v>
      </c>
      <c r="O100" s="38">
        <v>2.2467280000000001</v>
      </c>
      <c r="P100" s="38">
        <v>2.2575560000000001</v>
      </c>
      <c r="Q100" s="38">
        <v>2.2863720000000001</v>
      </c>
      <c r="R100" s="38">
        <v>2.3044690000000001</v>
      </c>
      <c r="S100" s="38">
        <v>2.314082</v>
      </c>
      <c r="T100" s="38">
        <v>2.3346290000000001</v>
      </c>
      <c r="U100" s="38">
        <v>2.333602</v>
      </c>
      <c r="V100" s="38">
        <v>2.335842</v>
      </c>
      <c r="W100" s="38">
        <v>2.3531970000000002</v>
      </c>
      <c r="X100" s="38">
        <v>2.370949</v>
      </c>
      <c r="Y100" s="38">
        <v>2.3963049999999999</v>
      </c>
      <c r="Z100" s="38">
        <v>2.4046780000000001</v>
      </c>
      <c r="AA100" s="38">
        <v>2.4146890000000001</v>
      </c>
      <c r="AB100" s="38">
        <v>2.416207</v>
      </c>
      <c r="AC100" s="38">
        <v>2.4452199999999999</v>
      </c>
      <c r="AD100" s="38">
        <v>2.4601860000000002</v>
      </c>
      <c r="AE100" s="38">
        <v>2.4687199999999998</v>
      </c>
      <c r="AF100" s="35">
        <v>6.5180000000000004E-3</v>
      </c>
      <c r="AG100" s="29"/>
    </row>
    <row r="101" spans="1:33" ht="12" customHeight="1">
      <c r="A101" s="34" t="s">
        <v>2181</v>
      </c>
      <c r="B101" s="37" t="s">
        <v>2153</v>
      </c>
      <c r="C101" s="38">
        <v>0.33252300000000001</v>
      </c>
      <c r="D101" s="38">
        <v>0.377971</v>
      </c>
      <c r="E101" s="38">
        <v>0.38400499999999999</v>
      </c>
      <c r="F101" s="38">
        <v>0.40878300000000001</v>
      </c>
      <c r="G101" s="38">
        <v>0.44626100000000002</v>
      </c>
      <c r="H101" s="38">
        <v>0.47717300000000001</v>
      </c>
      <c r="I101" s="38">
        <v>0.50361</v>
      </c>
      <c r="J101" s="38">
        <v>0.52757100000000001</v>
      </c>
      <c r="K101" s="38">
        <v>0.57796899999999996</v>
      </c>
      <c r="L101" s="38">
        <v>0.62836700000000001</v>
      </c>
      <c r="M101" s="38">
        <v>0.68000400000000005</v>
      </c>
      <c r="N101" s="38">
        <v>0.72916400000000003</v>
      </c>
      <c r="O101" s="38">
        <v>0.77116200000000001</v>
      </c>
      <c r="P101" s="38">
        <v>0.79636099999999999</v>
      </c>
      <c r="Q101" s="38">
        <v>0.81439899999999998</v>
      </c>
      <c r="R101" s="38">
        <v>0.82996000000000003</v>
      </c>
      <c r="S101" s="38">
        <v>0.83835999999999999</v>
      </c>
      <c r="T101" s="38">
        <v>0.83835999999999999</v>
      </c>
      <c r="U101" s="38">
        <v>0.83959799999999996</v>
      </c>
      <c r="V101" s="38">
        <v>0.83835999999999999</v>
      </c>
      <c r="W101" s="38">
        <v>0.83835999999999999</v>
      </c>
      <c r="X101" s="38">
        <v>0.83835999999999999</v>
      </c>
      <c r="Y101" s="38">
        <v>0.83959799999999996</v>
      </c>
      <c r="Z101" s="38">
        <v>0.83835999999999999</v>
      </c>
      <c r="AA101" s="38">
        <v>0.83835999999999999</v>
      </c>
      <c r="AB101" s="38">
        <v>0.83835999999999999</v>
      </c>
      <c r="AC101" s="38">
        <v>0.83959799999999996</v>
      </c>
      <c r="AD101" s="38">
        <v>0.83835999999999999</v>
      </c>
      <c r="AE101" s="38">
        <v>0.83835999999999999</v>
      </c>
      <c r="AF101" s="35">
        <v>3.3577999999999997E-2</v>
      </c>
      <c r="AG101" s="29"/>
    </row>
    <row r="102" spans="1:33" ht="12" customHeight="1">
      <c r="A102" s="34" t="s">
        <v>2182</v>
      </c>
      <c r="B102" s="37" t="s">
        <v>2151</v>
      </c>
      <c r="C102" s="38">
        <v>0.90573199999999998</v>
      </c>
      <c r="D102" s="38">
        <v>0.82054300000000002</v>
      </c>
      <c r="E102" s="38">
        <v>0.76098200000000005</v>
      </c>
      <c r="F102" s="38">
        <v>0.72675199999999995</v>
      </c>
      <c r="G102" s="38">
        <v>0.69584999999999997</v>
      </c>
      <c r="H102" s="38">
        <v>0.65398500000000004</v>
      </c>
      <c r="I102" s="38">
        <v>0.61392800000000003</v>
      </c>
      <c r="J102" s="38">
        <v>0.61203300000000005</v>
      </c>
      <c r="K102" s="38">
        <v>0.61031599999999997</v>
      </c>
      <c r="L102" s="38">
        <v>0.61189700000000002</v>
      </c>
      <c r="M102" s="38">
        <v>0.61776399999999998</v>
      </c>
      <c r="N102" s="38">
        <v>0.62628499999999998</v>
      </c>
      <c r="O102" s="38">
        <v>0.63076699999999997</v>
      </c>
      <c r="P102" s="38">
        <v>0.63347699999999996</v>
      </c>
      <c r="Q102" s="38">
        <v>0.63400299999999998</v>
      </c>
      <c r="R102" s="38">
        <v>0.63296799999999998</v>
      </c>
      <c r="S102" s="38">
        <v>0.63783100000000004</v>
      </c>
      <c r="T102" s="38">
        <v>0.63666800000000001</v>
      </c>
      <c r="U102" s="38">
        <v>0.64580700000000002</v>
      </c>
      <c r="V102" s="38">
        <v>0.65242699999999998</v>
      </c>
      <c r="W102" s="38">
        <v>0.65816600000000003</v>
      </c>
      <c r="X102" s="38">
        <v>0.66099399999999997</v>
      </c>
      <c r="Y102" s="38">
        <v>0.66509499999999999</v>
      </c>
      <c r="Z102" s="38">
        <v>0.66920299999999999</v>
      </c>
      <c r="AA102" s="38">
        <v>0.67453399999999997</v>
      </c>
      <c r="AB102" s="38">
        <v>0.68213500000000005</v>
      </c>
      <c r="AC102" s="38">
        <v>0.68949099999999997</v>
      </c>
      <c r="AD102" s="38">
        <v>0.691882</v>
      </c>
      <c r="AE102" s="38">
        <v>0.69677699999999998</v>
      </c>
      <c r="AF102" s="35">
        <v>-9.3229999999999997E-3</v>
      </c>
      <c r="AG102" s="29"/>
    </row>
    <row r="103" spans="1:33" ht="15" customHeight="1">
      <c r="A103" s="34" t="s">
        <v>2183</v>
      </c>
      <c r="B103" s="37" t="s">
        <v>2118</v>
      </c>
      <c r="C103" s="38">
        <v>20.982835999999999</v>
      </c>
      <c r="D103" s="38">
        <v>20.731417</v>
      </c>
      <c r="E103" s="38">
        <v>20.239453999999999</v>
      </c>
      <c r="F103" s="38">
        <v>20.447600999999999</v>
      </c>
      <c r="G103" s="38">
        <v>20.778010999999999</v>
      </c>
      <c r="H103" s="38">
        <v>20.947889</v>
      </c>
      <c r="I103" s="38">
        <v>21.119046999999998</v>
      </c>
      <c r="J103" s="38">
        <v>21.217072999999999</v>
      </c>
      <c r="K103" s="38">
        <v>21.315670000000001</v>
      </c>
      <c r="L103" s="38">
        <v>21.386713</v>
      </c>
      <c r="M103" s="38">
        <v>21.504069999999999</v>
      </c>
      <c r="N103" s="38">
        <v>21.595461</v>
      </c>
      <c r="O103" s="38">
        <v>21.702261</v>
      </c>
      <c r="P103" s="38">
        <v>21.778559000000001</v>
      </c>
      <c r="Q103" s="38">
        <v>21.882674999999999</v>
      </c>
      <c r="R103" s="38">
        <v>21.967617000000001</v>
      </c>
      <c r="S103" s="38">
        <v>22.032457000000001</v>
      </c>
      <c r="T103" s="38">
        <v>22.122769999999999</v>
      </c>
      <c r="U103" s="38">
        <v>22.185146</v>
      </c>
      <c r="V103" s="38">
        <v>22.262535</v>
      </c>
      <c r="W103" s="38">
        <v>22.351576000000001</v>
      </c>
      <c r="X103" s="38">
        <v>22.449791000000001</v>
      </c>
      <c r="Y103" s="38">
        <v>22.552375999999999</v>
      </c>
      <c r="Z103" s="38">
        <v>22.624877999999999</v>
      </c>
      <c r="AA103" s="38">
        <v>22.632389</v>
      </c>
      <c r="AB103" s="38">
        <v>22.729471</v>
      </c>
      <c r="AC103" s="38">
        <v>22.867249999999999</v>
      </c>
      <c r="AD103" s="38">
        <v>22.981708999999999</v>
      </c>
      <c r="AE103" s="38">
        <v>23.122617999999999</v>
      </c>
      <c r="AF103" s="35">
        <v>3.4740000000000001E-3</v>
      </c>
      <c r="AG103" s="29"/>
    </row>
    <row r="104" spans="1:33" ht="15" customHeight="1">
      <c r="A104" s="34" t="s">
        <v>2184</v>
      </c>
      <c r="B104" s="37" t="s">
        <v>2120</v>
      </c>
      <c r="C104" s="38">
        <v>0.45510800000000001</v>
      </c>
      <c r="D104" s="38">
        <v>0.46039799999999997</v>
      </c>
      <c r="E104" s="38">
        <v>0.45217499999999999</v>
      </c>
      <c r="F104" s="38">
        <v>0.44982299999999997</v>
      </c>
      <c r="G104" s="38">
        <v>0.45370199999999999</v>
      </c>
      <c r="H104" s="38">
        <v>0.45578000000000002</v>
      </c>
      <c r="I104" s="38">
        <v>0.45573000000000002</v>
      </c>
      <c r="J104" s="38">
        <v>0.45571200000000001</v>
      </c>
      <c r="K104" s="38">
        <v>0.451486</v>
      </c>
      <c r="L104" s="38">
        <v>0.4481</v>
      </c>
      <c r="M104" s="38">
        <v>0.44935999999999998</v>
      </c>
      <c r="N104" s="38">
        <v>0.44553500000000001</v>
      </c>
      <c r="O104" s="38">
        <v>0.44220500000000001</v>
      </c>
      <c r="P104" s="38">
        <v>0.43980599999999997</v>
      </c>
      <c r="Q104" s="38">
        <v>0.43729699999999999</v>
      </c>
      <c r="R104" s="38">
        <v>0.43605300000000002</v>
      </c>
      <c r="S104" s="38">
        <v>0.43048399999999998</v>
      </c>
      <c r="T104" s="38">
        <v>0.422705</v>
      </c>
      <c r="U104" s="38">
        <v>0.41761799999999999</v>
      </c>
      <c r="V104" s="38">
        <v>0.41546</v>
      </c>
      <c r="W104" s="38">
        <v>0.41492899999999999</v>
      </c>
      <c r="X104" s="38">
        <v>0.41280699999999998</v>
      </c>
      <c r="Y104" s="38">
        <v>0.409607</v>
      </c>
      <c r="Z104" s="38">
        <v>0.405553</v>
      </c>
      <c r="AA104" s="38">
        <v>0.40243699999999999</v>
      </c>
      <c r="AB104" s="38">
        <v>0.39993200000000001</v>
      </c>
      <c r="AC104" s="38">
        <v>0.395372</v>
      </c>
      <c r="AD104" s="38">
        <v>0.39264300000000002</v>
      </c>
      <c r="AE104" s="38">
        <v>0.39289600000000002</v>
      </c>
      <c r="AF104" s="35">
        <v>-5.2360000000000002E-3</v>
      </c>
      <c r="AG104" s="29"/>
    </row>
    <row r="105" spans="1:33" ht="15" customHeight="1">
      <c r="A105" s="34" t="s">
        <v>2185</v>
      </c>
      <c r="B105" s="37" t="s">
        <v>2186</v>
      </c>
      <c r="C105" s="38">
        <v>0.482178</v>
      </c>
      <c r="D105" s="38">
        <v>0.43453399999999998</v>
      </c>
      <c r="E105" s="38">
        <v>0.40174599999999999</v>
      </c>
      <c r="F105" s="38">
        <v>0.39771800000000002</v>
      </c>
      <c r="G105" s="38">
        <v>0.3972</v>
      </c>
      <c r="H105" s="38">
        <v>0.396206</v>
      </c>
      <c r="I105" s="38">
        <v>0.393621</v>
      </c>
      <c r="J105" s="38">
        <v>0.38627899999999998</v>
      </c>
      <c r="K105" s="38">
        <v>0.379299</v>
      </c>
      <c r="L105" s="38">
        <v>0.37084699999999998</v>
      </c>
      <c r="M105" s="38">
        <v>0.36347000000000002</v>
      </c>
      <c r="N105" s="38">
        <v>0.35511599999999999</v>
      </c>
      <c r="O105" s="38">
        <v>0.346777</v>
      </c>
      <c r="P105" s="38">
        <v>0.33881699999999998</v>
      </c>
      <c r="Q105" s="38">
        <v>0.32989299999999999</v>
      </c>
      <c r="R105" s="38">
        <v>0.321023</v>
      </c>
      <c r="S105" s="38">
        <v>0.31288700000000003</v>
      </c>
      <c r="T105" s="38">
        <v>0.30621100000000001</v>
      </c>
      <c r="U105" s="38">
        <v>0.30148999999999998</v>
      </c>
      <c r="V105" s="38">
        <v>0.29676999999999998</v>
      </c>
      <c r="W105" s="38">
        <v>0.29144700000000001</v>
      </c>
      <c r="X105" s="38">
        <v>0.28542299999999998</v>
      </c>
      <c r="Y105" s="38">
        <v>0.279275</v>
      </c>
      <c r="Z105" s="38">
        <v>0.274142</v>
      </c>
      <c r="AA105" s="38">
        <v>0.27564699999999998</v>
      </c>
      <c r="AB105" s="38">
        <v>0.27846599999999999</v>
      </c>
      <c r="AC105" s="38">
        <v>0.28501799999999999</v>
      </c>
      <c r="AD105" s="38">
        <v>0.283889</v>
      </c>
      <c r="AE105" s="38">
        <v>0.27966299999999999</v>
      </c>
      <c r="AF105" s="35">
        <v>-1.9265999999999998E-2</v>
      </c>
      <c r="AG105" s="29"/>
    </row>
    <row r="106" spans="1:33" ht="15" customHeight="1">
      <c r="A106" s="34" t="s">
        <v>2187</v>
      </c>
      <c r="B106" s="37" t="s">
        <v>2124</v>
      </c>
      <c r="C106" s="38">
        <v>0</v>
      </c>
      <c r="D106" s="38">
        <v>0</v>
      </c>
      <c r="E106" s="38">
        <v>0</v>
      </c>
      <c r="F106" s="38">
        <v>0</v>
      </c>
      <c r="G106" s="38">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5" t="s">
        <v>1278</v>
      </c>
      <c r="AG106" s="29"/>
    </row>
    <row r="107" spans="1:33" ht="15" customHeight="1">
      <c r="A107" s="34" t="s">
        <v>2188</v>
      </c>
      <c r="B107" s="37" t="s">
        <v>2126</v>
      </c>
      <c r="C107" s="38">
        <v>-6.5519999999999995E-2</v>
      </c>
      <c r="D107" s="38">
        <v>-5.2675E-2</v>
      </c>
      <c r="E107" s="38">
        <v>-2.8473999999999999E-2</v>
      </c>
      <c r="F107" s="38">
        <v>-2.8059000000000001E-2</v>
      </c>
      <c r="G107" s="38">
        <v>-2.7151999999999999E-2</v>
      </c>
      <c r="H107" s="38">
        <v>-2.6974000000000001E-2</v>
      </c>
      <c r="I107" s="38">
        <v>-2.6755000000000001E-2</v>
      </c>
      <c r="J107" s="38">
        <v>-2.6592999999999999E-2</v>
      </c>
      <c r="K107" s="38">
        <v>-2.6707000000000002E-2</v>
      </c>
      <c r="L107" s="38">
        <v>-2.6644999999999999E-2</v>
      </c>
      <c r="M107" s="38">
        <v>-2.6433000000000002E-2</v>
      </c>
      <c r="N107" s="38">
        <v>-2.6505999999999998E-2</v>
      </c>
      <c r="O107" s="38">
        <v>-2.6363999999999999E-2</v>
      </c>
      <c r="P107" s="38">
        <v>-2.6169000000000001E-2</v>
      </c>
      <c r="Q107" s="38">
        <v>-2.6079000000000001E-2</v>
      </c>
      <c r="R107" s="38">
        <v>-2.5746999999999999E-2</v>
      </c>
      <c r="S107" s="38">
        <v>-2.5531999999999999E-2</v>
      </c>
      <c r="T107" s="38">
        <v>-2.5347999999999999E-2</v>
      </c>
      <c r="U107" s="38">
        <v>-2.5149999999999999E-2</v>
      </c>
      <c r="V107" s="38">
        <v>-2.4885999999999998E-2</v>
      </c>
      <c r="W107" s="38">
        <v>-2.4641E-2</v>
      </c>
      <c r="X107" s="38">
        <v>-2.4509E-2</v>
      </c>
      <c r="Y107" s="38">
        <v>-2.4396999999999999E-2</v>
      </c>
      <c r="Z107" s="38">
        <v>-2.4327999999999999E-2</v>
      </c>
      <c r="AA107" s="38">
        <v>-2.4147999999999999E-2</v>
      </c>
      <c r="AB107" s="38">
        <v>-2.3947E-2</v>
      </c>
      <c r="AC107" s="38">
        <v>-2.3865999999999998E-2</v>
      </c>
      <c r="AD107" s="38">
        <v>-2.3709999999999998E-2</v>
      </c>
      <c r="AE107" s="38">
        <v>-2.3342999999999999E-2</v>
      </c>
      <c r="AF107" s="35">
        <v>-3.6187999999999998E-2</v>
      </c>
      <c r="AG107" s="29"/>
    </row>
    <row r="108" spans="1:33" ht="15" customHeight="1">
      <c r="A108" s="34" t="s">
        <v>2189</v>
      </c>
      <c r="B108" s="37" t="s">
        <v>2128</v>
      </c>
      <c r="C108" s="38">
        <v>0.87176600000000004</v>
      </c>
      <c r="D108" s="38">
        <v>0.84225700000000003</v>
      </c>
      <c r="E108" s="38">
        <v>0.82544700000000004</v>
      </c>
      <c r="F108" s="38">
        <v>0.81948200000000004</v>
      </c>
      <c r="G108" s="38">
        <v>0.82374999999999998</v>
      </c>
      <c r="H108" s="38">
        <v>0.825013</v>
      </c>
      <c r="I108" s="38">
        <v>0.82259599999999999</v>
      </c>
      <c r="J108" s="38">
        <v>0.81539700000000004</v>
      </c>
      <c r="K108" s="38">
        <v>0.80407799999999996</v>
      </c>
      <c r="L108" s="38">
        <v>0.79230299999999998</v>
      </c>
      <c r="M108" s="38">
        <v>0.78639700000000001</v>
      </c>
      <c r="N108" s="38">
        <v>0.77414499999999997</v>
      </c>
      <c r="O108" s="38">
        <v>0.76261800000000002</v>
      </c>
      <c r="P108" s="38">
        <v>0.75245399999999996</v>
      </c>
      <c r="Q108" s="38">
        <v>0.74111199999999999</v>
      </c>
      <c r="R108" s="38">
        <v>0.73133000000000004</v>
      </c>
      <c r="S108" s="38">
        <v>0.717839</v>
      </c>
      <c r="T108" s="38">
        <v>0.70356799999999997</v>
      </c>
      <c r="U108" s="38">
        <v>0.69395799999999996</v>
      </c>
      <c r="V108" s="38">
        <v>0.68734300000000004</v>
      </c>
      <c r="W108" s="38">
        <v>0.68173600000000001</v>
      </c>
      <c r="X108" s="38">
        <v>0.67372100000000001</v>
      </c>
      <c r="Y108" s="38">
        <v>0.66448499999999999</v>
      </c>
      <c r="Z108" s="38">
        <v>0.65536700000000003</v>
      </c>
      <c r="AA108" s="38">
        <v>0.65393599999999996</v>
      </c>
      <c r="AB108" s="38">
        <v>0.654451</v>
      </c>
      <c r="AC108" s="38">
        <v>0.65652500000000003</v>
      </c>
      <c r="AD108" s="38">
        <v>0.65282200000000001</v>
      </c>
      <c r="AE108" s="38">
        <v>0.64921600000000002</v>
      </c>
      <c r="AF108" s="35">
        <v>-1.0472E-2</v>
      </c>
      <c r="AG108" s="29"/>
    </row>
    <row r="109" spans="1:33" ht="15" customHeight="1">
      <c r="A109" s="34" t="s">
        <v>2190</v>
      </c>
      <c r="B109" s="37" t="s">
        <v>2130</v>
      </c>
      <c r="C109" s="38">
        <v>0.918076</v>
      </c>
      <c r="D109" s="38">
        <v>0.98457799999999995</v>
      </c>
      <c r="E109" s="38">
        <v>0.91028900000000001</v>
      </c>
      <c r="F109" s="38">
        <v>0.90657900000000002</v>
      </c>
      <c r="G109" s="38">
        <v>0.90483100000000005</v>
      </c>
      <c r="H109" s="38">
        <v>0.90374500000000002</v>
      </c>
      <c r="I109" s="38">
        <v>0.90679799999999999</v>
      </c>
      <c r="J109" s="38">
        <v>0.90332000000000001</v>
      </c>
      <c r="K109" s="38">
        <v>0.89893800000000001</v>
      </c>
      <c r="L109" s="38">
        <v>0.89509300000000003</v>
      </c>
      <c r="M109" s="38">
        <v>0.89138700000000004</v>
      </c>
      <c r="N109" s="38">
        <v>0.89019999999999999</v>
      </c>
      <c r="O109" s="38">
        <v>0.89020600000000005</v>
      </c>
      <c r="P109" s="38">
        <v>0.89728600000000003</v>
      </c>
      <c r="Q109" s="38">
        <v>0.89668300000000001</v>
      </c>
      <c r="R109" s="38">
        <v>0.89757100000000001</v>
      </c>
      <c r="S109" s="38">
        <v>0.89926799999999996</v>
      </c>
      <c r="T109" s="38">
        <v>0.90170099999999997</v>
      </c>
      <c r="U109" s="38">
        <v>0.90580700000000003</v>
      </c>
      <c r="V109" s="38">
        <v>0.91853799999999997</v>
      </c>
      <c r="W109" s="38">
        <v>0.92452100000000004</v>
      </c>
      <c r="X109" s="38">
        <v>0.93119799999999997</v>
      </c>
      <c r="Y109" s="38">
        <v>0.93196400000000001</v>
      </c>
      <c r="Z109" s="38">
        <v>0.93861300000000003</v>
      </c>
      <c r="AA109" s="38">
        <v>0.94881700000000002</v>
      </c>
      <c r="AB109" s="38">
        <v>0.96047800000000005</v>
      </c>
      <c r="AC109" s="38">
        <v>0.98155700000000001</v>
      </c>
      <c r="AD109" s="38">
        <v>0.99059399999999997</v>
      </c>
      <c r="AE109" s="38">
        <v>0.99686799999999998</v>
      </c>
      <c r="AF109" s="35">
        <v>2.9450000000000001E-3</v>
      </c>
      <c r="AG109" s="29"/>
    </row>
    <row r="110" spans="1:33" ht="15" customHeight="1">
      <c r="A110" s="34" t="s">
        <v>2191</v>
      </c>
      <c r="B110" s="37" t="s">
        <v>2192</v>
      </c>
      <c r="C110" s="38">
        <v>2.1605089999999998</v>
      </c>
      <c r="D110" s="38">
        <v>2.2689309999999998</v>
      </c>
      <c r="E110" s="38">
        <v>2.1779829999999998</v>
      </c>
      <c r="F110" s="38">
        <v>2.1628720000000001</v>
      </c>
      <c r="G110" s="38">
        <v>2.1500729999999999</v>
      </c>
      <c r="H110" s="38">
        <v>2.143783</v>
      </c>
      <c r="I110" s="38">
        <v>2.143834</v>
      </c>
      <c r="J110" s="38">
        <v>2.1444239999999999</v>
      </c>
      <c r="K110" s="38">
        <v>2.1427100000000001</v>
      </c>
      <c r="L110" s="38">
        <v>2.1441889999999999</v>
      </c>
      <c r="M110" s="38">
        <v>2.1491989999999999</v>
      </c>
      <c r="N110" s="38">
        <v>2.1546319999999999</v>
      </c>
      <c r="O110" s="38">
        <v>2.1606040000000002</v>
      </c>
      <c r="P110" s="38">
        <v>2.1642929999999998</v>
      </c>
      <c r="Q110" s="38">
        <v>2.1617500000000001</v>
      </c>
      <c r="R110" s="38">
        <v>2.1635870000000001</v>
      </c>
      <c r="S110" s="38">
        <v>2.1642359999999998</v>
      </c>
      <c r="T110" s="38">
        <v>2.1674950000000002</v>
      </c>
      <c r="U110" s="38">
        <v>2.1731060000000002</v>
      </c>
      <c r="V110" s="38">
        <v>2.1800099999999998</v>
      </c>
      <c r="W110" s="38">
        <v>2.186598</v>
      </c>
      <c r="X110" s="38">
        <v>2.1915119999999999</v>
      </c>
      <c r="Y110" s="38">
        <v>2.192593</v>
      </c>
      <c r="Z110" s="38">
        <v>2.1911489999999998</v>
      </c>
      <c r="AA110" s="38">
        <v>2.1937850000000001</v>
      </c>
      <c r="AB110" s="38">
        <v>2.200815</v>
      </c>
      <c r="AC110" s="38">
        <v>2.2023890000000002</v>
      </c>
      <c r="AD110" s="38">
        <v>2.206067</v>
      </c>
      <c r="AE110" s="38">
        <v>2.2174499999999999</v>
      </c>
      <c r="AF110" s="35">
        <v>9.2900000000000003E-4</v>
      </c>
      <c r="AG110" s="29"/>
    </row>
    <row r="111" spans="1:33" ht="15" customHeight="1">
      <c r="A111" s="34" t="s">
        <v>2193</v>
      </c>
      <c r="B111" s="37" t="s">
        <v>2157</v>
      </c>
      <c r="C111" s="38">
        <v>5.3899999999999998E-4</v>
      </c>
      <c r="D111" s="38">
        <v>6.5099999999999999E-4</v>
      </c>
      <c r="E111" s="38">
        <v>7.6499999999999995E-4</v>
      </c>
      <c r="F111" s="38">
        <v>8.5400000000000005E-4</v>
      </c>
      <c r="G111" s="38">
        <v>9.4399999999999996E-4</v>
      </c>
      <c r="H111" s="38">
        <v>1.0280000000000001E-3</v>
      </c>
      <c r="I111" s="38">
        <v>1.114E-3</v>
      </c>
      <c r="J111" s="38">
        <v>1.1919999999999999E-3</v>
      </c>
      <c r="K111" s="38">
        <v>1.2719999999999999E-3</v>
      </c>
      <c r="L111" s="38">
        <v>1.351E-3</v>
      </c>
      <c r="M111" s="38">
        <v>1.428E-3</v>
      </c>
      <c r="N111" s="38">
        <v>1.503E-3</v>
      </c>
      <c r="O111" s="38">
        <v>1.5770000000000001E-3</v>
      </c>
      <c r="P111" s="38">
        <v>1.65E-3</v>
      </c>
      <c r="Q111" s="38">
        <v>1.717E-3</v>
      </c>
      <c r="R111" s="38">
        <v>1.7830000000000001E-3</v>
      </c>
      <c r="S111" s="38">
        <v>1.8439999999999999E-3</v>
      </c>
      <c r="T111" s="38">
        <v>1.8990000000000001E-3</v>
      </c>
      <c r="U111" s="38">
        <v>1.946E-3</v>
      </c>
      <c r="V111" s="38">
        <v>1.9870000000000001E-3</v>
      </c>
      <c r="W111" s="38">
        <v>2.0279999999999999E-3</v>
      </c>
      <c r="X111" s="38">
        <v>2.0590000000000001E-3</v>
      </c>
      <c r="Y111" s="38">
        <v>2.0860000000000002E-3</v>
      </c>
      <c r="Z111" s="38">
        <v>2.1080000000000001E-3</v>
      </c>
      <c r="AA111" s="38">
        <v>2.1329999999999999E-3</v>
      </c>
      <c r="AB111" s="38">
        <v>2.16E-3</v>
      </c>
      <c r="AC111" s="38">
        <v>2.1840000000000002E-3</v>
      </c>
      <c r="AD111" s="38">
        <v>2.2070000000000002E-3</v>
      </c>
      <c r="AE111" s="38">
        <v>2.2300000000000002E-3</v>
      </c>
      <c r="AF111" s="35">
        <v>5.2003000000000001E-2</v>
      </c>
      <c r="AG111" s="29"/>
    </row>
    <row r="112" spans="1:33" ht="15" customHeight="1">
      <c r="A112" s="34" t="s">
        <v>2194</v>
      </c>
      <c r="B112" s="37" t="s">
        <v>2074</v>
      </c>
      <c r="C112" s="448">
        <v>13.25956</v>
      </c>
      <c r="D112" s="448">
        <v>13.106607</v>
      </c>
      <c r="E112" s="448">
        <v>13.193718000000001</v>
      </c>
      <c r="F112" s="448">
        <v>13.268276999999999</v>
      </c>
      <c r="G112" s="448">
        <v>13.378076999999999</v>
      </c>
      <c r="H112" s="448">
        <v>13.481723000000001</v>
      </c>
      <c r="I112" s="448">
        <v>13.600826</v>
      </c>
      <c r="J112" s="448">
        <v>13.704606</v>
      </c>
      <c r="K112" s="448">
        <v>13.791414</v>
      </c>
      <c r="L112" s="448">
        <v>13.874454999999999</v>
      </c>
      <c r="M112" s="448">
        <v>13.975178</v>
      </c>
      <c r="N112" s="448">
        <v>14.057914999999999</v>
      </c>
      <c r="O112" s="448">
        <v>14.147017999999999</v>
      </c>
      <c r="P112" s="448">
        <v>14.258470000000001</v>
      </c>
      <c r="Q112" s="448">
        <v>14.361027</v>
      </c>
      <c r="R112" s="448">
        <v>14.472165</v>
      </c>
      <c r="S112" s="448">
        <v>14.574152</v>
      </c>
      <c r="T112" s="448">
        <v>14.668983000000001</v>
      </c>
      <c r="U112" s="448">
        <v>14.771898</v>
      </c>
      <c r="V112" s="448">
        <v>14.884454</v>
      </c>
      <c r="W112" s="448">
        <v>15.001242</v>
      </c>
      <c r="X112" s="448">
        <v>15.118007</v>
      </c>
      <c r="Y112" s="448">
        <v>15.233165</v>
      </c>
      <c r="Z112" s="448">
        <v>15.352855999999999</v>
      </c>
      <c r="AA112" s="448">
        <v>15.496957999999999</v>
      </c>
      <c r="AB112" s="448">
        <v>15.641753</v>
      </c>
      <c r="AC112" s="448">
        <v>15.778473999999999</v>
      </c>
      <c r="AD112" s="448">
        <v>15.922247</v>
      </c>
      <c r="AE112" s="448">
        <v>16.092865</v>
      </c>
      <c r="AF112" s="447">
        <v>6.94E-3</v>
      </c>
      <c r="AG112" s="29"/>
    </row>
    <row r="113" spans="1:33" ht="15" customHeight="1">
      <c r="A113" s="34" t="s">
        <v>2195</v>
      </c>
      <c r="B113" s="33" t="s">
        <v>2076</v>
      </c>
      <c r="C113" s="39">
        <v>74.897712999999996</v>
      </c>
      <c r="D113" s="39">
        <v>74.809890999999993</v>
      </c>
      <c r="E113" s="39">
        <v>73.781113000000005</v>
      </c>
      <c r="F113" s="39">
        <v>73.884856999999997</v>
      </c>
      <c r="G113" s="39">
        <v>74.176986999999997</v>
      </c>
      <c r="H113" s="39">
        <v>74.309830000000005</v>
      </c>
      <c r="I113" s="39">
        <v>74.440002000000007</v>
      </c>
      <c r="J113" s="39">
        <v>74.423759000000004</v>
      </c>
      <c r="K113" s="39">
        <v>74.342911000000001</v>
      </c>
      <c r="L113" s="39">
        <v>74.269844000000006</v>
      </c>
      <c r="M113" s="39">
        <v>74.324875000000006</v>
      </c>
      <c r="N113" s="39">
        <v>74.354202000000001</v>
      </c>
      <c r="O113" s="39">
        <v>74.464836000000005</v>
      </c>
      <c r="P113" s="39">
        <v>74.559937000000005</v>
      </c>
      <c r="Q113" s="39">
        <v>74.638808999999995</v>
      </c>
      <c r="R113" s="39">
        <v>74.783371000000002</v>
      </c>
      <c r="S113" s="39">
        <v>74.909187000000003</v>
      </c>
      <c r="T113" s="39">
        <v>75.080009000000004</v>
      </c>
      <c r="U113" s="39">
        <v>75.307593999999995</v>
      </c>
      <c r="V113" s="39">
        <v>75.577849999999998</v>
      </c>
      <c r="W113" s="39">
        <v>75.865463000000005</v>
      </c>
      <c r="X113" s="39">
        <v>76.158073000000002</v>
      </c>
      <c r="Y113" s="39">
        <v>76.465523000000005</v>
      </c>
      <c r="Z113" s="39">
        <v>76.769653000000005</v>
      </c>
      <c r="AA113" s="39">
        <v>77.085448999999997</v>
      </c>
      <c r="AB113" s="39">
        <v>77.537796</v>
      </c>
      <c r="AC113" s="39">
        <v>77.991714000000002</v>
      </c>
      <c r="AD113" s="39">
        <v>78.438141000000002</v>
      </c>
      <c r="AE113" s="39">
        <v>79.031188999999998</v>
      </c>
      <c r="AF113" s="31">
        <v>1.92E-3</v>
      </c>
      <c r="AG113" s="29"/>
    </row>
    <row r="114" spans="1:33" ht="15" customHeight="1">
      <c r="A114" s="34" t="s">
        <v>2196</v>
      </c>
      <c r="B114" s="37" t="s">
        <v>2078</v>
      </c>
      <c r="C114" s="38">
        <v>24.295769</v>
      </c>
      <c r="D114" s="38">
        <v>23.533875999999999</v>
      </c>
      <c r="E114" s="38">
        <v>23.777557000000002</v>
      </c>
      <c r="F114" s="38">
        <v>23.868362000000001</v>
      </c>
      <c r="G114" s="38">
        <v>23.83803</v>
      </c>
      <c r="H114" s="38">
        <v>23.768986000000002</v>
      </c>
      <c r="I114" s="38">
        <v>23.693988999999998</v>
      </c>
      <c r="J114" s="38">
        <v>23.631920000000001</v>
      </c>
      <c r="K114" s="38">
        <v>23.613771</v>
      </c>
      <c r="L114" s="38">
        <v>23.729960999999999</v>
      </c>
      <c r="M114" s="38">
        <v>23.987572</v>
      </c>
      <c r="N114" s="38">
        <v>24.110886000000001</v>
      </c>
      <c r="O114" s="38">
        <v>24.354514999999999</v>
      </c>
      <c r="P114" s="38">
        <v>24.568199</v>
      </c>
      <c r="Q114" s="38">
        <v>24.757957000000001</v>
      </c>
      <c r="R114" s="38">
        <v>24.867840000000001</v>
      </c>
      <c r="S114" s="38">
        <v>24.885148999999998</v>
      </c>
      <c r="T114" s="38">
        <v>24.876567999999999</v>
      </c>
      <c r="U114" s="38">
        <v>24.944696</v>
      </c>
      <c r="V114" s="38">
        <v>25.072040999999999</v>
      </c>
      <c r="W114" s="38">
        <v>25.299676999999999</v>
      </c>
      <c r="X114" s="38">
        <v>25.483664999999998</v>
      </c>
      <c r="Y114" s="38">
        <v>25.685146</v>
      </c>
      <c r="Z114" s="38">
        <v>25.921398</v>
      </c>
      <c r="AA114" s="38">
        <v>26.090868</v>
      </c>
      <c r="AB114" s="38">
        <v>26.294128000000001</v>
      </c>
      <c r="AC114" s="38">
        <v>26.493748</v>
      </c>
      <c r="AD114" s="38">
        <v>26.665167</v>
      </c>
      <c r="AE114" s="38">
        <v>26.908173000000001</v>
      </c>
      <c r="AF114" s="35">
        <v>3.6540000000000001E-3</v>
      </c>
      <c r="AG114" s="29"/>
    </row>
    <row r="115" spans="1:33" ht="15" customHeight="1">
      <c r="A115" s="34" t="s">
        <v>2197</v>
      </c>
      <c r="B115" s="33" t="s">
        <v>2080</v>
      </c>
      <c r="C115" s="39">
        <v>99.193481000000006</v>
      </c>
      <c r="D115" s="39">
        <v>98.343765000000005</v>
      </c>
      <c r="E115" s="39">
        <v>97.558670000000006</v>
      </c>
      <c r="F115" s="39">
        <v>97.753219999999999</v>
      </c>
      <c r="G115" s="39">
        <v>98.015015000000005</v>
      </c>
      <c r="H115" s="39">
        <v>98.078811999999999</v>
      </c>
      <c r="I115" s="39">
        <v>98.133987000000005</v>
      </c>
      <c r="J115" s="39">
        <v>98.055678999999998</v>
      </c>
      <c r="K115" s="39">
        <v>97.956680000000006</v>
      </c>
      <c r="L115" s="39">
        <v>97.999802000000003</v>
      </c>
      <c r="M115" s="39">
        <v>98.312447000000006</v>
      </c>
      <c r="N115" s="39">
        <v>98.465087999999994</v>
      </c>
      <c r="O115" s="39">
        <v>98.819350999999997</v>
      </c>
      <c r="P115" s="39">
        <v>99.128135999999998</v>
      </c>
      <c r="Q115" s="39">
        <v>99.396766999999997</v>
      </c>
      <c r="R115" s="39">
        <v>99.651214999999993</v>
      </c>
      <c r="S115" s="39">
        <v>99.794334000000006</v>
      </c>
      <c r="T115" s="39">
        <v>99.956573000000006</v>
      </c>
      <c r="U115" s="39">
        <v>100.252289</v>
      </c>
      <c r="V115" s="39">
        <v>100.64988700000001</v>
      </c>
      <c r="W115" s="39">
        <v>101.165138</v>
      </c>
      <c r="X115" s="39">
        <v>101.641739</v>
      </c>
      <c r="Y115" s="39">
        <v>102.150665</v>
      </c>
      <c r="Z115" s="39">
        <v>102.69105500000001</v>
      </c>
      <c r="AA115" s="39">
        <v>103.176315</v>
      </c>
      <c r="AB115" s="39">
        <v>103.831924</v>
      </c>
      <c r="AC115" s="39">
        <v>104.48545799999999</v>
      </c>
      <c r="AD115" s="39">
        <v>105.10330999999999</v>
      </c>
      <c r="AE115" s="39">
        <v>105.939362</v>
      </c>
      <c r="AF115" s="31">
        <v>2.3530000000000001E-3</v>
      </c>
      <c r="AG115" s="29"/>
    </row>
    <row r="116" spans="1:33" ht="15" customHeight="1">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row>
    <row r="117" spans="1:33" ht="15" customHeight="1">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row>
    <row r="118" spans="1:33" ht="15" customHeight="1">
      <c r="B118" s="33" t="s">
        <v>2198</v>
      </c>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row>
    <row r="119" spans="1:33" ht="15" customHeight="1">
      <c r="A119" s="34" t="s">
        <v>2199</v>
      </c>
      <c r="B119" s="37" t="s">
        <v>2088</v>
      </c>
      <c r="C119" s="38">
        <v>7.4151999999999996E-2</v>
      </c>
      <c r="D119" s="38">
        <v>6.9831000000000004E-2</v>
      </c>
      <c r="E119" s="38">
        <v>7.1193000000000006E-2</v>
      </c>
      <c r="F119" s="38">
        <v>6.7900000000000002E-2</v>
      </c>
      <c r="G119" s="38">
        <v>5.9875999999999999E-2</v>
      </c>
      <c r="H119" s="38">
        <v>5.2455000000000002E-2</v>
      </c>
      <c r="I119" s="38">
        <v>4.4982000000000001E-2</v>
      </c>
      <c r="J119" s="38">
        <v>4.0792000000000002E-2</v>
      </c>
      <c r="K119" s="38">
        <v>3.8195E-2</v>
      </c>
      <c r="L119" s="38">
        <v>3.5236000000000003E-2</v>
      </c>
      <c r="M119" s="38">
        <v>3.5120999999999999E-2</v>
      </c>
      <c r="N119" s="38">
        <v>3.5231999999999999E-2</v>
      </c>
      <c r="O119" s="38">
        <v>3.5094E-2</v>
      </c>
      <c r="P119" s="38">
        <v>3.5194999999999997E-2</v>
      </c>
      <c r="Q119" s="38">
        <v>3.5138999999999997E-2</v>
      </c>
      <c r="R119" s="38">
        <v>3.3807999999999998E-2</v>
      </c>
      <c r="S119" s="38">
        <v>3.1454999999999997E-2</v>
      </c>
      <c r="T119" s="38">
        <v>3.1078999999999999E-2</v>
      </c>
      <c r="U119" s="38">
        <v>3.0880000000000001E-2</v>
      </c>
      <c r="V119" s="38">
        <v>3.0648000000000002E-2</v>
      </c>
      <c r="W119" s="38">
        <v>2.9985999999999999E-2</v>
      </c>
      <c r="X119" s="38">
        <v>2.9219999999999999E-2</v>
      </c>
      <c r="Y119" s="38">
        <v>2.836E-2</v>
      </c>
      <c r="Z119" s="38">
        <v>2.7326E-2</v>
      </c>
      <c r="AA119" s="38">
        <v>2.6808999999999999E-2</v>
      </c>
      <c r="AB119" s="38">
        <v>2.6828000000000001E-2</v>
      </c>
      <c r="AC119" s="38">
        <v>2.6477000000000001E-2</v>
      </c>
      <c r="AD119" s="38">
        <v>2.6477000000000001E-2</v>
      </c>
      <c r="AE119" s="38">
        <v>2.6237E-2</v>
      </c>
      <c r="AF119" s="35">
        <v>-3.6424999999999999E-2</v>
      </c>
      <c r="AG119" s="29"/>
    </row>
    <row r="120" spans="1:33" ht="15" customHeight="1">
      <c r="A120" s="34" t="s">
        <v>2200</v>
      </c>
      <c r="B120" s="37" t="s">
        <v>2090</v>
      </c>
      <c r="C120" s="38">
        <v>3.8204000000000002E-2</v>
      </c>
      <c r="D120" s="38">
        <v>3.6355999999999999E-2</v>
      </c>
      <c r="E120" s="38">
        <v>3.5867999999999997E-2</v>
      </c>
      <c r="F120" s="38">
        <v>3.5490000000000001E-2</v>
      </c>
      <c r="G120" s="38">
        <v>3.5249999999999997E-2</v>
      </c>
      <c r="H120" s="38">
        <v>3.4770000000000002E-2</v>
      </c>
      <c r="I120" s="38">
        <v>3.4319000000000002E-2</v>
      </c>
      <c r="J120" s="38">
        <v>3.3918999999999998E-2</v>
      </c>
      <c r="K120" s="38">
        <v>3.3413999999999999E-2</v>
      </c>
      <c r="L120" s="38">
        <v>3.3179E-2</v>
      </c>
      <c r="M120" s="38">
        <v>3.2966000000000002E-2</v>
      </c>
      <c r="N120" s="38">
        <v>3.2786999999999997E-2</v>
      </c>
      <c r="O120" s="38">
        <v>3.2641000000000003E-2</v>
      </c>
      <c r="P120" s="38">
        <v>3.2438000000000002E-2</v>
      </c>
      <c r="Q120" s="38">
        <v>3.1764000000000001E-2</v>
      </c>
      <c r="R120" s="38">
        <v>3.1171000000000001E-2</v>
      </c>
      <c r="S120" s="38">
        <v>3.0536000000000001E-2</v>
      </c>
      <c r="T120" s="38">
        <v>2.9884000000000001E-2</v>
      </c>
      <c r="U120" s="38">
        <v>2.9228000000000001E-2</v>
      </c>
      <c r="V120" s="38">
        <v>2.7220000000000001E-2</v>
      </c>
      <c r="W120" s="38">
        <v>2.5069999999999999E-2</v>
      </c>
      <c r="X120" s="38">
        <v>2.2955E-2</v>
      </c>
      <c r="Y120" s="38">
        <v>2.0795000000000001E-2</v>
      </c>
      <c r="Z120" s="38">
        <v>1.8561000000000001E-2</v>
      </c>
      <c r="AA120" s="38">
        <v>1.8665000000000001E-2</v>
      </c>
      <c r="AB120" s="38">
        <v>1.8719E-2</v>
      </c>
      <c r="AC120" s="38">
        <v>1.8785E-2</v>
      </c>
      <c r="AD120" s="38">
        <v>1.8877000000000001E-2</v>
      </c>
      <c r="AE120" s="38">
        <v>1.8898999999999999E-2</v>
      </c>
      <c r="AF120" s="35">
        <v>-2.4823000000000001E-2</v>
      </c>
      <c r="AG120" s="29"/>
    </row>
    <row r="121" spans="1:33" ht="15" customHeight="1">
      <c r="A121" s="34" t="s">
        <v>2201</v>
      </c>
      <c r="B121" s="37" t="s">
        <v>2068</v>
      </c>
      <c r="C121" s="38">
        <v>0.112355</v>
      </c>
      <c r="D121" s="38">
        <v>0.106187</v>
      </c>
      <c r="E121" s="38">
        <v>0.107061</v>
      </c>
      <c r="F121" s="38">
        <v>0.10339</v>
      </c>
      <c r="G121" s="38">
        <v>9.5126000000000002E-2</v>
      </c>
      <c r="H121" s="38">
        <v>8.7224999999999997E-2</v>
      </c>
      <c r="I121" s="38">
        <v>7.9300999999999996E-2</v>
      </c>
      <c r="J121" s="38">
        <v>7.4711E-2</v>
      </c>
      <c r="K121" s="38">
        <v>7.1609000000000006E-2</v>
      </c>
      <c r="L121" s="38">
        <v>6.8415000000000004E-2</v>
      </c>
      <c r="M121" s="38">
        <v>6.8086999999999995E-2</v>
      </c>
      <c r="N121" s="38">
        <v>6.8018999999999996E-2</v>
      </c>
      <c r="O121" s="38">
        <v>6.7734000000000003E-2</v>
      </c>
      <c r="P121" s="38">
        <v>6.7634E-2</v>
      </c>
      <c r="Q121" s="38">
        <v>6.6903000000000004E-2</v>
      </c>
      <c r="R121" s="38">
        <v>6.4977999999999994E-2</v>
      </c>
      <c r="S121" s="38">
        <v>6.1990999999999997E-2</v>
      </c>
      <c r="T121" s="38">
        <v>6.0963000000000003E-2</v>
      </c>
      <c r="U121" s="38">
        <v>6.0108000000000002E-2</v>
      </c>
      <c r="V121" s="38">
        <v>5.7868999999999997E-2</v>
      </c>
      <c r="W121" s="38">
        <v>5.5056000000000001E-2</v>
      </c>
      <c r="X121" s="38">
        <v>5.2174999999999999E-2</v>
      </c>
      <c r="Y121" s="38">
        <v>4.9154999999999997E-2</v>
      </c>
      <c r="Z121" s="38">
        <v>4.5886999999999997E-2</v>
      </c>
      <c r="AA121" s="38">
        <v>4.5474000000000001E-2</v>
      </c>
      <c r="AB121" s="38">
        <v>4.5546999999999997E-2</v>
      </c>
      <c r="AC121" s="38">
        <v>4.5261999999999997E-2</v>
      </c>
      <c r="AD121" s="38">
        <v>4.5352999999999997E-2</v>
      </c>
      <c r="AE121" s="38">
        <v>4.5136000000000003E-2</v>
      </c>
      <c r="AF121" s="35">
        <v>-3.2045999999999998E-2</v>
      </c>
      <c r="AG121" s="29"/>
    </row>
    <row r="122" spans="1:33" ht="15" customHeight="1">
      <c r="A122" s="34" t="s">
        <v>2202</v>
      </c>
      <c r="B122" s="37" t="s">
        <v>2070</v>
      </c>
      <c r="C122" s="38">
        <v>12.201015</v>
      </c>
      <c r="D122" s="38">
        <v>11.243956000000001</v>
      </c>
      <c r="E122" s="38">
        <v>10.504737</v>
      </c>
      <c r="F122" s="38">
        <v>10.007258</v>
      </c>
      <c r="G122" s="38">
        <v>9.5848499999999994</v>
      </c>
      <c r="H122" s="38">
        <v>8.9124639999999999</v>
      </c>
      <c r="I122" s="38">
        <v>8.5718560000000004</v>
      </c>
      <c r="J122" s="38">
        <v>8.3237290000000002</v>
      </c>
      <c r="K122" s="38">
        <v>7.9694029999999998</v>
      </c>
      <c r="L122" s="38">
        <v>7.6162619999999999</v>
      </c>
      <c r="M122" s="38">
        <v>7.3634389999999996</v>
      </c>
      <c r="N122" s="38">
        <v>7.1831079999999998</v>
      </c>
      <c r="O122" s="38">
        <v>7.005185</v>
      </c>
      <c r="P122" s="38">
        <v>6.9343339999999998</v>
      </c>
      <c r="Q122" s="38">
        <v>6.9370089999999998</v>
      </c>
      <c r="R122" s="38">
        <v>7.0109240000000002</v>
      </c>
      <c r="S122" s="38">
        <v>7.1777689999999996</v>
      </c>
      <c r="T122" s="38">
        <v>7.2743010000000004</v>
      </c>
      <c r="U122" s="38">
        <v>7.4470010000000002</v>
      </c>
      <c r="V122" s="38">
        <v>7.5259119999999999</v>
      </c>
      <c r="W122" s="38">
        <v>7.6322919999999996</v>
      </c>
      <c r="X122" s="38">
        <v>7.7041380000000004</v>
      </c>
      <c r="Y122" s="38">
        <v>7.7272559999999997</v>
      </c>
      <c r="Z122" s="38">
        <v>7.8044710000000004</v>
      </c>
      <c r="AA122" s="38">
        <v>7.7780630000000004</v>
      </c>
      <c r="AB122" s="38">
        <v>7.8097120000000002</v>
      </c>
      <c r="AC122" s="38">
        <v>7.8802599999999998</v>
      </c>
      <c r="AD122" s="38">
        <v>7.9209829999999997</v>
      </c>
      <c r="AE122" s="38">
        <v>8.0079259999999994</v>
      </c>
      <c r="AF122" s="35">
        <v>-1.4926E-2</v>
      </c>
      <c r="AG122" s="29"/>
    </row>
    <row r="123" spans="1:33" ht="15" customHeight="1">
      <c r="A123" s="34" t="s">
        <v>2203</v>
      </c>
      <c r="B123" s="37" t="s">
        <v>2204</v>
      </c>
      <c r="C123" s="38">
        <v>8.8227170000000008</v>
      </c>
      <c r="D123" s="38">
        <v>8.198264</v>
      </c>
      <c r="E123" s="38">
        <v>8.5855820000000005</v>
      </c>
      <c r="F123" s="38">
        <v>7.8275750000000004</v>
      </c>
      <c r="G123" s="38">
        <v>6.6931139999999996</v>
      </c>
      <c r="H123" s="38">
        <v>5.6765220000000003</v>
      </c>
      <c r="I123" s="38">
        <v>4.7067759999999996</v>
      </c>
      <c r="J123" s="38">
        <v>3.9862869999999999</v>
      </c>
      <c r="K123" s="38">
        <v>3.5928659999999999</v>
      </c>
      <c r="L123" s="38">
        <v>3.515476</v>
      </c>
      <c r="M123" s="38">
        <v>3.485687</v>
      </c>
      <c r="N123" s="38">
        <v>3.5644399999999998</v>
      </c>
      <c r="O123" s="38">
        <v>3.5369989999999998</v>
      </c>
      <c r="P123" s="38">
        <v>3.550068</v>
      </c>
      <c r="Q123" s="38">
        <v>3.5198589999999998</v>
      </c>
      <c r="R123" s="38">
        <v>3.4296739999999999</v>
      </c>
      <c r="S123" s="38">
        <v>3.2848790000000001</v>
      </c>
      <c r="T123" s="38">
        <v>3.2057880000000001</v>
      </c>
      <c r="U123" s="38">
        <v>3.1128990000000001</v>
      </c>
      <c r="V123" s="38">
        <v>3.1367409999999998</v>
      </c>
      <c r="W123" s="38">
        <v>3.1333760000000002</v>
      </c>
      <c r="X123" s="38">
        <v>3.0895299999999999</v>
      </c>
      <c r="Y123" s="38">
        <v>2.9815040000000002</v>
      </c>
      <c r="Z123" s="38">
        <v>2.8927689999999999</v>
      </c>
      <c r="AA123" s="38">
        <v>2.8097129999999999</v>
      </c>
      <c r="AB123" s="38">
        <v>2.768481</v>
      </c>
      <c r="AC123" s="38">
        <v>2.676695</v>
      </c>
      <c r="AD123" s="38">
        <v>2.658398</v>
      </c>
      <c r="AE123" s="38">
        <v>2.55911</v>
      </c>
      <c r="AF123" s="35">
        <v>-4.3240000000000001E-2</v>
      </c>
      <c r="AG123" s="29"/>
    </row>
    <row r="124" spans="1:33" ht="15" customHeight="1">
      <c r="A124" s="34" t="s">
        <v>2205</v>
      </c>
      <c r="B124" s="37" t="s">
        <v>2206</v>
      </c>
      <c r="C124" s="38">
        <v>8.0646540000000009</v>
      </c>
      <c r="D124" s="38">
        <v>8.1872109999999996</v>
      </c>
      <c r="E124" s="38">
        <v>8.2466290000000004</v>
      </c>
      <c r="F124" s="38">
        <v>8.1719659999999994</v>
      </c>
      <c r="G124" s="38">
        <v>8.0928570000000004</v>
      </c>
      <c r="H124" s="38">
        <v>8.0927190000000007</v>
      </c>
      <c r="I124" s="38">
        <v>7.9974689999999997</v>
      </c>
      <c r="J124" s="38">
        <v>7.9973400000000003</v>
      </c>
      <c r="K124" s="38">
        <v>7.9187440000000002</v>
      </c>
      <c r="L124" s="38">
        <v>7.9187969999999996</v>
      </c>
      <c r="M124" s="38">
        <v>7.9188850000000004</v>
      </c>
      <c r="N124" s="38">
        <v>7.47281</v>
      </c>
      <c r="O124" s="38">
        <v>7.4032179999999999</v>
      </c>
      <c r="P124" s="38">
        <v>7.3139329999999996</v>
      </c>
      <c r="Q124" s="38">
        <v>7.1458170000000001</v>
      </c>
      <c r="R124" s="38">
        <v>7.0316359999999998</v>
      </c>
      <c r="S124" s="38">
        <v>6.8371979999999999</v>
      </c>
      <c r="T124" s="38">
        <v>6.734248</v>
      </c>
      <c r="U124" s="38">
        <v>6.5336410000000003</v>
      </c>
      <c r="V124" s="38">
        <v>6.5354080000000003</v>
      </c>
      <c r="W124" s="38">
        <v>6.5385289999999996</v>
      </c>
      <c r="X124" s="38">
        <v>6.5412020000000002</v>
      </c>
      <c r="Y124" s="38">
        <v>6.5441659999999997</v>
      </c>
      <c r="Z124" s="38">
        <v>6.5441919999999998</v>
      </c>
      <c r="AA124" s="38">
        <v>6.5416629999999998</v>
      </c>
      <c r="AB124" s="38">
        <v>6.5396289999999997</v>
      </c>
      <c r="AC124" s="38">
        <v>6.5306360000000003</v>
      </c>
      <c r="AD124" s="38">
        <v>6.5318709999999998</v>
      </c>
      <c r="AE124" s="38">
        <v>6.5277070000000004</v>
      </c>
      <c r="AF124" s="35">
        <v>-7.5230000000000002E-3</v>
      </c>
      <c r="AG124" s="29"/>
    </row>
    <row r="125" spans="1:33" ht="15" customHeight="1">
      <c r="A125" s="34" t="s">
        <v>2207</v>
      </c>
      <c r="B125" s="37" t="s">
        <v>2208</v>
      </c>
      <c r="C125" s="38">
        <v>8.0840899999999998</v>
      </c>
      <c r="D125" s="38">
        <v>8.6055960000000002</v>
      </c>
      <c r="E125" s="38">
        <v>9.2535980000000002</v>
      </c>
      <c r="F125" s="38">
        <v>10.769812</v>
      </c>
      <c r="G125" s="38">
        <v>12.489632</v>
      </c>
      <c r="H125" s="38">
        <v>14.207677</v>
      </c>
      <c r="I125" s="38">
        <v>15.657000999999999</v>
      </c>
      <c r="J125" s="38">
        <v>16.679594000000002</v>
      </c>
      <c r="K125" s="38">
        <v>17.569944</v>
      </c>
      <c r="L125" s="38">
        <v>18.211525000000002</v>
      </c>
      <c r="M125" s="38">
        <v>18.849072</v>
      </c>
      <c r="N125" s="38">
        <v>19.601133000000001</v>
      </c>
      <c r="O125" s="38">
        <v>20.207754000000001</v>
      </c>
      <c r="P125" s="38">
        <v>20.684018999999999</v>
      </c>
      <c r="Q125" s="38">
        <v>21.174012999999999</v>
      </c>
      <c r="R125" s="38">
        <v>21.527519000000002</v>
      </c>
      <c r="S125" s="38">
        <v>21.819600999999999</v>
      </c>
      <c r="T125" s="38">
        <v>21.990223</v>
      </c>
      <c r="U125" s="38">
        <v>22.281154999999998</v>
      </c>
      <c r="V125" s="38">
        <v>22.423576000000001</v>
      </c>
      <c r="W125" s="38">
        <v>22.664766</v>
      </c>
      <c r="X125" s="38">
        <v>22.940052000000001</v>
      </c>
      <c r="Y125" s="38">
        <v>23.344432999999999</v>
      </c>
      <c r="Z125" s="38">
        <v>23.717881999999999</v>
      </c>
      <c r="AA125" s="38">
        <v>24.147009000000001</v>
      </c>
      <c r="AB125" s="38">
        <v>24.507110999999998</v>
      </c>
      <c r="AC125" s="38">
        <v>24.872581</v>
      </c>
      <c r="AD125" s="38">
        <v>25.165534999999998</v>
      </c>
      <c r="AE125" s="38">
        <v>25.597916000000001</v>
      </c>
      <c r="AF125" s="35">
        <v>4.2023999999999999E-2</v>
      </c>
      <c r="AG125" s="29"/>
    </row>
    <row r="126" spans="1:33" ht="15" customHeight="1">
      <c r="A126" s="34" t="s">
        <v>2209</v>
      </c>
      <c r="B126" s="37" t="s">
        <v>2210</v>
      </c>
      <c r="C126" s="38">
        <v>0.124851</v>
      </c>
      <c r="D126" s="38">
        <v>0.124851</v>
      </c>
      <c r="E126" s="38">
        <v>0.124851</v>
      </c>
      <c r="F126" s="38">
        <v>0.124851</v>
      </c>
      <c r="G126" s="38">
        <v>0.124851</v>
      </c>
      <c r="H126" s="38">
        <v>0.124851</v>
      </c>
      <c r="I126" s="38">
        <v>0.124851</v>
      </c>
      <c r="J126" s="38">
        <v>0.124851</v>
      </c>
      <c r="K126" s="38">
        <v>0.124851</v>
      </c>
      <c r="L126" s="38">
        <v>0.124851</v>
      </c>
      <c r="M126" s="38">
        <v>0.124851</v>
      </c>
      <c r="N126" s="38">
        <v>0.124851</v>
      </c>
      <c r="O126" s="38">
        <v>0.124851</v>
      </c>
      <c r="P126" s="38">
        <v>0.124851</v>
      </c>
      <c r="Q126" s="38">
        <v>0.124851</v>
      </c>
      <c r="R126" s="38">
        <v>0.124851</v>
      </c>
      <c r="S126" s="38">
        <v>0.124851</v>
      </c>
      <c r="T126" s="38">
        <v>0.124851</v>
      </c>
      <c r="U126" s="38">
        <v>0.124851</v>
      </c>
      <c r="V126" s="38">
        <v>0.124851</v>
      </c>
      <c r="W126" s="38">
        <v>0.124851</v>
      </c>
      <c r="X126" s="38">
        <v>0.124851</v>
      </c>
      <c r="Y126" s="38">
        <v>0.124851</v>
      </c>
      <c r="Z126" s="38">
        <v>0.124851</v>
      </c>
      <c r="AA126" s="38">
        <v>0.124851</v>
      </c>
      <c r="AB126" s="38">
        <v>0.124851</v>
      </c>
      <c r="AC126" s="38">
        <v>0.124851</v>
      </c>
      <c r="AD126" s="38">
        <v>0.124851</v>
      </c>
      <c r="AE126" s="38">
        <v>0.124851</v>
      </c>
      <c r="AF126" s="35">
        <v>0</v>
      </c>
      <c r="AG126" s="29"/>
    </row>
    <row r="127" spans="1:33" ht="15" customHeight="1">
      <c r="A127" s="34" t="s">
        <v>2211</v>
      </c>
      <c r="B127" s="37" t="s">
        <v>2212</v>
      </c>
      <c r="C127" s="38">
        <v>0.145646</v>
      </c>
      <c r="D127" s="38">
        <v>0.17442099999999999</v>
      </c>
      <c r="E127" s="38">
        <v>0.148817</v>
      </c>
      <c r="F127" s="38">
        <v>0.13178699999999999</v>
      </c>
      <c r="G127" s="38">
        <v>0.13567399999999999</v>
      </c>
      <c r="H127" s="38">
        <v>0.14924999999999999</v>
      </c>
      <c r="I127" s="38">
        <v>0.15756100000000001</v>
      </c>
      <c r="J127" s="38">
        <v>0.15001200000000001</v>
      </c>
      <c r="K127" s="38">
        <v>0.15776699999999999</v>
      </c>
      <c r="L127" s="38">
        <v>0.149089</v>
      </c>
      <c r="M127" s="38">
        <v>0.15273100000000001</v>
      </c>
      <c r="N127" s="38">
        <v>0.15443899999999999</v>
      </c>
      <c r="O127" s="38">
        <v>0.15579299999999999</v>
      </c>
      <c r="P127" s="38">
        <v>0.15182300000000001</v>
      </c>
      <c r="Q127" s="38">
        <v>0.15053</v>
      </c>
      <c r="R127" s="38">
        <v>0.150421</v>
      </c>
      <c r="S127" s="38">
        <v>0.15301699999999999</v>
      </c>
      <c r="T127" s="38">
        <v>0.15518199999999999</v>
      </c>
      <c r="U127" s="38">
        <v>0.156939</v>
      </c>
      <c r="V127" s="38">
        <v>0.15213599999999999</v>
      </c>
      <c r="W127" s="38">
        <v>0.15204899999999999</v>
      </c>
      <c r="X127" s="38">
        <v>0.149724</v>
      </c>
      <c r="Y127" s="38">
        <v>0.146948</v>
      </c>
      <c r="Z127" s="38">
        <v>0.14419999999999999</v>
      </c>
      <c r="AA127" s="38">
        <v>0.14105400000000001</v>
      </c>
      <c r="AB127" s="38">
        <v>0.14054900000000001</v>
      </c>
      <c r="AC127" s="38">
        <v>0.14193700000000001</v>
      </c>
      <c r="AD127" s="38">
        <v>0.14041999999999999</v>
      </c>
      <c r="AE127" s="38">
        <v>0.13839000000000001</v>
      </c>
      <c r="AF127" s="35">
        <v>-1.823E-3</v>
      </c>
      <c r="AG127" s="29"/>
    </row>
    <row r="128" spans="1:33" ht="15" customHeight="1">
      <c r="A128" s="34" t="s">
        <v>2213</v>
      </c>
      <c r="B128" s="33" t="s">
        <v>2080</v>
      </c>
      <c r="C128" s="39">
        <v>37.555328000000003</v>
      </c>
      <c r="D128" s="39">
        <v>36.640484000000001</v>
      </c>
      <c r="E128" s="39">
        <v>36.971274999999999</v>
      </c>
      <c r="F128" s="39">
        <v>37.136639000000002</v>
      </c>
      <c r="G128" s="39">
        <v>37.216106000000003</v>
      </c>
      <c r="H128" s="39">
        <v>37.250709999999998</v>
      </c>
      <c r="I128" s="39">
        <v>37.294815</v>
      </c>
      <c r="J128" s="39">
        <v>37.336525000000002</v>
      </c>
      <c r="K128" s="39">
        <v>37.405186</v>
      </c>
      <c r="L128" s="39">
        <v>37.604416000000001</v>
      </c>
      <c r="M128" s="39">
        <v>37.962749000000002</v>
      </c>
      <c r="N128" s="39">
        <v>38.168799999999997</v>
      </c>
      <c r="O128" s="39">
        <v>38.501533999999999</v>
      </c>
      <c r="P128" s="39">
        <v>38.826667999999998</v>
      </c>
      <c r="Q128" s="39">
        <v>39.118983999999998</v>
      </c>
      <c r="R128" s="39">
        <v>39.340004</v>
      </c>
      <c r="S128" s="39">
        <v>39.459301000000004</v>
      </c>
      <c r="T128" s="39">
        <v>39.545551000000003</v>
      </c>
      <c r="U128" s="39">
        <v>39.716594999999998</v>
      </c>
      <c r="V128" s="39">
        <v>39.956493000000002</v>
      </c>
      <c r="W128" s="39">
        <v>40.300919</v>
      </c>
      <c r="X128" s="39">
        <v>40.601672999999998</v>
      </c>
      <c r="Y128" s="39">
        <v>40.918312</v>
      </c>
      <c r="Z128" s="39">
        <v>41.274253999999999</v>
      </c>
      <c r="AA128" s="39">
        <v>41.587826</v>
      </c>
      <c r="AB128" s="39">
        <v>41.935882999999997</v>
      </c>
      <c r="AC128" s="39">
        <v>42.272221000000002</v>
      </c>
      <c r="AD128" s="39">
        <v>42.587414000000003</v>
      </c>
      <c r="AE128" s="39">
        <v>43.001038000000001</v>
      </c>
      <c r="AF128" s="31">
        <v>4.8479999999999999E-3</v>
      </c>
      <c r="AG128" s="29"/>
    </row>
    <row r="129" spans="1:33" ht="15" customHeight="1">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row>
    <row r="130" spans="1:33" ht="15" customHeight="1">
      <c r="B130" s="33" t="s">
        <v>2214</v>
      </c>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row>
    <row r="131" spans="1:33" ht="15" customHeight="1">
      <c r="A131" s="34" t="s">
        <v>2215</v>
      </c>
      <c r="B131" s="37" t="s">
        <v>2166</v>
      </c>
      <c r="C131" s="38">
        <v>4.4504619999999999</v>
      </c>
      <c r="D131" s="38">
        <v>4.5514599999999996</v>
      </c>
      <c r="E131" s="38">
        <v>4.4573929999999997</v>
      </c>
      <c r="F131" s="38">
        <v>4.5447350000000002</v>
      </c>
      <c r="G131" s="38">
        <v>4.6559359999999996</v>
      </c>
      <c r="H131" s="38">
        <v>4.7378349999999996</v>
      </c>
      <c r="I131" s="38">
        <v>4.7968380000000002</v>
      </c>
      <c r="J131" s="38">
        <v>4.8333259999999996</v>
      </c>
      <c r="K131" s="38">
        <v>4.863092</v>
      </c>
      <c r="L131" s="38">
        <v>4.9074340000000003</v>
      </c>
      <c r="M131" s="38">
        <v>4.9615650000000002</v>
      </c>
      <c r="N131" s="38">
        <v>5.0056250000000002</v>
      </c>
      <c r="O131" s="38">
        <v>5.0579900000000002</v>
      </c>
      <c r="P131" s="38">
        <v>5.1007999999999996</v>
      </c>
      <c r="Q131" s="38">
        <v>5.1351129999999996</v>
      </c>
      <c r="R131" s="38">
        <v>5.1761980000000003</v>
      </c>
      <c r="S131" s="38">
        <v>5.2030370000000001</v>
      </c>
      <c r="T131" s="38">
        <v>5.2499589999999996</v>
      </c>
      <c r="U131" s="38">
        <v>5.3076090000000002</v>
      </c>
      <c r="V131" s="38">
        <v>5.3551039999999999</v>
      </c>
      <c r="W131" s="38">
        <v>5.3966649999999996</v>
      </c>
      <c r="X131" s="38">
        <v>5.4452550000000004</v>
      </c>
      <c r="Y131" s="38">
        <v>5.4820919999999997</v>
      </c>
      <c r="Z131" s="38">
        <v>5.5144859999999998</v>
      </c>
      <c r="AA131" s="38">
        <v>5.5643180000000001</v>
      </c>
      <c r="AB131" s="38">
        <v>5.6265929999999997</v>
      </c>
      <c r="AC131" s="38">
        <v>5.6573310000000001</v>
      </c>
      <c r="AD131" s="38">
        <v>5.7031150000000004</v>
      </c>
      <c r="AE131" s="38">
        <v>5.7911450000000002</v>
      </c>
      <c r="AF131" s="35">
        <v>9.4490000000000008E-3</v>
      </c>
      <c r="AG131" s="29"/>
    </row>
    <row r="132" spans="1:33" ht="15" customHeight="1">
      <c r="A132" s="34" t="s">
        <v>2216</v>
      </c>
      <c r="B132" s="37" t="s">
        <v>2084</v>
      </c>
      <c r="C132" s="38">
        <v>16.186696999999999</v>
      </c>
      <c r="D132" s="38">
        <v>16.314539</v>
      </c>
      <c r="E132" s="38">
        <v>16.236139000000001</v>
      </c>
      <c r="F132" s="38">
        <v>15.990171999999999</v>
      </c>
      <c r="G132" s="38">
        <v>15.7888</v>
      </c>
      <c r="H132" s="38">
        <v>15.607678999999999</v>
      </c>
      <c r="I132" s="38">
        <v>15.404502000000001</v>
      </c>
      <c r="J132" s="38">
        <v>15.176081</v>
      </c>
      <c r="K132" s="38">
        <v>14.929452</v>
      </c>
      <c r="L132" s="38">
        <v>14.697958</v>
      </c>
      <c r="M132" s="38">
        <v>14.474534</v>
      </c>
      <c r="N132" s="38">
        <v>14.294471</v>
      </c>
      <c r="O132" s="38">
        <v>14.137753</v>
      </c>
      <c r="P132" s="38">
        <v>13.982632000000001</v>
      </c>
      <c r="Q132" s="38">
        <v>13.825029000000001</v>
      </c>
      <c r="R132" s="38">
        <v>13.693063</v>
      </c>
      <c r="S132" s="38">
        <v>13.579750000000001</v>
      </c>
      <c r="T132" s="38">
        <v>13.47598</v>
      </c>
      <c r="U132" s="38">
        <v>13.400293</v>
      </c>
      <c r="V132" s="38">
        <v>13.339155</v>
      </c>
      <c r="W132" s="38">
        <v>13.295448</v>
      </c>
      <c r="X132" s="38">
        <v>13.264718999999999</v>
      </c>
      <c r="Y132" s="38">
        <v>13.256188999999999</v>
      </c>
      <c r="Z132" s="38">
        <v>13.26849</v>
      </c>
      <c r="AA132" s="38">
        <v>13.306704999999999</v>
      </c>
      <c r="AB132" s="38">
        <v>13.366092</v>
      </c>
      <c r="AC132" s="38">
        <v>13.435746999999999</v>
      </c>
      <c r="AD132" s="38">
        <v>13.514469999999999</v>
      </c>
      <c r="AE132" s="38">
        <v>13.616789000000001</v>
      </c>
      <c r="AF132" s="35">
        <v>-6.1549999999999999E-3</v>
      </c>
      <c r="AG132" s="29"/>
    </row>
    <row r="133" spans="1:33" ht="15" customHeight="1">
      <c r="A133" s="34" t="s">
        <v>2217</v>
      </c>
      <c r="B133" s="37" t="s">
        <v>2141</v>
      </c>
      <c r="C133" s="38">
        <v>3.3808999999999999E-2</v>
      </c>
      <c r="D133" s="38">
        <v>3.4185E-2</v>
      </c>
      <c r="E133" s="38">
        <v>3.209E-2</v>
      </c>
      <c r="F133" s="38">
        <v>3.1961999999999997E-2</v>
      </c>
      <c r="G133" s="38">
        <v>3.1167E-2</v>
      </c>
      <c r="H133" s="38">
        <v>3.0303E-2</v>
      </c>
      <c r="I133" s="38">
        <v>2.9252E-2</v>
      </c>
      <c r="J133" s="38">
        <v>2.8077000000000001E-2</v>
      </c>
      <c r="K133" s="38">
        <v>2.6841E-2</v>
      </c>
      <c r="L133" s="38">
        <v>2.5627E-2</v>
      </c>
      <c r="M133" s="38">
        <v>2.4441000000000001E-2</v>
      </c>
      <c r="N133" s="38">
        <v>2.3382E-2</v>
      </c>
      <c r="O133" s="38">
        <v>2.2426999999999999E-2</v>
      </c>
      <c r="P133" s="38">
        <v>2.1575E-2</v>
      </c>
      <c r="Q133" s="38">
        <v>2.0766E-2</v>
      </c>
      <c r="R133" s="38">
        <v>2.0174000000000001E-2</v>
      </c>
      <c r="S133" s="38">
        <v>1.9734000000000002E-2</v>
      </c>
      <c r="T133" s="38">
        <v>1.9435000000000001E-2</v>
      </c>
      <c r="U133" s="38">
        <v>1.9276999999999999E-2</v>
      </c>
      <c r="V133" s="38">
        <v>1.9193000000000002E-2</v>
      </c>
      <c r="W133" s="38">
        <v>1.9181E-2</v>
      </c>
      <c r="X133" s="38">
        <v>1.9265000000000001E-2</v>
      </c>
      <c r="Y133" s="38">
        <v>1.9361E-2</v>
      </c>
      <c r="Z133" s="38">
        <v>1.9505000000000002E-2</v>
      </c>
      <c r="AA133" s="38">
        <v>1.9633999999999999E-2</v>
      </c>
      <c r="AB133" s="38">
        <v>1.9872000000000001E-2</v>
      </c>
      <c r="AC133" s="38">
        <v>2.0087000000000001E-2</v>
      </c>
      <c r="AD133" s="38">
        <v>2.0365999999999999E-2</v>
      </c>
      <c r="AE133" s="38">
        <v>2.0629999999999999E-2</v>
      </c>
      <c r="AF133" s="35">
        <v>-1.7486999999999999E-2</v>
      </c>
      <c r="AG133" s="29"/>
    </row>
    <row r="134" spans="1:33" ht="15" customHeight="1">
      <c r="A134" s="34" t="s">
        <v>2218</v>
      </c>
      <c r="B134" s="37" t="s">
        <v>2143</v>
      </c>
      <c r="C134" s="38">
        <v>3.2076410000000002</v>
      </c>
      <c r="D134" s="38">
        <v>3.4227699999999999</v>
      </c>
      <c r="E134" s="38">
        <v>3.4693510000000001</v>
      </c>
      <c r="F134" s="38">
        <v>3.4755720000000001</v>
      </c>
      <c r="G134" s="38">
        <v>3.5156429999999999</v>
      </c>
      <c r="H134" s="38">
        <v>3.555428</v>
      </c>
      <c r="I134" s="38">
        <v>3.5867559999999998</v>
      </c>
      <c r="J134" s="38">
        <v>3.609979</v>
      </c>
      <c r="K134" s="38">
        <v>3.6261999999999999</v>
      </c>
      <c r="L134" s="38">
        <v>3.6422979999999998</v>
      </c>
      <c r="M134" s="38">
        <v>3.6679409999999999</v>
      </c>
      <c r="N134" s="38">
        <v>3.6949190000000001</v>
      </c>
      <c r="O134" s="38">
        <v>3.7192029999999998</v>
      </c>
      <c r="P134" s="38">
        <v>3.7481580000000001</v>
      </c>
      <c r="Q134" s="38">
        <v>3.7858100000000001</v>
      </c>
      <c r="R134" s="38">
        <v>3.8309199999999999</v>
      </c>
      <c r="S134" s="38">
        <v>3.8783069999999999</v>
      </c>
      <c r="T134" s="38">
        <v>3.9277929999999999</v>
      </c>
      <c r="U134" s="38">
        <v>3.98536</v>
      </c>
      <c r="V134" s="38">
        <v>4.0404499999999999</v>
      </c>
      <c r="W134" s="38">
        <v>4.0965020000000001</v>
      </c>
      <c r="X134" s="38">
        <v>4.1533959999999999</v>
      </c>
      <c r="Y134" s="38">
        <v>4.2101170000000003</v>
      </c>
      <c r="Z134" s="38">
        <v>4.2652929999999998</v>
      </c>
      <c r="AA134" s="38">
        <v>4.3191079999999999</v>
      </c>
      <c r="AB134" s="38">
        <v>4.3769239999999998</v>
      </c>
      <c r="AC134" s="38">
        <v>4.4353590000000001</v>
      </c>
      <c r="AD134" s="38">
        <v>4.4929920000000001</v>
      </c>
      <c r="AE134" s="38">
        <v>4.5573110000000003</v>
      </c>
      <c r="AF134" s="35">
        <v>1.2622E-2</v>
      </c>
      <c r="AG134" s="29"/>
    </row>
    <row r="135" spans="1:33" ht="15" customHeight="1">
      <c r="A135" s="34" t="s">
        <v>2219</v>
      </c>
      <c r="B135" s="37" t="s">
        <v>2171</v>
      </c>
      <c r="C135" s="38">
        <v>4.3489999999999996E-3</v>
      </c>
      <c r="D135" s="38">
        <v>4.4910000000000002E-3</v>
      </c>
      <c r="E135" s="38">
        <v>4.0049999999999999E-3</v>
      </c>
      <c r="F135" s="38">
        <v>4.1660000000000004E-3</v>
      </c>
      <c r="G135" s="38">
        <v>4.1939999999999998E-3</v>
      </c>
      <c r="H135" s="38">
        <v>4.2230000000000002E-3</v>
      </c>
      <c r="I135" s="38">
        <v>4.2300000000000003E-3</v>
      </c>
      <c r="J135" s="38">
        <v>4.2139999999999999E-3</v>
      </c>
      <c r="K135" s="38">
        <v>4.215E-3</v>
      </c>
      <c r="L135" s="38">
        <v>4.1830000000000001E-3</v>
      </c>
      <c r="M135" s="38">
        <v>4.1710000000000002E-3</v>
      </c>
      <c r="N135" s="38">
        <v>4.1590000000000004E-3</v>
      </c>
      <c r="O135" s="38">
        <v>4.143E-3</v>
      </c>
      <c r="P135" s="38">
        <v>4.1269999999999996E-3</v>
      </c>
      <c r="Q135" s="38">
        <v>4.1149999999999997E-3</v>
      </c>
      <c r="R135" s="38">
        <v>4.1019999999999997E-3</v>
      </c>
      <c r="S135" s="38">
        <v>4.0899999999999999E-3</v>
      </c>
      <c r="T135" s="38">
        <v>4.0800000000000003E-3</v>
      </c>
      <c r="U135" s="38">
        <v>4.0679999999999996E-3</v>
      </c>
      <c r="V135" s="38">
        <v>4.0480000000000004E-3</v>
      </c>
      <c r="W135" s="38">
        <v>4.0439999999999999E-3</v>
      </c>
      <c r="X135" s="38">
        <v>4.0280000000000003E-3</v>
      </c>
      <c r="Y135" s="38">
        <v>4.0330000000000001E-3</v>
      </c>
      <c r="Z135" s="38">
        <v>4.0150000000000003E-3</v>
      </c>
      <c r="AA135" s="38">
        <v>3.9579999999999997E-3</v>
      </c>
      <c r="AB135" s="38">
        <v>3.954E-3</v>
      </c>
      <c r="AC135" s="38">
        <v>3.9480000000000001E-3</v>
      </c>
      <c r="AD135" s="38">
        <v>3.9379999999999997E-3</v>
      </c>
      <c r="AE135" s="38">
        <v>3.9350000000000001E-3</v>
      </c>
      <c r="AF135" s="35">
        <v>-3.5690000000000001E-3</v>
      </c>
      <c r="AG135" s="29"/>
    </row>
    <row r="136" spans="1:33" ht="15" customHeight="1">
      <c r="A136" s="34" t="s">
        <v>2220</v>
      </c>
      <c r="B136" s="37" t="s">
        <v>2066</v>
      </c>
      <c r="C136" s="38">
        <v>8.2984030000000004</v>
      </c>
      <c r="D136" s="38">
        <v>8.2742129999999996</v>
      </c>
      <c r="E136" s="38">
        <v>8.1078969999999995</v>
      </c>
      <c r="F136" s="38">
        <v>8.0286050000000007</v>
      </c>
      <c r="G136" s="38">
        <v>7.9552829999999997</v>
      </c>
      <c r="H136" s="38">
        <v>7.8758489999999997</v>
      </c>
      <c r="I136" s="38">
        <v>7.8110809999999997</v>
      </c>
      <c r="J136" s="38">
        <v>7.7479940000000003</v>
      </c>
      <c r="K136" s="38">
        <v>7.6751930000000002</v>
      </c>
      <c r="L136" s="38">
        <v>7.6061560000000004</v>
      </c>
      <c r="M136" s="38">
        <v>7.5620419999999999</v>
      </c>
      <c r="N136" s="38">
        <v>7.5172759999999998</v>
      </c>
      <c r="O136" s="38">
        <v>7.4767270000000003</v>
      </c>
      <c r="P136" s="38">
        <v>7.4455859999999996</v>
      </c>
      <c r="Q136" s="38">
        <v>7.4135879999999998</v>
      </c>
      <c r="R136" s="38">
        <v>7.3928289999999999</v>
      </c>
      <c r="S136" s="38">
        <v>7.3775219999999999</v>
      </c>
      <c r="T136" s="38">
        <v>7.3615370000000002</v>
      </c>
      <c r="U136" s="38">
        <v>7.3553009999999999</v>
      </c>
      <c r="V136" s="38">
        <v>7.3553680000000004</v>
      </c>
      <c r="W136" s="38">
        <v>7.3554329999999997</v>
      </c>
      <c r="X136" s="38">
        <v>7.3524419999999999</v>
      </c>
      <c r="Y136" s="38">
        <v>7.3469220000000002</v>
      </c>
      <c r="Z136" s="38">
        <v>7.3390250000000004</v>
      </c>
      <c r="AA136" s="38">
        <v>7.3360589999999997</v>
      </c>
      <c r="AB136" s="38">
        <v>7.3344529999999999</v>
      </c>
      <c r="AC136" s="38">
        <v>7.328373</v>
      </c>
      <c r="AD136" s="38">
        <v>7.3213369999999998</v>
      </c>
      <c r="AE136" s="38">
        <v>7.3337159999999999</v>
      </c>
      <c r="AF136" s="35">
        <v>-4.4039999999999999E-3</v>
      </c>
      <c r="AG136" s="29"/>
    </row>
    <row r="137" spans="1:33" ht="15" customHeight="1">
      <c r="A137" s="34" t="s">
        <v>2221</v>
      </c>
      <c r="B137" s="37" t="s">
        <v>2090</v>
      </c>
      <c r="C137" s="38">
        <v>0.78224000000000005</v>
      </c>
      <c r="D137" s="38">
        <v>0.63446199999999997</v>
      </c>
      <c r="E137" s="38">
        <v>0.60188799999999998</v>
      </c>
      <c r="F137" s="38">
        <v>0.59668699999999997</v>
      </c>
      <c r="G137" s="38">
        <v>0.56988099999999997</v>
      </c>
      <c r="H137" s="38">
        <v>0.55688099999999996</v>
      </c>
      <c r="I137" s="38">
        <v>0.53635900000000003</v>
      </c>
      <c r="J137" s="38">
        <v>0.52351199999999998</v>
      </c>
      <c r="K137" s="38">
        <v>0.513876</v>
      </c>
      <c r="L137" s="38">
        <v>0.51337500000000003</v>
      </c>
      <c r="M137" s="38">
        <v>0.51244699999999999</v>
      </c>
      <c r="N137" s="38">
        <v>0.51275199999999999</v>
      </c>
      <c r="O137" s="38">
        <v>0.51093900000000003</v>
      </c>
      <c r="P137" s="38">
        <v>0.51127800000000001</v>
      </c>
      <c r="Q137" s="38">
        <v>0.50777600000000001</v>
      </c>
      <c r="R137" s="38">
        <v>0.50669200000000003</v>
      </c>
      <c r="S137" s="38">
        <v>0.50578599999999996</v>
      </c>
      <c r="T137" s="38">
        <v>0.50300100000000003</v>
      </c>
      <c r="U137" s="38">
        <v>0.50160700000000003</v>
      </c>
      <c r="V137" s="38">
        <v>0.49914799999999998</v>
      </c>
      <c r="W137" s="38">
        <v>0.49754999999999999</v>
      </c>
      <c r="X137" s="38">
        <v>0.49394199999999999</v>
      </c>
      <c r="Y137" s="38">
        <v>0.49101600000000001</v>
      </c>
      <c r="Z137" s="38">
        <v>0.48746299999999998</v>
      </c>
      <c r="AA137" s="38">
        <v>0.49326500000000001</v>
      </c>
      <c r="AB137" s="38">
        <v>0.49277700000000002</v>
      </c>
      <c r="AC137" s="38">
        <v>0.48798999999999998</v>
      </c>
      <c r="AD137" s="38">
        <v>0.48433100000000001</v>
      </c>
      <c r="AE137" s="38">
        <v>0.479935</v>
      </c>
      <c r="AF137" s="35">
        <v>-1.7295000000000001E-2</v>
      </c>
      <c r="AG137" s="29"/>
    </row>
    <row r="138" spans="1:33" ht="15" customHeight="1">
      <c r="A138" s="34" t="s">
        <v>2222</v>
      </c>
      <c r="B138" s="37" t="s">
        <v>2108</v>
      </c>
      <c r="C138" s="38">
        <v>0.52429800000000004</v>
      </c>
      <c r="D138" s="38">
        <v>0.59491700000000003</v>
      </c>
      <c r="E138" s="38">
        <v>0.55000000000000004</v>
      </c>
      <c r="F138" s="38">
        <v>0.55000000000000004</v>
      </c>
      <c r="G138" s="38">
        <v>0.55000000000000004</v>
      </c>
      <c r="H138" s="38">
        <v>0.55000000000000004</v>
      </c>
      <c r="I138" s="38">
        <v>0.55000000000000004</v>
      </c>
      <c r="J138" s="38">
        <v>0.55000000000000004</v>
      </c>
      <c r="K138" s="38">
        <v>0.55000000000000004</v>
      </c>
      <c r="L138" s="38">
        <v>0.55000000000000004</v>
      </c>
      <c r="M138" s="38">
        <v>0.55000000000000004</v>
      </c>
      <c r="N138" s="38">
        <v>0.55000000000000004</v>
      </c>
      <c r="O138" s="38">
        <v>0.55000000000000004</v>
      </c>
      <c r="P138" s="38">
        <v>0.55000000000000004</v>
      </c>
      <c r="Q138" s="38">
        <v>0.55000000000000004</v>
      </c>
      <c r="R138" s="38">
        <v>0.55000000000000004</v>
      </c>
      <c r="S138" s="38">
        <v>0.55000000000000004</v>
      </c>
      <c r="T138" s="38">
        <v>0.55000000000000004</v>
      </c>
      <c r="U138" s="38">
        <v>0.55000000000000004</v>
      </c>
      <c r="V138" s="38">
        <v>0.55000000000000004</v>
      </c>
      <c r="W138" s="38">
        <v>0.55000000000000004</v>
      </c>
      <c r="X138" s="38">
        <v>0.55000000000000004</v>
      </c>
      <c r="Y138" s="38">
        <v>0.55000000000000004</v>
      </c>
      <c r="Z138" s="38">
        <v>0.55000000000000004</v>
      </c>
      <c r="AA138" s="38">
        <v>0.55000000000000004</v>
      </c>
      <c r="AB138" s="38">
        <v>0.55000000000000004</v>
      </c>
      <c r="AC138" s="38">
        <v>0.55000000000000004</v>
      </c>
      <c r="AD138" s="38">
        <v>0.55000000000000004</v>
      </c>
      <c r="AE138" s="38">
        <v>0.55000000000000004</v>
      </c>
      <c r="AF138" s="35">
        <v>1.7110000000000001E-3</v>
      </c>
      <c r="AG138" s="29"/>
    </row>
    <row r="139" spans="1:33" ht="15" customHeight="1">
      <c r="A139" s="34" t="s">
        <v>2223</v>
      </c>
      <c r="B139" s="37" t="s">
        <v>2176</v>
      </c>
      <c r="C139" s="38">
        <v>3.3626849999999999</v>
      </c>
      <c r="D139" s="38">
        <v>3.1847819999999998</v>
      </c>
      <c r="E139" s="38">
        <v>3.113845</v>
      </c>
      <c r="F139" s="38">
        <v>3.1926399999999999</v>
      </c>
      <c r="G139" s="38">
        <v>3.1966939999999999</v>
      </c>
      <c r="H139" s="38">
        <v>3.205978</v>
      </c>
      <c r="I139" s="38">
        <v>3.235325</v>
      </c>
      <c r="J139" s="38">
        <v>3.2673510000000001</v>
      </c>
      <c r="K139" s="38">
        <v>3.2984140000000002</v>
      </c>
      <c r="L139" s="38">
        <v>3.3227519999999999</v>
      </c>
      <c r="M139" s="38">
        <v>3.3526020000000001</v>
      </c>
      <c r="N139" s="38">
        <v>3.3691629999999999</v>
      </c>
      <c r="O139" s="38">
        <v>3.4115350000000002</v>
      </c>
      <c r="P139" s="38">
        <v>3.432283</v>
      </c>
      <c r="Q139" s="38">
        <v>3.4393159999999998</v>
      </c>
      <c r="R139" s="38">
        <v>3.4604940000000002</v>
      </c>
      <c r="S139" s="38">
        <v>3.4828939999999999</v>
      </c>
      <c r="T139" s="38">
        <v>3.5022030000000002</v>
      </c>
      <c r="U139" s="38">
        <v>3.5316010000000002</v>
      </c>
      <c r="V139" s="38">
        <v>3.5575800000000002</v>
      </c>
      <c r="W139" s="38">
        <v>3.577172</v>
      </c>
      <c r="X139" s="38">
        <v>3.5801780000000001</v>
      </c>
      <c r="Y139" s="38">
        <v>3.5976379999999999</v>
      </c>
      <c r="Z139" s="38">
        <v>3.6217980000000001</v>
      </c>
      <c r="AA139" s="38">
        <v>3.6294940000000002</v>
      </c>
      <c r="AB139" s="38">
        <v>3.6434259999999998</v>
      </c>
      <c r="AC139" s="38">
        <v>3.6498569999999999</v>
      </c>
      <c r="AD139" s="38">
        <v>3.6576620000000002</v>
      </c>
      <c r="AE139" s="38">
        <v>3.6622530000000002</v>
      </c>
      <c r="AF139" s="35">
        <v>3.052E-3</v>
      </c>
      <c r="AG139" s="29"/>
    </row>
    <row r="140" spans="1:33" ht="15" customHeight="1">
      <c r="A140" s="34" t="s">
        <v>2224</v>
      </c>
      <c r="B140" s="37" t="s">
        <v>2068</v>
      </c>
      <c r="C140" s="38">
        <v>36.816775999999997</v>
      </c>
      <c r="D140" s="38">
        <v>36.981636000000002</v>
      </c>
      <c r="E140" s="38">
        <v>36.540520000000001</v>
      </c>
      <c r="F140" s="38">
        <v>36.382576</v>
      </c>
      <c r="G140" s="38">
        <v>36.236431000000003</v>
      </c>
      <c r="H140" s="38">
        <v>36.093871999999998</v>
      </c>
      <c r="I140" s="38">
        <v>35.925091000000002</v>
      </c>
      <c r="J140" s="38">
        <v>35.712456000000003</v>
      </c>
      <c r="K140" s="38">
        <v>35.460442</v>
      </c>
      <c r="L140" s="38">
        <v>35.244155999999997</v>
      </c>
      <c r="M140" s="38">
        <v>35.085304000000001</v>
      </c>
      <c r="N140" s="38">
        <v>34.948363999999998</v>
      </c>
      <c r="O140" s="38">
        <v>34.868290000000002</v>
      </c>
      <c r="P140" s="38">
        <v>34.774864000000001</v>
      </c>
      <c r="Q140" s="38">
        <v>34.660747999999998</v>
      </c>
      <c r="R140" s="38">
        <v>34.614296000000003</v>
      </c>
      <c r="S140" s="38">
        <v>34.581386999999999</v>
      </c>
      <c r="T140" s="38">
        <v>34.574551</v>
      </c>
      <c r="U140" s="38">
        <v>34.635840999999999</v>
      </c>
      <c r="V140" s="38">
        <v>34.700851</v>
      </c>
      <c r="W140" s="38">
        <v>34.772815999999999</v>
      </c>
      <c r="X140" s="38">
        <v>34.843960000000003</v>
      </c>
      <c r="Y140" s="38">
        <v>34.938006999999999</v>
      </c>
      <c r="Z140" s="38">
        <v>35.050567999999998</v>
      </c>
      <c r="AA140" s="38">
        <v>35.202908000000001</v>
      </c>
      <c r="AB140" s="38">
        <v>35.394218000000002</v>
      </c>
      <c r="AC140" s="38">
        <v>35.548603</v>
      </c>
      <c r="AD140" s="38">
        <v>35.727843999999997</v>
      </c>
      <c r="AE140" s="38">
        <v>35.995083000000001</v>
      </c>
      <c r="AF140" s="35">
        <v>-8.0599999999999997E-4</v>
      </c>
      <c r="AG140" s="29"/>
    </row>
    <row r="141" spans="1:33" ht="12" customHeight="1">
      <c r="A141" s="34" t="s">
        <v>2225</v>
      </c>
      <c r="B141" s="37" t="s">
        <v>2070</v>
      </c>
      <c r="C141" s="38">
        <v>29.887485999999999</v>
      </c>
      <c r="D141" s="38">
        <v>28.684092</v>
      </c>
      <c r="E141" s="38">
        <v>27.517778</v>
      </c>
      <c r="F141" s="38">
        <v>27.228760000000001</v>
      </c>
      <c r="G141" s="38">
        <v>27.100605000000002</v>
      </c>
      <c r="H141" s="38">
        <v>26.608623999999999</v>
      </c>
      <c r="I141" s="38">
        <v>26.420674999999999</v>
      </c>
      <c r="J141" s="38">
        <v>26.243465</v>
      </c>
      <c r="K141" s="38">
        <v>25.927284</v>
      </c>
      <c r="L141" s="38">
        <v>25.581113999999999</v>
      </c>
      <c r="M141" s="38">
        <v>25.358640999999999</v>
      </c>
      <c r="N141" s="38">
        <v>25.194061000000001</v>
      </c>
      <c r="O141" s="38">
        <v>25.058788</v>
      </c>
      <c r="P141" s="38">
        <v>25.025496</v>
      </c>
      <c r="Q141" s="38">
        <v>25.084911000000002</v>
      </c>
      <c r="R141" s="38">
        <v>25.211143</v>
      </c>
      <c r="S141" s="38">
        <v>25.419951999999999</v>
      </c>
      <c r="T141" s="38">
        <v>25.587416000000001</v>
      </c>
      <c r="U141" s="38">
        <v>25.813139</v>
      </c>
      <c r="V141" s="38">
        <v>25.961817</v>
      </c>
      <c r="W141" s="38">
        <v>26.134143999999999</v>
      </c>
      <c r="X141" s="38">
        <v>26.283626999999999</v>
      </c>
      <c r="Y141" s="38">
        <v>26.378634999999999</v>
      </c>
      <c r="Z141" s="38">
        <v>26.517106999999999</v>
      </c>
      <c r="AA141" s="38">
        <v>26.482869999999998</v>
      </c>
      <c r="AB141" s="38">
        <v>26.602481999999998</v>
      </c>
      <c r="AC141" s="38">
        <v>26.773202999999999</v>
      </c>
      <c r="AD141" s="38">
        <v>26.912264</v>
      </c>
      <c r="AE141" s="38">
        <v>27.126685999999999</v>
      </c>
      <c r="AF141" s="35">
        <v>-3.4559999999999999E-3</v>
      </c>
      <c r="AG141" s="29"/>
    </row>
    <row r="142" spans="1:33" ht="12" customHeight="1">
      <c r="A142" s="34" t="s">
        <v>2226</v>
      </c>
      <c r="B142" s="37" t="s">
        <v>2114</v>
      </c>
      <c r="C142" s="38">
        <v>0</v>
      </c>
      <c r="D142" s="38">
        <v>0</v>
      </c>
      <c r="E142" s="38">
        <v>0</v>
      </c>
      <c r="F142" s="38">
        <v>0</v>
      </c>
      <c r="G142" s="38">
        <v>0</v>
      </c>
      <c r="H142" s="38">
        <v>0</v>
      </c>
      <c r="I142" s="38">
        <v>0</v>
      </c>
      <c r="J142" s="38">
        <v>0</v>
      </c>
      <c r="K142" s="38">
        <v>0</v>
      </c>
      <c r="L142" s="38">
        <v>0</v>
      </c>
      <c r="M142" s="38">
        <v>0</v>
      </c>
      <c r="N142" s="38">
        <v>0</v>
      </c>
      <c r="O142" s="38">
        <v>0</v>
      </c>
      <c r="P142" s="38">
        <v>0</v>
      </c>
      <c r="Q142" s="38">
        <v>0</v>
      </c>
      <c r="R142" s="38">
        <v>0</v>
      </c>
      <c r="S142" s="38">
        <v>0</v>
      </c>
      <c r="T142" s="38">
        <v>0</v>
      </c>
      <c r="U142" s="38">
        <v>0</v>
      </c>
      <c r="V142" s="38">
        <v>0</v>
      </c>
      <c r="W142" s="38">
        <v>0</v>
      </c>
      <c r="X142" s="38">
        <v>0</v>
      </c>
      <c r="Y142" s="38">
        <v>0</v>
      </c>
      <c r="Z142" s="38">
        <v>0</v>
      </c>
      <c r="AA142" s="38">
        <v>0</v>
      </c>
      <c r="AB142" s="38">
        <v>0</v>
      </c>
      <c r="AC142" s="38">
        <v>0</v>
      </c>
      <c r="AD142" s="38">
        <v>0</v>
      </c>
      <c r="AE142" s="38">
        <v>0</v>
      </c>
      <c r="AF142" s="35" t="s">
        <v>1278</v>
      </c>
      <c r="AG142" s="29"/>
    </row>
    <row r="143" spans="1:33" ht="12" customHeight="1">
      <c r="A143" s="34" t="s">
        <v>2227</v>
      </c>
      <c r="B143" s="37" t="s">
        <v>2116</v>
      </c>
      <c r="C143" s="38">
        <v>2.058109</v>
      </c>
      <c r="D143" s="38">
        <v>2.092768</v>
      </c>
      <c r="E143" s="38">
        <v>2.0814270000000001</v>
      </c>
      <c r="F143" s="38">
        <v>2.0905629999999999</v>
      </c>
      <c r="G143" s="38">
        <v>2.1201449999999999</v>
      </c>
      <c r="H143" s="38">
        <v>2.120571</v>
      </c>
      <c r="I143" s="38">
        <v>2.1526890000000001</v>
      </c>
      <c r="J143" s="38">
        <v>2.1577320000000002</v>
      </c>
      <c r="K143" s="38">
        <v>2.1695030000000002</v>
      </c>
      <c r="L143" s="38">
        <v>2.1815989999999998</v>
      </c>
      <c r="M143" s="38">
        <v>2.2111010000000002</v>
      </c>
      <c r="N143" s="38">
        <v>2.2290570000000001</v>
      </c>
      <c r="O143" s="38">
        <v>2.2467280000000001</v>
      </c>
      <c r="P143" s="38">
        <v>2.2575560000000001</v>
      </c>
      <c r="Q143" s="38">
        <v>2.2863720000000001</v>
      </c>
      <c r="R143" s="38">
        <v>2.3044690000000001</v>
      </c>
      <c r="S143" s="38">
        <v>2.314082</v>
      </c>
      <c r="T143" s="38">
        <v>2.3346290000000001</v>
      </c>
      <c r="U143" s="38">
        <v>2.333602</v>
      </c>
      <c r="V143" s="38">
        <v>2.335842</v>
      </c>
      <c r="W143" s="38">
        <v>2.3531970000000002</v>
      </c>
      <c r="X143" s="38">
        <v>2.370949</v>
      </c>
      <c r="Y143" s="38">
        <v>2.3963049999999999</v>
      </c>
      <c r="Z143" s="38">
        <v>2.4046780000000001</v>
      </c>
      <c r="AA143" s="38">
        <v>2.4146890000000001</v>
      </c>
      <c r="AB143" s="38">
        <v>2.416207</v>
      </c>
      <c r="AC143" s="38">
        <v>2.4452199999999999</v>
      </c>
      <c r="AD143" s="38">
        <v>2.4601860000000002</v>
      </c>
      <c r="AE143" s="38">
        <v>2.4687199999999998</v>
      </c>
      <c r="AF143" s="35">
        <v>6.5180000000000004E-3</v>
      </c>
      <c r="AG143" s="29"/>
    </row>
    <row r="144" spans="1:33" ht="12" customHeight="1">
      <c r="A144" s="34" t="s">
        <v>2228</v>
      </c>
      <c r="B144" s="37" t="s">
        <v>2153</v>
      </c>
      <c r="C144" s="38">
        <v>0.33252300000000001</v>
      </c>
      <c r="D144" s="38">
        <v>0.377971</v>
      </c>
      <c r="E144" s="38">
        <v>0.38400499999999999</v>
      </c>
      <c r="F144" s="38">
        <v>0.40878300000000001</v>
      </c>
      <c r="G144" s="38">
        <v>0.44626100000000002</v>
      </c>
      <c r="H144" s="38">
        <v>0.47717300000000001</v>
      </c>
      <c r="I144" s="38">
        <v>0.50361</v>
      </c>
      <c r="J144" s="38">
        <v>0.52757100000000001</v>
      </c>
      <c r="K144" s="38">
        <v>0.57796899999999996</v>
      </c>
      <c r="L144" s="38">
        <v>0.62836700000000001</v>
      </c>
      <c r="M144" s="38">
        <v>0.68000400000000005</v>
      </c>
      <c r="N144" s="38">
        <v>0.72916400000000003</v>
      </c>
      <c r="O144" s="38">
        <v>0.77116200000000001</v>
      </c>
      <c r="P144" s="38">
        <v>0.79636099999999999</v>
      </c>
      <c r="Q144" s="38">
        <v>0.81439899999999998</v>
      </c>
      <c r="R144" s="38">
        <v>0.82996000000000003</v>
      </c>
      <c r="S144" s="38">
        <v>0.83835999999999999</v>
      </c>
      <c r="T144" s="38">
        <v>0.83835999999999999</v>
      </c>
      <c r="U144" s="38">
        <v>0.83959799999999996</v>
      </c>
      <c r="V144" s="38">
        <v>0.83835999999999999</v>
      </c>
      <c r="W144" s="38">
        <v>0.83835999999999999</v>
      </c>
      <c r="X144" s="38">
        <v>0.83835999999999999</v>
      </c>
      <c r="Y144" s="38">
        <v>0.83959799999999996</v>
      </c>
      <c r="Z144" s="38">
        <v>0.83835999999999999</v>
      </c>
      <c r="AA144" s="38">
        <v>0.83835999999999999</v>
      </c>
      <c r="AB144" s="38">
        <v>0.83835999999999999</v>
      </c>
      <c r="AC144" s="38">
        <v>0.83959799999999996</v>
      </c>
      <c r="AD144" s="38">
        <v>0.83835999999999999</v>
      </c>
      <c r="AE144" s="38">
        <v>0.83835999999999999</v>
      </c>
      <c r="AF144" s="35">
        <v>3.3577999999999997E-2</v>
      </c>
      <c r="AG144" s="29"/>
    </row>
    <row r="145" spans="1:33" ht="12" customHeight="1">
      <c r="A145" s="34" t="s">
        <v>2229</v>
      </c>
      <c r="B145" s="37" t="s">
        <v>2151</v>
      </c>
      <c r="C145" s="38">
        <v>0.90573199999999998</v>
      </c>
      <c r="D145" s="38">
        <v>0.82054300000000002</v>
      </c>
      <c r="E145" s="38">
        <v>0.76098200000000005</v>
      </c>
      <c r="F145" s="38">
        <v>0.72675199999999995</v>
      </c>
      <c r="G145" s="38">
        <v>0.69584999999999997</v>
      </c>
      <c r="H145" s="38">
        <v>0.65398500000000004</v>
      </c>
      <c r="I145" s="38">
        <v>0.61392800000000003</v>
      </c>
      <c r="J145" s="38">
        <v>0.61203300000000005</v>
      </c>
      <c r="K145" s="38">
        <v>0.61031599999999997</v>
      </c>
      <c r="L145" s="38">
        <v>0.61189700000000002</v>
      </c>
      <c r="M145" s="38">
        <v>0.61776399999999998</v>
      </c>
      <c r="N145" s="38">
        <v>0.62628499999999998</v>
      </c>
      <c r="O145" s="38">
        <v>0.63076699999999997</v>
      </c>
      <c r="P145" s="38">
        <v>0.63347699999999996</v>
      </c>
      <c r="Q145" s="38">
        <v>0.63400299999999998</v>
      </c>
      <c r="R145" s="38">
        <v>0.63296799999999998</v>
      </c>
      <c r="S145" s="38">
        <v>0.63783100000000004</v>
      </c>
      <c r="T145" s="38">
        <v>0.63666800000000001</v>
      </c>
      <c r="U145" s="38">
        <v>0.64580700000000002</v>
      </c>
      <c r="V145" s="38">
        <v>0.65242699999999998</v>
      </c>
      <c r="W145" s="38">
        <v>0.65816600000000003</v>
      </c>
      <c r="X145" s="38">
        <v>0.66099399999999997</v>
      </c>
      <c r="Y145" s="38">
        <v>0.66509499999999999</v>
      </c>
      <c r="Z145" s="38">
        <v>0.66920299999999999</v>
      </c>
      <c r="AA145" s="38">
        <v>0.67453399999999997</v>
      </c>
      <c r="AB145" s="38">
        <v>0.68213500000000005</v>
      </c>
      <c r="AC145" s="38">
        <v>0.68949099999999997</v>
      </c>
      <c r="AD145" s="38">
        <v>0.691882</v>
      </c>
      <c r="AE145" s="38">
        <v>0.69677699999999998</v>
      </c>
      <c r="AF145" s="35">
        <v>-9.3229999999999997E-3</v>
      </c>
      <c r="AG145" s="29"/>
    </row>
    <row r="146" spans="1:33" ht="12" customHeight="1">
      <c r="A146" s="34" t="s">
        <v>2230</v>
      </c>
      <c r="B146" s="37" t="s">
        <v>2118</v>
      </c>
      <c r="C146" s="38">
        <v>33.183849000000002</v>
      </c>
      <c r="D146" s="38">
        <v>31.975372</v>
      </c>
      <c r="E146" s="38">
        <v>30.744192000000002</v>
      </c>
      <c r="F146" s="38">
        <v>30.454858999999999</v>
      </c>
      <c r="G146" s="38">
        <v>30.362862</v>
      </c>
      <c r="H146" s="38">
        <v>29.860353</v>
      </c>
      <c r="I146" s="38">
        <v>29.690902999999999</v>
      </c>
      <c r="J146" s="38">
        <v>29.540801999999999</v>
      </c>
      <c r="K146" s="38">
        <v>29.285072</v>
      </c>
      <c r="L146" s="38">
        <v>29.002974999999999</v>
      </c>
      <c r="M146" s="38">
        <v>28.867509999999999</v>
      </c>
      <c r="N146" s="38">
        <v>28.778568</v>
      </c>
      <c r="O146" s="38">
        <v>28.707445</v>
      </c>
      <c r="P146" s="38">
        <v>28.712893000000001</v>
      </c>
      <c r="Q146" s="38">
        <v>28.819685</v>
      </c>
      <c r="R146" s="38">
        <v>28.978542000000001</v>
      </c>
      <c r="S146" s="38">
        <v>29.210225999999999</v>
      </c>
      <c r="T146" s="38">
        <v>29.397072000000001</v>
      </c>
      <c r="U146" s="38">
        <v>29.632147</v>
      </c>
      <c r="V146" s="38">
        <v>29.788446</v>
      </c>
      <c r="W146" s="38">
        <v>29.983868000000001</v>
      </c>
      <c r="X146" s="38">
        <v>30.153929000000002</v>
      </c>
      <c r="Y146" s="38">
        <v>30.279633</v>
      </c>
      <c r="Z146" s="38">
        <v>30.429348000000001</v>
      </c>
      <c r="AA146" s="38">
        <v>30.410451999999999</v>
      </c>
      <c r="AB146" s="38">
        <v>30.539183000000001</v>
      </c>
      <c r="AC146" s="38">
        <v>30.747510999999999</v>
      </c>
      <c r="AD146" s="38">
        <v>30.902691000000001</v>
      </c>
      <c r="AE146" s="38">
        <v>31.130542999999999</v>
      </c>
      <c r="AF146" s="35">
        <v>-2.2790000000000002E-3</v>
      </c>
      <c r="AG146" s="29"/>
    </row>
    <row r="147" spans="1:33" ht="12" customHeight="1">
      <c r="A147" s="34" t="s">
        <v>2231</v>
      </c>
      <c r="B147" s="37" t="s">
        <v>2120</v>
      </c>
      <c r="C147" s="38">
        <v>0.45510800000000001</v>
      </c>
      <c r="D147" s="38">
        <v>0.46039799999999997</v>
      </c>
      <c r="E147" s="38">
        <v>0.45217499999999999</v>
      </c>
      <c r="F147" s="38">
        <v>0.44982299999999997</v>
      </c>
      <c r="G147" s="38">
        <v>0.45370199999999999</v>
      </c>
      <c r="H147" s="38">
        <v>0.45578000000000002</v>
      </c>
      <c r="I147" s="38">
        <v>0.45573000000000002</v>
      </c>
      <c r="J147" s="38">
        <v>0.45571200000000001</v>
      </c>
      <c r="K147" s="38">
        <v>0.451486</v>
      </c>
      <c r="L147" s="38">
        <v>0.4481</v>
      </c>
      <c r="M147" s="38">
        <v>0.44935999999999998</v>
      </c>
      <c r="N147" s="38">
        <v>0.44553500000000001</v>
      </c>
      <c r="O147" s="38">
        <v>0.44220500000000001</v>
      </c>
      <c r="P147" s="38">
        <v>0.43980599999999997</v>
      </c>
      <c r="Q147" s="38">
        <v>0.43729699999999999</v>
      </c>
      <c r="R147" s="38">
        <v>0.43605300000000002</v>
      </c>
      <c r="S147" s="38">
        <v>0.43048399999999998</v>
      </c>
      <c r="T147" s="38">
        <v>0.422705</v>
      </c>
      <c r="U147" s="38">
        <v>0.41761799999999999</v>
      </c>
      <c r="V147" s="38">
        <v>0.41546</v>
      </c>
      <c r="W147" s="38">
        <v>0.41492899999999999</v>
      </c>
      <c r="X147" s="38">
        <v>0.41280699999999998</v>
      </c>
      <c r="Y147" s="38">
        <v>0.409607</v>
      </c>
      <c r="Z147" s="38">
        <v>0.405553</v>
      </c>
      <c r="AA147" s="38">
        <v>0.40243699999999999</v>
      </c>
      <c r="AB147" s="38">
        <v>0.39993200000000001</v>
      </c>
      <c r="AC147" s="38">
        <v>0.395372</v>
      </c>
      <c r="AD147" s="38">
        <v>0.39264300000000002</v>
      </c>
      <c r="AE147" s="38">
        <v>0.39289600000000002</v>
      </c>
      <c r="AF147" s="35">
        <v>-5.2360000000000002E-3</v>
      </c>
      <c r="AG147" s="29"/>
    </row>
    <row r="148" spans="1:33" ht="12" customHeight="1">
      <c r="A148" s="34" t="s">
        <v>2232</v>
      </c>
      <c r="B148" s="37" t="s">
        <v>2186</v>
      </c>
      <c r="C148" s="38">
        <v>9.3048940000000009</v>
      </c>
      <c r="D148" s="38">
        <v>8.6327979999999993</v>
      </c>
      <c r="E148" s="38">
        <v>8.9873279999999998</v>
      </c>
      <c r="F148" s="38">
        <v>8.2252930000000006</v>
      </c>
      <c r="G148" s="38">
        <v>7.0903140000000002</v>
      </c>
      <c r="H148" s="38">
        <v>6.0727279999999997</v>
      </c>
      <c r="I148" s="38">
        <v>5.1003970000000001</v>
      </c>
      <c r="J148" s="38">
        <v>4.372566</v>
      </c>
      <c r="K148" s="38">
        <v>3.9721639999999998</v>
      </c>
      <c r="L148" s="38">
        <v>3.8863240000000001</v>
      </c>
      <c r="M148" s="38">
        <v>3.8491569999999999</v>
      </c>
      <c r="N148" s="38">
        <v>3.919556</v>
      </c>
      <c r="O148" s="38">
        <v>3.8837760000000001</v>
      </c>
      <c r="P148" s="38">
        <v>3.8888850000000001</v>
      </c>
      <c r="Q148" s="38">
        <v>3.8497520000000001</v>
      </c>
      <c r="R148" s="38">
        <v>3.7506970000000002</v>
      </c>
      <c r="S148" s="38">
        <v>3.5977649999999999</v>
      </c>
      <c r="T148" s="38">
        <v>3.5119989999999999</v>
      </c>
      <c r="U148" s="38">
        <v>3.4143880000000002</v>
      </c>
      <c r="V148" s="38">
        <v>3.4335110000000002</v>
      </c>
      <c r="W148" s="38">
        <v>3.4248240000000001</v>
      </c>
      <c r="X148" s="38">
        <v>3.3749530000000001</v>
      </c>
      <c r="Y148" s="38">
        <v>3.2607789999999999</v>
      </c>
      <c r="Z148" s="38">
        <v>3.1669109999999998</v>
      </c>
      <c r="AA148" s="38">
        <v>3.0853600000000001</v>
      </c>
      <c r="AB148" s="38">
        <v>3.0469469999999998</v>
      </c>
      <c r="AC148" s="38">
        <v>2.961713</v>
      </c>
      <c r="AD148" s="38">
        <v>2.9422869999999999</v>
      </c>
      <c r="AE148" s="38">
        <v>2.8387739999999999</v>
      </c>
      <c r="AF148" s="35">
        <v>-4.1513000000000001E-2</v>
      </c>
      <c r="AG148" s="29"/>
    </row>
    <row r="149" spans="1:33" ht="12" customHeight="1">
      <c r="A149" s="34" t="s">
        <v>2233</v>
      </c>
      <c r="B149" s="37" t="s">
        <v>2124</v>
      </c>
      <c r="C149" s="38">
        <v>0</v>
      </c>
      <c r="D149" s="38">
        <v>0</v>
      </c>
      <c r="E149" s="38">
        <v>0</v>
      </c>
      <c r="F149" s="38">
        <v>0</v>
      </c>
      <c r="G149" s="38">
        <v>0</v>
      </c>
      <c r="H149" s="38">
        <v>0</v>
      </c>
      <c r="I149" s="38">
        <v>0</v>
      </c>
      <c r="J149" s="38">
        <v>0</v>
      </c>
      <c r="K149" s="38">
        <v>0</v>
      </c>
      <c r="L149" s="38">
        <v>0</v>
      </c>
      <c r="M149" s="38">
        <v>0</v>
      </c>
      <c r="N149" s="38">
        <v>0</v>
      </c>
      <c r="O149" s="38">
        <v>0</v>
      </c>
      <c r="P149" s="38">
        <v>0</v>
      </c>
      <c r="Q149" s="38">
        <v>0</v>
      </c>
      <c r="R149" s="38">
        <v>0</v>
      </c>
      <c r="S149" s="38">
        <v>0</v>
      </c>
      <c r="T149" s="38">
        <v>0</v>
      </c>
      <c r="U149" s="38">
        <v>0</v>
      </c>
      <c r="V149" s="38">
        <v>0</v>
      </c>
      <c r="W149" s="38">
        <v>0</v>
      </c>
      <c r="X149" s="38">
        <v>0</v>
      </c>
      <c r="Y149" s="38">
        <v>0</v>
      </c>
      <c r="Z149" s="38">
        <v>0</v>
      </c>
      <c r="AA149" s="38">
        <v>0</v>
      </c>
      <c r="AB149" s="38">
        <v>0</v>
      </c>
      <c r="AC149" s="38">
        <v>0</v>
      </c>
      <c r="AD149" s="38">
        <v>0</v>
      </c>
      <c r="AE149" s="38">
        <v>0</v>
      </c>
      <c r="AF149" s="35" t="s">
        <v>1278</v>
      </c>
      <c r="AG149" s="29"/>
    </row>
    <row r="150" spans="1:33" ht="15" customHeight="1">
      <c r="A150" s="34" t="s">
        <v>2234</v>
      </c>
      <c r="B150" s="37" t="s">
        <v>2126</v>
      </c>
      <c r="C150" s="38">
        <v>-6.5519999999999995E-2</v>
      </c>
      <c r="D150" s="38">
        <v>-5.2675E-2</v>
      </c>
      <c r="E150" s="38">
        <v>-2.8473999999999999E-2</v>
      </c>
      <c r="F150" s="38">
        <v>-2.8059000000000001E-2</v>
      </c>
      <c r="G150" s="38">
        <v>-2.7151999999999999E-2</v>
      </c>
      <c r="H150" s="38">
        <v>-2.6974000000000001E-2</v>
      </c>
      <c r="I150" s="38">
        <v>-2.6755000000000001E-2</v>
      </c>
      <c r="J150" s="38">
        <v>-2.6592999999999999E-2</v>
      </c>
      <c r="K150" s="38">
        <v>-2.6707000000000002E-2</v>
      </c>
      <c r="L150" s="38">
        <v>-2.6644999999999999E-2</v>
      </c>
      <c r="M150" s="38">
        <v>-2.6433000000000002E-2</v>
      </c>
      <c r="N150" s="38">
        <v>-2.6505999999999998E-2</v>
      </c>
      <c r="O150" s="38">
        <v>-2.6363999999999999E-2</v>
      </c>
      <c r="P150" s="38">
        <v>-2.6169000000000001E-2</v>
      </c>
      <c r="Q150" s="38">
        <v>-2.6079000000000001E-2</v>
      </c>
      <c r="R150" s="38">
        <v>-2.5746999999999999E-2</v>
      </c>
      <c r="S150" s="38">
        <v>-2.5531999999999999E-2</v>
      </c>
      <c r="T150" s="38">
        <v>-2.5347999999999999E-2</v>
      </c>
      <c r="U150" s="38">
        <v>-2.5149999999999999E-2</v>
      </c>
      <c r="V150" s="38">
        <v>-2.4885999999999998E-2</v>
      </c>
      <c r="W150" s="38">
        <v>-2.4641E-2</v>
      </c>
      <c r="X150" s="38">
        <v>-2.4509E-2</v>
      </c>
      <c r="Y150" s="38">
        <v>-2.4396999999999999E-2</v>
      </c>
      <c r="Z150" s="38">
        <v>-2.4327999999999999E-2</v>
      </c>
      <c r="AA150" s="38">
        <v>-2.4147999999999999E-2</v>
      </c>
      <c r="AB150" s="38">
        <v>-2.3947E-2</v>
      </c>
      <c r="AC150" s="38">
        <v>-2.3865999999999998E-2</v>
      </c>
      <c r="AD150" s="38">
        <v>-2.3709999999999998E-2</v>
      </c>
      <c r="AE150" s="38">
        <v>-2.3342999999999999E-2</v>
      </c>
      <c r="AF150" s="35">
        <v>-3.6187999999999998E-2</v>
      </c>
      <c r="AG150" s="29"/>
    </row>
    <row r="151" spans="1:33" ht="15" customHeight="1">
      <c r="A151" s="34" t="s">
        <v>2235</v>
      </c>
      <c r="B151" s="37" t="s">
        <v>2128</v>
      </c>
      <c r="C151" s="38">
        <v>9.694483</v>
      </c>
      <c r="D151" s="38">
        <v>9.0405219999999993</v>
      </c>
      <c r="E151" s="38">
        <v>9.4110289999999992</v>
      </c>
      <c r="F151" s="38">
        <v>8.6470579999999995</v>
      </c>
      <c r="G151" s="38">
        <v>7.5168629999999999</v>
      </c>
      <c r="H151" s="38">
        <v>6.5015349999999996</v>
      </c>
      <c r="I151" s="38">
        <v>5.5293720000000004</v>
      </c>
      <c r="J151" s="38">
        <v>4.8016839999999998</v>
      </c>
      <c r="K151" s="38">
        <v>4.3969440000000004</v>
      </c>
      <c r="L151" s="38">
        <v>4.3077800000000002</v>
      </c>
      <c r="M151" s="38">
        <v>4.2720840000000004</v>
      </c>
      <c r="N151" s="38">
        <v>4.3385850000000001</v>
      </c>
      <c r="O151" s="38">
        <v>4.2996169999999996</v>
      </c>
      <c r="P151" s="38">
        <v>4.3025219999999997</v>
      </c>
      <c r="Q151" s="38">
        <v>4.2609700000000004</v>
      </c>
      <c r="R151" s="38">
        <v>4.1610040000000001</v>
      </c>
      <c r="S151" s="38">
        <v>4.0027169999999996</v>
      </c>
      <c r="T151" s="38">
        <v>3.909357</v>
      </c>
      <c r="U151" s="38">
        <v>3.8068559999999998</v>
      </c>
      <c r="V151" s="38">
        <v>3.8240850000000002</v>
      </c>
      <c r="W151" s="38">
        <v>3.8151120000000001</v>
      </c>
      <c r="X151" s="38">
        <v>3.7632509999999999</v>
      </c>
      <c r="Y151" s="38">
        <v>3.6459890000000001</v>
      </c>
      <c r="Z151" s="38">
        <v>3.548136</v>
      </c>
      <c r="AA151" s="38">
        <v>3.4636490000000002</v>
      </c>
      <c r="AB151" s="38">
        <v>3.4229319999999999</v>
      </c>
      <c r="AC151" s="38">
        <v>3.3332199999999998</v>
      </c>
      <c r="AD151" s="38">
        <v>3.3112200000000001</v>
      </c>
      <c r="AE151" s="38">
        <v>3.208326</v>
      </c>
      <c r="AF151" s="35">
        <v>-3.8723E-2</v>
      </c>
      <c r="AG151" s="29"/>
    </row>
    <row r="152" spans="1:33" ht="15" customHeight="1">
      <c r="A152" s="34" t="s">
        <v>2236</v>
      </c>
      <c r="B152" s="37" t="s">
        <v>2206</v>
      </c>
      <c r="C152" s="38">
        <v>8.0646540000000009</v>
      </c>
      <c r="D152" s="38">
        <v>8.1872109999999996</v>
      </c>
      <c r="E152" s="38">
        <v>8.2466290000000004</v>
      </c>
      <c r="F152" s="38">
        <v>8.1719659999999994</v>
      </c>
      <c r="G152" s="38">
        <v>8.0928570000000004</v>
      </c>
      <c r="H152" s="38">
        <v>8.0927190000000007</v>
      </c>
      <c r="I152" s="38">
        <v>7.9974689999999997</v>
      </c>
      <c r="J152" s="38">
        <v>7.9973400000000003</v>
      </c>
      <c r="K152" s="38">
        <v>7.9187440000000002</v>
      </c>
      <c r="L152" s="38">
        <v>7.9187969999999996</v>
      </c>
      <c r="M152" s="38">
        <v>7.9188850000000004</v>
      </c>
      <c r="N152" s="38">
        <v>7.47281</v>
      </c>
      <c r="O152" s="38">
        <v>7.4032179999999999</v>
      </c>
      <c r="P152" s="38">
        <v>7.3139329999999996</v>
      </c>
      <c r="Q152" s="38">
        <v>7.1458170000000001</v>
      </c>
      <c r="R152" s="38">
        <v>7.0316359999999998</v>
      </c>
      <c r="S152" s="38">
        <v>6.8371979999999999</v>
      </c>
      <c r="T152" s="38">
        <v>6.734248</v>
      </c>
      <c r="U152" s="38">
        <v>6.5336410000000003</v>
      </c>
      <c r="V152" s="38">
        <v>6.5354080000000003</v>
      </c>
      <c r="W152" s="38">
        <v>6.5385289999999996</v>
      </c>
      <c r="X152" s="38">
        <v>6.5412020000000002</v>
      </c>
      <c r="Y152" s="38">
        <v>6.5441659999999997</v>
      </c>
      <c r="Z152" s="38">
        <v>6.5441919999999998</v>
      </c>
      <c r="AA152" s="38">
        <v>6.5416629999999998</v>
      </c>
      <c r="AB152" s="38">
        <v>6.5396289999999997</v>
      </c>
      <c r="AC152" s="38">
        <v>6.5306360000000003</v>
      </c>
      <c r="AD152" s="38">
        <v>6.5318709999999998</v>
      </c>
      <c r="AE152" s="38">
        <v>6.5277070000000004</v>
      </c>
      <c r="AF152" s="35">
        <v>-7.5230000000000002E-3</v>
      </c>
      <c r="AG152" s="29"/>
    </row>
    <row r="153" spans="1:33" ht="15" customHeight="1">
      <c r="A153" s="34" t="s">
        <v>2237</v>
      </c>
      <c r="B153" s="37" t="s">
        <v>2130</v>
      </c>
      <c r="C153" s="38">
        <v>0.918076</v>
      </c>
      <c r="D153" s="38">
        <v>0.98457799999999995</v>
      </c>
      <c r="E153" s="38">
        <v>0.91028900000000001</v>
      </c>
      <c r="F153" s="38">
        <v>0.90657900000000002</v>
      </c>
      <c r="G153" s="38">
        <v>0.90483100000000005</v>
      </c>
      <c r="H153" s="38">
        <v>0.90374500000000002</v>
      </c>
      <c r="I153" s="38">
        <v>0.90679799999999999</v>
      </c>
      <c r="J153" s="38">
        <v>0.90332000000000001</v>
      </c>
      <c r="K153" s="38">
        <v>0.89893800000000001</v>
      </c>
      <c r="L153" s="38">
        <v>0.89509300000000003</v>
      </c>
      <c r="M153" s="38">
        <v>0.89138700000000004</v>
      </c>
      <c r="N153" s="38">
        <v>0.89019999999999999</v>
      </c>
      <c r="O153" s="38">
        <v>0.89020600000000005</v>
      </c>
      <c r="P153" s="38">
        <v>0.89728600000000003</v>
      </c>
      <c r="Q153" s="38">
        <v>0.89668300000000001</v>
      </c>
      <c r="R153" s="38">
        <v>0.89757100000000001</v>
      </c>
      <c r="S153" s="38">
        <v>0.89926799999999996</v>
      </c>
      <c r="T153" s="38">
        <v>0.90170099999999997</v>
      </c>
      <c r="U153" s="38">
        <v>0.90580700000000003</v>
      </c>
      <c r="V153" s="38">
        <v>0.91853799999999997</v>
      </c>
      <c r="W153" s="38">
        <v>0.92452100000000004</v>
      </c>
      <c r="X153" s="38">
        <v>0.93119799999999997</v>
      </c>
      <c r="Y153" s="38">
        <v>0.93196400000000001</v>
      </c>
      <c r="Z153" s="38">
        <v>0.93861300000000003</v>
      </c>
      <c r="AA153" s="38">
        <v>0.94881700000000002</v>
      </c>
      <c r="AB153" s="38">
        <v>0.96047800000000005</v>
      </c>
      <c r="AC153" s="38">
        <v>0.98155700000000001</v>
      </c>
      <c r="AD153" s="38">
        <v>0.99059399999999997</v>
      </c>
      <c r="AE153" s="38">
        <v>0.99686799999999998</v>
      </c>
      <c r="AF153" s="35">
        <v>2.9450000000000001E-3</v>
      </c>
      <c r="AG153" s="29"/>
    </row>
    <row r="154" spans="1:33" ht="15" customHeight="1">
      <c r="A154" s="34" t="s">
        <v>2238</v>
      </c>
      <c r="B154" s="37" t="s">
        <v>2239</v>
      </c>
      <c r="C154" s="38">
        <v>10.244598999999999</v>
      </c>
      <c r="D154" s="38">
        <v>10.874525999999999</v>
      </c>
      <c r="E154" s="38">
        <v>11.431581</v>
      </c>
      <c r="F154" s="38">
        <v>12.932684</v>
      </c>
      <c r="G154" s="38">
        <v>14.639704999999999</v>
      </c>
      <c r="H154" s="38">
        <v>16.351459999999999</v>
      </c>
      <c r="I154" s="38">
        <v>17.800834999999999</v>
      </c>
      <c r="J154" s="38">
        <v>18.824017999999999</v>
      </c>
      <c r="K154" s="38">
        <v>19.712654000000001</v>
      </c>
      <c r="L154" s="38">
        <v>20.355715</v>
      </c>
      <c r="M154" s="38">
        <v>20.998270000000002</v>
      </c>
      <c r="N154" s="38">
        <v>21.755766000000001</v>
      </c>
      <c r="O154" s="38">
        <v>22.368359000000002</v>
      </c>
      <c r="P154" s="38">
        <v>22.848312</v>
      </c>
      <c r="Q154" s="38">
        <v>23.335761999999999</v>
      </c>
      <c r="R154" s="38">
        <v>23.691105</v>
      </c>
      <c r="S154" s="38">
        <v>23.983837000000001</v>
      </c>
      <c r="T154" s="38">
        <v>24.157717000000002</v>
      </c>
      <c r="U154" s="38">
        <v>24.454260000000001</v>
      </c>
      <c r="V154" s="38">
        <v>24.603586</v>
      </c>
      <c r="W154" s="38">
        <v>24.851364</v>
      </c>
      <c r="X154" s="38">
        <v>25.131564999999998</v>
      </c>
      <c r="Y154" s="38">
        <v>25.537025</v>
      </c>
      <c r="Z154" s="38">
        <v>25.909030999999999</v>
      </c>
      <c r="AA154" s="38">
        <v>26.340793999999999</v>
      </c>
      <c r="AB154" s="38">
        <v>26.707926</v>
      </c>
      <c r="AC154" s="38">
        <v>27.07497</v>
      </c>
      <c r="AD154" s="38">
        <v>27.371600999999998</v>
      </c>
      <c r="AE154" s="38">
        <v>27.815365</v>
      </c>
      <c r="AF154" s="35">
        <v>3.6317000000000002E-2</v>
      </c>
      <c r="AG154" s="29"/>
    </row>
    <row r="155" spans="1:33" ht="15" customHeight="1">
      <c r="A155" s="34" t="s">
        <v>2240</v>
      </c>
      <c r="B155" s="37" t="s">
        <v>2157</v>
      </c>
      <c r="C155" s="38">
        <v>5.3899999999999998E-4</v>
      </c>
      <c r="D155" s="38">
        <v>6.5099999999999999E-4</v>
      </c>
      <c r="E155" s="38">
        <v>7.6499999999999995E-4</v>
      </c>
      <c r="F155" s="38">
        <v>8.5400000000000005E-4</v>
      </c>
      <c r="G155" s="38">
        <v>9.4399999999999996E-4</v>
      </c>
      <c r="H155" s="38">
        <v>1.0280000000000001E-3</v>
      </c>
      <c r="I155" s="38">
        <v>1.114E-3</v>
      </c>
      <c r="J155" s="38">
        <v>1.1919999999999999E-3</v>
      </c>
      <c r="K155" s="38">
        <v>1.2719999999999999E-3</v>
      </c>
      <c r="L155" s="38">
        <v>1.351E-3</v>
      </c>
      <c r="M155" s="38">
        <v>1.428E-3</v>
      </c>
      <c r="N155" s="38">
        <v>1.503E-3</v>
      </c>
      <c r="O155" s="38">
        <v>1.5770000000000001E-3</v>
      </c>
      <c r="P155" s="38">
        <v>1.65E-3</v>
      </c>
      <c r="Q155" s="38">
        <v>1.717E-3</v>
      </c>
      <c r="R155" s="38">
        <v>1.7830000000000001E-3</v>
      </c>
      <c r="S155" s="38">
        <v>1.8439999999999999E-3</v>
      </c>
      <c r="T155" s="38">
        <v>1.8990000000000001E-3</v>
      </c>
      <c r="U155" s="38">
        <v>1.946E-3</v>
      </c>
      <c r="V155" s="38">
        <v>1.9870000000000001E-3</v>
      </c>
      <c r="W155" s="38">
        <v>2.0279999999999999E-3</v>
      </c>
      <c r="X155" s="38">
        <v>2.0590000000000001E-3</v>
      </c>
      <c r="Y155" s="38">
        <v>2.0860000000000002E-3</v>
      </c>
      <c r="Z155" s="38">
        <v>2.1080000000000001E-3</v>
      </c>
      <c r="AA155" s="38">
        <v>2.1329999999999999E-3</v>
      </c>
      <c r="AB155" s="38">
        <v>2.16E-3</v>
      </c>
      <c r="AC155" s="38">
        <v>2.1840000000000002E-3</v>
      </c>
      <c r="AD155" s="38">
        <v>2.2070000000000002E-3</v>
      </c>
      <c r="AE155" s="38">
        <v>2.2300000000000002E-3</v>
      </c>
      <c r="AF155" s="35">
        <v>5.2003000000000001E-2</v>
      </c>
      <c r="AG155" s="29"/>
    </row>
    <row r="156" spans="1:33" ht="15" customHeight="1">
      <c r="A156" s="34" t="s">
        <v>2241</v>
      </c>
      <c r="B156" s="37" t="s">
        <v>2210</v>
      </c>
      <c r="C156" s="38">
        <v>0.124851</v>
      </c>
      <c r="D156" s="38">
        <v>0.124851</v>
      </c>
      <c r="E156" s="38">
        <v>0.124851</v>
      </c>
      <c r="F156" s="38">
        <v>0.124851</v>
      </c>
      <c r="G156" s="38">
        <v>0.124851</v>
      </c>
      <c r="H156" s="38">
        <v>0.124851</v>
      </c>
      <c r="I156" s="38">
        <v>0.124851</v>
      </c>
      <c r="J156" s="38">
        <v>0.124851</v>
      </c>
      <c r="K156" s="38">
        <v>0.124851</v>
      </c>
      <c r="L156" s="38">
        <v>0.124851</v>
      </c>
      <c r="M156" s="38">
        <v>0.124851</v>
      </c>
      <c r="N156" s="38">
        <v>0.124851</v>
      </c>
      <c r="O156" s="38">
        <v>0.124851</v>
      </c>
      <c r="P156" s="38">
        <v>0.124851</v>
      </c>
      <c r="Q156" s="38">
        <v>0.124851</v>
      </c>
      <c r="R156" s="38">
        <v>0.124851</v>
      </c>
      <c r="S156" s="38">
        <v>0.124851</v>
      </c>
      <c r="T156" s="38">
        <v>0.124851</v>
      </c>
      <c r="U156" s="38">
        <v>0.124851</v>
      </c>
      <c r="V156" s="38">
        <v>0.124851</v>
      </c>
      <c r="W156" s="38">
        <v>0.124851</v>
      </c>
      <c r="X156" s="38">
        <v>0.124851</v>
      </c>
      <c r="Y156" s="38">
        <v>0.124851</v>
      </c>
      <c r="Z156" s="38">
        <v>0.124851</v>
      </c>
      <c r="AA156" s="38">
        <v>0.124851</v>
      </c>
      <c r="AB156" s="38">
        <v>0.124851</v>
      </c>
      <c r="AC156" s="38">
        <v>0.124851</v>
      </c>
      <c r="AD156" s="38">
        <v>0.124851</v>
      </c>
      <c r="AE156" s="38">
        <v>0.124851</v>
      </c>
      <c r="AF156" s="35">
        <v>0</v>
      </c>
      <c r="AG156" s="29"/>
    </row>
    <row r="157" spans="1:33" ht="15" customHeight="1">
      <c r="A157" s="34" t="s">
        <v>2242</v>
      </c>
      <c r="B157" s="37" t="s">
        <v>2212</v>
      </c>
      <c r="C157" s="38">
        <v>0.145646</v>
      </c>
      <c r="D157" s="38">
        <v>0.17442099999999999</v>
      </c>
      <c r="E157" s="38">
        <v>0.148817</v>
      </c>
      <c r="F157" s="38">
        <v>0.13178699999999999</v>
      </c>
      <c r="G157" s="38">
        <v>0.13567399999999999</v>
      </c>
      <c r="H157" s="38">
        <v>0.14924999999999999</v>
      </c>
      <c r="I157" s="38">
        <v>0.15756100000000001</v>
      </c>
      <c r="J157" s="38">
        <v>0.15001200000000001</v>
      </c>
      <c r="K157" s="38">
        <v>0.15776699999999999</v>
      </c>
      <c r="L157" s="38">
        <v>0.149089</v>
      </c>
      <c r="M157" s="38">
        <v>0.15273100000000001</v>
      </c>
      <c r="N157" s="38">
        <v>0.15443899999999999</v>
      </c>
      <c r="O157" s="38">
        <v>0.15579299999999999</v>
      </c>
      <c r="P157" s="38">
        <v>0.15182300000000001</v>
      </c>
      <c r="Q157" s="38">
        <v>0.15053</v>
      </c>
      <c r="R157" s="38">
        <v>0.150421</v>
      </c>
      <c r="S157" s="38">
        <v>0.15301699999999999</v>
      </c>
      <c r="T157" s="38">
        <v>0.15518199999999999</v>
      </c>
      <c r="U157" s="38">
        <v>0.156939</v>
      </c>
      <c r="V157" s="38">
        <v>0.15213599999999999</v>
      </c>
      <c r="W157" s="38">
        <v>0.15204899999999999</v>
      </c>
      <c r="X157" s="38">
        <v>0.149724</v>
      </c>
      <c r="Y157" s="38">
        <v>0.146948</v>
      </c>
      <c r="Z157" s="38">
        <v>0.14419999999999999</v>
      </c>
      <c r="AA157" s="38">
        <v>0.14105400000000001</v>
      </c>
      <c r="AB157" s="38">
        <v>0.14054900000000001</v>
      </c>
      <c r="AC157" s="38">
        <v>0.14193700000000001</v>
      </c>
      <c r="AD157" s="38">
        <v>0.14041999999999999</v>
      </c>
      <c r="AE157" s="38">
        <v>0.13839000000000001</v>
      </c>
      <c r="AF157" s="35">
        <v>-1.823E-3</v>
      </c>
      <c r="AG157" s="29"/>
    </row>
    <row r="158" spans="1:33" ht="15" customHeight="1">
      <c r="A158" s="34" t="s">
        <v>2243</v>
      </c>
      <c r="B158" s="33" t="s">
        <v>2080</v>
      </c>
      <c r="C158" s="39">
        <v>99.193466000000001</v>
      </c>
      <c r="D158" s="39">
        <v>98.343772999999999</v>
      </c>
      <c r="E158" s="39">
        <v>97.558670000000006</v>
      </c>
      <c r="F158" s="39">
        <v>97.753203999999997</v>
      </c>
      <c r="G158" s="39">
        <v>98.015006999999997</v>
      </c>
      <c r="H158" s="39">
        <v>98.078811999999999</v>
      </c>
      <c r="I158" s="39">
        <v>98.133994999999999</v>
      </c>
      <c r="J158" s="39">
        <v>98.055672000000001</v>
      </c>
      <c r="K158" s="39">
        <v>97.956680000000006</v>
      </c>
      <c r="L158" s="39">
        <v>97.999802000000003</v>
      </c>
      <c r="M158" s="39">
        <v>98.312438999999998</v>
      </c>
      <c r="N158" s="39">
        <v>98.46508</v>
      </c>
      <c r="O158" s="39">
        <v>98.819350999999997</v>
      </c>
      <c r="P158" s="39">
        <v>99.128128000000004</v>
      </c>
      <c r="Q158" s="39">
        <v>99.396759000000003</v>
      </c>
      <c r="R158" s="39">
        <v>99.651199000000005</v>
      </c>
      <c r="S158" s="39">
        <v>99.794334000000006</v>
      </c>
      <c r="T158" s="39">
        <v>99.956573000000006</v>
      </c>
      <c r="U158" s="39">
        <v>100.252289</v>
      </c>
      <c r="V158" s="39">
        <v>100.649895</v>
      </c>
      <c r="W158" s="39">
        <v>101.165138</v>
      </c>
      <c r="X158" s="39">
        <v>101.64173099999999</v>
      </c>
      <c r="Y158" s="39">
        <v>102.150665</v>
      </c>
      <c r="Z158" s="39">
        <v>102.69104799999999</v>
      </c>
      <c r="AA158" s="39">
        <v>103.176315</v>
      </c>
      <c r="AB158" s="39">
        <v>103.831924</v>
      </c>
      <c r="AC158" s="39">
        <v>104.485466</v>
      </c>
      <c r="AD158" s="39">
        <v>105.10329400000001</v>
      </c>
      <c r="AE158" s="39">
        <v>105.939362</v>
      </c>
      <c r="AF158" s="31">
        <v>2.3530000000000001E-3</v>
      </c>
      <c r="AG158" s="29"/>
    </row>
    <row r="159" spans="1:33" ht="15" customHeight="1">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row>
    <row r="160" spans="1:33" ht="15" customHeight="1">
      <c r="B160" s="33" t="s">
        <v>2244</v>
      </c>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row>
    <row r="161" spans="1:34" ht="15" customHeight="1">
      <c r="A161" s="34" t="s">
        <v>2245</v>
      </c>
      <c r="B161" s="37" t="s">
        <v>2246</v>
      </c>
      <c r="C161" s="38">
        <v>74.897712999999996</v>
      </c>
      <c r="D161" s="38">
        <v>74.809890999999993</v>
      </c>
      <c r="E161" s="38">
        <v>73.781113000000005</v>
      </c>
      <c r="F161" s="38">
        <v>73.884856999999997</v>
      </c>
      <c r="G161" s="38">
        <v>74.176986999999997</v>
      </c>
      <c r="H161" s="38">
        <v>74.309830000000005</v>
      </c>
      <c r="I161" s="38">
        <v>74.440002000000007</v>
      </c>
      <c r="J161" s="38">
        <v>74.423759000000004</v>
      </c>
      <c r="K161" s="38">
        <v>74.342911000000001</v>
      </c>
      <c r="L161" s="38">
        <v>74.269844000000006</v>
      </c>
      <c r="M161" s="38">
        <v>74.324875000000006</v>
      </c>
      <c r="N161" s="38">
        <v>74.354202000000001</v>
      </c>
      <c r="O161" s="38">
        <v>74.464836000000005</v>
      </c>
      <c r="P161" s="38">
        <v>74.559937000000005</v>
      </c>
      <c r="Q161" s="38">
        <v>74.638808999999995</v>
      </c>
      <c r="R161" s="38">
        <v>74.783371000000002</v>
      </c>
      <c r="S161" s="38">
        <v>74.909187000000003</v>
      </c>
      <c r="T161" s="38">
        <v>75.080009000000004</v>
      </c>
      <c r="U161" s="38">
        <v>75.307593999999995</v>
      </c>
      <c r="V161" s="38">
        <v>75.577849999999998</v>
      </c>
      <c r="W161" s="38">
        <v>75.865463000000005</v>
      </c>
      <c r="X161" s="38">
        <v>76.158073000000002</v>
      </c>
      <c r="Y161" s="38">
        <v>76.465523000000005</v>
      </c>
      <c r="Z161" s="38">
        <v>76.769653000000005</v>
      </c>
      <c r="AA161" s="38">
        <v>77.085448999999997</v>
      </c>
      <c r="AB161" s="38">
        <v>77.537796</v>
      </c>
      <c r="AC161" s="38">
        <v>77.991714000000002</v>
      </c>
      <c r="AD161" s="38">
        <v>78.438141000000002</v>
      </c>
      <c r="AE161" s="38">
        <v>79.031188999999998</v>
      </c>
      <c r="AF161" s="35">
        <v>1.92E-3</v>
      </c>
      <c r="AG161" s="29"/>
    </row>
    <row r="162" spans="1:34" ht="15" customHeight="1">
      <c r="A162" s="34" t="s">
        <v>2247</v>
      </c>
      <c r="B162" s="37" t="s">
        <v>2248</v>
      </c>
      <c r="C162" s="38">
        <v>99.193466000000001</v>
      </c>
      <c r="D162" s="38">
        <v>98.343772999999999</v>
      </c>
      <c r="E162" s="38">
        <v>97.558670000000006</v>
      </c>
      <c r="F162" s="38">
        <v>97.753203999999997</v>
      </c>
      <c r="G162" s="38">
        <v>98.015006999999997</v>
      </c>
      <c r="H162" s="38">
        <v>98.078811999999999</v>
      </c>
      <c r="I162" s="38">
        <v>98.133994999999999</v>
      </c>
      <c r="J162" s="38">
        <v>98.055672000000001</v>
      </c>
      <c r="K162" s="38">
        <v>97.956680000000006</v>
      </c>
      <c r="L162" s="38">
        <v>97.999802000000003</v>
      </c>
      <c r="M162" s="38">
        <v>98.312438999999998</v>
      </c>
      <c r="N162" s="38">
        <v>98.46508</v>
      </c>
      <c r="O162" s="38">
        <v>98.819350999999997</v>
      </c>
      <c r="P162" s="38">
        <v>99.128128000000004</v>
      </c>
      <c r="Q162" s="38">
        <v>99.396759000000003</v>
      </c>
      <c r="R162" s="38">
        <v>99.651199000000005</v>
      </c>
      <c r="S162" s="38">
        <v>99.794334000000006</v>
      </c>
      <c r="T162" s="38">
        <v>99.956573000000006</v>
      </c>
      <c r="U162" s="38">
        <v>100.252289</v>
      </c>
      <c r="V162" s="38">
        <v>100.649895</v>
      </c>
      <c r="W162" s="38">
        <v>101.165138</v>
      </c>
      <c r="X162" s="38">
        <v>101.64173099999999</v>
      </c>
      <c r="Y162" s="38">
        <v>102.150665</v>
      </c>
      <c r="Z162" s="38">
        <v>102.69104799999999</v>
      </c>
      <c r="AA162" s="38">
        <v>103.176315</v>
      </c>
      <c r="AB162" s="38">
        <v>103.831924</v>
      </c>
      <c r="AC162" s="38">
        <v>104.485466</v>
      </c>
      <c r="AD162" s="38">
        <v>105.10329400000001</v>
      </c>
      <c r="AE162" s="38">
        <v>105.939362</v>
      </c>
      <c r="AF162" s="35">
        <v>2.3530000000000001E-3</v>
      </c>
      <c r="AG162" s="29"/>
    </row>
    <row r="163" spans="1:34" ht="15" customHeight="1">
      <c r="A163" s="34" t="s">
        <v>2249</v>
      </c>
      <c r="B163" s="37" t="s">
        <v>2250</v>
      </c>
      <c r="C163" s="38">
        <v>1.1847510000000001</v>
      </c>
      <c r="D163" s="38">
        <v>1.18215</v>
      </c>
      <c r="E163" s="38">
        <v>1.21515</v>
      </c>
      <c r="F163" s="38">
        <v>1.2052989999999999</v>
      </c>
      <c r="G163" s="38">
        <v>1.198132</v>
      </c>
      <c r="H163" s="38">
        <v>1.192261</v>
      </c>
      <c r="I163" s="38">
        <v>1.18445</v>
      </c>
      <c r="J163" s="38">
        <v>1.174458</v>
      </c>
      <c r="K163" s="38">
        <v>1.16283</v>
      </c>
      <c r="L163" s="38">
        <v>1.1521399999999999</v>
      </c>
      <c r="M163" s="38">
        <v>1.1418779999999999</v>
      </c>
      <c r="N163" s="38">
        <v>1.1348769999999999</v>
      </c>
      <c r="O163" s="38">
        <v>1.1296109999999999</v>
      </c>
      <c r="P163" s="38">
        <v>1.124387</v>
      </c>
      <c r="Q163" s="38">
        <v>1.1177170000000001</v>
      </c>
      <c r="R163" s="38">
        <v>1.113075</v>
      </c>
      <c r="S163" s="38">
        <v>1.1096969999999999</v>
      </c>
      <c r="T163" s="38">
        <v>1.10703</v>
      </c>
      <c r="U163" s="38">
        <v>1.1066499999999999</v>
      </c>
      <c r="V163" s="38">
        <v>1.1069199999999999</v>
      </c>
      <c r="W163" s="38">
        <v>1.1086819999999999</v>
      </c>
      <c r="X163" s="38">
        <v>1.111504</v>
      </c>
      <c r="Y163" s="38">
        <v>1.116115</v>
      </c>
      <c r="Z163" s="38">
        <v>1.122468</v>
      </c>
      <c r="AA163" s="38">
        <v>1.1309560000000001</v>
      </c>
      <c r="AB163" s="38">
        <v>1.141338</v>
      </c>
      <c r="AC163" s="38">
        <v>1.15265</v>
      </c>
      <c r="AD163" s="38">
        <v>1.164844</v>
      </c>
      <c r="AE163" s="38">
        <v>1.179082</v>
      </c>
      <c r="AF163" s="35">
        <v>-1.7100000000000001E-4</v>
      </c>
      <c r="AG163" s="29"/>
    </row>
    <row r="164" spans="1:34" ht="15" customHeight="1">
      <c r="A164" s="34" t="s">
        <v>2251</v>
      </c>
      <c r="B164" s="37" t="s">
        <v>2252</v>
      </c>
      <c r="C164" s="38">
        <v>333.105164</v>
      </c>
      <c r="D164" s="38">
        <v>334.47210699999999</v>
      </c>
      <c r="E164" s="38">
        <v>336.07922400000001</v>
      </c>
      <c r="F164" s="38">
        <v>337.73690800000003</v>
      </c>
      <c r="G164" s="38">
        <v>339.40451000000002</v>
      </c>
      <c r="H164" s="38">
        <v>341.08764600000001</v>
      </c>
      <c r="I164" s="38">
        <v>342.780823</v>
      </c>
      <c r="J164" s="38">
        <v>344.47436499999998</v>
      </c>
      <c r="K164" s="38">
        <v>346.16894500000001</v>
      </c>
      <c r="L164" s="38">
        <v>347.834564</v>
      </c>
      <c r="M164" s="38">
        <v>349.46328699999998</v>
      </c>
      <c r="N164" s="38">
        <v>351.054169</v>
      </c>
      <c r="O164" s="38">
        <v>352.59783900000002</v>
      </c>
      <c r="P164" s="38">
        <v>354.08975199999998</v>
      </c>
      <c r="Q164" s="38">
        <v>355.52593999999999</v>
      </c>
      <c r="R164" s="38">
        <v>356.90637199999998</v>
      </c>
      <c r="S164" s="38">
        <v>358.23675500000002</v>
      </c>
      <c r="T164" s="38">
        <v>359.52005000000003</v>
      </c>
      <c r="U164" s="38">
        <v>360.76068099999998</v>
      </c>
      <c r="V164" s="38">
        <v>361.96594199999998</v>
      </c>
      <c r="W164" s="38">
        <v>363.143372</v>
      </c>
      <c r="X164" s="38">
        <v>364.29699699999998</v>
      </c>
      <c r="Y164" s="38">
        <v>365.429688</v>
      </c>
      <c r="Z164" s="38">
        <v>366.54235799999998</v>
      </c>
      <c r="AA164" s="38">
        <v>367.63687099999999</v>
      </c>
      <c r="AB164" s="38">
        <v>368.719696</v>
      </c>
      <c r="AC164" s="38">
        <v>369.79351800000001</v>
      </c>
      <c r="AD164" s="38">
        <v>370.85867300000001</v>
      </c>
      <c r="AE164" s="38">
        <v>371.91851800000001</v>
      </c>
      <c r="AF164" s="35">
        <v>3.9439999999999996E-3</v>
      </c>
      <c r="AG164" s="29"/>
    </row>
    <row r="165" spans="1:34" ht="12" customHeight="1">
      <c r="A165" s="34" t="s">
        <v>2253</v>
      </c>
      <c r="B165" s="37" t="s">
        <v>2254</v>
      </c>
      <c r="C165" s="53">
        <v>19750.261718999998</v>
      </c>
      <c r="D165" s="53">
        <v>19903.289062</v>
      </c>
      <c r="E165" s="53">
        <v>20095.435547000001</v>
      </c>
      <c r="F165" s="53">
        <v>20409.421875</v>
      </c>
      <c r="G165" s="53">
        <v>20840.714843999998</v>
      </c>
      <c r="H165" s="53">
        <v>21273.421875</v>
      </c>
      <c r="I165" s="53">
        <v>21681.255859000001</v>
      </c>
      <c r="J165" s="53">
        <v>22051.705077999999</v>
      </c>
      <c r="K165" s="53">
        <v>22391.814452999999</v>
      </c>
      <c r="L165" s="53">
        <v>22742.044922000001</v>
      </c>
      <c r="M165" s="53">
        <v>23153.001952999999</v>
      </c>
      <c r="N165" s="53">
        <v>23603.867188</v>
      </c>
      <c r="O165" s="53">
        <v>24055.123047000001</v>
      </c>
      <c r="P165" s="53">
        <v>24510.957031000002</v>
      </c>
      <c r="Q165" s="53">
        <v>24995.804688</v>
      </c>
      <c r="R165" s="53">
        <v>25506.921875</v>
      </c>
      <c r="S165" s="53">
        <v>26032.332031000002</v>
      </c>
      <c r="T165" s="53">
        <v>26566.107422000001</v>
      </c>
      <c r="U165" s="53">
        <v>27148.945312</v>
      </c>
      <c r="V165" s="53">
        <v>27734.087890999999</v>
      </c>
      <c r="W165" s="53">
        <v>28324.492188</v>
      </c>
      <c r="X165" s="53">
        <v>28926.738281000002</v>
      </c>
      <c r="Y165" s="53">
        <v>29527.414062</v>
      </c>
      <c r="Z165" s="53">
        <v>30130</v>
      </c>
      <c r="AA165" s="53">
        <v>30747.568359000001</v>
      </c>
      <c r="AB165" s="53">
        <v>31389.150390999999</v>
      </c>
      <c r="AC165" s="53">
        <v>32039.970702999999</v>
      </c>
      <c r="AD165" s="53">
        <v>32698.533202999999</v>
      </c>
      <c r="AE165" s="53">
        <v>33404.984375</v>
      </c>
      <c r="AF165" s="35">
        <v>1.8946999999999999E-2</v>
      </c>
      <c r="AG165" s="29"/>
    </row>
    <row r="166" spans="1:34" ht="15" customHeight="1">
      <c r="B166" s="33" t="s">
        <v>2255</v>
      </c>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row>
    <row r="167" spans="1:34" ht="15" customHeight="1" thickBot="1">
      <c r="A167" s="34" t="s">
        <v>2256</v>
      </c>
      <c r="B167" s="37" t="s">
        <v>2257</v>
      </c>
      <c r="C167" s="36">
        <v>4853.5253910000001</v>
      </c>
      <c r="D167" s="36">
        <v>4714.9946289999998</v>
      </c>
      <c r="E167" s="36">
        <v>4664.2851559999999</v>
      </c>
      <c r="F167" s="36">
        <v>4553.6674800000001</v>
      </c>
      <c r="G167" s="36">
        <v>4422.7060549999997</v>
      </c>
      <c r="H167" s="36">
        <v>4282.390625</v>
      </c>
      <c r="I167" s="36">
        <v>4174.6464839999999</v>
      </c>
      <c r="J167" s="36">
        <v>4083.1054690000001</v>
      </c>
      <c r="K167" s="36">
        <v>4010.7687989999999</v>
      </c>
      <c r="L167" s="36">
        <v>3967.8310550000001</v>
      </c>
      <c r="M167" s="36">
        <v>3941.6389159999999</v>
      </c>
      <c r="N167" s="36">
        <v>3929.9208979999999</v>
      </c>
      <c r="O167" s="36">
        <v>3912.3610840000001</v>
      </c>
      <c r="P167" s="36">
        <v>3902.6840820000002</v>
      </c>
      <c r="Q167" s="36">
        <v>3893.7426759999998</v>
      </c>
      <c r="R167" s="36">
        <v>3885.7866210000002</v>
      </c>
      <c r="S167" s="36">
        <v>3877.196289</v>
      </c>
      <c r="T167" s="36">
        <v>3874.1459960000002</v>
      </c>
      <c r="U167" s="36">
        <v>3876.798096</v>
      </c>
      <c r="V167" s="36">
        <v>3887.5991210000002</v>
      </c>
      <c r="W167" s="36">
        <v>3898.9482419999999</v>
      </c>
      <c r="X167" s="36">
        <v>3904.9838869999999</v>
      </c>
      <c r="Y167" s="36">
        <v>3904.2558589999999</v>
      </c>
      <c r="Z167" s="36">
        <v>3907.5903320000002</v>
      </c>
      <c r="AA167" s="36">
        <v>3904.2045899999998</v>
      </c>
      <c r="AB167" s="36">
        <v>3914.241211</v>
      </c>
      <c r="AC167" s="36">
        <v>3922.369385</v>
      </c>
      <c r="AD167" s="36">
        <v>3935.7329100000002</v>
      </c>
      <c r="AE167" s="36">
        <v>3949.436768</v>
      </c>
      <c r="AF167" s="35">
        <v>-7.3350000000000004E-3</v>
      </c>
      <c r="AG167" s="29"/>
    </row>
    <row r="168" spans="1:34" ht="15" customHeight="1">
      <c r="B168" s="2179" t="s">
        <v>2258</v>
      </c>
      <c r="C168" s="2180"/>
      <c r="D168" s="2180"/>
      <c r="E168" s="2180"/>
      <c r="F168" s="2180"/>
      <c r="G168" s="2180"/>
      <c r="H168" s="2180"/>
      <c r="I168" s="2180"/>
      <c r="J168" s="2180"/>
      <c r="K168" s="2180"/>
      <c r="L168" s="2180"/>
      <c r="M168" s="2180"/>
      <c r="N168" s="2180"/>
      <c r="O168" s="2180"/>
      <c r="P168" s="2180"/>
      <c r="Q168" s="2180"/>
      <c r="R168" s="2180"/>
      <c r="S168" s="2180"/>
      <c r="T168" s="2180"/>
      <c r="U168" s="2180"/>
      <c r="V168" s="2180"/>
      <c r="W168" s="2180"/>
      <c r="X168" s="2180"/>
      <c r="Y168" s="2180"/>
      <c r="Z168" s="2180"/>
      <c r="AA168" s="2180"/>
      <c r="AB168" s="2180"/>
      <c r="AC168" s="2180"/>
      <c r="AD168" s="2180"/>
      <c r="AE168" s="2180"/>
      <c r="AF168" s="2180"/>
      <c r="AG168" s="2180"/>
      <c r="AH168" s="30"/>
    </row>
    <row r="169" spans="1:34" ht="15" customHeight="1">
      <c r="B169" s="29" t="s">
        <v>2259</v>
      </c>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row>
    <row r="170" spans="1:34" ht="15" customHeight="1">
      <c r="B170" s="29" t="s">
        <v>2260</v>
      </c>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row>
    <row r="171" spans="1:34" ht="15" customHeight="1">
      <c r="B171" s="29" t="s">
        <v>2261</v>
      </c>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row>
    <row r="172" spans="1:34" ht="15" customHeight="1">
      <c r="B172" s="29" t="s">
        <v>2262</v>
      </c>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row>
    <row r="173" spans="1:34" ht="15" customHeight="1">
      <c r="B173" s="29" t="s">
        <v>2263</v>
      </c>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row>
    <row r="174" spans="1:34" ht="15" customHeight="1">
      <c r="B174" s="29" t="s">
        <v>2264</v>
      </c>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row>
    <row r="175" spans="1:34" ht="15" customHeight="1">
      <c r="B175" s="29" t="s">
        <v>2265</v>
      </c>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row>
    <row r="176" spans="1:34" ht="15" customHeight="1">
      <c r="B176" s="29" t="s">
        <v>2266</v>
      </c>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row>
    <row r="177" spans="2:33" ht="15" customHeight="1">
      <c r="B177" s="29" t="s">
        <v>2267</v>
      </c>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row>
    <row r="178" spans="2:33" ht="15" customHeight="1">
      <c r="B178" s="29" t="s">
        <v>2268</v>
      </c>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row>
    <row r="179" spans="2:33" ht="15" customHeight="1">
      <c r="B179" s="29" t="s">
        <v>2269</v>
      </c>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row>
    <row r="180" spans="2:33" ht="12" customHeight="1">
      <c r="B180" s="29" t="s">
        <v>2270</v>
      </c>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row>
    <row r="181" spans="2:33" ht="15" customHeight="1">
      <c r="B181" s="29" t="s">
        <v>2271</v>
      </c>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row>
    <row r="182" spans="2:33" ht="15" customHeight="1">
      <c r="B182" s="29" t="s">
        <v>2272</v>
      </c>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row>
    <row r="183" spans="2:33" ht="15" customHeight="1">
      <c r="B183" s="29" t="s">
        <v>2273</v>
      </c>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row>
    <row r="184" spans="2:33" ht="15" customHeight="1">
      <c r="B184" s="29" t="s">
        <v>2274</v>
      </c>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row>
    <row r="185" spans="2:33" ht="15" customHeight="1">
      <c r="B185" s="29" t="s">
        <v>2275</v>
      </c>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row>
    <row r="186" spans="2:33" ht="15" customHeight="1">
      <c r="B186" s="29" t="s">
        <v>2276</v>
      </c>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row>
    <row r="187" spans="2:33" ht="15" customHeight="1">
      <c r="B187" s="29" t="s">
        <v>2277</v>
      </c>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row>
    <row r="188" spans="2:33" ht="15" customHeight="1">
      <c r="B188" s="29" t="s">
        <v>2278</v>
      </c>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row>
    <row r="189" spans="2:33" ht="15" customHeight="1">
      <c r="B189" s="29" t="s">
        <v>2279</v>
      </c>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row>
    <row r="190" spans="2:33" ht="15" customHeight="1">
      <c r="B190" s="29" t="s">
        <v>2280</v>
      </c>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row>
    <row r="191" spans="2:33" ht="15" customHeight="1">
      <c r="B191" s="29" t="s">
        <v>2281</v>
      </c>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row>
    <row r="192" spans="2:33" ht="15" customHeight="1">
      <c r="B192" s="29" t="s">
        <v>2282</v>
      </c>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row>
    <row r="193" spans="2:33" ht="15" customHeight="1">
      <c r="B193" s="29" t="s">
        <v>2283</v>
      </c>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row>
    <row r="194" spans="2:33" ht="15" customHeight="1">
      <c r="B194" s="29" t="s">
        <v>2284</v>
      </c>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row>
    <row r="195" spans="2:33" ht="15" customHeight="1">
      <c r="B195" s="29" t="s">
        <v>2285</v>
      </c>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row>
    <row r="196" spans="2:33" ht="15" customHeight="1">
      <c r="B196" s="29" t="s">
        <v>2286</v>
      </c>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row>
    <row r="197" spans="2:33" ht="15" customHeight="1">
      <c r="B197" s="29" t="s">
        <v>2287</v>
      </c>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row>
    <row r="198" spans="2:33" ht="15" customHeight="1">
      <c r="B198" s="29" t="s">
        <v>2288</v>
      </c>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row>
    <row r="199" spans="2:33" ht="15" customHeight="1">
      <c r="B199" s="29" t="s">
        <v>2289</v>
      </c>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row>
    <row r="200" spans="2:33" ht="15" customHeight="1">
      <c r="B200" s="29" t="s">
        <v>2290</v>
      </c>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row>
    <row r="201" spans="2:33" ht="15" customHeight="1">
      <c r="B201" s="29" t="s">
        <v>2291</v>
      </c>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row>
    <row r="202" spans="2:33" ht="15" customHeight="1">
      <c r="B202" s="29" t="s">
        <v>2292</v>
      </c>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row>
    <row r="203" spans="2:33" ht="15" customHeight="1">
      <c r="B203" s="29" t="s">
        <v>2293</v>
      </c>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row>
    <row r="204" spans="2:33" ht="12" customHeight="1">
      <c r="B204" s="29" t="s">
        <v>2294</v>
      </c>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row>
    <row r="205" spans="2:33" ht="12" customHeight="1">
      <c r="B205" s="29" t="s">
        <v>2295</v>
      </c>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row>
    <row r="206" spans="2:33" ht="15" customHeight="1">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row>
    <row r="207" spans="2:33" ht="15" customHeight="1">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row>
    <row r="208" spans="2:33" ht="15" customHeight="1">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row>
    <row r="209" spans="2:33" ht="15" customHeight="1">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row>
    <row r="210" spans="2:33" ht="15" customHeight="1">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row>
    <row r="211" spans="2:33" ht="15" customHeight="1">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row>
    <row r="212" spans="2:33" ht="15" customHeight="1">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row>
    <row r="213" spans="2:33" ht="15" customHeight="1">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row>
    <row r="214" spans="2:33" ht="15" customHeight="1">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row>
    <row r="215" spans="2:33" ht="15" customHeight="1">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row>
    <row r="216" spans="2:33" ht="15" customHeight="1">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row>
    <row r="217" spans="2:33" ht="15" customHeight="1">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row>
    <row r="218" spans="2:33" ht="15" customHeight="1">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row>
    <row r="219" spans="2:33" ht="15" customHeight="1">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row>
    <row r="220" spans="2:33" ht="15" customHeight="1">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row>
    <row r="221" spans="2:33" ht="15" customHeight="1">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row>
    <row r="222" spans="2:33" ht="15" customHeight="1">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row>
    <row r="223" spans="2:33" ht="12" customHeight="1">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row>
    <row r="224" spans="2:33" ht="15" customHeight="1">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row>
    <row r="225" spans="2:33" ht="15" customHeight="1">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row>
    <row r="226" spans="2:33" ht="12" customHeight="1">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row>
    <row r="227" spans="2:33" ht="15" customHeight="1">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row>
    <row r="228" spans="2:33" ht="15" customHeight="1">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row>
    <row r="229" spans="2:33" ht="15" customHeight="1">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row>
    <row r="230" spans="2:33" ht="15" customHeight="1">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row>
    <row r="231" spans="2:33" ht="15" customHeight="1">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row>
    <row r="232" spans="2:33" ht="15" customHeight="1">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row>
    <row r="233" spans="2:33" ht="15" customHeight="1">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row>
    <row r="234" spans="2:33" ht="15" customHeight="1">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row>
    <row r="256" ht="12" customHeight="1"/>
    <row r="257" ht="12" customHeight="1"/>
    <row r="269" ht="12" customHeight="1"/>
    <row r="299" ht="12" customHeight="1"/>
    <row r="308" spans="2:32" ht="15" customHeight="1">
      <c r="B308" s="2178"/>
      <c r="C308" s="2178"/>
      <c r="D308" s="2178"/>
      <c r="E308" s="2178"/>
      <c r="F308" s="2178"/>
      <c r="G308" s="2178"/>
      <c r="H308" s="2178"/>
      <c r="I308" s="2178"/>
      <c r="J308" s="2178"/>
      <c r="K308" s="2178"/>
      <c r="L308" s="2178"/>
      <c r="M308" s="2178"/>
      <c r="N308" s="2178"/>
      <c r="O308" s="2178"/>
      <c r="P308" s="2178"/>
      <c r="Q308" s="2178"/>
      <c r="R308" s="2178"/>
      <c r="S308" s="2178"/>
      <c r="T308" s="2178"/>
      <c r="U308" s="2178"/>
      <c r="V308" s="2178"/>
      <c r="W308" s="2178"/>
      <c r="X308" s="2178"/>
      <c r="Y308" s="2178"/>
      <c r="Z308" s="2178"/>
      <c r="AA308" s="2178"/>
      <c r="AB308" s="2178"/>
      <c r="AC308" s="2178"/>
      <c r="AD308" s="2178"/>
      <c r="AE308" s="2178"/>
      <c r="AF308" s="2178"/>
    </row>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85" ht="12" customHeight="1"/>
    <row r="392" ht="12" customHeight="1"/>
    <row r="402" ht="12" customHeight="1"/>
    <row r="412" ht="12" customHeight="1"/>
    <row r="419" ht="12" customHeight="1"/>
    <row r="420" ht="12" customHeight="1"/>
    <row r="433" ht="12" customHeight="1"/>
    <row r="443" ht="12" customHeight="1"/>
    <row r="444" ht="12" customHeight="1"/>
    <row r="451" ht="12" customHeight="1"/>
    <row r="458" ht="12" customHeight="1"/>
    <row r="468" ht="12" customHeight="1"/>
    <row r="469" ht="12" customHeight="1"/>
    <row r="479" ht="12" customHeight="1"/>
    <row r="486" ht="12" customHeight="1"/>
    <row r="499" spans="2:32" ht="12" customHeight="1"/>
    <row r="509" spans="2:32" ht="12" customHeight="1"/>
    <row r="511" spans="2:32" ht="15" customHeight="1">
      <c r="B511" s="2178"/>
      <c r="C511" s="2178"/>
      <c r="D511" s="2178"/>
      <c r="E511" s="2178"/>
      <c r="F511" s="2178"/>
      <c r="G511" s="2178"/>
      <c r="H511" s="2178"/>
      <c r="I511" s="2178"/>
      <c r="J511" s="2178"/>
      <c r="K511" s="2178"/>
      <c r="L511" s="2178"/>
      <c r="M511" s="2178"/>
      <c r="N511" s="2178"/>
      <c r="O511" s="2178"/>
      <c r="P511" s="2178"/>
      <c r="Q511" s="2178"/>
      <c r="R511" s="2178"/>
      <c r="S511" s="2178"/>
      <c r="T511" s="2178"/>
      <c r="U511" s="2178"/>
      <c r="V511" s="2178"/>
      <c r="W511" s="2178"/>
      <c r="X511" s="2178"/>
      <c r="Y511" s="2178"/>
      <c r="Z511" s="2178"/>
      <c r="AA511" s="2178"/>
      <c r="AB511" s="2178"/>
      <c r="AC511" s="2178"/>
      <c r="AD511" s="2178"/>
      <c r="AE511" s="2178"/>
      <c r="AF511" s="2178"/>
    </row>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86" ht="12" customHeight="1"/>
    <row r="588" ht="12" customHeight="1"/>
    <row r="596" ht="12" customHeight="1"/>
    <row r="616" ht="12" customHeight="1"/>
    <row r="625" ht="12" customHeight="1"/>
    <row r="631" ht="12" customHeight="1"/>
    <row r="638" ht="12" customHeight="1"/>
    <row r="640" ht="12" customHeight="1"/>
    <row r="659" ht="12" customHeight="1"/>
    <row r="661" ht="12" customHeight="1"/>
    <row r="680" ht="12" customHeight="1"/>
    <row r="687" ht="12" customHeight="1"/>
    <row r="699" ht="12" customHeight="1"/>
    <row r="712" spans="2:32" ht="15" customHeight="1">
      <c r="B712" s="2178"/>
      <c r="C712" s="2178"/>
      <c r="D712" s="2178"/>
      <c r="E712" s="2178"/>
      <c r="F712" s="2178"/>
      <c r="G712" s="2178"/>
      <c r="H712" s="2178"/>
      <c r="I712" s="2178"/>
      <c r="J712" s="2178"/>
      <c r="K712" s="2178"/>
      <c r="L712" s="2178"/>
      <c r="M712" s="2178"/>
      <c r="N712" s="2178"/>
      <c r="O712" s="2178"/>
      <c r="P712" s="2178"/>
      <c r="Q712" s="2178"/>
      <c r="R712" s="2178"/>
      <c r="S712" s="2178"/>
      <c r="T712" s="2178"/>
      <c r="U712" s="2178"/>
      <c r="V712" s="2178"/>
      <c r="W712" s="2178"/>
      <c r="X712" s="2178"/>
      <c r="Y712" s="2178"/>
      <c r="Z712" s="2178"/>
      <c r="AA712" s="2178"/>
      <c r="AB712" s="2178"/>
      <c r="AC712" s="2178"/>
      <c r="AD712" s="2178"/>
      <c r="AE712" s="2178"/>
      <c r="AF712" s="2178"/>
    </row>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81" ht="12" customHeight="1"/>
    <row r="786" ht="12" customHeight="1"/>
    <row r="791" ht="12" customHeight="1"/>
    <row r="807" ht="12" customHeight="1"/>
    <row r="815" ht="12" customHeight="1"/>
    <row r="821" ht="12" customHeight="1"/>
    <row r="824" ht="12" customHeight="1"/>
    <row r="839" ht="12" customHeight="1"/>
    <row r="841" ht="12" customHeight="1"/>
    <row r="856" ht="12" customHeight="1"/>
    <row r="862" ht="12" customHeight="1"/>
    <row r="874" ht="12" customHeight="1"/>
    <row r="887" spans="2:32" ht="15" customHeight="1">
      <c r="B887" s="2178"/>
      <c r="C887" s="2178"/>
      <c r="D887" s="2178"/>
      <c r="E887" s="2178"/>
      <c r="F887" s="2178"/>
      <c r="G887" s="2178"/>
      <c r="H887" s="2178"/>
      <c r="I887" s="2178"/>
      <c r="J887" s="2178"/>
      <c r="K887" s="2178"/>
      <c r="L887" s="2178"/>
      <c r="M887" s="2178"/>
      <c r="N887" s="2178"/>
      <c r="O887" s="2178"/>
      <c r="P887" s="2178"/>
      <c r="Q887" s="2178"/>
      <c r="R887" s="2178"/>
      <c r="S887" s="2178"/>
      <c r="T887" s="2178"/>
      <c r="U887" s="2178"/>
      <c r="V887" s="2178"/>
      <c r="W887" s="2178"/>
      <c r="X887" s="2178"/>
      <c r="Y887" s="2178"/>
      <c r="Z887" s="2178"/>
      <c r="AA887" s="2178"/>
      <c r="AB887" s="2178"/>
      <c r="AC887" s="2178"/>
      <c r="AD887" s="2178"/>
      <c r="AE887" s="2178"/>
      <c r="AF887" s="2178"/>
    </row>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60" ht="12" customHeight="1"/>
    <row r="986" ht="12" customHeight="1"/>
    <row r="987" ht="12" customHeight="1"/>
    <row r="1017" ht="12" customHeight="1"/>
    <row r="1018" ht="12" customHeight="1"/>
    <row r="1039" ht="12" customHeight="1"/>
    <row r="1067" ht="12" customHeight="1"/>
    <row r="1096" spans="2:32" ht="12" customHeight="1"/>
    <row r="1101" spans="2:32" ht="15" customHeight="1">
      <c r="B1101" s="2178"/>
      <c r="C1101" s="2178"/>
      <c r="D1101" s="2178"/>
      <c r="E1101" s="2178"/>
      <c r="F1101" s="2178"/>
      <c r="G1101" s="2178"/>
      <c r="H1101" s="2178"/>
      <c r="I1101" s="2178"/>
      <c r="J1101" s="2178"/>
      <c r="K1101" s="2178"/>
      <c r="L1101" s="2178"/>
      <c r="M1101" s="2178"/>
      <c r="N1101" s="2178"/>
      <c r="O1101" s="2178"/>
      <c r="P1101" s="2178"/>
      <c r="Q1101" s="2178"/>
      <c r="R1101" s="2178"/>
      <c r="S1101" s="2178"/>
      <c r="T1101" s="2178"/>
      <c r="U1101" s="2178"/>
      <c r="V1101" s="2178"/>
      <c r="W1101" s="2178"/>
      <c r="X1101" s="2178"/>
      <c r="Y1101" s="2178"/>
      <c r="Z1101" s="2178"/>
      <c r="AA1101" s="2178"/>
      <c r="AB1101" s="2178"/>
      <c r="AC1101" s="2178"/>
      <c r="AD1101" s="2178"/>
      <c r="AE1101" s="2178"/>
      <c r="AF1101" s="2178"/>
    </row>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69" ht="12" customHeight="1"/>
    <row r="1193" ht="12" customHeight="1"/>
    <row r="1211" ht="12" customHeight="1"/>
    <row r="1229" spans="2:32" ht="15" customHeight="1">
      <c r="B1229" s="2178"/>
      <c r="C1229" s="2178"/>
      <c r="D1229" s="2178"/>
      <c r="E1229" s="2178"/>
      <c r="F1229" s="2178"/>
      <c r="G1229" s="2178"/>
      <c r="H1229" s="2178"/>
      <c r="I1229" s="2178"/>
      <c r="J1229" s="2178"/>
      <c r="K1229" s="2178"/>
      <c r="L1229" s="2178"/>
      <c r="M1229" s="2178"/>
      <c r="N1229" s="2178"/>
      <c r="O1229" s="2178"/>
      <c r="P1229" s="2178"/>
      <c r="Q1229" s="2178"/>
      <c r="R1229" s="2178"/>
      <c r="S1229" s="2178"/>
      <c r="T1229" s="2178"/>
      <c r="U1229" s="2178"/>
      <c r="V1229" s="2178"/>
      <c r="W1229" s="2178"/>
      <c r="X1229" s="2178"/>
      <c r="Y1229" s="2178"/>
      <c r="Z1229" s="2178"/>
      <c r="AA1229" s="2178"/>
      <c r="AB1229" s="2178"/>
      <c r="AC1229" s="2178"/>
      <c r="AD1229" s="2178"/>
      <c r="AE1229" s="2178"/>
      <c r="AF1229" s="2178"/>
    </row>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6" ht="12" customHeight="1"/>
    <row r="1326" ht="12" customHeight="1"/>
    <row r="1328" ht="12" customHeight="1"/>
    <row r="1339" ht="12" customHeight="1"/>
    <row r="1349" ht="12" customHeight="1"/>
    <row r="1351" ht="12" customHeight="1"/>
    <row r="1360" ht="12" customHeight="1"/>
    <row r="1374" ht="12" customHeight="1"/>
    <row r="1384" spans="2:32" ht="12" customHeight="1"/>
    <row r="1390" spans="2:32" ht="15" customHeight="1">
      <c r="B1390" s="2178"/>
      <c r="C1390" s="2178"/>
      <c r="D1390" s="2178"/>
      <c r="E1390" s="2178"/>
      <c r="F1390" s="2178"/>
      <c r="G1390" s="2178"/>
      <c r="H1390" s="2178"/>
      <c r="I1390" s="2178"/>
      <c r="J1390" s="2178"/>
      <c r="K1390" s="2178"/>
      <c r="L1390" s="2178"/>
      <c r="M1390" s="2178"/>
      <c r="N1390" s="2178"/>
      <c r="O1390" s="2178"/>
      <c r="P1390" s="2178"/>
      <c r="Q1390" s="2178"/>
      <c r="R1390" s="2178"/>
      <c r="S1390" s="2178"/>
      <c r="T1390" s="2178"/>
      <c r="U1390" s="2178"/>
      <c r="V1390" s="2178"/>
      <c r="W1390" s="2178"/>
      <c r="X1390" s="2178"/>
      <c r="Y1390" s="2178"/>
      <c r="Z1390" s="2178"/>
      <c r="AA1390" s="2178"/>
      <c r="AB1390" s="2178"/>
      <c r="AC1390" s="2178"/>
      <c r="AD1390" s="2178"/>
      <c r="AE1390" s="2178"/>
      <c r="AF1390" s="2178"/>
    </row>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50" ht="12" customHeight="1"/>
    <row r="1476" ht="12" customHeight="1"/>
    <row r="1488" ht="12" customHeight="1"/>
    <row r="1490" spans="2:32" ht="12" customHeight="1"/>
    <row r="1499" spans="2:32" ht="12" customHeight="1"/>
    <row r="1502" spans="2:32" ht="15" customHeight="1">
      <c r="B1502" s="2178"/>
      <c r="C1502" s="2178"/>
      <c r="D1502" s="2178"/>
      <c r="E1502" s="2178"/>
      <c r="F1502" s="2178"/>
      <c r="G1502" s="2178"/>
      <c r="H1502" s="2178"/>
      <c r="I1502" s="2178"/>
      <c r="J1502" s="2178"/>
      <c r="K1502" s="2178"/>
      <c r="L1502" s="2178"/>
      <c r="M1502" s="2178"/>
      <c r="N1502" s="2178"/>
      <c r="O1502" s="2178"/>
      <c r="P1502" s="2178"/>
      <c r="Q1502" s="2178"/>
      <c r="R1502" s="2178"/>
      <c r="S1502" s="2178"/>
      <c r="T1502" s="2178"/>
      <c r="U1502" s="2178"/>
      <c r="V1502" s="2178"/>
      <c r="W1502" s="2178"/>
      <c r="X1502" s="2178"/>
      <c r="Y1502" s="2178"/>
      <c r="Z1502" s="2178"/>
      <c r="AA1502" s="2178"/>
      <c r="AB1502" s="2178"/>
      <c r="AC1502" s="2178"/>
      <c r="AD1502" s="2178"/>
      <c r="AE1502" s="2178"/>
      <c r="AF1502" s="2178"/>
    </row>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6" ht="12" customHeight="1"/>
    <row r="1591" ht="12" customHeight="1"/>
    <row r="1593" ht="12" customHeight="1"/>
    <row r="1598" ht="12" customHeight="1"/>
    <row r="1604" spans="2:32" ht="15" customHeight="1">
      <c r="B1604" s="2178"/>
      <c r="C1604" s="2178"/>
      <c r="D1604" s="2178"/>
      <c r="E1604" s="2178"/>
      <c r="F1604" s="2178"/>
      <c r="G1604" s="2178"/>
      <c r="H1604" s="2178"/>
      <c r="I1604" s="2178"/>
      <c r="J1604" s="2178"/>
      <c r="K1604" s="2178"/>
      <c r="L1604" s="2178"/>
      <c r="M1604" s="2178"/>
      <c r="N1604" s="2178"/>
      <c r="O1604" s="2178"/>
      <c r="P1604" s="2178"/>
      <c r="Q1604" s="2178"/>
      <c r="R1604" s="2178"/>
      <c r="S1604" s="2178"/>
      <c r="T1604" s="2178"/>
      <c r="U1604" s="2178"/>
      <c r="V1604" s="2178"/>
      <c r="W1604" s="2178"/>
      <c r="X1604" s="2178"/>
      <c r="Y1604" s="2178"/>
      <c r="Z1604" s="2178"/>
      <c r="AA1604" s="2178"/>
      <c r="AB1604" s="2178"/>
      <c r="AC1604" s="2178"/>
      <c r="AD1604" s="2178"/>
      <c r="AE1604" s="2178"/>
      <c r="AF1604" s="2178"/>
    </row>
    <row r="1612" spans="2:32" ht="12" customHeight="1"/>
    <row r="1613" spans="2:32" ht="12" customHeight="1"/>
    <row r="1614" spans="2:32" ht="12" customHeight="1"/>
    <row r="1615" spans="2:32" ht="12" customHeight="1"/>
    <row r="1616" spans="2:32" ht="12" customHeight="1"/>
    <row r="1617" ht="12" customHeight="1"/>
    <row r="1618" ht="12" customHeight="1"/>
    <row r="1619" ht="12" customHeight="1"/>
    <row r="1620" ht="12" customHeight="1"/>
    <row r="1621" ht="12" customHeight="1"/>
    <row r="1622" ht="12" customHeight="1"/>
    <row r="1623" ht="12" customHeight="1"/>
    <row r="1624" ht="12" customHeight="1"/>
    <row r="1639" ht="12" customHeight="1"/>
    <row r="1665" ht="12" customHeight="1"/>
    <row r="1667" ht="12" customHeight="1"/>
    <row r="1668" ht="12" customHeight="1"/>
    <row r="1686" ht="12" customHeight="1"/>
    <row r="1688" ht="12" customHeight="1"/>
    <row r="1697" spans="2:32" ht="12" customHeight="1"/>
    <row r="1699" spans="2:32" ht="15" customHeight="1">
      <c r="B1699" s="2178"/>
      <c r="C1699" s="2178"/>
      <c r="D1699" s="2178"/>
      <c r="E1699" s="2178"/>
      <c r="F1699" s="2178"/>
      <c r="G1699" s="2178"/>
      <c r="H1699" s="2178"/>
      <c r="I1699" s="2178"/>
      <c r="J1699" s="2178"/>
      <c r="K1699" s="2178"/>
      <c r="L1699" s="2178"/>
      <c r="M1699" s="2178"/>
      <c r="N1699" s="2178"/>
      <c r="O1699" s="2178"/>
      <c r="P1699" s="2178"/>
      <c r="Q1699" s="2178"/>
      <c r="R1699" s="2178"/>
      <c r="S1699" s="2178"/>
      <c r="T1699" s="2178"/>
      <c r="U1699" s="2178"/>
      <c r="V1699" s="2178"/>
      <c r="W1699" s="2178"/>
      <c r="X1699" s="2178"/>
      <c r="Y1699" s="2178"/>
      <c r="Z1699" s="2178"/>
      <c r="AA1699" s="2178"/>
      <c r="AB1699" s="2178"/>
      <c r="AC1699" s="2178"/>
      <c r="AD1699" s="2178"/>
      <c r="AE1699" s="2178"/>
      <c r="AF1699" s="2178"/>
    </row>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60" ht="12" customHeight="1"/>
    <row r="1862" ht="12" customHeight="1"/>
    <row r="1866" ht="12" customHeight="1"/>
    <row r="1871" ht="12" customHeight="1"/>
    <row r="1877" ht="12" customHeight="1"/>
    <row r="1887" ht="12" customHeight="1"/>
    <row r="1892" ht="12" customHeight="1"/>
    <row r="1901" ht="12" customHeight="1"/>
    <row r="1902" ht="12" customHeight="1"/>
    <row r="1908" ht="12" customHeight="1"/>
    <row r="1914" ht="12" customHeight="1"/>
    <row r="1918" ht="12" customHeight="1"/>
    <row r="1923" ht="12" customHeight="1"/>
    <row r="1932" ht="12" customHeight="1"/>
    <row r="1936" ht="12" customHeight="1"/>
    <row r="1945" spans="2:32" ht="15" customHeight="1">
      <c r="B1945" s="2178"/>
      <c r="C1945" s="2178"/>
      <c r="D1945" s="2178"/>
      <c r="E1945" s="2178"/>
      <c r="F1945" s="2178"/>
      <c r="G1945" s="2178"/>
      <c r="H1945" s="2178"/>
      <c r="I1945" s="2178"/>
      <c r="J1945" s="2178"/>
      <c r="K1945" s="2178"/>
      <c r="L1945" s="2178"/>
      <c r="M1945" s="2178"/>
      <c r="N1945" s="2178"/>
      <c r="O1945" s="2178"/>
      <c r="P1945" s="2178"/>
      <c r="Q1945" s="2178"/>
      <c r="R1945" s="2178"/>
      <c r="S1945" s="2178"/>
      <c r="T1945" s="2178"/>
      <c r="U1945" s="2178"/>
      <c r="V1945" s="2178"/>
      <c r="W1945" s="2178"/>
      <c r="X1945" s="2178"/>
      <c r="Y1945" s="2178"/>
      <c r="Z1945" s="2178"/>
      <c r="AA1945" s="2178"/>
      <c r="AB1945" s="2178"/>
      <c r="AC1945" s="2178"/>
      <c r="AD1945" s="2178"/>
      <c r="AE1945" s="2178"/>
      <c r="AF1945" s="2178"/>
    </row>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83" ht="12" customHeight="1"/>
    <row r="1987" ht="12" customHeight="1"/>
    <row r="1989" ht="12" customHeight="1"/>
    <row r="2003" ht="12" customHeight="1"/>
    <row r="2005" ht="12" customHeight="1"/>
    <row r="2007" ht="12" customHeight="1"/>
    <row r="2010" ht="12" customHeight="1"/>
    <row r="2021" spans="2:32" ht="12" customHeight="1"/>
    <row r="2031" spans="2:32" ht="15" customHeight="1">
      <c r="B2031" s="2178"/>
      <c r="C2031" s="2178"/>
      <c r="D2031" s="2178"/>
      <c r="E2031" s="2178"/>
      <c r="F2031" s="2178"/>
      <c r="G2031" s="2178"/>
      <c r="H2031" s="2178"/>
      <c r="I2031" s="2178"/>
      <c r="J2031" s="2178"/>
      <c r="K2031" s="2178"/>
      <c r="L2031" s="2178"/>
      <c r="M2031" s="2178"/>
      <c r="N2031" s="2178"/>
      <c r="O2031" s="2178"/>
      <c r="P2031" s="2178"/>
      <c r="Q2031" s="2178"/>
      <c r="R2031" s="2178"/>
      <c r="S2031" s="2178"/>
      <c r="T2031" s="2178"/>
      <c r="U2031" s="2178"/>
      <c r="V2031" s="2178"/>
      <c r="W2031" s="2178"/>
      <c r="X2031" s="2178"/>
      <c r="Y2031" s="2178"/>
      <c r="Z2031" s="2178"/>
      <c r="AA2031" s="2178"/>
      <c r="AB2031" s="2178"/>
      <c r="AC2031" s="2178"/>
      <c r="AD2031" s="2178"/>
      <c r="AE2031" s="2178"/>
      <c r="AF2031" s="2178"/>
    </row>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6" ht="12" customHeight="1"/>
    <row r="2109" ht="12" customHeight="1"/>
    <row r="2123" ht="12" customHeight="1"/>
    <row r="2130" ht="12" customHeight="1"/>
    <row r="2132" ht="12" customHeight="1"/>
    <row r="2135" ht="12" customHeight="1"/>
    <row r="2147" spans="2:32" ht="12" customHeight="1"/>
    <row r="2149" spans="2:32" ht="12" customHeight="1"/>
    <row r="2150" spans="2:32" ht="12" customHeight="1"/>
    <row r="2153" spans="2:32" ht="15" customHeight="1">
      <c r="B2153" s="2178"/>
      <c r="C2153" s="2178"/>
      <c r="D2153" s="2178"/>
      <c r="E2153" s="2178"/>
      <c r="F2153" s="2178"/>
      <c r="G2153" s="2178"/>
      <c r="H2153" s="2178"/>
      <c r="I2153" s="2178"/>
      <c r="J2153" s="2178"/>
      <c r="K2153" s="2178"/>
      <c r="L2153" s="2178"/>
      <c r="M2153" s="2178"/>
      <c r="N2153" s="2178"/>
      <c r="O2153" s="2178"/>
      <c r="P2153" s="2178"/>
      <c r="Q2153" s="2178"/>
      <c r="R2153" s="2178"/>
      <c r="S2153" s="2178"/>
      <c r="T2153" s="2178"/>
      <c r="U2153" s="2178"/>
      <c r="V2153" s="2178"/>
      <c r="W2153" s="2178"/>
      <c r="X2153" s="2178"/>
      <c r="Y2153" s="2178"/>
      <c r="Z2153" s="2178"/>
      <c r="AA2153" s="2178"/>
      <c r="AB2153" s="2178"/>
      <c r="AC2153" s="2178"/>
      <c r="AD2153" s="2178"/>
      <c r="AE2153" s="2178"/>
      <c r="AF2153" s="2178"/>
    </row>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9" ht="12" customHeight="1"/>
    <row r="2263" ht="12" customHeight="1"/>
    <row r="2265" ht="12" customHeight="1"/>
    <row r="2270" ht="12" customHeight="1"/>
    <row r="2272" ht="12" customHeight="1"/>
    <row r="2281" ht="12" customHeight="1"/>
    <row r="2283" ht="12" customHeight="1"/>
    <row r="2287" ht="12" customHeight="1"/>
    <row r="2299" ht="12" customHeight="1"/>
    <row r="2300" ht="12" customHeight="1"/>
    <row r="2304" ht="12" customHeight="1"/>
    <row r="2317" spans="2:32" ht="15" customHeight="1">
      <c r="B2317" s="2178"/>
      <c r="C2317" s="2178"/>
      <c r="D2317" s="2178"/>
      <c r="E2317" s="2178"/>
      <c r="F2317" s="2178"/>
      <c r="G2317" s="2178"/>
      <c r="H2317" s="2178"/>
      <c r="I2317" s="2178"/>
      <c r="J2317" s="2178"/>
      <c r="K2317" s="2178"/>
      <c r="L2317" s="2178"/>
      <c r="M2317" s="2178"/>
      <c r="N2317" s="2178"/>
      <c r="O2317" s="2178"/>
      <c r="P2317" s="2178"/>
      <c r="Q2317" s="2178"/>
      <c r="R2317" s="2178"/>
      <c r="S2317" s="2178"/>
      <c r="T2317" s="2178"/>
      <c r="U2317" s="2178"/>
      <c r="V2317" s="2178"/>
      <c r="W2317" s="2178"/>
      <c r="X2317" s="2178"/>
      <c r="Y2317" s="2178"/>
      <c r="Z2317" s="2178"/>
      <c r="AA2317" s="2178"/>
      <c r="AB2317" s="2178"/>
      <c r="AC2317" s="2178"/>
      <c r="AD2317" s="2178"/>
      <c r="AE2317" s="2178"/>
      <c r="AF2317" s="2178"/>
    </row>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66" ht="12" customHeight="1"/>
    <row r="2379" ht="12" customHeight="1"/>
    <row r="2389" ht="12" customHeight="1"/>
    <row r="2398" ht="12" customHeight="1"/>
    <row r="2399" ht="12" customHeight="1"/>
    <row r="2409" ht="12" customHeight="1"/>
    <row r="2419" spans="2:32" ht="15" customHeight="1">
      <c r="B2419" s="2178"/>
      <c r="C2419" s="2178"/>
      <c r="D2419" s="2178"/>
      <c r="E2419" s="2178"/>
      <c r="F2419" s="2178"/>
      <c r="G2419" s="2178"/>
      <c r="H2419" s="2178"/>
      <c r="I2419" s="2178"/>
      <c r="J2419" s="2178"/>
      <c r="K2419" s="2178"/>
      <c r="L2419" s="2178"/>
      <c r="M2419" s="2178"/>
      <c r="N2419" s="2178"/>
      <c r="O2419" s="2178"/>
      <c r="P2419" s="2178"/>
      <c r="Q2419" s="2178"/>
      <c r="R2419" s="2178"/>
      <c r="S2419" s="2178"/>
      <c r="T2419" s="2178"/>
      <c r="U2419" s="2178"/>
      <c r="V2419" s="2178"/>
      <c r="W2419" s="2178"/>
      <c r="X2419" s="2178"/>
      <c r="Y2419" s="2178"/>
      <c r="Z2419" s="2178"/>
      <c r="AA2419" s="2178"/>
      <c r="AB2419" s="2178"/>
      <c r="AC2419" s="2178"/>
      <c r="AD2419" s="2178"/>
      <c r="AE2419" s="2178"/>
      <c r="AF2419" s="2178"/>
    </row>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6" ht="12" customHeight="1"/>
    <row r="2458" ht="12" customHeight="1"/>
    <row r="2460" ht="12" customHeight="1"/>
    <row r="2466" ht="12" customHeight="1"/>
    <row r="2474" ht="12" customHeight="1"/>
    <row r="2485" ht="12" customHeight="1"/>
    <row r="2487" ht="12" customHeight="1"/>
    <row r="2493" ht="12" customHeight="1"/>
    <row r="2494" ht="12" customHeight="1"/>
    <row r="2497" spans="2:32" ht="12" customHeight="1"/>
    <row r="2503" spans="2:32" ht="12" customHeight="1"/>
    <row r="2509" spans="2:32" ht="15" customHeight="1">
      <c r="B2509" s="2178"/>
      <c r="C2509" s="2178"/>
      <c r="D2509" s="2178"/>
      <c r="E2509" s="2178"/>
      <c r="F2509" s="2178"/>
      <c r="G2509" s="2178"/>
      <c r="H2509" s="2178"/>
      <c r="I2509" s="2178"/>
      <c r="J2509" s="2178"/>
      <c r="K2509" s="2178"/>
      <c r="L2509" s="2178"/>
      <c r="M2509" s="2178"/>
      <c r="N2509" s="2178"/>
      <c r="O2509" s="2178"/>
      <c r="P2509" s="2178"/>
      <c r="Q2509" s="2178"/>
      <c r="R2509" s="2178"/>
      <c r="S2509" s="2178"/>
      <c r="T2509" s="2178"/>
      <c r="U2509" s="2178"/>
      <c r="V2509" s="2178"/>
      <c r="W2509" s="2178"/>
      <c r="X2509" s="2178"/>
      <c r="Y2509" s="2178"/>
      <c r="Z2509" s="2178"/>
      <c r="AA2509" s="2178"/>
      <c r="AB2509" s="2178"/>
      <c r="AC2509" s="2178"/>
      <c r="AD2509" s="2178"/>
      <c r="AE2509" s="2178"/>
      <c r="AF2509" s="2178"/>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60" ht="12" customHeight="1"/>
    <row r="2567" ht="12" customHeight="1"/>
    <row r="2574" ht="12" customHeight="1"/>
    <row r="2580" ht="12" customHeight="1"/>
    <row r="2587" ht="12" customHeight="1"/>
    <row r="2594" spans="2:32" ht="12" customHeight="1"/>
    <row r="2598" spans="2:32" ht="15" customHeight="1">
      <c r="B2598" s="2178"/>
      <c r="C2598" s="2178"/>
      <c r="D2598" s="2178"/>
      <c r="E2598" s="2178"/>
      <c r="F2598" s="2178"/>
      <c r="G2598" s="2178"/>
      <c r="H2598" s="2178"/>
      <c r="I2598" s="2178"/>
      <c r="J2598" s="2178"/>
      <c r="K2598" s="2178"/>
      <c r="L2598" s="2178"/>
      <c r="M2598" s="2178"/>
      <c r="N2598" s="2178"/>
      <c r="O2598" s="2178"/>
      <c r="P2598" s="2178"/>
      <c r="Q2598" s="2178"/>
      <c r="R2598" s="2178"/>
      <c r="S2598" s="2178"/>
      <c r="T2598" s="2178"/>
      <c r="U2598" s="2178"/>
      <c r="V2598" s="2178"/>
      <c r="W2598" s="2178"/>
      <c r="X2598" s="2178"/>
      <c r="Y2598" s="2178"/>
      <c r="Z2598" s="2178"/>
      <c r="AA2598" s="2178"/>
      <c r="AB2598" s="2178"/>
      <c r="AC2598" s="2178"/>
      <c r="AD2598" s="2178"/>
      <c r="AE2598" s="2178"/>
      <c r="AF2598" s="2178"/>
    </row>
    <row r="2616" ht="12" customHeight="1"/>
    <row r="2617" ht="12" customHeight="1"/>
    <row r="2618" ht="12" customHeight="1"/>
    <row r="2619" ht="12" customHeight="1"/>
    <row r="2620" ht="12" customHeight="1"/>
    <row r="2621" ht="12" customHeight="1"/>
    <row r="2622" ht="12" customHeight="1"/>
    <row r="2623" ht="12" customHeight="1"/>
    <row r="2624" ht="12" customHeight="1"/>
    <row r="2647" ht="12" customHeight="1"/>
    <row r="2660" ht="12" customHeight="1"/>
    <row r="2661" ht="12" customHeight="1"/>
    <row r="2688" ht="12" customHeight="1"/>
    <row r="2705" spans="2:32" ht="12" customHeight="1"/>
    <row r="2706" spans="2:32" ht="12" customHeight="1"/>
    <row r="2719" spans="2:32" ht="15" customHeight="1">
      <c r="B2719" s="2178"/>
      <c r="C2719" s="2178"/>
      <c r="D2719" s="2178"/>
      <c r="E2719" s="2178"/>
      <c r="F2719" s="2178"/>
      <c r="G2719" s="2178"/>
      <c r="H2719" s="2178"/>
      <c r="I2719" s="2178"/>
      <c r="J2719" s="2178"/>
      <c r="K2719" s="2178"/>
      <c r="L2719" s="2178"/>
      <c r="M2719" s="2178"/>
      <c r="N2719" s="2178"/>
      <c r="O2719" s="2178"/>
      <c r="P2719" s="2178"/>
      <c r="Q2719" s="2178"/>
      <c r="R2719" s="2178"/>
      <c r="S2719" s="2178"/>
      <c r="T2719" s="2178"/>
      <c r="U2719" s="2178"/>
      <c r="V2719" s="2178"/>
      <c r="W2719" s="2178"/>
      <c r="X2719" s="2178"/>
      <c r="Y2719" s="2178"/>
      <c r="Z2719" s="2178"/>
      <c r="AA2719" s="2178"/>
      <c r="AB2719" s="2178"/>
      <c r="AC2719" s="2178"/>
      <c r="AD2719" s="2178"/>
      <c r="AE2719" s="2178"/>
      <c r="AF2719" s="2178"/>
    </row>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7" ht="12" customHeight="1"/>
    <row r="2792" ht="12" customHeight="1"/>
    <row r="2803" ht="12" customHeight="1"/>
    <row r="2808" ht="12" customHeight="1"/>
    <row r="2817" ht="12" customHeight="1"/>
    <row r="2824" ht="12" customHeight="1"/>
    <row r="2829" ht="12" customHeight="1"/>
    <row r="2830" ht="12" customHeight="1"/>
    <row r="2837" spans="2:32" ht="15" customHeight="1">
      <c r="B2837" s="2178"/>
      <c r="C2837" s="2178"/>
      <c r="D2837" s="2178"/>
      <c r="E2837" s="2178"/>
      <c r="F2837" s="2178"/>
      <c r="G2837" s="2178"/>
      <c r="H2837" s="2178"/>
      <c r="I2837" s="2178"/>
      <c r="J2837" s="2178"/>
      <c r="K2837" s="2178"/>
      <c r="L2837" s="2178"/>
      <c r="M2837" s="2178"/>
      <c r="N2837" s="2178"/>
      <c r="O2837" s="2178"/>
      <c r="P2837" s="2178"/>
      <c r="Q2837" s="2178"/>
      <c r="R2837" s="2178"/>
      <c r="S2837" s="2178"/>
      <c r="T2837" s="2178"/>
      <c r="U2837" s="2178"/>
      <c r="V2837" s="2178"/>
      <c r="W2837" s="2178"/>
      <c r="X2837" s="2178"/>
      <c r="Y2837" s="2178"/>
      <c r="Z2837" s="2178"/>
      <c r="AA2837" s="2178"/>
      <c r="AB2837" s="2178"/>
      <c r="AC2837" s="2178"/>
      <c r="AD2837" s="2178"/>
      <c r="AE2837" s="2178"/>
      <c r="AF2837" s="2178"/>
    </row>
  </sheetData>
  <mergeCells count="20">
    <mergeCell ref="B168:AG168"/>
    <mergeCell ref="B1945:AF1945"/>
    <mergeCell ref="B308:AF308"/>
    <mergeCell ref="B511:AF511"/>
    <mergeCell ref="B712:AF712"/>
    <mergeCell ref="B887:AF887"/>
    <mergeCell ref="B1101:AF1101"/>
    <mergeCell ref="B1229:AF1229"/>
    <mergeCell ref="B1390:AF1390"/>
    <mergeCell ref="B1502:AF1502"/>
    <mergeCell ref="B1604:AF1604"/>
    <mergeCell ref="B1699:AF1699"/>
    <mergeCell ref="B2719:AF2719"/>
    <mergeCell ref="B2837:AF2837"/>
    <mergeCell ref="B2031:AF2031"/>
    <mergeCell ref="B2153:AF2153"/>
    <mergeCell ref="B2317:AF2317"/>
    <mergeCell ref="B2419:AF2419"/>
    <mergeCell ref="B2509:AF2509"/>
    <mergeCell ref="B2598:AF2598"/>
  </mergeCells>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0C446-9B43-4D68-9281-0AA2E6F0BB2B}">
  <sheetPr codeName="Sheet3">
    <tabColor rgb="FF92D050"/>
  </sheetPr>
  <dimension ref="A1:K476"/>
  <sheetViews>
    <sheetView zoomScale="115" zoomScaleNormal="115" workbookViewId="0"/>
  </sheetViews>
  <sheetFormatPr baseColWidth="10" defaultColWidth="8.83203125" defaultRowHeight="15"/>
  <cols>
    <col min="1" max="1" width="42.5" customWidth="1"/>
    <col min="2" max="8" width="20.6640625" style="15" customWidth="1"/>
    <col min="9" max="9" width="14.33203125" customWidth="1"/>
  </cols>
  <sheetData>
    <row r="1" spans="1:9">
      <c r="A1" s="24" t="s">
        <v>5571</v>
      </c>
      <c r="B1" s="26"/>
      <c r="C1" s="26"/>
      <c r="D1" s="26"/>
      <c r="E1" s="26"/>
      <c r="F1" s="26"/>
      <c r="G1" s="26"/>
      <c r="H1" s="26"/>
      <c r="I1" s="25"/>
    </row>
    <row r="2" spans="1:9" ht="32">
      <c r="A2" s="3" t="s">
        <v>39</v>
      </c>
      <c r="B2" s="14" t="s">
        <v>40</v>
      </c>
      <c r="C2" s="1989" t="s">
        <v>4750</v>
      </c>
      <c r="D2" s="1989" t="s">
        <v>5449</v>
      </c>
      <c r="E2" s="1989" t="s">
        <v>4751</v>
      </c>
      <c r="F2" s="1989" t="s">
        <v>4752</v>
      </c>
      <c r="G2" s="1989" t="s">
        <v>5643</v>
      </c>
      <c r="H2" s="1989" t="s">
        <v>5517</v>
      </c>
      <c r="I2" s="1989" t="s">
        <v>41</v>
      </c>
    </row>
    <row r="3" spans="1:9">
      <c r="A3" t="s">
        <v>42</v>
      </c>
      <c r="B3" s="1990">
        <f>Calculations!$B$5</f>
        <v>3.6496440259232461</v>
      </c>
      <c r="C3" s="1990">
        <f>Calculations!B$167</f>
        <v>13.53721385278452</v>
      </c>
      <c r="D3" s="1990">
        <f>Calculations!C$167</f>
        <v>6.2015340918730608</v>
      </c>
      <c r="E3" s="1990">
        <f>Calculations!D$167</f>
        <v>5.1369442888214465</v>
      </c>
      <c r="F3" s="1990">
        <f>Calculations!E$167</f>
        <v>5.8922221540555402</v>
      </c>
      <c r="G3" s="1990">
        <f>Calculations!F$167</f>
        <v>7.3689886927598698</v>
      </c>
      <c r="H3" s="1990">
        <f>Calculations!G$167</f>
        <v>3.6496440259232461</v>
      </c>
      <c r="I3" s="15" t="s">
        <v>43</v>
      </c>
    </row>
    <row r="4" spans="1:9">
      <c r="A4" t="s">
        <v>5522</v>
      </c>
      <c r="B4" s="1990">
        <v>0</v>
      </c>
      <c r="C4" s="1990">
        <f>Calculations!B$168</f>
        <v>0</v>
      </c>
      <c r="D4" s="1990">
        <f>Calculations!C$168</f>
        <v>11.841438473827356</v>
      </c>
      <c r="E4" s="1990">
        <f>Calculations!D$168</f>
        <v>0</v>
      </c>
      <c r="F4" s="1990">
        <f>Calculations!E$168</f>
        <v>0</v>
      </c>
      <c r="G4" s="1990">
        <f>Calculations!F$168</f>
        <v>3.6368757106353398</v>
      </c>
      <c r="H4" s="1990">
        <f>Calculations!G$168</f>
        <v>0</v>
      </c>
      <c r="I4" s="15" t="s">
        <v>43</v>
      </c>
    </row>
    <row r="5" spans="1:9">
      <c r="A5" t="s">
        <v>45</v>
      </c>
      <c r="B5" s="1990">
        <f>Calculations!$B$7</f>
        <v>1.2294838162586879</v>
      </c>
      <c r="C5" s="1990">
        <f>Calculations!B$169</f>
        <v>1.3583966402096561</v>
      </c>
      <c r="D5" s="1990">
        <f>Calculations!C$169</f>
        <v>1.6480182766661706</v>
      </c>
      <c r="E5" s="1990">
        <f>Calculations!D$169</f>
        <v>13.757535637371687</v>
      </c>
      <c r="F5" s="1990">
        <f>Calculations!E$169</f>
        <v>1.6480182766661706</v>
      </c>
      <c r="G5" s="1990">
        <f>Calculations!F$169</f>
        <v>5.030901812558195</v>
      </c>
      <c r="H5" s="1990">
        <f>Calculations!G$169</f>
        <v>1.2294838162586879</v>
      </c>
      <c r="I5" s="15" t="s">
        <v>43</v>
      </c>
    </row>
    <row r="6" spans="1:9">
      <c r="A6" t="s">
        <v>5521</v>
      </c>
      <c r="B6" s="1990">
        <f>Calculations!$B$8</f>
        <v>0</v>
      </c>
      <c r="C6" s="1990">
        <f>Calculations!B$170</f>
        <v>0</v>
      </c>
      <c r="D6" s="1990">
        <f>Calculations!C$170</f>
        <v>0</v>
      </c>
      <c r="E6" s="1990">
        <f>Calculations!D$170</f>
        <v>0</v>
      </c>
      <c r="F6" s="1990">
        <f>Calculations!E$170</f>
        <v>0</v>
      </c>
      <c r="G6" s="1990">
        <f>Calculations!F$170</f>
        <v>0</v>
      </c>
      <c r="H6" s="1990">
        <f>Calculations!G$170</f>
        <v>0</v>
      </c>
      <c r="I6" s="15" t="s">
        <v>43</v>
      </c>
    </row>
    <row r="7" spans="1:9">
      <c r="A7" t="s">
        <v>46</v>
      </c>
      <c r="B7" s="1990">
        <v>0</v>
      </c>
      <c r="C7" s="1990">
        <f>Calculations!B$171</f>
        <v>0</v>
      </c>
      <c r="D7" s="1990">
        <f>Calculations!C$171</f>
        <v>0</v>
      </c>
      <c r="E7" s="1990">
        <f>Calculations!D$171</f>
        <v>0</v>
      </c>
      <c r="F7" s="1990">
        <f>Calculations!E$171</f>
        <v>15.033662185335599</v>
      </c>
      <c r="G7" s="1990">
        <f>Calculations!F$171</f>
        <v>4.3642508527624075</v>
      </c>
      <c r="H7" s="1990">
        <f>Calculations!G$171</f>
        <v>0</v>
      </c>
      <c r="I7" s="15" t="s">
        <v>43</v>
      </c>
    </row>
    <row r="8" spans="1:9">
      <c r="A8" t="s">
        <v>47</v>
      </c>
      <c r="B8" s="1990">
        <f>Calculations!$B$6</f>
        <v>15.913442060430881</v>
      </c>
      <c r="C8" s="1990">
        <f>Calculations!B$172</f>
        <v>0</v>
      </c>
      <c r="D8" s="1990">
        <f>Calculations!C$172</f>
        <v>0</v>
      </c>
      <c r="E8" s="1990">
        <f>Calculations!D$172</f>
        <v>0</v>
      </c>
      <c r="F8" s="1990">
        <f>Calculations!E$172</f>
        <v>0</v>
      </c>
      <c r="G8" s="1990">
        <f>Calculations!F$172</f>
        <v>0</v>
      </c>
      <c r="H8" s="1990">
        <f>Calculations!G$172</f>
        <v>15.913442060430881</v>
      </c>
      <c r="I8" s="15" t="s">
        <v>43</v>
      </c>
    </row>
    <row r="9" spans="1:9">
      <c r="A9" s="1" t="s">
        <v>1265</v>
      </c>
      <c r="B9" s="1991">
        <f t="shared" ref="B9:H9" si="0">SUM(B3:B8)</f>
        <v>20.792569902612815</v>
      </c>
      <c r="C9" s="1991">
        <f t="shared" si="0"/>
        <v>14.895610492994177</v>
      </c>
      <c r="D9" s="1991">
        <f t="shared" si="0"/>
        <v>19.690990842366588</v>
      </c>
      <c r="E9" s="1991">
        <f t="shared" si="0"/>
        <v>18.894479926193135</v>
      </c>
      <c r="F9" s="1991">
        <f t="shared" si="0"/>
        <v>22.57390261605731</v>
      </c>
      <c r="G9" s="1991">
        <f t="shared" si="0"/>
        <v>20.401017068715813</v>
      </c>
      <c r="H9" s="1991">
        <f t="shared" si="0"/>
        <v>20.792569902612815</v>
      </c>
      <c r="I9" s="461" t="s">
        <v>43</v>
      </c>
    </row>
    <row r="45" spans="1:9">
      <c r="A45" s="24" t="s">
        <v>5570</v>
      </c>
      <c r="B45" s="26"/>
      <c r="C45" s="26"/>
      <c r="D45" s="26"/>
      <c r="E45" s="26"/>
      <c r="F45" s="26"/>
      <c r="G45" s="26"/>
      <c r="H45" s="26"/>
      <c r="I45" s="25"/>
    </row>
    <row r="46" spans="1:9" ht="32">
      <c r="A46" s="3" t="s">
        <v>39</v>
      </c>
      <c r="B46" s="14" t="s">
        <v>40</v>
      </c>
      <c r="C46" s="1989" t="s">
        <v>4750</v>
      </c>
      <c r="D46" s="1989" t="s">
        <v>5449</v>
      </c>
      <c r="E46" s="1989" t="s">
        <v>4751</v>
      </c>
      <c r="F46" s="1989" t="s">
        <v>4752</v>
      </c>
      <c r="G46" s="1989" t="s">
        <v>5643</v>
      </c>
      <c r="H46" s="1989" t="s">
        <v>5517</v>
      </c>
      <c r="I46" s="1989" t="s">
        <v>41</v>
      </c>
    </row>
    <row r="47" spans="1:9">
      <c r="A47" t="s">
        <v>5522</v>
      </c>
      <c r="B47" s="1990">
        <v>0</v>
      </c>
      <c r="C47" s="1990">
        <f>Calculations!B$177</f>
        <v>3.0748606290542</v>
      </c>
      <c r="D47" s="1990">
        <f>Calculations!C$177</f>
        <v>5.9633722119815555</v>
      </c>
      <c r="E47" s="1990">
        <f>Calculations!D$177</f>
        <v>0.29817321823368143</v>
      </c>
      <c r="F47" s="1990">
        <f>Calculations!E$177</f>
        <v>0</v>
      </c>
      <c r="G47" s="1990">
        <f>Calculations!F$177</f>
        <v>1.9716399951818344</v>
      </c>
      <c r="H47" s="1990">
        <f>Calculations!G$177</f>
        <v>0</v>
      </c>
      <c r="I47" s="15" t="s">
        <v>43</v>
      </c>
    </row>
    <row r="48" spans="1:9">
      <c r="A48" t="s">
        <v>5523</v>
      </c>
      <c r="B48" s="1990">
        <v>0</v>
      </c>
      <c r="C48" s="1990">
        <f>Calculations!B$178</f>
        <v>0</v>
      </c>
      <c r="D48" s="1990">
        <f>Calculations!C$178</f>
        <v>0</v>
      </c>
      <c r="E48" s="1990">
        <f>Calculations!D$178</f>
        <v>0</v>
      </c>
      <c r="F48" s="1990">
        <f>Calculations!E$178</f>
        <v>5.5906556891894539</v>
      </c>
      <c r="G48" s="1990">
        <f>Calculations!F$178</f>
        <v>1.8449163774325199</v>
      </c>
      <c r="H48" s="1990">
        <f>Calculations!G$178</f>
        <v>0</v>
      </c>
      <c r="I48" s="15" t="s">
        <v>43</v>
      </c>
    </row>
    <row r="49" spans="1:9">
      <c r="A49" t="s">
        <v>45</v>
      </c>
      <c r="B49" s="1990">
        <v>0</v>
      </c>
      <c r="C49" s="1990">
        <f>Calculations!B$176</f>
        <v>2.5157950601352543</v>
      </c>
      <c r="D49" s="1990">
        <f>Calculations!C$176</f>
        <v>0</v>
      </c>
      <c r="E49" s="1990">
        <f>Calculations!D$176</f>
        <v>5.5906556891894539</v>
      </c>
      <c r="F49" s="1990">
        <f>Calculations!E$176</f>
        <v>0</v>
      </c>
      <c r="G49" s="1990">
        <f>Calculations!F$176</f>
        <v>1.9008229343244145</v>
      </c>
      <c r="H49" s="1990">
        <f>Calculations!G$176</f>
        <v>0</v>
      </c>
      <c r="I49" s="15" t="s">
        <v>43</v>
      </c>
    </row>
    <row r="50" spans="1:9">
      <c r="A50" t="s">
        <v>46</v>
      </c>
      <c r="B50" s="1990">
        <v>0</v>
      </c>
      <c r="C50" s="1990">
        <f>Calculations!B$179</f>
        <v>0</v>
      </c>
      <c r="D50" s="1990">
        <f>Calculations!C$179</f>
        <v>0</v>
      </c>
      <c r="E50" s="1990">
        <f>Calculations!D$179</f>
        <v>0</v>
      </c>
      <c r="F50" s="1990">
        <f>Calculations!E$179</f>
        <v>0.49324674160546789</v>
      </c>
      <c r="G50" s="1990">
        <f>Calculations!F$179</f>
        <v>0</v>
      </c>
      <c r="H50" s="1990">
        <f>Calculations!G$179</f>
        <v>0</v>
      </c>
      <c r="I50" s="15" t="s">
        <v>43</v>
      </c>
    </row>
    <row r="51" spans="1:9">
      <c r="A51" t="s">
        <v>47</v>
      </c>
      <c r="B51" s="1990">
        <f>SUM(Calculations!$B$9:$B$10)</f>
        <v>6.0016946405273437</v>
      </c>
      <c r="C51" s="1990">
        <f>Calculations!B$180</f>
        <v>0</v>
      </c>
      <c r="D51" s="1990">
        <f>Calculations!C$180</f>
        <v>0</v>
      </c>
      <c r="E51" s="1990">
        <f>Calculations!D$180</f>
        <v>0</v>
      </c>
      <c r="F51" s="1990">
        <f>Calculations!E$180</f>
        <v>0</v>
      </c>
      <c r="G51" s="1990">
        <f>Calculations!F$180</f>
        <v>0</v>
      </c>
      <c r="H51" s="1990">
        <f>Calculations!G$180</f>
        <v>6.0016946405273437</v>
      </c>
      <c r="I51" s="15" t="s">
        <v>43</v>
      </c>
    </row>
    <row r="52" spans="1:9">
      <c r="A52" s="1" t="s">
        <v>1265</v>
      </c>
      <c r="B52" s="1991">
        <f t="shared" ref="B52:H52" si="1">SUM(B47:B51)</f>
        <v>6.0016946405273437</v>
      </c>
      <c r="C52" s="1991">
        <f t="shared" si="1"/>
        <v>5.5906556891894539</v>
      </c>
      <c r="D52" s="1991">
        <f t="shared" si="1"/>
        <v>5.9633722119815555</v>
      </c>
      <c r="E52" s="1991">
        <f t="shared" si="1"/>
        <v>5.888828907423135</v>
      </c>
      <c r="F52" s="1991">
        <f t="shared" si="1"/>
        <v>6.0839024307949217</v>
      </c>
      <c r="G52" s="1991">
        <f t="shared" si="1"/>
        <v>5.7173793069387688</v>
      </c>
      <c r="H52" s="1991">
        <f t="shared" si="1"/>
        <v>6.0016946405273437</v>
      </c>
      <c r="I52" s="461" t="s">
        <v>43</v>
      </c>
    </row>
    <row r="53" spans="1:9">
      <c r="B53" s="1990"/>
      <c r="C53" s="1990"/>
      <c r="D53" s="1990"/>
      <c r="E53" s="1990"/>
      <c r="F53" s="1990"/>
    </row>
    <row r="54" spans="1:9">
      <c r="A54" s="3" t="s">
        <v>48</v>
      </c>
      <c r="B54" s="1990"/>
      <c r="C54" s="1990"/>
      <c r="D54" s="1990"/>
      <c r="E54" s="1990"/>
      <c r="F54" s="1990"/>
    </row>
    <row r="55" spans="1:9">
      <c r="A55" t="s">
        <v>49</v>
      </c>
      <c r="C55" s="1990"/>
      <c r="D55" s="1990"/>
      <c r="E55" s="1990"/>
      <c r="F55" s="1990"/>
    </row>
    <row r="56" spans="1:9">
      <c r="A56" t="s">
        <v>50</v>
      </c>
      <c r="C56" s="1990"/>
      <c r="D56" s="1990"/>
      <c r="E56" s="1990"/>
      <c r="F56" s="1990"/>
    </row>
    <row r="57" spans="1:9">
      <c r="A57" t="s">
        <v>5943</v>
      </c>
      <c r="C57" s="1990"/>
      <c r="D57" s="1990"/>
      <c r="E57" s="1990"/>
      <c r="F57" s="1990"/>
    </row>
    <row r="58" spans="1:9">
      <c r="C58" s="1990"/>
      <c r="D58" s="1990"/>
      <c r="E58" s="1990"/>
      <c r="F58" s="1990"/>
    </row>
    <row r="93" spans="1:9">
      <c r="A93" s="24" t="s">
        <v>51</v>
      </c>
      <c r="B93" s="26"/>
      <c r="C93" s="26"/>
      <c r="D93" s="26"/>
      <c r="E93" s="26"/>
      <c r="F93" s="26"/>
      <c r="G93" s="26"/>
      <c r="H93" s="26"/>
      <c r="I93" s="25"/>
    </row>
    <row r="94" spans="1:9" ht="32">
      <c r="B94" s="14" t="s">
        <v>40</v>
      </c>
      <c r="C94" s="1989" t="s">
        <v>4750</v>
      </c>
      <c r="D94" s="1989" t="s">
        <v>5449</v>
      </c>
      <c r="E94" s="1989" t="s">
        <v>4751</v>
      </c>
      <c r="F94" s="1989" t="s">
        <v>4752</v>
      </c>
      <c r="G94" s="1989" t="s">
        <v>5643</v>
      </c>
      <c r="H94" s="1989" t="s">
        <v>5517</v>
      </c>
      <c r="I94" s="1989" t="s">
        <v>41</v>
      </c>
    </row>
    <row r="95" spans="1:9">
      <c r="A95" t="s">
        <v>5450</v>
      </c>
      <c r="B95" s="1990">
        <f>Calculations!B186/'Unit Conversions'!$E$13</f>
        <v>2.8723003796055107</v>
      </c>
      <c r="C95" s="1990">
        <f>Calculations!B186/'Unit Conversions'!$E$13</f>
        <v>2.8723003796055107</v>
      </c>
      <c r="D95" s="1990">
        <f>Calculations!C186/'Unit Conversions'!$E$13</f>
        <v>2.8723003796055107</v>
      </c>
      <c r="E95" s="1990">
        <f>Calculations!D186/'Unit Conversions'!$E$13</f>
        <v>2.8723003796055107</v>
      </c>
      <c r="F95" s="1990">
        <f>Calculations!E186/'Unit Conversions'!$E$13</f>
        <v>2.8723003796055107</v>
      </c>
      <c r="G95" s="1990">
        <f>Calculations!F186/'Unit Conversions'!$E$13</f>
        <v>2.8723003796055107</v>
      </c>
      <c r="H95" s="1990">
        <f>Calculations!G186/'Unit Conversions'!$E$13</f>
        <v>2.8723003796055107</v>
      </c>
      <c r="I95" s="15" t="s">
        <v>52</v>
      </c>
    </row>
    <row r="96" spans="1:9">
      <c r="A96" t="s">
        <v>53</v>
      </c>
      <c r="B96" s="1990">
        <f>Calculations!B5/'Unit Conversions'!$E$13</f>
        <v>1.0138181686652377</v>
      </c>
      <c r="C96" s="1990">
        <f>Calculations!B184/'Unit Conversions'!$E$13</f>
        <v>3.7604416374793908</v>
      </c>
      <c r="D96" s="1990">
        <f>Calculations!C184/'Unit Conversions'!$E$13</f>
        <v>1.7226962112687996</v>
      </c>
      <c r="E96" s="1990">
        <f>Calculations!D184/'Unit Conversions'!$E$13</f>
        <v>1.4269686069207441</v>
      </c>
      <c r="F96" s="1990">
        <f>Calculations!E184/'Unit Conversions'!$E$13</f>
        <v>1.6367738418220623</v>
      </c>
      <c r="G96" s="1990">
        <f>Calculations!F184/'Unit Conversions'!$E$13</f>
        <v>2.0469981642987145</v>
      </c>
      <c r="H96" s="1990">
        <f>Calculations!G184/'Unit Conversions'!$E$13</f>
        <v>1.0138181686652377</v>
      </c>
      <c r="I96" s="15" t="s">
        <v>52</v>
      </c>
    </row>
    <row r="97" spans="1:9">
      <c r="A97" t="s">
        <v>5524</v>
      </c>
      <c r="B97" s="1990">
        <v>0</v>
      </c>
      <c r="C97" s="1990">
        <f>Calculations!B185/'Unit Conversions'!$E$13</f>
        <v>1.2202166840328168</v>
      </c>
      <c r="D97" s="1990">
        <f>Calculations!C185/'Unit Conversions'!$E$13</f>
        <v>7.0655973313341525</v>
      </c>
      <c r="E97" s="1990">
        <f>Calculations!D185/'Unit Conversions'!$E$13</f>
        <v>0.11832599246373285</v>
      </c>
      <c r="F97" s="1990">
        <f>Calculations!E185/'Unit Conversions'!$E$13</f>
        <v>0</v>
      </c>
      <c r="G97" s="1990">
        <f>Calculations!F185/'Unit Conversions'!$E$13</f>
        <v>2.225663294210261</v>
      </c>
      <c r="H97" s="1990">
        <f>Calculations!G185/'Unit Conversions'!$E$13</f>
        <v>0</v>
      </c>
      <c r="I97" s="15" t="s">
        <v>52</v>
      </c>
    </row>
    <row r="98" spans="1:9">
      <c r="A98" s="1" t="s">
        <v>1265</v>
      </c>
      <c r="B98" s="1991">
        <f>SUM(B95:B97)</f>
        <v>3.8861185482707485</v>
      </c>
      <c r="C98" s="1991">
        <f t="shared" ref="C98:H98" si="2">SUM(C95:C97)</f>
        <v>7.8529587011177178</v>
      </c>
      <c r="D98" s="1991">
        <f t="shared" si="2"/>
        <v>11.660593922208463</v>
      </c>
      <c r="E98" s="1991">
        <f t="shared" si="2"/>
        <v>4.417594978989988</v>
      </c>
      <c r="F98" s="1991">
        <f t="shared" si="2"/>
        <v>4.5090742214275732</v>
      </c>
      <c r="G98" s="1991">
        <f t="shared" si="2"/>
        <v>7.1449618381144866</v>
      </c>
      <c r="H98" s="1991">
        <f t="shared" si="2"/>
        <v>3.8861185482707485</v>
      </c>
      <c r="I98" s="461" t="s">
        <v>52</v>
      </c>
    </row>
    <row r="99" spans="1:9">
      <c r="A99" s="1" t="s">
        <v>5727</v>
      </c>
      <c r="B99" s="451"/>
      <c r="C99" s="2047">
        <f>(C$98/$B$98)^(1/30)-1</f>
        <v>2.3726413851030248E-2</v>
      </c>
      <c r="D99" s="2047">
        <f t="shared" ref="D99:H99" si="3">(D$98/$B$98)^(1/30)-1</f>
        <v>3.7305835025561729E-2</v>
      </c>
      <c r="E99" s="2047">
        <f t="shared" si="3"/>
        <v>4.2819604598640648E-3</v>
      </c>
      <c r="F99" s="2047">
        <f t="shared" si="3"/>
        <v>4.9683348820892537E-3</v>
      </c>
      <c r="G99" s="2047">
        <f t="shared" si="3"/>
        <v>2.050733113777703E-2</v>
      </c>
      <c r="H99" s="2047">
        <f t="shared" si="3"/>
        <v>0</v>
      </c>
      <c r="I99" s="461" t="s">
        <v>5504</v>
      </c>
    </row>
    <row r="134" spans="1:9">
      <c r="A134" s="24" t="s">
        <v>5569</v>
      </c>
      <c r="B134" s="26"/>
      <c r="C134" s="26"/>
      <c r="D134" s="26"/>
      <c r="E134" s="26"/>
      <c r="F134" s="26"/>
      <c r="G134" s="26"/>
      <c r="H134" s="26"/>
      <c r="I134" s="25"/>
    </row>
    <row r="135" spans="1:9" ht="32">
      <c r="B135" s="14" t="s">
        <v>40</v>
      </c>
      <c r="C135" s="1989" t="s">
        <v>4750</v>
      </c>
      <c r="D135" s="1989" t="s">
        <v>5449</v>
      </c>
      <c r="E135" s="1989" t="s">
        <v>4751</v>
      </c>
      <c r="F135" s="1989" t="s">
        <v>4752</v>
      </c>
      <c r="G135" s="1989" t="s">
        <v>5643</v>
      </c>
      <c r="H135" s="1989" t="s">
        <v>5517</v>
      </c>
      <c r="I135" s="1989" t="s">
        <v>41</v>
      </c>
    </row>
    <row r="136" spans="1:9">
      <c r="A136" t="s">
        <v>5525</v>
      </c>
      <c r="B136" s="15">
        <f>Calculations!B196</f>
        <v>10</v>
      </c>
      <c r="C136" s="1990">
        <f>Calculations!B199</f>
        <v>0</v>
      </c>
      <c r="D136" s="1990">
        <f>Calculations!C199</f>
        <v>0</v>
      </c>
      <c r="E136" s="1990">
        <f>Calculations!D199</f>
        <v>0</v>
      </c>
      <c r="F136" s="1990">
        <f>Calculations!E199</f>
        <v>0</v>
      </c>
      <c r="G136" s="1990">
        <f>Calculations!F199</f>
        <v>0</v>
      </c>
      <c r="H136" s="1990">
        <f>Calculations!G199</f>
        <v>10</v>
      </c>
      <c r="I136" s="15" t="s">
        <v>55</v>
      </c>
    </row>
    <row r="137" spans="1:9">
      <c r="A137" t="s">
        <v>5522</v>
      </c>
      <c r="B137" s="15">
        <v>0</v>
      </c>
      <c r="C137" s="1990">
        <f>Calculations!B197</f>
        <v>25.772027734927502</v>
      </c>
      <c r="D137" s="1990">
        <f>Calculations!C197</f>
        <v>149.23150352702129</v>
      </c>
      <c r="E137" s="1990">
        <f>Calculations!D197</f>
        <v>2.4991469133658657</v>
      </c>
      <c r="F137" s="1990">
        <f>Calculations!E197</f>
        <v>0</v>
      </c>
      <c r="G137" s="1990">
        <f>Calculations!F197</f>
        <v>47.007926458948738</v>
      </c>
      <c r="H137" s="1990">
        <f>Calculations!G197</f>
        <v>0</v>
      </c>
      <c r="I137" s="15" t="s">
        <v>55</v>
      </c>
    </row>
    <row r="138" spans="1:9">
      <c r="A138" t="s">
        <v>5523</v>
      </c>
      <c r="B138" s="15">
        <v>0</v>
      </c>
      <c r="C138" s="1990">
        <f>Calculations!B198</f>
        <v>0</v>
      </c>
      <c r="D138" s="1990">
        <f>Calculations!C198</f>
        <v>0</v>
      </c>
      <c r="E138" s="1990">
        <f>Calculations!D198</f>
        <v>0</v>
      </c>
      <c r="F138" s="1990">
        <f>Calculations!E198</f>
        <v>46.858232245322725</v>
      </c>
      <c r="G138" s="1990">
        <f>Calculations!F198</f>
        <v>15.4632166409565</v>
      </c>
      <c r="H138" s="1990">
        <f>Calculations!G198</f>
        <v>0</v>
      </c>
      <c r="I138" s="15" t="s">
        <v>55</v>
      </c>
    </row>
    <row r="140" spans="1:9">
      <c r="A140" s="3" t="s">
        <v>48</v>
      </c>
    </row>
    <row r="141" spans="1:9">
      <c r="A141" t="s">
        <v>56</v>
      </c>
    </row>
    <row r="177" spans="1:9">
      <c r="A177" s="24" t="s">
        <v>57</v>
      </c>
      <c r="B177" s="26"/>
      <c r="C177" s="26"/>
      <c r="D177" s="26"/>
      <c r="E177" s="26"/>
      <c r="F177" s="26"/>
      <c r="G177" s="26"/>
      <c r="H177" s="26"/>
      <c r="I177" s="25"/>
    </row>
    <row r="178" spans="1:9" ht="32">
      <c r="B178" s="14" t="s">
        <v>40</v>
      </c>
      <c r="C178" s="1989" t="s">
        <v>4750</v>
      </c>
      <c r="D178" s="1989" t="s">
        <v>5449</v>
      </c>
      <c r="E178" s="1989" t="s">
        <v>4751</v>
      </c>
      <c r="F178" s="1989" t="s">
        <v>4752</v>
      </c>
      <c r="G178" s="1989" t="s">
        <v>5643</v>
      </c>
      <c r="H178" s="1989" t="s">
        <v>5517</v>
      </c>
      <c r="I178" s="1989" t="s">
        <v>41</v>
      </c>
    </row>
    <row r="179" spans="1:9">
      <c r="A179" t="s">
        <v>5632</v>
      </c>
      <c r="B179" s="1992">
        <f>'Region-Specific Data'!$M$36/10^3</f>
        <v>6.7080000000000001E-2</v>
      </c>
      <c r="C179" s="1969">
        <f>Calculations!B202</f>
        <v>278.58828402575728</v>
      </c>
      <c r="D179" s="1969">
        <f>Calculations!C202</f>
        <v>1613.1500756470668</v>
      </c>
      <c r="E179" s="1969">
        <f>Calculations!D202</f>
        <v>27.015066772541747</v>
      </c>
      <c r="F179" s="1969">
        <f>Calculations!E202</f>
        <v>0</v>
      </c>
      <c r="G179" s="1969">
        <f>Calculations!F202</f>
        <v>508.14230461421488</v>
      </c>
      <c r="H179" s="1969">
        <f>Calculations!G202</f>
        <v>0</v>
      </c>
      <c r="I179" s="15" t="s">
        <v>58</v>
      </c>
    </row>
    <row r="215" spans="1:9">
      <c r="A215" s="24" t="s">
        <v>5568</v>
      </c>
      <c r="B215" s="26"/>
      <c r="C215" s="26"/>
      <c r="D215" s="26"/>
      <c r="E215" s="26"/>
      <c r="F215" s="26"/>
      <c r="G215" s="26"/>
      <c r="H215" s="26"/>
      <c r="I215" s="25"/>
    </row>
    <row r="216" spans="1:9" ht="32">
      <c r="B216" s="14" t="s">
        <v>40</v>
      </c>
      <c r="C216" s="1989" t="s">
        <v>4750</v>
      </c>
      <c r="D216" s="1989" t="s">
        <v>5449</v>
      </c>
      <c r="E216" s="1989" t="s">
        <v>4751</v>
      </c>
      <c r="F216" s="1989" t="s">
        <v>4752</v>
      </c>
      <c r="G216" s="1989" t="s">
        <v>5643</v>
      </c>
      <c r="H216" s="1989" t="s">
        <v>5517</v>
      </c>
      <c r="I216" s="1989" t="s">
        <v>41</v>
      </c>
    </row>
    <row r="217" spans="1:9">
      <c r="A217" t="s">
        <v>5630</v>
      </c>
      <c r="B217" s="1990">
        <f>Calculations!$B$208</f>
        <v>12.429124994735524</v>
      </c>
      <c r="C217" s="1990">
        <f>Calculations!B$208</f>
        <v>12.429124994735524</v>
      </c>
      <c r="D217" s="1990">
        <f>Calculations!C$208</f>
        <v>12.429124994735524</v>
      </c>
      <c r="E217" s="1990">
        <f>Calculations!D$208</f>
        <v>12.429124994735524</v>
      </c>
      <c r="F217" s="1990">
        <f>Calculations!E$208</f>
        <v>12.429124994735524</v>
      </c>
      <c r="G217" s="1990">
        <f>Calculations!F$208</f>
        <v>12.429124994735524</v>
      </c>
      <c r="H217" s="1990">
        <f>Calculations!G$208</f>
        <v>12.429124994735524</v>
      </c>
      <c r="I217" s="15" t="s">
        <v>60</v>
      </c>
    </row>
    <row r="218" spans="1:9">
      <c r="A218" t="s">
        <v>5631</v>
      </c>
      <c r="B218" s="1990">
        <f>Calculations!$B$211</f>
        <v>4.7540040895335931</v>
      </c>
      <c r="C218" s="1990">
        <f>Calculations!B$214</f>
        <v>14.980207908000322</v>
      </c>
      <c r="D218" s="1990">
        <f>Calculations!C$214</f>
        <v>6.3723373364425262</v>
      </c>
      <c r="E218" s="1990">
        <f>Calculations!D$214</f>
        <v>74.813006462703086</v>
      </c>
      <c r="F218" s="1990">
        <f>Calculations!E$214</f>
        <v>6.3723373364425262</v>
      </c>
      <c r="G218" s="1990">
        <f>Calculations!F$214</f>
        <v>26.802669021279424</v>
      </c>
      <c r="H218" s="1990">
        <f>Calculations!G$214</f>
        <v>4.7540040895335931</v>
      </c>
      <c r="I218" s="15" t="s">
        <v>60</v>
      </c>
    </row>
    <row r="219" spans="1:9">
      <c r="B219" s="1990"/>
      <c r="C219" s="1990"/>
      <c r="D219" s="1990"/>
      <c r="E219" s="1990"/>
      <c r="F219" s="1990"/>
      <c r="G219" s="1990"/>
      <c r="H219" s="1990"/>
      <c r="I219" s="15"/>
    </row>
    <row r="220" spans="1:9">
      <c r="A220" t="s">
        <v>5630</v>
      </c>
      <c r="B220" s="1993">
        <f>Calculations!$B$209</f>
        <v>3.062791493205988E-2</v>
      </c>
      <c r="C220" s="1993">
        <f>Calculations!B$209</f>
        <v>3.062791493205988E-2</v>
      </c>
      <c r="D220" s="1993">
        <f>Calculations!C$209</f>
        <v>3.062791493205988E-2</v>
      </c>
      <c r="E220" s="1993">
        <f>Calculations!D$209</f>
        <v>3.062791493205988E-2</v>
      </c>
      <c r="F220" s="1993">
        <f>Calculations!E$209</f>
        <v>3.062791493205988E-2</v>
      </c>
      <c r="G220" s="1993">
        <f>Calculations!F$209</f>
        <v>3.062791493205988E-2</v>
      </c>
      <c r="H220" s="1993">
        <f>Calculations!G$209</f>
        <v>3.062791493205988E-2</v>
      </c>
      <c r="I220" s="15" t="s">
        <v>61</v>
      </c>
    </row>
    <row r="221" spans="1:9">
      <c r="A221" t="s">
        <v>5631</v>
      </c>
      <c r="B221" s="1993">
        <f>Calculations!$B$212</f>
        <v>1.1714841785127448E-2</v>
      </c>
      <c r="C221" s="1993">
        <f>Calculations!B$215</f>
        <v>3.6914306812839928E-2</v>
      </c>
      <c r="D221" s="1993">
        <f>Calculations!C$215</f>
        <v>1.5702747051109186E-2</v>
      </c>
      <c r="E221" s="1993">
        <f>Calculations!D$215</f>
        <v>0.18435460249388808</v>
      </c>
      <c r="F221" s="1993">
        <f>Calculations!E$215</f>
        <v>1.5702747051109186E-2</v>
      </c>
      <c r="G221" s="1993">
        <f>Calculations!F$215</f>
        <v>6.6047277429715057E-2</v>
      </c>
      <c r="H221" s="1993">
        <f>Calculations!G$215</f>
        <v>1.1714841785127448E-2</v>
      </c>
      <c r="I221" s="15" t="s">
        <v>61</v>
      </c>
    </row>
    <row r="222" spans="1:9">
      <c r="B222" s="1993"/>
      <c r="C222" s="1993"/>
    </row>
    <row r="223" spans="1:9">
      <c r="A223" s="3" t="s">
        <v>48</v>
      </c>
      <c r="B223" s="1993"/>
      <c r="C223" s="1993"/>
    </row>
    <row r="224" spans="1:9">
      <c r="A224" t="s">
        <v>5944</v>
      </c>
      <c r="B224" s="1993"/>
      <c r="C224" s="1993"/>
    </row>
    <row r="225" spans="1:1">
      <c r="A225" t="s">
        <v>5526</v>
      </c>
    </row>
    <row r="226" spans="1:1">
      <c r="A226" t="s">
        <v>5527</v>
      </c>
    </row>
    <row r="295" spans="1:9">
      <c r="A295" s="24" t="s">
        <v>5567</v>
      </c>
      <c r="B295" s="26"/>
      <c r="C295" s="26"/>
      <c r="D295" s="26"/>
      <c r="E295" s="26"/>
      <c r="F295" s="26"/>
      <c r="G295" s="26"/>
      <c r="H295" s="26"/>
      <c r="I295" s="25"/>
    </row>
    <row r="296" spans="1:9" ht="32">
      <c r="B296" s="14" t="s">
        <v>40</v>
      </c>
      <c r="C296" s="1989" t="s">
        <v>4750</v>
      </c>
      <c r="D296" s="1989" t="s">
        <v>5449</v>
      </c>
      <c r="E296" s="1989" t="s">
        <v>4751</v>
      </c>
      <c r="F296" s="1989" t="s">
        <v>4752</v>
      </c>
      <c r="G296" s="1989" t="s">
        <v>5643</v>
      </c>
      <c r="H296" s="1989" t="s">
        <v>5517</v>
      </c>
      <c r="I296" s="1989" t="s">
        <v>41</v>
      </c>
    </row>
    <row r="297" spans="1:9">
      <c r="A297" t="s">
        <v>5724</v>
      </c>
      <c r="B297" s="1995">
        <f>Calculations!$B$219</f>
        <v>775.6</v>
      </c>
      <c r="C297" s="1995">
        <f>Calculations!B222</f>
        <v>0</v>
      </c>
      <c r="D297" s="1995">
        <f>Calculations!C222</f>
        <v>0</v>
      </c>
      <c r="E297" s="1995">
        <f>Calculations!D222</f>
        <v>0</v>
      </c>
      <c r="F297" s="1995">
        <f>Calculations!E222</f>
        <v>73.272069905852732</v>
      </c>
      <c r="G297" s="1995">
        <f>Calculations!F222</f>
        <v>21.270778179531519</v>
      </c>
      <c r="H297" s="1995">
        <f>Calculations!G222</f>
        <v>775.6</v>
      </c>
      <c r="I297" s="15" t="s">
        <v>64</v>
      </c>
    </row>
    <row r="298" spans="1:9">
      <c r="A298" t="s">
        <v>5725</v>
      </c>
      <c r="B298" s="1995">
        <f>Calculations!$B$226</f>
        <v>120</v>
      </c>
      <c r="C298" s="1995">
        <f>SUM(Calculations!B227:B228)</f>
        <v>0</v>
      </c>
      <c r="D298" s="1995">
        <f>SUM(Calculations!C227:C228)</f>
        <v>0</v>
      </c>
      <c r="E298" s="1995">
        <f>SUM(Calculations!D227:D228)</f>
        <v>0</v>
      </c>
      <c r="F298" s="1995">
        <f>SUM(Calculations!E227:E228)</f>
        <v>56.229878694387253</v>
      </c>
      <c r="G298" s="1995">
        <f>SUM(Calculations!F227:F228)</f>
        <v>18.555859969147797</v>
      </c>
      <c r="H298" s="1995">
        <f>SUM(Calculations!G227:G228)</f>
        <v>120</v>
      </c>
      <c r="I298" s="15" t="s">
        <v>64</v>
      </c>
    </row>
    <row r="299" spans="1:9">
      <c r="A299" t="s">
        <v>5726</v>
      </c>
      <c r="B299" s="1995">
        <f>SUM(Calculations!$B$12:$B$14)</f>
        <v>167.32538354986394</v>
      </c>
      <c r="C299" s="1995">
        <f>Calculations!B161</f>
        <v>6.8413910865068104</v>
      </c>
      <c r="D299" s="1995">
        <f>Calculations!C161</f>
        <v>6.8413910865068104</v>
      </c>
      <c r="E299" s="1995">
        <f>Calculations!D161</f>
        <v>6.8413910865068104</v>
      </c>
      <c r="F299" s="1995">
        <f>Calculations!E161</f>
        <v>11.794125921474787</v>
      </c>
      <c r="G299" s="1995">
        <f>Calculations!F161</f>
        <v>6.8413910865068104</v>
      </c>
      <c r="H299" s="1995">
        <f>Calculations!G161</f>
        <v>167.32538354986394</v>
      </c>
      <c r="I299" s="15" t="s">
        <v>64</v>
      </c>
    </row>
    <row r="300" spans="1:9">
      <c r="B300" s="1969"/>
      <c r="C300" s="1995"/>
      <c r="D300" s="1995"/>
      <c r="E300" s="1995"/>
      <c r="F300" s="1995"/>
      <c r="G300" s="1995"/>
      <c r="H300" s="1995"/>
      <c r="I300" s="15"/>
    </row>
    <row r="301" spans="1:9">
      <c r="A301" s="3" t="s">
        <v>48</v>
      </c>
      <c r="B301" s="1969"/>
      <c r="C301" s="1995"/>
      <c r="D301" s="1995"/>
      <c r="E301" s="1995"/>
      <c r="F301" s="1995"/>
      <c r="G301" s="1995"/>
      <c r="H301" s="1995"/>
      <c r="I301" s="15"/>
    </row>
    <row r="302" spans="1:9">
      <c r="A302" t="s">
        <v>5572</v>
      </c>
      <c r="B302" s="1969"/>
      <c r="C302" s="1995"/>
      <c r="D302" s="1995"/>
      <c r="E302" s="1995"/>
      <c r="F302" s="1995"/>
      <c r="G302" s="1995"/>
      <c r="H302" s="1995"/>
      <c r="I302" s="15"/>
    </row>
    <row r="317" spans="11:11">
      <c r="K317" t="s">
        <v>1252</v>
      </c>
    </row>
    <row r="338" spans="1:9">
      <c r="A338" s="24" t="s">
        <v>5566</v>
      </c>
      <c r="B338" s="26"/>
      <c r="C338" s="26"/>
      <c r="D338" s="26"/>
      <c r="E338" s="26"/>
      <c r="F338" s="26"/>
      <c r="G338" s="26"/>
      <c r="H338" s="26"/>
      <c r="I338" s="25"/>
    </row>
    <row r="339" spans="1:9" ht="32">
      <c r="B339" s="14" t="s">
        <v>40</v>
      </c>
      <c r="C339" s="1989" t="s">
        <v>4750</v>
      </c>
      <c r="D339" s="1989" t="s">
        <v>5449</v>
      </c>
      <c r="E339" s="1989" t="s">
        <v>4751</v>
      </c>
      <c r="F339" s="1989" t="s">
        <v>4752</v>
      </c>
      <c r="G339" s="1989" t="s">
        <v>5643</v>
      </c>
      <c r="H339" s="1989" t="s">
        <v>5517</v>
      </c>
      <c r="I339" s="1989" t="s">
        <v>41</v>
      </c>
    </row>
    <row r="340" spans="1:9">
      <c r="A340" s="1" t="s">
        <v>4906</v>
      </c>
      <c r="B340" s="451"/>
      <c r="C340" s="451"/>
      <c r="D340" s="451"/>
      <c r="E340" s="461"/>
      <c r="F340" s="461"/>
      <c r="G340" s="461"/>
      <c r="H340" s="461"/>
      <c r="I340" s="2"/>
    </row>
    <row r="341" spans="1:9">
      <c r="A341" t="s">
        <v>5724</v>
      </c>
      <c r="B341" s="15">
        <v>0</v>
      </c>
      <c r="C341" s="1995">
        <f>Calculations!B232</f>
        <v>0</v>
      </c>
      <c r="D341" s="1995">
        <f>Calculations!C232</f>
        <v>0</v>
      </c>
      <c r="E341" s="1995">
        <f>Calculations!D232</f>
        <v>0</v>
      </c>
      <c r="F341" s="1995">
        <f>Calculations!E232</f>
        <v>659.44862915267481</v>
      </c>
      <c r="G341" s="1995">
        <f>Calculations!F232</f>
        <v>191.43700361578371</v>
      </c>
      <c r="H341" s="1995">
        <f>Calculations!G232</f>
        <v>0</v>
      </c>
      <c r="I341" s="15" t="s">
        <v>64</v>
      </c>
    </row>
    <row r="342" spans="1:9">
      <c r="A342" t="s">
        <v>5725</v>
      </c>
      <c r="B342" s="15">
        <v>0</v>
      </c>
      <c r="C342" s="1995">
        <f>Calculations!B235</f>
        <v>0</v>
      </c>
      <c r="D342" s="1995">
        <f>Calculations!C235</f>
        <v>0</v>
      </c>
      <c r="E342" s="1995">
        <f>Calculations!D235</f>
        <v>0</v>
      </c>
      <c r="F342" s="1995">
        <f>Calculations!E235</f>
        <v>506.0689082494855</v>
      </c>
      <c r="G342" s="1995">
        <f>Calculations!F235</f>
        <v>167.00273972233018</v>
      </c>
      <c r="H342" s="1995">
        <f>Calculations!G235</f>
        <v>0</v>
      </c>
      <c r="I342" s="15" t="s">
        <v>64</v>
      </c>
    </row>
    <row r="343" spans="1:9">
      <c r="A343" t="s">
        <v>5726</v>
      </c>
      <c r="B343" s="15">
        <v>0</v>
      </c>
      <c r="C343" s="1995">
        <f>Calculations!B238</f>
        <v>61.572519778561336</v>
      </c>
      <c r="D343" s="1995">
        <f>Calculations!C238</f>
        <v>61.572519778561336</v>
      </c>
      <c r="E343" s="1995">
        <f>Calculations!D238</f>
        <v>61.572519778561336</v>
      </c>
      <c r="F343" s="1995">
        <f>Calculations!E238</f>
        <v>106.14713329327313</v>
      </c>
      <c r="G343" s="1995">
        <f>Calculations!F238</f>
        <v>61.572519778561336</v>
      </c>
      <c r="H343" s="1995">
        <f>Calculations!G238</f>
        <v>0</v>
      </c>
      <c r="I343" s="15" t="s">
        <v>64</v>
      </c>
    </row>
    <row r="344" spans="1:9">
      <c r="A344" s="1" t="s">
        <v>4907</v>
      </c>
      <c r="B344" s="461"/>
      <c r="C344" s="1994"/>
      <c r="D344" s="461"/>
      <c r="E344" s="461"/>
      <c r="F344" s="461"/>
      <c r="G344" s="461"/>
      <c r="H344" s="461"/>
      <c r="I344" s="2"/>
    </row>
    <row r="345" spans="1:9">
      <c r="A345" t="s">
        <v>5724</v>
      </c>
      <c r="B345" s="15">
        <v>0</v>
      </c>
      <c r="C345" s="1985">
        <f>Calculations!B233</f>
        <v>0</v>
      </c>
      <c r="D345" s="1985">
        <f>Calculations!C233</f>
        <v>0</v>
      </c>
      <c r="E345" s="1985">
        <f>Calculations!D233</f>
        <v>0</v>
      </c>
      <c r="F345" s="1985">
        <f>Calculations!E233</f>
        <v>0.2156070371624349</v>
      </c>
      <c r="G345" s="1985">
        <f>Calculations!F233</f>
        <v>6.2590417703783693E-2</v>
      </c>
      <c r="H345" s="1985">
        <f>Calculations!G233</f>
        <v>0</v>
      </c>
      <c r="I345" s="15" t="s">
        <v>61</v>
      </c>
    </row>
    <row r="346" spans="1:9">
      <c r="A346" t="s">
        <v>5725</v>
      </c>
      <c r="B346" s="15">
        <v>0</v>
      </c>
      <c r="C346" s="1985">
        <f>Calculations!B236</f>
        <v>0</v>
      </c>
      <c r="D346" s="1985">
        <f>Calculations!C236</f>
        <v>0</v>
      </c>
      <c r="E346" s="1985">
        <f>Calculations!D236</f>
        <v>0</v>
      </c>
      <c r="F346" s="1985">
        <f>Calculations!E236</f>
        <v>0.16545946580842491</v>
      </c>
      <c r="G346" s="1985">
        <f>Calculations!F236</f>
        <v>5.4601623716780207E-2</v>
      </c>
      <c r="H346" s="1985">
        <f>Calculations!G236</f>
        <v>0</v>
      </c>
      <c r="I346" s="15" t="s">
        <v>61</v>
      </c>
    </row>
    <row r="347" spans="1:9">
      <c r="A347" t="s">
        <v>5726</v>
      </c>
      <c r="B347" s="15">
        <v>0</v>
      </c>
      <c r="C347" s="1985">
        <f>Calculations!B239</f>
        <v>2.0131164086486426E-2</v>
      </c>
      <c r="D347" s="1985">
        <f>Calculations!C239</f>
        <v>2.0131164086486426E-2</v>
      </c>
      <c r="E347" s="1985">
        <f>Calculations!D239</f>
        <v>2.0131164086486426E-2</v>
      </c>
      <c r="F347" s="1985">
        <f>Calculations!E239</f>
        <v>3.4704854784602356E-2</v>
      </c>
      <c r="G347" s="1985">
        <f>Calculations!F239</f>
        <v>2.0131164086486426E-2</v>
      </c>
      <c r="H347" s="1985">
        <f>Calculations!G239</f>
        <v>0</v>
      </c>
      <c r="I347" s="15" t="s">
        <v>61</v>
      </c>
    </row>
    <row r="348" spans="1:9">
      <c r="A348" t="s">
        <v>1265</v>
      </c>
      <c r="B348" s="15">
        <f>SUM(B345:B347)</f>
        <v>0</v>
      </c>
      <c r="C348" s="468">
        <f t="shared" ref="C348:H348" si="4">SUM(C345:C347)</f>
        <v>2.0131164086486426E-2</v>
      </c>
      <c r="D348" s="468">
        <f t="shared" si="4"/>
        <v>2.0131164086486426E-2</v>
      </c>
      <c r="E348" s="468">
        <f t="shared" si="4"/>
        <v>2.0131164086486426E-2</v>
      </c>
      <c r="F348" s="468">
        <f t="shared" si="4"/>
        <v>0.41577135775546215</v>
      </c>
      <c r="G348" s="468">
        <f t="shared" si="4"/>
        <v>0.13732320550705032</v>
      </c>
      <c r="H348" s="468">
        <f t="shared" si="4"/>
        <v>0</v>
      </c>
      <c r="I348" s="15" t="s">
        <v>61</v>
      </c>
    </row>
    <row r="349" spans="1:9">
      <c r="A349" t="s">
        <v>5530</v>
      </c>
      <c r="B349" s="1999">
        <v>0</v>
      </c>
      <c r="C349" s="1998">
        <f>SUM(C345:C347)*'Region-Independent Data'!$B$64</f>
        <v>0.16104931269189141</v>
      </c>
      <c r="D349" s="1998">
        <f>SUM(D345:D347)*'Region-Independent Data'!$B$64</f>
        <v>0.16104931269189141</v>
      </c>
      <c r="E349" s="1998">
        <f>SUM(E345:E347)*'Region-Independent Data'!$B$64</f>
        <v>0.16104931269189141</v>
      </c>
      <c r="F349" s="1998">
        <f>SUM(F345:F347)*'Region-Independent Data'!$B$64</f>
        <v>3.3261708620436972</v>
      </c>
      <c r="G349" s="1998">
        <f>SUM(G345:G347)*'Region-Independent Data'!$B$64</f>
        <v>1.0985856440564026</v>
      </c>
      <c r="H349" s="1998">
        <f>SUM(H345:H347)*'Region-Independent Data'!$B$64</f>
        <v>0</v>
      </c>
      <c r="I349" s="15" t="s">
        <v>5529</v>
      </c>
    </row>
    <row r="350" spans="1:9">
      <c r="C350" s="1985"/>
      <c r="D350" s="1985"/>
      <c r="E350" s="1985"/>
      <c r="F350" s="1985"/>
      <c r="G350" s="1985"/>
      <c r="H350" s="1985"/>
      <c r="I350" s="15"/>
    </row>
    <row r="351" spans="1:9">
      <c r="A351" s="3" t="s">
        <v>48</v>
      </c>
      <c r="C351" s="1985"/>
      <c r="D351" s="1985"/>
      <c r="E351" s="1985"/>
      <c r="F351" s="1985"/>
      <c r="G351" s="1985"/>
      <c r="H351" s="1985"/>
      <c r="I351" s="15"/>
    </row>
    <row r="352" spans="1:9">
      <c r="A352" t="s">
        <v>5531</v>
      </c>
      <c r="C352" s="1985"/>
      <c r="D352" s="1985"/>
      <c r="E352" s="1985"/>
      <c r="F352" s="1985"/>
      <c r="G352" s="1985"/>
      <c r="H352" s="1985"/>
      <c r="I352" s="15"/>
    </row>
    <row r="422" spans="1:9">
      <c r="A422" s="24" t="s">
        <v>5565</v>
      </c>
      <c r="B422" s="26"/>
      <c r="C422" s="26"/>
      <c r="D422" s="26"/>
      <c r="E422" s="26"/>
      <c r="F422" s="26"/>
      <c r="G422" s="26"/>
      <c r="H422" s="26"/>
      <c r="I422" s="25"/>
    </row>
    <row r="423" spans="1:9" ht="32">
      <c r="B423" s="14" t="s">
        <v>40</v>
      </c>
      <c r="C423" s="1989" t="s">
        <v>4750</v>
      </c>
      <c r="D423" s="1989" t="s">
        <v>5449</v>
      </c>
      <c r="E423" s="1989" t="s">
        <v>4751</v>
      </c>
      <c r="F423" s="1989" t="s">
        <v>4752</v>
      </c>
      <c r="G423" s="1989" t="s">
        <v>5643</v>
      </c>
      <c r="H423" s="1989" t="s">
        <v>5517</v>
      </c>
      <c r="I423" s="1989" t="s">
        <v>41</v>
      </c>
    </row>
    <row r="424" spans="1:9">
      <c r="A424" t="s">
        <v>5633</v>
      </c>
      <c r="B424" s="1969">
        <f>SUM('Region-Specific Data'!M42:M50)-SUM(Calculations!B245:B253)</f>
        <v>815.29742571569807</v>
      </c>
      <c r="C424" s="1969">
        <f>$B$424</f>
        <v>815.29742571569807</v>
      </c>
      <c r="D424" s="1969">
        <f t="shared" ref="D424:H424" si="5">$B$424</f>
        <v>815.29742571569807</v>
      </c>
      <c r="E424" s="1969">
        <f t="shared" si="5"/>
        <v>815.29742571569807</v>
      </c>
      <c r="F424" s="1969">
        <f t="shared" si="5"/>
        <v>815.29742571569807</v>
      </c>
      <c r="G424" s="1969">
        <f t="shared" si="5"/>
        <v>815.29742571569807</v>
      </c>
      <c r="H424" s="1969">
        <f t="shared" si="5"/>
        <v>815.29742571569807</v>
      </c>
      <c r="I424" s="15" t="s">
        <v>58</v>
      </c>
    </row>
    <row r="425" spans="1:9">
      <c r="A425" t="s">
        <v>5634</v>
      </c>
      <c r="B425" s="1969">
        <f>Calculations!B253</f>
        <v>183.3899702367371</v>
      </c>
      <c r="C425" s="1969">
        <f>Calculations!B273</f>
        <v>0</v>
      </c>
      <c r="D425" s="1969">
        <f>Calculations!C273</f>
        <v>0</v>
      </c>
      <c r="E425" s="1969">
        <f>Calculations!D273</f>
        <v>0</v>
      </c>
      <c r="F425" s="1969">
        <f>Calculations!E273</f>
        <v>0</v>
      </c>
      <c r="G425" s="1969">
        <f>Calculations!F273</f>
        <v>0</v>
      </c>
      <c r="H425" s="1969">
        <f>Calculations!G273</f>
        <v>0</v>
      </c>
      <c r="I425" s="15" t="s">
        <v>58</v>
      </c>
    </row>
    <row r="426" spans="1:9">
      <c r="A426" t="s">
        <v>46</v>
      </c>
      <c r="B426" s="1969">
        <f>Calculations!B252</f>
        <v>0</v>
      </c>
      <c r="C426" s="1969">
        <f>Calculations!B272</f>
        <v>100.44119902790851</v>
      </c>
      <c r="D426" s="1969">
        <f>Calculations!C272</f>
        <v>177.22692139224324</v>
      </c>
      <c r="E426" s="1969">
        <f>Calculations!D272</f>
        <v>31.162796641389328</v>
      </c>
      <c r="F426" s="1969">
        <f>Calculations!E272</f>
        <v>33.007589880248979</v>
      </c>
      <c r="G426" s="1969">
        <f>Calculations!F272</f>
        <v>86.163557552102191</v>
      </c>
      <c r="H426" s="1969">
        <f>Calculations!G272</f>
        <v>20.444910267624604</v>
      </c>
      <c r="I426" s="15" t="s">
        <v>58</v>
      </c>
    </row>
    <row r="427" spans="1:9">
      <c r="A427" t="s">
        <v>3961</v>
      </c>
      <c r="B427" s="1969">
        <f>Calculations!B251</f>
        <v>24.725506698470184</v>
      </c>
      <c r="C427" s="1969">
        <f>Calculations!B271</f>
        <v>70.22187724245552</v>
      </c>
      <c r="D427" s="1969">
        <f>Calculations!C271</f>
        <v>123.90540175258563</v>
      </c>
      <c r="E427" s="1969">
        <f>Calculations!D271</f>
        <v>21.78697687265964</v>
      </c>
      <c r="F427" s="1969">
        <f>Calculations!E271</f>
        <v>23.076734916277964</v>
      </c>
      <c r="G427" s="1969">
        <f>Calculations!F271</f>
        <v>60.23988980374245</v>
      </c>
      <c r="H427" s="1969">
        <f>Calculations!G271</f>
        <v>14.293735966326294</v>
      </c>
      <c r="I427" s="15" t="s">
        <v>58</v>
      </c>
    </row>
    <row r="428" spans="1:9">
      <c r="A428" t="s">
        <v>3867</v>
      </c>
      <c r="B428" s="1969">
        <f>Calculations!B250</f>
        <v>0.69845949449828848</v>
      </c>
      <c r="C428" s="1969">
        <f>Calculations!B270</f>
        <v>94.309614203530387</v>
      </c>
      <c r="D428" s="1969">
        <f>Calculations!C270</f>
        <v>166.40783607469353</v>
      </c>
      <c r="E428" s="1969">
        <f>Calculations!D270</f>
        <v>29.260416613862656</v>
      </c>
      <c r="F428" s="1969">
        <f>Calculations!E270</f>
        <v>30.992591660815179</v>
      </c>
      <c r="G428" s="1969">
        <f>Calculations!F270</f>
        <v>80.903572934095962</v>
      </c>
      <c r="H428" s="1969">
        <f>Calculations!G270</f>
        <v>19.196819815240545</v>
      </c>
      <c r="I428" s="15" t="s">
        <v>58</v>
      </c>
    </row>
    <row r="429" spans="1:9">
      <c r="A429" t="s">
        <v>5635</v>
      </c>
      <c r="B429" s="1969">
        <f>Calculations!B249</f>
        <v>20.667876223154536</v>
      </c>
      <c r="C429" s="1969">
        <f>Calculations!B269</f>
        <v>28.966524362512903</v>
      </c>
      <c r="D429" s="1969">
        <f>Calculations!C269</f>
        <v>51.110978222941576</v>
      </c>
      <c r="E429" s="1969">
        <f>Calculations!D269</f>
        <v>8.9871279599720992</v>
      </c>
      <c r="F429" s="1969">
        <f>Calculations!E269</f>
        <v>9.5191531529646625</v>
      </c>
      <c r="G429" s="1969">
        <f>Calculations!F269</f>
        <v>24.848954544043757</v>
      </c>
      <c r="H429" s="1969">
        <f>Calculations!G269</f>
        <v>5.896166086109595</v>
      </c>
      <c r="I429" s="15" t="s">
        <v>58</v>
      </c>
    </row>
    <row r="430" spans="1:9">
      <c r="A430" t="s">
        <v>3971</v>
      </c>
      <c r="B430" s="1969">
        <f>Calculations!B248</f>
        <v>0.66279667161904909</v>
      </c>
      <c r="C430" s="1969">
        <f>Calculations!B268</f>
        <v>25.612505752116672</v>
      </c>
      <c r="D430" s="1969">
        <f>Calculations!C268</f>
        <v>45.192864955022024</v>
      </c>
      <c r="E430" s="1969">
        <f>Calculations!D268</f>
        <v>7.9465131435542764</v>
      </c>
      <c r="F430" s="1969">
        <f>Calculations!E268</f>
        <v>8.4169354194634884</v>
      </c>
      <c r="G430" s="1969">
        <f>Calculations!F268</f>
        <v>21.971707175786058</v>
      </c>
      <c r="H430" s="1969">
        <f>Calculations!G268</f>
        <v>5.2134521182442723</v>
      </c>
      <c r="I430" s="15" t="s">
        <v>58</v>
      </c>
    </row>
    <row r="431" spans="1:9">
      <c r="A431" t="s">
        <v>5636</v>
      </c>
      <c r="B431" s="1969">
        <f>Calculations!B247</f>
        <v>19.947352898968177</v>
      </c>
      <c r="C431" s="1969">
        <f>Calculations!B267</f>
        <v>788.07710006512832</v>
      </c>
      <c r="D431" s="1969">
        <f>Calculations!C267</f>
        <v>1390.549690923755</v>
      </c>
      <c r="E431" s="1969">
        <f>Calculations!D267</f>
        <v>244.50809672474696</v>
      </c>
      <c r="F431" s="1969">
        <f>Calculations!E267</f>
        <v>258.98262829118426</v>
      </c>
      <c r="G431" s="1969">
        <f>Calculations!F267</f>
        <v>676.05252848572491</v>
      </c>
      <c r="H431" s="1969">
        <f>Calculations!G267</f>
        <v>160.41391133059304</v>
      </c>
      <c r="I431" s="15" t="s">
        <v>58</v>
      </c>
    </row>
    <row r="432" spans="1:9">
      <c r="A432" t="s">
        <v>5637</v>
      </c>
      <c r="B432" s="1969">
        <f>Calculations!B245</f>
        <v>37.558019601873276</v>
      </c>
      <c r="C432" s="1969">
        <f>Calculations!B265</f>
        <v>478.26792067834572</v>
      </c>
      <c r="D432" s="1969">
        <f>Calculations!C265</f>
        <v>843.89624977436722</v>
      </c>
      <c r="E432" s="1969">
        <f>Calculations!D265</f>
        <v>148.38697761919533</v>
      </c>
      <c r="F432" s="1969">
        <f>Calculations!E265</f>
        <v>157.17127564600128</v>
      </c>
      <c r="G432" s="1969">
        <f>Calculations!F265</f>
        <v>410.28249271738099</v>
      </c>
      <c r="H432" s="1969">
        <f>Calculations!G265</f>
        <v>97.351931446330426</v>
      </c>
      <c r="I432" s="15" t="s">
        <v>58</v>
      </c>
    </row>
    <row r="433" spans="1:9">
      <c r="A433" t="s">
        <v>5638</v>
      </c>
      <c r="B433" s="1969">
        <f>Calculations!B246</f>
        <v>0.12052745898134326</v>
      </c>
      <c r="C433" s="1969">
        <f>Calculations!B266</f>
        <v>64.498026413547606</v>
      </c>
      <c r="D433" s="1969">
        <f>Calculations!C266</f>
        <v>113.80575667931325</v>
      </c>
      <c r="E433" s="1969">
        <f>Calculations!D266</f>
        <v>20.011100030156566</v>
      </c>
      <c r="F433" s="1969">
        <f>Calculations!E266</f>
        <v>21.195728690497855</v>
      </c>
      <c r="G433" s="1969">
        <f>Calculations!F266</f>
        <v>55.329680098069602</v>
      </c>
      <c r="H433" s="1969">
        <f>Calculations!G266</f>
        <v>13.128640191735085</v>
      </c>
      <c r="I433" s="15" t="s">
        <v>58</v>
      </c>
    </row>
    <row r="476" spans="1:1">
      <c r="A476" t="s">
        <v>1252</v>
      </c>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BD42A-097B-4AB3-96B5-6E0A6A309789}">
  <sheetPr codeName="Sheet27"/>
  <dimension ref="A1:AH2836"/>
  <sheetViews>
    <sheetView workbookViewId="0">
      <pane xSplit="2" ySplit="1" topLeftCell="C66" activePane="bottomRight" state="frozen"/>
      <selection activeCell="B1" sqref="B1"/>
      <selection pane="topRight" activeCell="B1" sqref="B1"/>
      <selection pane="bottomLeft" activeCell="B1" sqref="B1"/>
      <selection pane="bottomRight" activeCell="B1" sqref="B1"/>
    </sheetView>
  </sheetViews>
  <sheetFormatPr baseColWidth="10" defaultColWidth="9.1640625" defaultRowHeight="15" customHeight="1"/>
  <cols>
    <col min="1" max="1" width="20.83203125" style="28" hidden="1" customWidth="1"/>
    <col min="2" max="2" width="45.6640625" style="28" customWidth="1"/>
    <col min="3" max="16384" width="9.1640625" style="28"/>
  </cols>
  <sheetData>
    <row r="1" spans="1:33" ht="15" customHeight="1" thickBot="1">
      <c r="B1" s="50" t="s">
        <v>2046</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1974" t="s">
        <v>2047</v>
      </c>
      <c r="D3" s="1974" t="s">
        <v>311</v>
      </c>
      <c r="E3" s="47"/>
      <c r="F3" s="47"/>
      <c r="G3" s="47"/>
    </row>
    <row r="4" spans="1:33" ht="15" customHeight="1">
      <c r="C4" s="1974" t="s">
        <v>2048</v>
      </c>
      <c r="D4" s="1974" t="s">
        <v>2049</v>
      </c>
      <c r="E4" s="47"/>
      <c r="F4" s="47"/>
      <c r="G4" s="1974" t="s">
        <v>207</v>
      </c>
    </row>
    <row r="5" spans="1:33" ht="15" customHeight="1">
      <c r="C5" s="1974" t="s">
        <v>2050</v>
      </c>
      <c r="D5" s="1974" t="s">
        <v>2051</v>
      </c>
      <c r="E5" s="47"/>
      <c r="F5" s="47"/>
      <c r="G5" s="47"/>
    </row>
    <row r="6" spans="1:33" ht="15" customHeight="1">
      <c r="C6" s="1974" t="s">
        <v>2052</v>
      </c>
      <c r="D6" s="47"/>
      <c r="E6" s="1974" t="s">
        <v>2053</v>
      </c>
      <c r="F6" s="47"/>
      <c r="G6" s="47"/>
    </row>
    <row r="7" spans="1:33" ht="12" customHeight="1"/>
    <row r="8" spans="1:33" ht="12" customHeight="1"/>
    <row r="9" spans="1:33" ht="12" customHeight="1">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row>
    <row r="10" spans="1:33" ht="15" customHeight="1">
      <c r="A10" s="34" t="s">
        <v>5174</v>
      </c>
      <c r="B10" s="46" t="s">
        <v>5173</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2056</v>
      </c>
      <c r="AG10" s="29"/>
    </row>
    <row r="11" spans="1:33" ht="15" customHeight="1">
      <c r="B11" s="45" t="s">
        <v>2057</v>
      </c>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2058</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2059</v>
      </c>
      <c r="AG12" s="29"/>
    </row>
    <row r="13" spans="1:33" ht="15" customHeight="1" thickBot="1">
      <c r="B13" s="42" t="s">
        <v>5172</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t="s">
        <v>2061</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B15" s="33" t="s">
        <v>5171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row>
    <row r="16" spans="1:33" ht="15" customHeight="1">
      <c r="B16" s="33" t="s">
        <v>5170</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A17" s="34" t="s">
        <v>5169</v>
      </c>
      <c r="B17" s="37" t="s">
        <v>5168</v>
      </c>
      <c r="C17" s="38">
        <v>86.924255000000002</v>
      </c>
      <c r="D17" s="38">
        <v>87.748610999999997</v>
      </c>
      <c r="E17" s="38">
        <v>88.618674999999996</v>
      </c>
      <c r="F17" s="38">
        <v>89.519981000000001</v>
      </c>
      <c r="G17" s="38">
        <v>90.411308000000005</v>
      </c>
      <c r="H17" s="38">
        <v>91.302132</v>
      </c>
      <c r="I17" s="38">
        <v>92.198265000000006</v>
      </c>
      <c r="J17" s="38">
        <v>93.091507000000007</v>
      </c>
      <c r="K17" s="38">
        <v>93.970618999999999</v>
      </c>
      <c r="L17" s="38">
        <v>94.836555000000004</v>
      </c>
      <c r="M17" s="38">
        <v>95.694557000000003</v>
      </c>
      <c r="N17" s="38">
        <v>96.533203</v>
      </c>
      <c r="O17" s="38">
        <v>97.347885000000005</v>
      </c>
      <c r="P17" s="38">
        <v>98.154381000000001</v>
      </c>
      <c r="Q17" s="38">
        <v>98.959145000000007</v>
      </c>
      <c r="R17" s="38">
        <v>99.757239999999996</v>
      </c>
      <c r="S17" s="38">
        <v>100.55006400000001</v>
      </c>
      <c r="T17" s="38">
        <v>101.334656</v>
      </c>
      <c r="U17" s="38">
        <v>102.12499200000001</v>
      </c>
      <c r="V17" s="38">
        <v>102.91761</v>
      </c>
      <c r="W17" s="38">
        <v>103.69783</v>
      </c>
      <c r="X17" s="38">
        <v>104.47331200000001</v>
      </c>
      <c r="Y17" s="38">
        <v>105.24597199999999</v>
      </c>
      <c r="Z17" s="38">
        <v>106.016052</v>
      </c>
      <c r="AA17" s="38">
        <v>106.78051000000001</v>
      </c>
      <c r="AB17" s="38">
        <v>107.538147</v>
      </c>
      <c r="AC17" s="38">
        <v>108.286224</v>
      </c>
      <c r="AD17" s="38">
        <v>109.022423</v>
      </c>
      <c r="AE17" s="38">
        <v>109.74867999999999</v>
      </c>
      <c r="AF17" s="35">
        <v>8.3619999999999996E-3</v>
      </c>
      <c r="AG17" s="29"/>
    </row>
    <row r="18" spans="1:33" ht="15" customHeight="1">
      <c r="A18" s="34" t="s">
        <v>5167</v>
      </c>
      <c r="B18" s="37" t="s">
        <v>5166</v>
      </c>
      <c r="C18" s="38">
        <v>32.842151999999999</v>
      </c>
      <c r="D18" s="38">
        <v>33.209229000000001</v>
      </c>
      <c r="E18" s="38">
        <v>33.535468999999999</v>
      </c>
      <c r="F18" s="38">
        <v>33.858150000000002</v>
      </c>
      <c r="G18" s="38">
        <v>34.181629000000001</v>
      </c>
      <c r="H18" s="38">
        <v>34.507632999999998</v>
      </c>
      <c r="I18" s="38">
        <v>34.834254999999999</v>
      </c>
      <c r="J18" s="38">
        <v>35.155056000000002</v>
      </c>
      <c r="K18" s="38">
        <v>35.465130000000002</v>
      </c>
      <c r="L18" s="38">
        <v>35.769081</v>
      </c>
      <c r="M18" s="38">
        <v>36.071800000000003</v>
      </c>
      <c r="N18" s="38">
        <v>36.366607999999999</v>
      </c>
      <c r="O18" s="38">
        <v>36.650593000000001</v>
      </c>
      <c r="P18" s="38">
        <v>36.930110999999997</v>
      </c>
      <c r="Q18" s="38">
        <v>37.212017000000003</v>
      </c>
      <c r="R18" s="38">
        <v>37.496158999999999</v>
      </c>
      <c r="S18" s="38">
        <v>37.783923999999999</v>
      </c>
      <c r="T18" s="38">
        <v>38.073307</v>
      </c>
      <c r="U18" s="38">
        <v>38.36647</v>
      </c>
      <c r="V18" s="38">
        <v>38.656506</v>
      </c>
      <c r="W18" s="38">
        <v>38.941955999999998</v>
      </c>
      <c r="X18" s="38">
        <v>39.223990999999998</v>
      </c>
      <c r="Y18" s="38">
        <v>39.501944999999999</v>
      </c>
      <c r="Z18" s="38">
        <v>39.776778999999998</v>
      </c>
      <c r="AA18" s="38">
        <v>40.048442999999999</v>
      </c>
      <c r="AB18" s="38">
        <v>40.322777000000002</v>
      </c>
      <c r="AC18" s="38">
        <v>40.595905000000002</v>
      </c>
      <c r="AD18" s="38">
        <v>40.869537000000001</v>
      </c>
      <c r="AE18" s="38">
        <v>41.144089000000001</v>
      </c>
      <c r="AF18" s="35">
        <v>8.0809999999999996E-3</v>
      </c>
      <c r="AG18" s="29"/>
    </row>
    <row r="19" spans="1:33" ht="15" customHeight="1">
      <c r="A19" s="34" t="s">
        <v>5165</v>
      </c>
      <c r="B19" s="37" t="s">
        <v>5164</v>
      </c>
      <c r="C19" s="38">
        <v>6.6483759999999998</v>
      </c>
      <c r="D19" s="38">
        <v>6.6544350000000003</v>
      </c>
      <c r="E19" s="38">
        <v>6.6577469999999996</v>
      </c>
      <c r="F19" s="38">
        <v>6.6602829999999997</v>
      </c>
      <c r="G19" s="38">
        <v>6.66859</v>
      </c>
      <c r="H19" s="38">
        <v>6.680898</v>
      </c>
      <c r="I19" s="38">
        <v>6.6957050000000002</v>
      </c>
      <c r="J19" s="38">
        <v>6.7098389999999997</v>
      </c>
      <c r="K19" s="38">
        <v>6.7178110000000002</v>
      </c>
      <c r="L19" s="38">
        <v>6.7220909999999998</v>
      </c>
      <c r="M19" s="38">
        <v>6.7270110000000001</v>
      </c>
      <c r="N19" s="38">
        <v>6.7340980000000004</v>
      </c>
      <c r="O19" s="38">
        <v>6.7406730000000001</v>
      </c>
      <c r="P19" s="38">
        <v>6.7449050000000002</v>
      </c>
      <c r="Q19" s="38">
        <v>6.7499500000000001</v>
      </c>
      <c r="R19" s="38">
        <v>6.7524220000000001</v>
      </c>
      <c r="S19" s="38">
        <v>6.7519479999999996</v>
      </c>
      <c r="T19" s="38">
        <v>6.7501660000000001</v>
      </c>
      <c r="U19" s="38">
        <v>6.7508609999999996</v>
      </c>
      <c r="V19" s="38">
        <v>6.7531869999999996</v>
      </c>
      <c r="W19" s="38">
        <v>6.7562660000000001</v>
      </c>
      <c r="X19" s="38">
        <v>6.759341</v>
      </c>
      <c r="Y19" s="38">
        <v>6.7618809999999998</v>
      </c>
      <c r="Z19" s="38">
        <v>6.7638369999999997</v>
      </c>
      <c r="AA19" s="38">
        <v>6.7644349999999998</v>
      </c>
      <c r="AB19" s="38">
        <v>6.7655010000000004</v>
      </c>
      <c r="AC19" s="38">
        <v>6.7664489999999997</v>
      </c>
      <c r="AD19" s="38">
        <v>6.7667669999999998</v>
      </c>
      <c r="AE19" s="38">
        <v>6.7672350000000003</v>
      </c>
      <c r="AF19" s="35">
        <v>6.3299999999999999E-4</v>
      </c>
      <c r="AG19" s="29"/>
    </row>
    <row r="20" spans="1:33" ht="15" customHeight="1">
      <c r="A20" s="34" t="s">
        <v>5163</v>
      </c>
      <c r="B20" s="33" t="s">
        <v>2080</v>
      </c>
      <c r="C20" s="39">
        <v>126.41477999999999</v>
      </c>
      <c r="D20" s="39">
        <v>127.612274</v>
      </c>
      <c r="E20" s="39">
        <v>128.81189000000001</v>
      </c>
      <c r="F20" s="39">
        <v>130.03840600000001</v>
      </c>
      <c r="G20" s="39">
        <v>131.26153600000001</v>
      </c>
      <c r="H20" s="39">
        <v>132.49066199999999</v>
      </c>
      <c r="I20" s="39">
        <v>133.72822600000001</v>
      </c>
      <c r="J20" s="39">
        <v>134.95640599999999</v>
      </c>
      <c r="K20" s="39">
        <v>136.153549</v>
      </c>
      <c r="L20" s="39">
        <v>137.32772800000001</v>
      </c>
      <c r="M20" s="39">
        <v>138.49336199999999</v>
      </c>
      <c r="N20" s="39">
        <v>139.63391100000001</v>
      </c>
      <c r="O20" s="39">
        <v>140.73915099999999</v>
      </c>
      <c r="P20" s="39">
        <v>141.82939099999999</v>
      </c>
      <c r="Q20" s="39">
        <v>142.92111199999999</v>
      </c>
      <c r="R20" s="39">
        <v>144.00582900000001</v>
      </c>
      <c r="S20" s="39">
        <v>145.085938</v>
      </c>
      <c r="T20" s="39">
        <v>146.15812700000001</v>
      </c>
      <c r="U20" s="39">
        <v>147.24231</v>
      </c>
      <c r="V20" s="39">
        <v>148.32730100000001</v>
      </c>
      <c r="W20" s="39">
        <v>149.39605700000001</v>
      </c>
      <c r="X20" s="39">
        <v>150.45663500000001</v>
      </c>
      <c r="Y20" s="39">
        <v>151.50981100000001</v>
      </c>
      <c r="Z20" s="39">
        <v>152.55667099999999</v>
      </c>
      <c r="AA20" s="39">
        <v>153.59338399999999</v>
      </c>
      <c r="AB20" s="39">
        <v>154.62643399999999</v>
      </c>
      <c r="AC20" s="39">
        <v>155.64857499999999</v>
      </c>
      <c r="AD20" s="39">
        <v>156.658737</v>
      </c>
      <c r="AE20" s="39">
        <v>157.66000399999999</v>
      </c>
      <c r="AF20" s="31">
        <v>7.92E-3</v>
      </c>
      <c r="AG20" s="29"/>
    </row>
    <row r="21" spans="1:33" ht="15" customHeight="1">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row>
    <row r="22" spans="1:33" ht="15" customHeight="1">
      <c r="A22" s="34" t="s">
        <v>5162</v>
      </c>
      <c r="B22" s="33" t="s">
        <v>5161</v>
      </c>
      <c r="C22" s="40">
        <v>1798.9157709999999</v>
      </c>
      <c r="D22" s="40">
        <v>1803.520874</v>
      </c>
      <c r="E22" s="40">
        <v>1808.4263920000001</v>
      </c>
      <c r="F22" s="40">
        <v>1813.318481</v>
      </c>
      <c r="G22" s="40">
        <v>1818.0804439999999</v>
      </c>
      <c r="H22" s="40">
        <v>1822.7229</v>
      </c>
      <c r="I22" s="40">
        <v>1827.2777100000001</v>
      </c>
      <c r="J22" s="40">
        <v>1831.8000489999999</v>
      </c>
      <c r="K22" s="40">
        <v>1836.3393550000001</v>
      </c>
      <c r="L22" s="40">
        <v>1840.849487</v>
      </c>
      <c r="M22" s="40">
        <v>1845.2855219999999</v>
      </c>
      <c r="N22" s="40">
        <v>1849.6773679999999</v>
      </c>
      <c r="O22" s="40">
        <v>1854.0607910000001</v>
      </c>
      <c r="P22" s="40">
        <v>1858.411255</v>
      </c>
      <c r="Q22" s="40">
        <v>1862.6759030000001</v>
      </c>
      <c r="R22" s="40">
        <v>1866.8663329999999</v>
      </c>
      <c r="S22" s="40">
        <v>1870.9754640000001</v>
      </c>
      <c r="T22" s="40">
        <v>1875.0113530000001</v>
      </c>
      <c r="U22" s="40">
        <v>1878.957764</v>
      </c>
      <c r="V22" s="40">
        <v>1882.868408</v>
      </c>
      <c r="W22" s="40">
        <v>1886.739746</v>
      </c>
      <c r="X22" s="40">
        <v>1890.5778809999999</v>
      </c>
      <c r="Y22" s="40">
        <v>1894.3920900000001</v>
      </c>
      <c r="Z22" s="40">
        <v>1898.1798100000001</v>
      </c>
      <c r="AA22" s="40">
        <v>1901.9388429999999</v>
      </c>
      <c r="AB22" s="40">
        <v>1905.62085</v>
      </c>
      <c r="AC22" s="40">
        <v>1909.2523189999999</v>
      </c>
      <c r="AD22" s="40">
        <v>1912.822876</v>
      </c>
      <c r="AE22" s="40">
        <v>1916.330322</v>
      </c>
      <c r="AF22" s="31">
        <v>2.261E-3</v>
      </c>
      <c r="AG22" s="29"/>
    </row>
    <row r="23" spans="1:33" ht="15" customHeight="1">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row>
    <row r="24" spans="1:33" ht="15" customHeight="1">
      <c r="B24" s="33" t="s">
        <v>5160</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row>
    <row r="25" spans="1:33" ht="15" customHeight="1">
      <c r="B25" s="33" t="s">
        <v>5159</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row>
    <row r="26" spans="1:33" ht="15" customHeight="1">
      <c r="A26" s="34" t="s">
        <v>5158</v>
      </c>
      <c r="B26" s="37" t="s">
        <v>5154</v>
      </c>
      <c r="C26" s="36">
        <v>93.909476999999995</v>
      </c>
      <c r="D26" s="36">
        <v>92.769119000000003</v>
      </c>
      <c r="E26" s="36">
        <v>89.479934999999998</v>
      </c>
      <c r="F26" s="36">
        <v>89.052955999999995</v>
      </c>
      <c r="G26" s="36">
        <v>88.647407999999999</v>
      </c>
      <c r="H26" s="36">
        <v>88.231392</v>
      </c>
      <c r="I26" s="36">
        <v>87.719673</v>
      </c>
      <c r="J26" s="36">
        <v>87.082458000000003</v>
      </c>
      <c r="K26" s="36">
        <v>86.372932000000006</v>
      </c>
      <c r="L26" s="36">
        <v>85.637900999999999</v>
      </c>
      <c r="M26" s="36">
        <v>84.930008000000001</v>
      </c>
      <c r="N26" s="36">
        <v>84.330368000000007</v>
      </c>
      <c r="O26" s="36">
        <v>83.726021000000003</v>
      </c>
      <c r="P26" s="36">
        <v>83.229088000000004</v>
      </c>
      <c r="Q26" s="36">
        <v>82.803543000000005</v>
      </c>
      <c r="R26" s="36">
        <v>82.429969999999997</v>
      </c>
      <c r="S26" s="36">
        <v>82.039726000000002</v>
      </c>
      <c r="T26" s="36">
        <v>81.693481000000006</v>
      </c>
      <c r="U26" s="36">
        <v>81.360573000000002</v>
      </c>
      <c r="V26" s="36">
        <v>81.060019999999994</v>
      </c>
      <c r="W26" s="36">
        <v>80.817672999999999</v>
      </c>
      <c r="X26" s="36">
        <v>80.633194000000003</v>
      </c>
      <c r="Y26" s="36">
        <v>80.500007999999994</v>
      </c>
      <c r="Z26" s="36">
        <v>80.389549000000002</v>
      </c>
      <c r="AA26" s="36">
        <v>80.279944999999998</v>
      </c>
      <c r="AB26" s="36">
        <v>80.223388999999997</v>
      </c>
      <c r="AC26" s="36">
        <v>80.211196999999999</v>
      </c>
      <c r="AD26" s="36">
        <v>80.229491999999993</v>
      </c>
      <c r="AE26" s="36">
        <v>80.285049000000001</v>
      </c>
      <c r="AF26" s="35">
        <v>-5.5830000000000003E-3</v>
      </c>
      <c r="AG26" s="29"/>
    </row>
    <row r="27" spans="1:33" ht="15" customHeight="1">
      <c r="A27" s="34" t="s">
        <v>5157</v>
      </c>
      <c r="B27" s="37" t="s">
        <v>5152</v>
      </c>
      <c r="C27" s="36">
        <v>93.023323000000005</v>
      </c>
      <c r="D27" s="36">
        <v>91.801674000000006</v>
      </c>
      <c r="E27" s="36">
        <v>88.420021000000006</v>
      </c>
      <c r="F27" s="36">
        <v>87.901168999999996</v>
      </c>
      <c r="G27" s="36">
        <v>87.405547999999996</v>
      </c>
      <c r="H27" s="36">
        <v>86.898582000000005</v>
      </c>
      <c r="I27" s="36">
        <v>86.294922</v>
      </c>
      <c r="J27" s="36">
        <v>85.563857999999996</v>
      </c>
      <c r="K27" s="36">
        <v>84.758437999999998</v>
      </c>
      <c r="L27" s="36">
        <v>83.924873000000005</v>
      </c>
      <c r="M27" s="36">
        <v>83.114104999999995</v>
      </c>
      <c r="N27" s="36">
        <v>82.411513999999997</v>
      </c>
      <c r="O27" s="36">
        <v>81.703484000000003</v>
      </c>
      <c r="P27" s="36">
        <v>81.117576999999997</v>
      </c>
      <c r="Q27" s="36">
        <v>80.600104999999999</v>
      </c>
      <c r="R27" s="36">
        <v>80.131668000000005</v>
      </c>
      <c r="S27" s="36">
        <v>79.641068000000004</v>
      </c>
      <c r="T27" s="36">
        <v>79.188064999999995</v>
      </c>
      <c r="U27" s="36">
        <v>78.743117999999996</v>
      </c>
      <c r="V27" s="36">
        <v>78.324791000000005</v>
      </c>
      <c r="W27" s="36">
        <v>77.958663999999999</v>
      </c>
      <c r="X27" s="36">
        <v>77.644553999999999</v>
      </c>
      <c r="Y27" s="36">
        <v>77.377632000000006</v>
      </c>
      <c r="Z27" s="36">
        <v>77.127983</v>
      </c>
      <c r="AA27" s="36">
        <v>76.874870000000001</v>
      </c>
      <c r="AB27" s="36">
        <v>76.670601000000005</v>
      </c>
      <c r="AC27" s="36">
        <v>76.504470999999995</v>
      </c>
      <c r="AD27" s="36">
        <v>76.365882999999997</v>
      </c>
      <c r="AE27" s="36">
        <v>76.260413999999997</v>
      </c>
      <c r="AF27" s="35">
        <v>-7.071E-3</v>
      </c>
      <c r="AG27" s="29"/>
    </row>
    <row r="28" spans="1:33" ht="15" customHeight="1">
      <c r="B28" s="33" t="s">
        <v>5156</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row>
    <row r="29" spans="1:33" ht="15" customHeight="1">
      <c r="A29" s="34" t="s">
        <v>5155</v>
      </c>
      <c r="B29" s="37" t="s">
        <v>5154</v>
      </c>
      <c r="C29" s="36">
        <v>52.203377000000003</v>
      </c>
      <c r="D29" s="36">
        <v>51.437781999999999</v>
      </c>
      <c r="E29" s="36">
        <v>49.479443000000003</v>
      </c>
      <c r="F29" s="36">
        <v>49.110489000000001</v>
      </c>
      <c r="G29" s="36">
        <v>48.758792999999997</v>
      </c>
      <c r="H29" s="36">
        <v>48.406364000000004</v>
      </c>
      <c r="I29" s="36">
        <v>48.005661000000003</v>
      </c>
      <c r="J29" s="36">
        <v>47.539284000000002</v>
      </c>
      <c r="K29" s="36">
        <v>47.035389000000002</v>
      </c>
      <c r="L29" s="36">
        <v>46.520859000000002</v>
      </c>
      <c r="M29" s="36">
        <v>46.025402</v>
      </c>
      <c r="N29" s="36">
        <v>45.591934000000002</v>
      </c>
      <c r="O29" s="36">
        <v>45.158183999999999</v>
      </c>
      <c r="P29" s="36">
        <v>44.785075999999997</v>
      </c>
      <c r="Q29" s="36">
        <v>44.454079</v>
      </c>
      <c r="R29" s="36">
        <v>44.15419</v>
      </c>
      <c r="S29" s="36">
        <v>43.848636999999997</v>
      </c>
      <c r="T29" s="36">
        <v>43.569595</v>
      </c>
      <c r="U29" s="36">
        <v>43.300902999999998</v>
      </c>
      <c r="V29" s="36">
        <v>43.051346000000002</v>
      </c>
      <c r="W29" s="36">
        <v>42.834560000000003</v>
      </c>
      <c r="X29" s="36">
        <v>42.650024000000002</v>
      </c>
      <c r="Y29" s="36">
        <v>42.493847000000002</v>
      </c>
      <c r="Z29" s="36">
        <v>42.350861000000002</v>
      </c>
      <c r="AA29" s="36">
        <v>42.209533999999998</v>
      </c>
      <c r="AB29" s="36">
        <v>42.098292999999998</v>
      </c>
      <c r="AC29" s="36">
        <v>42.011837</v>
      </c>
      <c r="AD29" s="36">
        <v>41.942982000000001</v>
      </c>
      <c r="AE29" s="36">
        <v>41.895203000000002</v>
      </c>
      <c r="AF29" s="35">
        <v>-7.8250000000000004E-3</v>
      </c>
      <c r="AG29" s="29"/>
    </row>
    <row r="30" spans="1:33" ht="15" customHeight="1">
      <c r="A30" s="34" t="s">
        <v>5153</v>
      </c>
      <c r="B30" s="37" t="s">
        <v>5152</v>
      </c>
      <c r="C30" s="36">
        <v>51.710773000000003</v>
      </c>
      <c r="D30" s="36">
        <v>50.901363000000003</v>
      </c>
      <c r="E30" s="36">
        <v>48.893349000000001</v>
      </c>
      <c r="F30" s="36">
        <v>48.475307000000001</v>
      </c>
      <c r="G30" s="36">
        <v>48.075733</v>
      </c>
      <c r="H30" s="36">
        <v>47.675148</v>
      </c>
      <c r="I30" s="36">
        <v>47.225948000000002</v>
      </c>
      <c r="J30" s="36">
        <v>46.710258000000003</v>
      </c>
      <c r="K30" s="36">
        <v>46.156193000000002</v>
      </c>
      <c r="L30" s="36">
        <v>45.590297999999997</v>
      </c>
      <c r="M30" s="36">
        <v>45.041325000000001</v>
      </c>
      <c r="N30" s="36">
        <v>44.554535000000001</v>
      </c>
      <c r="O30" s="36">
        <v>44.067314000000003</v>
      </c>
      <c r="P30" s="36">
        <v>43.648884000000002</v>
      </c>
      <c r="Q30" s="36">
        <v>43.271141</v>
      </c>
      <c r="R30" s="36">
        <v>42.923088</v>
      </c>
      <c r="S30" s="36">
        <v>42.566600999999999</v>
      </c>
      <c r="T30" s="36">
        <v>42.233378999999999</v>
      </c>
      <c r="U30" s="36">
        <v>41.907867000000003</v>
      </c>
      <c r="V30" s="36">
        <v>41.598655999999998</v>
      </c>
      <c r="W30" s="36">
        <v>41.319248000000002</v>
      </c>
      <c r="X30" s="36">
        <v>41.069217999999999</v>
      </c>
      <c r="Y30" s="36">
        <v>40.845627</v>
      </c>
      <c r="Z30" s="36">
        <v>40.632603000000003</v>
      </c>
      <c r="AA30" s="36">
        <v>40.419212000000002</v>
      </c>
      <c r="AB30" s="36">
        <v>40.233921000000002</v>
      </c>
      <c r="AC30" s="36">
        <v>40.070380999999998</v>
      </c>
      <c r="AD30" s="36">
        <v>39.923133999999997</v>
      </c>
      <c r="AE30" s="36">
        <v>39.795025000000003</v>
      </c>
      <c r="AF30" s="35">
        <v>-9.3109999999999998E-3</v>
      </c>
      <c r="AG30" s="29"/>
    </row>
    <row r="31" spans="1:33" ht="12" customHeight="1">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row>
    <row r="32" spans="1:33" ht="12" customHeight="1">
      <c r="B32" s="33" t="s">
        <v>5151</v>
      </c>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row>
    <row r="33" spans="1:33" ht="12" customHeight="1">
      <c r="B33" s="33" t="s">
        <v>5150</v>
      </c>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row>
    <row r="34" spans="1:33" ht="12" customHeight="1">
      <c r="A34" s="34" t="s">
        <v>5149</v>
      </c>
      <c r="B34" s="37" t="s">
        <v>5103</v>
      </c>
      <c r="C34" s="38">
        <v>0.74561999999999995</v>
      </c>
      <c r="D34" s="38">
        <v>0.74402500000000005</v>
      </c>
      <c r="E34" s="38">
        <v>0.65757200000000005</v>
      </c>
      <c r="F34" s="38">
        <v>0.65694900000000001</v>
      </c>
      <c r="G34" s="38">
        <v>0.65573199999999998</v>
      </c>
      <c r="H34" s="38">
        <v>0.65321499999999999</v>
      </c>
      <c r="I34" s="38">
        <v>0.64940799999999999</v>
      </c>
      <c r="J34" s="38">
        <v>0.64433799999999997</v>
      </c>
      <c r="K34" s="38">
        <v>0.63785099999999995</v>
      </c>
      <c r="L34" s="38">
        <v>0.63049299999999997</v>
      </c>
      <c r="M34" s="38">
        <v>0.62302299999999999</v>
      </c>
      <c r="N34" s="38">
        <v>0.61513200000000001</v>
      </c>
      <c r="O34" s="38">
        <v>0.606908</v>
      </c>
      <c r="P34" s="38">
        <v>0.59983799999999998</v>
      </c>
      <c r="Q34" s="38">
        <v>0.59312200000000004</v>
      </c>
      <c r="R34" s="38">
        <v>0.58654700000000004</v>
      </c>
      <c r="S34" s="38">
        <v>0.57942300000000002</v>
      </c>
      <c r="T34" s="38">
        <v>0.57227499999999998</v>
      </c>
      <c r="U34" s="38">
        <v>0.56561099999999997</v>
      </c>
      <c r="V34" s="38">
        <v>0.55932499999999996</v>
      </c>
      <c r="W34" s="38">
        <v>0.55341399999999996</v>
      </c>
      <c r="X34" s="38">
        <v>0.54783000000000004</v>
      </c>
      <c r="Y34" s="38">
        <v>0.54221399999999997</v>
      </c>
      <c r="Z34" s="38">
        <v>0.53667600000000004</v>
      </c>
      <c r="AA34" s="38">
        <v>0.53138099999999999</v>
      </c>
      <c r="AB34" s="38">
        <v>0.526393</v>
      </c>
      <c r="AC34" s="38">
        <v>0.52143200000000001</v>
      </c>
      <c r="AD34" s="38">
        <v>0.51668800000000004</v>
      </c>
      <c r="AE34" s="38">
        <v>0.51238399999999995</v>
      </c>
      <c r="AF34" s="35">
        <v>-1.3309E-2</v>
      </c>
      <c r="AG34" s="29"/>
    </row>
    <row r="35" spans="1:33" ht="12" customHeight="1">
      <c r="A35" s="34" t="s">
        <v>5148</v>
      </c>
      <c r="B35" s="37" t="s">
        <v>5118</v>
      </c>
      <c r="C35" s="38">
        <v>0.85358699999999998</v>
      </c>
      <c r="D35" s="38">
        <v>0.73519199999999996</v>
      </c>
      <c r="E35" s="38">
        <v>0.89090899999999995</v>
      </c>
      <c r="F35" s="38">
        <v>0.91105000000000003</v>
      </c>
      <c r="G35" s="38">
        <v>0.93018100000000004</v>
      </c>
      <c r="H35" s="38">
        <v>0.95014200000000004</v>
      </c>
      <c r="I35" s="38">
        <v>0.96970900000000004</v>
      </c>
      <c r="J35" s="38">
        <v>0.98822399999999999</v>
      </c>
      <c r="K35" s="38">
        <v>1.0044709999999999</v>
      </c>
      <c r="L35" s="38">
        <v>1.019774</v>
      </c>
      <c r="M35" s="38">
        <v>1.0362020000000001</v>
      </c>
      <c r="N35" s="38">
        <v>1.052583</v>
      </c>
      <c r="O35" s="38">
        <v>1.069291</v>
      </c>
      <c r="P35" s="38">
        <v>1.088333</v>
      </c>
      <c r="Q35" s="38">
        <v>1.1091219999999999</v>
      </c>
      <c r="R35" s="38">
        <v>1.130924</v>
      </c>
      <c r="S35" s="38">
        <v>1.152515</v>
      </c>
      <c r="T35" s="38">
        <v>1.1745490000000001</v>
      </c>
      <c r="U35" s="38">
        <v>1.1969080000000001</v>
      </c>
      <c r="V35" s="38">
        <v>1.2194160000000001</v>
      </c>
      <c r="W35" s="38">
        <v>1.2425580000000001</v>
      </c>
      <c r="X35" s="38">
        <v>1.266365</v>
      </c>
      <c r="Y35" s="38">
        <v>1.29112</v>
      </c>
      <c r="Z35" s="38">
        <v>1.3168</v>
      </c>
      <c r="AA35" s="38">
        <v>1.344624</v>
      </c>
      <c r="AB35" s="38">
        <v>1.373569</v>
      </c>
      <c r="AC35" s="38">
        <v>1.4030819999999999</v>
      </c>
      <c r="AD35" s="38">
        <v>1.4325289999999999</v>
      </c>
      <c r="AE35" s="38">
        <v>1.4631479999999999</v>
      </c>
      <c r="AF35" s="35">
        <v>1.9432999999999999E-2</v>
      </c>
      <c r="AG35" s="29"/>
    </row>
    <row r="36" spans="1:33" ht="12" customHeight="1">
      <c r="A36" s="34" t="s">
        <v>5147</v>
      </c>
      <c r="B36" s="37" t="s">
        <v>5101</v>
      </c>
      <c r="C36" s="38">
        <v>0.59979700000000002</v>
      </c>
      <c r="D36" s="38">
        <v>0.59884499999999996</v>
      </c>
      <c r="E36" s="38">
        <v>0.59878600000000004</v>
      </c>
      <c r="F36" s="38">
        <v>0.59958199999999995</v>
      </c>
      <c r="G36" s="38">
        <v>0.59953599999999996</v>
      </c>
      <c r="H36" s="38">
        <v>0.59912500000000002</v>
      </c>
      <c r="I36" s="38">
        <v>0.59802</v>
      </c>
      <c r="J36" s="38">
        <v>0.596113</v>
      </c>
      <c r="K36" s="38">
        <v>0.59322299999999994</v>
      </c>
      <c r="L36" s="38">
        <v>0.58991099999999996</v>
      </c>
      <c r="M36" s="38">
        <v>0.58684700000000001</v>
      </c>
      <c r="N36" s="38">
        <v>0.58612399999999998</v>
      </c>
      <c r="O36" s="38">
        <v>0.58614599999999994</v>
      </c>
      <c r="P36" s="38">
        <v>0.58855199999999996</v>
      </c>
      <c r="Q36" s="38">
        <v>0.59146399999999999</v>
      </c>
      <c r="R36" s="38">
        <v>0.59436500000000003</v>
      </c>
      <c r="S36" s="38">
        <v>0.59693099999999999</v>
      </c>
      <c r="T36" s="38">
        <v>0.59932099999999999</v>
      </c>
      <c r="U36" s="38">
        <v>0.60179499999999997</v>
      </c>
      <c r="V36" s="38">
        <v>0.604464</v>
      </c>
      <c r="W36" s="38">
        <v>0.60740400000000005</v>
      </c>
      <c r="X36" s="38">
        <v>0.61058400000000002</v>
      </c>
      <c r="Y36" s="38">
        <v>0.61373800000000001</v>
      </c>
      <c r="Z36" s="38">
        <v>0.61683500000000002</v>
      </c>
      <c r="AA36" s="38">
        <v>0.620251</v>
      </c>
      <c r="AB36" s="38">
        <v>0.62392099999999995</v>
      </c>
      <c r="AC36" s="38">
        <v>0.62766699999999997</v>
      </c>
      <c r="AD36" s="38">
        <v>0.63161800000000001</v>
      </c>
      <c r="AE36" s="38">
        <v>0.63607999999999998</v>
      </c>
      <c r="AF36" s="35">
        <v>2.0999999999999999E-3</v>
      </c>
      <c r="AG36" s="29"/>
    </row>
    <row r="37" spans="1:33" ht="12" customHeight="1">
      <c r="A37" s="34" t="s">
        <v>5146</v>
      </c>
      <c r="B37" s="37" t="s">
        <v>5145</v>
      </c>
      <c r="C37" s="38">
        <v>0.29555799999999999</v>
      </c>
      <c r="D37" s="38">
        <v>0.293987</v>
      </c>
      <c r="E37" s="38">
        <v>0.29266799999999998</v>
      </c>
      <c r="F37" s="38">
        <v>0.29163</v>
      </c>
      <c r="G37" s="38">
        <v>0.29078300000000001</v>
      </c>
      <c r="H37" s="38">
        <v>0.29015800000000003</v>
      </c>
      <c r="I37" s="38">
        <v>0.28977799999999998</v>
      </c>
      <c r="J37" s="38">
        <v>0.28961500000000001</v>
      </c>
      <c r="K37" s="38">
        <v>0.289659</v>
      </c>
      <c r="L37" s="38">
        <v>0.28998600000000002</v>
      </c>
      <c r="M37" s="38">
        <v>0.29063</v>
      </c>
      <c r="N37" s="38">
        <v>0.29157</v>
      </c>
      <c r="O37" s="38">
        <v>0.29279500000000003</v>
      </c>
      <c r="P37" s="38">
        <v>0.29434300000000002</v>
      </c>
      <c r="Q37" s="38">
        <v>0.29624200000000001</v>
      </c>
      <c r="R37" s="38">
        <v>0.29844700000000002</v>
      </c>
      <c r="S37" s="38">
        <v>0.30096000000000001</v>
      </c>
      <c r="T37" s="38">
        <v>0.30374499999999999</v>
      </c>
      <c r="U37" s="38">
        <v>0.30684800000000001</v>
      </c>
      <c r="V37" s="38">
        <v>0.310249</v>
      </c>
      <c r="W37" s="38">
        <v>0.313888</v>
      </c>
      <c r="X37" s="38">
        <v>0.31748199999999999</v>
      </c>
      <c r="Y37" s="38">
        <v>0.32102399999999998</v>
      </c>
      <c r="Z37" s="38">
        <v>0.32450699999999999</v>
      </c>
      <c r="AA37" s="38">
        <v>0.32791500000000001</v>
      </c>
      <c r="AB37" s="38">
        <v>0.33124999999999999</v>
      </c>
      <c r="AC37" s="38">
        <v>0.33449600000000002</v>
      </c>
      <c r="AD37" s="38">
        <v>0.33764499999999997</v>
      </c>
      <c r="AE37" s="38">
        <v>0.340702</v>
      </c>
      <c r="AF37" s="35">
        <v>5.0899999999999999E-3</v>
      </c>
      <c r="AG37" s="29"/>
    </row>
    <row r="38" spans="1:33" ht="12" customHeight="1">
      <c r="A38" s="34" t="s">
        <v>5144</v>
      </c>
      <c r="B38" s="37" t="s">
        <v>5099</v>
      </c>
      <c r="C38" s="38">
        <v>5.5863000000000003E-2</v>
      </c>
      <c r="D38" s="38">
        <v>5.6202000000000002E-2</v>
      </c>
      <c r="E38" s="38">
        <v>5.6536000000000003E-2</v>
      </c>
      <c r="F38" s="38">
        <v>5.6875000000000002E-2</v>
      </c>
      <c r="G38" s="38">
        <v>5.7204999999999999E-2</v>
      </c>
      <c r="H38" s="38">
        <v>5.7529999999999998E-2</v>
      </c>
      <c r="I38" s="38">
        <v>5.7847999999999997E-2</v>
      </c>
      <c r="J38" s="38">
        <v>5.8138000000000002E-2</v>
      </c>
      <c r="K38" s="38">
        <v>5.8390999999999998E-2</v>
      </c>
      <c r="L38" s="38">
        <v>5.8604000000000003E-2</v>
      </c>
      <c r="M38" s="38">
        <v>5.8781E-2</v>
      </c>
      <c r="N38" s="38">
        <v>5.8965999999999998E-2</v>
      </c>
      <c r="O38" s="38">
        <v>5.917E-2</v>
      </c>
      <c r="P38" s="38">
        <v>5.9403999999999998E-2</v>
      </c>
      <c r="Q38" s="38">
        <v>5.9679999999999997E-2</v>
      </c>
      <c r="R38" s="38">
        <v>5.9996000000000001E-2</v>
      </c>
      <c r="S38" s="38">
        <v>6.0304000000000003E-2</v>
      </c>
      <c r="T38" s="38">
        <v>6.0601000000000002E-2</v>
      </c>
      <c r="U38" s="38">
        <v>6.0894999999999998E-2</v>
      </c>
      <c r="V38" s="38">
        <v>6.1182E-2</v>
      </c>
      <c r="W38" s="38">
        <v>6.1454000000000002E-2</v>
      </c>
      <c r="X38" s="38">
        <v>6.1713999999999998E-2</v>
      </c>
      <c r="Y38" s="38">
        <v>6.1963999999999998E-2</v>
      </c>
      <c r="Z38" s="38">
        <v>6.2203000000000001E-2</v>
      </c>
      <c r="AA38" s="38">
        <v>6.2434000000000003E-2</v>
      </c>
      <c r="AB38" s="38">
        <v>6.2659000000000006E-2</v>
      </c>
      <c r="AC38" s="38">
        <v>6.2880000000000005E-2</v>
      </c>
      <c r="AD38" s="38">
        <v>6.3098000000000001E-2</v>
      </c>
      <c r="AE38" s="38">
        <v>6.3319E-2</v>
      </c>
      <c r="AF38" s="35">
        <v>4.4850000000000003E-3</v>
      </c>
      <c r="AG38" s="29"/>
    </row>
    <row r="39" spans="1:33" ht="12" customHeight="1">
      <c r="A39" s="34" t="s">
        <v>5143</v>
      </c>
      <c r="B39" s="37" t="s">
        <v>5114</v>
      </c>
      <c r="C39" s="38">
        <v>0.222467</v>
      </c>
      <c r="D39" s="38">
        <v>0.227024</v>
      </c>
      <c r="E39" s="38">
        <v>0.23189100000000001</v>
      </c>
      <c r="F39" s="38">
        <v>0.23729500000000001</v>
      </c>
      <c r="G39" s="38">
        <v>0.242448</v>
      </c>
      <c r="H39" s="38">
        <v>0.24726600000000001</v>
      </c>
      <c r="I39" s="38">
        <v>0.25179299999999999</v>
      </c>
      <c r="J39" s="38">
        <v>0.25596000000000002</v>
      </c>
      <c r="K39" s="38">
        <v>0.25967099999999999</v>
      </c>
      <c r="L39" s="38">
        <v>0.263071</v>
      </c>
      <c r="M39" s="38">
        <v>0.26643600000000001</v>
      </c>
      <c r="N39" s="38">
        <v>0.26939200000000002</v>
      </c>
      <c r="O39" s="38">
        <v>0.27234199999999997</v>
      </c>
      <c r="P39" s="38">
        <v>0.275723</v>
      </c>
      <c r="Q39" s="38">
        <v>0.27934199999999998</v>
      </c>
      <c r="R39" s="38">
        <v>0.28279900000000002</v>
      </c>
      <c r="S39" s="38">
        <v>0.28596300000000002</v>
      </c>
      <c r="T39" s="38">
        <v>0.28907500000000003</v>
      </c>
      <c r="U39" s="38">
        <v>0.29220600000000002</v>
      </c>
      <c r="V39" s="38">
        <v>0.29541099999999998</v>
      </c>
      <c r="W39" s="38">
        <v>0.29872300000000002</v>
      </c>
      <c r="X39" s="38">
        <v>0.30215999999999998</v>
      </c>
      <c r="Y39" s="38">
        <v>0.30563499999999999</v>
      </c>
      <c r="Z39" s="38">
        <v>0.30910900000000002</v>
      </c>
      <c r="AA39" s="38">
        <v>0.31273000000000001</v>
      </c>
      <c r="AB39" s="38">
        <v>0.31651000000000001</v>
      </c>
      <c r="AC39" s="38">
        <v>0.32030700000000001</v>
      </c>
      <c r="AD39" s="38">
        <v>0.32417200000000002</v>
      </c>
      <c r="AE39" s="38">
        <v>0.32827800000000001</v>
      </c>
      <c r="AF39" s="35">
        <v>1.3993E-2</v>
      </c>
      <c r="AG39" s="29"/>
    </row>
    <row r="40" spans="1:33" ht="12" customHeight="1">
      <c r="A40" s="34" t="s">
        <v>5142</v>
      </c>
      <c r="B40" s="37" t="s">
        <v>5141</v>
      </c>
      <c r="C40" s="38">
        <v>6.9006999999999999E-2</v>
      </c>
      <c r="D40" s="38">
        <v>6.8849999999999995E-2</v>
      </c>
      <c r="E40" s="38">
        <v>6.8686999999999998E-2</v>
      </c>
      <c r="F40" s="38">
        <v>6.8515999999999994E-2</v>
      </c>
      <c r="G40" s="38">
        <v>6.8318000000000004E-2</v>
      </c>
      <c r="H40" s="38">
        <v>6.8104999999999999E-2</v>
      </c>
      <c r="I40" s="38">
        <v>6.7921999999999996E-2</v>
      </c>
      <c r="J40" s="38">
        <v>6.7761000000000002E-2</v>
      </c>
      <c r="K40" s="38">
        <v>6.7614999999999995E-2</v>
      </c>
      <c r="L40" s="38">
        <v>6.7486000000000004E-2</v>
      </c>
      <c r="M40" s="38">
        <v>6.7377000000000006E-2</v>
      </c>
      <c r="N40" s="38">
        <v>6.7287E-2</v>
      </c>
      <c r="O40" s="38">
        <v>6.7215999999999998E-2</v>
      </c>
      <c r="P40" s="38">
        <v>6.7169000000000006E-2</v>
      </c>
      <c r="Q40" s="38">
        <v>6.7158999999999996E-2</v>
      </c>
      <c r="R40" s="38">
        <v>6.7178000000000002E-2</v>
      </c>
      <c r="S40" s="38">
        <v>6.7228999999999997E-2</v>
      </c>
      <c r="T40" s="38">
        <v>6.7310999999999996E-2</v>
      </c>
      <c r="U40" s="38">
        <v>6.7431000000000005E-2</v>
      </c>
      <c r="V40" s="38">
        <v>6.7596000000000003E-2</v>
      </c>
      <c r="W40" s="38">
        <v>6.7793999999999993E-2</v>
      </c>
      <c r="X40" s="38">
        <v>6.8035999999999999E-2</v>
      </c>
      <c r="Y40" s="38">
        <v>6.8325999999999998E-2</v>
      </c>
      <c r="Z40" s="38">
        <v>6.8666000000000005E-2</v>
      </c>
      <c r="AA40" s="38">
        <v>6.9053000000000003E-2</v>
      </c>
      <c r="AB40" s="38">
        <v>6.9481000000000001E-2</v>
      </c>
      <c r="AC40" s="38">
        <v>6.9903999999999994E-2</v>
      </c>
      <c r="AD40" s="38">
        <v>7.0319000000000007E-2</v>
      </c>
      <c r="AE40" s="38">
        <v>7.0729E-2</v>
      </c>
      <c r="AF40" s="35">
        <v>8.8099999999999995E-4</v>
      </c>
      <c r="AG40" s="29"/>
    </row>
    <row r="41" spans="1:33" ht="12" customHeight="1">
      <c r="A41" s="34" t="s">
        <v>5140</v>
      </c>
      <c r="B41" s="37" t="s">
        <v>5139</v>
      </c>
      <c r="C41" s="38">
        <v>0.22927</v>
      </c>
      <c r="D41" s="38">
        <v>0.21315999999999999</v>
      </c>
      <c r="E41" s="38">
        <v>0.20679400000000001</v>
      </c>
      <c r="F41" s="38">
        <v>0.20512900000000001</v>
      </c>
      <c r="G41" s="38">
        <v>0.20519999999999999</v>
      </c>
      <c r="H41" s="38">
        <v>0.206404</v>
      </c>
      <c r="I41" s="38">
        <v>0.20832999999999999</v>
      </c>
      <c r="J41" s="38">
        <v>0.210226</v>
      </c>
      <c r="K41" s="38">
        <v>0.209704</v>
      </c>
      <c r="L41" s="38">
        <v>0.20916399999999999</v>
      </c>
      <c r="M41" s="38">
        <v>0.20885500000000001</v>
      </c>
      <c r="N41" s="38">
        <v>0.208568</v>
      </c>
      <c r="O41" s="38">
        <v>0.208536</v>
      </c>
      <c r="P41" s="38">
        <v>0.20901600000000001</v>
      </c>
      <c r="Q41" s="38">
        <v>0.20962700000000001</v>
      </c>
      <c r="R41" s="38">
        <v>0.210178</v>
      </c>
      <c r="S41" s="38">
        <v>0.210558</v>
      </c>
      <c r="T41" s="38">
        <v>0.210954</v>
      </c>
      <c r="U41" s="38">
        <v>0.207703</v>
      </c>
      <c r="V41" s="38">
        <v>0.205012</v>
      </c>
      <c r="W41" s="38">
        <v>0.20291100000000001</v>
      </c>
      <c r="X41" s="38">
        <v>0.20146700000000001</v>
      </c>
      <c r="Y41" s="38">
        <v>0.200848</v>
      </c>
      <c r="Z41" s="38">
        <v>0.20064000000000001</v>
      </c>
      <c r="AA41" s="38">
        <v>0.20059199999999999</v>
      </c>
      <c r="AB41" s="38">
        <v>0.20072999999999999</v>
      </c>
      <c r="AC41" s="38">
        <v>0.200991</v>
      </c>
      <c r="AD41" s="38">
        <v>0.20142299999999999</v>
      </c>
      <c r="AE41" s="38">
        <v>0.20205600000000001</v>
      </c>
      <c r="AF41" s="35">
        <v>-4.5030000000000001E-3</v>
      </c>
      <c r="AG41" s="29"/>
    </row>
    <row r="42" spans="1:33" ht="12" customHeight="1">
      <c r="A42" s="34" t="s">
        <v>5138</v>
      </c>
      <c r="B42" s="37" t="s">
        <v>5137</v>
      </c>
      <c r="C42" s="38">
        <v>3.7489000000000001E-2</v>
      </c>
      <c r="D42" s="38">
        <v>3.7812999999999999E-2</v>
      </c>
      <c r="E42" s="38">
        <v>3.8143999999999997E-2</v>
      </c>
      <c r="F42" s="38">
        <v>3.8485999999999999E-2</v>
      </c>
      <c r="G42" s="38">
        <v>3.8827E-2</v>
      </c>
      <c r="H42" s="38">
        <v>3.9168000000000001E-2</v>
      </c>
      <c r="I42" s="38">
        <v>3.9518999999999999E-2</v>
      </c>
      <c r="J42" s="38">
        <v>3.9875000000000001E-2</v>
      </c>
      <c r="K42" s="38">
        <v>4.0245999999999997E-2</v>
      </c>
      <c r="L42" s="38">
        <v>4.0617E-2</v>
      </c>
      <c r="M42" s="38">
        <v>4.0992000000000001E-2</v>
      </c>
      <c r="N42" s="38">
        <v>4.1364999999999999E-2</v>
      </c>
      <c r="O42" s="38">
        <v>4.1732999999999999E-2</v>
      </c>
      <c r="P42" s="38">
        <v>4.2098999999999998E-2</v>
      </c>
      <c r="Q42" s="38">
        <v>4.2465000000000003E-2</v>
      </c>
      <c r="R42" s="38">
        <v>4.2827999999999998E-2</v>
      </c>
      <c r="S42" s="38">
        <v>4.3187000000000003E-2</v>
      </c>
      <c r="T42" s="38">
        <v>4.3541999999999997E-2</v>
      </c>
      <c r="U42" s="38">
        <v>4.3898E-2</v>
      </c>
      <c r="V42" s="38">
        <v>4.4252E-2</v>
      </c>
      <c r="W42" s="38">
        <v>4.4599E-2</v>
      </c>
      <c r="X42" s="38">
        <v>4.4942000000000003E-2</v>
      </c>
      <c r="Y42" s="38">
        <v>4.5282000000000003E-2</v>
      </c>
      <c r="Z42" s="38">
        <v>4.5619E-2</v>
      </c>
      <c r="AA42" s="38">
        <v>4.5952E-2</v>
      </c>
      <c r="AB42" s="38">
        <v>4.6282999999999998E-2</v>
      </c>
      <c r="AC42" s="38">
        <v>4.6611E-2</v>
      </c>
      <c r="AD42" s="38">
        <v>4.6935999999999999E-2</v>
      </c>
      <c r="AE42" s="38">
        <v>4.7258000000000001E-2</v>
      </c>
      <c r="AF42" s="35">
        <v>8.3049999999999999E-3</v>
      </c>
      <c r="AG42" s="29"/>
    </row>
    <row r="43" spans="1:33" ht="12" customHeight="1">
      <c r="A43" s="34" t="s">
        <v>5136</v>
      </c>
      <c r="B43" s="37" t="s">
        <v>5135</v>
      </c>
      <c r="C43" s="38">
        <v>2.7618E-2</v>
      </c>
      <c r="D43" s="38">
        <v>2.8063999999999999E-2</v>
      </c>
      <c r="E43" s="38">
        <v>2.8506E-2</v>
      </c>
      <c r="F43" s="38">
        <v>2.8944999999999999E-2</v>
      </c>
      <c r="G43" s="38">
        <v>2.937E-2</v>
      </c>
      <c r="H43" s="38">
        <v>2.9781999999999999E-2</v>
      </c>
      <c r="I43" s="38">
        <v>3.0232999999999999E-2</v>
      </c>
      <c r="J43" s="38">
        <v>3.0721999999999999E-2</v>
      </c>
      <c r="K43" s="38">
        <v>3.1241999999999999E-2</v>
      </c>
      <c r="L43" s="38">
        <v>3.1796999999999999E-2</v>
      </c>
      <c r="M43" s="38">
        <v>3.2391999999999997E-2</v>
      </c>
      <c r="N43" s="38">
        <v>3.3027000000000001E-2</v>
      </c>
      <c r="O43" s="38">
        <v>3.3702000000000003E-2</v>
      </c>
      <c r="P43" s="38">
        <v>3.4373000000000001E-2</v>
      </c>
      <c r="Q43" s="38">
        <v>3.5042999999999998E-2</v>
      </c>
      <c r="R43" s="38">
        <v>3.5709999999999999E-2</v>
      </c>
      <c r="S43" s="38">
        <v>3.6374999999999998E-2</v>
      </c>
      <c r="T43" s="38">
        <v>3.7035999999999999E-2</v>
      </c>
      <c r="U43" s="38">
        <v>3.7698000000000002E-2</v>
      </c>
      <c r="V43" s="38">
        <v>3.8358999999999997E-2</v>
      </c>
      <c r="W43" s="38">
        <v>3.9015000000000001E-2</v>
      </c>
      <c r="X43" s="38">
        <v>3.9667000000000001E-2</v>
      </c>
      <c r="Y43" s="38">
        <v>4.0315999999999998E-2</v>
      </c>
      <c r="Z43" s="38">
        <v>4.0961999999999998E-2</v>
      </c>
      <c r="AA43" s="38">
        <v>4.1605000000000003E-2</v>
      </c>
      <c r="AB43" s="38">
        <v>4.2244999999999998E-2</v>
      </c>
      <c r="AC43" s="38">
        <v>4.2882000000000003E-2</v>
      </c>
      <c r="AD43" s="38">
        <v>4.3513999999999997E-2</v>
      </c>
      <c r="AE43" s="38">
        <v>4.4143000000000002E-2</v>
      </c>
      <c r="AF43" s="35">
        <v>1.6889999999999999E-2</v>
      </c>
      <c r="AG43" s="29"/>
    </row>
    <row r="44" spans="1:33" ht="12" customHeight="1">
      <c r="A44" s="34" t="s">
        <v>5134</v>
      </c>
      <c r="B44" s="37" t="s">
        <v>5133</v>
      </c>
      <c r="C44" s="38">
        <v>0.18509200000000001</v>
      </c>
      <c r="D44" s="38">
        <v>0.181559</v>
      </c>
      <c r="E44" s="38">
        <v>0.178365</v>
      </c>
      <c r="F44" s="38">
        <v>0.17569199999999999</v>
      </c>
      <c r="G44" s="38">
        <v>0.17295099999999999</v>
      </c>
      <c r="H44" s="38">
        <v>0.17014299999999999</v>
      </c>
      <c r="I44" s="38">
        <v>0.16719800000000001</v>
      </c>
      <c r="J44" s="38">
        <v>0.16413900000000001</v>
      </c>
      <c r="K44" s="38">
        <v>0.16098699999999999</v>
      </c>
      <c r="L44" s="38">
        <v>0.15786700000000001</v>
      </c>
      <c r="M44" s="38">
        <v>0.154866</v>
      </c>
      <c r="N44" s="38">
        <v>0.151867</v>
      </c>
      <c r="O44" s="38">
        <v>0.14899799999999999</v>
      </c>
      <c r="P44" s="38">
        <v>0.14658499999999999</v>
      </c>
      <c r="Q44" s="38">
        <v>0.14447299999999999</v>
      </c>
      <c r="R44" s="38">
        <v>0.142566</v>
      </c>
      <c r="S44" s="38">
        <v>0.14076</v>
      </c>
      <c r="T44" s="38">
        <v>0.13918900000000001</v>
      </c>
      <c r="U44" s="38">
        <v>0.13791</v>
      </c>
      <c r="V44" s="38">
        <v>0.136911</v>
      </c>
      <c r="W44" s="38">
        <v>0.13620699999999999</v>
      </c>
      <c r="X44" s="38">
        <v>0.13575499999999999</v>
      </c>
      <c r="Y44" s="38">
        <v>0.13553699999999999</v>
      </c>
      <c r="Z44" s="38">
        <v>0.13555200000000001</v>
      </c>
      <c r="AA44" s="38">
        <v>0.13580200000000001</v>
      </c>
      <c r="AB44" s="38">
        <v>0.136265</v>
      </c>
      <c r="AC44" s="38">
        <v>0.13685</v>
      </c>
      <c r="AD44" s="38">
        <v>0.13759299999999999</v>
      </c>
      <c r="AE44" s="38">
        <v>0.13852700000000001</v>
      </c>
      <c r="AF44" s="35">
        <v>-1.0296E-2</v>
      </c>
      <c r="AG44" s="29"/>
    </row>
    <row r="45" spans="1:33" ht="12" customHeight="1">
      <c r="A45" s="34" t="s">
        <v>5132</v>
      </c>
      <c r="B45" s="37" t="s">
        <v>5131</v>
      </c>
      <c r="C45" s="38">
        <v>0.120106</v>
      </c>
      <c r="D45" s="38">
        <v>0.118562</v>
      </c>
      <c r="E45" s="38">
        <v>0.11693099999999999</v>
      </c>
      <c r="F45" s="38">
        <v>0.11536299999999999</v>
      </c>
      <c r="G45" s="38">
        <v>0.113493</v>
      </c>
      <c r="H45" s="38">
        <v>0.111328</v>
      </c>
      <c r="I45" s="38">
        <v>0.108857</v>
      </c>
      <c r="J45" s="38">
        <v>0.106117</v>
      </c>
      <c r="K45" s="38">
        <v>0.103168</v>
      </c>
      <c r="L45" s="38">
        <v>0.100088</v>
      </c>
      <c r="M45" s="38">
        <v>9.6979999999999997E-2</v>
      </c>
      <c r="N45" s="38">
        <v>9.3785999999999994E-2</v>
      </c>
      <c r="O45" s="38">
        <v>9.0609999999999996E-2</v>
      </c>
      <c r="P45" s="38">
        <v>8.7647000000000003E-2</v>
      </c>
      <c r="Q45" s="38">
        <v>8.4848000000000007E-2</v>
      </c>
      <c r="R45" s="38">
        <v>8.2132999999999998E-2</v>
      </c>
      <c r="S45" s="38">
        <v>7.9492999999999994E-2</v>
      </c>
      <c r="T45" s="38">
        <v>7.7007999999999993E-2</v>
      </c>
      <c r="U45" s="38">
        <v>7.4726000000000001E-2</v>
      </c>
      <c r="V45" s="38">
        <v>7.2651999999999994E-2</v>
      </c>
      <c r="W45" s="38">
        <v>7.0824999999999999E-2</v>
      </c>
      <c r="X45" s="38">
        <v>6.9226999999999997E-2</v>
      </c>
      <c r="Y45" s="38">
        <v>6.7875000000000005E-2</v>
      </c>
      <c r="Z45" s="38">
        <v>6.6753000000000007E-2</v>
      </c>
      <c r="AA45" s="38">
        <v>6.5956000000000001E-2</v>
      </c>
      <c r="AB45" s="38">
        <v>6.5417000000000003E-2</v>
      </c>
      <c r="AC45" s="38">
        <v>6.5087000000000006E-2</v>
      </c>
      <c r="AD45" s="38">
        <v>6.4992999999999995E-2</v>
      </c>
      <c r="AE45" s="38">
        <v>6.5106999999999998E-2</v>
      </c>
      <c r="AF45" s="35">
        <v>-2.1631999999999998E-2</v>
      </c>
      <c r="AG45" s="29"/>
    </row>
    <row r="46" spans="1:33" ht="12" customHeight="1">
      <c r="A46" s="34" t="s">
        <v>5130</v>
      </c>
      <c r="B46" s="37" t="s">
        <v>5129</v>
      </c>
      <c r="C46" s="38">
        <v>8.9175000000000004E-2</v>
      </c>
      <c r="D46" s="38">
        <v>8.8249999999999995E-2</v>
      </c>
      <c r="E46" s="38">
        <v>7.9128000000000004E-2</v>
      </c>
      <c r="F46" s="38">
        <v>8.0093999999999999E-2</v>
      </c>
      <c r="G46" s="38">
        <v>8.0979999999999996E-2</v>
      </c>
      <c r="H46" s="38">
        <v>8.1729999999999997E-2</v>
      </c>
      <c r="I46" s="38">
        <v>8.2280000000000006E-2</v>
      </c>
      <c r="J46" s="38">
        <v>8.2540000000000002E-2</v>
      </c>
      <c r="K46" s="38">
        <v>8.2561999999999997E-2</v>
      </c>
      <c r="L46" s="38">
        <v>8.2343E-2</v>
      </c>
      <c r="M46" s="38">
        <v>8.1923999999999997E-2</v>
      </c>
      <c r="N46" s="38">
        <v>8.1309000000000006E-2</v>
      </c>
      <c r="O46" s="38">
        <v>8.0431000000000002E-2</v>
      </c>
      <c r="P46" s="38">
        <v>7.9390000000000002E-2</v>
      </c>
      <c r="Q46" s="38">
        <v>7.8254000000000004E-2</v>
      </c>
      <c r="R46" s="38">
        <v>7.7045000000000002E-2</v>
      </c>
      <c r="S46" s="38">
        <v>7.5693999999999997E-2</v>
      </c>
      <c r="T46" s="38">
        <v>7.4348999999999998E-2</v>
      </c>
      <c r="U46" s="38">
        <v>7.3050000000000004E-2</v>
      </c>
      <c r="V46" s="38">
        <v>7.1817000000000006E-2</v>
      </c>
      <c r="W46" s="38">
        <v>7.0639999999999994E-2</v>
      </c>
      <c r="X46" s="38">
        <v>6.9587999999999997E-2</v>
      </c>
      <c r="Y46" s="38">
        <v>6.8662000000000001E-2</v>
      </c>
      <c r="Z46" s="38">
        <v>6.7822999999999994E-2</v>
      </c>
      <c r="AA46" s="38">
        <v>6.7005999999999996E-2</v>
      </c>
      <c r="AB46" s="38">
        <v>6.6321000000000005E-2</v>
      </c>
      <c r="AC46" s="38">
        <v>6.5775E-2</v>
      </c>
      <c r="AD46" s="38">
        <v>6.5343999999999999E-2</v>
      </c>
      <c r="AE46" s="38">
        <v>6.4996999999999999E-2</v>
      </c>
      <c r="AF46" s="35">
        <v>-1.1231E-2</v>
      </c>
      <c r="AG46" s="29"/>
    </row>
    <row r="47" spans="1:33" ht="12" customHeight="1">
      <c r="A47" s="34" t="s">
        <v>5128</v>
      </c>
      <c r="B47" s="37" t="s">
        <v>5127</v>
      </c>
      <c r="C47" s="38">
        <v>1.7289920000000001</v>
      </c>
      <c r="D47" s="38">
        <v>1.778594</v>
      </c>
      <c r="E47" s="38">
        <v>1.805526</v>
      </c>
      <c r="F47" s="38">
        <v>1.8416680000000001</v>
      </c>
      <c r="G47" s="38">
        <v>1.877618</v>
      </c>
      <c r="H47" s="38">
        <v>1.9181360000000001</v>
      </c>
      <c r="I47" s="38">
        <v>1.9534260000000001</v>
      </c>
      <c r="J47" s="38">
        <v>1.984526</v>
      </c>
      <c r="K47" s="38">
        <v>2.015298</v>
      </c>
      <c r="L47" s="38">
        <v>2.045995</v>
      </c>
      <c r="M47" s="38">
        <v>2.0771999999999999</v>
      </c>
      <c r="N47" s="38">
        <v>2.1083090000000002</v>
      </c>
      <c r="O47" s="38">
        <v>2.1370680000000002</v>
      </c>
      <c r="P47" s="38">
        <v>2.1696040000000001</v>
      </c>
      <c r="Q47" s="38">
        <v>2.2045029999999999</v>
      </c>
      <c r="R47" s="38">
        <v>2.2416749999999999</v>
      </c>
      <c r="S47" s="38">
        <v>2.277666</v>
      </c>
      <c r="T47" s="38">
        <v>2.3144999999999998</v>
      </c>
      <c r="U47" s="38">
        <v>2.3536220000000001</v>
      </c>
      <c r="V47" s="38">
        <v>2.393605</v>
      </c>
      <c r="W47" s="38">
        <v>2.4362240000000002</v>
      </c>
      <c r="X47" s="38">
        <v>2.4803709999999999</v>
      </c>
      <c r="Y47" s="38">
        <v>2.5261019999999998</v>
      </c>
      <c r="Z47" s="38">
        <v>2.5735540000000001</v>
      </c>
      <c r="AA47" s="38">
        <v>2.6229239999999998</v>
      </c>
      <c r="AB47" s="38">
        <v>2.6745640000000002</v>
      </c>
      <c r="AC47" s="38">
        <v>2.727255</v>
      </c>
      <c r="AD47" s="38">
        <v>2.7817340000000002</v>
      </c>
      <c r="AE47" s="38">
        <v>2.8402690000000002</v>
      </c>
      <c r="AF47" s="35">
        <v>1.7885000000000002E-2</v>
      </c>
      <c r="AG47" s="29"/>
    </row>
    <row r="48" spans="1:33" ht="12" customHeight="1">
      <c r="A48" s="34" t="s">
        <v>5126</v>
      </c>
      <c r="B48" s="33" t="s">
        <v>5125</v>
      </c>
      <c r="C48" s="39">
        <v>5.2596420000000004</v>
      </c>
      <c r="D48" s="39">
        <v>5.1701290000000002</v>
      </c>
      <c r="E48" s="39">
        <v>5.2504400000000002</v>
      </c>
      <c r="F48" s="39">
        <v>5.3072759999999999</v>
      </c>
      <c r="G48" s="39">
        <v>5.3626420000000001</v>
      </c>
      <c r="H48" s="39">
        <v>5.4222320000000002</v>
      </c>
      <c r="I48" s="39">
        <v>5.4743199999999996</v>
      </c>
      <c r="J48" s="39">
        <v>5.5182950000000002</v>
      </c>
      <c r="K48" s="39">
        <v>5.5540880000000001</v>
      </c>
      <c r="L48" s="39">
        <v>5.5871940000000002</v>
      </c>
      <c r="M48" s="39">
        <v>5.6225040000000002</v>
      </c>
      <c r="N48" s="39">
        <v>5.6592840000000004</v>
      </c>
      <c r="O48" s="39">
        <v>5.694947</v>
      </c>
      <c r="P48" s="39">
        <v>5.742076</v>
      </c>
      <c r="Q48" s="39">
        <v>5.7953429999999999</v>
      </c>
      <c r="R48" s="39">
        <v>5.8523889999999996</v>
      </c>
      <c r="S48" s="39">
        <v>5.9070590000000003</v>
      </c>
      <c r="T48" s="39">
        <v>5.9634539999999996</v>
      </c>
      <c r="U48" s="39">
        <v>6.0202999999999998</v>
      </c>
      <c r="V48" s="39">
        <v>6.0802500000000004</v>
      </c>
      <c r="W48" s="39">
        <v>6.1456559999999998</v>
      </c>
      <c r="X48" s="39">
        <v>6.2151889999999996</v>
      </c>
      <c r="Y48" s="39">
        <v>6.2886449999999998</v>
      </c>
      <c r="Z48" s="39">
        <v>6.3656980000000001</v>
      </c>
      <c r="AA48" s="39">
        <v>6.4482220000000003</v>
      </c>
      <c r="AB48" s="39">
        <v>6.5356100000000001</v>
      </c>
      <c r="AC48" s="39">
        <v>6.6252180000000003</v>
      </c>
      <c r="AD48" s="39">
        <v>6.7176070000000001</v>
      </c>
      <c r="AE48" s="39">
        <v>6.816999</v>
      </c>
      <c r="AF48" s="31">
        <v>9.306E-3</v>
      </c>
      <c r="AG48" s="29"/>
    </row>
    <row r="49" spans="1:33" ht="12" customHeight="1">
      <c r="A49" s="34" t="s">
        <v>5124</v>
      </c>
      <c r="B49" s="37" t="s">
        <v>5123</v>
      </c>
      <c r="C49" s="38">
        <v>0.112023</v>
      </c>
      <c r="D49" s="38">
        <v>0.123458</v>
      </c>
      <c r="E49" s="38">
        <v>0.13652900000000001</v>
      </c>
      <c r="F49" s="38">
        <v>0.14977699999999999</v>
      </c>
      <c r="G49" s="38">
        <v>0.16300899999999999</v>
      </c>
      <c r="H49" s="38">
        <v>0.17658499999999999</v>
      </c>
      <c r="I49" s="38">
        <v>0.19053</v>
      </c>
      <c r="J49" s="38">
        <v>0.20494499999999999</v>
      </c>
      <c r="K49" s="38">
        <v>0.21981999999999999</v>
      </c>
      <c r="L49" s="38">
        <v>0.23524600000000001</v>
      </c>
      <c r="M49" s="38">
        <v>0.25148999999999999</v>
      </c>
      <c r="N49" s="38">
        <v>0.26793699999999998</v>
      </c>
      <c r="O49" s="38">
        <v>0.28465000000000001</v>
      </c>
      <c r="P49" s="38">
        <v>0.29947400000000002</v>
      </c>
      <c r="Q49" s="38">
        <v>0.31491799999999998</v>
      </c>
      <c r="R49" s="38">
        <v>0.33096799999999998</v>
      </c>
      <c r="S49" s="38">
        <v>0.34801199999999999</v>
      </c>
      <c r="T49" s="38">
        <v>0.36618699999999998</v>
      </c>
      <c r="U49" s="38">
        <v>0.38540000000000002</v>
      </c>
      <c r="V49" s="38">
        <v>0.40570899999999999</v>
      </c>
      <c r="W49" s="38">
        <v>0.427124</v>
      </c>
      <c r="X49" s="38">
        <v>0.44966</v>
      </c>
      <c r="Y49" s="38">
        <v>0.47307100000000002</v>
      </c>
      <c r="Z49" s="38">
        <v>0.49757400000000002</v>
      </c>
      <c r="AA49" s="38">
        <v>0.52299700000000005</v>
      </c>
      <c r="AB49" s="38">
        <v>0.54935500000000004</v>
      </c>
      <c r="AC49" s="38">
        <v>0.57694599999999996</v>
      </c>
      <c r="AD49" s="38">
        <v>0.60526800000000003</v>
      </c>
      <c r="AE49" s="38">
        <v>0.63452399999999998</v>
      </c>
      <c r="AF49" s="35">
        <v>6.3893000000000005E-2</v>
      </c>
      <c r="AG49" s="29"/>
    </row>
    <row r="50" spans="1:33" ht="15" customHeight="1">
      <c r="A50" s="34" t="s">
        <v>5122</v>
      </c>
      <c r="B50" s="33" t="s">
        <v>5121</v>
      </c>
      <c r="C50" s="39">
        <v>5.1476179999999996</v>
      </c>
      <c r="D50" s="39">
        <v>5.0466709999999999</v>
      </c>
      <c r="E50" s="39">
        <v>5.1139109999999999</v>
      </c>
      <c r="F50" s="39">
        <v>5.1574989999999996</v>
      </c>
      <c r="G50" s="39">
        <v>5.1996339999999996</v>
      </c>
      <c r="H50" s="39">
        <v>5.2456469999999999</v>
      </c>
      <c r="I50" s="39">
        <v>5.2837899999999998</v>
      </c>
      <c r="J50" s="39">
        <v>5.3133499999999998</v>
      </c>
      <c r="K50" s="39">
        <v>5.3342679999999998</v>
      </c>
      <c r="L50" s="39">
        <v>5.3519490000000003</v>
      </c>
      <c r="M50" s="39">
        <v>5.3710139999999997</v>
      </c>
      <c r="N50" s="39">
        <v>5.3913460000000004</v>
      </c>
      <c r="O50" s="39">
        <v>5.4102969999999999</v>
      </c>
      <c r="P50" s="39">
        <v>5.4426019999999999</v>
      </c>
      <c r="Q50" s="39">
        <v>5.4804250000000003</v>
      </c>
      <c r="R50" s="39">
        <v>5.5214210000000001</v>
      </c>
      <c r="S50" s="39">
        <v>5.5590469999999996</v>
      </c>
      <c r="T50" s="39">
        <v>5.5972670000000004</v>
      </c>
      <c r="U50" s="39">
        <v>5.6349</v>
      </c>
      <c r="V50" s="39">
        <v>5.6745409999999996</v>
      </c>
      <c r="W50" s="39">
        <v>5.7185319999999997</v>
      </c>
      <c r="X50" s="39">
        <v>5.7655289999999999</v>
      </c>
      <c r="Y50" s="39">
        <v>5.8155739999999998</v>
      </c>
      <c r="Z50" s="39">
        <v>5.8681239999999999</v>
      </c>
      <c r="AA50" s="39">
        <v>5.9252250000000002</v>
      </c>
      <c r="AB50" s="39">
        <v>5.9862549999999999</v>
      </c>
      <c r="AC50" s="39">
        <v>6.0482719999999999</v>
      </c>
      <c r="AD50" s="39">
        <v>6.1123390000000004</v>
      </c>
      <c r="AE50" s="39">
        <v>6.1824750000000002</v>
      </c>
      <c r="AF50" s="31">
        <v>6.5640000000000004E-3</v>
      </c>
      <c r="AG50" s="29"/>
    </row>
    <row r="51" spans="1:33" ht="15" customHeight="1">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row>
    <row r="52" spans="1:33" ht="15" customHeight="1">
      <c r="B52" s="33" t="s">
        <v>2784</v>
      </c>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row>
    <row r="53" spans="1:33" ht="15" customHeight="1">
      <c r="A53" s="34" t="s">
        <v>5120</v>
      </c>
      <c r="B53" s="37" t="s">
        <v>5103</v>
      </c>
      <c r="C53" s="38">
        <v>3.7369300000000001</v>
      </c>
      <c r="D53" s="38">
        <v>3.7861340000000001</v>
      </c>
      <c r="E53" s="38">
        <v>3.5242059999999999</v>
      </c>
      <c r="F53" s="38">
        <v>3.5347719999999998</v>
      </c>
      <c r="G53" s="38">
        <v>3.5407920000000002</v>
      </c>
      <c r="H53" s="38">
        <v>3.5382799999999999</v>
      </c>
      <c r="I53" s="38">
        <v>3.5293040000000002</v>
      </c>
      <c r="J53" s="38">
        <v>3.510945</v>
      </c>
      <c r="K53" s="38">
        <v>3.4878969999999998</v>
      </c>
      <c r="L53" s="38">
        <v>3.4622350000000002</v>
      </c>
      <c r="M53" s="38">
        <v>3.4365359999999998</v>
      </c>
      <c r="N53" s="38">
        <v>3.41919</v>
      </c>
      <c r="O53" s="38">
        <v>3.3989539999999998</v>
      </c>
      <c r="P53" s="38">
        <v>3.379413</v>
      </c>
      <c r="Q53" s="38">
        <v>3.362053</v>
      </c>
      <c r="R53" s="38">
        <v>3.3461120000000002</v>
      </c>
      <c r="S53" s="38">
        <v>3.3294380000000001</v>
      </c>
      <c r="T53" s="38">
        <v>3.3147989999999998</v>
      </c>
      <c r="U53" s="38">
        <v>3.3015089999999998</v>
      </c>
      <c r="V53" s="38">
        <v>3.2886820000000001</v>
      </c>
      <c r="W53" s="38">
        <v>3.2766220000000001</v>
      </c>
      <c r="X53" s="38">
        <v>3.2663669999999998</v>
      </c>
      <c r="Y53" s="38">
        <v>3.2576480000000001</v>
      </c>
      <c r="Z53" s="38">
        <v>3.2478159999999998</v>
      </c>
      <c r="AA53" s="38">
        <v>3.2346270000000001</v>
      </c>
      <c r="AB53" s="38">
        <v>3.2227749999999999</v>
      </c>
      <c r="AC53" s="38">
        <v>3.212637</v>
      </c>
      <c r="AD53" s="38">
        <v>3.2025510000000001</v>
      </c>
      <c r="AE53" s="38">
        <v>3.191122</v>
      </c>
      <c r="AF53" s="35">
        <v>-5.6230000000000004E-3</v>
      </c>
      <c r="AG53" s="29"/>
    </row>
    <row r="54" spans="1:33" ht="15" customHeight="1">
      <c r="A54" s="34" t="s">
        <v>5119</v>
      </c>
      <c r="B54" s="37" t="s">
        <v>5118</v>
      </c>
      <c r="C54" s="38">
        <v>5.8888000000000003E-2</v>
      </c>
      <c r="D54" s="38">
        <v>5.0529999999999999E-2</v>
      </c>
      <c r="E54" s="38">
        <v>5.9461E-2</v>
      </c>
      <c r="F54" s="38">
        <v>5.9824000000000002E-2</v>
      </c>
      <c r="G54" s="38">
        <v>6.0086000000000001E-2</v>
      </c>
      <c r="H54" s="38">
        <v>6.0236999999999999E-2</v>
      </c>
      <c r="I54" s="38">
        <v>6.0283000000000003E-2</v>
      </c>
      <c r="J54" s="38">
        <v>6.0234999999999997E-2</v>
      </c>
      <c r="K54" s="38">
        <v>6.0099E-2</v>
      </c>
      <c r="L54" s="38">
        <v>5.9889999999999999E-2</v>
      </c>
      <c r="M54" s="38">
        <v>5.9665999999999997E-2</v>
      </c>
      <c r="N54" s="38">
        <v>5.9420000000000001E-2</v>
      </c>
      <c r="O54" s="38">
        <v>5.9214999999999997E-2</v>
      </c>
      <c r="P54" s="38">
        <v>5.9098999999999999E-2</v>
      </c>
      <c r="Q54" s="38">
        <v>5.9116000000000002E-2</v>
      </c>
      <c r="R54" s="38">
        <v>5.9265999999999999E-2</v>
      </c>
      <c r="S54" s="38">
        <v>5.9430999999999998E-2</v>
      </c>
      <c r="T54" s="38">
        <v>5.9636000000000002E-2</v>
      </c>
      <c r="U54" s="38">
        <v>5.9840999999999998E-2</v>
      </c>
      <c r="V54" s="38">
        <v>6.0023E-2</v>
      </c>
      <c r="W54" s="38">
        <v>6.0231E-2</v>
      </c>
      <c r="X54" s="38">
        <v>6.0454000000000001E-2</v>
      </c>
      <c r="Y54" s="38">
        <v>6.0706000000000003E-2</v>
      </c>
      <c r="Z54" s="38">
        <v>6.0935999999999997E-2</v>
      </c>
      <c r="AA54" s="38">
        <v>6.1136999999999997E-2</v>
      </c>
      <c r="AB54" s="38">
        <v>6.1339999999999999E-2</v>
      </c>
      <c r="AC54" s="38">
        <v>6.1596999999999999E-2</v>
      </c>
      <c r="AD54" s="38">
        <v>6.1870000000000001E-2</v>
      </c>
      <c r="AE54" s="38">
        <v>6.2121999999999997E-2</v>
      </c>
      <c r="AF54" s="35">
        <v>1.9109999999999999E-3</v>
      </c>
      <c r="AG54" s="29"/>
    </row>
    <row r="55" spans="1:33" ht="15" customHeight="1">
      <c r="A55" s="34" t="s">
        <v>5117</v>
      </c>
      <c r="B55" s="37" t="s">
        <v>5101</v>
      </c>
      <c r="C55" s="38">
        <v>0.98298799999999997</v>
      </c>
      <c r="D55" s="38">
        <v>0.980209</v>
      </c>
      <c r="E55" s="38">
        <v>0.98977099999999996</v>
      </c>
      <c r="F55" s="38">
        <v>1.0055149999999999</v>
      </c>
      <c r="G55" s="38">
        <v>1.0222389999999999</v>
      </c>
      <c r="H55" s="38">
        <v>1.038243</v>
      </c>
      <c r="I55" s="38">
        <v>1.0537510000000001</v>
      </c>
      <c r="J55" s="38">
        <v>1.066705</v>
      </c>
      <c r="K55" s="38">
        <v>1.078192</v>
      </c>
      <c r="L55" s="38">
        <v>1.087593</v>
      </c>
      <c r="M55" s="38">
        <v>1.096298</v>
      </c>
      <c r="N55" s="38">
        <v>1.1049169999999999</v>
      </c>
      <c r="O55" s="38">
        <v>1.1131009999999999</v>
      </c>
      <c r="P55" s="38">
        <v>1.121259</v>
      </c>
      <c r="Q55" s="38">
        <v>1.1294930000000001</v>
      </c>
      <c r="R55" s="38">
        <v>1.13727</v>
      </c>
      <c r="S55" s="38">
        <v>1.1440520000000001</v>
      </c>
      <c r="T55" s="38">
        <v>1.1511439999999999</v>
      </c>
      <c r="U55" s="38">
        <v>1.158029</v>
      </c>
      <c r="V55" s="38">
        <v>1.1645909999999999</v>
      </c>
      <c r="W55" s="38">
        <v>1.1712849999999999</v>
      </c>
      <c r="X55" s="38">
        <v>1.178668</v>
      </c>
      <c r="Y55" s="38">
        <v>1.186804</v>
      </c>
      <c r="Z55" s="38">
        <v>1.1945509999999999</v>
      </c>
      <c r="AA55" s="38">
        <v>1.1994590000000001</v>
      </c>
      <c r="AB55" s="38">
        <v>1.205508</v>
      </c>
      <c r="AC55" s="38">
        <v>1.2130890000000001</v>
      </c>
      <c r="AD55" s="38">
        <v>1.221263</v>
      </c>
      <c r="AE55" s="38">
        <v>1.2289669999999999</v>
      </c>
      <c r="AF55" s="35">
        <v>8.0079999999999995E-3</v>
      </c>
      <c r="AG55" s="29"/>
    </row>
    <row r="56" spans="1:33" ht="15" customHeight="1">
      <c r="A56" s="34" t="s">
        <v>5116</v>
      </c>
      <c r="B56" s="37" t="s">
        <v>5099</v>
      </c>
      <c r="C56" s="38">
        <v>0.10353900000000001</v>
      </c>
      <c r="D56" s="38">
        <v>0.10372099999999999</v>
      </c>
      <c r="E56" s="38">
        <v>0.10392999999999999</v>
      </c>
      <c r="F56" s="38">
        <v>0.104173</v>
      </c>
      <c r="G56" s="38">
        <v>0.104412</v>
      </c>
      <c r="H56" s="38">
        <v>0.10465000000000001</v>
      </c>
      <c r="I56" s="38">
        <v>0.10492</v>
      </c>
      <c r="J56" s="38">
        <v>0.105265</v>
      </c>
      <c r="K56" s="38">
        <v>0.10567799999999999</v>
      </c>
      <c r="L56" s="38">
        <v>0.10617600000000001</v>
      </c>
      <c r="M56" s="38">
        <v>0.10677300000000001</v>
      </c>
      <c r="N56" s="38">
        <v>0.107469</v>
      </c>
      <c r="O56" s="38">
        <v>0.108208</v>
      </c>
      <c r="P56" s="38">
        <v>0.109004</v>
      </c>
      <c r="Q56" s="38">
        <v>0.10985200000000001</v>
      </c>
      <c r="R56" s="38">
        <v>0.11074299999999999</v>
      </c>
      <c r="S56" s="38">
        <v>0.111655</v>
      </c>
      <c r="T56" s="38">
        <v>0.11258700000000001</v>
      </c>
      <c r="U56" s="38">
        <v>0.113552</v>
      </c>
      <c r="V56" s="38">
        <v>0.11454499999999999</v>
      </c>
      <c r="W56" s="38">
        <v>0.11555799999999999</v>
      </c>
      <c r="X56" s="38">
        <v>0.116595</v>
      </c>
      <c r="Y56" s="38">
        <v>0.117656</v>
      </c>
      <c r="Z56" s="38">
        <v>0.11873599999999999</v>
      </c>
      <c r="AA56" s="38">
        <v>0.119822</v>
      </c>
      <c r="AB56" s="38">
        <v>0.120911</v>
      </c>
      <c r="AC56" s="38">
        <v>0.121992</v>
      </c>
      <c r="AD56" s="38">
        <v>0.123053</v>
      </c>
      <c r="AE56" s="38">
        <v>0.12409000000000001</v>
      </c>
      <c r="AF56" s="35">
        <v>6.4869999999999997E-3</v>
      </c>
      <c r="AG56" s="29"/>
    </row>
    <row r="57" spans="1:33" ht="15" customHeight="1">
      <c r="A57" s="34" t="s">
        <v>5115</v>
      </c>
      <c r="B57" s="37" t="s">
        <v>5114</v>
      </c>
      <c r="C57" s="38">
        <v>3.9712999999999998E-2</v>
      </c>
      <c r="D57" s="38">
        <v>4.0030999999999997E-2</v>
      </c>
      <c r="E57" s="38">
        <v>4.0827000000000002E-2</v>
      </c>
      <c r="F57" s="38">
        <v>4.1871999999999999E-2</v>
      </c>
      <c r="G57" s="38">
        <v>4.2965000000000003E-2</v>
      </c>
      <c r="H57" s="38">
        <v>4.4041999999999998E-2</v>
      </c>
      <c r="I57" s="38">
        <v>4.5060000000000003E-2</v>
      </c>
      <c r="J57" s="38">
        <v>4.5927000000000003E-2</v>
      </c>
      <c r="K57" s="38">
        <v>4.6698000000000003E-2</v>
      </c>
      <c r="L57" s="38">
        <v>4.7412999999999997E-2</v>
      </c>
      <c r="M57" s="38">
        <v>4.8115999999999999E-2</v>
      </c>
      <c r="N57" s="38">
        <v>4.879E-2</v>
      </c>
      <c r="O57" s="38">
        <v>4.9444000000000002E-2</v>
      </c>
      <c r="P57" s="38">
        <v>5.008E-2</v>
      </c>
      <c r="Q57" s="38">
        <v>5.0721000000000002E-2</v>
      </c>
      <c r="R57" s="38">
        <v>5.1386000000000001E-2</v>
      </c>
      <c r="S57" s="38">
        <v>5.2047999999999997E-2</v>
      </c>
      <c r="T57" s="38">
        <v>5.2755000000000003E-2</v>
      </c>
      <c r="U57" s="38">
        <v>5.3475000000000002E-2</v>
      </c>
      <c r="V57" s="38">
        <v>5.4198000000000003E-2</v>
      </c>
      <c r="W57" s="38">
        <v>5.4938000000000001E-2</v>
      </c>
      <c r="X57" s="38">
        <v>5.5710999999999997E-2</v>
      </c>
      <c r="Y57" s="38">
        <v>5.6512E-2</v>
      </c>
      <c r="Z57" s="38">
        <v>5.7282E-2</v>
      </c>
      <c r="AA57" s="38">
        <v>5.7895000000000002E-2</v>
      </c>
      <c r="AB57" s="38">
        <v>5.8550999999999999E-2</v>
      </c>
      <c r="AC57" s="38">
        <v>5.9274E-2</v>
      </c>
      <c r="AD57" s="38">
        <v>6.0025000000000002E-2</v>
      </c>
      <c r="AE57" s="38">
        <v>6.0749999999999998E-2</v>
      </c>
      <c r="AF57" s="35">
        <v>1.5298000000000001E-2</v>
      </c>
      <c r="AG57" s="29"/>
    </row>
    <row r="58" spans="1:33" ht="15" customHeight="1">
      <c r="A58" s="34" t="s">
        <v>5113</v>
      </c>
      <c r="B58" s="37" t="s">
        <v>5112</v>
      </c>
      <c r="C58" s="38">
        <v>0.22733500000000001</v>
      </c>
      <c r="D58" s="38">
        <v>0.225826</v>
      </c>
      <c r="E58" s="38">
        <v>0.22627800000000001</v>
      </c>
      <c r="F58" s="38">
        <v>0.22780500000000001</v>
      </c>
      <c r="G58" s="38">
        <v>0.22943</v>
      </c>
      <c r="H58" s="38">
        <v>0.23081199999999999</v>
      </c>
      <c r="I58" s="38">
        <v>0.23187099999999999</v>
      </c>
      <c r="J58" s="38">
        <v>0.23214099999999999</v>
      </c>
      <c r="K58" s="38">
        <v>0.23191100000000001</v>
      </c>
      <c r="L58" s="38">
        <v>0.23139599999999999</v>
      </c>
      <c r="M58" s="38">
        <v>0.23083100000000001</v>
      </c>
      <c r="N58" s="38">
        <v>0.23017299999999999</v>
      </c>
      <c r="O58" s="38">
        <v>0.22950300000000001</v>
      </c>
      <c r="P58" s="38">
        <v>0.22885800000000001</v>
      </c>
      <c r="Q58" s="38">
        <v>0.22833500000000001</v>
      </c>
      <c r="R58" s="38">
        <v>0.22784299999999999</v>
      </c>
      <c r="S58" s="38">
        <v>0.227266</v>
      </c>
      <c r="T58" s="38">
        <v>0.22681899999999999</v>
      </c>
      <c r="U58" s="38">
        <v>0.226353</v>
      </c>
      <c r="V58" s="38">
        <v>0.225855</v>
      </c>
      <c r="W58" s="38">
        <v>0.225413</v>
      </c>
      <c r="X58" s="38">
        <v>0.22509299999999999</v>
      </c>
      <c r="Y58" s="38">
        <v>0.22487799999999999</v>
      </c>
      <c r="Z58" s="38">
        <v>0.22455700000000001</v>
      </c>
      <c r="AA58" s="38">
        <v>0.22354599999999999</v>
      </c>
      <c r="AB58" s="38">
        <v>0.222772</v>
      </c>
      <c r="AC58" s="38">
        <v>0.22233800000000001</v>
      </c>
      <c r="AD58" s="38">
        <v>0.22208800000000001</v>
      </c>
      <c r="AE58" s="38">
        <v>0.22178899999999999</v>
      </c>
      <c r="AF58" s="35">
        <v>-8.8199999999999997E-4</v>
      </c>
      <c r="AG58" s="29"/>
    </row>
    <row r="59" spans="1:33" ht="15" customHeight="1">
      <c r="A59" s="34" t="s">
        <v>5111</v>
      </c>
      <c r="B59" s="33" t="s">
        <v>2076</v>
      </c>
      <c r="C59" s="39">
        <v>5.1493919999999997</v>
      </c>
      <c r="D59" s="39">
        <v>5.1864509999999999</v>
      </c>
      <c r="E59" s="39">
        <v>4.9444739999999996</v>
      </c>
      <c r="F59" s="39">
        <v>4.9739610000000001</v>
      </c>
      <c r="G59" s="39">
        <v>4.9999250000000002</v>
      </c>
      <c r="H59" s="39">
        <v>5.0162659999999999</v>
      </c>
      <c r="I59" s="39">
        <v>5.0251890000000001</v>
      </c>
      <c r="J59" s="39">
        <v>5.021217</v>
      </c>
      <c r="K59" s="39">
        <v>5.0104759999999997</v>
      </c>
      <c r="L59" s="39">
        <v>4.9947030000000003</v>
      </c>
      <c r="M59" s="39">
        <v>4.9782209999999996</v>
      </c>
      <c r="N59" s="39">
        <v>4.9699590000000002</v>
      </c>
      <c r="O59" s="39">
        <v>4.9584260000000002</v>
      </c>
      <c r="P59" s="39">
        <v>4.9477130000000002</v>
      </c>
      <c r="Q59" s="39">
        <v>4.9395699999999998</v>
      </c>
      <c r="R59" s="39">
        <v>4.9326210000000001</v>
      </c>
      <c r="S59" s="39">
        <v>4.9238910000000002</v>
      </c>
      <c r="T59" s="39">
        <v>4.9177400000000002</v>
      </c>
      <c r="U59" s="39">
        <v>4.9127590000000003</v>
      </c>
      <c r="V59" s="39">
        <v>4.9078949999999999</v>
      </c>
      <c r="W59" s="39">
        <v>4.9040470000000003</v>
      </c>
      <c r="X59" s="39">
        <v>4.9028879999999999</v>
      </c>
      <c r="Y59" s="39">
        <v>4.904204</v>
      </c>
      <c r="Z59" s="39">
        <v>4.9038760000000003</v>
      </c>
      <c r="AA59" s="39">
        <v>4.8964850000000002</v>
      </c>
      <c r="AB59" s="39">
        <v>4.8918569999999999</v>
      </c>
      <c r="AC59" s="39">
        <v>4.8909269999999996</v>
      </c>
      <c r="AD59" s="39">
        <v>4.8908509999999996</v>
      </c>
      <c r="AE59" s="39">
        <v>4.8888410000000002</v>
      </c>
      <c r="AF59" s="31">
        <v>-1.853E-3</v>
      </c>
      <c r="AG59" s="29"/>
    </row>
    <row r="60" spans="1:33" ht="15" customHeight="1">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row>
    <row r="61" spans="1:33" ht="15" customHeight="1">
      <c r="B61" s="33" t="s">
        <v>5110</v>
      </c>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row>
    <row r="62" spans="1:33" ht="15" customHeight="1">
      <c r="A62" s="34" t="s">
        <v>5109</v>
      </c>
      <c r="B62" s="37" t="s">
        <v>5103</v>
      </c>
      <c r="C62" s="38">
        <v>0.38192500000000001</v>
      </c>
      <c r="D62" s="38">
        <v>0.38353599999999999</v>
      </c>
      <c r="E62" s="38">
        <v>0.32749</v>
      </c>
      <c r="F62" s="38">
        <v>0.323264</v>
      </c>
      <c r="G62" s="38">
        <v>0.31815500000000002</v>
      </c>
      <c r="H62" s="38">
        <v>0.31265199999999999</v>
      </c>
      <c r="I62" s="38">
        <v>0.30687900000000001</v>
      </c>
      <c r="J62" s="38">
        <v>0.300867</v>
      </c>
      <c r="K62" s="38">
        <v>0.29493999999999998</v>
      </c>
      <c r="L62" s="38">
        <v>0.289076</v>
      </c>
      <c r="M62" s="38">
        <v>0.28336600000000001</v>
      </c>
      <c r="N62" s="38">
        <v>0.27821800000000002</v>
      </c>
      <c r="O62" s="38">
        <v>0.273003</v>
      </c>
      <c r="P62" s="38">
        <v>0.26784599999999997</v>
      </c>
      <c r="Q62" s="38">
        <v>0.26289899999999999</v>
      </c>
      <c r="R62" s="38">
        <v>0.25812299999999999</v>
      </c>
      <c r="S62" s="38">
        <v>0.25350699999999998</v>
      </c>
      <c r="T62" s="38">
        <v>0.24901699999999999</v>
      </c>
      <c r="U62" s="38">
        <v>0.24471499999999999</v>
      </c>
      <c r="V62" s="38">
        <v>0.240453</v>
      </c>
      <c r="W62" s="38">
        <v>0.236259</v>
      </c>
      <c r="X62" s="38">
        <v>0.232016</v>
      </c>
      <c r="Y62" s="38">
        <v>0.22792000000000001</v>
      </c>
      <c r="Z62" s="38">
        <v>0.223829</v>
      </c>
      <c r="AA62" s="38">
        <v>0.219666</v>
      </c>
      <c r="AB62" s="38">
        <v>0.21551799999999999</v>
      </c>
      <c r="AC62" s="38">
        <v>0.21145800000000001</v>
      </c>
      <c r="AD62" s="38">
        <v>0.20741999999999999</v>
      </c>
      <c r="AE62" s="38">
        <v>0.203485</v>
      </c>
      <c r="AF62" s="35">
        <v>-2.2235999999999999E-2</v>
      </c>
      <c r="AG62" s="29"/>
    </row>
    <row r="63" spans="1:33" ht="15" customHeight="1">
      <c r="A63" s="34" t="s">
        <v>5108</v>
      </c>
      <c r="B63" s="37" t="s">
        <v>5101</v>
      </c>
      <c r="C63" s="38">
        <v>4.3041000000000003E-2</v>
      </c>
      <c r="D63" s="38">
        <v>4.0314999999999997E-2</v>
      </c>
      <c r="E63" s="38">
        <v>3.8573000000000003E-2</v>
      </c>
      <c r="F63" s="38">
        <v>3.7465999999999999E-2</v>
      </c>
      <c r="G63" s="38">
        <v>3.6442000000000002E-2</v>
      </c>
      <c r="H63" s="38">
        <v>3.5552E-2</v>
      </c>
      <c r="I63" s="38">
        <v>3.4810000000000001E-2</v>
      </c>
      <c r="J63" s="38">
        <v>3.4218999999999999E-2</v>
      </c>
      <c r="K63" s="38">
        <v>3.3803E-2</v>
      </c>
      <c r="L63" s="38">
        <v>3.3316999999999999E-2</v>
      </c>
      <c r="M63" s="38">
        <v>3.2805000000000001E-2</v>
      </c>
      <c r="N63" s="38">
        <v>3.227E-2</v>
      </c>
      <c r="O63" s="38">
        <v>3.1734999999999999E-2</v>
      </c>
      <c r="P63" s="38">
        <v>3.1182000000000001E-2</v>
      </c>
      <c r="Q63" s="38">
        <v>3.0637000000000001E-2</v>
      </c>
      <c r="R63" s="38">
        <v>3.0092000000000001E-2</v>
      </c>
      <c r="S63" s="38">
        <v>2.9555999999999999E-2</v>
      </c>
      <c r="T63" s="38">
        <v>2.9034000000000001E-2</v>
      </c>
      <c r="U63" s="38">
        <v>2.8531000000000001E-2</v>
      </c>
      <c r="V63" s="38">
        <v>2.8038E-2</v>
      </c>
      <c r="W63" s="38">
        <v>2.7574000000000001E-2</v>
      </c>
      <c r="X63" s="38">
        <v>2.7129E-2</v>
      </c>
      <c r="Y63" s="38">
        <v>2.6714999999999999E-2</v>
      </c>
      <c r="Z63" s="38">
        <v>2.6321000000000001E-2</v>
      </c>
      <c r="AA63" s="38">
        <v>2.5933000000000001E-2</v>
      </c>
      <c r="AB63" s="38">
        <v>2.5562999999999999E-2</v>
      </c>
      <c r="AC63" s="38">
        <v>2.5212999999999999E-2</v>
      </c>
      <c r="AD63" s="38">
        <v>2.4871000000000001E-2</v>
      </c>
      <c r="AE63" s="38">
        <v>2.4542000000000001E-2</v>
      </c>
      <c r="AF63" s="35">
        <v>-1.9862999999999999E-2</v>
      </c>
      <c r="AG63" s="29"/>
    </row>
    <row r="64" spans="1:33" ht="15" customHeight="1">
      <c r="A64" s="34" t="s">
        <v>5107</v>
      </c>
      <c r="B64" s="37" t="s">
        <v>5106</v>
      </c>
      <c r="C64" s="38">
        <v>7.5310000000000004E-3</v>
      </c>
      <c r="D64" s="38">
        <v>7.3670000000000003E-3</v>
      </c>
      <c r="E64" s="38">
        <v>7.3299999999999997E-3</v>
      </c>
      <c r="F64" s="38">
        <v>7.3689999999999997E-3</v>
      </c>
      <c r="G64" s="38">
        <v>7.3889999999999997E-3</v>
      </c>
      <c r="H64" s="38">
        <v>7.3969999999999999E-3</v>
      </c>
      <c r="I64" s="38">
        <v>7.3959999999999998E-3</v>
      </c>
      <c r="J64" s="38">
        <v>7.3850000000000001E-3</v>
      </c>
      <c r="K64" s="38">
        <v>7.3699999999999998E-3</v>
      </c>
      <c r="L64" s="38">
        <v>7.3499999999999998E-3</v>
      </c>
      <c r="M64" s="38">
        <v>7.3309999999999998E-3</v>
      </c>
      <c r="N64" s="38">
        <v>7.3119999999999999E-3</v>
      </c>
      <c r="O64" s="38">
        <v>7.293E-3</v>
      </c>
      <c r="P64" s="38">
        <v>7.2750000000000002E-3</v>
      </c>
      <c r="Q64" s="38">
        <v>7.2570000000000004E-3</v>
      </c>
      <c r="R64" s="38">
        <v>7.2389999999999998E-3</v>
      </c>
      <c r="S64" s="38">
        <v>7.2220000000000001E-3</v>
      </c>
      <c r="T64" s="38">
        <v>7.2049999999999996E-3</v>
      </c>
      <c r="U64" s="38">
        <v>7.1890000000000001E-3</v>
      </c>
      <c r="V64" s="38">
        <v>7.1710000000000003E-3</v>
      </c>
      <c r="W64" s="38">
        <v>7.1549999999999999E-3</v>
      </c>
      <c r="X64" s="38">
        <v>7.1390000000000004E-3</v>
      </c>
      <c r="Y64" s="38">
        <v>7.1250000000000003E-3</v>
      </c>
      <c r="Z64" s="38">
        <v>7.1110000000000001E-3</v>
      </c>
      <c r="AA64" s="38">
        <v>7.0930000000000003E-3</v>
      </c>
      <c r="AB64" s="38">
        <v>7.0759999999999998E-3</v>
      </c>
      <c r="AC64" s="38">
        <v>7.0609999999999996E-3</v>
      </c>
      <c r="AD64" s="38">
        <v>7.0470000000000003E-3</v>
      </c>
      <c r="AE64" s="38">
        <v>7.0330000000000002E-3</v>
      </c>
      <c r="AF64" s="35">
        <v>-2.4420000000000002E-3</v>
      </c>
      <c r="AG64" s="29"/>
    </row>
    <row r="65" spans="1:33" ht="15" customHeight="1">
      <c r="A65" s="34" t="s">
        <v>5105</v>
      </c>
      <c r="B65" s="33" t="s">
        <v>2076</v>
      </c>
      <c r="C65" s="39">
        <v>0.43249700000000002</v>
      </c>
      <c r="D65" s="39">
        <v>0.43121700000000002</v>
      </c>
      <c r="E65" s="39">
        <v>0.37339299999999997</v>
      </c>
      <c r="F65" s="39">
        <v>0.36809900000000001</v>
      </c>
      <c r="G65" s="39">
        <v>0.36198599999999997</v>
      </c>
      <c r="H65" s="39">
        <v>0.355601</v>
      </c>
      <c r="I65" s="39">
        <v>0.34908499999999998</v>
      </c>
      <c r="J65" s="39">
        <v>0.34247100000000003</v>
      </c>
      <c r="K65" s="39">
        <v>0.336113</v>
      </c>
      <c r="L65" s="39">
        <v>0.32974399999999998</v>
      </c>
      <c r="M65" s="39">
        <v>0.32350200000000001</v>
      </c>
      <c r="N65" s="39">
        <v>0.317799</v>
      </c>
      <c r="O65" s="39">
        <v>0.31203199999999998</v>
      </c>
      <c r="P65" s="39">
        <v>0.30630299999999999</v>
      </c>
      <c r="Q65" s="39">
        <v>0.30079400000000001</v>
      </c>
      <c r="R65" s="39">
        <v>0.29545399999999999</v>
      </c>
      <c r="S65" s="39">
        <v>0.29028399999999999</v>
      </c>
      <c r="T65" s="39">
        <v>0.28525600000000001</v>
      </c>
      <c r="U65" s="39">
        <v>0.28043400000000002</v>
      </c>
      <c r="V65" s="39">
        <v>0.27566299999999999</v>
      </c>
      <c r="W65" s="39">
        <v>0.27098800000000001</v>
      </c>
      <c r="X65" s="39">
        <v>0.26628299999999999</v>
      </c>
      <c r="Y65" s="39">
        <v>0.26175999999999999</v>
      </c>
      <c r="Z65" s="39">
        <v>0.25726100000000002</v>
      </c>
      <c r="AA65" s="39">
        <v>0.25269200000000003</v>
      </c>
      <c r="AB65" s="39">
        <v>0.24818499999999999</v>
      </c>
      <c r="AC65" s="39">
        <v>0.24379000000000001</v>
      </c>
      <c r="AD65" s="39">
        <v>0.239424</v>
      </c>
      <c r="AE65" s="39">
        <v>0.23517399999999999</v>
      </c>
      <c r="AF65" s="31">
        <v>-2.1524000000000001E-2</v>
      </c>
      <c r="AG65" s="29"/>
    </row>
    <row r="66" spans="1:33" ht="12" customHeight="1">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row>
    <row r="67" spans="1:33" ht="15" customHeight="1">
      <c r="B67" s="33" t="s">
        <v>2892</v>
      </c>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row>
    <row r="68" spans="1:33" ht="15" customHeight="1">
      <c r="A68" s="34" t="s">
        <v>5104</v>
      </c>
      <c r="B68" s="37" t="s">
        <v>5103</v>
      </c>
      <c r="C68" s="38">
        <v>0.340393</v>
      </c>
      <c r="D68" s="38">
        <v>0.32860299999999998</v>
      </c>
      <c r="E68" s="38">
        <v>0.298348</v>
      </c>
      <c r="F68" s="38">
        <v>0.29450799999999999</v>
      </c>
      <c r="G68" s="38">
        <v>0.29172100000000001</v>
      </c>
      <c r="H68" s="38">
        <v>0.28928799999999999</v>
      </c>
      <c r="I68" s="38">
        <v>0.28668399999999999</v>
      </c>
      <c r="J68" s="38">
        <v>0.283808</v>
      </c>
      <c r="K68" s="38">
        <v>0.28064499999999998</v>
      </c>
      <c r="L68" s="38">
        <v>0.27730500000000002</v>
      </c>
      <c r="M68" s="38">
        <v>0.27384999999999998</v>
      </c>
      <c r="N68" s="38">
        <v>0.27067099999999999</v>
      </c>
      <c r="O68" s="38">
        <v>0.26741599999999999</v>
      </c>
      <c r="P68" s="38">
        <v>0.26435500000000001</v>
      </c>
      <c r="Q68" s="38">
        <v>0.26152700000000001</v>
      </c>
      <c r="R68" s="38">
        <v>0.25891500000000001</v>
      </c>
      <c r="S68" s="38">
        <v>0.25636999999999999</v>
      </c>
      <c r="T68" s="38">
        <v>0.25396800000000003</v>
      </c>
      <c r="U68" s="38">
        <v>0.25170300000000001</v>
      </c>
      <c r="V68" s="38">
        <v>0.24954599999999999</v>
      </c>
      <c r="W68" s="38">
        <v>0.247417</v>
      </c>
      <c r="X68" s="38">
        <v>0.24538499999999999</v>
      </c>
      <c r="Y68" s="38">
        <v>0.24345900000000001</v>
      </c>
      <c r="Z68" s="38">
        <v>0.241594</v>
      </c>
      <c r="AA68" s="38">
        <v>0.239707</v>
      </c>
      <c r="AB68" s="38">
        <v>0.23788400000000001</v>
      </c>
      <c r="AC68" s="38">
        <v>0.23608100000000001</v>
      </c>
      <c r="AD68" s="38">
        <v>0.23432800000000001</v>
      </c>
      <c r="AE68" s="38">
        <v>0.23263400000000001</v>
      </c>
      <c r="AF68" s="35">
        <v>-1.3502E-2</v>
      </c>
      <c r="AG68" s="29"/>
    </row>
    <row r="69" spans="1:33" ht="15" customHeight="1">
      <c r="A69" s="34" t="s">
        <v>5102</v>
      </c>
      <c r="B69" s="37" t="s">
        <v>5101</v>
      </c>
      <c r="C69" s="38">
        <v>6.0220999999999997E-2</v>
      </c>
      <c r="D69" s="38">
        <v>5.7038999999999999E-2</v>
      </c>
      <c r="E69" s="38">
        <v>5.4758000000000001E-2</v>
      </c>
      <c r="F69" s="38">
        <v>5.3261999999999997E-2</v>
      </c>
      <c r="G69" s="38">
        <v>5.2171000000000002E-2</v>
      </c>
      <c r="H69" s="38">
        <v>5.1295E-2</v>
      </c>
      <c r="I69" s="38">
        <v>5.0535999999999998E-2</v>
      </c>
      <c r="J69" s="38">
        <v>4.9869999999999998E-2</v>
      </c>
      <c r="K69" s="38">
        <v>4.9292999999999997E-2</v>
      </c>
      <c r="L69" s="38">
        <v>4.8556000000000002E-2</v>
      </c>
      <c r="M69" s="38">
        <v>4.7706999999999999E-2</v>
      </c>
      <c r="N69" s="38">
        <v>4.6803999999999998E-2</v>
      </c>
      <c r="O69" s="38">
        <v>4.5865999999999997E-2</v>
      </c>
      <c r="P69" s="38">
        <v>4.4928000000000003E-2</v>
      </c>
      <c r="Q69" s="38">
        <v>4.4021999999999999E-2</v>
      </c>
      <c r="R69" s="38">
        <v>4.3145000000000003E-2</v>
      </c>
      <c r="S69" s="38">
        <v>4.2285999999999997E-2</v>
      </c>
      <c r="T69" s="38">
        <v>4.1473000000000003E-2</v>
      </c>
      <c r="U69" s="38">
        <v>4.0703999999999997E-2</v>
      </c>
      <c r="V69" s="38">
        <v>3.9976999999999999E-2</v>
      </c>
      <c r="W69" s="38">
        <v>3.9300000000000002E-2</v>
      </c>
      <c r="X69" s="38">
        <v>3.8684999999999997E-2</v>
      </c>
      <c r="Y69" s="38">
        <v>3.8130999999999998E-2</v>
      </c>
      <c r="Z69" s="38">
        <v>3.7622999999999997E-2</v>
      </c>
      <c r="AA69" s="38">
        <v>3.7130000000000003E-2</v>
      </c>
      <c r="AB69" s="38">
        <v>3.6677000000000001E-2</v>
      </c>
      <c r="AC69" s="38">
        <v>3.6255999999999997E-2</v>
      </c>
      <c r="AD69" s="38">
        <v>3.5862999999999999E-2</v>
      </c>
      <c r="AE69" s="38">
        <v>3.5496E-2</v>
      </c>
      <c r="AF69" s="35">
        <v>-1.8702E-2</v>
      </c>
      <c r="AG69" s="29"/>
    </row>
    <row r="70" spans="1:33" ht="15" customHeight="1">
      <c r="A70" s="34" t="s">
        <v>5100</v>
      </c>
      <c r="B70" s="37" t="s">
        <v>5099</v>
      </c>
      <c r="C70" s="38">
        <v>1.6931000000000002E-2</v>
      </c>
      <c r="D70" s="38">
        <v>1.6749E-2</v>
      </c>
      <c r="E70" s="38">
        <v>1.6560999999999999E-2</v>
      </c>
      <c r="F70" s="38">
        <v>1.6368000000000001E-2</v>
      </c>
      <c r="G70" s="38">
        <v>1.6164999999999999E-2</v>
      </c>
      <c r="H70" s="38">
        <v>1.5948E-2</v>
      </c>
      <c r="I70" s="38">
        <v>1.5723000000000001E-2</v>
      </c>
      <c r="J70" s="38">
        <v>1.5488999999999999E-2</v>
      </c>
      <c r="K70" s="38">
        <v>1.5245E-2</v>
      </c>
      <c r="L70" s="38">
        <v>1.4994E-2</v>
      </c>
      <c r="M70" s="38">
        <v>1.4737E-2</v>
      </c>
      <c r="N70" s="38">
        <v>1.4520999999999999E-2</v>
      </c>
      <c r="O70" s="38">
        <v>1.4345E-2</v>
      </c>
      <c r="P70" s="38">
        <v>1.421E-2</v>
      </c>
      <c r="Q70" s="38">
        <v>1.4119E-2</v>
      </c>
      <c r="R70" s="38">
        <v>1.4071E-2</v>
      </c>
      <c r="S70" s="38">
        <v>1.4016000000000001E-2</v>
      </c>
      <c r="T70" s="38">
        <v>1.3956E-2</v>
      </c>
      <c r="U70" s="38">
        <v>1.389E-2</v>
      </c>
      <c r="V70" s="38">
        <v>1.3818E-2</v>
      </c>
      <c r="W70" s="38">
        <v>1.3741E-2</v>
      </c>
      <c r="X70" s="38">
        <v>1.3661E-2</v>
      </c>
      <c r="Y70" s="38">
        <v>1.3580999999999999E-2</v>
      </c>
      <c r="Z70" s="38">
        <v>1.3502E-2</v>
      </c>
      <c r="AA70" s="38">
        <v>1.3427E-2</v>
      </c>
      <c r="AB70" s="38">
        <v>1.3357000000000001E-2</v>
      </c>
      <c r="AC70" s="38">
        <v>1.3292999999999999E-2</v>
      </c>
      <c r="AD70" s="38">
        <v>1.3233E-2</v>
      </c>
      <c r="AE70" s="38">
        <v>1.3174999999999999E-2</v>
      </c>
      <c r="AF70" s="35">
        <v>-8.9169999999999996E-3</v>
      </c>
      <c r="AG70" s="29"/>
    </row>
    <row r="71" spans="1:33" ht="15" customHeight="1">
      <c r="A71" s="34" t="s">
        <v>5098</v>
      </c>
      <c r="B71" s="37" t="s">
        <v>5097</v>
      </c>
      <c r="C71" s="38">
        <v>7.3539999999999994E-2</v>
      </c>
      <c r="D71" s="38">
        <v>7.3881000000000002E-2</v>
      </c>
      <c r="E71" s="38">
        <v>7.5037999999999994E-2</v>
      </c>
      <c r="F71" s="38">
        <v>7.6966999999999994E-2</v>
      </c>
      <c r="G71" s="38">
        <v>7.9217999999999997E-2</v>
      </c>
      <c r="H71" s="38">
        <v>8.1564999999999999E-2</v>
      </c>
      <c r="I71" s="38">
        <v>8.3859000000000003E-2</v>
      </c>
      <c r="J71" s="38">
        <v>8.6046999999999998E-2</v>
      </c>
      <c r="K71" s="38">
        <v>8.8106000000000004E-2</v>
      </c>
      <c r="L71" s="38">
        <v>9.0053999999999995E-2</v>
      </c>
      <c r="M71" s="38">
        <v>9.1918E-2</v>
      </c>
      <c r="N71" s="38">
        <v>9.3709000000000001E-2</v>
      </c>
      <c r="O71" s="38">
        <v>9.5459000000000002E-2</v>
      </c>
      <c r="P71" s="38">
        <v>9.7230999999999998E-2</v>
      </c>
      <c r="Q71" s="38">
        <v>9.9066000000000001E-2</v>
      </c>
      <c r="R71" s="38">
        <v>0.10094500000000001</v>
      </c>
      <c r="S71" s="38">
        <v>0.102823</v>
      </c>
      <c r="T71" s="38">
        <v>0.104744</v>
      </c>
      <c r="U71" s="38">
        <v>0.10668800000000001</v>
      </c>
      <c r="V71" s="38">
        <v>0.10864500000000001</v>
      </c>
      <c r="W71" s="38">
        <v>0.110621</v>
      </c>
      <c r="X71" s="38">
        <v>0.112653</v>
      </c>
      <c r="Y71" s="38">
        <v>0.114748</v>
      </c>
      <c r="Z71" s="38">
        <v>0.116869</v>
      </c>
      <c r="AA71" s="38">
        <v>0.118934</v>
      </c>
      <c r="AB71" s="38">
        <v>0.121035</v>
      </c>
      <c r="AC71" s="38">
        <v>0.12316199999999999</v>
      </c>
      <c r="AD71" s="38">
        <v>0.12532199999999999</v>
      </c>
      <c r="AE71" s="38">
        <v>0.12750900000000001</v>
      </c>
      <c r="AF71" s="35">
        <v>1.985E-2</v>
      </c>
      <c r="AG71" s="29"/>
    </row>
    <row r="72" spans="1:33" ht="15" customHeight="1">
      <c r="A72" s="34" t="s">
        <v>5096</v>
      </c>
      <c r="B72" s="33" t="s">
        <v>2076</v>
      </c>
      <c r="C72" s="39">
        <v>0.49108499999999999</v>
      </c>
      <c r="D72" s="39">
        <v>0.47627199999999997</v>
      </c>
      <c r="E72" s="39">
        <v>0.44470500000000002</v>
      </c>
      <c r="F72" s="39">
        <v>0.44110500000000002</v>
      </c>
      <c r="G72" s="39">
        <v>0.43927500000000003</v>
      </c>
      <c r="H72" s="39">
        <v>0.43809599999999999</v>
      </c>
      <c r="I72" s="39">
        <v>0.43680099999999999</v>
      </c>
      <c r="J72" s="39">
        <v>0.43521399999999999</v>
      </c>
      <c r="K72" s="39">
        <v>0.43328899999999998</v>
      </c>
      <c r="L72" s="39">
        <v>0.43090899999999999</v>
      </c>
      <c r="M72" s="39">
        <v>0.42821300000000001</v>
      </c>
      <c r="N72" s="39">
        <v>0.425705</v>
      </c>
      <c r="O72" s="39">
        <v>0.42308499999999999</v>
      </c>
      <c r="P72" s="39">
        <v>0.42072399999999999</v>
      </c>
      <c r="Q72" s="39">
        <v>0.418734</v>
      </c>
      <c r="R72" s="39">
        <v>0.417076</v>
      </c>
      <c r="S72" s="39">
        <v>0.415495</v>
      </c>
      <c r="T72" s="39">
        <v>0.41414200000000001</v>
      </c>
      <c r="U72" s="39">
        <v>0.41298400000000002</v>
      </c>
      <c r="V72" s="39">
        <v>0.41198600000000002</v>
      </c>
      <c r="W72" s="39">
        <v>0.41108</v>
      </c>
      <c r="X72" s="39">
        <v>0.410385</v>
      </c>
      <c r="Y72" s="39">
        <v>0.40991899999999998</v>
      </c>
      <c r="Z72" s="39">
        <v>0.40958800000000001</v>
      </c>
      <c r="AA72" s="39">
        <v>0.40919800000000001</v>
      </c>
      <c r="AB72" s="39">
        <v>0.40895199999999998</v>
      </c>
      <c r="AC72" s="39">
        <v>0.40879199999999999</v>
      </c>
      <c r="AD72" s="39">
        <v>0.408746</v>
      </c>
      <c r="AE72" s="39">
        <v>0.40881400000000001</v>
      </c>
      <c r="AF72" s="31">
        <v>-6.5269999999999998E-3</v>
      </c>
      <c r="AG72" s="29"/>
    </row>
    <row r="73" spans="1:33" ht="12" customHeight="1">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1:33" ht="15" customHeight="1">
      <c r="A74" s="34" t="s">
        <v>5095</v>
      </c>
      <c r="B74" s="37" t="s">
        <v>5094</v>
      </c>
      <c r="C74" s="38">
        <v>0.53893199999999997</v>
      </c>
      <c r="D74" s="38">
        <v>0.57440999999999998</v>
      </c>
      <c r="E74" s="38">
        <v>0.51306799999999997</v>
      </c>
      <c r="F74" s="38">
        <v>0.48986400000000002</v>
      </c>
      <c r="G74" s="38">
        <v>0.47216399999999997</v>
      </c>
      <c r="H74" s="38">
        <v>0.45763999999999999</v>
      </c>
      <c r="I74" s="38">
        <v>0.44519999999999998</v>
      </c>
      <c r="J74" s="38">
        <v>0.435137</v>
      </c>
      <c r="K74" s="38">
        <v>0.42601699999999998</v>
      </c>
      <c r="L74" s="38">
        <v>0.41790899999999997</v>
      </c>
      <c r="M74" s="38">
        <v>0.409804</v>
      </c>
      <c r="N74" s="38">
        <v>0.40263100000000002</v>
      </c>
      <c r="O74" s="38">
        <v>0.39503899999999997</v>
      </c>
      <c r="P74" s="38">
        <v>0.38751400000000003</v>
      </c>
      <c r="Q74" s="38">
        <v>0.37993500000000002</v>
      </c>
      <c r="R74" s="38">
        <v>0.37285699999999999</v>
      </c>
      <c r="S74" s="38">
        <v>0.36608299999999999</v>
      </c>
      <c r="T74" s="38">
        <v>0.35957499999999998</v>
      </c>
      <c r="U74" s="38">
        <v>0.35324100000000003</v>
      </c>
      <c r="V74" s="38">
        <v>0.34762199999999999</v>
      </c>
      <c r="W74" s="38">
        <v>0.34207100000000001</v>
      </c>
      <c r="X74" s="38">
        <v>0.33705400000000002</v>
      </c>
      <c r="Y74" s="38">
        <v>0.332011</v>
      </c>
      <c r="Z74" s="38">
        <v>0.327538</v>
      </c>
      <c r="AA74" s="38">
        <v>0.32387199999999999</v>
      </c>
      <c r="AB74" s="38">
        <v>0.32008300000000001</v>
      </c>
      <c r="AC74" s="38">
        <v>0.31608900000000001</v>
      </c>
      <c r="AD74" s="38">
        <v>0.31211100000000003</v>
      </c>
      <c r="AE74" s="38">
        <v>0.30802400000000002</v>
      </c>
      <c r="AF74" s="35">
        <v>-1.9781E-2</v>
      </c>
      <c r="AG74" s="29"/>
    </row>
    <row r="75" spans="1:33" ht="15" customHeight="1">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1:33" ht="15" customHeight="1">
      <c r="B76" s="33" t="s">
        <v>5093</v>
      </c>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1:33" ht="15" customHeight="1">
      <c r="A77" s="34" t="s">
        <v>5092</v>
      </c>
      <c r="B77" s="37" t="s">
        <v>5068</v>
      </c>
      <c r="C77" s="38">
        <v>5.7437990000000001</v>
      </c>
      <c r="D77" s="38">
        <v>5.8167090000000004</v>
      </c>
      <c r="E77" s="38">
        <v>5.3206829999999998</v>
      </c>
      <c r="F77" s="38">
        <v>5.2993560000000004</v>
      </c>
      <c r="G77" s="38">
        <v>5.2785640000000003</v>
      </c>
      <c r="H77" s="38">
        <v>5.2510760000000003</v>
      </c>
      <c r="I77" s="38">
        <v>5.2174740000000002</v>
      </c>
      <c r="J77" s="38">
        <v>5.1750949999999998</v>
      </c>
      <c r="K77" s="38">
        <v>5.127351</v>
      </c>
      <c r="L77" s="38">
        <v>5.0770179999999998</v>
      </c>
      <c r="M77" s="38">
        <v>5.02658</v>
      </c>
      <c r="N77" s="38">
        <v>4.9858409999999997</v>
      </c>
      <c r="O77" s="38">
        <v>4.9413200000000002</v>
      </c>
      <c r="P77" s="38">
        <v>4.8989659999999997</v>
      </c>
      <c r="Q77" s="38">
        <v>4.8595360000000003</v>
      </c>
      <c r="R77" s="38">
        <v>4.8225550000000004</v>
      </c>
      <c r="S77" s="38">
        <v>4.784821</v>
      </c>
      <c r="T77" s="38">
        <v>4.7496340000000004</v>
      </c>
      <c r="U77" s="38">
        <v>4.7167779999999997</v>
      </c>
      <c r="V77" s="38">
        <v>4.6856280000000003</v>
      </c>
      <c r="W77" s="38">
        <v>4.6557829999999996</v>
      </c>
      <c r="X77" s="38">
        <v>4.628654</v>
      </c>
      <c r="Y77" s="38">
        <v>4.6032520000000003</v>
      </c>
      <c r="Z77" s="38">
        <v>4.5774530000000002</v>
      </c>
      <c r="AA77" s="38">
        <v>4.5492520000000001</v>
      </c>
      <c r="AB77" s="38">
        <v>4.522653</v>
      </c>
      <c r="AC77" s="38">
        <v>4.4976979999999998</v>
      </c>
      <c r="AD77" s="38">
        <v>4.4730980000000002</v>
      </c>
      <c r="AE77" s="38">
        <v>4.4476490000000002</v>
      </c>
      <c r="AF77" s="35">
        <v>-9.0919999999999994E-3</v>
      </c>
      <c r="AG77" s="29"/>
    </row>
    <row r="78" spans="1:33" ht="15" customHeight="1">
      <c r="A78" s="34" t="s">
        <v>5091</v>
      </c>
      <c r="B78" s="37" t="s">
        <v>5066</v>
      </c>
      <c r="C78" s="38">
        <v>0.91247500000000004</v>
      </c>
      <c r="D78" s="38">
        <v>0.78572200000000003</v>
      </c>
      <c r="E78" s="38">
        <v>0.95037000000000005</v>
      </c>
      <c r="F78" s="38">
        <v>0.97087400000000001</v>
      </c>
      <c r="G78" s="38">
        <v>0.99026800000000004</v>
      </c>
      <c r="H78" s="38">
        <v>1.0103789999999999</v>
      </c>
      <c r="I78" s="38">
        <v>1.029992</v>
      </c>
      <c r="J78" s="38">
        <v>1.048459</v>
      </c>
      <c r="K78" s="38">
        <v>1.0645690000000001</v>
      </c>
      <c r="L78" s="38">
        <v>1.079664</v>
      </c>
      <c r="M78" s="38">
        <v>1.0958680000000001</v>
      </c>
      <c r="N78" s="38">
        <v>1.1120030000000001</v>
      </c>
      <c r="O78" s="38">
        <v>1.1285069999999999</v>
      </c>
      <c r="P78" s="38">
        <v>1.147432</v>
      </c>
      <c r="Q78" s="38">
        <v>1.1682380000000001</v>
      </c>
      <c r="R78" s="38">
        <v>1.1901900000000001</v>
      </c>
      <c r="S78" s="38">
        <v>1.2119450000000001</v>
      </c>
      <c r="T78" s="38">
        <v>1.2341850000000001</v>
      </c>
      <c r="U78" s="38">
        <v>1.2567489999999999</v>
      </c>
      <c r="V78" s="38">
        <v>1.279439</v>
      </c>
      <c r="W78" s="38">
        <v>1.302789</v>
      </c>
      <c r="X78" s="38">
        <v>1.326819</v>
      </c>
      <c r="Y78" s="38">
        <v>1.351826</v>
      </c>
      <c r="Z78" s="38">
        <v>1.3777349999999999</v>
      </c>
      <c r="AA78" s="38">
        <v>1.405762</v>
      </c>
      <c r="AB78" s="38">
        <v>1.434909</v>
      </c>
      <c r="AC78" s="38">
        <v>1.4646790000000001</v>
      </c>
      <c r="AD78" s="38">
        <v>1.494399</v>
      </c>
      <c r="AE78" s="38">
        <v>1.5252699999999999</v>
      </c>
      <c r="AF78" s="35">
        <v>1.8518E-2</v>
      </c>
      <c r="AG78" s="29"/>
    </row>
    <row r="79" spans="1:33" ht="12" customHeight="1">
      <c r="A79" s="34" t="s">
        <v>5090</v>
      </c>
      <c r="B79" s="37" t="s">
        <v>5064</v>
      </c>
      <c r="C79" s="38">
        <v>1.6860470000000001</v>
      </c>
      <c r="D79" s="38">
        <v>1.6764079999999999</v>
      </c>
      <c r="E79" s="38">
        <v>1.681888</v>
      </c>
      <c r="F79" s="38">
        <v>1.6958260000000001</v>
      </c>
      <c r="G79" s="38">
        <v>1.710388</v>
      </c>
      <c r="H79" s="38">
        <v>1.7242150000000001</v>
      </c>
      <c r="I79" s="38">
        <v>1.737117</v>
      </c>
      <c r="J79" s="38">
        <v>1.746907</v>
      </c>
      <c r="K79" s="38">
        <v>1.75451</v>
      </c>
      <c r="L79" s="38">
        <v>1.759377</v>
      </c>
      <c r="M79" s="38">
        <v>1.763657</v>
      </c>
      <c r="N79" s="38">
        <v>1.7701150000000001</v>
      </c>
      <c r="O79" s="38">
        <v>1.776848</v>
      </c>
      <c r="P79" s="38">
        <v>1.7859210000000001</v>
      </c>
      <c r="Q79" s="38">
        <v>1.7956160000000001</v>
      </c>
      <c r="R79" s="38">
        <v>1.8048709999999999</v>
      </c>
      <c r="S79" s="38">
        <v>1.8128249999999999</v>
      </c>
      <c r="T79" s="38">
        <v>1.820973</v>
      </c>
      <c r="U79" s="38">
        <v>1.8290569999999999</v>
      </c>
      <c r="V79" s="38">
        <v>1.8370709999999999</v>
      </c>
      <c r="W79" s="38">
        <v>1.8455630000000001</v>
      </c>
      <c r="X79" s="38">
        <v>1.8550660000000001</v>
      </c>
      <c r="Y79" s="38">
        <v>1.865388</v>
      </c>
      <c r="Z79" s="38">
        <v>1.8753299999999999</v>
      </c>
      <c r="AA79" s="38">
        <v>1.8827719999999999</v>
      </c>
      <c r="AB79" s="38">
        <v>1.891669</v>
      </c>
      <c r="AC79" s="38">
        <v>1.9022250000000001</v>
      </c>
      <c r="AD79" s="38">
        <v>1.9136150000000001</v>
      </c>
      <c r="AE79" s="38">
        <v>1.9250860000000001</v>
      </c>
      <c r="AF79" s="35">
        <v>4.7460000000000002E-3</v>
      </c>
      <c r="AG79" s="29"/>
    </row>
    <row r="80" spans="1:33" ht="15" customHeight="1">
      <c r="A80" s="34" t="s">
        <v>5089</v>
      </c>
      <c r="B80" s="37" t="s">
        <v>5062</v>
      </c>
      <c r="C80" s="38">
        <v>0.29555799999999999</v>
      </c>
      <c r="D80" s="38">
        <v>0.293987</v>
      </c>
      <c r="E80" s="38">
        <v>0.29266799999999998</v>
      </c>
      <c r="F80" s="38">
        <v>0.29163</v>
      </c>
      <c r="G80" s="38">
        <v>0.29078300000000001</v>
      </c>
      <c r="H80" s="38">
        <v>0.29015800000000003</v>
      </c>
      <c r="I80" s="38">
        <v>0.28977799999999998</v>
      </c>
      <c r="J80" s="38">
        <v>0.28961500000000001</v>
      </c>
      <c r="K80" s="38">
        <v>0.289659</v>
      </c>
      <c r="L80" s="38">
        <v>0.28998600000000002</v>
      </c>
      <c r="M80" s="38">
        <v>0.29063</v>
      </c>
      <c r="N80" s="38">
        <v>0.29157</v>
      </c>
      <c r="O80" s="38">
        <v>0.29279500000000003</v>
      </c>
      <c r="P80" s="38">
        <v>0.29434300000000002</v>
      </c>
      <c r="Q80" s="38">
        <v>0.29624200000000001</v>
      </c>
      <c r="R80" s="38">
        <v>0.29844700000000002</v>
      </c>
      <c r="S80" s="38">
        <v>0.30096000000000001</v>
      </c>
      <c r="T80" s="38">
        <v>0.30374499999999999</v>
      </c>
      <c r="U80" s="38">
        <v>0.30684800000000001</v>
      </c>
      <c r="V80" s="38">
        <v>0.310249</v>
      </c>
      <c r="W80" s="38">
        <v>0.313888</v>
      </c>
      <c r="X80" s="38">
        <v>0.31748199999999999</v>
      </c>
      <c r="Y80" s="38">
        <v>0.32102399999999998</v>
      </c>
      <c r="Z80" s="38">
        <v>0.32450699999999999</v>
      </c>
      <c r="AA80" s="38">
        <v>0.32791500000000001</v>
      </c>
      <c r="AB80" s="38">
        <v>0.33124999999999999</v>
      </c>
      <c r="AC80" s="38">
        <v>0.33449600000000002</v>
      </c>
      <c r="AD80" s="38">
        <v>0.33764499999999997</v>
      </c>
      <c r="AE80" s="38">
        <v>0.340702</v>
      </c>
      <c r="AF80" s="35">
        <v>5.0899999999999999E-3</v>
      </c>
      <c r="AG80" s="29"/>
    </row>
    <row r="81" spans="1:33" ht="12" customHeight="1">
      <c r="A81" s="34" t="s">
        <v>5088</v>
      </c>
      <c r="B81" s="37" t="s">
        <v>5060</v>
      </c>
      <c r="C81" s="38">
        <v>0.17633199999999999</v>
      </c>
      <c r="D81" s="38">
        <v>0.176672</v>
      </c>
      <c r="E81" s="38">
        <v>0.17702799999999999</v>
      </c>
      <c r="F81" s="38">
        <v>0.17741699999999999</v>
      </c>
      <c r="G81" s="38">
        <v>0.177783</v>
      </c>
      <c r="H81" s="38">
        <v>0.17812800000000001</v>
      </c>
      <c r="I81" s="38">
        <v>0.17849000000000001</v>
      </c>
      <c r="J81" s="38">
        <v>0.178893</v>
      </c>
      <c r="K81" s="38">
        <v>0.179315</v>
      </c>
      <c r="L81" s="38">
        <v>0.17977399999999999</v>
      </c>
      <c r="M81" s="38">
        <v>0.18029100000000001</v>
      </c>
      <c r="N81" s="38">
        <v>0.18095600000000001</v>
      </c>
      <c r="O81" s="38">
        <v>0.181724</v>
      </c>
      <c r="P81" s="38">
        <v>0.182619</v>
      </c>
      <c r="Q81" s="38">
        <v>0.18365200000000001</v>
      </c>
      <c r="R81" s="38">
        <v>0.18481</v>
      </c>
      <c r="S81" s="38">
        <v>0.185975</v>
      </c>
      <c r="T81" s="38">
        <v>0.187144</v>
      </c>
      <c r="U81" s="38">
        <v>0.188336</v>
      </c>
      <c r="V81" s="38">
        <v>0.18954399999999999</v>
      </c>
      <c r="W81" s="38">
        <v>0.190752</v>
      </c>
      <c r="X81" s="38">
        <v>0.191971</v>
      </c>
      <c r="Y81" s="38">
        <v>0.19320100000000001</v>
      </c>
      <c r="Z81" s="38">
        <v>0.194441</v>
      </c>
      <c r="AA81" s="38">
        <v>0.19568199999999999</v>
      </c>
      <c r="AB81" s="38">
        <v>0.19692699999999999</v>
      </c>
      <c r="AC81" s="38">
        <v>0.19816400000000001</v>
      </c>
      <c r="AD81" s="38">
        <v>0.19938400000000001</v>
      </c>
      <c r="AE81" s="38">
        <v>0.20058400000000001</v>
      </c>
      <c r="AF81" s="35">
        <v>4.6129999999999999E-3</v>
      </c>
      <c r="AG81" s="29"/>
    </row>
    <row r="82" spans="1:33" ht="15" customHeight="1">
      <c r="A82" s="34" t="s">
        <v>5087</v>
      </c>
      <c r="B82" s="37" t="s">
        <v>5058</v>
      </c>
      <c r="C82" s="38">
        <v>0.262179</v>
      </c>
      <c r="D82" s="38">
        <v>0.26705499999999999</v>
      </c>
      <c r="E82" s="38">
        <v>0.27271800000000002</v>
      </c>
      <c r="F82" s="38">
        <v>0.27916600000000003</v>
      </c>
      <c r="G82" s="38">
        <v>0.28541299999999997</v>
      </c>
      <c r="H82" s="38">
        <v>0.29130800000000001</v>
      </c>
      <c r="I82" s="38">
        <v>0.29685299999999998</v>
      </c>
      <c r="J82" s="38">
        <v>0.30188700000000002</v>
      </c>
      <c r="K82" s="38">
        <v>0.306369</v>
      </c>
      <c r="L82" s="38">
        <v>0.31048399999999998</v>
      </c>
      <c r="M82" s="38">
        <v>0.314552</v>
      </c>
      <c r="N82" s="38">
        <v>0.31818200000000002</v>
      </c>
      <c r="O82" s="38">
        <v>0.32178600000000002</v>
      </c>
      <c r="P82" s="38">
        <v>0.32580300000000001</v>
      </c>
      <c r="Q82" s="38">
        <v>0.330063</v>
      </c>
      <c r="R82" s="38">
        <v>0.33418500000000001</v>
      </c>
      <c r="S82" s="38">
        <v>0.33801199999999998</v>
      </c>
      <c r="T82" s="38">
        <v>0.34182899999999999</v>
      </c>
      <c r="U82" s="38">
        <v>0.34568100000000002</v>
      </c>
      <c r="V82" s="38">
        <v>0.349609</v>
      </c>
      <c r="W82" s="38">
        <v>0.353661</v>
      </c>
      <c r="X82" s="38">
        <v>0.35787099999999999</v>
      </c>
      <c r="Y82" s="38">
        <v>0.362147</v>
      </c>
      <c r="Z82" s="38">
        <v>0.36639100000000002</v>
      </c>
      <c r="AA82" s="38">
        <v>0.37062499999999998</v>
      </c>
      <c r="AB82" s="38">
        <v>0.37506099999999998</v>
      </c>
      <c r="AC82" s="38">
        <v>0.379581</v>
      </c>
      <c r="AD82" s="38">
        <v>0.38419700000000001</v>
      </c>
      <c r="AE82" s="38">
        <v>0.38902799999999998</v>
      </c>
      <c r="AF82" s="35">
        <v>1.4194E-2</v>
      </c>
      <c r="AG82" s="29"/>
    </row>
    <row r="83" spans="1:33" ht="15" customHeight="1">
      <c r="A83" s="34" t="s">
        <v>5086</v>
      </c>
      <c r="B83" s="37" t="s">
        <v>5056</v>
      </c>
      <c r="C83" s="38">
        <v>6.9006999999999999E-2</v>
      </c>
      <c r="D83" s="38">
        <v>6.8849999999999995E-2</v>
      </c>
      <c r="E83" s="38">
        <v>6.8686999999999998E-2</v>
      </c>
      <c r="F83" s="38">
        <v>6.8515999999999994E-2</v>
      </c>
      <c r="G83" s="38">
        <v>6.8318000000000004E-2</v>
      </c>
      <c r="H83" s="38">
        <v>6.8104999999999999E-2</v>
      </c>
      <c r="I83" s="38">
        <v>6.7921999999999996E-2</v>
      </c>
      <c r="J83" s="38">
        <v>6.7761000000000002E-2</v>
      </c>
      <c r="K83" s="38">
        <v>6.7614999999999995E-2</v>
      </c>
      <c r="L83" s="38">
        <v>6.7486000000000004E-2</v>
      </c>
      <c r="M83" s="38">
        <v>6.7377000000000006E-2</v>
      </c>
      <c r="N83" s="38">
        <v>6.7287E-2</v>
      </c>
      <c r="O83" s="38">
        <v>6.7215999999999998E-2</v>
      </c>
      <c r="P83" s="38">
        <v>6.7169000000000006E-2</v>
      </c>
      <c r="Q83" s="38">
        <v>6.7158999999999996E-2</v>
      </c>
      <c r="R83" s="38">
        <v>6.7178000000000002E-2</v>
      </c>
      <c r="S83" s="38">
        <v>6.7228999999999997E-2</v>
      </c>
      <c r="T83" s="38">
        <v>6.7310999999999996E-2</v>
      </c>
      <c r="U83" s="38">
        <v>6.7431000000000005E-2</v>
      </c>
      <c r="V83" s="38">
        <v>6.7596000000000003E-2</v>
      </c>
      <c r="W83" s="38">
        <v>6.7793999999999993E-2</v>
      </c>
      <c r="X83" s="38">
        <v>6.8035999999999999E-2</v>
      </c>
      <c r="Y83" s="38">
        <v>6.8325999999999998E-2</v>
      </c>
      <c r="Z83" s="38">
        <v>6.8666000000000005E-2</v>
      </c>
      <c r="AA83" s="38">
        <v>6.9053000000000003E-2</v>
      </c>
      <c r="AB83" s="38">
        <v>6.9481000000000001E-2</v>
      </c>
      <c r="AC83" s="38">
        <v>6.9903999999999994E-2</v>
      </c>
      <c r="AD83" s="38">
        <v>7.0319000000000007E-2</v>
      </c>
      <c r="AE83" s="38">
        <v>7.0729E-2</v>
      </c>
      <c r="AF83" s="35">
        <v>8.8099999999999995E-4</v>
      </c>
      <c r="AG83" s="29"/>
    </row>
    <row r="84" spans="1:33" ht="15" customHeight="1">
      <c r="A84" s="34" t="s">
        <v>5085</v>
      </c>
      <c r="B84" s="37" t="s">
        <v>5054</v>
      </c>
      <c r="C84" s="38">
        <v>0.22927</v>
      </c>
      <c r="D84" s="38">
        <v>0.21315999999999999</v>
      </c>
      <c r="E84" s="38">
        <v>0.20679400000000001</v>
      </c>
      <c r="F84" s="38">
        <v>0.20512900000000001</v>
      </c>
      <c r="G84" s="38">
        <v>0.20519999999999999</v>
      </c>
      <c r="H84" s="38">
        <v>0.206404</v>
      </c>
      <c r="I84" s="38">
        <v>0.20832999999999999</v>
      </c>
      <c r="J84" s="38">
        <v>0.210226</v>
      </c>
      <c r="K84" s="38">
        <v>0.209704</v>
      </c>
      <c r="L84" s="38">
        <v>0.20916399999999999</v>
      </c>
      <c r="M84" s="38">
        <v>0.20885500000000001</v>
      </c>
      <c r="N84" s="38">
        <v>0.208568</v>
      </c>
      <c r="O84" s="38">
        <v>0.208536</v>
      </c>
      <c r="P84" s="38">
        <v>0.20901600000000001</v>
      </c>
      <c r="Q84" s="38">
        <v>0.20962700000000001</v>
      </c>
      <c r="R84" s="38">
        <v>0.210178</v>
      </c>
      <c r="S84" s="38">
        <v>0.210558</v>
      </c>
      <c r="T84" s="38">
        <v>0.210954</v>
      </c>
      <c r="U84" s="38">
        <v>0.207703</v>
      </c>
      <c r="V84" s="38">
        <v>0.205012</v>
      </c>
      <c r="W84" s="38">
        <v>0.20291100000000001</v>
      </c>
      <c r="X84" s="38">
        <v>0.20146700000000001</v>
      </c>
      <c r="Y84" s="38">
        <v>0.200848</v>
      </c>
      <c r="Z84" s="38">
        <v>0.20064000000000001</v>
      </c>
      <c r="AA84" s="38">
        <v>0.20059199999999999</v>
      </c>
      <c r="AB84" s="38">
        <v>0.20072999999999999</v>
      </c>
      <c r="AC84" s="38">
        <v>0.200991</v>
      </c>
      <c r="AD84" s="38">
        <v>0.20142299999999999</v>
      </c>
      <c r="AE84" s="38">
        <v>0.20205600000000001</v>
      </c>
      <c r="AF84" s="35">
        <v>-4.5030000000000001E-3</v>
      </c>
      <c r="AG84" s="29"/>
    </row>
    <row r="85" spans="1:33" ht="15" customHeight="1">
      <c r="A85" s="34" t="s">
        <v>5084</v>
      </c>
      <c r="B85" s="37" t="s">
        <v>5052</v>
      </c>
      <c r="C85" s="38">
        <v>3.7489000000000001E-2</v>
      </c>
      <c r="D85" s="38">
        <v>3.7812999999999999E-2</v>
      </c>
      <c r="E85" s="38">
        <v>3.8143999999999997E-2</v>
      </c>
      <c r="F85" s="38">
        <v>3.8485999999999999E-2</v>
      </c>
      <c r="G85" s="38">
        <v>3.8827E-2</v>
      </c>
      <c r="H85" s="38">
        <v>3.9168000000000001E-2</v>
      </c>
      <c r="I85" s="38">
        <v>3.9518999999999999E-2</v>
      </c>
      <c r="J85" s="38">
        <v>3.9875000000000001E-2</v>
      </c>
      <c r="K85" s="38">
        <v>4.0245999999999997E-2</v>
      </c>
      <c r="L85" s="38">
        <v>4.0617E-2</v>
      </c>
      <c r="M85" s="38">
        <v>4.0992000000000001E-2</v>
      </c>
      <c r="N85" s="38">
        <v>4.1364999999999999E-2</v>
      </c>
      <c r="O85" s="38">
        <v>4.1732999999999999E-2</v>
      </c>
      <c r="P85" s="38">
        <v>4.2098999999999998E-2</v>
      </c>
      <c r="Q85" s="38">
        <v>4.2465000000000003E-2</v>
      </c>
      <c r="R85" s="38">
        <v>4.2827999999999998E-2</v>
      </c>
      <c r="S85" s="38">
        <v>4.3187000000000003E-2</v>
      </c>
      <c r="T85" s="38">
        <v>4.3541999999999997E-2</v>
      </c>
      <c r="U85" s="38">
        <v>4.3898E-2</v>
      </c>
      <c r="V85" s="38">
        <v>4.4252E-2</v>
      </c>
      <c r="W85" s="38">
        <v>4.4599E-2</v>
      </c>
      <c r="X85" s="38">
        <v>4.4942000000000003E-2</v>
      </c>
      <c r="Y85" s="38">
        <v>4.5282000000000003E-2</v>
      </c>
      <c r="Z85" s="38">
        <v>4.5619E-2</v>
      </c>
      <c r="AA85" s="38">
        <v>4.5952E-2</v>
      </c>
      <c r="AB85" s="38">
        <v>4.6282999999999998E-2</v>
      </c>
      <c r="AC85" s="38">
        <v>4.6611E-2</v>
      </c>
      <c r="AD85" s="38">
        <v>4.6935999999999999E-2</v>
      </c>
      <c r="AE85" s="38">
        <v>4.7258000000000001E-2</v>
      </c>
      <c r="AF85" s="35">
        <v>8.3049999999999999E-3</v>
      </c>
      <c r="AG85" s="29"/>
    </row>
    <row r="86" spans="1:33" ht="15" customHeight="1">
      <c r="A86" s="34" t="s">
        <v>5083</v>
      </c>
      <c r="B86" s="37" t="s">
        <v>5050</v>
      </c>
      <c r="C86" s="38">
        <v>2.7618E-2</v>
      </c>
      <c r="D86" s="38">
        <v>2.8063999999999999E-2</v>
      </c>
      <c r="E86" s="38">
        <v>2.8506E-2</v>
      </c>
      <c r="F86" s="38">
        <v>2.8944999999999999E-2</v>
      </c>
      <c r="G86" s="38">
        <v>2.937E-2</v>
      </c>
      <c r="H86" s="38">
        <v>2.9781999999999999E-2</v>
      </c>
      <c r="I86" s="38">
        <v>3.0232999999999999E-2</v>
      </c>
      <c r="J86" s="38">
        <v>3.0721999999999999E-2</v>
      </c>
      <c r="K86" s="38">
        <v>3.1241999999999999E-2</v>
      </c>
      <c r="L86" s="38">
        <v>3.1796999999999999E-2</v>
      </c>
      <c r="M86" s="38">
        <v>3.2391999999999997E-2</v>
      </c>
      <c r="N86" s="38">
        <v>3.3027000000000001E-2</v>
      </c>
      <c r="O86" s="38">
        <v>3.3702000000000003E-2</v>
      </c>
      <c r="P86" s="38">
        <v>3.4373000000000001E-2</v>
      </c>
      <c r="Q86" s="38">
        <v>3.5042999999999998E-2</v>
      </c>
      <c r="R86" s="38">
        <v>3.5709999999999999E-2</v>
      </c>
      <c r="S86" s="38">
        <v>3.6374999999999998E-2</v>
      </c>
      <c r="T86" s="38">
        <v>3.7035999999999999E-2</v>
      </c>
      <c r="U86" s="38">
        <v>3.7698000000000002E-2</v>
      </c>
      <c r="V86" s="38">
        <v>3.8358999999999997E-2</v>
      </c>
      <c r="W86" s="38">
        <v>3.9015000000000001E-2</v>
      </c>
      <c r="X86" s="38">
        <v>3.9667000000000001E-2</v>
      </c>
      <c r="Y86" s="38">
        <v>4.0315999999999998E-2</v>
      </c>
      <c r="Z86" s="38">
        <v>4.0961999999999998E-2</v>
      </c>
      <c r="AA86" s="38">
        <v>4.1605000000000003E-2</v>
      </c>
      <c r="AB86" s="38">
        <v>4.2244999999999998E-2</v>
      </c>
      <c r="AC86" s="38">
        <v>4.2882000000000003E-2</v>
      </c>
      <c r="AD86" s="38">
        <v>4.3513999999999997E-2</v>
      </c>
      <c r="AE86" s="38">
        <v>4.4143000000000002E-2</v>
      </c>
      <c r="AF86" s="35">
        <v>1.6889999999999999E-2</v>
      </c>
      <c r="AG86" s="29"/>
    </row>
    <row r="87" spans="1:33" ht="15" customHeight="1">
      <c r="A87" s="34" t="s">
        <v>5082</v>
      </c>
      <c r="B87" s="37" t="s">
        <v>5048</v>
      </c>
      <c r="C87" s="38">
        <v>0.18509200000000001</v>
      </c>
      <c r="D87" s="38">
        <v>0.181559</v>
      </c>
      <c r="E87" s="38">
        <v>0.178365</v>
      </c>
      <c r="F87" s="38">
        <v>0.17569199999999999</v>
      </c>
      <c r="G87" s="38">
        <v>0.17295099999999999</v>
      </c>
      <c r="H87" s="38">
        <v>0.17014299999999999</v>
      </c>
      <c r="I87" s="38">
        <v>0.16719800000000001</v>
      </c>
      <c r="J87" s="38">
        <v>0.16413900000000001</v>
      </c>
      <c r="K87" s="38">
        <v>0.16098699999999999</v>
      </c>
      <c r="L87" s="38">
        <v>0.15786700000000001</v>
      </c>
      <c r="M87" s="38">
        <v>0.154866</v>
      </c>
      <c r="N87" s="38">
        <v>0.151867</v>
      </c>
      <c r="O87" s="38">
        <v>0.14899799999999999</v>
      </c>
      <c r="P87" s="38">
        <v>0.14658499999999999</v>
      </c>
      <c r="Q87" s="38">
        <v>0.14447299999999999</v>
      </c>
      <c r="R87" s="38">
        <v>0.142566</v>
      </c>
      <c r="S87" s="38">
        <v>0.14076</v>
      </c>
      <c r="T87" s="38">
        <v>0.13918900000000001</v>
      </c>
      <c r="U87" s="38">
        <v>0.13791</v>
      </c>
      <c r="V87" s="38">
        <v>0.136911</v>
      </c>
      <c r="W87" s="38">
        <v>0.13620699999999999</v>
      </c>
      <c r="X87" s="38">
        <v>0.13575499999999999</v>
      </c>
      <c r="Y87" s="38">
        <v>0.13553699999999999</v>
      </c>
      <c r="Z87" s="38">
        <v>0.13555200000000001</v>
      </c>
      <c r="AA87" s="38">
        <v>0.13580200000000001</v>
      </c>
      <c r="AB87" s="38">
        <v>0.136265</v>
      </c>
      <c r="AC87" s="38">
        <v>0.13685</v>
      </c>
      <c r="AD87" s="38">
        <v>0.13759299999999999</v>
      </c>
      <c r="AE87" s="38">
        <v>0.13852700000000001</v>
      </c>
      <c r="AF87" s="35">
        <v>-1.0296E-2</v>
      </c>
      <c r="AG87" s="29"/>
    </row>
    <row r="88" spans="1:33" ht="15" customHeight="1">
      <c r="A88" s="34" t="s">
        <v>5081</v>
      </c>
      <c r="B88" s="37" t="s">
        <v>5046</v>
      </c>
      <c r="C88" s="38">
        <v>0.120106</v>
      </c>
      <c r="D88" s="38">
        <v>0.118562</v>
      </c>
      <c r="E88" s="38">
        <v>0.11693099999999999</v>
      </c>
      <c r="F88" s="38">
        <v>0.11536299999999999</v>
      </c>
      <c r="G88" s="38">
        <v>0.113493</v>
      </c>
      <c r="H88" s="38">
        <v>0.111328</v>
      </c>
      <c r="I88" s="38">
        <v>0.108857</v>
      </c>
      <c r="J88" s="38">
        <v>0.106117</v>
      </c>
      <c r="K88" s="38">
        <v>0.103168</v>
      </c>
      <c r="L88" s="38">
        <v>0.100088</v>
      </c>
      <c r="M88" s="38">
        <v>9.6979999999999997E-2</v>
      </c>
      <c r="N88" s="38">
        <v>9.3785999999999994E-2</v>
      </c>
      <c r="O88" s="38">
        <v>9.0609999999999996E-2</v>
      </c>
      <c r="P88" s="38">
        <v>8.7647000000000003E-2</v>
      </c>
      <c r="Q88" s="38">
        <v>8.4848000000000007E-2</v>
      </c>
      <c r="R88" s="38">
        <v>8.2132999999999998E-2</v>
      </c>
      <c r="S88" s="38">
        <v>7.9492999999999994E-2</v>
      </c>
      <c r="T88" s="38">
        <v>7.7007999999999993E-2</v>
      </c>
      <c r="U88" s="38">
        <v>7.4726000000000001E-2</v>
      </c>
      <c r="V88" s="38">
        <v>7.2651999999999994E-2</v>
      </c>
      <c r="W88" s="38">
        <v>7.0824999999999999E-2</v>
      </c>
      <c r="X88" s="38">
        <v>6.9226999999999997E-2</v>
      </c>
      <c r="Y88" s="38">
        <v>6.7875000000000005E-2</v>
      </c>
      <c r="Z88" s="38">
        <v>6.6753000000000007E-2</v>
      </c>
      <c r="AA88" s="38">
        <v>6.5956000000000001E-2</v>
      </c>
      <c r="AB88" s="38">
        <v>6.5417000000000003E-2</v>
      </c>
      <c r="AC88" s="38">
        <v>6.5087000000000006E-2</v>
      </c>
      <c r="AD88" s="38">
        <v>6.4992999999999995E-2</v>
      </c>
      <c r="AE88" s="38">
        <v>6.5106999999999998E-2</v>
      </c>
      <c r="AF88" s="35">
        <v>-2.1631999999999998E-2</v>
      </c>
      <c r="AG88" s="29"/>
    </row>
    <row r="89" spans="1:33" ht="15" customHeight="1">
      <c r="A89" s="34" t="s">
        <v>5080</v>
      </c>
      <c r="B89" s="37" t="s">
        <v>5044</v>
      </c>
      <c r="C89" s="38">
        <v>8.9175000000000004E-2</v>
      </c>
      <c r="D89" s="38">
        <v>8.8249999999999995E-2</v>
      </c>
      <c r="E89" s="38">
        <v>7.9128000000000004E-2</v>
      </c>
      <c r="F89" s="38">
        <v>8.0093999999999999E-2</v>
      </c>
      <c r="G89" s="38">
        <v>8.0979999999999996E-2</v>
      </c>
      <c r="H89" s="38">
        <v>8.1729999999999997E-2</v>
      </c>
      <c r="I89" s="38">
        <v>8.2280000000000006E-2</v>
      </c>
      <c r="J89" s="38">
        <v>8.2540000000000002E-2</v>
      </c>
      <c r="K89" s="38">
        <v>8.2561999999999997E-2</v>
      </c>
      <c r="L89" s="38">
        <v>8.2343E-2</v>
      </c>
      <c r="M89" s="38">
        <v>8.1923999999999997E-2</v>
      </c>
      <c r="N89" s="38">
        <v>8.1309000000000006E-2</v>
      </c>
      <c r="O89" s="38">
        <v>8.0431000000000002E-2</v>
      </c>
      <c r="P89" s="38">
        <v>7.9390000000000002E-2</v>
      </c>
      <c r="Q89" s="38">
        <v>7.8254000000000004E-2</v>
      </c>
      <c r="R89" s="38">
        <v>7.7045000000000002E-2</v>
      </c>
      <c r="S89" s="38">
        <v>7.5693999999999997E-2</v>
      </c>
      <c r="T89" s="38">
        <v>7.4348999999999998E-2</v>
      </c>
      <c r="U89" s="38">
        <v>7.3050000000000004E-2</v>
      </c>
      <c r="V89" s="38">
        <v>7.1817000000000006E-2</v>
      </c>
      <c r="W89" s="38">
        <v>7.0639999999999994E-2</v>
      </c>
      <c r="X89" s="38">
        <v>6.9587999999999997E-2</v>
      </c>
      <c r="Y89" s="38">
        <v>6.8662000000000001E-2</v>
      </c>
      <c r="Z89" s="38">
        <v>6.7822999999999994E-2</v>
      </c>
      <c r="AA89" s="38">
        <v>6.7005999999999996E-2</v>
      </c>
      <c r="AB89" s="38">
        <v>6.6321000000000005E-2</v>
      </c>
      <c r="AC89" s="38">
        <v>6.5775E-2</v>
      </c>
      <c r="AD89" s="38">
        <v>6.5343999999999999E-2</v>
      </c>
      <c r="AE89" s="38">
        <v>6.4996999999999999E-2</v>
      </c>
      <c r="AF89" s="35">
        <v>-1.1231E-2</v>
      </c>
      <c r="AG89" s="29"/>
    </row>
    <row r="90" spans="1:33" ht="15" customHeight="1">
      <c r="A90" s="34" t="s">
        <v>5079</v>
      </c>
      <c r="B90" s="37" t="s">
        <v>5042</v>
      </c>
      <c r="C90" s="38">
        <v>2.037398</v>
      </c>
      <c r="D90" s="38">
        <v>2.0856680000000001</v>
      </c>
      <c r="E90" s="38">
        <v>2.1141719999999999</v>
      </c>
      <c r="F90" s="38">
        <v>2.15381</v>
      </c>
      <c r="G90" s="38">
        <v>2.1936559999999998</v>
      </c>
      <c r="H90" s="38">
        <v>2.237911</v>
      </c>
      <c r="I90" s="38">
        <v>2.2765520000000001</v>
      </c>
      <c r="J90" s="38">
        <v>2.3100990000000001</v>
      </c>
      <c r="K90" s="38">
        <v>2.3426849999999999</v>
      </c>
      <c r="L90" s="38">
        <v>2.3747950000000002</v>
      </c>
      <c r="M90" s="38">
        <v>2.4072800000000001</v>
      </c>
      <c r="N90" s="38">
        <v>2.4395030000000002</v>
      </c>
      <c r="O90" s="38">
        <v>2.4693230000000002</v>
      </c>
      <c r="P90" s="38">
        <v>2.5029680000000001</v>
      </c>
      <c r="Q90" s="38">
        <v>2.5391620000000001</v>
      </c>
      <c r="R90" s="38">
        <v>2.5777019999999999</v>
      </c>
      <c r="S90" s="38">
        <v>2.614976</v>
      </c>
      <c r="T90" s="38">
        <v>2.6532680000000002</v>
      </c>
      <c r="U90" s="38">
        <v>2.693851</v>
      </c>
      <c r="V90" s="38">
        <v>2.7352759999999998</v>
      </c>
      <c r="W90" s="38">
        <v>2.7794129999999999</v>
      </c>
      <c r="X90" s="38">
        <v>2.825256</v>
      </c>
      <c r="Y90" s="38">
        <v>2.8728530000000001</v>
      </c>
      <c r="Z90" s="38">
        <v>2.9220899999999999</v>
      </c>
      <c r="AA90" s="38">
        <v>2.9724970000000002</v>
      </c>
      <c r="AB90" s="38">
        <v>3.0254470000000002</v>
      </c>
      <c r="AC90" s="38">
        <v>3.079815</v>
      </c>
      <c r="AD90" s="38">
        <v>3.1361910000000002</v>
      </c>
      <c r="AE90" s="38">
        <v>3.196599</v>
      </c>
      <c r="AF90" s="35">
        <v>1.6216000000000001E-2</v>
      </c>
      <c r="AG90" s="29"/>
    </row>
    <row r="91" spans="1:33" ht="15" customHeight="1">
      <c r="A91" s="34" t="s">
        <v>5078</v>
      </c>
      <c r="B91" s="33" t="s">
        <v>5077</v>
      </c>
      <c r="C91" s="39">
        <v>11.871544999999999</v>
      </c>
      <c r="D91" s="39">
        <v>11.838481</v>
      </c>
      <c r="E91" s="39">
        <v>11.526081</v>
      </c>
      <c r="F91" s="39">
        <v>11.580304999999999</v>
      </c>
      <c r="G91" s="39">
        <v>11.635992999999999</v>
      </c>
      <c r="H91" s="39">
        <v>11.689837000000001</v>
      </c>
      <c r="I91" s="39">
        <v>11.730596</v>
      </c>
      <c r="J91" s="39">
        <v>11.752335</v>
      </c>
      <c r="K91" s="39">
        <v>11.759981</v>
      </c>
      <c r="L91" s="39">
        <v>11.76046</v>
      </c>
      <c r="M91" s="39">
        <v>11.762243</v>
      </c>
      <c r="N91" s="39">
        <v>11.775377000000001</v>
      </c>
      <c r="O91" s="39">
        <v>11.783529</v>
      </c>
      <c r="P91" s="39">
        <v>11.804330999999999</v>
      </c>
      <c r="Q91" s="39">
        <v>11.834376000000001</v>
      </c>
      <c r="R91" s="39">
        <v>11.870398</v>
      </c>
      <c r="S91" s="39">
        <v>11.902811</v>
      </c>
      <c r="T91" s="39">
        <v>11.940166</v>
      </c>
      <c r="U91" s="39">
        <v>11.979717000000001</v>
      </c>
      <c r="V91" s="39">
        <v>12.023415</v>
      </c>
      <c r="W91" s="39">
        <v>12.073841</v>
      </c>
      <c r="X91" s="39">
        <v>12.131802</v>
      </c>
      <c r="Y91" s="39">
        <v>12.196539</v>
      </c>
      <c r="Z91" s="39">
        <v>12.263961999999999</v>
      </c>
      <c r="AA91" s="39">
        <v>12.330469000000001</v>
      </c>
      <c r="AB91" s="39">
        <v>12.404661000000001</v>
      </c>
      <c r="AC91" s="39">
        <v>12.484757999999999</v>
      </c>
      <c r="AD91" s="39">
        <v>12.568652999999999</v>
      </c>
      <c r="AE91" s="39">
        <v>12.657738</v>
      </c>
      <c r="AF91" s="31">
        <v>2.2929999999999999E-3</v>
      </c>
      <c r="AG91" s="29"/>
    </row>
    <row r="92" spans="1:33" ht="12" customHeight="1">
      <c r="A92" s="34" t="s">
        <v>5076</v>
      </c>
      <c r="B92" s="37" t="s">
        <v>5075</v>
      </c>
      <c r="C92" s="38">
        <v>0.112023</v>
      </c>
      <c r="D92" s="38">
        <v>0.123458</v>
      </c>
      <c r="E92" s="38">
        <v>0.13652900000000001</v>
      </c>
      <c r="F92" s="38">
        <v>0.14977699999999999</v>
      </c>
      <c r="G92" s="38">
        <v>0.16300899999999999</v>
      </c>
      <c r="H92" s="38">
        <v>0.17658499999999999</v>
      </c>
      <c r="I92" s="38">
        <v>0.19053</v>
      </c>
      <c r="J92" s="38">
        <v>0.20494499999999999</v>
      </c>
      <c r="K92" s="38">
        <v>0.21981999999999999</v>
      </c>
      <c r="L92" s="38">
        <v>0.23524600000000001</v>
      </c>
      <c r="M92" s="38">
        <v>0.25148999999999999</v>
      </c>
      <c r="N92" s="38">
        <v>0.26793699999999998</v>
      </c>
      <c r="O92" s="38">
        <v>0.28465000000000001</v>
      </c>
      <c r="P92" s="38">
        <v>0.29947400000000002</v>
      </c>
      <c r="Q92" s="38">
        <v>0.31491799999999998</v>
      </c>
      <c r="R92" s="38">
        <v>0.33096799999999998</v>
      </c>
      <c r="S92" s="38">
        <v>0.34801199999999999</v>
      </c>
      <c r="T92" s="38">
        <v>0.36618699999999998</v>
      </c>
      <c r="U92" s="38">
        <v>0.38540000000000002</v>
      </c>
      <c r="V92" s="38">
        <v>0.40570899999999999</v>
      </c>
      <c r="W92" s="38">
        <v>0.427124</v>
      </c>
      <c r="X92" s="38">
        <v>0.44966</v>
      </c>
      <c r="Y92" s="38">
        <v>0.47307100000000002</v>
      </c>
      <c r="Z92" s="38">
        <v>0.49757400000000002</v>
      </c>
      <c r="AA92" s="38">
        <v>0.52299700000000005</v>
      </c>
      <c r="AB92" s="38">
        <v>0.54935500000000004</v>
      </c>
      <c r="AC92" s="38">
        <v>0.57694599999999996</v>
      </c>
      <c r="AD92" s="38">
        <v>0.60526800000000003</v>
      </c>
      <c r="AE92" s="38">
        <v>0.63452399999999998</v>
      </c>
      <c r="AF92" s="35">
        <v>6.3893000000000005E-2</v>
      </c>
      <c r="AG92" s="29"/>
    </row>
    <row r="93" spans="1:33" ht="15" customHeight="1">
      <c r="A93" s="34" t="s">
        <v>5074</v>
      </c>
      <c r="B93" s="33" t="s">
        <v>5073</v>
      </c>
      <c r="C93" s="39">
        <v>11.759520999999999</v>
      </c>
      <c r="D93" s="39">
        <v>11.715023</v>
      </c>
      <c r="E93" s="39">
        <v>11.389552</v>
      </c>
      <c r="F93" s="39">
        <v>11.430529</v>
      </c>
      <c r="G93" s="39">
        <v>11.472984</v>
      </c>
      <c r="H93" s="39">
        <v>11.513251</v>
      </c>
      <c r="I93" s="39">
        <v>11.540065999999999</v>
      </c>
      <c r="J93" s="39">
        <v>11.547389000000001</v>
      </c>
      <c r="K93" s="39">
        <v>11.540160999999999</v>
      </c>
      <c r="L93" s="39">
        <v>11.525214</v>
      </c>
      <c r="M93" s="39">
        <v>11.510754</v>
      </c>
      <c r="N93" s="39">
        <v>11.507440000000001</v>
      </c>
      <c r="O93" s="39">
        <v>11.498879000000001</v>
      </c>
      <c r="P93" s="39">
        <v>11.504856</v>
      </c>
      <c r="Q93" s="39">
        <v>11.519458999999999</v>
      </c>
      <c r="R93" s="39">
        <v>11.539429</v>
      </c>
      <c r="S93" s="39">
        <v>11.554798999999999</v>
      </c>
      <c r="T93" s="39">
        <v>11.573979</v>
      </c>
      <c r="U93" s="39">
        <v>11.594315999999999</v>
      </c>
      <c r="V93" s="39">
        <v>11.617705000000001</v>
      </c>
      <c r="W93" s="39">
        <v>11.646717000000001</v>
      </c>
      <c r="X93" s="39">
        <v>11.682141</v>
      </c>
      <c r="Y93" s="39">
        <v>11.723468</v>
      </c>
      <c r="Z93" s="39">
        <v>11.766387999999999</v>
      </c>
      <c r="AA93" s="39">
        <v>11.807472000000001</v>
      </c>
      <c r="AB93" s="39">
        <v>11.855307</v>
      </c>
      <c r="AC93" s="39">
        <v>11.907812</v>
      </c>
      <c r="AD93" s="39">
        <v>11.963385000000001</v>
      </c>
      <c r="AE93" s="39">
        <v>12.023213</v>
      </c>
      <c r="AF93" s="31">
        <v>7.9199999999999995E-4</v>
      </c>
      <c r="AG93" s="29"/>
    </row>
    <row r="94" spans="1:33" ht="15" customHeight="1">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1:33" ht="15" customHeight="1">
      <c r="A95" s="34" t="s">
        <v>5072</v>
      </c>
      <c r="B95" s="33" t="s">
        <v>5071</v>
      </c>
      <c r="C95" s="39">
        <v>9.4318840000000002</v>
      </c>
      <c r="D95" s="39">
        <v>9.0614460000000001</v>
      </c>
      <c r="E95" s="39">
        <v>9.2159829999999996</v>
      </c>
      <c r="F95" s="39">
        <v>9.2775800000000004</v>
      </c>
      <c r="G95" s="39">
        <v>9.2647940000000002</v>
      </c>
      <c r="H95" s="39">
        <v>9.2480410000000006</v>
      </c>
      <c r="I95" s="39">
        <v>9.2045560000000002</v>
      </c>
      <c r="J95" s="39">
        <v>9.1618700000000004</v>
      </c>
      <c r="K95" s="39">
        <v>9.1329999999999991</v>
      </c>
      <c r="L95" s="39">
        <v>9.1532210000000003</v>
      </c>
      <c r="M95" s="39">
        <v>9.2185980000000001</v>
      </c>
      <c r="N95" s="39">
        <v>9.2462999999999997</v>
      </c>
      <c r="O95" s="39">
        <v>9.3134979999999992</v>
      </c>
      <c r="P95" s="39">
        <v>9.3774160000000002</v>
      </c>
      <c r="Q95" s="39">
        <v>9.4475390000000008</v>
      </c>
      <c r="R95" s="39">
        <v>9.487012</v>
      </c>
      <c r="S95" s="39">
        <v>9.4913959999999999</v>
      </c>
      <c r="T95" s="39">
        <v>9.4915699999999994</v>
      </c>
      <c r="U95" s="39">
        <v>9.5147720000000007</v>
      </c>
      <c r="V95" s="39">
        <v>9.5577690000000004</v>
      </c>
      <c r="W95" s="39">
        <v>9.6436150000000005</v>
      </c>
      <c r="X95" s="39">
        <v>9.717905</v>
      </c>
      <c r="Y95" s="39">
        <v>9.8050350000000002</v>
      </c>
      <c r="Z95" s="39">
        <v>9.9067640000000008</v>
      </c>
      <c r="AA95" s="39">
        <v>9.9749020000000002</v>
      </c>
      <c r="AB95" s="39">
        <v>10.062101999999999</v>
      </c>
      <c r="AC95" s="39">
        <v>10.154728</v>
      </c>
      <c r="AD95" s="39">
        <v>10.235389</v>
      </c>
      <c r="AE95" s="39">
        <v>10.336385</v>
      </c>
      <c r="AF95" s="31">
        <v>3.2759999999999998E-3</v>
      </c>
      <c r="AG95" s="29"/>
    </row>
    <row r="96" spans="1:33" ht="15" customHeight="1">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1:33" ht="15" customHeight="1">
      <c r="B97" s="33" t="s">
        <v>5070</v>
      </c>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1:33" ht="15" customHeight="1">
      <c r="A98" s="34" t="s">
        <v>5069</v>
      </c>
      <c r="B98" s="37" t="s">
        <v>5068</v>
      </c>
      <c r="C98" s="38">
        <v>7.1100149999999998</v>
      </c>
      <c r="D98" s="38">
        <v>7.1526610000000002</v>
      </c>
      <c r="E98" s="38">
        <v>6.5057520000000002</v>
      </c>
      <c r="F98" s="38">
        <v>6.4811459999999999</v>
      </c>
      <c r="G98" s="38">
        <v>6.4469950000000003</v>
      </c>
      <c r="H98" s="38">
        <v>6.4027279999999998</v>
      </c>
      <c r="I98" s="38">
        <v>6.3488069999999999</v>
      </c>
      <c r="J98" s="38">
        <v>6.2861770000000003</v>
      </c>
      <c r="K98" s="38">
        <v>6.2194839999999996</v>
      </c>
      <c r="L98" s="38">
        <v>6.1553719999999998</v>
      </c>
      <c r="M98" s="38">
        <v>6.0959630000000002</v>
      </c>
      <c r="N98" s="38">
        <v>6.0408600000000003</v>
      </c>
      <c r="O98" s="38">
        <v>5.9861310000000003</v>
      </c>
      <c r="P98" s="38">
        <v>5.9325229999999998</v>
      </c>
      <c r="Q98" s="38">
        <v>5.8820589999999999</v>
      </c>
      <c r="R98" s="38">
        <v>5.8304309999999999</v>
      </c>
      <c r="S98" s="38">
        <v>5.774178</v>
      </c>
      <c r="T98" s="38">
        <v>5.7201329999999997</v>
      </c>
      <c r="U98" s="38">
        <v>5.6719030000000004</v>
      </c>
      <c r="V98" s="38">
        <v>5.6277799999999996</v>
      </c>
      <c r="W98" s="38">
        <v>5.5891190000000002</v>
      </c>
      <c r="X98" s="38">
        <v>5.5521039999999999</v>
      </c>
      <c r="Y98" s="38">
        <v>5.5174979999999998</v>
      </c>
      <c r="Z98" s="38">
        <v>5.4835640000000003</v>
      </c>
      <c r="AA98" s="38">
        <v>5.4438909999999998</v>
      </c>
      <c r="AB98" s="38">
        <v>5.4075309999999996</v>
      </c>
      <c r="AC98" s="38">
        <v>5.3732379999999997</v>
      </c>
      <c r="AD98" s="38">
        <v>5.3384010000000002</v>
      </c>
      <c r="AE98" s="38">
        <v>5.3043849999999999</v>
      </c>
      <c r="AF98" s="35">
        <v>-1.0409E-2</v>
      </c>
      <c r="AG98" s="29"/>
    </row>
    <row r="99" spans="1:33" ht="15" customHeight="1">
      <c r="A99" s="34" t="s">
        <v>5067</v>
      </c>
      <c r="B99" s="37" t="s">
        <v>5066</v>
      </c>
      <c r="C99" s="38">
        <v>2.4765199999999998</v>
      </c>
      <c r="D99" s="38">
        <v>2.1058129999999999</v>
      </c>
      <c r="E99" s="38">
        <v>2.555955</v>
      </c>
      <c r="F99" s="38">
        <v>2.6097670000000002</v>
      </c>
      <c r="G99" s="38">
        <v>2.647732</v>
      </c>
      <c r="H99" s="38">
        <v>2.6855289999999998</v>
      </c>
      <c r="I99" s="38">
        <v>2.7193200000000002</v>
      </c>
      <c r="J99" s="38">
        <v>2.7525309999999998</v>
      </c>
      <c r="K99" s="38">
        <v>2.7844319999999998</v>
      </c>
      <c r="L99" s="38">
        <v>2.8238189999999999</v>
      </c>
      <c r="M99" s="38">
        <v>2.8744489999999998</v>
      </c>
      <c r="N99" s="38">
        <v>2.9172989999999999</v>
      </c>
      <c r="O99" s="38">
        <v>2.9693239999999999</v>
      </c>
      <c r="P99" s="38">
        <v>3.0226950000000001</v>
      </c>
      <c r="Q99" s="38">
        <v>3.0803289999999999</v>
      </c>
      <c r="R99" s="38">
        <v>3.1334810000000002</v>
      </c>
      <c r="S99" s="38">
        <v>3.1798470000000001</v>
      </c>
      <c r="T99" s="38">
        <v>3.226057</v>
      </c>
      <c r="U99" s="38">
        <v>3.2779180000000001</v>
      </c>
      <c r="V99" s="38">
        <v>3.3334779999999999</v>
      </c>
      <c r="W99" s="38">
        <v>3.3983690000000002</v>
      </c>
      <c r="X99" s="38">
        <v>3.461468</v>
      </c>
      <c r="Y99" s="38">
        <v>3.5288270000000002</v>
      </c>
      <c r="Z99" s="38">
        <v>3.6009890000000002</v>
      </c>
      <c r="AA99" s="38">
        <v>3.6695880000000001</v>
      </c>
      <c r="AB99" s="38">
        <v>3.7439070000000001</v>
      </c>
      <c r="AC99" s="38">
        <v>3.820605</v>
      </c>
      <c r="AD99" s="38">
        <v>3.8934709999999999</v>
      </c>
      <c r="AE99" s="38">
        <v>3.9717359999999999</v>
      </c>
      <c r="AF99" s="35">
        <v>1.7013E-2</v>
      </c>
      <c r="AG99" s="29"/>
    </row>
    <row r="100" spans="1:33" ht="15" customHeight="1">
      <c r="A100" s="34" t="s">
        <v>5065</v>
      </c>
      <c r="B100" s="37" t="s">
        <v>5064</v>
      </c>
      <c r="C100" s="38">
        <v>2.785069</v>
      </c>
      <c r="D100" s="38">
        <v>2.7516790000000002</v>
      </c>
      <c r="E100" s="38">
        <v>2.7610139999999999</v>
      </c>
      <c r="F100" s="38">
        <v>2.7744179999999998</v>
      </c>
      <c r="G100" s="38">
        <v>2.778686</v>
      </c>
      <c r="H100" s="38">
        <v>2.7805049999999998</v>
      </c>
      <c r="I100" s="38">
        <v>2.7789269999999999</v>
      </c>
      <c r="J100" s="38">
        <v>2.7748309999999998</v>
      </c>
      <c r="K100" s="38">
        <v>2.7702309999999999</v>
      </c>
      <c r="L100" s="38">
        <v>2.7683219999999999</v>
      </c>
      <c r="M100" s="38">
        <v>2.770947</v>
      </c>
      <c r="N100" s="38">
        <v>2.7753830000000002</v>
      </c>
      <c r="O100" s="38">
        <v>2.7859159999999998</v>
      </c>
      <c r="P100" s="38">
        <v>2.8000310000000002</v>
      </c>
      <c r="Q100" s="38">
        <v>2.8152810000000001</v>
      </c>
      <c r="R100" s="38">
        <v>2.8261799999999999</v>
      </c>
      <c r="S100" s="38">
        <v>2.832077</v>
      </c>
      <c r="T100" s="38">
        <v>2.8373390000000001</v>
      </c>
      <c r="U100" s="38">
        <v>2.8452839999999999</v>
      </c>
      <c r="V100" s="38">
        <v>2.8552569999999999</v>
      </c>
      <c r="W100" s="38">
        <v>2.8699539999999999</v>
      </c>
      <c r="X100" s="38">
        <v>2.884296</v>
      </c>
      <c r="Y100" s="38">
        <v>2.9002319999999999</v>
      </c>
      <c r="Z100" s="38">
        <v>2.9167800000000002</v>
      </c>
      <c r="AA100" s="38">
        <v>2.9270330000000002</v>
      </c>
      <c r="AB100" s="38">
        <v>2.9404949999999999</v>
      </c>
      <c r="AC100" s="38">
        <v>2.9561459999999999</v>
      </c>
      <c r="AD100" s="38">
        <v>2.971393</v>
      </c>
      <c r="AE100" s="38">
        <v>2.988648</v>
      </c>
      <c r="AF100" s="35">
        <v>2.5230000000000001E-3</v>
      </c>
      <c r="AG100" s="29"/>
    </row>
    <row r="101" spans="1:33" ht="12" customHeight="1">
      <c r="A101" s="34" t="s">
        <v>5063</v>
      </c>
      <c r="B101" s="37" t="s">
        <v>5062</v>
      </c>
      <c r="C101" s="38">
        <v>0.83711599999999997</v>
      </c>
      <c r="D101" s="38">
        <v>0.82186300000000001</v>
      </c>
      <c r="E101" s="38">
        <v>0.82011000000000001</v>
      </c>
      <c r="F101" s="38">
        <v>0.81624399999999997</v>
      </c>
      <c r="G101" s="38">
        <v>0.80891999999999997</v>
      </c>
      <c r="H101" s="38">
        <v>0.80172299999999996</v>
      </c>
      <c r="I101" s="38">
        <v>0.79459900000000006</v>
      </c>
      <c r="J101" s="38">
        <v>0.78902099999999997</v>
      </c>
      <c r="K101" s="38">
        <v>0.78561499999999995</v>
      </c>
      <c r="L101" s="38">
        <v>0.78595899999999996</v>
      </c>
      <c r="M101" s="38">
        <v>0.78947999999999996</v>
      </c>
      <c r="N101" s="38">
        <v>0.79164599999999996</v>
      </c>
      <c r="O101" s="38">
        <v>0.79685099999999998</v>
      </c>
      <c r="P101" s="38">
        <v>0.80151399999999995</v>
      </c>
      <c r="Q101" s="38">
        <v>0.80695399999999995</v>
      </c>
      <c r="R101" s="38">
        <v>0.81127400000000005</v>
      </c>
      <c r="S101" s="38">
        <v>0.81484500000000004</v>
      </c>
      <c r="T101" s="38">
        <v>0.818855</v>
      </c>
      <c r="U101" s="38">
        <v>0.82500899999999999</v>
      </c>
      <c r="V101" s="38">
        <v>0.83284599999999998</v>
      </c>
      <c r="W101" s="38">
        <v>0.84326100000000004</v>
      </c>
      <c r="X101" s="38">
        <v>0.85264499999999999</v>
      </c>
      <c r="Y101" s="38">
        <v>0.862313</v>
      </c>
      <c r="Z101" s="38">
        <v>0.87239699999999998</v>
      </c>
      <c r="AA101" s="38">
        <v>0.879996</v>
      </c>
      <c r="AB101" s="38">
        <v>0.88808900000000002</v>
      </c>
      <c r="AC101" s="38">
        <v>0.89615100000000003</v>
      </c>
      <c r="AD101" s="38">
        <v>0.90310299999999999</v>
      </c>
      <c r="AE101" s="38">
        <v>0.91037599999999996</v>
      </c>
      <c r="AF101" s="35">
        <v>3.0010000000000002E-3</v>
      </c>
      <c r="AG101" s="29"/>
    </row>
    <row r="102" spans="1:33" ht="12" customHeight="1">
      <c r="A102" s="34" t="s">
        <v>5061</v>
      </c>
      <c r="B102" s="37" t="s">
        <v>5060</v>
      </c>
      <c r="C102" s="38">
        <v>0.27869100000000002</v>
      </c>
      <c r="D102" s="38">
        <v>0.277586</v>
      </c>
      <c r="E102" s="38">
        <v>0.278916</v>
      </c>
      <c r="F102" s="38">
        <v>0.27972900000000001</v>
      </c>
      <c r="G102" s="38">
        <v>0.27971499999999999</v>
      </c>
      <c r="H102" s="38">
        <v>0.27955600000000003</v>
      </c>
      <c r="I102" s="38">
        <v>0.27926699999999999</v>
      </c>
      <c r="J102" s="38">
        <v>0.27914499999999998</v>
      </c>
      <c r="K102" s="38">
        <v>0.27929199999999998</v>
      </c>
      <c r="L102" s="38">
        <v>0.28000700000000001</v>
      </c>
      <c r="M102" s="38">
        <v>0.28118500000000002</v>
      </c>
      <c r="N102" s="38">
        <v>0.28208899999999998</v>
      </c>
      <c r="O102" s="38">
        <v>0.28358800000000001</v>
      </c>
      <c r="P102" s="38">
        <v>0.28497600000000001</v>
      </c>
      <c r="Q102" s="38">
        <v>0.28653800000000001</v>
      </c>
      <c r="R102" s="38">
        <v>0.28790199999999999</v>
      </c>
      <c r="S102" s="38">
        <v>0.28894199999999998</v>
      </c>
      <c r="T102" s="38">
        <v>0.28991400000000001</v>
      </c>
      <c r="U102" s="38">
        <v>0.29116700000000001</v>
      </c>
      <c r="V102" s="38">
        <v>0.292601</v>
      </c>
      <c r="W102" s="38">
        <v>0.29439500000000002</v>
      </c>
      <c r="X102" s="38">
        <v>0.29599999999999999</v>
      </c>
      <c r="Y102" s="38">
        <v>0.29768</v>
      </c>
      <c r="Z102" s="38">
        <v>0.29946400000000001</v>
      </c>
      <c r="AA102" s="38">
        <v>0.30079600000000001</v>
      </c>
      <c r="AB102" s="38">
        <v>0.30225800000000003</v>
      </c>
      <c r="AC102" s="38">
        <v>0.30374600000000002</v>
      </c>
      <c r="AD102" s="38">
        <v>0.30505599999999999</v>
      </c>
      <c r="AE102" s="38">
        <v>0.30645699999999998</v>
      </c>
      <c r="AF102" s="35">
        <v>3.398E-3</v>
      </c>
      <c r="AG102" s="29"/>
    </row>
    <row r="103" spans="1:33" ht="15" customHeight="1">
      <c r="A103" s="34" t="s">
        <v>5059</v>
      </c>
      <c r="B103" s="37" t="s">
        <v>5058</v>
      </c>
      <c r="C103" s="38">
        <v>0.66981000000000002</v>
      </c>
      <c r="D103" s="38">
        <v>0.67469400000000002</v>
      </c>
      <c r="E103" s="38">
        <v>0.69062800000000002</v>
      </c>
      <c r="F103" s="38">
        <v>0.70603700000000003</v>
      </c>
      <c r="G103" s="38">
        <v>0.71742399999999995</v>
      </c>
      <c r="H103" s="38">
        <v>0.72725099999999998</v>
      </c>
      <c r="I103" s="38">
        <v>0.73550199999999999</v>
      </c>
      <c r="J103" s="38">
        <v>0.743259</v>
      </c>
      <c r="K103" s="38">
        <v>0.75097999999999998</v>
      </c>
      <c r="L103" s="38">
        <v>0.76042200000000004</v>
      </c>
      <c r="M103" s="38">
        <v>0.77187300000000003</v>
      </c>
      <c r="N103" s="38">
        <v>0.780219</v>
      </c>
      <c r="O103" s="38">
        <v>0.79063000000000005</v>
      </c>
      <c r="P103" s="38">
        <v>0.80088999999999999</v>
      </c>
      <c r="Q103" s="38">
        <v>0.811639</v>
      </c>
      <c r="R103" s="38">
        <v>0.82012600000000002</v>
      </c>
      <c r="S103" s="38">
        <v>0.82628999999999997</v>
      </c>
      <c r="T103" s="38">
        <v>0.83206000000000002</v>
      </c>
      <c r="U103" s="38">
        <v>0.839117</v>
      </c>
      <c r="V103" s="38">
        <v>0.84721199999999997</v>
      </c>
      <c r="W103" s="38">
        <v>0.85745899999999997</v>
      </c>
      <c r="X103" s="38">
        <v>0.86720699999999995</v>
      </c>
      <c r="Y103" s="38">
        <v>0.87748899999999996</v>
      </c>
      <c r="Z103" s="38">
        <v>0.88828300000000004</v>
      </c>
      <c r="AA103" s="38">
        <v>0.89714099999999997</v>
      </c>
      <c r="AB103" s="38">
        <v>0.90712099999999996</v>
      </c>
      <c r="AC103" s="38">
        <v>0.91741099999999998</v>
      </c>
      <c r="AD103" s="38">
        <v>0.927091</v>
      </c>
      <c r="AE103" s="38">
        <v>0.93792699999999996</v>
      </c>
      <c r="AF103" s="35">
        <v>1.2097E-2</v>
      </c>
      <c r="AG103" s="29"/>
    </row>
    <row r="104" spans="1:33" ht="15" customHeight="1">
      <c r="A104" s="34" t="s">
        <v>5057</v>
      </c>
      <c r="B104" s="37" t="s">
        <v>5056</v>
      </c>
      <c r="C104" s="38">
        <v>0.19544900000000001</v>
      </c>
      <c r="D104" s="38">
        <v>0.19247400000000001</v>
      </c>
      <c r="E104" s="38">
        <v>0.19247300000000001</v>
      </c>
      <c r="F104" s="38">
        <v>0.191769</v>
      </c>
      <c r="G104" s="38">
        <v>0.190053</v>
      </c>
      <c r="H104" s="38">
        <v>0.18817800000000001</v>
      </c>
      <c r="I104" s="38">
        <v>0.186248</v>
      </c>
      <c r="J104" s="38">
        <v>0.18460599999999999</v>
      </c>
      <c r="K104" s="38">
        <v>0.18338699999999999</v>
      </c>
      <c r="L104" s="38">
        <v>0.18290899999999999</v>
      </c>
      <c r="M104" s="38">
        <v>0.18302499999999999</v>
      </c>
      <c r="N104" s="38">
        <v>0.18269299999999999</v>
      </c>
      <c r="O104" s="38">
        <v>0.18293100000000001</v>
      </c>
      <c r="P104" s="38">
        <v>0.18290400000000001</v>
      </c>
      <c r="Q104" s="38">
        <v>0.18293799999999999</v>
      </c>
      <c r="R104" s="38">
        <v>0.18260999999999999</v>
      </c>
      <c r="S104" s="38">
        <v>0.18202199999999999</v>
      </c>
      <c r="T104" s="38">
        <v>0.18146000000000001</v>
      </c>
      <c r="U104" s="38">
        <v>0.18129899999999999</v>
      </c>
      <c r="V104" s="38">
        <v>0.18145800000000001</v>
      </c>
      <c r="W104" s="38">
        <v>0.18212900000000001</v>
      </c>
      <c r="X104" s="38">
        <v>0.18271999999999999</v>
      </c>
      <c r="Y104" s="38">
        <v>0.183532</v>
      </c>
      <c r="Z104" s="38">
        <v>0.18459900000000001</v>
      </c>
      <c r="AA104" s="38">
        <v>0.185312</v>
      </c>
      <c r="AB104" s="38">
        <v>0.186281</v>
      </c>
      <c r="AC104" s="38">
        <v>0.18728</v>
      </c>
      <c r="AD104" s="38">
        <v>0.188084</v>
      </c>
      <c r="AE104" s="38">
        <v>0.18899299999999999</v>
      </c>
      <c r="AF104" s="35">
        <v>-1.199E-3</v>
      </c>
      <c r="AG104" s="29"/>
    </row>
    <row r="105" spans="1:33" ht="15" customHeight="1">
      <c r="A105" s="34" t="s">
        <v>5055</v>
      </c>
      <c r="B105" s="37" t="s">
        <v>5054</v>
      </c>
      <c r="C105" s="38">
        <v>0.64936700000000003</v>
      </c>
      <c r="D105" s="38">
        <v>0.59590500000000002</v>
      </c>
      <c r="E105" s="38">
        <v>0.57947400000000004</v>
      </c>
      <c r="F105" s="38">
        <v>0.57413700000000001</v>
      </c>
      <c r="G105" s="38">
        <v>0.57083899999999999</v>
      </c>
      <c r="H105" s="38">
        <v>0.57030599999999998</v>
      </c>
      <c r="I105" s="38">
        <v>0.57125999999999999</v>
      </c>
      <c r="J105" s="38">
        <v>0.57273600000000002</v>
      </c>
      <c r="K105" s="38">
        <v>0.56876000000000004</v>
      </c>
      <c r="L105" s="38">
        <v>0.56690600000000002</v>
      </c>
      <c r="M105" s="38">
        <v>0.56734200000000001</v>
      </c>
      <c r="N105" s="38">
        <v>0.56628500000000004</v>
      </c>
      <c r="O105" s="38">
        <v>0.56753699999999996</v>
      </c>
      <c r="P105" s="38">
        <v>0.56916199999999995</v>
      </c>
      <c r="Q105" s="38">
        <v>0.57101800000000003</v>
      </c>
      <c r="R105" s="38">
        <v>0.57133199999999995</v>
      </c>
      <c r="S105" s="38">
        <v>0.57008400000000004</v>
      </c>
      <c r="T105" s="38">
        <v>0.56870299999999996</v>
      </c>
      <c r="U105" s="38">
        <v>0.55844300000000002</v>
      </c>
      <c r="V105" s="38">
        <v>0.550342</v>
      </c>
      <c r="W105" s="38">
        <v>0.545122</v>
      </c>
      <c r="X105" s="38">
        <v>0.54107000000000005</v>
      </c>
      <c r="Y105" s="38">
        <v>0.53950600000000004</v>
      </c>
      <c r="Z105" s="38">
        <v>0.53939599999999999</v>
      </c>
      <c r="AA105" s="38">
        <v>0.53831099999999998</v>
      </c>
      <c r="AB105" s="38">
        <v>0.53816200000000003</v>
      </c>
      <c r="AC105" s="38">
        <v>0.53847599999999995</v>
      </c>
      <c r="AD105" s="38">
        <v>0.53874900000000003</v>
      </c>
      <c r="AE105" s="38">
        <v>0.539906</v>
      </c>
      <c r="AF105" s="35">
        <v>-6.5709999999999996E-3</v>
      </c>
      <c r="AG105" s="29"/>
    </row>
    <row r="106" spans="1:33" ht="15" customHeight="1">
      <c r="A106" s="34" t="s">
        <v>5053</v>
      </c>
      <c r="B106" s="37" t="s">
        <v>5052</v>
      </c>
      <c r="C106" s="38">
        <v>0.106182</v>
      </c>
      <c r="D106" s="38">
        <v>0.105708</v>
      </c>
      <c r="E106" s="38">
        <v>0.10688499999999999</v>
      </c>
      <c r="F106" s="38">
        <v>0.107719</v>
      </c>
      <c r="G106" s="38">
        <v>0.108011</v>
      </c>
      <c r="H106" s="38">
        <v>0.108223</v>
      </c>
      <c r="I106" s="38">
        <v>0.108365</v>
      </c>
      <c r="J106" s="38">
        <v>0.10863399999999999</v>
      </c>
      <c r="K106" s="38">
        <v>0.109156</v>
      </c>
      <c r="L106" s="38">
        <v>0.110086</v>
      </c>
      <c r="M106" s="38">
        <v>0.11135200000000001</v>
      </c>
      <c r="N106" s="38">
        <v>0.11230999999999999</v>
      </c>
      <c r="O106" s="38">
        <v>0.113578</v>
      </c>
      <c r="P106" s="38">
        <v>0.114638</v>
      </c>
      <c r="Q106" s="38">
        <v>0.115674</v>
      </c>
      <c r="R106" s="38">
        <v>0.11642</v>
      </c>
      <c r="S106" s="38">
        <v>0.11692900000000001</v>
      </c>
      <c r="T106" s="38">
        <v>0.117383</v>
      </c>
      <c r="U106" s="38">
        <v>0.11802600000000001</v>
      </c>
      <c r="V106" s="38">
        <v>0.11879199999999999</v>
      </c>
      <c r="W106" s="38">
        <v>0.11981600000000001</v>
      </c>
      <c r="X106" s="38">
        <v>0.1207</v>
      </c>
      <c r="Y106" s="38">
        <v>0.12163400000000001</v>
      </c>
      <c r="Z106" s="38">
        <v>0.12264</v>
      </c>
      <c r="AA106" s="38">
        <v>0.123317</v>
      </c>
      <c r="AB106" s="38">
        <v>0.124087</v>
      </c>
      <c r="AC106" s="38">
        <v>0.124877</v>
      </c>
      <c r="AD106" s="38">
        <v>0.12554000000000001</v>
      </c>
      <c r="AE106" s="38">
        <v>0.126277</v>
      </c>
      <c r="AF106" s="35">
        <v>6.2090000000000001E-3</v>
      </c>
      <c r="AG106" s="29"/>
    </row>
    <row r="107" spans="1:33" ht="15" customHeight="1">
      <c r="A107" s="34" t="s">
        <v>5051</v>
      </c>
      <c r="B107" s="37" t="s">
        <v>5050</v>
      </c>
      <c r="C107" s="38">
        <v>7.8223000000000001E-2</v>
      </c>
      <c r="D107" s="38">
        <v>7.8455999999999998E-2</v>
      </c>
      <c r="E107" s="38">
        <v>7.9879000000000006E-2</v>
      </c>
      <c r="F107" s="38">
        <v>8.1015000000000004E-2</v>
      </c>
      <c r="G107" s="38">
        <v>8.1703999999999999E-2</v>
      </c>
      <c r="H107" s="38">
        <v>8.2288E-2</v>
      </c>
      <c r="I107" s="38">
        <v>8.2902000000000003E-2</v>
      </c>
      <c r="J107" s="38">
        <v>8.3697999999999995E-2</v>
      </c>
      <c r="K107" s="38">
        <v>8.4734000000000004E-2</v>
      </c>
      <c r="L107" s="38">
        <v>8.6179000000000006E-2</v>
      </c>
      <c r="M107" s="38">
        <v>8.7991E-2</v>
      </c>
      <c r="N107" s="38">
        <v>8.9672000000000002E-2</v>
      </c>
      <c r="O107" s="38">
        <v>9.1721999999999998E-2</v>
      </c>
      <c r="P107" s="38">
        <v>9.3600000000000003E-2</v>
      </c>
      <c r="Q107" s="38">
        <v>9.5455999999999999E-2</v>
      </c>
      <c r="R107" s="38">
        <v>9.7072000000000006E-2</v>
      </c>
      <c r="S107" s="38">
        <v>9.8484000000000002E-2</v>
      </c>
      <c r="T107" s="38">
        <v>9.9843000000000001E-2</v>
      </c>
      <c r="U107" s="38">
        <v>0.101357</v>
      </c>
      <c r="V107" s="38">
        <v>0.102973</v>
      </c>
      <c r="W107" s="38">
        <v>0.104813</v>
      </c>
      <c r="X107" s="38">
        <v>0.106531</v>
      </c>
      <c r="Y107" s="38">
        <v>0.108293</v>
      </c>
      <c r="Z107" s="38">
        <v>0.110121</v>
      </c>
      <c r="AA107" s="38">
        <v>0.111651</v>
      </c>
      <c r="AB107" s="38">
        <v>0.11326</v>
      </c>
      <c r="AC107" s="38">
        <v>0.114884</v>
      </c>
      <c r="AD107" s="38">
        <v>0.116387</v>
      </c>
      <c r="AE107" s="38">
        <v>0.117952</v>
      </c>
      <c r="AF107" s="35">
        <v>1.4777E-2</v>
      </c>
      <c r="AG107" s="29"/>
    </row>
    <row r="108" spans="1:33" ht="15" customHeight="1">
      <c r="A108" s="34" t="s">
        <v>5049</v>
      </c>
      <c r="B108" s="37" t="s">
        <v>5048</v>
      </c>
      <c r="C108" s="38">
        <v>0.52424099999999996</v>
      </c>
      <c r="D108" s="38">
        <v>0.50756000000000001</v>
      </c>
      <c r="E108" s="38">
        <v>0.49981199999999998</v>
      </c>
      <c r="F108" s="38">
        <v>0.49174499999999999</v>
      </c>
      <c r="G108" s="38">
        <v>0.48112700000000003</v>
      </c>
      <c r="H108" s="38">
        <v>0.47011500000000001</v>
      </c>
      <c r="I108" s="38">
        <v>0.45847399999999999</v>
      </c>
      <c r="J108" s="38">
        <v>0.44717800000000002</v>
      </c>
      <c r="K108" s="38">
        <v>0.43663000000000002</v>
      </c>
      <c r="L108" s="38">
        <v>0.42787199999999997</v>
      </c>
      <c r="M108" s="38">
        <v>0.42068299999999997</v>
      </c>
      <c r="N108" s="38">
        <v>0.41233599999999998</v>
      </c>
      <c r="O108" s="38">
        <v>0.40550199999999997</v>
      </c>
      <c r="P108" s="38">
        <v>0.39916000000000001</v>
      </c>
      <c r="Q108" s="38">
        <v>0.39354099999999997</v>
      </c>
      <c r="R108" s="38">
        <v>0.38753900000000002</v>
      </c>
      <c r="S108" s="38">
        <v>0.381106</v>
      </c>
      <c r="T108" s="38">
        <v>0.37523499999999999</v>
      </c>
      <c r="U108" s="38">
        <v>0.37079299999999998</v>
      </c>
      <c r="V108" s="38">
        <v>0.36753000000000002</v>
      </c>
      <c r="W108" s="38">
        <v>0.36592000000000002</v>
      </c>
      <c r="X108" s="38">
        <v>0.36459000000000003</v>
      </c>
      <c r="Y108" s="38">
        <v>0.36407099999999998</v>
      </c>
      <c r="Z108" s="38">
        <v>0.36441600000000002</v>
      </c>
      <c r="AA108" s="38">
        <v>0.36443900000000001</v>
      </c>
      <c r="AB108" s="38">
        <v>0.36532999999999999</v>
      </c>
      <c r="AC108" s="38">
        <v>0.36663499999999999</v>
      </c>
      <c r="AD108" s="38">
        <v>0.36802099999999999</v>
      </c>
      <c r="AE108" s="38">
        <v>0.37015199999999998</v>
      </c>
      <c r="AF108" s="35">
        <v>-1.2352999999999999E-2</v>
      </c>
      <c r="AG108" s="29"/>
    </row>
    <row r="109" spans="1:33" ht="15" customHeight="1">
      <c r="A109" s="34" t="s">
        <v>5047</v>
      </c>
      <c r="B109" s="37" t="s">
        <v>5046</v>
      </c>
      <c r="C109" s="38">
        <v>0.34017799999999998</v>
      </c>
      <c r="D109" s="38">
        <v>0.33145000000000002</v>
      </c>
      <c r="E109" s="38">
        <v>0.32766200000000001</v>
      </c>
      <c r="F109" s="38">
        <v>0.32289099999999998</v>
      </c>
      <c r="G109" s="38">
        <v>0.31572299999999998</v>
      </c>
      <c r="H109" s="38">
        <v>0.30760500000000002</v>
      </c>
      <c r="I109" s="38">
        <v>0.29849799999999999</v>
      </c>
      <c r="J109" s="38">
        <v>0.28910400000000003</v>
      </c>
      <c r="K109" s="38">
        <v>0.27981200000000001</v>
      </c>
      <c r="L109" s="38">
        <v>0.27127299999999999</v>
      </c>
      <c r="M109" s="38">
        <v>0.26343899999999998</v>
      </c>
      <c r="N109" s="38">
        <v>0.25463999999999998</v>
      </c>
      <c r="O109" s="38">
        <v>0.24659700000000001</v>
      </c>
      <c r="P109" s="38">
        <v>0.23866799999999999</v>
      </c>
      <c r="Q109" s="38">
        <v>0.23112199999999999</v>
      </c>
      <c r="R109" s="38">
        <v>0.22326399999999999</v>
      </c>
      <c r="S109" s="38">
        <v>0.215225</v>
      </c>
      <c r="T109" s="38">
        <v>0.20760400000000001</v>
      </c>
      <c r="U109" s="38">
        <v>0.20091200000000001</v>
      </c>
      <c r="V109" s="38">
        <v>0.19502900000000001</v>
      </c>
      <c r="W109" s="38">
        <v>0.190272</v>
      </c>
      <c r="X109" s="38">
        <v>0.18592</v>
      </c>
      <c r="Y109" s="38">
        <v>0.18232200000000001</v>
      </c>
      <c r="Z109" s="38">
        <v>0.17945700000000001</v>
      </c>
      <c r="AA109" s="38">
        <v>0.17699999999999999</v>
      </c>
      <c r="AB109" s="38">
        <v>0.17538599999999999</v>
      </c>
      <c r="AC109" s="38">
        <v>0.174376</v>
      </c>
      <c r="AD109" s="38">
        <v>0.17383799999999999</v>
      </c>
      <c r="AE109" s="38">
        <v>0.17397000000000001</v>
      </c>
      <c r="AF109" s="35">
        <v>-2.3664999999999999E-2</v>
      </c>
      <c r="AG109" s="29"/>
    </row>
    <row r="110" spans="1:33" ht="15" customHeight="1">
      <c r="A110" s="34" t="s">
        <v>5045</v>
      </c>
      <c r="B110" s="37" t="s">
        <v>5044</v>
      </c>
      <c r="C110" s="38">
        <v>0.25257299999999999</v>
      </c>
      <c r="D110" s="38">
        <v>0.24671000000000001</v>
      </c>
      <c r="E110" s="38">
        <v>0.22173100000000001</v>
      </c>
      <c r="F110" s="38">
        <v>0.22417599999999999</v>
      </c>
      <c r="G110" s="38">
        <v>0.225276</v>
      </c>
      <c r="H110" s="38">
        <v>0.225825</v>
      </c>
      <c r="I110" s="38">
        <v>0.22562099999999999</v>
      </c>
      <c r="J110" s="38">
        <v>0.22486900000000001</v>
      </c>
      <c r="K110" s="38">
        <v>0.22392599999999999</v>
      </c>
      <c r="L110" s="38">
        <v>0.22317799999999999</v>
      </c>
      <c r="M110" s="38">
        <v>0.22254199999999999</v>
      </c>
      <c r="N110" s="38">
        <v>0.22076200000000001</v>
      </c>
      <c r="O110" s="38">
        <v>0.21889700000000001</v>
      </c>
      <c r="P110" s="38">
        <v>0.21618299999999999</v>
      </c>
      <c r="Q110" s="38">
        <v>0.21316199999999999</v>
      </c>
      <c r="R110" s="38">
        <v>0.20943300000000001</v>
      </c>
      <c r="S110" s="38">
        <v>0.20494000000000001</v>
      </c>
      <c r="T110" s="38">
        <v>0.200434</v>
      </c>
      <c r="U110" s="38">
        <v>0.196406</v>
      </c>
      <c r="V110" s="38">
        <v>0.19278899999999999</v>
      </c>
      <c r="W110" s="38">
        <v>0.189775</v>
      </c>
      <c r="X110" s="38">
        <v>0.18689</v>
      </c>
      <c r="Y110" s="38">
        <v>0.18443599999999999</v>
      </c>
      <c r="Z110" s="38">
        <v>0.182334</v>
      </c>
      <c r="AA110" s="38">
        <v>0.17981900000000001</v>
      </c>
      <c r="AB110" s="38">
        <v>0.17780699999999999</v>
      </c>
      <c r="AC110" s="38">
        <v>0.17621899999999999</v>
      </c>
      <c r="AD110" s="38">
        <v>0.17477599999999999</v>
      </c>
      <c r="AE110" s="38">
        <v>0.173677</v>
      </c>
      <c r="AF110" s="35">
        <v>-1.3285999999999999E-2</v>
      </c>
      <c r="AG110" s="29"/>
    </row>
    <row r="111" spans="1:33" ht="15" customHeight="1">
      <c r="A111" s="34" t="s">
        <v>5043</v>
      </c>
      <c r="B111" s="37" t="s">
        <v>5042</v>
      </c>
      <c r="C111" s="38">
        <v>5.2054660000000004</v>
      </c>
      <c r="D111" s="38">
        <v>5.2792649999999997</v>
      </c>
      <c r="E111" s="38">
        <v>5.3680680000000001</v>
      </c>
      <c r="F111" s="38">
        <v>5.4667950000000003</v>
      </c>
      <c r="G111" s="38">
        <v>5.5393330000000001</v>
      </c>
      <c r="H111" s="38">
        <v>5.6196859999999997</v>
      </c>
      <c r="I111" s="38">
        <v>5.6796139999999999</v>
      </c>
      <c r="J111" s="38">
        <v>5.7321720000000003</v>
      </c>
      <c r="K111" s="38">
        <v>5.7932949999999996</v>
      </c>
      <c r="L111" s="38">
        <v>5.8741300000000001</v>
      </c>
      <c r="M111" s="38">
        <v>5.9726720000000002</v>
      </c>
      <c r="N111" s="38">
        <v>6.0554870000000003</v>
      </c>
      <c r="O111" s="38">
        <v>6.1483489999999996</v>
      </c>
      <c r="P111" s="38">
        <v>6.2413259999999999</v>
      </c>
      <c r="Q111" s="38">
        <v>6.3396559999999997</v>
      </c>
      <c r="R111" s="38">
        <v>6.4296220000000002</v>
      </c>
      <c r="S111" s="38">
        <v>6.5040570000000004</v>
      </c>
      <c r="T111" s="38">
        <v>6.5783399999999999</v>
      </c>
      <c r="U111" s="38">
        <v>6.6683149999999998</v>
      </c>
      <c r="V111" s="38">
        <v>6.7671700000000001</v>
      </c>
      <c r="W111" s="38">
        <v>6.8881180000000004</v>
      </c>
      <c r="X111" s="38">
        <v>7.0062930000000003</v>
      </c>
      <c r="Y111" s="38">
        <v>7.1321969999999997</v>
      </c>
      <c r="Z111" s="38">
        <v>7.2672169999999996</v>
      </c>
      <c r="AA111" s="38">
        <v>7.3884829999999999</v>
      </c>
      <c r="AB111" s="38">
        <v>7.5214470000000002</v>
      </c>
      <c r="AC111" s="38">
        <v>7.6591680000000002</v>
      </c>
      <c r="AD111" s="38">
        <v>7.7947930000000003</v>
      </c>
      <c r="AE111" s="38">
        <v>7.9456879999999996</v>
      </c>
      <c r="AF111" s="35">
        <v>1.5219E-2</v>
      </c>
      <c r="AG111" s="29"/>
    </row>
    <row r="112" spans="1:33" ht="15" customHeight="1">
      <c r="A112" s="34" t="s">
        <v>5041</v>
      </c>
      <c r="B112" s="33" t="s">
        <v>5040</v>
      </c>
      <c r="C112" s="1973">
        <v>21.508896</v>
      </c>
      <c r="D112" s="1973">
        <v>21.121822000000002</v>
      </c>
      <c r="E112" s="1973">
        <v>20.988358000000002</v>
      </c>
      <c r="F112" s="1973">
        <v>21.127586000000001</v>
      </c>
      <c r="G112" s="1973">
        <v>21.191535999999999</v>
      </c>
      <c r="H112" s="1973">
        <v>21.249516</v>
      </c>
      <c r="I112" s="1973">
        <v>21.267403000000002</v>
      </c>
      <c r="J112" s="1973">
        <v>21.267963000000002</v>
      </c>
      <c r="K112" s="1973">
        <v>21.269732999999999</v>
      </c>
      <c r="L112" s="1973">
        <v>21.316433</v>
      </c>
      <c r="M112" s="1973">
        <v>21.412941</v>
      </c>
      <c r="N112" s="1973">
        <v>21.481677999999999</v>
      </c>
      <c r="O112" s="1973">
        <v>21.587553</v>
      </c>
      <c r="P112" s="1973">
        <v>21.698273</v>
      </c>
      <c r="Q112" s="1973">
        <v>21.825367</v>
      </c>
      <c r="R112" s="1973">
        <v>21.926689</v>
      </c>
      <c r="S112" s="1973">
        <v>21.989027</v>
      </c>
      <c r="T112" s="1973">
        <v>22.053360000000001</v>
      </c>
      <c r="U112" s="1973">
        <v>22.145949999999999</v>
      </c>
      <c r="V112" s="1973">
        <v>22.265259</v>
      </c>
      <c r="W112" s="1973">
        <v>22.438521999999999</v>
      </c>
      <c r="X112" s="1973">
        <v>22.608433000000002</v>
      </c>
      <c r="Y112" s="1973">
        <v>22.800034</v>
      </c>
      <c r="Z112" s="1973">
        <v>23.011658000000001</v>
      </c>
      <c r="AA112" s="1973">
        <v>23.186775000000001</v>
      </c>
      <c r="AB112" s="1973">
        <v>23.391161</v>
      </c>
      <c r="AC112" s="1973">
        <v>23.609210999999998</v>
      </c>
      <c r="AD112" s="1973">
        <v>23.818702999999999</v>
      </c>
      <c r="AE112" s="1973">
        <v>24.056145000000001</v>
      </c>
      <c r="AF112" s="1972">
        <v>4.0049999999999999E-3</v>
      </c>
      <c r="AG112" s="29"/>
    </row>
    <row r="113" spans="1:33" ht="15" customHeight="1">
      <c r="A113" s="34" t="s">
        <v>5039</v>
      </c>
      <c r="B113" s="37" t="s">
        <v>5038</v>
      </c>
      <c r="C113" s="38">
        <v>0.112023</v>
      </c>
      <c r="D113" s="38">
        <v>0.123458</v>
      </c>
      <c r="E113" s="38">
        <v>0.13652900000000001</v>
      </c>
      <c r="F113" s="38">
        <v>0.14977699999999999</v>
      </c>
      <c r="G113" s="38">
        <v>0.16300899999999999</v>
      </c>
      <c r="H113" s="38">
        <v>0.17658499999999999</v>
      </c>
      <c r="I113" s="38">
        <v>0.19053</v>
      </c>
      <c r="J113" s="38">
        <v>0.20494499999999999</v>
      </c>
      <c r="K113" s="38">
        <v>0.21981999999999999</v>
      </c>
      <c r="L113" s="38">
        <v>0.23524600000000001</v>
      </c>
      <c r="M113" s="38">
        <v>0.25148999999999999</v>
      </c>
      <c r="N113" s="38">
        <v>0.26793699999999998</v>
      </c>
      <c r="O113" s="38">
        <v>0.28465000000000001</v>
      </c>
      <c r="P113" s="38">
        <v>0.29947400000000002</v>
      </c>
      <c r="Q113" s="38">
        <v>0.31491799999999998</v>
      </c>
      <c r="R113" s="38">
        <v>0.33096799999999998</v>
      </c>
      <c r="S113" s="38">
        <v>0.34801199999999999</v>
      </c>
      <c r="T113" s="38">
        <v>0.36618699999999998</v>
      </c>
      <c r="U113" s="38">
        <v>0.38540000000000002</v>
      </c>
      <c r="V113" s="38">
        <v>0.40570899999999999</v>
      </c>
      <c r="W113" s="38">
        <v>0.427124</v>
      </c>
      <c r="X113" s="38">
        <v>0.44966</v>
      </c>
      <c r="Y113" s="38">
        <v>0.47307100000000002</v>
      </c>
      <c r="Z113" s="38">
        <v>0.49757400000000002</v>
      </c>
      <c r="AA113" s="38">
        <v>0.52299700000000005</v>
      </c>
      <c r="AB113" s="38">
        <v>0.54935500000000004</v>
      </c>
      <c r="AC113" s="38">
        <v>0.57694599999999996</v>
      </c>
      <c r="AD113" s="38">
        <v>0.60526800000000003</v>
      </c>
      <c r="AE113" s="38">
        <v>0.63452399999999998</v>
      </c>
      <c r="AF113" s="35">
        <v>6.3893000000000005E-2</v>
      </c>
      <c r="AG113" s="29"/>
    </row>
    <row r="114" spans="1:33" ht="15" customHeight="1">
      <c r="A114" s="34" t="s">
        <v>5037</v>
      </c>
      <c r="B114" s="33" t="s">
        <v>5036</v>
      </c>
      <c r="C114" s="39">
        <v>21.396872999999999</v>
      </c>
      <c r="D114" s="39">
        <v>20.998363000000001</v>
      </c>
      <c r="E114" s="39">
        <v>20.851828000000001</v>
      </c>
      <c r="F114" s="39">
        <v>20.977810000000002</v>
      </c>
      <c r="G114" s="39">
        <v>21.028528000000001</v>
      </c>
      <c r="H114" s="39">
        <v>21.072931000000001</v>
      </c>
      <c r="I114" s="39">
        <v>21.076872000000002</v>
      </c>
      <c r="J114" s="39">
        <v>21.063019000000001</v>
      </c>
      <c r="K114" s="39">
        <v>21.049913</v>
      </c>
      <c r="L114" s="39">
        <v>21.081185999999999</v>
      </c>
      <c r="M114" s="39">
        <v>21.161451</v>
      </c>
      <c r="N114" s="39">
        <v>21.213740999999999</v>
      </c>
      <c r="O114" s="39">
        <v>21.302902</v>
      </c>
      <c r="P114" s="39">
        <v>21.398797999999999</v>
      </c>
      <c r="Q114" s="39">
        <v>21.510448</v>
      </c>
      <c r="R114" s="39">
        <v>21.59572</v>
      </c>
      <c r="S114" s="39">
        <v>21.641013999999998</v>
      </c>
      <c r="T114" s="39">
        <v>21.687172</v>
      </c>
      <c r="U114" s="39">
        <v>21.760549999999999</v>
      </c>
      <c r="V114" s="39">
        <v>21.859549000000001</v>
      </c>
      <c r="W114" s="39">
        <v>22.011398</v>
      </c>
      <c r="X114" s="39">
        <v>22.158773</v>
      </c>
      <c r="Y114" s="39">
        <v>22.326962999999999</v>
      </c>
      <c r="Z114" s="39">
        <v>22.514084</v>
      </c>
      <c r="AA114" s="39">
        <v>22.663778000000001</v>
      </c>
      <c r="AB114" s="39">
        <v>22.841805999999998</v>
      </c>
      <c r="AC114" s="39">
        <v>23.032264999999999</v>
      </c>
      <c r="AD114" s="39">
        <v>23.213433999999999</v>
      </c>
      <c r="AE114" s="39">
        <v>23.421619</v>
      </c>
      <c r="AF114" s="31">
        <v>3.2339999999999999E-3</v>
      </c>
      <c r="AG114" s="29"/>
    </row>
    <row r="115" spans="1:33" ht="15" customHeight="1">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row>
    <row r="116" spans="1:33" ht="15" customHeight="1">
      <c r="B116" s="33" t="s">
        <v>5035</v>
      </c>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row>
    <row r="117" spans="1:33" ht="15" customHeight="1">
      <c r="A117" s="34" t="s">
        <v>5034</v>
      </c>
      <c r="B117" s="37" t="s">
        <v>5033</v>
      </c>
      <c r="C117" s="38">
        <v>1.4845000000000001E-2</v>
      </c>
      <c r="D117" s="38">
        <v>1.5337E-2</v>
      </c>
      <c r="E117" s="38">
        <v>1.7392999999999999E-2</v>
      </c>
      <c r="F117" s="38">
        <v>1.9101E-2</v>
      </c>
      <c r="G117" s="38">
        <v>2.0705000000000001E-2</v>
      </c>
      <c r="H117" s="38">
        <v>2.2252999999999998E-2</v>
      </c>
      <c r="I117" s="38">
        <v>2.3747000000000001E-2</v>
      </c>
      <c r="J117" s="38">
        <v>2.5304E-2</v>
      </c>
      <c r="K117" s="38">
        <v>2.6698E-2</v>
      </c>
      <c r="L117" s="38">
        <v>2.8160000000000001E-2</v>
      </c>
      <c r="M117" s="38">
        <v>2.9547E-2</v>
      </c>
      <c r="N117" s="38">
        <v>3.0886E-2</v>
      </c>
      <c r="O117" s="38">
        <v>3.2044999999999997E-2</v>
      </c>
      <c r="P117" s="38">
        <v>3.2747999999999999E-2</v>
      </c>
      <c r="Q117" s="38">
        <v>3.3270000000000001E-2</v>
      </c>
      <c r="R117" s="38">
        <v>3.3674000000000003E-2</v>
      </c>
      <c r="S117" s="38">
        <v>3.3866E-2</v>
      </c>
      <c r="T117" s="38">
        <v>3.424E-2</v>
      </c>
      <c r="U117" s="38">
        <v>3.4597999999999997E-2</v>
      </c>
      <c r="V117" s="38">
        <v>3.5140999999999999E-2</v>
      </c>
      <c r="W117" s="38">
        <v>3.5660999999999998E-2</v>
      </c>
      <c r="X117" s="38">
        <v>3.6152999999999998E-2</v>
      </c>
      <c r="Y117" s="38">
        <v>3.6614000000000001E-2</v>
      </c>
      <c r="Z117" s="38">
        <v>3.7157999999999997E-2</v>
      </c>
      <c r="AA117" s="38">
        <v>3.7769999999999998E-2</v>
      </c>
      <c r="AB117" s="38">
        <v>3.8505999999999999E-2</v>
      </c>
      <c r="AC117" s="38">
        <v>3.9142999999999997E-2</v>
      </c>
      <c r="AD117" s="38">
        <v>3.9898999999999997E-2</v>
      </c>
      <c r="AE117" s="38">
        <v>4.0578000000000003E-2</v>
      </c>
      <c r="AF117" s="35">
        <v>3.6565E-2</v>
      </c>
      <c r="AG117" s="29"/>
    </row>
    <row r="118" spans="1:33" ht="15" customHeight="1">
      <c r="A118" s="34" t="s">
        <v>5032</v>
      </c>
      <c r="B118" s="37" t="s">
        <v>5031</v>
      </c>
      <c r="C118" s="38">
        <v>5.7070999999999997E-2</v>
      </c>
      <c r="D118" s="38">
        <v>6.5246999999999999E-2</v>
      </c>
      <c r="E118" s="38">
        <v>7.4490000000000001E-2</v>
      </c>
      <c r="F118" s="38">
        <v>8.2332000000000002E-2</v>
      </c>
      <c r="G118" s="38">
        <v>8.9647000000000004E-2</v>
      </c>
      <c r="H118" s="38">
        <v>9.6698999999999993E-2</v>
      </c>
      <c r="I118" s="38">
        <v>0.103424</v>
      </c>
      <c r="J118" s="38">
        <v>0.110056</v>
      </c>
      <c r="K118" s="38">
        <v>0.11708300000000001</v>
      </c>
      <c r="L118" s="38">
        <v>0.1244</v>
      </c>
      <c r="M118" s="38">
        <v>0.13175400000000001</v>
      </c>
      <c r="N118" s="38">
        <v>0.136737</v>
      </c>
      <c r="O118" s="38">
        <v>0.13999400000000001</v>
      </c>
      <c r="P118" s="38">
        <v>0.13961699999999999</v>
      </c>
      <c r="Q118" s="38">
        <v>0.13946500000000001</v>
      </c>
      <c r="R118" s="38">
        <v>0.13922100000000001</v>
      </c>
      <c r="S118" s="38">
        <v>0.13922000000000001</v>
      </c>
      <c r="T118" s="38">
        <v>0.139213</v>
      </c>
      <c r="U118" s="38">
        <v>0.139127</v>
      </c>
      <c r="V118" s="38">
        <v>0.139539</v>
      </c>
      <c r="W118" s="38">
        <v>0.13955999999999999</v>
      </c>
      <c r="X118" s="38">
        <v>0.13979800000000001</v>
      </c>
      <c r="Y118" s="38">
        <v>0.139983</v>
      </c>
      <c r="Z118" s="38">
        <v>0.14035800000000001</v>
      </c>
      <c r="AA118" s="38">
        <v>0.140489</v>
      </c>
      <c r="AB118" s="38">
        <v>0.140678</v>
      </c>
      <c r="AC118" s="38">
        <v>0.140518</v>
      </c>
      <c r="AD118" s="38">
        <v>0.14077500000000001</v>
      </c>
      <c r="AE118" s="38">
        <v>0.140678</v>
      </c>
      <c r="AF118" s="35">
        <v>3.2745000000000003E-2</v>
      </c>
      <c r="AG118" s="29"/>
    </row>
    <row r="119" spans="1:33" ht="15" customHeight="1">
      <c r="A119" s="34" t="s">
        <v>5030</v>
      </c>
      <c r="B119" s="37" t="s">
        <v>5029</v>
      </c>
      <c r="C119" s="38">
        <v>0.32074200000000003</v>
      </c>
      <c r="D119" s="38">
        <v>0.35317799999999999</v>
      </c>
      <c r="E119" s="38">
        <v>0.39725199999999999</v>
      </c>
      <c r="F119" s="38">
        <v>0.43442599999999998</v>
      </c>
      <c r="G119" s="38">
        <v>0.47073300000000001</v>
      </c>
      <c r="H119" s="38">
        <v>0.50977799999999995</v>
      </c>
      <c r="I119" s="38">
        <v>0.54817300000000002</v>
      </c>
      <c r="J119" s="38">
        <v>0.58955800000000003</v>
      </c>
      <c r="K119" s="38">
        <v>0.63500900000000005</v>
      </c>
      <c r="L119" s="38">
        <v>0.682952</v>
      </c>
      <c r="M119" s="38">
        <v>0.73329999999999995</v>
      </c>
      <c r="N119" s="38">
        <v>0.78193000000000001</v>
      </c>
      <c r="O119" s="38">
        <v>0.83591400000000005</v>
      </c>
      <c r="P119" s="38">
        <v>0.88302199999999997</v>
      </c>
      <c r="Q119" s="38">
        <v>0.92925899999999995</v>
      </c>
      <c r="R119" s="38">
        <v>0.97457099999999997</v>
      </c>
      <c r="S119" s="38">
        <v>1.022575</v>
      </c>
      <c r="T119" s="38">
        <v>1.0770759999999999</v>
      </c>
      <c r="U119" s="38">
        <v>1.132468</v>
      </c>
      <c r="V119" s="38">
        <v>1.1976089999999999</v>
      </c>
      <c r="W119" s="38">
        <v>1.2617700000000001</v>
      </c>
      <c r="X119" s="38">
        <v>1.3309089999999999</v>
      </c>
      <c r="Y119" s="38">
        <v>1.4054310000000001</v>
      </c>
      <c r="Z119" s="38">
        <v>1.4835309999999999</v>
      </c>
      <c r="AA119" s="38">
        <v>1.559299</v>
      </c>
      <c r="AB119" s="38">
        <v>1.639516</v>
      </c>
      <c r="AC119" s="38">
        <v>1.7206680000000001</v>
      </c>
      <c r="AD119" s="38">
        <v>1.8081609999999999</v>
      </c>
      <c r="AE119" s="38">
        <v>1.890247</v>
      </c>
      <c r="AF119" s="35">
        <v>6.5401000000000001E-2</v>
      </c>
      <c r="AG119" s="29"/>
    </row>
    <row r="120" spans="1:33" ht="15" customHeight="1">
      <c r="A120" s="34" t="s">
        <v>5028</v>
      </c>
      <c r="B120" s="37" t="s">
        <v>5027</v>
      </c>
      <c r="C120" s="38">
        <v>5.6099999999999998E-4</v>
      </c>
      <c r="D120" s="38">
        <v>6.0300000000000002E-4</v>
      </c>
      <c r="E120" s="38">
        <v>6.5899999999999997E-4</v>
      </c>
      <c r="F120" s="38">
        <v>7.0500000000000001E-4</v>
      </c>
      <c r="G120" s="38">
        <v>7.4799999999999997E-4</v>
      </c>
      <c r="H120" s="38">
        <v>8.0099999999999995E-4</v>
      </c>
      <c r="I120" s="38">
        <v>8.5400000000000005E-4</v>
      </c>
      <c r="J120" s="38">
        <v>9.0700000000000004E-4</v>
      </c>
      <c r="K120" s="38">
        <v>9.6000000000000002E-4</v>
      </c>
      <c r="L120" s="38">
        <v>1.0169999999999999E-3</v>
      </c>
      <c r="M120" s="38">
        <v>1.072E-3</v>
      </c>
      <c r="N120" s="38">
        <v>1.122E-3</v>
      </c>
      <c r="O120" s="38">
        <v>1.122E-3</v>
      </c>
      <c r="P120" s="38">
        <v>1.127E-3</v>
      </c>
      <c r="Q120" s="38">
        <v>1.126E-3</v>
      </c>
      <c r="R120" s="38">
        <v>1.1280000000000001E-3</v>
      </c>
      <c r="S120" s="38">
        <v>1.1280000000000001E-3</v>
      </c>
      <c r="T120" s="38">
        <v>1.1299999999999999E-3</v>
      </c>
      <c r="U120" s="38">
        <v>1.1349999999999999E-3</v>
      </c>
      <c r="V120" s="38">
        <v>1.1440000000000001E-3</v>
      </c>
      <c r="W120" s="38">
        <v>1.1460000000000001E-3</v>
      </c>
      <c r="X120" s="38">
        <v>1.1540000000000001E-3</v>
      </c>
      <c r="Y120" s="38">
        <v>1.1620000000000001E-3</v>
      </c>
      <c r="Z120" s="38">
        <v>1.17E-3</v>
      </c>
      <c r="AA120" s="38">
        <v>1.1770000000000001E-3</v>
      </c>
      <c r="AB120" s="38">
        <v>1.183E-3</v>
      </c>
      <c r="AC120" s="38">
        <v>1.1869999999999999E-3</v>
      </c>
      <c r="AD120" s="38">
        <v>1.194E-3</v>
      </c>
      <c r="AE120" s="38">
        <v>1.1919999999999999E-3</v>
      </c>
      <c r="AF120" s="35">
        <v>2.7265000000000001E-2</v>
      </c>
      <c r="AG120" s="29"/>
    </row>
    <row r="121" spans="1:33" ht="15" customHeight="1">
      <c r="A121" s="34" t="s">
        <v>5026</v>
      </c>
      <c r="B121" s="33" t="s">
        <v>2868</v>
      </c>
      <c r="C121" s="39">
        <v>0.39321899999999999</v>
      </c>
      <c r="D121" s="39">
        <v>0.43436599999999997</v>
      </c>
      <c r="E121" s="39">
        <v>0.48979299999999998</v>
      </c>
      <c r="F121" s="39">
        <v>0.53656400000000004</v>
      </c>
      <c r="G121" s="39">
        <v>0.58183300000000004</v>
      </c>
      <c r="H121" s="39">
        <v>0.62953099999999995</v>
      </c>
      <c r="I121" s="39">
        <v>0.67619799999999997</v>
      </c>
      <c r="J121" s="39">
        <v>0.72582400000000002</v>
      </c>
      <c r="K121" s="39">
        <v>0.77975099999999997</v>
      </c>
      <c r="L121" s="39">
        <v>0.83652899999999997</v>
      </c>
      <c r="M121" s="39">
        <v>0.89567300000000005</v>
      </c>
      <c r="N121" s="39">
        <v>0.95067500000000005</v>
      </c>
      <c r="O121" s="39">
        <v>1.0090749999999999</v>
      </c>
      <c r="P121" s="39">
        <v>1.056513</v>
      </c>
      <c r="Q121" s="39">
        <v>1.103119</v>
      </c>
      <c r="R121" s="39">
        <v>1.148593</v>
      </c>
      <c r="S121" s="39">
        <v>1.1967890000000001</v>
      </c>
      <c r="T121" s="39">
        <v>1.2516590000000001</v>
      </c>
      <c r="U121" s="39">
        <v>1.307328</v>
      </c>
      <c r="V121" s="39">
        <v>1.3734329999999999</v>
      </c>
      <c r="W121" s="39">
        <v>1.438137</v>
      </c>
      <c r="X121" s="39">
        <v>1.508014</v>
      </c>
      <c r="Y121" s="39">
        <v>1.5831900000000001</v>
      </c>
      <c r="Z121" s="39">
        <v>1.662218</v>
      </c>
      <c r="AA121" s="39">
        <v>1.7387349999999999</v>
      </c>
      <c r="AB121" s="39">
        <v>1.8198840000000001</v>
      </c>
      <c r="AC121" s="39">
        <v>1.9015150000000001</v>
      </c>
      <c r="AD121" s="39">
        <v>1.990029</v>
      </c>
      <c r="AE121" s="39">
        <v>2.072695</v>
      </c>
      <c r="AF121" s="31">
        <v>6.1163000000000002E-2</v>
      </c>
      <c r="AG121" s="29"/>
    </row>
    <row r="122" spans="1:33" ht="15" customHeight="1">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row>
    <row r="123" spans="1:33" ht="15" customHeight="1">
      <c r="B123" s="33" t="s">
        <v>5025</v>
      </c>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row>
    <row r="124" spans="1:33" ht="15" customHeight="1">
      <c r="A124" s="34" t="s">
        <v>5024</v>
      </c>
      <c r="B124" s="37" t="s">
        <v>5012</v>
      </c>
      <c r="C124" s="53">
        <v>6198</v>
      </c>
      <c r="D124" s="53">
        <v>6420</v>
      </c>
      <c r="E124" s="53">
        <v>5972</v>
      </c>
      <c r="F124" s="53">
        <v>5949</v>
      </c>
      <c r="G124" s="53">
        <v>5925</v>
      </c>
      <c r="H124" s="53">
        <v>5902</v>
      </c>
      <c r="I124" s="53">
        <v>5878</v>
      </c>
      <c r="J124" s="53">
        <v>5854</v>
      </c>
      <c r="K124" s="53">
        <v>5830</v>
      </c>
      <c r="L124" s="53">
        <v>5807</v>
      </c>
      <c r="M124" s="53">
        <v>5783</v>
      </c>
      <c r="N124" s="53">
        <v>5759</v>
      </c>
      <c r="O124" s="53">
        <v>5735</v>
      </c>
      <c r="P124" s="53">
        <v>5711</v>
      </c>
      <c r="Q124" s="53">
        <v>5687</v>
      </c>
      <c r="R124" s="53">
        <v>5663</v>
      </c>
      <c r="S124" s="53">
        <v>5639</v>
      </c>
      <c r="T124" s="53">
        <v>5615</v>
      </c>
      <c r="U124" s="53">
        <v>5591</v>
      </c>
      <c r="V124" s="53">
        <v>5567</v>
      </c>
      <c r="W124" s="53">
        <v>5543</v>
      </c>
      <c r="X124" s="53">
        <v>5519</v>
      </c>
      <c r="Y124" s="53">
        <v>5495</v>
      </c>
      <c r="Z124" s="53">
        <v>5471</v>
      </c>
      <c r="AA124" s="53">
        <v>5447</v>
      </c>
      <c r="AB124" s="53">
        <v>5423</v>
      </c>
      <c r="AC124" s="53">
        <v>5399</v>
      </c>
      <c r="AD124" s="53">
        <v>5374</v>
      </c>
      <c r="AE124" s="53">
        <v>5350</v>
      </c>
      <c r="AF124" s="35">
        <v>-5.241E-3</v>
      </c>
      <c r="AG124" s="29"/>
    </row>
    <row r="125" spans="1:33" ht="15" customHeight="1">
      <c r="A125" s="34" t="s">
        <v>5023</v>
      </c>
      <c r="B125" s="37" t="s">
        <v>5010</v>
      </c>
      <c r="C125" s="53">
        <v>5742</v>
      </c>
      <c r="D125" s="53">
        <v>5779</v>
      </c>
      <c r="E125" s="53">
        <v>5348</v>
      </c>
      <c r="F125" s="53">
        <v>5325</v>
      </c>
      <c r="G125" s="53">
        <v>5303</v>
      </c>
      <c r="H125" s="53">
        <v>5281</v>
      </c>
      <c r="I125" s="53">
        <v>5259</v>
      </c>
      <c r="J125" s="53">
        <v>5236</v>
      </c>
      <c r="K125" s="53">
        <v>5214</v>
      </c>
      <c r="L125" s="53">
        <v>5192</v>
      </c>
      <c r="M125" s="53">
        <v>5169</v>
      </c>
      <c r="N125" s="53">
        <v>5147</v>
      </c>
      <c r="O125" s="53">
        <v>5125</v>
      </c>
      <c r="P125" s="53">
        <v>5102</v>
      </c>
      <c r="Q125" s="53">
        <v>5080</v>
      </c>
      <c r="R125" s="53">
        <v>5058</v>
      </c>
      <c r="S125" s="53">
        <v>5036</v>
      </c>
      <c r="T125" s="53">
        <v>5013</v>
      </c>
      <c r="U125" s="53">
        <v>4991</v>
      </c>
      <c r="V125" s="53">
        <v>4969</v>
      </c>
      <c r="W125" s="53">
        <v>4947</v>
      </c>
      <c r="X125" s="53">
        <v>4924</v>
      </c>
      <c r="Y125" s="53">
        <v>4902</v>
      </c>
      <c r="Z125" s="53">
        <v>4880</v>
      </c>
      <c r="AA125" s="53">
        <v>4858</v>
      </c>
      <c r="AB125" s="53">
        <v>4835</v>
      </c>
      <c r="AC125" s="53">
        <v>4813</v>
      </c>
      <c r="AD125" s="53">
        <v>4791</v>
      </c>
      <c r="AE125" s="53">
        <v>4769</v>
      </c>
      <c r="AF125" s="35">
        <v>-6.6090000000000003E-3</v>
      </c>
      <c r="AG125" s="29"/>
    </row>
    <row r="126" spans="1:33" ht="15" customHeight="1">
      <c r="A126" s="34" t="s">
        <v>5022</v>
      </c>
      <c r="B126" s="37" t="s">
        <v>5008</v>
      </c>
      <c r="C126" s="53">
        <v>6427</v>
      </c>
      <c r="D126" s="53">
        <v>6306</v>
      </c>
      <c r="E126" s="53">
        <v>5982</v>
      </c>
      <c r="F126" s="53">
        <v>5967</v>
      </c>
      <c r="G126" s="53">
        <v>5953</v>
      </c>
      <c r="H126" s="53">
        <v>5938</v>
      </c>
      <c r="I126" s="53">
        <v>5923</v>
      </c>
      <c r="J126" s="53">
        <v>5908</v>
      </c>
      <c r="K126" s="53">
        <v>5893</v>
      </c>
      <c r="L126" s="53">
        <v>5879</v>
      </c>
      <c r="M126" s="53">
        <v>5864</v>
      </c>
      <c r="N126" s="53">
        <v>5849</v>
      </c>
      <c r="O126" s="53">
        <v>5834</v>
      </c>
      <c r="P126" s="53">
        <v>5819</v>
      </c>
      <c r="Q126" s="53">
        <v>5804</v>
      </c>
      <c r="R126" s="53">
        <v>5790</v>
      </c>
      <c r="S126" s="53">
        <v>5775</v>
      </c>
      <c r="T126" s="53">
        <v>5760</v>
      </c>
      <c r="U126" s="53">
        <v>5745</v>
      </c>
      <c r="V126" s="53">
        <v>5730</v>
      </c>
      <c r="W126" s="53">
        <v>5715</v>
      </c>
      <c r="X126" s="53">
        <v>5701</v>
      </c>
      <c r="Y126" s="53">
        <v>5686</v>
      </c>
      <c r="Z126" s="53">
        <v>5671</v>
      </c>
      <c r="AA126" s="53">
        <v>5656</v>
      </c>
      <c r="AB126" s="53">
        <v>5641</v>
      </c>
      <c r="AC126" s="53">
        <v>5626</v>
      </c>
      <c r="AD126" s="53">
        <v>5611</v>
      </c>
      <c r="AE126" s="53">
        <v>5597</v>
      </c>
      <c r="AF126" s="35">
        <v>-4.9259999999999998E-3</v>
      </c>
      <c r="AG126" s="29"/>
    </row>
    <row r="127" spans="1:33" ht="15" customHeight="1">
      <c r="A127" s="34" t="s">
        <v>5021</v>
      </c>
      <c r="B127" s="37" t="s">
        <v>5006</v>
      </c>
      <c r="C127" s="53">
        <v>6845</v>
      </c>
      <c r="D127" s="53">
        <v>6601</v>
      </c>
      <c r="E127" s="53">
        <v>6349</v>
      </c>
      <c r="F127" s="53">
        <v>6340</v>
      </c>
      <c r="G127" s="53">
        <v>6330</v>
      </c>
      <c r="H127" s="53">
        <v>6321</v>
      </c>
      <c r="I127" s="53">
        <v>6311</v>
      </c>
      <c r="J127" s="53">
        <v>6301</v>
      </c>
      <c r="K127" s="53">
        <v>6291</v>
      </c>
      <c r="L127" s="53">
        <v>6281</v>
      </c>
      <c r="M127" s="53">
        <v>6271</v>
      </c>
      <c r="N127" s="53">
        <v>6261</v>
      </c>
      <c r="O127" s="53">
        <v>6250</v>
      </c>
      <c r="P127" s="53">
        <v>6240</v>
      </c>
      <c r="Q127" s="53">
        <v>6230</v>
      </c>
      <c r="R127" s="53">
        <v>6219</v>
      </c>
      <c r="S127" s="53">
        <v>6209</v>
      </c>
      <c r="T127" s="53">
        <v>6198</v>
      </c>
      <c r="U127" s="53">
        <v>6188</v>
      </c>
      <c r="V127" s="53">
        <v>6177</v>
      </c>
      <c r="W127" s="53">
        <v>6167</v>
      </c>
      <c r="X127" s="53">
        <v>6156</v>
      </c>
      <c r="Y127" s="53">
        <v>6145</v>
      </c>
      <c r="Z127" s="53">
        <v>6135</v>
      </c>
      <c r="AA127" s="53">
        <v>6124</v>
      </c>
      <c r="AB127" s="53">
        <v>6113</v>
      </c>
      <c r="AC127" s="53">
        <v>6103</v>
      </c>
      <c r="AD127" s="53">
        <v>6092</v>
      </c>
      <c r="AE127" s="53">
        <v>6081</v>
      </c>
      <c r="AF127" s="35">
        <v>-4.2180000000000004E-3</v>
      </c>
      <c r="AG127" s="29"/>
    </row>
    <row r="128" spans="1:33" ht="15" customHeight="1">
      <c r="A128" s="34" t="s">
        <v>5020</v>
      </c>
      <c r="B128" s="37" t="s">
        <v>5004</v>
      </c>
      <c r="C128" s="53">
        <v>2566</v>
      </c>
      <c r="D128" s="53">
        <v>2600</v>
      </c>
      <c r="E128" s="53">
        <v>2375</v>
      </c>
      <c r="F128" s="53">
        <v>2358</v>
      </c>
      <c r="G128" s="53">
        <v>2342</v>
      </c>
      <c r="H128" s="53">
        <v>2326</v>
      </c>
      <c r="I128" s="53">
        <v>2310</v>
      </c>
      <c r="J128" s="53">
        <v>2294</v>
      </c>
      <c r="K128" s="53">
        <v>2277</v>
      </c>
      <c r="L128" s="53">
        <v>2261</v>
      </c>
      <c r="M128" s="53">
        <v>2245</v>
      </c>
      <c r="N128" s="53">
        <v>2229</v>
      </c>
      <c r="O128" s="53">
        <v>2213</v>
      </c>
      <c r="P128" s="53">
        <v>2197</v>
      </c>
      <c r="Q128" s="53">
        <v>2180</v>
      </c>
      <c r="R128" s="53">
        <v>2164</v>
      </c>
      <c r="S128" s="53">
        <v>2148</v>
      </c>
      <c r="T128" s="53">
        <v>2132</v>
      </c>
      <c r="U128" s="53">
        <v>2116</v>
      </c>
      <c r="V128" s="53">
        <v>2100</v>
      </c>
      <c r="W128" s="53">
        <v>2084</v>
      </c>
      <c r="X128" s="53">
        <v>2068</v>
      </c>
      <c r="Y128" s="53">
        <v>2052</v>
      </c>
      <c r="Z128" s="53">
        <v>2036</v>
      </c>
      <c r="AA128" s="53">
        <v>2020</v>
      </c>
      <c r="AB128" s="53">
        <v>2005</v>
      </c>
      <c r="AC128" s="53">
        <v>1989</v>
      </c>
      <c r="AD128" s="53">
        <v>1973</v>
      </c>
      <c r="AE128" s="53">
        <v>1957</v>
      </c>
      <c r="AF128" s="35">
        <v>-9.6299999999999997E-3</v>
      </c>
      <c r="AG128" s="29"/>
    </row>
    <row r="129" spans="1:33" ht="15" customHeight="1">
      <c r="A129" s="34" t="s">
        <v>5019</v>
      </c>
      <c r="B129" s="37" t="s">
        <v>5002</v>
      </c>
      <c r="C129" s="53">
        <v>3487</v>
      </c>
      <c r="D129" s="53">
        <v>3442</v>
      </c>
      <c r="E129" s="53">
        <v>3180</v>
      </c>
      <c r="F129" s="53">
        <v>3168</v>
      </c>
      <c r="G129" s="53">
        <v>3156</v>
      </c>
      <c r="H129" s="53">
        <v>3144</v>
      </c>
      <c r="I129" s="53">
        <v>3131</v>
      </c>
      <c r="J129" s="53">
        <v>3119</v>
      </c>
      <c r="K129" s="53">
        <v>3106</v>
      </c>
      <c r="L129" s="53">
        <v>3094</v>
      </c>
      <c r="M129" s="53">
        <v>3081</v>
      </c>
      <c r="N129" s="53">
        <v>3069</v>
      </c>
      <c r="O129" s="53">
        <v>3056</v>
      </c>
      <c r="P129" s="53">
        <v>3043</v>
      </c>
      <c r="Q129" s="53">
        <v>3031</v>
      </c>
      <c r="R129" s="53">
        <v>3018</v>
      </c>
      <c r="S129" s="53">
        <v>3005</v>
      </c>
      <c r="T129" s="53">
        <v>2992</v>
      </c>
      <c r="U129" s="53">
        <v>2980</v>
      </c>
      <c r="V129" s="53">
        <v>2967</v>
      </c>
      <c r="W129" s="53">
        <v>2954</v>
      </c>
      <c r="X129" s="53">
        <v>2941</v>
      </c>
      <c r="Y129" s="53">
        <v>2929</v>
      </c>
      <c r="Z129" s="53">
        <v>2916</v>
      </c>
      <c r="AA129" s="53">
        <v>2903</v>
      </c>
      <c r="AB129" s="53">
        <v>2890</v>
      </c>
      <c r="AC129" s="53">
        <v>2877</v>
      </c>
      <c r="AD129" s="53">
        <v>2865</v>
      </c>
      <c r="AE129" s="53">
        <v>2852</v>
      </c>
      <c r="AF129" s="35">
        <v>-7.1539999999999998E-3</v>
      </c>
      <c r="AG129" s="29"/>
    </row>
    <row r="130" spans="1:33" ht="15" customHeight="1">
      <c r="A130" s="34" t="s">
        <v>5018</v>
      </c>
      <c r="B130" s="37" t="s">
        <v>5000</v>
      </c>
      <c r="C130" s="53">
        <v>2195</v>
      </c>
      <c r="D130" s="53">
        <v>2056</v>
      </c>
      <c r="E130" s="53">
        <v>1942</v>
      </c>
      <c r="F130" s="53">
        <v>1934</v>
      </c>
      <c r="G130" s="53">
        <v>1925</v>
      </c>
      <c r="H130" s="53">
        <v>1916</v>
      </c>
      <c r="I130" s="53">
        <v>1908</v>
      </c>
      <c r="J130" s="53">
        <v>1899</v>
      </c>
      <c r="K130" s="53">
        <v>1891</v>
      </c>
      <c r="L130" s="53">
        <v>1882</v>
      </c>
      <c r="M130" s="53">
        <v>1874</v>
      </c>
      <c r="N130" s="53">
        <v>1865</v>
      </c>
      <c r="O130" s="53">
        <v>1857</v>
      </c>
      <c r="P130" s="53">
        <v>1849</v>
      </c>
      <c r="Q130" s="53">
        <v>1840</v>
      </c>
      <c r="R130" s="53">
        <v>1832</v>
      </c>
      <c r="S130" s="53">
        <v>1824</v>
      </c>
      <c r="T130" s="53">
        <v>1815</v>
      </c>
      <c r="U130" s="53">
        <v>1807</v>
      </c>
      <c r="V130" s="53">
        <v>1799</v>
      </c>
      <c r="W130" s="53">
        <v>1791</v>
      </c>
      <c r="X130" s="53">
        <v>1783</v>
      </c>
      <c r="Y130" s="53">
        <v>1774</v>
      </c>
      <c r="Z130" s="53">
        <v>1766</v>
      </c>
      <c r="AA130" s="53">
        <v>1758</v>
      </c>
      <c r="AB130" s="53">
        <v>1750</v>
      </c>
      <c r="AC130" s="53">
        <v>1742</v>
      </c>
      <c r="AD130" s="53">
        <v>1734</v>
      </c>
      <c r="AE130" s="53">
        <v>1726</v>
      </c>
      <c r="AF130" s="35">
        <v>-8.548E-3</v>
      </c>
      <c r="AG130" s="29"/>
    </row>
    <row r="131" spans="1:33" ht="15" customHeight="1">
      <c r="A131" s="34" t="s">
        <v>5017</v>
      </c>
      <c r="B131" s="37" t="s">
        <v>4998</v>
      </c>
      <c r="C131" s="53">
        <v>4970</v>
      </c>
      <c r="D131" s="53">
        <v>4978</v>
      </c>
      <c r="E131" s="53">
        <v>4789</v>
      </c>
      <c r="F131" s="53">
        <v>4776</v>
      </c>
      <c r="G131" s="53">
        <v>4763</v>
      </c>
      <c r="H131" s="53">
        <v>4751</v>
      </c>
      <c r="I131" s="53">
        <v>4738</v>
      </c>
      <c r="J131" s="53">
        <v>4725</v>
      </c>
      <c r="K131" s="53">
        <v>4712</v>
      </c>
      <c r="L131" s="53">
        <v>4698</v>
      </c>
      <c r="M131" s="53">
        <v>4685</v>
      </c>
      <c r="N131" s="53">
        <v>4672</v>
      </c>
      <c r="O131" s="53">
        <v>4658</v>
      </c>
      <c r="P131" s="53">
        <v>4645</v>
      </c>
      <c r="Q131" s="53">
        <v>4632</v>
      </c>
      <c r="R131" s="53">
        <v>4619</v>
      </c>
      <c r="S131" s="53">
        <v>4606</v>
      </c>
      <c r="T131" s="53">
        <v>4593</v>
      </c>
      <c r="U131" s="53">
        <v>4580</v>
      </c>
      <c r="V131" s="53">
        <v>4568</v>
      </c>
      <c r="W131" s="53">
        <v>4555</v>
      </c>
      <c r="X131" s="53">
        <v>4542</v>
      </c>
      <c r="Y131" s="53">
        <v>4530</v>
      </c>
      <c r="Z131" s="53">
        <v>4517</v>
      </c>
      <c r="AA131" s="53">
        <v>4504</v>
      </c>
      <c r="AB131" s="53">
        <v>4492</v>
      </c>
      <c r="AC131" s="53">
        <v>4479</v>
      </c>
      <c r="AD131" s="53">
        <v>4467</v>
      </c>
      <c r="AE131" s="53">
        <v>4454</v>
      </c>
      <c r="AF131" s="35">
        <v>-3.9069999999999999E-3</v>
      </c>
      <c r="AG131" s="29"/>
    </row>
    <row r="132" spans="1:33" ht="15" customHeight="1">
      <c r="A132" s="34" t="s">
        <v>5016</v>
      </c>
      <c r="B132" s="37" t="s">
        <v>4996</v>
      </c>
      <c r="C132" s="53">
        <v>3212</v>
      </c>
      <c r="D132" s="53">
        <v>3503</v>
      </c>
      <c r="E132" s="53">
        <v>3250</v>
      </c>
      <c r="F132" s="53">
        <v>3241</v>
      </c>
      <c r="G132" s="53">
        <v>3232</v>
      </c>
      <c r="H132" s="53">
        <v>3223</v>
      </c>
      <c r="I132" s="53">
        <v>3213</v>
      </c>
      <c r="J132" s="53">
        <v>3204</v>
      </c>
      <c r="K132" s="53">
        <v>3195</v>
      </c>
      <c r="L132" s="53">
        <v>3185</v>
      </c>
      <c r="M132" s="53">
        <v>3176</v>
      </c>
      <c r="N132" s="53">
        <v>3166</v>
      </c>
      <c r="O132" s="53">
        <v>3157</v>
      </c>
      <c r="P132" s="53">
        <v>3147</v>
      </c>
      <c r="Q132" s="53">
        <v>3137</v>
      </c>
      <c r="R132" s="53">
        <v>3128</v>
      </c>
      <c r="S132" s="53">
        <v>3118</v>
      </c>
      <c r="T132" s="53">
        <v>3108</v>
      </c>
      <c r="U132" s="53">
        <v>3098</v>
      </c>
      <c r="V132" s="53">
        <v>3089</v>
      </c>
      <c r="W132" s="53">
        <v>3079</v>
      </c>
      <c r="X132" s="53">
        <v>3069</v>
      </c>
      <c r="Y132" s="53">
        <v>3059</v>
      </c>
      <c r="Z132" s="53">
        <v>3049</v>
      </c>
      <c r="AA132" s="53">
        <v>3040</v>
      </c>
      <c r="AB132" s="53">
        <v>3030</v>
      </c>
      <c r="AC132" s="53">
        <v>3020</v>
      </c>
      <c r="AD132" s="53">
        <v>3010</v>
      </c>
      <c r="AE132" s="53">
        <v>3000</v>
      </c>
      <c r="AF132" s="35">
        <v>-2.4359999999999998E-3</v>
      </c>
      <c r="AG132" s="29"/>
    </row>
    <row r="133" spans="1:33" ht="15" customHeight="1">
      <c r="A133" s="34" t="s">
        <v>5015</v>
      </c>
      <c r="B133" s="33" t="s">
        <v>4994</v>
      </c>
      <c r="C133" s="40">
        <v>4234.6137699999999</v>
      </c>
      <c r="D133" s="40">
        <v>4246.6186520000001</v>
      </c>
      <c r="E133" s="40">
        <v>3976.1059570000002</v>
      </c>
      <c r="F133" s="40">
        <v>3957.180664</v>
      </c>
      <c r="G133" s="40">
        <v>3938.5415039999998</v>
      </c>
      <c r="H133" s="40">
        <v>3920.0117190000001</v>
      </c>
      <c r="I133" s="40">
        <v>3901.2561040000001</v>
      </c>
      <c r="J133" s="40">
        <v>3882.5219729999999</v>
      </c>
      <c r="K133" s="40">
        <v>3863.8103030000002</v>
      </c>
      <c r="L133" s="40">
        <v>3845.1889649999998</v>
      </c>
      <c r="M133" s="40">
        <v>3826.626221</v>
      </c>
      <c r="N133" s="40">
        <v>3807.9733890000002</v>
      </c>
      <c r="O133" s="40">
        <v>3789.4521479999999</v>
      </c>
      <c r="P133" s="40">
        <v>3770.821289</v>
      </c>
      <c r="Q133" s="40">
        <v>3752.0329590000001</v>
      </c>
      <c r="R133" s="40">
        <v>3733.780029</v>
      </c>
      <c r="S133" s="40">
        <v>3715.305664</v>
      </c>
      <c r="T133" s="40">
        <v>3696.5273440000001</v>
      </c>
      <c r="U133" s="40">
        <v>3678.117432</v>
      </c>
      <c r="V133" s="40">
        <v>3659.850586</v>
      </c>
      <c r="W133" s="40">
        <v>3641.3955080000001</v>
      </c>
      <c r="X133" s="40">
        <v>3622.8991700000001</v>
      </c>
      <c r="Y133" s="40">
        <v>3604.398682</v>
      </c>
      <c r="Z133" s="40">
        <v>3585.969482</v>
      </c>
      <c r="AA133" s="40">
        <v>3567.7004390000002</v>
      </c>
      <c r="AB133" s="40">
        <v>3549.5581050000001</v>
      </c>
      <c r="AC133" s="40">
        <v>3531.4091800000001</v>
      </c>
      <c r="AD133" s="40">
        <v>3513.482422</v>
      </c>
      <c r="AE133" s="40">
        <v>3495.6748050000001</v>
      </c>
      <c r="AF133" s="31">
        <v>-6.8250000000000003E-3</v>
      </c>
      <c r="AG133" s="29"/>
    </row>
    <row r="134" spans="1:33" ht="15" customHeight="1">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row>
    <row r="135" spans="1:33" ht="15" customHeight="1">
      <c r="B135" s="33" t="s">
        <v>5014</v>
      </c>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row>
    <row r="136" spans="1:33" ht="15" customHeight="1">
      <c r="A136" s="34" t="s">
        <v>5013</v>
      </c>
      <c r="B136" s="37" t="s">
        <v>5012</v>
      </c>
      <c r="C136" s="53">
        <v>639</v>
      </c>
      <c r="D136" s="53">
        <v>500</v>
      </c>
      <c r="E136" s="53">
        <v>614</v>
      </c>
      <c r="F136" s="53">
        <v>621</v>
      </c>
      <c r="G136" s="53">
        <v>629</v>
      </c>
      <c r="H136" s="53">
        <v>636</v>
      </c>
      <c r="I136" s="53">
        <v>643</v>
      </c>
      <c r="J136" s="53">
        <v>651</v>
      </c>
      <c r="K136" s="53">
        <v>658</v>
      </c>
      <c r="L136" s="53">
        <v>665</v>
      </c>
      <c r="M136" s="53">
        <v>673</v>
      </c>
      <c r="N136" s="53">
        <v>680</v>
      </c>
      <c r="O136" s="53">
        <v>687</v>
      </c>
      <c r="P136" s="53">
        <v>695</v>
      </c>
      <c r="Q136" s="53">
        <v>702</v>
      </c>
      <c r="R136" s="53">
        <v>710</v>
      </c>
      <c r="S136" s="53">
        <v>717</v>
      </c>
      <c r="T136" s="53">
        <v>724</v>
      </c>
      <c r="U136" s="53">
        <v>732</v>
      </c>
      <c r="V136" s="53">
        <v>739</v>
      </c>
      <c r="W136" s="53">
        <v>747</v>
      </c>
      <c r="X136" s="53">
        <v>754</v>
      </c>
      <c r="Y136" s="53">
        <v>761</v>
      </c>
      <c r="Z136" s="53">
        <v>769</v>
      </c>
      <c r="AA136" s="53">
        <v>776</v>
      </c>
      <c r="AB136" s="53">
        <v>784</v>
      </c>
      <c r="AC136" s="53">
        <v>791</v>
      </c>
      <c r="AD136" s="53">
        <v>799</v>
      </c>
      <c r="AE136" s="53">
        <v>806</v>
      </c>
      <c r="AF136" s="35">
        <v>8.3269999999999993E-3</v>
      </c>
      <c r="AG136" s="29"/>
    </row>
    <row r="137" spans="1:33" ht="15" customHeight="1">
      <c r="A137" s="34" t="s">
        <v>5011</v>
      </c>
      <c r="B137" s="37" t="s">
        <v>5010</v>
      </c>
      <c r="C137" s="53">
        <v>835</v>
      </c>
      <c r="D137" s="53">
        <v>692</v>
      </c>
      <c r="E137" s="53">
        <v>864</v>
      </c>
      <c r="F137" s="53">
        <v>874</v>
      </c>
      <c r="G137" s="53">
        <v>883</v>
      </c>
      <c r="H137" s="53">
        <v>893</v>
      </c>
      <c r="I137" s="53">
        <v>902</v>
      </c>
      <c r="J137" s="53">
        <v>912</v>
      </c>
      <c r="K137" s="53">
        <v>922</v>
      </c>
      <c r="L137" s="53">
        <v>931</v>
      </c>
      <c r="M137" s="53">
        <v>941</v>
      </c>
      <c r="N137" s="53">
        <v>950</v>
      </c>
      <c r="O137" s="53">
        <v>960</v>
      </c>
      <c r="P137" s="53">
        <v>970</v>
      </c>
      <c r="Q137" s="53">
        <v>979</v>
      </c>
      <c r="R137" s="53">
        <v>989</v>
      </c>
      <c r="S137" s="53">
        <v>999</v>
      </c>
      <c r="T137" s="53">
        <v>1008</v>
      </c>
      <c r="U137" s="53">
        <v>1018</v>
      </c>
      <c r="V137" s="53">
        <v>1027</v>
      </c>
      <c r="W137" s="53">
        <v>1037</v>
      </c>
      <c r="X137" s="53">
        <v>1047</v>
      </c>
      <c r="Y137" s="53">
        <v>1056</v>
      </c>
      <c r="Z137" s="53">
        <v>1066</v>
      </c>
      <c r="AA137" s="53">
        <v>1076</v>
      </c>
      <c r="AB137" s="53">
        <v>1085</v>
      </c>
      <c r="AC137" s="53">
        <v>1095</v>
      </c>
      <c r="AD137" s="53">
        <v>1104</v>
      </c>
      <c r="AE137" s="53">
        <v>1114</v>
      </c>
      <c r="AF137" s="35">
        <v>1.0349000000000001E-2</v>
      </c>
      <c r="AG137" s="29"/>
    </row>
    <row r="138" spans="1:33" ht="15" customHeight="1">
      <c r="A138" s="34" t="s">
        <v>5009</v>
      </c>
      <c r="B138" s="37" t="s">
        <v>5008</v>
      </c>
      <c r="C138" s="53">
        <v>813</v>
      </c>
      <c r="D138" s="53">
        <v>752</v>
      </c>
      <c r="E138" s="53">
        <v>892</v>
      </c>
      <c r="F138" s="53">
        <v>900</v>
      </c>
      <c r="G138" s="53">
        <v>908</v>
      </c>
      <c r="H138" s="53">
        <v>916</v>
      </c>
      <c r="I138" s="53">
        <v>924</v>
      </c>
      <c r="J138" s="53">
        <v>932</v>
      </c>
      <c r="K138" s="53">
        <v>939</v>
      </c>
      <c r="L138" s="53">
        <v>947</v>
      </c>
      <c r="M138" s="53">
        <v>955</v>
      </c>
      <c r="N138" s="53">
        <v>963</v>
      </c>
      <c r="O138" s="53">
        <v>971</v>
      </c>
      <c r="P138" s="53">
        <v>979</v>
      </c>
      <c r="Q138" s="53">
        <v>987</v>
      </c>
      <c r="R138" s="53">
        <v>994</v>
      </c>
      <c r="S138" s="53">
        <v>1002</v>
      </c>
      <c r="T138" s="53">
        <v>1010</v>
      </c>
      <c r="U138" s="53">
        <v>1018</v>
      </c>
      <c r="V138" s="53">
        <v>1026</v>
      </c>
      <c r="W138" s="53">
        <v>1034</v>
      </c>
      <c r="X138" s="53">
        <v>1042</v>
      </c>
      <c r="Y138" s="53">
        <v>1050</v>
      </c>
      <c r="Z138" s="53">
        <v>1058</v>
      </c>
      <c r="AA138" s="53">
        <v>1066</v>
      </c>
      <c r="AB138" s="53">
        <v>1073</v>
      </c>
      <c r="AC138" s="53">
        <v>1081</v>
      </c>
      <c r="AD138" s="53">
        <v>1089</v>
      </c>
      <c r="AE138" s="53">
        <v>1097</v>
      </c>
      <c r="AF138" s="35">
        <v>1.0758E-2</v>
      </c>
      <c r="AG138" s="29"/>
    </row>
    <row r="139" spans="1:33" ht="15" customHeight="1">
      <c r="A139" s="34" t="s">
        <v>5007</v>
      </c>
      <c r="B139" s="37" t="s">
        <v>5006</v>
      </c>
      <c r="C139" s="53">
        <v>1050</v>
      </c>
      <c r="D139" s="53">
        <v>944</v>
      </c>
      <c r="E139" s="53">
        <v>1069</v>
      </c>
      <c r="F139" s="53">
        <v>1077</v>
      </c>
      <c r="G139" s="53">
        <v>1084</v>
      </c>
      <c r="H139" s="53">
        <v>1091</v>
      </c>
      <c r="I139" s="53">
        <v>1099</v>
      </c>
      <c r="J139" s="53">
        <v>1106</v>
      </c>
      <c r="K139" s="53">
        <v>1114</v>
      </c>
      <c r="L139" s="53">
        <v>1121</v>
      </c>
      <c r="M139" s="53">
        <v>1129</v>
      </c>
      <c r="N139" s="53">
        <v>1136</v>
      </c>
      <c r="O139" s="53">
        <v>1144</v>
      </c>
      <c r="P139" s="53">
        <v>1151</v>
      </c>
      <c r="Q139" s="53">
        <v>1159</v>
      </c>
      <c r="R139" s="53">
        <v>1166</v>
      </c>
      <c r="S139" s="53">
        <v>1174</v>
      </c>
      <c r="T139" s="53">
        <v>1182</v>
      </c>
      <c r="U139" s="53">
        <v>1189</v>
      </c>
      <c r="V139" s="53">
        <v>1197</v>
      </c>
      <c r="W139" s="53">
        <v>1204</v>
      </c>
      <c r="X139" s="53">
        <v>1212</v>
      </c>
      <c r="Y139" s="53">
        <v>1220</v>
      </c>
      <c r="Z139" s="53">
        <v>1227</v>
      </c>
      <c r="AA139" s="53">
        <v>1235</v>
      </c>
      <c r="AB139" s="53">
        <v>1243</v>
      </c>
      <c r="AC139" s="53">
        <v>1250</v>
      </c>
      <c r="AD139" s="53">
        <v>1258</v>
      </c>
      <c r="AE139" s="53">
        <v>1266</v>
      </c>
      <c r="AF139" s="35">
        <v>6.7029999999999998E-3</v>
      </c>
      <c r="AG139" s="29"/>
    </row>
    <row r="140" spans="1:33" ht="15" customHeight="1">
      <c r="A140" s="34" t="s">
        <v>5005</v>
      </c>
      <c r="B140" s="37" t="s">
        <v>5004</v>
      </c>
      <c r="C140" s="53">
        <v>2264</v>
      </c>
      <c r="D140" s="53">
        <v>2150</v>
      </c>
      <c r="E140" s="53">
        <v>2408</v>
      </c>
      <c r="F140" s="53">
        <v>2426</v>
      </c>
      <c r="G140" s="53">
        <v>2442</v>
      </c>
      <c r="H140" s="53">
        <v>2459</v>
      </c>
      <c r="I140" s="53">
        <v>2476</v>
      </c>
      <c r="J140" s="53">
        <v>2494</v>
      </c>
      <c r="K140" s="53">
        <v>2511</v>
      </c>
      <c r="L140" s="53">
        <v>2528</v>
      </c>
      <c r="M140" s="53">
        <v>2545</v>
      </c>
      <c r="N140" s="53">
        <v>2562</v>
      </c>
      <c r="O140" s="53">
        <v>2579</v>
      </c>
      <c r="P140" s="53">
        <v>2597</v>
      </c>
      <c r="Q140" s="53">
        <v>2614</v>
      </c>
      <c r="R140" s="53">
        <v>2632</v>
      </c>
      <c r="S140" s="53">
        <v>2649</v>
      </c>
      <c r="T140" s="53">
        <v>2666</v>
      </c>
      <c r="U140" s="53">
        <v>2684</v>
      </c>
      <c r="V140" s="53">
        <v>2701</v>
      </c>
      <c r="W140" s="53">
        <v>2719</v>
      </c>
      <c r="X140" s="53">
        <v>2736</v>
      </c>
      <c r="Y140" s="53">
        <v>2754</v>
      </c>
      <c r="Z140" s="53">
        <v>2771</v>
      </c>
      <c r="AA140" s="53">
        <v>2789</v>
      </c>
      <c r="AB140" s="53">
        <v>2806</v>
      </c>
      <c r="AC140" s="53">
        <v>2824</v>
      </c>
      <c r="AD140" s="53">
        <v>2842</v>
      </c>
      <c r="AE140" s="53">
        <v>2859</v>
      </c>
      <c r="AF140" s="35">
        <v>8.3680000000000004E-3</v>
      </c>
      <c r="AG140" s="29"/>
    </row>
    <row r="141" spans="1:33" ht="12" customHeight="1">
      <c r="A141" s="34" t="s">
        <v>5003</v>
      </c>
      <c r="B141" s="37" t="s">
        <v>5002</v>
      </c>
      <c r="C141" s="53">
        <v>1730</v>
      </c>
      <c r="D141" s="53">
        <v>1637</v>
      </c>
      <c r="E141" s="53">
        <v>1805</v>
      </c>
      <c r="F141" s="53">
        <v>1814</v>
      </c>
      <c r="G141" s="53">
        <v>1824</v>
      </c>
      <c r="H141" s="53">
        <v>1834</v>
      </c>
      <c r="I141" s="53">
        <v>1844</v>
      </c>
      <c r="J141" s="53">
        <v>1854</v>
      </c>
      <c r="K141" s="53">
        <v>1864</v>
      </c>
      <c r="L141" s="53">
        <v>1874</v>
      </c>
      <c r="M141" s="53">
        <v>1884</v>
      </c>
      <c r="N141" s="53">
        <v>1894</v>
      </c>
      <c r="O141" s="53">
        <v>1904</v>
      </c>
      <c r="P141" s="53">
        <v>1914</v>
      </c>
      <c r="Q141" s="53">
        <v>1924</v>
      </c>
      <c r="R141" s="53">
        <v>1934</v>
      </c>
      <c r="S141" s="53">
        <v>1944</v>
      </c>
      <c r="T141" s="53">
        <v>1954</v>
      </c>
      <c r="U141" s="53">
        <v>1964</v>
      </c>
      <c r="V141" s="53">
        <v>1974</v>
      </c>
      <c r="W141" s="53">
        <v>1984</v>
      </c>
      <c r="X141" s="53">
        <v>1994</v>
      </c>
      <c r="Y141" s="53">
        <v>2004</v>
      </c>
      <c r="Z141" s="53">
        <v>2014</v>
      </c>
      <c r="AA141" s="53">
        <v>2024</v>
      </c>
      <c r="AB141" s="53">
        <v>2034</v>
      </c>
      <c r="AC141" s="53">
        <v>2044</v>
      </c>
      <c r="AD141" s="53">
        <v>2054</v>
      </c>
      <c r="AE141" s="53">
        <v>2064</v>
      </c>
      <c r="AF141" s="35">
        <v>6.3239999999999998E-3</v>
      </c>
      <c r="AG141" s="29"/>
    </row>
    <row r="142" spans="1:33" ht="12" customHeight="1">
      <c r="A142" s="34" t="s">
        <v>5001</v>
      </c>
      <c r="B142" s="37" t="s">
        <v>5000</v>
      </c>
      <c r="C142" s="53">
        <v>3000</v>
      </c>
      <c r="D142" s="53">
        <v>2658</v>
      </c>
      <c r="E142" s="53">
        <v>2860</v>
      </c>
      <c r="F142" s="53">
        <v>2874</v>
      </c>
      <c r="G142" s="53">
        <v>2887</v>
      </c>
      <c r="H142" s="53">
        <v>2901</v>
      </c>
      <c r="I142" s="53">
        <v>2915</v>
      </c>
      <c r="J142" s="53">
        <v>2928</v>
      </c>
      <c r="K142" s="53">
        <v>2942</v>
      </c>
      <c r="L142" s="53">
        <v>2955</v>
      </c>
      <c r="M142" s="53">
        <v>2969</v>
      </c>
      <c r="N142" s="53">
        <v>2982</v>
      </c>
      <c r="O142" s="53">
        <v>2996</v>
      </c>
      <c r="P142" s="53">
        <v>3009</v>
      </c>
      <c r="Q142" s="53">
        <v>3023</v>
      </c>
      <c r="R142" s="53">
        <v>3036</v>
      </c>
      <c r="S142" s="53">
        <v>3050</v>
      </c>
      <c r="T142" s="53">
        <v>3063</v>
      </c>
      <c r="U142" s="53">
        <v>3076</v>
      </c>
      <c r="V142" s="53">
        <v>3090</v>
      </c>
      <c r="W142" s="53">
        <v>3103</v>
      </c>
      <c r="X142" s="53">
        <v>3117</v>
      </c>
      <c r="Y142" s="53">
        <v>3130</v>
      </c>
      <c r="Z142" s="53">
        <v>3144</v>
      </c>
      <c r="AA142" s="53">
        <v>3157</v>
      </c>
      <c r="AB142" s="53">
        <v>3170</v>
      </c>
      <c r="AC142" s="53">
        <v>3184</v>
      </c>
      <c r="AD142" s="53">
        <v>3197</v>
      </c>
      <c r="AE142" s="53">
        <v>3210</v>
      </c>
      <c r="AF142" s="35">
        <v>2.4190000000000001E-3</v>
      </c>
      <c r="AG142" s="29"/>
    </row>
    <row r="143" spans="1:33" ht="12" customHeight="1">
      <c r="A143" s="34" t="s">
        <v>4999</v>
      </c>
      <c r="B143" s="37" t="s">
        <v>4998</v>
      </c>
      <c r="C143" s="53">
        <v>1578</v>
      </c>
      <c r="D143" s="53">
        <v>1415</v>
      </c>
      <c r="E143" s="53">
        <v>1580</v>
      </c>
      <c r="F143" s="53">
        <v>1589</v>
      </c>
      <c r="G143" s="53">
        <v>1599</v>
      </c>
      <c r="H143" s="53">
        <v>1608</v>
      </c>
      <c r="I143" s="53">
        <v>1618</v>
      </c>
      <c r="J143" s="53">
        <v>1628</v>
      </c>
      <c r="K143" s="53">
        <v>1638</v>
      </c>
      <c r="L143" s="53">
        <v>1647</v>
      </c>
      <c r="M143" s="53">
        <v>1657</v>
      </c>
      <c r="N143" s="53">
        <v>1667</v>
      </c>
      <c r="O143" s="53">
        <v>1677</v>
      </c>
      <c r="P143" s="53">
        <v>1687</v>
      </c>
      <c r="Q143" s="53">
        <v>1697</v>
      </c>
      <c r="R143" s="53">
        <v>1706</v>
      </c>
      <c r="S143" s="53">
        <v>1716</v>
      </c>
      <c r="T143" s="53">
        <v>1726</v>
      </c>
      <c r="U143" s="53">
        <v>1735</v>
      </c>
      <c r="V143" s="53">
        <v>1745</v>
      </c>
      <c r="W143" s="53">
        <v>1755</v>
      </c>
      <c r="X143" s="53">
        <v>1764</v>
      </c>
      <c r="Y143" s="53">
        <v>1774</v>
      </c>
      <c r="Z143" s="53">
        <v>1783</v>
      </c>
      <c r="AA143" s="53">
        <v>1793</v>
      </c>
      <c r="AB143" s="53">
        <v>1802</v>
      </c>
      <c r="AC143" s="53">
        <v>1812</v>
      </c>
      <c r="AD143" s="53">
        <v>1822</v>
      </c>
      <c r="AE143" s="53">
        <v>1831</v>
      </c>
      <c r="AF143" s="35">
        <v>5.3249999999999999E-3</v>
      </c>
      <c r="AG143" s="29"/>
    </row>
    <row r="144" spans="1:33" ht="12" customHeight="1">
      <c r="A144" s="34" t="s">
        <v>4997</v>
      </c>
      <c r="B144" s="37" t="s">
        <v>4996</v>
      </c>
      <c r="C144" s="53">
        <v>1098</v>
      </c>
      <c r="D144" s="53">
        <v>825</v>
      </c>
      <c r="E144" s="53">
        <v>1006</v>
      </c>
      <c r="F144" s="53">
        <v>1013</v>
      </c>
      <c r="G144" s="53">
        <v>1020</v>
      </c>
      <c r="H144" s="53">
        <v>1028</v>
      </c>
      <c r="I144" s="53">
        <v>1035</v>
      </c>
      <c r="J144" s="53">
        <v>1043</v>
      </c>
      <c r="K144" s="53">
        <v>1050</v>
      </c>
      <c r="L144" s="53">
        <v>1058</v>
      </c>
      <c r="M144" s="53">
        <v>1066</v>
      </c>
      <c r="N144" s="53">
        <v>1073</v>
      </c>
      <c r="O144" s="53">
        <v>1081</v>
      </c>
      <c r="P144" s="53">
        <v>1088</v>
      </c>
      <c r="Q144" s="53">
        <v>1096</v>
      </c>
      <c r="R144" s="53">
        <v>1104</v>
      </c>
      <c r="S144" s="53">
        <v>1111</v>
      </c>
      <c r="T144" s="53">
        <v>1119</v>
      </c>
      <c r="U144" s="53">
        <v>1127</v>
      </c>
      <c r="V144" s="53">
        <v>1134</v>
      </c>
      <c r="W144" s="53">
        <v>1142</v>
      </c>
      <c r="X144" s="53">
        <v>1150</v>
      </c>
      <c r="Y144" s="53">
        <v>1157</v>
      </c>
      <c r="Z144" s="53">
        <v>1165</v>
      </c>
      <c r="AA144" s="53">
        <v>1173</v>
      </c>
      <c r="AB144" s="53">
        <v>1181</v>
      </c>
      <c r="AC144" s="53">
        <v>1188</v>
      </c>
      <c r="AD144" s="53">
        <v>1196</v>
      </c>
      <c r="AE144" s="53">
        <v>1204</v>
      </c>
      <c r="AF144" s="35">
        <v>3.297E-3</v>
      </c>
      <c r="AG144" s="29"/>
    </row>
    <row r="145" spans="1:34" ht="12" customHeight="1">
      <c r="A145" s="34" t="s">
        <v>4995</v>
      </c>
      <c r="B145" s="33" t="s">
        <v>4994</v>
      </c>
      <c r="C145" s="40">
        <v>1549.955811</v>
      </c>
      <c r="D145" s="40">
        <v>1383.8479</v>
      </c>
      <c r="E145" s="40">
        <v>1570.0424800000001</v>
      </c>
      <c r="F145" s="40">
        <v>1583.3448490000001</v>
      </c>
      <c r="G145" s="40">
        <v>1596.1142580000001</v>
      </c>
      <c r="H145" s="40">
        <v>1609.38501</v>
      </c>
      <c r="I145" s="40">
        <v>1622.5207519999999</v>
      </c>
      <c r="J145" s="40">
        <v>1636.0070800000001</v>
      </c>
      <c r="K145" s="40">
        <v>1649.149048</v>
      </c>
      <c r="L145" s="40">
        <v>1662.2188719999999</v>
      </c>
      <c r="M145" s="40">
        <v>1675.7426760000001</v>
      </c>
      <c r="N145" s="40">
        <v>1688.762207</v>
      </c>
      <c r="O145" s="40">
        <v>1702.278198</v>
      </c>
      <c r="P145" s="40">
        <v>1715.7017820000001</v>
      </c>
      <c r="Q145" s="40">
        <v>1729.1450199999999</v>
      </c>
      <c r="R145" s="40">
        <v>1742.5604249999999</v>
      </c>
      <c r="S145" s="40">
        <v>1755.9835210000001</v>
      </c>
      <c r="T145" s="40">
        <v>1769.3446039999999</v>
      </c>
      <c r="U145" s="40">
        <v>1782.940063</v>
      </c>
      <c r="V145" s="40">
        <v>1796.302124</v>
      </c>
      <c r="W145" s="40">
        <v>1810.015259</v>
      </c>
      <c r="X145" s="40">
        <v>1823.60437</v>
      </c>
      <c r="Y145" s="40">
        <v>1837.094971</v>
      </c>
      <c r="Z145" s="40">
        <v>1850.6906739999999</v>
      </c>
      <c r="AA145" s="40">
        <v>1864.471436</v>
      </c>
      <c r="AB145" s="40">
        <v>1877.7441409999999</v>
      </c>
      <c r="AC145" s="40">
        <v>1891.3885499999999</v>
      </c>
      <c r="AD145" s="40">
        <v>1904.9642329999999</v>
      </c>
      <c r="AE145" s="40">
        <v>1918.225586</v>
      </c>
      <c r="AF145" s="31">
        <v>7.6420000000000004E-3</v>
      </c>
      <c r="AG145" s="29"/>
    </row>
    <row r="146" spans="1:34" ht="12" customHeight="1" thickBot="1">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row>
    <row r="147" spans="1:34" ht="12" customHeight="1">
      <c r="B147" s="52" t="s">
        <v>4993</v>
      </c>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row>
    <row r="148" spans="1:34" ht="12" customHeight="1">
      <c r="B148" s="29" t="s">
        <v>4992</v>
      </c>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row>
    <row r="149" spans="1:34" ht="12" customHeight="1">
      <c r="B149" s="29" t="s">
        <v>4991</v>
      </c>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row>
    <row r="150" spans="1:34" ht="15" customHeight="1">
      <c r="B150" s="29" t="s">
        <v>4990</v>
      </c>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row>
    <row r="151" spans="1:34" ht="15" customHeight="1">
      <c r="B151" s="29" t="s">
        <v>4989</v>
      </c>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row>
    <row r="152" spans="1:34" ht="15" customHeight="1">
      <c r="B152" s="29" t="s">
        <v>4988</v>
      </c>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row>
    <row r="153" spans="1:34" ht="15" customHeight="1">
      <c r="B153" s="29" t="s">
        <v>4987</v>
      </c>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row>
    <row r="154" spans="1:34" ht="15" customHeight="1">
      <c r="B154" s="29" t="s">
        <v>4986</v>
      </c>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row>
    <row r="155" spans="1:34" ht="15" customHeight="1">
      <c r="B155" s="29" t="s">
        <v>4985</v>
      </c>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row>
    <row r="156" spans="1:34" ht="15" customHeight="1">
      <c r="B156" s="29" t="s">
        <v>4984</v>
      </c>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row>
    <row r="157" spans="1:34" ht="15" customHeight="1">
      <c r="B157" s="29" t="s">
        <v>4983</v>
      </c>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row>
    <row r="158" spans="1:34" ht="15" customHeight="1">
      <c r="B158" s="29" t="s">
        <v>4982</v>
      </c>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row>
    <row r="159" spans="1:34" ht="15" customHeight="1">
      <c r="B159" s="29" t="s">
        <v>4981</v>
      </c>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row>
    <row r="160" spans="1:34" ht="15" customHeight="1">
      <c r="B160" s="29" t="s">
        <v>4980</v>
      </c>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row>
    <row r="161" spans="2:33" ht="15" customHeight="1">
      <c r="B161" s="29" t="s">
        <v>4979</v>
      </c>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row>
    <row r="162" spans="2:33" ht="15" customHeight="1">
      <c r="B162" s="29" t="s">
        <v>4978</v>
      </c>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row>
    <row r="163" spans="2:33" ht="15" customHeight="1">
      <c r="B163" s="29" t="s">
        <v>4977</v>
      </c>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row>
    <row r="164" spans="2:33" ht="15" customHeight="1">
      <c r="B164" s="29" t="s">
        <v>4976</v>
      </c>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row>
    <row r="165" spans="2:33" ht="12" customHeight="1">
      <c r="B165" s="29" t="s">
        <v>4975</v>
      </c>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row>
    <row r="166" spans="2:33" ht="15" customHeight="1">
      <c r="B166" s="29" t="s">
        <v>4974</v>
      </c>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row>
    <row r="167" spans="2:33" ht="15" customHeight="1">
      <c r="B167" s="29" t="s">
        <v>2291</v>
      </c>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row>
    <row r="168" spans="2:33" ht="15" customHeight="1">
      <c r="B168" s="29" t="s">
        <v>2292</v>
      </c>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row>
    <row r="169" spans="2:33" ht="15" customHeight="1">
      <c r="B169" s="29" t="s">
        <v>2584</v>
      </c>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row>
    <row r="170" spans="2:33" ht="15" customHeight="1">
      <c r="B170" s="29" t="s">
        <v>2294</v>
      </c>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row>
    <row r="171" spans="2:33" ht="15" customHeight="1">
      <c r="B171" s="29" t="s">
        <v>2295</v>
      </c>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row>
    <row r="172" spans="2:33" ht="15" customHeight="1">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row>
    <row r="173" spans="2:33" ht="15" customHeight="1">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row>
    <row r="174" spans="2:33" ht="15" customHeight="1">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row>
    <row r="175" spans="2:33" ht="15" customHeight="1">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row>
    <row r="176" spans="2:33" ht="15" customHeight="1">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row>
    <row r="177" spans="2:33" ht="15" customHeight="1">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row>
    <row r="178" spans="2:33" ht="15" customHeight="1">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row>
    <row r="179" spans="2:33" ht="12" customHeight="1">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row>
    <row r="180" spans="2:33" ht="15" customHeight="1">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row>
    <row r="181" spans="2:33" ht="15" customHeight="1">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row>
    <row r="182" spans="2:33" ht="15" customHeight="1">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row>
    <row r="183" spans="2:33" ht="15" customHeight="1">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row>
    <row r="184" spans="2:33" ht="15" customHeight="1">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row>
    <row r="185" spans="2:33" ht="15" customHeight="1">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row>
    <row r="186" spans="2:33" ht="15" customHeight="1">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row>
    <row r="187" spans="2:33" ht="15" customHeight="1">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row>
    <row r="188" spans="2:33" ht="15" customHeight="1">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row>
    <row r="189" spans="2:33" ht="15" customHeight="1">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row>
    <row r="190" spans="2:33" ht="15" customHeight="1">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row>
    <row r="191" spans="2:33" ht="15" customHeight="1">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row>
    <row r="192" spans="2:33" ht="15" customHeight="1">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row>
    <row r="193" spans="2:33" ht="15" customHeight="1">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row>
    <row r="194" spans="2:33" ht="15" customHeight="1">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row>
    <row r="195" spans="2:33" ht="15" customHeight="1">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row>
    <row r="196" spans="2:33" ht="15" customHeight="1">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row>
    <row r="197" spans="2:33" ht="15" customHeight="1">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row>
    <row r="198" spans="2:33" ht="15" customHeight="1">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row>
    <row r="199" spans="2:33" ht="15" customHeight="1">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row>
    <row r="200" spans="2:33" ht="15" customHeight="1">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row>
    <row r="201" spans="2:33" ht="15" customHeight="1">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row>
    <row r="202" spans="2:33" ht="15" customHeight="1">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row>
    <row r="203" spans="2:33" ht="12" customHeight="1">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row>
    <row r="204" spans="2:33" ht="12" customHeight="1">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row>
    <row r="205" spans="2:33" ht="15" customHeight="1">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row>
    <row r="206" spans="2:33" ht="15" customHeight="1">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row>
    <row r="207" spans="2:33" ht="15" customHeight="1">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row>
    <row r="208" spans="2:33" ht="15" customHeight="1">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row>
    <row r="222" ht="12" customHeight="1"/>
    <row r="225" ht="12" customHeight="1"/>
    <row r="255" ht="12" customHeight="1"/>
    <row r="256" ht="12" customHeight="1"/>
    <row r="268" ht="12" customHeight="1"/>
    <row r="298" ht="12" customHeight="1"/>
    <row r="307" spans="2:32" ht="15" customHeight="1">
      <c r="B307" s="2178"/>
      <c r="C307" s="2178"/>
      <c r="D307" s="2178"/>
      <c r="E307" s="2178"/>
      <c r="F307" s="2178"/>
      <c r="G307" s="2178"/>
      <c r="H307" s="2178"/>
      <c r="I307" s="2178"/>
      <c r="J307" s="2178"/>
      <c r="K307" s="2178"/>
      <c r="L307" s="2178"/>
      <c r="M307" s="2178"/>
      <c r="N307" s="2178"/>
      <c r="O307" s="2178"/>
      <c r="P307" s="2178"/>
      <c r="Q307" s="2178"/>
      <c r="R307" s="2178"/>
      <c r="S307" s="2178"/>
      <c r="T307" s="2178"/>
      <c r="U307" s="2178"/>
      <c r="V307" s="2178"/>
      <c r="W307" s="2178"/>
      <c r="X307" s="2178"/>
      <c r="Y307" s="2178"/>
      <c r="Z307" s="2178"/>
      <c r="AA307" s="2178"/>
      <c r="AB307" s="2178"/>
      <c r="AC307" s="2178"/>
      <c r="AD307" s="2178"/>
      <c r="AE307" s="2178"/>
      <c r="AF307" s="2178"/>
    </row>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84" ht="12" customHeight="1"/>
    <row r="391" ht="12" customHeight="1"/>
    <row r="401" ht="12" customHeight="1"/>
    <row r="411" ht="12" customHeight="1"/>
    <row r="418" ht="12" customHeight="1"/>
    <row r="419" ht="12" customHeight="1"/>
    <row r="432" ht="12" customHeight="1"/>
    <row r="442" ht="12" customHeight="1"/>
    <row r="443" ht="12" customHeight="1"/>
    <row r="450" ht="12" customHeight="1"/>
    <row r="457" ht="12" customHeight="1"/>
    <row r="467" ht="12" customHeight="1"/>
    <row r="468" ht="12" customHeight="1"/>
    <row r="478" ht="12" customHeight="1"/>
    <row r="485" ht="12" customHeight="1"/>
    <row r="498" spans="2:32" ht="12" customHeight="1"/>
    <row r="508" spans="2:32" ht="12" customHeight="1"/>
    <row r="510" spans="2:32" ht="15" customHeight="1">
      <c r="B510" s="2178"/>
      <c r="C510" s="2178"/>
      <c r="D510" s="2178"/>
      <c r="E510" s="2178"/>
      <c r="F510" s="2178"/>
      <c r="G510" s="2178"/>
      <c r="H510" s="2178"/>
      <c r="I510" s="2178"/>
      <c r="J510" s="2178"/>
      <c r="K510" s="2178"/>
      <c r="L510" s="2178"/>
      <c r="M510" s="2178"/>
      <c r="N510" s="2178"/>
      <c r="O510" s="2178"/>
      <c r="P510" s="2178"/>
      <c r="Q510" s="2178"/>
      <c r="R510" s="2178"/>
      <c r="S510" s="2178"/>
      <c r="T510" s="2178"/>
      <c r="U510" s="2178"/>
      <c r="V510" s="2178"/>
      <c r="W510" s="2178"/>
      <c r="X510" s="2178"/>
      <c r="Y510" s="2178"/>
      <c r="Z510" s="2178"/>
      <c r="AA510" s="2178"/>
      <c r="AB510" s="2178"/>
      <c r="AC510" s="2178"/>
      <c r="AD510" s="2178"/>
      <c r="AE510" s="2178"/>
      <c r="AF510" s="2178"/>
    </row>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85" ht="12" customHeight="1"/>
    <row r="587" ht="12" customHeight="1"/>
    <row r="595" ht="12" customHeight="1"/>
    <row r="615" ht="12" customHeight="1"/>
    <row r="624" ht="12" customHeight="1"/>
    <row r="630" ht="12" customHeight="1"/>
    <row r="637" ht="12" customHeight="1"/>
    <row r="639" ht="12" customHeight="1"/>
    <row r="658" ht="12" customHeight="1"/>
    <row r="660" ht="12" customHeight="1"/>
    <row r="679" ht="12" customHeight="1"/>
    <row r="686" ht="12" customHeight="1"/>
    <row r="698" ht="12" customHeight="1"/>
    <row r="711" spans="2:32" ht="15" customHeight="1">
      <c r="B711" s="2178"/>
      <c r="C711" s="2178"/>
      <c r="D711" s="2178"/>
      <c r="E711" s="2178"/>
      <c r="F711" s="2178"/>
      <c r="G711" s="2178"/>
      <c r="H711" s="2178"/>
      <c r="I711" s="2178"/>
      <c r="J711" s="2178"/>
      <c r="K711" s="2178"/>
      <c r="L711" s="2178"/>
      <c r="M711" s="2178"/>
      <c r="N711" s="2178"/>
      <c r="O711" s="2178"/>
      <c r="P711" s="2178"/>
      <c r="Q711" s="2178"/>
      <c r="R711" s="2178"/>
      <c r="S711" s="2178"/>
      <c r="T711" s="2178"/>
      <c r="U711" s="2178"/>
      <c r="V711" s="2178"/>
      <c r="W711" s="2178"/>
      <c r="X711" s="2178"/>
      <c r="Y711" s="2178"/>
      <c r="Z711" s="2178"/>
      <c r="AA711" s="2178"/>
      <c r="AB711" s="2178"/>
      <c r="AC711" s="2178"/>
      <c r="AD711" s="2178"/>
      <c r="AE711" s="2178"/>
      <c r="AF711" s="2178"/>
    </row>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80" ht="12" customHeight="1"/>
    <row r="785" ht="12" customHeight="1"/>
    <row r="790" ht="12" customHeight="1"/>
    <row r="806" ht="12" customHeight="1"/>
    <row r="814" ht="12" customHeight="1"/>
    <row r="820" ht="12" customHeight="1"/>
    <row r="823" ht="12" customHeight="1"/>
    <row r="838" ht="12" customHeight="1"/>
    <row r="840" ht="12" customHeight="1"/>
    <row r="855" ht="12" customHeight="1"/>
    <row r="861" ht="12" customHeight="1"/>
    <row r="873" ht="12" customHeight="1"/>
    <row r="886" spans="2:32" ht="15" customHeight="1">
      <c r="B886" s="2178"/>
      <c r="C886" s="2178"/>
      <c r="D886" s="2178"/>
      <c r="E886" s="2178"/>
      <c r="F886" s="2178"/>
      <c r="G886" s="2178"/>
      <c r="H886" s="2178"/>
      <c r="I886" s="2178"/>
      <c r="J886" s="2178"/>
      <c r="K886" s="2178"/>
      <c r="L886" s="2178"/>
      <c r="M886" s="2178"/>
      <c r="N886" s="2178"/>
      <c r="O886" s="2178"/>
      <c r="P886" s="2178"/>
      <c r="Q886" s="2178"/>
      <c r="R886" s="2178"/>
      <c r="S886" s="2178"/>
      <c r="T886" s="2178"/>
      <c r="U886" s="2178"/>
      <c r="V886" s="2178"/>
      <c r="W886" s="2178"/>
      <c r="X886" s="2178"/>
      <c r="Y886" s="2178"/>
      <c r="Z886" s="2178"/>
      <c r="AA886" s="2178"/>
      <c r="AB886" s="2178"/>
      <c r="AC886" s="2178"/>
      <c r="AD886" s="2178"/>
      <c r="AE886" s="2178"/>
      <c r="AF886" s="2178"/>
    </row>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59" ht="12" customHeight="1"/>
    <row r="985" ht="12" customHeight="1"/>
    <row r="986" ht="12" customHeight="1"/>
    <row r="1016" ht="12" customHeight="1"/>
    <row r="1017" ht="12" customHeight="1"/>
    <row r="1038" ht="12" customHeight="1"/>
    <row r="1066" ht="12" customHeight="1"/>
    <row r="1095" spans="2:32" ht="12" customHeight="1"/>
    <row r="1100" spans="2:32" ht="15" customHeight="1">
      <c r="B1100" s="2178"/>
      <c r="C1100" s="2178"/>
      <c r="D1100" s="2178"/>
      <c r="E1100" s="2178"/>
      <c r="F1100" s="2178"/>
      <c r="G1100" s="2178"/>
      <c r="H1100" s="2178"/>
      <c r="I1100" s="2178"/>
      <c r="J1100" s="2178"/>
      <c r="K1100" s="2178"/>
      <c r="L1100" s="2178"/>
      <c r="M1100" s="2178"/>
      <c r="N1100" s="2178"/>
      <c r="O1100" s="2178"/>
      <c r="P1100" s="2178"/>
      <c r="Q1100" s="2178"/>
      <c r="R1100" s="2178"/>
      <c r="S1100" s="2178"/>
      <c r="T1100" s="2178"/>
      <c r="U1100" s="2178"/>
      <c r="V1100" s="2178"/>
      <c r="W1100" s="2178"/>
      <c r="X1100" s="2178"/>
      <c r="Y1100" s="2178"/>
      <c r="Z1100" s="2178"/>
      <c r="AA1100" s="2178"/>
      <c r="AB1100" s="2178"/>
      <c r="AC1100" s="2178"/>
      <c r="AD1100" s="2178"/>
      <c r="AE1100" s="2178"/>
      <c r="AF1100" s="2178"/>
    </row>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68" ht="12" customHeight="1"/>
    <row r="1192" ht="12" customHeight="1"/>
    <row r="1210" ht="12" customHeight="1"/>
    <row r="1228" spans="2:32" ht="15" customHeight="1">
      <c r="B1228" s="2178"/>
      <c r="C1228" s="2178"/>
      <c r="D1228" s="2178"/>
      <c r="E1228" s="2178"/>
      <c r="F1228" s="2178"/>
      <c r="G1228" s="2178"/>
      <c r="H1228" s="2178"/>
      <c r="I1228" s="2178"/>
      <c r="J1228" s="2178"/>
      <c r="K1228" s="2178"/>
      <c r="L1228" s="2178"/>
      <c r="M1228" s="2178"/>
      <c r="N1228" s="2178"/>
      <c r="O1228" s="2178"/>
      <c r="P1228" s="2178"/>
      <c r="Q1228" s="2178"/>
      <c r="R1228" s="2178"/>
      <c r="S1228" s="2178"/>
      <c r="T1228" s="2178"/>
      <c r="U1228" s="2178"/>
      <c r="V1228" s="2178"/>
      <c r="W1228" s="2178"/>
      <c r="X1228" s="2178"/>
      <c r="Y1228" s="2178"/>
      <c r="Z1228" s="2178"/>
      <c r="AA1228" s="2178"/>
      <c r="AB1228" s="2178"/>
      <c r="AC1228" s="2178"/>
      <c r="AD1228" s="2178"/>
      <c r="AE1228" s="2178"/>
      <c r="AF1228" s="2178"/>
    </row>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305" ht="12" customHeight="1"/>
    <row r="1325" ht="12" customHeight="1"/>
    <row r="1327" ht="12" customHeight="1"/>
    <row r="1338" ht="12" customHeight="1"/>
    <row r="1348" ht="12" customHeight="1"/>
    <row r="1350" ht="12" customHeight="1"/>
    <row r="1359" ht="12" customHeight="1"/>
    <row r="1373" ht="12" customHeight="1"/>
    <row r="1383" spans="2:32" ht="12" customHeight="1"/>
    <row r="1389" spans="2:32" ht="15" customHeight="1">
      <c r="B1389" s="2178"/>
      <c r="C1389" s="2178"/>
      <c r="D1389" s="2178"/>
      <c r="E1389" s="2178"/>
      <c r="F1389" s="2178"/>
      <c r="G1389" s="2178"/>
      <c r="H1389" s="2178"/>
      <c r="I1389" s="2178"/>
      <c r="J1389" s="2178"/>
      <c r="K1389" s="2178"/>
      <c r="L1389" s="2178"/>
      <c r="M1389" s="2178"/>
      <c r="N1389" s="2178"/>
      <c r="O1389" s="2178"/>
      <c r="P1389" s="2178"/>
      <c r="Q1389" s="2178"/>
      <c r="R1389" s="2178"/>
      <c r="S1389" s="2178"/>
      <c r="T1389" s="2178"/>
      <c r="U1389" s="2178"/>
      <c r="V1389" s="2178"/>
      <c r="W1389" s="2178"/>
      <c r="X1389" s="2178"/>
      <c r="Y1389" s="2178"/>
      <c r="Z1389" s="2178"/>
      <c r="AA1389" s="2178"/>
      <c r="AB1389" s="2178"/>
      <c r="AC1389" s="2178"/>
      <c r="AD1389" s="2178"/>
      <c r="AE1389" s="2178"/>
      <c r="AF1389" s="2178"/>
    </row>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49" ht="12" customHeight="1"/>
    <row r="1475" ht="12" customHeight="1"/>
    <row r="1487" ht="12" customHeight="1"/>
    <row r="1489" spans="2:32" ht="12" customHeight="1"/>
    <row r="1498" spans="2:32" ht="12" customHeight="1"/>
    <row r="1501" spans="2:32" ht="15" customHeight="1">
      <c r="B1501" s="2178"/>
      <c r="C1501" s="2178"/>
      <c r="D1501" s="2178"/>
      <c r="E1501" s="2178"/>
      <c r="F1501" s="2178"/>
      <c r="G1501" s="2178"/>
      <c r="H1501" s="2178"/>
      <c r="I1501" s="2178"/>
      <c r="J1501" s="2178"/>
      <c r="K1501" s="2178"/>
      <c r="L1501" s="2178"/>
      <c r="M1501" s="2178"/>
      <c r="N1501" s="2178"/>
      <c r="O1501" s="2178"/>
      <c r="P1501" s="2178"/>
      <c r="Q1501" s="2178"/>
      <c r="R1501" s="2178"/>
      <c r="S1501" s="2178"/>
      <c r="T1501" s="2178"/>
      <c r="U1501" s="2178"/>
      <c r="V1501" s="2178"/>
      <c r="W1501" s="2178"/>
      <c r="X1501" s="2178"/>
      <c r="Y1501" s="2178"/>
      <c r="Z1501" s="2178"/>
      <c r="AA1501" s="2178"/>
      <c r="AB1501" s="2178"/>
      <c r="AC1501" s="2178"/>
      <c r="AD1501" s="2178"/>
      <c r="AE1501" s="2178"/>
      <c r="AF1501" s="2178"/>
    </row>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80" ht="12" customHeight="1"/>
    <row r="1585" ht="12" customHeight="1"/>
    <row r="1590" ht="12" customHeight="1"/>
    <row r="1592" ht="12" customHeight="1"/>
    <row r="1597" ht="12" customHeight="1"/>
    <row r="1603" spans="2:32" ht="15" customHeight="1">
      <c r="B1603" s="2178"/>
      <c r="C1603" s="2178"/>
      <c r="D1603" s="2178"/>
      <c r="E1603" s="2178"/>
      <c r="F1603" s="2178"/>
      <c r="G1603" s="2178"/>
      <c r="H1603" s="2178"/>
      <c r="I1603" s="2178"/>
      <c r="J1603" s="2178"/>
      <c r="K1603" s="2178"/>
      <c r="L1603" s="2178"/>
      <c r="M1603" s="2178"/>
      <c r="N1603" s="2178"/>
      <c r="O1603" s="2178"/>
      <c r="P1603" s="2178"/>
      <c r="Q1603" s="2178"/>
      <c r="R1603" s="2178"/>
      <c r="S1603" s="2178"/>
      <c r="T1603" s="2178"/>
      <c r="U1603" s="2178"/>
      <c r="V1603" s="2178"/>
      <c r="W1603" s="2178"/>
      <c r="X1603" s="2178"/>
      <c r="Y1603" s="2178"/>
      <c r="Z1603" s="2178"/>
      <c r="AA1603" s="2178"/>
      <c r="AB1603" s="2178"/>
      <c r="AC1603" s="2178"/>
      <c r="AD1603" s="2178"/>
      <c r="AE1603" s="2178"/>
      <c r="AF1603" s="2178"/>
    </row>
    <row r="1611" spans="2:32" ht="12" customHeight="1"/>
    <row r="1612" spans="2:32" ht="12" customHeight="1"/>
    <row r="1613" spans="2:32" ht="12" customHeight="1"/>
    <row r="1614" spans="2:32" ht="12" customHeight="1"/>
    <row r="1615" spans="2:32" ht="12" customHeight="1"/>
    <row r="1616" spans="2:32" ht="12" customHeight="1"/>
    <row r="1617" ht="12" customHeight="1"/>
    <row r="1618" ht="12" customHeight="1"/>
    <row r="1619" ht="12" customHeight="1"/>
    <row r="1620" ht="12" customHeight="1"/>
    <row r="1621" ht="12" customHeight="1"/>
    <row r="1622" ht="12" customHeight="1"/>
    <row r="1623" ht="12" customHeight="1"/>
    <row r="1638" ht="12" customHeight="1"/>
    <row r="1664" ht="12" customHeight="1"/>
    <row r="1666" ht="12" customHeight="1"/>
    <row r="1667" ht="12" customHeight="1"/>
    <row r="1685" ht="12" customHeight="1"/>
    <row r="1687" ht="12" customHeight="1"/>
    <row r="1696" ht="12" customHeight="1"/>
    <row r="1698" spans="2:32" ht="15" customHeight="1">
      <c r="B1698" s="2178"/>
      <c r="C1698" s="2178"/>
      <c r="D1698" s="2178"/>
      <c r="E1698" s="2178"/>
      <c r="F1698" s="2178"/>
      <c r="G1698" s="2178"/>
      <c r="H1698" s="2178"/>
      <c r="I1698" s="2178"/>
      <c r="J1698" s="2178"/>
      <c r="K1698" s="2178"/>
      <c r="L1698" s="2178"/>
      <c r="M1698" s="2178"/>
      <c r="N1698" s="2178"/>
      <c r="O1698" s="2178"/>
      <c r="P1698" s="2178"/>
      <c r="Q1698" s="2178"/>
      <c r="R1698" s="2178"/>
      <c r="S1698" s="2178"/>
      <c r="T1698" s="2178"/>
      <c r="U1698" s="2178"/>
      <c r="V1698" s="2178"/>
      <c r="W1698" s="2178"/>
      <c r="X1698" s="2178"/>
      <c r="Y1698" s="2178"/>
      <c r="Z1698" s="2178"/>
      <c r="AA1698" s="2178"/>
      <c r="AB1698" s="2178"/>
      <c r="AC1698" s="2178"/>
      <c r="AD1698" s="2178"/>
      <c r="AE1698" s="2178"/>
      <c r="AF1698" s="2178"/>
    </row>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59" ht="12" customHeight="1"/>
    <row r="1861" ht="12" customHeight="1"/>
    <row r="1865" ht="12" customHeight="1"/>
    <row r="1870" ht="12" customHeight="1"/>
    <row r="1876" ht="12" customHeight="1"/>
    <row r="1886" ht="12" customHeight="1"/>
    <row r="1891" ht="12" customHeight="1"/>
    <row r="1900" ht="12" customHeight="1"/>
    <row r="1901" ht="12" customHeight="1"/>
    <row r="1907" ht="12" customHeight="1"/>
    <row r="1913" ht="12" customHeight="1"/>
    <row r="1917" ht="12" customHeight="1"/>
    <row r="1922" ht="12" customHeight="1"/>
    <row r="1931" ht="12" customHeight="1"/>
    <row r="1935" ht="12" customHeight="1"/>
    <row r="1944" spans="2:32" ht="15" customHeight="1">
      <c r="B1944" s="2178"/>
      <c r="C1944" s="2178"/>
      <c r="D1944" s="2178"/>
      <c r="E1944" s="2178"/>
      <c r="F1944" s="2178"/>
      <c r="G1944" s="2178"/>
      <c r="H1944" s="2178"/>
      <c r="I1944" s="2178"/>
      <c r="J1944" s="2178"/>
      <c r="K1944" s="2178"/>
      <c r="L1944" s="2178"/>
      <c r="M1944" s="2178"/>
      <c r="N1944" s="2178"/>
      <c r="O1944" s="2178"/>
      <c r="P1944" s="2178"/>
      <c r="Q1944" s="2178"/>
      <c r="R1944" s="2178"/>
      <c r="S1944" s="2178"/>
      <c r="T1944" s="2178"/>
      <c r="U1944" s="2178"/>
      <c r="V1944" s="2178"/>
      <c r="W1944" s="2178"/>
      <c r="X1944" s="2178"/>
      <c r="Y1944" s="2178"/>
      <c r="Z1944" s="2178"/>
      <c r="AA1944" s="2178"/>
      <c r="AB1944" s="2178"/>
      <c r="AC1944" s="2178"/>
      <c r="AD1944" s="2178"/>
      <c r="AE1944" s="2178"/>
      <c r="AF1944" s="2178"/>
    </row>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82" ht="12" customHeight="1"/>
    <row r="1986" ht="12" customHeight="1"/>
    <row r="1988" ht="12" customHeight="1"/>
    <row r="2002" ht="12" customHeight="1"/>
    <row r="2004" ht="12" customHeight="1"/>
    <row r="2006" ht="12" customHeight="1"/>
    <row r="2009" ht="12" customHeight="1"/>
    <row r="2020" spans="2:32" ht="12" customHeight="1"/>
    <row r="2030" spans="2:32" ht="15" customHeight="1">
      <c r="B2030" s="2178"/>
      <c r="C2030" s="2178"/>
      <c r="D2030" s="2178"/>
      <c r="E2030" s="2178"/>
      <c r="F2030" s="2178"/>
      <c r="G2030" s="2178"/>
      <c r="H2030" s="2178"/>
      <c r="I2030" s="2178"/>
      <c r="J2030" s="2178"/>
      <c r="K2030" s="2178"/>
      <c r="L2030" s="2178"/>
      <c r="M2030" s="2178"/>
      <c r="N2030" s="2178"/>
      <c r="O2030" s="2178"/>
      <c r="P2030" s="2178"/>
      <c r="Q2030" s="2178"/>
      <c r="R2030" s="2178"/>
      <c r="S2030" s="2178"/>
      <c r="T2030" s="2178"/>
      <c r="U2030" s="2178"/>
      <c r="V2030" s="2178"/>
      <c r="W2030" s="2178"/>
      <c r="X2030" s="2178"/>
      <c r="Y2030" s="2178"/>
      <c r="Z2030" s="2178"/>
      <c r="AA2030" s="2178"/>
      <c r="AB2030" s="2178"/>
      <c r="AC2030" s="2178"/>
      <c r="AD2030" s="2178"/>
      <c r="AE2030" s="2178"/>
      <c r="AF2030" s="2178"/>
    </row>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105" ht="12" customHeight="1"/>
    <row r="2108" ht="12" customHeight="1"/>
    <row r="2122" ht="12" customHeight="1"/>
    <row r="2129" ht="12" customHeight="1"/>
    <row r="2131" ht="12" customHeight="1"/>
    <row r="2134" ht="12" customHeight="1"/>
    <row r="2146" spans="2:32" ht="12" customHeight="1"/>
    <row r="2148" spans="2:32" ht="12" customHeight="1"/>
    <row r="2149" spans="2:32" ht="12" customHeight="1"/>
    <row r="2152" spans="2:32" ht="15" customHeight="1">
      <c r="B2152" s="2178"/>
      <c r="C2152" s="2178"/>
      <c r="D2152" s="2178"/>
      <c r="E2152" s="2178"/>
      <c r="F2152" s="2178"/>
      <c r="G2152" s="2178"/>
      <c r="H2152" s="2178"/>
      <c r="I2152" s="2178"/>
      <c r="J2152" s="2178"/>
      <c r="K2152" s="2178"/>
      <c r="L2152" s="2178"/>
      <c r="M2152" s="2178"/>
      <c r="N2152" s="2178"/>
      <c r="O2152" s="2178"/>
      <c r="P2152" s="2178"/>
      <c r="Q2152" s="2178"/>
      <c r="R2152" s="2178"/>
      <c r="S2152" s="2178"/>
      <c r="T2152" s="2178"/>
      <c r="U2152" s="2178"/>
      <c r="V2152" s="2178"/>
      <c r="W2152" s="2178"/>
      <c r="X2152" s="2178"/>
      <c r="Y2152" s="2178"/>
      <c r="Z2152" s="2178"/>
      <c r="AA2152" s="2178"/>
      <c r="AB2152" s="2178"/>
      <c r="AC2152" s="2178"/>
      <c r="AD2152" s="2178"/>
      <c r="AE2152" s="2178"/>
      <c r="AF2152" s="2178"/>
    </row>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58" ht="12" customHeight="1"/>
    <row r="2262" ht="12" customHeight="1"/>
    <row r="2264" ht="12" customHeight="1"/>
    <row r="2269" ht="12" customHeight="1"/>
    <row r="2271" ht="12" customHeight="1"/>
    <row r="2280" ht="12" customHeight="1"/>
    <row r="2282" ht="12" customHeight="1"/>
    <row r="2286" ht="12" customHeight="1"/>
    <row r="2298" ht="12" customHeight="1"/>
    <row r="2299" ht="12" customHeight="1"/>
    <row r="2303" ht="12" customHeight="1"/>
    <row r="2316" spans="2:32" ht="15" customHeight="1">
      <c r="B2316" s="2178"/>
      <c r="C2316" s="2178"/>
      <c r="D2316" s="2178"/>
      <c r="E2316" s="2178"/>
      <c r="F2316" s="2178"/>
      <c r="G2316" s="2178"/>
      <c r="H2316" s="2178"/>
      <c r="I2316" s="2178"/>
      <c r="J2316" s="2178"/>
      <c r="K2316" s="2178"/>
      <c r="L2316" s="2178"/>
      <c r="M2316" s="2178"/>
      <c r="N2316" s="2178"/>
      <c r="O2316" s="2178"/>
      <c r="P2316" s="2178"/>
      <c r="Q2316" s="2178"/>
      <c r="R2316" s="2178"/>
      <c r="S2316" s="2178"/>
      <c r="T2316" s="2178"/>
      <c r="U2316" s="2178"/>
      <c r="V2316" s="2178"/>
      <c r="W2316" s="2178"/>
      <c r="X2316" s="2178"/>
      <c r="Y2316" s="2178"/>
      <c r="Z2316" s="2178"/>
      <c r="AA2316" s="2178"/>
      <c r="AB2316" s="2178"/>
      <c r="AC2316" s="2178"/>
      <c r="AD2316" s="2178"/>
      <c r="AE2316" s="2178"/>
      <c r="AF2316" s="2178"/>
    </row>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65" ht="12" customHeight="1"/>
    <row r="2378" ht="12" customHeight="1"/>
    <row r="2388" ht="12" customHeight="1"/>
    <row r="2397" ht="12" customHeight="1"/>
    <row r="2398" ht="12" customHeight="1"/>
    <row r="2408" ht="12" customHeight="1"/>
    <row r="2418" spans="2:32" ht="15" customHeight="1">
      <c r="B2418" s="2178"/>
      <c r="C2418" s="2178"/>
      <c r="D2418" s="2178"/>
      <c r="E2418" s="2178"/>
      <c r="F2418" s="2178"/>
      <c r="G2418" s="2178"/>
      <c r="H2418" s="2178"/>
      <c r="I2418" s="2178"/>
      <c r="J2418" s="2178"/>
      <c r="K2418" s="2178"/>
      <c r="L2418" s="2178"/>
      <c r="M2418" s="2178"/>
      <c r="N2418" s="2178"/>
      <c r="O2418" s="2178"/>
      <c r="P2418" s="2178"/>
      <c r="Q2418" s="2178"/>
      <c r="R2418" s="2178"/>
      <c r="S2418" s="2178"/>
      <c r="T2418" s="2178"/>
      <c r="U2418" s="2178"/>
      <c r="V2418" s="2178"/>
      <c r="W2418" s="2178"/>
      <c r="X2418" s="2178"/>
      <c r="Y2418" s="2178"/>
      <c r="Z2418" s="2178"/>
      <c r="AA2418" s="2178"/>
      <c r="AB2418" s="2178"/>
      <c r="AC2418" s="2178"/>
      <c r="AD2418" s="2178"/>
      <c r="AE2418" s="2178"/>
      <c r="AF2418" s="2178"/>
    </row>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55" ht="12" customHeight="1"/>
    <row r="2457" ht="12" customHeight="1"/>
    <row r="2459" ht="12" customHeight="1"/>
    <row r="2465" ht="12" customHeight="1"/>
    <row r="2473" ht="12" customHeight="1"/>
    <row r="2484" ht="12" customHeight="1"/>
    <row r="2486" ht="12" customHeight="1"/>
    <row r="2492" ht="12" customHeight="1"/>
    <row r="2493" ht="12" customHeight="1"/>
    <row r="2496" ht="12" customHeight="1"/>
    <row r="2502" spans="2:32" ht="12" customHeight="1"/>
    <row r="2508" spans="2:32" ht="15" customHeight="1">
      <c r="B2508" s="2178"/>
      <c r="C2508" s="2178"/>
      <c r="D2508" s="2178"/>
      <c r="E2508" s="2178"/>
      <c r="F2508" s="2178"/>
      <c r="G2508" s="2178"/>
      <c r="H2508" s="2178"/>
      <c r="I2508" s="2178"/>
      <c r="J2508" s="2178"/>
      <c r="K2508" s="2178"/>
      <c r="L2508" s="2178"/>
      <c r="M2508" s="2178"/>
      <c r="N2508" s="2178"/>
      <c r="O2508" s="2178"/>
      <c r="P2508" s="2178"/>
      <c r="Q2508" s="2178"/>
      <c r="R2508" s="2178"/>
      <c r="S2508" s="2178"/>
      <c r="T2508" s="2178"/>
      <c r="U2508" s="2178"/>
      <c r="V2508" s="2178"/>
      <c r="W2508" s="2178"/>
      <c r="X2508" s="2178"/>
      <c r="Y2508" s="2178"/>
      <c r="Z2508" s="2178"/>
      <c r="AA2508" s="2178"/>
      <c r="AB2508" s="2178"/>
      <c r="AC2508" s="2178"/>
      <c r="AD2508" s="2178"/>
      <c r="AE2508" s="2178"/>
      <c r="AF2508" s="2178"/>
    </row>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59" ht="12" customHeight="1"/>
    <row r="2566" ht="12" customHeight="1"/>
    <row r="2573" ht="12" customHeight="1"/>
    <row r="2579" ht="12" customHeight="1"/>
    <row r="2586" ht="12" customHeight="1"/>
    <row r="2593" spans="2:32" ht="12" customHeight="1"/>
    <row r="2597" spans="2:32" ht="15" customHeight="1">
      <c r="B2597" s="2178"/>
      <c r="C2597" s="2178"/>
      <c r="D2597" s="2178"/>
      <c r="E2597" s="2178"/>
      <c r="F2597" s="2178"/>
      <c r="G2597" s="2178"/>
      <c r="H2597" s="2178"/>
      <c r="I2597" s="2178"/>
      <c r="J2597" s="2178"/>
      <c r="K2597" s="2178"/>
      <c r="L2597" s="2178"/>
      <c r="M2597" s="2178"/>
      <c r="N2597" s="2178"/>
      <c r="O2597" s="2178"/>
      <c r="P2597" s="2178"/>
      <c r="Q2597" s="2178"/>
      <c r="R2597" s="2178"/>
      <c r="S2597" s="2178"/>
      <c r="T2597" s="2178"/>
      <c r="U2597" s="2178"/>
      <c r="V2597" s="2178"/>
      <c r="W2597" s="2178"/>
      <c r="X2597" s="2178"/>
      <c r="Y2597" s="2178"/>
      <c r="Z2597" s="2178"/>
      <c r="AA2597" s="2178"/>
      <c r="AB2597" s="2178"/>
      <c r="AC2597" s="2178"/>
      <c r="AD2597" s="2178"/>
      <c r="AE2597" s="2178"/>
      <c r="AF2597" s="2178"/>
    </row>
    <row r="2615" ht="12" customHeight="1"/>
    <row r="2616" ht="12" customHeight="1"/>
    <row r="2617" ht="12" customHeight="1"/>
    <row r="2618" ht="12" customHeight="1"/>
    <row r="2619" ht="12" customHeight="1"/>
    <row r="2620" ht="12" customHeight="1"/>
    <row r="2621" ht="12" customHeight="1"/>
    <row r="2622" ht="12" customHeight="1"/>
    <row r="2623" ht="12" customHeight="1"/>
    <row r="2646" ht="12" customHeight="1"/>
    <row r="2659" ht="12" customHeight="1"/>
    <row r="2660" ht="12" customHeight="1"/>
    <row r="2687" ht="12" customHeight="1"/>
    <row r="2704" ht="12" customHeight="1"/>
    <row r="2705" spans="2:32" ht="12" customHeight="1"/>
    <row r="2718" spans="2:32" ht="15" customHeight="1">
      <c r="B2718" s="2178"/>
      <c r="C2718" s="2178"/>
      <c r="D2718" s="2178"/>
      <c r="E2718" s="2178"/>
      <c r="F2718" s="2178"/>
      <c r="G2718" s="2178"/>
      <c r="H2718" s="2178"/>
      <c r="I2718" s="2178"/>
      <c r="J2718" s="2178"/>
      <c r="K2718" s="2178"/>
      <c r="L2718" s="2178"/>
      <c r="M2718" s="2178"/>
      <c r="N2718" s="2178"/>
      <c r="O2718" s="2178"/>
      <c r="P2718" s="2178"/>
      <c r="Q2718" s="2178"/>
      <c r="R2718" s="2178"/>
      <c r="S2718" s="2178"/>
      <c r="T2718" s="2178"/>
      <c r="U2718" s="2178"/>
      <c r="V2718" s="2178"/>
      <c r="W2718" s="2178"/>
      <c r="X2718" s="2178"/>
      <c r="Y2718" s="2178"/>
      <c r="Z2718" s="2178"/>
      <c r="AA2718" s="2178"/>
      <c r="AB2718" s="2178"/>
      <c r="AC2718" s="2178"/>
      <c r="AD2718" s="2178"/>
      <c r="AE2718" s="2178"/>
      <c r="AF2718" s="2178"/>
    </row>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86" ht="12" customHeight="1"/>
    <row r="2791" ht="12" customHeight="1"/>
    <row r="2802" ht="12" customHeight="1"/>
    <row r="2807" ht="12" customHeight="1"/>
    <row r="2816" ht="12" customHeight="1"/>
    <row r="2823" ht="12" customHeight="1"/>
    <row r="2828" ht="12" customHeight="1"/>
    <row r="2829" ht="12" customHeight="1"/>
    <row r="2836" spans="2:32" ht="15" customHeight="1">
      <c r="B2836" s="2178"/>
      <c r="C2836" s="2178"/>
      <c r="D2836" s="2178"/>
      <c r="E2836" s="2178"/>
      <c r="F2836" s="2178"/>
      <c r="G2836" s="2178"/>
      <c r="H2836" s="2178"/>
      <c r="I2836" s="2178"/>
      <c r="J2836" s="2178"/>
      <c r="K2836" s="2178"/>
      <c r="L2836" s="2178"/>
      <c r="M2836" s="2178"/>
      <c r="N2836" s="2178"/>
      <c r="O2836" s="2178"/>
      <c r="P2836" s="2178"/>
      <c r="Q2836" s="2178"/>
      <c r="R2836" s="2178"/>
      <c r="S2836" s="2178"/>
      <c r="T2836" s="2178"/>
      <c r="U2836" s="2178"/>
      <c r="V2836" s="2178"/>
      <c r="W2836" s="2178"/>
      <c r="X2836" s="2178"/>
      <c r="Y2836" s="2178"/>
      <c r="Z2836" s="2178"/>
      <c r="AA2836" s="2178"/>
      <c r="AB2836" s="2178"/>
      <c r="AC2836" s="2178"/>
      <c r="AD2836" s="2178"/>
      <c r="AE2836" s="2178"/>
      <c r="AF2836" s="2178"/>
    </row>
  </sheetData>
  <mergeCells count="19">
    <mergeCell ref="B1698:AF1698"/>
    <mergeCell ref="B2718:AF2718"/>
    <mergeCell ref="B2836:AF2836"/>
    <mergeCell ref="B2030:AF2030"/>
    <mergeCell ref="B2152:AF2152"/>
    <mergeCell ref="B2316:AF2316"/>
    <mergeCell ref="B2418:AF2418"/>
    <mergeCell ref="B2508:AF2508"/>
    <mergeCell ref="B2597:AF2597"/>
    <mergeCell ref="B1944:AF1944"/>
    <mergeCell ref="B1228:AF1228"/>
    <mergeCell ref="B1389:AF1389"/>
    <mergeCell ref="B1501:AF1501"/>
    <mergeCell ref="B1603:AF1603"/>
    <mergeCell ref="B307:AF307"/>
    <mergeCell ref="B510:AF510"/>
    <mergeCell ref="B711:AF711"/>
    <mergeCell ref="B886:AF886"/>
    <mergeCell ref="B1100:AF1100"/>
  </mergeCells>
  <pageMargins left="0.75" right="0.75" top="1" bottom="1" header="0.5" footer="0.5"/>
  <pageSetup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56AFA-1DED-4407-AA9A-4B18B28F2B06}">
  <sheetPr codeName="Sheet28"/>
  <dimension ref="A1:AH2837"/>
  <sheetViews>
    <sheetView workbookViewId="0">
      <pane xSplit="2" ySplit="1" topLeftCell="C59" activePane="bottomRight" state="frozen"/>
      <selection activeCell="B1" sqref="B1"/>
      <selection pane="topRight" activeCell="B1" sqref="B1"/>
      <selection pane="bottomLeft" activeCell="B1" sqref="B1"/>
      <selection pane="bottomRight" activeCell="B1" sqref="B1"/>
    </sheetView>
  </sheetViews>
  <sheetFormatPr baseColWidth="10" defaultColWidth="9.1640625" defaultRowHeight="15" customHeight="1"/>
  <cols>
    <col min="1" max="1" width="20.83203125" style="28" hidden="1" customWidth="1"/>
    <col min="2" max="2" width="45.6640625" style="28" customWidth="1"/>
    <col min="3" max="16384" width="9.1640625" style="28"/>
  </cols>
  <sheetData>
    <row r="1" spans="1:33" ht="15" customHeight="1" thickBot="1">
      <c r="B1" s="50" t="s">
        <v>2046</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1974" t="s">
        <v>2047</v>
      </c>
      <c r="D3" s="1974" t="s">
        <v>311</v>
      </c>
      <c r="E3" s="47"/>
      <c r="F3" s="47"/>
      <c r="G3" s="47"/>
    </row>
    <row r="4" spans="1:33" ht="15" customHeight="1">
      <c r="C4" s="1974" t="s">
        <v>2048</v>
      </c>
      <c r="D4" s="1974" t="s">
        <v>2049</v>
      </c>
      <c r="E4" s="47"/>
      <c r="F4" s="47"/>
      <c r="G4" s="1974" t="s">
        <v>207</v>
      </c>
    </row>
    <row r="5" spans="1:33" ht="15" customHeight="1">
      <c r="C5" s="1974" t="s">
        <v>2050</v>
      </c>
      <c r="D5" s="1974" t="s">
        <v>2051</v>
      </c>
      <c r="E5" s="47"/>
      <c r="F5" s="47"/>
      <c r="G5" s="47"/>
    </row>
    <row r="6" spans="1:33" ht="15" customHeight="1">
      <c r="C6" s="1974" t="s">
        <v>2052</v>
      </c>
      <c r="D6" s="47"/>
      <c r="E6" s="1974" t="s">
        <v>2053</v>
      </c>
      <c r="F6" s="47"/>
      <c r="G6" s="47"/>
    </row>
    <row r="7" spans="1:33" ht="12" customHeight="1"/>
    <row r="8" spans="1:33" ht="12" customHeight="1"/>
    <row r="9" spans="1:33" ht="12" customHeight="1">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row>
    <row r="10" spans="1:33" ht="15" customHeight="1">
      <c r="A10" s="34" t="s">
        <v>5288</v>
      </c>
      <c r="B10" s="46" t="s">
        <v>5287</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2056</v>
      </c>
      <c r="AG10" s="29"/>
    </row>
    <row r="11" spans="1:33" ht="15" customHeight="1">
      <c r="B11" s="45" t="s">
        <v>2057</v>
      </c>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2058</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2059</v>
      </c>
      <c r="AG12" s="29"/>
    </row>
    <row r="13" spans="1:33" ht="15" customHeight="1" thickBot="1">
      <c r="B13" s="42" t="s">
        <v>5172</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t="s">
        <v>2061</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B15" s="33" t="s">
        <v>5171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row>
    <row r="16" spans="1:33" ht="15" customHeight="1">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B17" s="33" t="s">
        <v>5286</v>
      </c>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row>
    <row r="18" spans="1:33" ht="15" customHeight="1">
      <c r="A18" s="34" t="s">
        <v>5285</v>
      </c>
      <c r="B18" s="37" t="s">
        <v>5284</v>
      </c>
      <c r="C18" s="36">
        <v>93.44426</v>
      </c>
      <c r="D18" s="36">
        <v>94.366943000000006</v>
      </c>
      <c r="E18" s="36">
        <v>95.261948000000004</v>
      </c>
      <c r="F18" s="36">
        <v>96.233695999999995</v>
      </c>
      <c r="G18" s="36">
        <v>97.372681</v>
      </c>
      <c r="H18" s="36">
        <v>98.426238999999995</v>
      </c>
      <c r="I18" s="36">
        <v>99.435837000000006</v>
      </c>
      <c r="J18" s="36">
        <v>100.540588</v>
      </c>
      <c r="K18" s="36">
        <v>101.747238</v>
      </c>
      <c r="L18" s="36">
        <v>103.031937</v>
      </c>
      <c r="M18" s="36">
        <v>104.36438800000001</v>
      </c>
      <c r="N18" s="36">
        <v>105.67115800000001</v>
      </c>
      <c r="O18" s="36">
        <v>106.90464</v>
      </c>
      <c r="P18" s="36">
        <v>108.064949</v>
      </c>
      <c r="Q18" s="36">
        <v>109.148827</v>
      </c>
      <c r="R18" s="36">
        <v>110.16222399999999</v>
      </c>
      <c r="S18" s="36">
        <v>111.118996</v>
      </c>
      <c r="T18" s="36">
        <v>112.02248400000001</v>
      </c>
      <c r="U18" s="36">
        <v>112.878952</v>
      </c>
      <c r="V18" s="36">
        <v>113.69973</v>
      </c>
      <c r="W18" s="36">
        <v>114.495079</v>
      </c>
      <c r="X18" s="36">
        <v>115.27697000000001</v>
      </c>
      <c r="Y18" s="36">
        <v>116.05735</v>
      </c>
      <c r="Z18" s="36">
        <v>116.844925</v>
      </c>
      <c r="AA18" s="36">
        <v>117.64614899999999</v>
      </c>
      <c r="AB18" s="36">
        <v>118.46553</v>
      </c>
      <c r="AC18" s="36">
        <v>119.305115</v>
      </c>
      <c r="AD18" s="36">
        <v>120.165375</v>
      </c>
      <c r="AE18" s="36">
        <v>121.045486</v>
      </c>
      <c r="AF18" s="35">
        <v>9.2860000000000009E-3</v>
      </c>
      <c r="AG18" s="29"/>
    </row>
    <row r="19" spans="1:33" ht="15" customHeight="1">
      <c r="A19" s="34" t="s">
        <v>5283</v>
      </c>
      <c r="B19" s="37" t="s">
        <v>5282</v>
      </c>
      <c r="C19" s="36">
        <v>2.0272770000000002</v>
      </c>
      <c r="D19" s="36">
        <v>2.0085120000000001</v>
      </c>
      <c r="E19" s="36">
        <v>2.0945999999999998</v>
      </c>
      <c r="F19" s="36">
        <v>2.2721680000000002</v>
      </c>
      <c r="G19" s="36">
        <v>2.1971470000000002</v>
      </c>
      <c r="H19" s="36">
        <v>2.1634509999999998</v>
      </c>
      <c r="I19" s="36">
        <v>2.269371</v>
      </c>
      <c r="J19" s="36">
        <v>2.382768</v>
      </c>
      <c r="K19" s="36">
        <v>2.473055</v>
      </c>
      <c r="L19" s="36">
        <v>2.5336780000000001</v>
      </c>
      <c r="M19" s="36">
        <v>2.5211169999999998</v>
      </c>
      <c r="N19" s="36">
        <v>2.4608279999999998</v>
      </c>
      <c r="O19" s="36">
        <v>2.4002910000000002</v>
      </c>
      <c r="P19" s="36">
        <v>2.3361079999999999</v>
      </c>
      <c r="Q19" s="36">
        <v>2.2773340000000002</v>
      </c>
      <c r="R19" s="36">
        <v>2.2319089999999999</v>
      </c>
      <c r="S19" s="36">
        <v>2.1893440000000002</v>
      </c>
      <c r="T19" s="36">
        <v>2.1525660000000002</v>
      </c>
      <c r="U19" s="36">
        <v>2.1266379999999998</v>
      </c>
      <c r="V19" s="36">
        <v>2.1106319999999998</v>
      </c>
      <c r="W19" s="36">
        <v>2.106252</v>
      </c>
      <c r="X19" s="36">
        <v>2.1136330000000001</v>
      </c>
      <c r="Y19" s="36">
        <v>2.129588</v>
      </c>
      <c r="Z19" s="36">
        <v>2.1519349999999999</v>
      </c>
      <c r="AA19" s="36">
        <v>2.1788129999999999</v>
      </c>
      <c r="AB19" s="36">
        <v>2.2077830000000001</v>
      </c>
      <c r="AC19" s="36">
        <v>2.2373090000000002</v>
      </c>
      <c r="AD19" s="36">
        <v>2.2661419999999999</v>
      </c>
      <c r="AE19" s="36">
        <v>2.2929360000000001</v>
      </c>
      <c r="AF19" s="35">
        <v>4.4079999999999996E-3</v>
      </c>
      <c r="AG19" s="29"/>
    </row>
    <row r="20" spans="1:33" ht="15" customHeight="1">
      <c r="A20" s="34" t="s">
        <v>5281</v>
      </c>
      <c r="B20" s="33" t="s">
        <v>2080</v>
      </c>
      <c r="C20" s="32">
        <v>95.471535000000003</v>
      </c>
      <c r="D20" s="32">
        <v>96.375457999999995</v>
      </c>
      <c r="E20" s="32">
        <v>97.356544</v>
      </c>
      <c r="F20" s="32">
        <v>98.505866999999995</v>
      </c>
      <c r="G20" s="32">
        <v>99.569823999999997</v>
      </c>
      <c r="H20" s="32">
        <v>100.589691</v>
      </c>
      <c r="I20" s="32">
        <v>101.705208</v>
      </c>
      <c r="J20" s="32">
        <v>102.923355</v>
      </c>
      <c r="K20" s="32">
        <v>104.220291</v>
      </c>
      <c r="L20" s="32">
        <v>105.565613</v>
      </c>
      <c r="M20" s="32">
        <v>106.88550600000001</v>
      </c>
      <c r="N20" s="32">
        <v>108.131989</v>
      </c>
      <c r="O20" s="32">
        <v>109.30493199999999</v>
      </c>
      <c r="P20" s="32">
        <v>110.401054</v>
      </c>
      <c r="Q20" s="32">
        <v>111.426163</v>
      </c>
      <c r="R20" s="32">
        <v>112.39413500000001</v>
      </c>
      <c r="S20" s="32">
        <v>113.308342</v>
      </c>
      <c r="T20" s="32">
        <v>114.175049</v>
      </c>
      <c r="U20" s="32">
        <v>115.00559199999999</v>
      </c>
      <c r="V20" s="32">
        <v>115.81036400000001</v>
      </c>
      <c r="W20" s="32">
        <v>116.60133399999999</v>
      </c>
      <c r="X20" s="32">
        <v>117.390602</v>
      </c>
      <c r="Y20" s="32">
        <v>118.18693500000001</v>
      </c>
      <c r="Z20" s="32">
        <v>118.99685700000001</v>
      </c>
      <c r="AA20" s="32">
        <v>119.82495900000001</v>
      </c>
      <c r="AB20" s="32">
        <v>120.673317</v>
      </c>
      <c r="AC20" s="32">
        <v>121.542419</v>
      </c>
      <c r="AD20" s="32">
        <v>122.43151899999999</v>
      </c>
      <c r="AE20" s="32">
        <v>123.338425</v>
      </c>
      <c r="AF20" s="31">
        <v>9.1889999999999993E-3</v>
      </c>
      <c r="AG20" s="29"/>
    </row>
    <row r="21" spans="1:33" ht="15" customHeight="1">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row>
    <row r="22" spans="1:33" ht="15" customHeight="1">
      <c r="B22" s="33" t="s">
        <v>5280</v>
      </c>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row>
    <row r="23" spans="1:33" ht="15" customHeight="1">
      <c r="B23" s="33" t="s">
        <v>5156</v>
      </c>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row>
    <row r="24" spans="1:33" ht="15" customHeight="1">
      <c r="A24" s="34" t="s">
        <v>5279</v>
      </c>
      <c r="B24" s="37" t="s">
        <v>5154</v>
      </c>
      <c r="C24" s="36">
        <v>97.783371000000002</v>
      </c>
      <c r="D24" s="36">
        <v>96.373679999999993</v>
      </c>
      <c r="E24" s="36">
        <v>94.586517000000001</v>
      </c>
      <c r="F24" s="36">
        <v>93.941353000000007</v>
      </c>
      <c r="G24" s="36">
        <v>93.461242999999996</v>
      </c>
      <c r="H24" s="36">
        <v>92.806595000000002</v>
      </c>
      <c r="I24" s="36">
        <v>92.461997999999994</v>
      </c>
      <c r="J24" s="36">
        <v>91.902512000000002</v>
      </c>
      <c r="K24" s="36">
        <v>91.177718999999996</v>
      </c>
      <c r="L24" s="36">
        <v>90.426102</v>
      </c>
      <c r="M24" s="36">
        <v>89.704482999999996</v>
      </c>
      <c r="N24" s="36">
        <v>88.942779999999999</v>
      </c>
      <c r="O24" s="36">
        <v>88.203415000000007</v>
      </c>
      <c r="P24" s="36">
        <v>87.533478000000002</v>
      </c>
      <c r="Q24" s="36">
        <v>86.942824999999999</v>
      </c>
      <c r="R24" s="36">
        <v>86.362342999999996</v>
      </c>
      <c r="S24" s="36">
        <v>85.767792</v>
      </c>
      <c r="T24" s="36">
        <v>85.219443999999996</v>
      </c>
      <c r="U24" s="36">
        <v>84.720359999999999</v>
      </c>
      <c r="V24" s="36">
        <v>84.269615000000002</v>
      </c>
      <c r="W24" s="36">
        <v>83.864127999999994</v>
      </c>
      <c r="X24" s="36">
        <v>83.519119000000003</v>
      </c>
      <c r="Y24" s="36">
        <v>83.214995999999999</v>
      </c>
      <c r="Z24" s="36">
        <v>82.896759000000003</v>
      </c>
      <c r="AA24" s="36">
        <v>82.531181000000004</v>
      </c>
      <c r="AB24" s="36">
        <v>82.224677999999997</v>
      </c>
      <c r="AC24" s="36">
        <v>81.96669</v>
      </c>
      <c r="AD24" s="36">
        <v>81.719336999999996</v>
      </c>
      <c r="AE24" s="36">
        <v>81.461876000000004</v>
      </c>
      <c r="AF24" s="35">
        <v>-6.5009999999999998E-3</v>
      </c>
      <c r="AG24" s="29"/>
    </row>
    <row r="25" spans="1:33" ht="15" customHeight="1">
      <c r="A25" s="34" t="s">
        <v>5278</v>
      </c>
      <c r="B25" s="37" t="s">
        <v>5152</v>
      </c>
      <c r="C25" s="36">
        <v>96.520187000000007</v>
      </c>
      <c r="D25" s="36">
        <v>94.907600000000002</v>
      </c>
      <c r="E25" s="36">
        <v>92.965705999999997</v>
      </c>
      <c r="F25" s="36">
        <v>92.204841999999999</v>
      </c>
      <c r="G25" s="36">
        <v>91.668807999999999</v>
      </c>
      <c r="H25" s="36">
        <v>90.945740000000001</v>
      </c>
      <c r="I25" s="36">
        <v>90.547614999999993</v>
      </c>
      <c r="J25" s="36">
        <v>89.897819999999996</v>
      </c>
      <c r="K25" s="36">
        <v>89.117981</v>
      </c>
      <c r="L25" s="36">
        <v>88.313621999999995</v>
      </c>
      <c r="M25" s="36">
        <v>87.548271</v>
      </c>
      <c r="N25" s="36">
        <v>86.710746999999998</v>
      </c>
      <c r="O25" s="36">
        <v>85.890129000000002</v>
      </c>
      <c r="P25" s="36">
        <v>85.181640999999999</v>
      </c>
      <c r="Q25" s="36">
        <v>84.502601999999996</v>
      </c>
      <c r="R25" s="36">
        <v>83.877906999999993</v>
      </c>
      <c r="S25" s="36">
        <v>83.211494000000002</v>
      </c>
      <c r="T25" s="36">
        <v>82.597617999999997</v>
      </c>
      <c r="U25" s="36">
        <v>82.042580000000001</v>
      </c>
      <c r="V25" s="36">
        <v>81.545753000000005</v>
      </c>
      <c r="W25" s="36">
        <v>81.104857999999993</v>
      </c>
      <c r="X25" s="36">
        <v>80.731537000000003</v>
      </c>
      <c r="Y25" s="36">
        <v>80.403251999999995</v>
      </c>
      <c r="Z25" s="36">
        <v>80.062279000000004</v>
      </c>
      <c r="AA25" s="36">
        <v>79.645531000000005</v>
      </c>
      <c r="AB25" s="36">
        <v>79.335136000000006</v>
      </c>
      <c r="AC25" s="36">
        <v>79.057586999999998</v>
      </c>
      <c r="AD25" s="36">
        <v>78.810997</v>
      </c>
      <c r="AE25" s="36">
        <v>78.560989000000006</v>
      </c>
      <c r="AF25" s="35">
        <v>-7.326E-3</v>
      </c>
      <c r="AG25" s="29"/>
    </row>
    <row r="26" spans="1:33" ht="15" customHeight="1">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row>
    <row r="27" spans="1:33" ht="15" customHeight="1">
      <c r="B27" s="33" t="s">
        <v>5151</v>
      </c>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row>
    <row r="28" spans="1:33" ht="15" customHeight="1">
      <c r="B28" s="33" t="s">
        <v>5150</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row>
    <row r="29" spans="1:33" ht="15" customHeight="1">
      <c r="A29" s="34" t="s">
        <v>5277</v>
      </c>
      <c r="B29" s="37" t="s">
        <v>5232</v>
      </c>
      <c r="C29" s="38">
        <v>0.119273</v>
      </c>
      <c r="D29" s="38">
        <v>0.11836099999999999</v>
      </c>
      <c r="E29" s="38">
        <v>0.110862</v>
      </c>
      <c r="F29" s="38">
        <v>0.111099</v>
      </c>
      <c r="G29" s="38">
        <v>0.111147</v>
      </c>
      <c r="H29" s="38">
        <v>0.11085399999999999</v>
      </c>
      <c r="I29" s="38">
        <v>0.110384</v>
      </c>
      <c r="J29" s="38">
        <v>0.109759</v>
      </c>
      <c r="K29" s="38">
        <v>0.108987</v>
      </c>
      <c r="L29" s="38">
        <v>0.10828500000000001</v>
      </c>
      <c r="M29" s="38">
        <v>0.10747900000000001</v>
      </c>
      <c r="N29" s="38">
        <v>0.106449</v>
      </c>
      <c r="O29" s="38">
        <v>0.10527499999999999</v>
      </c>
      <c r="P29" s="38">
        <v>0.104142</v>
      </c>
      <c r="Q29" s="38">
        <v>0.10298300000000001</v>
      </c>
      <c r="R29" s="38">
        <v>0.10173699999999999</v>
      </c>
      <c r="S29" s="38">
        <v>0.10034700000000001</v>
      </c>
      <c r="T29" s="38">
        <v>9.8874000000000004E-2</v>
      </c>
      <c r="U29" s="38">
        <v>9.7414000000000001E-2</v>
      </c>
      <c r="V29" s="38">
        <v>9.6060000000000006E-2</v>
      </c>
      <c r="W29" s="38">
        <v>9.4757999999999995E-2</v>
      </c>
      <c r="X29" s="38">
        <v>9.3488000000000002E-2</v>
      </c>
      <c r="Y29" s="38">
        <v>9.2216000000000006E-2</v>
      </c>
      <c r="Z29" s="38">
        <v>9.0939000000000006E-2</v>
      </c>
      <c r="AA29" s="38">
        <v>8.9707999999999996E-2</v>
      </c>
      <c r="AB29" s="38">
        <v>8.8523000000000004E-2</v>
      </c>
      <c r="AC29" s="38">
        <v>8.7315000000000004E-2</v>
      </c>
      <c r="AD29" s="38">
        <v>8.6134000000000002E-2</v>
      </c>
      <c r="AE29" s="38">
        <v>8.4989999999999996E-2</v>
      </c>
      <c r="AF29" s="35">
        <v>-1.2030000000000001E-2</v>
      </c>
      <c r="AG29" s="29"/>
    </row>
    <row r="30" spans="1:33" ht="15" customHeight="1">
      <c r="A30" s="34" t="s">
        <v>5276</v>
      </c>
      <c r="B30" s="37" t="s">
        <v>5230</v>
      </c>
      <c r="C30" s="38">
        <v>0.54288000000000003</v>
      </c>
      <c r="D30" s="38">
        <v>0.477379</v>
      </c>
      <c r="E30" s="38">
        <v>0.55079100000000003</v>
      </c>
      <c r="F30" s="38">
        <v>0.56004500000000002</v>
      </c>
      <c r="G30" s="38">
        <v>0.56774999999999998</v>
      </c>
      <c r="H30" s="38">
        <v>0.57508499999999996</v>
      </c>
      <c r="I30" s="38">
        <v>0.58246200000000004</v>
      </c>
      <c r="J30" s="38">
        <v>0.58957300000000001</v>
      </c>
      <c r="K30" s="38">
        <v>0.59539600000000004</v>
      </c>
      <c r="L30" s="38">
        <v>0.601495</v>
      </c>
      <c r="M30" s="38">
        <v>0.60778500000000002</v>
      </c>
      <c r="N30" s="38">
        <v>0.61240499999999998</v>
      </c>
      <c r="O30" s="38">
        <v>0.61662799999999995</v>
      </c>
      <c r="P30" s="38">
        <v>0.62129199999999996</v>
      </c>
      <c r="Q30" s="38">
        <v>0.62604599999999999</v>
      </c>
      <c r="R30" s="38">
        <v>0.63073500000000005</v>
      </c>
      <c r="S30" s="38">
        <v>0.63493599999999994</v>
      </c>
      <c r="T30" s="38">
        <v>0.63913600000000004</v>
      </c>
      <c r="U30" s="38">
        <v>0.64287499999999997</v>
      </c>
      <c r="V30" s="38">
        <v>0.647011</v>
      </c>
      <c r="W30" s="38">
        <v>0.65148700000000004</v>
      </c>
      <c r="X30" s="38">
        <v>0.65618699999999996</v>
      </c>
      <c r="Y30" s="38">
        <v>0.66127499999999995</v>
      </c>
      <c r="Z30" s="38">
        <v>0.66691500000000004</v>
      </c>
      <c r="AA30" s="38">
        <v>0.67370399999999997</v>
      </c>
      <c r="AB30" s="38">
        <v>0.68126399999999998</v>
      </c>
      <c r="AC30" s="38">
        <v>0.68905400000000006</v>
      </c>
      <c r="AD30" s="38">
        <v>0.696994</v>
      </c>
      <c r="AE30" s="38">
        <v>0.70569899999999997</v>
      </c>
      <c r="AF30" s="35">
        <v>9.4120000000000002E-3</v>
      </c>
      <c r="AG30" s="29"/>
    </row>
    <row r="31" spans="1:33" ht="12" customHeight="1">
      <c r="A31" s="34" t="s">
        <v>5275</v>
      </c>
      <c r="B31" s="37" t="s">
        <v>5228</v>
      </c>
      <c r="C31" s="38">
        <v>2.4215E-2</v>
      </c>
      <c r="D31" s="38">
        <v>2.3555E-2</v>
      </c>
      <c r="E31" s="38">
        <v>2.3130000000000001E-2</v>
      </c>
      <c r="F31" s="38">
        <v>2.2870000000000001E-2</v>
      </c>
      <c r="G31" s="38">
        <v>2.2631999999999999E-2</v>
      </c>
      <c r="H31" s="38">
        <v>2.2556E-2</v>
      </c>
      <c r="I31" s="38">
        <v>2.2463E-2</v>
      </c>
      <c r="J31" s="38">
        <v>2.2349999999999998E-2</v>
      </c>
      <c r="K31" s="38">
        <v>2.2206E-2</v>
      </c>
      <c r="L31" s="38">
        <v>2.2058999999999999E-2</v>
      </c>
      <c r="M31" s="38">
        <v>2.1898999999999998E-2</v>
      </c>
      <c r="N31" s="38">
        <v>2.1687999999999999E-2</v>
      </c>
      <c r="O31" s="38">
        <v>2.1453E-2</v>
      </c>
      <c r="P31" s="38">
        <v>2.1236000000000001E-2</v>
      </c>
      <c r="Q31" s="38">
        <v>2.1016E-2</v>
      </c>
      <c r="R31" s="38">
        <v>2.0782999999999999E-2</v>
      </c>
      <c r="S31" s="38">
        <v>2.0525999999999999E-2</v>
      </c>
      <c r="T31" s="38">
        <v>2.0267E-2</v>
      </c>
      <c r="U31" s="38">
        <v>2.001E-2</v>
      </c>
      <c r="V31" s="38">
        <v>1.9778E-2</v>
      </c>
      <c r="W31" s="38">
        <v>1.9556E-2</v>
      </c>
      <c r="X31" s="38">
        <v>1.9342000000000002E-2</v>
      </c>
      <c r="Y31" s="38">
        <v>1.9133000000000001E-2</v>
      </c>
      <c r="Z31" s="38">
        <v>1.8929999999999999E-2</v>
      </c>
      <c r="AA31" s="38">
        <v>1.8741000000000001E-2</v>
      </c>
      <c r="AB31" s="38">
        <v>1.857E-2</v>
      </c>
      <c r="AC31" s="38">
        <v>1.84E-2</v>
      </c>
      <c r="AD31" s="38">
        <v>1.8238999999999998E-2</v>
      </c>
      <c r="AE31" s="38">
        <v>1.8093999999999999E-2</v>
      </c>
      <c r="AF31" s="35">
        <v>-1.0354E-2</v>
      </c>
      <c r="AG31" s="29"/>
    </row>
    <row r="32" spans="1:33" ht="12" customHeight="1">
      <c r="A32" s="34" t="s">
        <v>5274</v>
      </c>
      <c r="B32" s="37" t="s">
        <v>5226</v>
      </c>
      <c r="C32" s="38">
        <v>0.41879300000000003</v>
      </c>
      <c r="D32" s="38">
        <v>0.407891</v>
      </c>
      <c r="E32" s="38">
        <v>0.40001900000000001</v>
      </c>
      <c r="F32" s="38">
        <v>0.394285</v>
      </c>
      <c r="G32" s="38">
        <v>0.38813999999999999</v>
      </c>
      <c r="H32" s="38">
        <v>0.38119500000000001</v>
      </c>
      <c r="I32" s="38">
        <v>0.37394899999999998</v>
      </c>
      <c r="J32" s="38">
        <v>0.36649399999999999</v>
      </c>
      <c r="K32" s="38">
        <v>0.35841099999999998</v>
      </c>
      <c r="L32" s="38">
        <v>0.35066599999999998</v>
      </c>
      <c r="M32" s="38">
        <v>0.34295799999999999</v>
      </c>
      <c r="N32" s="38">
        <v>0.33487299999999998</v>
      </c>
      <c r="O32" s="38">
        <v>0.32677299999999998</v>
      </c>
      <c r="P32" s="38">
        <v>0.31914799999999999</v>
      </c>
      <c r="Q32" s="38">
        <v>0.311811</v>
      </c>
      <c r="R32" s="38">
        <v>0.30456</v>
      </c>
      <c r="S32" s="38">
        <v>0.29719499999999999</v>
      </c>
      <c r="T32" s="38">
        <v>0.28995700000000002</v>
      </c>
      <c r="U32" s="38">
        <v>0.28303099999999998</v>
      </c>
      <c r="V32" s="38">
        <v>0.276615</v>
      </c>
      <c r="W32" s="38">
        <v>0.270569</v>
      </c>
      <c r="X32" s="38">
        <v>0.26481399999999999</v>
      </c>
      <c r="Y32" s="38">
        <v>0.25929200000000002</v>
      </c>
      <c r="Z32" s="38">
        <v>0.25397799999999998</v>
      </c>
      <c r="AA32" s="38">
        <v>0.24892300000000001</v>
      </c>
      <c r="AB32" s="38">
        <v>0.24418300000000001</v>
      </c>
      <c r="AC32" s="38">
        <v>0.239593</v>
      </c>
      <c r="AD32" s="38">
        <v>0.23527899999999999</v>
      </c>
      <c r="AE32" s="38">
        <v>0.23125899999999999</v>
      </c>
      <c r="AF32" s="35">
        <v>-2.0985E-2</v>
      </c>
      <c r="AG32" s="29"/>
    </row>
    <row r="33" spans="1:33" ht="12" customHeight="1">
      <c r="A33" s="34" t="s">
        <v>5273</v>
      </c>
      <c r="B33" s="37" t="s">
        <v>5099</v>
      </c>
      <c r="C33" s="38">
        <v>8.2377000000000006E-2</v>
      </c>
      <c r="D33" s="38">
        <v>8.1711000000000006E-2</v>
      </c>
      <c r="E33" s="38">
        <v>8.1786999999999999E-2</v>
      </c>
      <c r="F33" s="38">
        <v>8.2300999999999999E-2</v>
      </c>
      <c r="G33" s="38">
        <v>8.2629999999999995E-2</v>
      </c>
      <c r="H33" s="38">
        <v>8.2722000000000004E-2</v>
      </c>
      <c r="I33" s="38">
        <v>8.2723000000000005E-2</v>
      </c>
      <c r="J33" s="38">
        <v>8.2640000000000005E-2</v>
      </c>
      <c r="K33" s="38">
        <v>8.2437999999999997E-2</v>
      </c>
      <c r="L33" s="38">
        <v>8.2239999999999994E-2</v>
      </c>
      <c r="M33" s="38">
        <v>8.1999000000000002E-2</v>
      </c>
      <c r="N33" s="38">
        <v>8.1576999999999997E-2</v>
      </c>
      <c r="O33" s="38">
        <v>8.1060999999999994E-2</v>
      </c>
      <c r="P33" s="38">
        <v>8.0576999999999996E-2</v>
      </c>
      <c r="Q33" s="38">
        <v>8.0064999999999997E-2</v>
      </c>
      <c r="R33" s="38">
        <v>7.9491000000000006E-2</v>
      </c>
      <c r="S33" s="38">
        <v>7.8826999999999994E-2</v>
      </c>
      <c r="T33" s="38">
        <v>7.8130000000000005E-2</v>
      </c>
      <c r="U33" s="38">
        <v>7.7412999999999996E-2</v>
      </c>
      <c r="V33" s="38">
        <v>7.6771000000000006E-2</v>
      </c>
      <c r="W33" s="38">
        <v>7.6152999999999998E-2</v>
      </c>
      <c r="X33" s="38">
        <v>7.5556999999999999E-2</v>
      </c>
      <c r="Y33" s="38">
        <v>7.4978000000000003E-2</v>
      </c>
      <c r="Z33" s="38">
        <v>7.4414999999999995E-2</v>
      </c>
      <c r="AA33" s="38">
        <v>7.3903999999999997E-2</v>
      </c>
      <c r="AB33" s="38">
        <v>7.3455999999999994E-2</v>
      </c>
      <c r="AC33" s="38">
        <v>7.2993000000000002E-2</v>
      </c>
      <c r="AD33" s="38">
        <v>7.2537000000000004E-2</v>
      </c>
      <c r="AE33" s="38">
        <v>7.2122000000000006E-2</v>
      </c>
      <c r="AF33" s="35">
        <v>-4.7369999999999999E-3</v>
      </c>
      <c r="AG33" s="29"/>
    </row>
    <row r="34" spans="1:33" ht="12" customHeight="1">
      <c r="A34" s="34" t="s">
        <v>5272</v>
      </c>
      <c r="B34" s="37" t="s">
        <v>5139</v>
      </c>
      <c r="C34" s="38">
        <v>0.49728099999999997</v>
      </c>
      <c r="D34" s="38">
        <v>0.48855999999999999</v>
      </c>
      <c r="E34" s="38">
        <v>0.48579499999999998</v>
      </c>
      <c r="F34" s="38">
        <v>0.48757200000000001</v>
      </c>
      <c r="G34" s="38">
        <v>0.48936600000000002</v>
      </c>
      <c r="H34" s="38">
        <v>0.490566</v>
      </c>
      <c r="I34" s="38">
        <v>0.49202499999999999</v>
      </c>
      <c r="J34" s="38">
        <v>0.49368899999999999</v>
      </c>
      <c r="K34" s="38">
        <v>0.49101899999999998</v>
      </c>
      <c r="L34" s="38">
        <v>0.48896099999999998</v>
      </c>
      <c r="M34" s="38">
        <v>0.48697299999999999</v>
      </c>
      <c r="N34" s="38">
        <v>0.48422700000000002</v>
      </c>
      <c r="O34" s="38">
        <v>0.48097899999999999</v>
      </c>
      <c r="P34" s="38">
        <v>0.47800999999999999</v>
      </c>
      <c r="Q34" s="38">
        <v>0.474966</v>
      </c>
      <c r="R34" s="38">
        <v>0.47095500000000001</v>
      </c>
      <c r="S34" s="38">
        <v>0.46600999999999998</v>
      </c>
      <c r="T34" s="38">
        <v>0.45994200000000002</v>
      </c>
      <c r="U34" s="38">
        <v>0.45792899999999997</v>
      </c>
      <c r="V34" s="38">
        <v>0.45681100000000002</v>
      </c>
      <c r="W34" s="38">
        <v>0.45597100000000002</v>
      </c>
      <c r="X34" s="38">
        <v>0.45552999999999999</v>
      </c>
      <c r="Y34" s="38">
        <v>0.455459</v>
      </c>
      <c r="Z34" s="38">
        <v>0.45567999999999997</v>
      </c>
      <c r="AA34" s="38">
        <v>0.45632899999999998</v>
      </c>
      <c r="AB34" s="38">
        <v>0.45772200000000002</v>
      </c>
      <c r="AC34" s="38">
        <v>0.45915800000000001</v>
      </c>
      <c r="AD34" s="38">
        <v>0.460843</v>
      </c>
      <c r="AE34" s="38">
        <v>0.46300400000000003</v>
      </c>
      <c r="AF34" s="35">
        <v>-2.5469999999999998E-3</v>
      </c>
      <c r="AG34" s="29"/>
    </row>
    <row r="35" spans="1:33" ht="12" customHeight="1">
      <c r="A35" s="34" t="s">
        <v>5271</v>
      </c>
      <c r="B35" s="37" t="s">
        <v>5145</v>
      </c>
      <c r="C35" s="38">
        <v>0.603352</v>
      </c>
      <c r="D35" s="38">
        <v>0.60135499999999997</v>
      </c>
      <c r="E35" s="38">
        <v>0.60267999999999999</v>
      </c>
      <c r="F35" s="38">
        <v>0.60644600000000004</v>
      </c>
      <c r="G35" s="38">
        <v>0.60968599999999995</v>
      </c>
      <c r="H35" s="38">
        <v>0.61227900000000002</v>
      </c>
      <c r="I35" s="38">
        <v>0.61520399999999997</v>
      </c>
      <c r="J35" s="38">
        <v>0.61849299999999996</v>
      </c>
      <c r="K35" s="38">
        <v>0.62074799999999997</v>
      </c>
      <c r="L35" s="38">
        <v>0.62390000000000001</v>
      </c>
      <c r="M35" s="38">
        <v>0.62699000000000005</v>
      </c>
      <c r="N35" s="38">
        <v>0.62938700000000003</v>
      </c>
      <c r="O35" s="38">
        <v>0.63132500000000003</v>
      </c>
      <c r="P35" s="38">
        <v>0.63321400000000005</v>
      </c>
      <c r="Q35" s="38">
        <v>0.63485499999999995</v>
      </c>
      <c r="R35" s="38">
        <v>0.63615500000000003</v>
      </c>
      <c r="S35" s="38">
        <v>0.636938</v>
      </c>
      <c r="T35" s="38">
        <v>0.63747399999999999</v>
      </c>
      <c r="U35" s="38">
        <v>0.63791900000000001</v>
      </c>
      <c r="V35" s="38">
        <v>0.63905800000000001</v>
      </c>
      <c r="W35" s="38">
        <v>0.64029400000000003</v>
      </c>
      <c r="X35" s="38">
        <v>0.64160899999999998</v>
      </c>
      <c r="Y35" s="38">
        <v>0.642984</v>
      </c>
      <c r="Z35" s="38">
        <v>0.64441700000000002</v>
      </c>
      <c r="AA35" s="38">
        <v>0.64599600000000001</v>
      </c>
      <c r="AB35" s="38">
        <v>0.64779299999999995</v>
      </c>
      <c r="AC35" s="38">
        <v>0.64965700000000004</v>
      </c>
      <c r="AD35" s="38">
        <v>0.65169699999999997</v>
      </c>
      <c r="AE35" s="38">
        <v>0.65393400000000002</v>
      </c>
      <c r="AF35" s="35">
        <v>2.879E-3</v>
      </c>
      <c r="AG35" s="29"/>
    </row>
    <row r="36" spans="1:33" ht="12" customHeight="1">
      <c r="A36" s="34" t="s">
        <v>5270</v>
      </c>
      <c r="B36" s="37" t="s">
        <v>5221</v>
      </c>
      <c r="C36" s="38">
        <v>0.43073600000000001</v>
      </c>
      <c r="D36" s="38">
        <v>0.434585</v>
      </c>
      <c r="E36" s="38">
        <v>0.43993500000000002</v>
      </c>
      <c r="F36" s="38">
        <v>0.447378</v>
      </c>
      <c r="G36" s="38">
        <v>0.45436900000000002</v>
      </c>
      <c r="H36" s="38">
        <v>0.46098600000000001</v>
      </c>
      <c r="I36" s="38">
        <v>0.46887200000000001</v>
      </c>
      <c r="J36" s="38">
        <v>0.477159</v>
      </c>
      <c r="K36" s="38">
        <v>0.48619699999999999</v>
      </c>
      <c r="L36" s="38">
        <v>0.49543300000000001</v>
      </c>
      <c r="M36" s="38">
        <v>0.50508200000000003</v>
      </c>
      <c r="N36" s="38">
        <v>0.51431199999999999</v>
      </c>
      <c r="O36" s="38">
        <v>0.52371100000000004</v>
      </c>
      <c r="P36" s="38">
        <v>0.53291500000000003</v>
      </c>
      <c r="Q36" s="38">
        <v>0.54290400000000005</v>
      </c>
      <c r="R36" s="38">
        <v>0.55216500000000002</v>
      </c>
      <c r="S36" s="38">
        <v>0.56217499999999998</v>
      </c>
      <c r="T36" s="38">
        <v>0.57200700000000004</v>
      </c>
      <c r="U36" s="38">
        <v>0.58174599999999999</v>
      </c>
      <c r="V36" s="38">
        <v>0.59145400000000004</v>
      </c>
      <c r="W36" s="38">
        <v>0.60173699999999997</v>
      </c>
      <c r="X36" s="38">
        <v>0.61264799999999997</v>
      </c>
      <c r="Y36" s="38">
        <v>0.62317100000000003</v>
      </c>
      <c r="Z36" s="38">
        <v>0.63440600000000003</v>
      </c>
      <c r="AA36" s="38">
        <v>0.64643499999999998</v>
      </c>
      <c r="AB36" s="38">
        <v>0.65822099999999995</v>
      </c>
      <c r="AC36" s="38">
        <v>0.67073700000000003</v>
      </c>
      <c r="AD36" s="38">
        <v>0.68349800000000005</v>
      </c>
      <c r="AE36" s="38">
        <v>0.69654000000000005</v>
      </c>
      <c r="AF36" s="35">
        <v>1.7312999999999999E-2</v>
      </c>
      <c r="AG36" s="29"/>
    </row>
    <row r="37" spans="1:33" ht="12" customHeight="1">
      <c r="A37" s="34" t="s">
        <v>5269</v>
      </c>
      <c r="B37" s="37" t="s">
        <v>5219</v>
      </c>
      <c r="C37" s="38">
        <v>0.174708</v>
      </c>
      <c r="D37" s="38">
        <v>0.173262</v>
      </c>
      <c r="E37" s="38">
        <v>0.17277699999999999</v>
      </c>
      <c r="F37" s="38">
        <v>0.17319300000000001</v>
      </c>
      <c r="G37" s="38">
        <v>0.17386399999999999</v>
      </c>
      <c r="H37" s="38">
        <v>0.174594</v>
      </c>
      <c r="I37" s="38">
        <v>0.17566599999999999</v>
      </c>
      <c r="J37" s="38">
        <v>0.17710699999999999</v>
      </c>
      <c r="K37" s="38">
        <v>0.17887400000000001</v>
      </c>
      <c r="L37" s="38">
        <v>0.180673</v>
      </c>
      <c r="M37" s="38">
        <v>0.18267900000000001</v>
      </c>
      <c r="N37" s="38">
        <v>0.184498</v>
      </c>
      <c r="O37" s="38">
        <v>0.185888</v>
      </c>
      <c r="P37" s="38">
        <v>0.18745700000000001</v>
      </c>
      <c r="Q37" s="38">
        <v>0.18862699999999999</v>
      </c>
      <c r="R37" s="38">
        <v>0.18968199999999999</v>
      </c>
      <c r="S37" s="38">
        <v>0.190608</v>
      </c>
      <c r="T37" s="38">
        <v>0.190859</v>
      </c>
      <c r="U37" s="38">
        <v>0.19103999999999999</v>
      </c>
      <c r="V37" s="38">
        <v>0.19087699999999999</v>
      </c>
      <c r="W37" s="38">
        <v>0.19009000000000001</v>
      </c>
      <c r="X37" s="38">
        <v>0.18897900000000001</v>
      </c>
      <c r="Y37" s="38">
        <v>0.18754999999999999</v>
      </c>
      <c r="Z37" s="38">
        <v>0.1855</v>
      </c>
      <c r="AA37" s="38">
        <v>0.183143</v>
      </c>
      <c r="AB37" s="38">
        <v>0.180174</v>
      </c>
      <c r="AC37" s="38">
        <v>0.176542</v>
      </c>
      <c r="AD37" s="38">
        <v>0.17224400000000001</v>
      </c>
      <c r="AE37" s="38">
        <v>0.16695299999999999</v>
      </c>
      <c r="AF37" s="35">
        <v>-1.6199999999999999E-3</v>
      </c>
      <c r="AG37" s="29"/>
    </row>
    <row r="38" spans="1:33" ht="12" customHeight="1">
      <c r="A38" s="34" t="s">
        <v>5268</v>
      </c>
      <c r="B38" s="37" t="s">
        <v>5267</v>
      </c>
      <c r="C38" s="38">
        <v>1.8214999999999999</v>
      </c>
      <c r="D38" s="38">
        <v>1.853537</v>
      </c>
      <c r="E38" s="38">
        <v>1.8354539999999999</v>
      </c>
      <c r="F38" s="38">
        <v>1.821644</v>
      </c>
      <c r="G38" s="38">
        <v>1.820174</v>
      </c>
      <c r="H38" s="38">
        <v>1.8173820000000001</v>
      </c>
      <c r="I38" s="38">
        <v>1.8377559999999999</v>
      </c>
      <c r="J38" s="38">
        <v>1.8595930000000001</v>
      </c>
      <c r="K38" s="38">
        <v>1.882188</v>
      </c>
      <c r="L38" s="38">
        <v>1.9058200000000001</v>
      </c>
      <c r="M38" s="38">
        <v>1.9294819999999999</v>
      </c>
      <c r="N38" s="38">
        <v>1.951943</v>
      </c>
      <c r="O38" s="38">
        <v>1.9733750000000001</v>
      </c>
      <c r="P38" s="38">
        <v>1.994686</v>
      </c>
      <c r="Q38" s="38">
        <v>2.0159479999999999</v>
      </c>
      <c r="R38" s="38">
        <v>2.0364469999999999</v>
      </c>
      <c r="S38" s="38">
        <v>2.0566209999999998</v>
      </c>
      <c r="T38" s="38">
        <v>2.0767880000000001</v>
      </c>
      <c r="U38" s="38">
        <v>2.096851</v>
      </c>
      <c r="V38" s="38">
        <v>2.1177489999999999</v>
      </c>
      <c r="W38" s="38">
        <v>2.1392600000000002</v>
      </c>
      <c r="X38" s="38">
        <v>2.1619060000000001</v>
      </c>
      <c r="Y38" s="38">
        <v>2.1855560000000001</v>
      </c>
      <c r="Z38" s="38">
        <v>2.21069</v>
      </c>
      <c r="AA38" s="38">
        <v>2.236834</v>
      </c>
      <c r="AB38" s="38">
        <v>2.2647439999999999</v>
      </c>
      <c r="AC38" s="38">
        <v>2.2939790000000002</v>
      </c>
      <c r="AD38" s="38">
        <v>2.3243649999999998</v>
      </c>
      <c r="AE38" s="38">
        <v>2.3563890000000001</v>
      </c>
      <c r="AF38" s="35">
        <v>9.2379999999999997E-3</v>
      </c>
      <c r="AG38" s="29"/>
    </row>
    <row r="39" spans="1:33" ht="12" customHeight="1">
      <c r="A39" s="34" t="s">
        <v>5266</v>
      </c>
      <c r="B39" s="33" t="s">
        <v>5125</v>
      </c>
      <c r="C39" s="39">
        <v>4.7151149999999999</v>
      </c>
      <c r="D39" s="39">
        <v>4.660196</v>
      </c>
      <c r="E39" s="39">
        <v>4.7032290000000003</v>
      </c>
      <c r="F39" s="39">
        <v>4.7068329999999996</v>
      </c>
      <c r="G39" s="39">
        <v>4.7197579999999997</v>
      </c>
      <c r="H39" s="39">
        <v>4.7282190000000002</v>
      </c>
      <c r="I39" s="39">
        <v>4.7615030000000003</v>
      </c>
      <c r="J39" s="39">
        <v>4.796856</v>
      </c>
      <c r="K39" s="39">
        <v>4.8264649999999998</v>
      </c>
      <c r="L39" s="39">
        <v>4.8595329999999999</v>
      </c>
      <c r="M39" s="39">
        <v>4.8933260000000001</v>
      </c>
      <c r="N39" s="39">
        <v>4.92136</v>
      </c>
      <c r="O39" s="39">
        <v>4.9464670000000002</v>
      </c>
      <c r="P39" s="39">
        <v>4.9726759999999999</v>
      </c>
      <c r="Q39" s="39">
        <v>4.9992200000000002</v>
      </c>
      <c r="R39" s="39">
        <v>5.0227110000000001</v>
      </c>
      <c r="S39" s="39">
        <v>5.0441830000000003</v>
      </c>
      <c r="T39" s="39">
        <v>5.063434</v>
      </c>
      <c r="U39" s="39">
        <v>5.0862280000000002</v>
      </c>
      <c r="V39" s="39">
        <v>5.1121850000000002</v>
      </c>
      <c r="W39" s="39">
        <v>5.139875</v>
      </c>
      <c r="X39" s="39">
        <v>5.1700590000000002</v>
      </c>
      <c r="Y39" s="39">
        <v>5.201613</v>
      </c>
      <c r="Z39" s="39">
        <v>5.2358710000000004</v>
      </c>
      <c r="AA39" s="39">
        <v>5.2737179999999997</v>
      </c>
      <c r="AB39" s="39">
        <v>5.3146490000000002</v>
      </c>
      <c r="AC39" s="39">
        <v>5.3574289999999998</v>
      </c>
      <c r="AD39" s="39">
        <v>5.4018309999999996</v>
      </c>
      <c r="AE39" s="39">
        <v>5.448982</v>
      </c>
      <c r="AF39" s="31">
        <v>5.1799999999999997E-3</v>
      </c>
      <c r="AG39" s="29"/>
    </row>
    <row r="40" spans="1:33" ht="12" customHeight="1">
      <c r="A40" s="34" t="s">
        <v>5265</v>
      </c>
      <c r="B40" s="37" t="s">
        <v>5123</v>
      </c>
      <c r="C40" s="38">
        <v>0.120598</v>
      </c>
      <c r="D40" s="38">
        <v>0.141293</v>
      </c>
      <c r="E40" s="38">
        <v>0.15779599999999999</v>
      </c>
      <c r="F40" s="38">
        <v>0.17105699999999999</v>
      </c>
      <c r="G40" s="38">
        <v>0.17847299999999999</v>
      </c>
      <c r="H40" s="38">
        <v>0.18718199999999999</v>
      </c>
      <c r="I40" s="38">
        <v>0.19470299999999999</v>
      </c>
      <c r="J40" s="38">
        <v>0.20632900000000001</v>
      </c>
      <c r="K40" s="38">
        <v>0.214666</v>
      </c>
      <c r="L40" s="38">
        <v>0.22300600000000001</v>
      </c>
      <c r="M40" s="38">
        <v>0.23046800000000001</v>
      </c>
      <c r="N40" s="38">
        <v>0.24135400000000001</v>
      </c>
      <c r="O40" s="38">
        <v>0.25285299999999999</v>
      </c>
      <c r="P40" s="38">
        <v>0.25964599999999999</v>
      </c>
      <c r="Q40" s="38">
        <v>0.27190500000000001</v>
      </c>
      <c r="R40" s="38">
        <v>0.27923599999999998</v>
      </c>
      <c r="S40" s="38">
        <v>0.28964899999999999</v>
      </c>
      <c r="T40" s="38">
        <v>0.299346</v>
      </c>
      <c r="U40" s="38">
        <v>0.30795899999999998</v>
      </c>
      <c r="V40" s="38">
        <v>0.31545000000000001</v>
      </c>
      <c r="W40" s="38">
        <v>0.32173499999999999</v>
      </c>
      <c r="X40" s="38">
        <v>0.32723600000000003</v>
      </c>
      <c r="Y40" s="38">
        <v>0.33231100000000002</v>
      </c>
      <c r="Z40" s="38">
        <v>0.33729500000000001</v>
      </c>
      <c r="AA40" s="38">
        <v>0.34577400000000003</v>
      </c>
      <c r="AB40" s="38">
        <v>0.34869</v>
      </c>
      <c r="AC40" s="38">
        <v>0.35358000000000001</v>
      </c>
      <c r="AD40" s="38">
        <v>0.35607299999999997</v>
      </c>
      <c r="AE40" s="38">
        <v>0.35779100000000003</v>
      </c>
      <c r="AF40" s="35">
        <v>3.9602999999999999E-2</v>
      </c>
      <c r="AG40" s="29"/>
    </row>
    <row r="41" spans="1:33" ht="12" customHeight="1">
      <c r="A41" s="34" t="s">
        <v>5264</v>
      </c>
      <c r="B41" s="33" t="s">
        <v>5121</v>
      </c>
      <c r="C41" s="39">
        <v>4.5945159999999996</v>
      </c>
      <c r="D41" s="39">
        <v>4.5189029999999999</v>
      </c>
      <c r="E41" s="39">
        <v>4.5454340000000002</v>
      </c>
      <c r="F41" s="39">
        <v>4.5357770000000004</v>
      </c>
      <c r="G41" s="39">
        <v>4.5412850000000002</v>
      </c>
      <c r="H41" s="39">
        <v>4.5410360000000001</v>
      </c>
      <c r="I41" s="39">
        <v>4.5667999999999997</v>
      </c>
      <c r="J41" s="39">
        <v>4.5905269999999998</v>
      </c>
      <c r="K41" s="39">
        <v>4.6117980000000003</v>
      </c>
      <c r="L41" s="39">
        <v>4.6365270000000001</v>
      </c>
      <c r="M41" s="39">
        <v>4.6628579999999999</v>
      </c>
      <c r="N41" s="39">
        <v>4.6800059999999997</v>
      </c>
      <c r="O41" s="39">
        <v>4.6936140000000002</v>
      </c>
      <c r="P41" s="39">
        <v>4.7130299999999998</v>
      </c>
      <c r="Q41" s="39">
        <v>4.7273149999999999</v>
      </c>
      <c r="R41" s="39">
        <v>4.7434750000000001</v>
      </c>
      <c r="S41" s="39">
        <v>4.7545330000000003</v>
      </c>
      <c r="T41" s="39">
        <v>4.7640880000000001</v>
      </c>
      <c r="U41" s="39">
        <v>4.77827</v>
      </c>
      <c r="V41" s="39">
        <v>4.796735</v>
      </c>
      <c r="W41" s="39">
        <v>4.8181409999999998</v>
      </c>
      <c r="X41" s="39">
        <v>4.8428240000000002</v>
      </c>
      <c r="Y41" s="39">
        <v>4.8693020000000002</v>
      </c>
      <c r="Z41" s="39">
        <v>4.8985760000000003</v>
      </c>
      <c r="AA41" s="39">
        <v>4.9279440000000001</v>
      </c>
      <c r="AB41" s="39">
        <v>4.9659589999999998</v>
      </c>
      <c r="AC41" s="39">
        <v>5.0038489999999998</v>
      </c>
      <c r="AD41" s="39">
        <v>5.045757</v>
      </c>
      <c r="AE41" s="39">
        <v>5.0911910000000002</v>
      </c>
      <c r="AF41" s="31">
        <v>3.673E-3</v>
      </c>
      <c r="AG41" s="29"/>
    </row>
    <row r="42" spans="1:33" ht="12" customHeight="1">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row>
    <row r="43" spans="1:33" ht="12" customHeight="1">
      <c r="B43" s="33" t="s">
        <v>2784</v>
      </c>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row>
    <row r="44" spans="1:33" ht="12" customHeight="1">
      <c r="A44" s="34" t="s">
        <v>5263</v>
      </c>
      <c r="B44" s="37" t="s">
        <v>5232</v>
      </c>
      <c r="C44" s="38">
        <v>1.8254539999999999</v>
      </c>
      <c r="D44" s="38">
        <v>1.7947</v>
      </c>
      <c r="E44" s="38">
        <v>1.7061729999999999</v>
      </c>
      <c r="F44" s="38">
        <v>1.7385660000000001</v>
      </c>
      <c r="G44" s="38">
        <v>1.7639400000000001</v>
      </c>
      <c r="H44" s="38">
        <v>1.779544</v>
      </c>
      <c r="I44" s="38">
        <v>1.788921</v>
      </c>
      <c r="J44" s="38">
        <v>1.79061</v>
      </c>
      <c r="K44" s="38">
        <v>1.7890999999999999</v>
      </c>
      <c r="L44" s="38">
        <v>1.787161</v>
      </c>
      <c r="M44" s="38">
        <v>1.7835300000000001</v>
      </c>
      <c r="N44" s="38">
        <v>1.776289</v>
      </c>
      <c r="O44" s="38">
        <v>1.7674780000000001</v>
      </c>
      <c r="P44" s="38">
        <v>1.757646</v>
      </c>
      <c r="Q44" s="38">
        <v>1.748321</v>
      </c>
      <c r="R44" s="38">
        <v>1.738137</v>
      </c>
      <c r="S44" s="38">
        <v>1.7250220000000001</v>
      </c>
      <c r="T44" s="38">
        <v>1.7127330000000001</v>
      </c>
      <c r="U44" s="38">
        <v>1.699783</v>
      </c>
      <c r="V44" s="38">
        <v>1.686558</v>
      </c>
      <c r="W44" s="38">
        <v>1.6739850000000001</v>
      </c>
      <c r="X44" s="38">
        <v>1.6631689999999999</v>
      </c>
      <c r="Y44" s="38">
        <v>1.6539790000000001</v>
      </c>
      <c r="Z44" s="38">
        <v>1.642917</v>
      </c>
      <c r="AA44" s="38">
        <v>1.629286</v>
      </c>
      <c r="AB44" s="38">
        <v>1.6173420000000001</v>
      </c>
      <c r="AC44" s="38">
        <v>1.6073139999999999</v>
      </c>
      <c r="AD44" s="38">
        <v>1.5970869999999999</v>
      </c>
      <c r="AE44" s="38">
        <v>1.5851690000000001</v>
      </c>
      <c r="AF44" s="35">
        <v>-5.0280000000000004E-3</v>
      </c>
      <c r="AG44" s="29"/>
    </row>
    <row r="45" spans="1:33" ht="12" customHeight="1">
      <c r="A45" s="34" t="s">
        <v>5262</v>
      </c>
      <c r="B45" s="37" t="s">
        <v>5230</v>
      </c>
      <c r="C45" s="38">
        <v>2.4829E-2</v>
      </c>
      <c r="D45" s="38">
        <v>1.9927E-2</v>
      </c>
      <c r="E45" s="38">
        <v>2.5627E-2</v>
      </c>
      <c r="F45" s="38">
        <v>2.5995000000000001E-2</v>
      </c>
      <c r="G45" s="38">
        <v>2.6231999999999998E-2</v>
      </c>
      <c r="H45" s="38">
        <v>2.6372E-2</v>
      </c>
      <c r="I45" s="38">
        <v>2.6435E-2</v>
      </c>
      <c r="J45" s="38">
        <v>2.6429000000000001E-2</v>
      </c>
      <c r="K45" s="38">
        <v>2.6391000000000001E-2</v>
      </c>
      <c r="L45" s="38">
        <v>2.6353000000000001E-2</v>
      </c>
      <c r="M45" s="38">
        <v>2.6314000000000001E-2</v>
      </c>
      <c r="N45" s="38">
        <v>2.6221000000000001E-2</v>
      </c>
      <c r="O45" s="38">
        <v>2.6134999999999999E-2</v>
      </c>
      <c r="P45" s="38">
        <v>2.6053E-2</v>
      </c>
      <c r="Q45" s="38">
        <v>2.5982000000000002E-2</v>
      </c>
      <c r="R45" s="38">
        <v>2.5909000000000001E-2</v>
      </c>
      <c r="S45" s="38">
        <v>2.5794000000000001E-2</v>
      </c>
      <c r="T45" s="38">
        <v>2.5696E-2</v>
      </c>
      <c r="U45" s="38">
        <v>2.5607000000000001E-2</v>
      </c>
      <c r="V45" s="38">
        <v>2.5509E-2</v>
      </c>
      <c r="W45" s="38">
        <v>2.5444000000000001E-2</v>
      </c>
      <c r="X45" s="38">
        <v>2.5413000000000002E-2</v>
      </c>
      <c r="Y45" s="38">
        <v>2.5411E-2</v>
      </c>
      <c r="Z45" s="38">
        <v>2.5387E-2</v>
      </c>
      <c r="AA45" s="38">
        <v>2.5342E-2</v>
      </c>
      <c r="AB45" s="38">
        <v>2.5319000000000001E-2</v>
      </c>
      <c r="AC45" s="38">
        <v>2.5354999999999999E-2</v>
      </c>
      <c r="AD45" s="38">
        <v>2.5378999999999999E-2</v>
      </c>
      <c r="AE45" s="38">
        <v>2.5378000000000001E-2</v>
      </c>
      <c r="AF45" s="35">
        <v>7.8100000000000001E-4</v>
      </c>
      <c r="AG45" s="29"/>
    </row>
    <row r="46" spans="1:33" ht="12" customHeight="1">
      <c r="A46" s="34" t="s">
        <v>5261</v>
      </c>
      <c r="B46" s="37" t="s">
        <v>5228</v>
      </c>
      <c r="C46" s="38">
        <v>0.59203799999999995</v>
      </c>
      <c r="D46" s="38">
        <v>0.58703300000000003</v>
      </c>
      <c r="E46" s="38">
        <v>0.59738000000000002</v>
      </c>
      <c r="F46" s="38">
        <v>0.61275100000000005</v>
      </c>
      <c r="G46" s="38">
        <v>0.62566299999999997</v>
      </c>
      <c r="H46" s="38">
        <v>0.63552900000000001</v>
      </c>
      <c r="I46" s="38">
        <v>0.64377899999999999</v>
      </c>
      <c r="J46" s="38">
        <v>0.65003599999999995</v>
      </c>
      <c r="K46" s="38">
        <v>0.65564</v>
      </c>
      <c r="L46" s="38">
        <v>0.66110400000000002</v>
      </c>
      <c r="M46" s="38">
        <v>0.666126</v>
      </c>
      <c r="N46" s="38">
        <v>0.66992099999999999</v>
      </c>
      <c r="O46" s="38">
        <v>0.67317300000000002</v>
      </c>
      <c r="P46" s="38">
        <v>0.67610800000000004</v>
      </c>
      <c r="Q46" s="38">
        <v>0.67931799999999998</v>
      </c>
      <c r="R46" s="38">
        <v>0.68217899999999998</v>
      </c>
      <c r="S46" s="38">
        <v>0.68396299999999999</v>
      </c>
      <c r="T46" s="38">
        <v>0.68618299999999999</v>
      </c>
      <c r="U46" s="38">
        <v>0.68806199999999995</v>
      </c>
      <c r="V46" s="38">
        <v>0.68995600000000001</v>
      </c>
      <c r="W46" s="38">
        <v>0.69216299999999997</v>
      </c>
      <c r="X46" s="38">
        <v>0.69516</v>
      </c>
      <c r="Y46" s="38">
        <v>0.69893400000000006</v>
      </c>
      <c r="Z46" s="38">
        <v>0.70184299999999999</v>
      </c>
      <c r="AA46" s="38">
        <v>0.70256200000000002</v>
      </c>
      <c r="AB46" s="38">
        <v>0.70452400000000004</v>
      </c>
      <c r="AC46" s="38">
        <v>0.70795699999999995</v>
      </c>
      <c r="AD46" s="38">
        <v>0.71178200000000003</v>
      </c>
      <c r="AE46" s="38">
        <v>0.71499199999999996</v>
      </c>
      <c r="AF46" s="35">
        <v>6.7619999999999998E-3</v>
      </c>
      <c r="AG46" s="29"/>
    </row>
    <row r="47" spans="1:33" ht="12" customHeight="1">
      <c r="A47" s="34" t="s">
        <v>5260</v>
      </c>
      <c r="B47" s="37" t="s">
        <v>5099</v>
      </c>
      <c r="C47" s="38">
        <v>0.33065699999999998</v>
      </c>
      <c r="D47" s="38">
        <v>0.330951</v>
      </c>
      <c r="E47" s="38">
        <v>0.33943200000000001</v>
      </c>
      <c r="F47" s="38">
        <v>0.35031800000000002</v>
      </c>
      <c r="G47" s="38">
        <v>0.359456</v>
      </c>
      <c r="H47" s="38">
        <v>0.366753</v>
      </c>
      <c r="I47" s="38">
        <v>0.37310100000000002</v>
      </c>
      <c r="J47" s="38">
        <v>0.37848399999999999</v>
      </c>
      <c r="K47" s="38">
        <v>0.38350299999999998</v>
      </c>
      <c r="L47" s="38">
        <v>0.38850400000000002</v>
      </c>
      <c r="M47" s="38">
        <v>0.39315099999999997</v>
      </c>
      <c r="N47" s="38">
        <v>0.39700400000000002</v>
      </c>
      <c r="O47" s="38">
        <v>0.40042499999999998</v>
      </c>
      <c r="P47" s="38">
        <v>0.403553</v>
      </c>
      <c r="Q47" s="38">
        <v>0.406752</v>
      </c>
      <c r="R47" s="38">
        <v>0.40969699999999998</v>
      </c>
      <c r="S47" s="38">
        <v>0.41197600000000001</v>
      </c>
      <c r="T47" s="38">
        <v>0.41444500000000001</v>
      </c>
      <c r="U47" s="38">
        <v>0.41658800000000001</v>
      </c>
      <c r="V47" s="38">
        <v>0.41879499999999997</v>
      </c>
      <c r="W47" s="38">
        <v>0.42112500000000003</v>
      </c>
      <c r="X47" s="38">
        <v>0.42386699999999999</v>
      </c>
      <c r="Y47" s="38">
        <v>0.426979</v>
      </c>
      <c r="Z47" s="38">
        <v>0.42966399999999999</v>
      </c>
      <c r="AA47" s="38">
        <v>0.43059999999999998</v>
      </c>
      <c r="AB47" s="38">
        <v>0.43231700000000001</v>
      </c>
      <c r="AC47" s="38">
        <v>0.43499399999999999</v>
      </c>
      <c r="AD47" s="38">
        <v>0.43802200000000002</v>
      </c>
      <c r="AE47" s="38">
        <v>0.44072099999999997</v>
      </c>
      <c r="AF47" s="35">
        <v>1.0315E-2</v>
      </c>
      <c r="AG47" s="29"/>
    </row>
    <row r="48" spans="1:33" ht="12" customHeight="1">
      <c r="A48" s="34" t="s">
        <v>5259</v>
      </c>
      <c r="B48" s="37" t="s">
        <v>5258</v>
      </c>
      <c r="C48" s="38">
        <v>0.82970500000000003</v>
      </c>
      <c r="D48" s="38">
        <v>0.87751900000000005</v>
      </c>
      <c r="E48" s="38">
        <v>0.83412200000000003</v>
      </c>
      <c r="F48" s="38">
        <v>0.81346600000000002</v>
      </c>
      <c r="G48" s="38">
        <v>0.80361899999999997</v>
      </c>
      <c r="H48" s="38">
        <v>0.790551</v>
      </c>
      <c r="I48" s="38">
        <v>0.79605400000000004</v>
      </c>
      <c r="J48" s="38">
        <v>0.79901800000000001</v>
      </c>
      <c r="K48" s="38">
        <v>0.80105199999999999</v>
      </c>
      <c r="L48" s="38">
        <v>0.80231799999999998</v>
      </c>
      <c r="M48" s="38">
        <v>0.80347900000000005</v>
      </c>
      <c r="N48" s="38">
        <v>0.80382399999999998</v>
      </c>
      <c r="O48" s="38">
        <v>0.80393400000000004</v>
      </c>
      <c r="P48" s="38">
        <v>0.80400700000000003</v>
      </c>
      <c r="Q48" s="38">
        <v>0.80449499999999996</v>
      </c>
      <c r="R48" s="38">
        <v>0.80487200000000003</v>
      </c>
      <c r="S48" s="38">
        <v>0.80477799999999999</v>
      </c>
      <c r="T48" s="38">
        <v>0.80544700000000002</v>
      </c>
      <c r="U48" s="38">
        <v>0.80568399999999996</v>
      </c>
      <c r="V48" s="38">
        <v>0.80564000000000002</v>
      </c>
      <c r="W48" s="38">
        <v>0.80598599999999998</v>
      </c>
      <c r="X48" s="38">
        <v>0.80713400000000002</v>
      </c>
      <c r="Y48" s="38">
        <v>0.80882299999999996</v>
      </c>
      <c r="Z48" s="38">
        <v>0.80998599999999998</v>
      </c>
      <c r="AA48" s="38">
        <v>0.81049899999999997</v>
      </c>
      <c r="AB48" s="38">
        <v>0.81148799999999999</v>
      </c>
      <c r="AC48" s="38">
        <v>0.81317700000000004</v>
      </c>
      <c r="AD48" s="38">
        <v>0.814774</v>
      </c>
      <c r="AE48" s="38">
        <v>0.81596199999999997</v>
      </c>
      <c r="AF48" s="35">
        <v>-5.9599999999999996E-4</v>
      </c>
      <c r="AG48" s="29"/>
    </row>
    <row r="49" spans="1:33" ht="12" customHeight="1">
      <c r="A49" s="34" t="s">
        <v>5257</v>
      </c>
      <c r="B49" s="33" t="s">
        <v>2076</v>
      </c>
      <c r="C49" s="39">
        <v>3.602684</v>
      </c>
      <c r="D49" s="39">
        <v>3.610131</v>
      </c>
      <c r="E49" s="39">
        <v>3.5027339999999998</v>
      </c>
      <c r="F49" s="39">
        <v>3.5410949999999999</v>
      </c>
      <c r="G49" s="39">
        <v>3.5789089999999999</v>
      </c>
      <c r="H49" s="39">
        <v>3.5987490000000002</v>
      </c>
      <c r="I49" s="39">
        <v>3.6282909999999999</v>
      </c>
      <c r="J49" s="39">
        <v>3.6445759999999998</v>
      </c>
      <c r="K49" s="39">
        <v>3.6556850000000001</v>
      </c>
      <c r="L49" s="39">
        <v>3.6654399999999998</v>
      </c>
      <c r="M49" s="39">
        <v>3.6726009999999998</v>
      </c>
      <c r="N49" s="39">
        <v>3.6732589999999998</v>
      </c>
      <c r="O49" s="39">
        <v>3.6711459999999998</v>
      </c>
      <c r="P49" s="39">
        <v>3.667367</v>
      </c>
      <c r="Q49" s="39">
        <v>3.6648679999999998</v>
      </c>
      <c r="R49" s="39">
        <v>3.6607940000000001</v>
      </c>
      <c r="S49" s="39">
        <v>3.6515330000000001</v>
      </c>
      <c r="T49" s="39">
        <v>3.644504</v>
      </c>
      <c r="U49" s="39">
        <v>3.6357249999999999</v>
      </c>
      <c r="V49" s="39">
        <v>3.626458</v>
      </c>
      <c r="W49" s="39">
        <v>3.6187040000000001</v>
      </c>
      <c r="X49" s="39">
        <v>3.6147429999999998</v>
      </c>
      <c r="Y49" s="39">
        <v>3.6141260000000002</v>
      </c>
      <c r="Z49" s="39">
        <v>3.6097969999999999</v>
      </c>
      <c r="AA49" s="39">
        <v>3.5982889999999998</v>
      </c>
      <c r="AB49" s="39">
        <v>3.5909900000000001</v>
      </c>
      <c r="AC49" s="39">
        <v>3.588797</v>
      </c>
      <c r="AD49" s="39">
        <v>3.5870440000000001</v>
      </c>
      <c r="AE49" s="39">
        <v>3.5822229999999999</v>
      </c>
      <c r="AF49" s="31">
        <v>-2.03E-4</v>
      </c>
      <c r="AG49" s="29"/>
    </row>
    <row r="50" spans="1:33" ht="15" customHeight="1">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row>
    <row r="51" spans="1:33" ht="15" customHeight="1">
      <c r="B51" s="33" t="s">
        <v>2772</v>
      </c>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row>
    <row r="52" spans="1:33" ht="15" customHeight="1">
      <c r="A52" s="34" t="s">
        <v>5256</v>
      </c>
      <c r="B52" s="37" t="s">
        <v>5232</v>
      </c>
      <c r="C52" s="38">
        <v>0.21207100000000001</v>
      </c>
      <c r="D52" s="38">
        <v>0.20616000000000001</v>
      </c>
      <c r="E52" s="38">
        <v>0.189944</v>
      </c>
      <c r="F52" s="38">
        <v>0.191777</v>
      </c>
      <c r="G52" s="38">
        <v>0.193137</v>
      </c>
      <c r="H52" s="38">
        <v>0.194076</v>
      </c>
      <c r="I52" s="38">
        <v>0.19486300000000001</v>
      </c>
      <c r="J52" s="38">
        <v>0.19411800000000001</v>
      </c>
      <c r="K52" s="38">
        <v>0.19242799999999999</v>
      </c>
      <c r="L52" s="38">
        <v>0.19037799999999999</v>
      </c>
      <c r="M52" s="38">
        <v>0.18828600000000001</v>
      </c>
      <c r="N52" s="38">
        <v>0.18609100000000001</v>
      </c>
      <c r="O52" s="38">
        <v>0.18387200000000001</v>
      </c>
      <c r="P52" s="38">
        <v>0.18149599999999999</v>
      </c>
      <c r="Q52" s="38">
        <v>0.17910799999999999</v>
      </c>
      <c r="R52" s="38">
        <v>0.176649</v>
      </c>
      <c r="S52" s="38">
        <v>0.17415</v>
      </c>
      <c r="T52" s="38">
        <v>0.17161699999999999</v>
      </c>
      <c r="U52" s="38">
        <v>0.16906099999999999</v>
      </c>
      <c r="V52" s="38">
        <v>0.16651299999999999</v>
      </c>
      <c r="W52" s="38">
        <v>0.16403699999999999</v>
      </c>
      <c r="X52" s="38">
        <v>0.161519</v>
      </c>
      <c r="Y52" s="38">
        <v>0.159163</v>
      </c>
      <c r="Z52" s="38">
        <v>0.15679599999999999</v>
      </c>
      <c r="AA52" s="38">
        <v>0.154307</v>
      </c>
      <c r="AB52" s="38">
        <v>0.15187</v>
      </c>
      <c r="AC52" s="38">
        <v>0.149531</v>
      </c>
      <c r="AD52" s="38">
        <v>0.1472</v>
      </c>
      <c r="AE52" s="38">
        <v>0.14493500000000001</v>
      </c>
      <c r="AF52" s="35">
        <v>-1.3502E-2</v>
      </c>
      <c r="AG52" s="29"/>
    </row>
    <row r="53" spans="1:33" ht="15" customHeight="1">
      <c r="A53" s="34" t="s">
        <v>5255</v>
      </c>
      <c r="B53" s="37" t="s">
        <v>5228</v>
      </c>
      <c r="C53" s="38">
        <v>6.1390000000000004E-3</v>
      </c>
      <c r="D53" s="38">
        <v>5.8989999999999997E-3</v>
      </c>
      <c r="E53" s="38">
        <v>5.8729999999999997E-3</v>
      </c>
      <c r="F53" s="38">
        <v>5.9800000000000001E-3</v>
      </c>
      <c r="G53" s="38">
        <v>6.0720000000000001E-3</v>
      </c>
      <c r="H53" s="38">
        <v>6.1510000000000002E-3</v>
      </c>
      <c r="I53" s="38">
        <v>6.2319999999999997E-3</v>
      </c>
      <c r="J53" s="38">
        <v>6.2690000000000003E-3</v>
      </c>
      <c r="K53" s="38">
        <v>6.2769999999999996E-3</v>
      </c>
      <c r="L53" s="38">
        <v>6.2700000000000004E-3</v>
      </c>
      <c r="M53" s="38">
        <v>6.2620000000000002E-3</v>
      </c>
      <c r="N53" s="38">
        <v>6.2490000000000002E-3</v>
      </c>
      <c r="O53" s="38">
        <v>6.2350000000000001E-3</v>
      </c>
      <c r="P53" s="38">
        <v>6.215E-3</v>
      </c>
      <c r="Q53" s="38">
        <v>6.1929999999999997E-3</v>
      </c>
      <c r="R53" s="38">
        <v>6.1669999999999997E-3</v>
      </c>
      <c r="S53" s="38">
        <v>6.1390000000000004E-3</v>
      </c>
      <c r="T53" s="38">
        <v>6.1089999999999998E-3</v>
      </c>
      <c r="U53" s="38">
        <v>6.0800000000000003E-3</v>
      </c>
      <c r="V53" s="38">
        <v>6.0480000000000004E-3</v>
      </c>
      <c r="W53" s="38">
        <v>6.0179999999999999E-3</v>
      </c>
      <c r="X53" s="38">
        <v>5.986E-3</v>
      </c>
      <c r="Y53" s="38">
        <v>5.96E-3</v>
      </c>
      <c r="Z53" s="38">
        <v>5.9329999999999999E-3</v>
      </c>
      <c r="AA53" s="38">
        <v>5.901E-3</v>
      </c>
      <c r="AB53" s="38">
        <v>5.8710000000000004E-3</v>
      </c>
      <c r="AC53" s="38">
        <v>5.8389999999999996E-3</v>
      </c>
      <c r="AD53" s="38">
        <v>5.8089999999999999E-3</v>
      </c>
      <c r="AE53" s="38">
        <v>5.7800000000000004E-3</v>
      </c>
      <c r="AF53" s="35">
        <v>-2.1540000000000001E-3</v>
      </c>
      <c r="AG53" s="29"/>
    </row>
    <row r="54" spans="1:33" ht="15" customHeight="1">
      <c r="A54" s="34" t="s">
        <v>5254</v>
      </c>
      <c r="B54" s="37" t="s">
        <v>5127</v>
      </c>
      <c r="C54" s="38">
        <v>7.9482999999999998E-2</v>
      </c>
      <c r="D54" s="38">
        <v>8.0017000000000005E-2</v>
      </c>
      <c r="E54" s="38">
        <v>8.1899E-2</v>
      </c>
      <c r="F54" s="38">
        <v>8.2917000000000005E-2</v>
      </c>
      <c r="G54" s="38">
        <v>8.3774000000000001E-2</v>
      </c>
      <c r="H54" s="38">
        <v>8.4482000000000002E-2</v>
      </c>
      <c r="I54" s="38">
        <v>8.6216000000000001E-2</v>
      </c>
      <c r="J54" s="38">
        <v>8.7276000000000006E-2</v>
      </c>
      <c r="K54" s="38">
        <v>8.7908E-2</v>
      </c>
      <c r="L54" s="38">
        <v>8.8286000000000003E-2</v>
      </c>
      <c r="M54" s="38">
        <v>8.8641999999999999E-2</v>
      </c>
      <c r="N54" s="38">
        <v>8.8950000000000001E-2</v>
      </c>
      <c r="O54" s="38">
        <v>8.9274000000000006E-2</v>
      </c>
      <c r="P54" s="38">
        <v>8.9539999999999995E-2</v>
      </c>
      <c r="Q54" s="38">
        <v>8.9810000000000001E-2</v>
      </c>
      <c r="R54" s="38">
        <v>9.0051999999999993E-2</v>
      </c>
      <c r="S54" s="38">
        <v>9.0277999999999997E-2</v>
      </c>
      <c r="T54" s="38">
        <v>9.0495999999999993E-2</v>
      </c>
      <c r="U54" s="38">
        <v>9.0717000000000006E-2</v>
      </c>
      <c r="V54" s="38">
        <v>9.0885999999999995E-2</v>
      </c>
      <c r="W54" s="38">
        <v>9.1095999999999996E-2</v>
      </c>
      <c r="X54" s="38">
        <v>9.1273999999999994E-2</v>
      </c>
      <c r="Y54" s="38">
        <v>9.1533000000000003E-2</v>
      </c>
      <c r="Z54" s="38">
        <v>9.1760999999999995E-2</v>
      </c>
      <c r="AA54" s="38">
        <v>9.1551999999999994E-2</v>
      </c>
      <c r="AB54" s="38">
        <v>9.1488E-2</v>
      </c>
      <c r="AC54" s="38">
        <v>9.1622999999999996E-2</v>
      </c>
      <c r="AD54" s="38">
        <v>9.1867000000000004E-2</v>
      </c>
      <c r="AE54" s="38">
        <v>9.2141000000000001E-2</v>
      </c>
      <c r="AF54" s="35">
        <v>5.2919999999999998E-3</v>
      </c>
      <c r="AG54" s="29"/>
    </row>
    <row r="55" spans="1:33" ht="15" customHeight="1">
      <c r="A55" s="34" t="s">
        <v>5253</v>
      </c>
      <c r="B55" s="33" t="s">
        <v>2076</v>
      </c>
      <c r="C55" s="39">
        <v>0.29769400000000001</v>
      </c>
      <c r="D55" s="39">
        <v>0.292076</v>
      </c>
      <c r="E55" s="39">
        <v>0.27771600000000002</v>
      </c>
      <c r="F55" s="39">
        <v>0.28067399999999998</v>
      </c>
      <c r="G55" s="39">
        <v>0.28298299999999998</v>
      </c>
      <c r="H55" s="39">
        <v>0.28470800000000002</v>
      </c>
      <c r="I55" s="39">
        <v>0.28731099999999998</v>
      </c>
      <c r="J55" s="39">
        <v>0.287663</v>
      </c>
      <c r="K55" s="39">
        <v>0.28661300000000001</v>
      </c>
      <c r="L55" s="39">
        <v>0.28493400000000002</v>
      </c>
      <c r="M55" s="39">
        <v>0.28319</v>
      </c>
      <c r="N55" s="39">
        <v>0.28128999999999998</v>
      </c>
      <c r="O55" s="39">
        <v>0.27938000000000002</v>
      </c>
      <c r="P55" s="39">
        <v>0.27725100000000003</v>
      </c>
      <c r="Q55" s="39">
        <v>0.27511099999999999</v>
      </c>
      <c r="R55" s="39">
        <v>0.272868</v>
      </c>
      <c r="S55" s="39">
        <v>0.27056799999999998</v>
      </c>
      <c r="T55" s="39">
        <v>0.26822299999999999</v>
      </c>
      <c r="U55" s="39">
        <v>0.26585700000000001</v>
      </c>
      <c r="V55" s="39">
        <v>0.26344699999999999</v>
      </c>
      <c r="W55" s="39">
        <v>0.26114999999999999</v>
      </c>
      <c r="X55" s="39">
        <v>0.25877899999999998</v>
      </c>
      <c r="Y55" s="39">
        <v>0.25665500000000002</v>
      </c>
      <c r="Z55" s="39">
        <v>0.25448999999999999</v>
      </c>
      <c r="AA55" s="39">
        <v>0.25175900000000001</v>
      </c>
      <c r="AB55" s="39">
        <v>0.24922900000000001</v>
      </c>
      <c r="AC55" s="39">
        <v>0.24699299999999999</v>
      </c>
      <c r="AD55" s="39">
        <v>0.24487600000000001</v>
      </c>
      <c r="AE55" s="39">
        <v>0.24285599999999999</v>
      </c>
      <c r="AF55" s="31">
        <v>-7.2449999999999997E-3</v>
      </c>
      <c r="AG55" s="29"/>
    </row>
    <row r="56" spans="1:33" ht="15" customHeight="1">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row>
    <row r="57" spans="1:33" ht="15" customHeight="1">
      <c r="A57" s="34" t="s">
        <v>5252</v>
      </c>
      <c r="B57" s="37" t="s">
        <v>5251</v>
      </c>
      <c r="C57" s="38">
        <v>0.120805</v>
      </c>
      <c r="D57" s="38">
        <v>0.120805</v>
      </c>
      <c r="E57" s="38">
        <v>0.120805</v>
      </c>
      <c r="F57" s="38">
        <v>0.120805</v>
      </c>
      <c r="G57" s="38">
        <v>0.120805</v>
      </c>
      <c r="H57" s="38">
        <v>0.120805</v>
      </c>
      <c r="I57" s="38">
        <v>0.120805</v>
      </c>
      <c r="J57" s="38">
        <v>0.120805</v>
      </c>
      <c r="K57" s="38">
        <v>0.120805</v>
      </c>
      <c r="L57" s="38">
        <v>0.120805</v>
      </c>
      <c r="M57" s="38">
        <v>0.120805</v>
      </c>
      <c r="N57" s="38">
        <v>0.120805</v>
      </c>
      <c r="O57" s="38">
        <v>0.120805</v>
      </c>
      <c r="P57" s="38">
        <v>0.120805</v>
      </c>
      <c r="Q57" s="38">
        <v>0.120805</v>
      </c>
      <c r="R57" s="38">
        <v>0.120805</v>
      </c>
      <c r="S57" s="38">
        <v>0.120805</v>
      </c>
      <c r="T57" s="38">
        <v>0.120805</v>
      </c>
      <c r="U57" s="38">
        <v>0.120805</v>
      </c>
      <c r="V57" s="38">
        <v>0.120805</v>
      </c>
      <c r="W57" s="38">
        <v>0.120805</v>
      </c>
      <c r="X57" s="38">
        <v>0.120805</v>
      </c>
      <c r="Y57" s="38">
        <v>0.120805</v>
      </c>
      <c r="Z57" s="38">
        <v>0.120805</v>
      </c>
      <c r="AA57" s="38">
        <v>0.120805</v>
      </c>
      <c r="AB57" s="38">
        <v>0.120805</v>
      </c>
      <c r="AC57" s="38">
        <v>0.120805</v>
      </c>
      <c r="AD57" s="38">
        <v>0.120805</v>
      </c>
      <c r="AE57" s="38">
        <v>0.120805</v>
      </c>
      <c r="AF57" s="35">
        <v>0</v>
      </c>
      <c r="AG57" s="29"/>
    </row>
    <row r="58" spans="1:33" ht="15" customHeight="1">
      <c r="A58" s="34" t="s">
        <v>5250</v>
      </c>
      <c r="B58" s="37" t="s">
        <v>5249</v>
      </c>
      <c r="C58" s="38">
        <v>0.59923199999999999</v>
      </c>
      <c r="D58" s="38">
        <v>0.60484899999999997</v>
      </c>
      <c r="E58" s="38">
        <v>0.60413099999999997</v>
      </c>
      <c r="F58" s="38">
        <v>0.60436699999999999</v>
      </c>
      <c r="G58" s="38">
        <v>0.60346599999999995</v>
      </c>
      <c r="H58" s="38">
        <v>0.60290500000000002</v>
      </c>
      <c r="I58" s="38">
        <v>0.60595600000000005</v>
      </c>
      <c r="J58" s="38">
        <v>0.60901499999999997</v>
      </c>
      <c r="K58" s="38">
        <v>0.61300100000000002</v>
      </c>
      <c r="L58" s="38">
        <v>0.61517599999999995</v>
      </c>
      <c r="M58" s="38">
        <v>0.61818700000000004</v>
      </c>
      <c r="N58" s="38">
        <v>0.62084499999999998</v>
      </c>
      <c r="O58" s="38">
        <v>0.62326899999999996</v>
      </c>
      <c r="P58" s="38">
        <v>0.62568900000000005</v>
      </c>
      <c r="Q58" s="38">
        <v>0.62770099999999995</v>
      </c>
      <c r="R58" s="38">
        <v>0.62944199999999995</v>
      </c>
      <c r="S58" s="38">
        <v>0.63111700000000004</v>
      </c>
      <c r="T58" s="38">
        <v>0.63296799999999998</v>
      </c>
      <c r="U58" s="38">
        <v>0.63469799999999998</v>
      </c>
      <c r="V58" s="38">
        <v>0.63639999999999997</v>
      </c>
      <c r="W58" s="38">
        <v>0.63813500000000001</v>
      </c>
      <c r="X58" s="38">
        <v>0.63997199999999999</v>
      </c>
      <c r="Y58" s="38">
        <v>0.64172499999999999</v>
      </c>
      <c r="Z58" s="38">
        <v>0.64349199999999995</v>
      </c>
      <c r="AA58" s="38">
        <v>0.64472399999999996</v>
      </c>
      <c r="AB58" s="38">
        <v>0.64665099999999998</v>
      </c>
      <c r="AC58" s="38">
        <v>0.64840600000000004</v>
      </c>
      <c r="AD58" s="38">
        <v>0.65046800000000005</v>
      </c>
      <c r="AE58" s="38">
        <v>0.65251300000000001</v>
      </c>
      <c r="AF58" s="35">
        <v>3.0469999999999998E-3</v>
      </c>
      <c r="AG58" s="29"/>
    </row>
    <row r="59" spans="1:33" ht="15" customHeigh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row>
    <row r="60" spans="1:33" ht="15" customHeight="1">
      <c r="B60" s="33" t="s">
        <v>5093</v>
      </c>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row>
    <row r="61" spans="1:33" ht="15" customHeight="1">
      <c r="A61" s="34" t="s">
        <v>5248</v>
      </c>
      <c r="B61" s="37" t="s">
        <v>5232</v>
      </c>
      <c r="C61" s="38">
        <v>2.1567989999999999</v>
      </c>
      <c r="D61" s="38">
        <v>2.119221</v>
      </c>
      <c r="E61" s="38">
        <v>2.0069789999999998</v>
      </c>
      <c r="F61" s="38">
        <v>2.0414409999999998</v>
      </c>
      <c r="G61" s="38">
        <v>2.0682239999999998</v>
      </c>
      <c r="H61" s="38">
        <v>2.0844740000000002</v>
      </c>
      <c r="I61" s="38">
        <v>2.0941689999999999</v>
      </c>
      <c r="J61" s="38">
        <v>2.0944859999999998</v>
      </c>
      <c r="K61" s="38">
        <v>2.0905140000000002</v>
      </c>
      <c r="L61" s="38">
        <v>2.0858240000000001</v>
      </c>
      <c r="M61" s="38">
        <v>2.0792950000000001</v>
      </c>
      <c r="N61" s="38">
        <v>2.0688300000000002</v>
      </c>
      <c r="O61" s="38">
        <v>2.0566239999999998</v>
      </c>
      <c r="P61" s="38">
        <v>2.0432839999999999</v>
      </c>
      <c r="Q61" s="38">
        <v>2.0304120000000001</v>
      </c>
      <c r="R61" s="38">
        <v>2.0165229999999998</v>
      </c>
      <c r="S61" s="38">
        <v>1.999519</v>
      </c>
      <c r="T61" s="38">
        <v>1.9832240000000001</v>
      </c>
      <c r="U61" s="38">
        <v>1.9662580000000001</v>
      </c>
      <c r="V61" s="38">
        <v>1.9491309999999999</v>
      </c>
      <c r="W61" s="38">
        <v>1.9327799999999999</v>
      </c>
      <c r="X61" s="38">
        <v>1.9181760000000001</v>
      </c>
      <c r="Y61" s="38">
        <v>1.905357</v>
      </c>
      <c r="Z61" s="38">
        <v>1.8906529999999999</v>
      </c>
      <c r="AA61" s="38">
        <v>1.8733</v>
      </c>
      <c r="AB61" s="38">
        <v>1.8577349999999999</v>
      </c>
      <c r="AC61" s="38">
        <v>1.84416</v>
      </c>
      <c r="AD61" s="38">
        <v>1.8304210000000001</v>
      </c>
      <c r="AE61" s="38">
        <v>1.815094</v>
      </c>
      <c r="AF61" s="35">
        <v>-6.1409999999999998E-3</v>
      </c>
      <c r="AG61" s="29"/>
    </row>
    <row r="62" spans="1:33" ht="15" customHeight="1">
      <c r="A62" s="34" t="s">
        <v>5247</v>
      </c>
      <c r="B62" s="37" t="s">
        <v>5230</v>
      </c>
      <c r="C62" s="38">
        <v>0.56770900000000002</v>
      </c>
      <c r="D62" s="38">
        <v>0.497307</v>
      </c>
      <c r="E62" s="38">
        <v>0.57641799999999999</v>
      </c>
      <c r="F62" s="38">
        <v>0.58604000000000001</v>
      </c>
      <c r="G62" s="38">
        <v>0.59398200000000001</v>
      </c>
      <c r="H62" s="38">
        <v>0.60145700000000002</v>
      </c>
      <c r="I62" s="38">
        <v>0.60889700000000002</v>
      </c>
      <c r="J62" s="38">
        <v>0.61600200000000005</v>
      </c>
      <c r="K62" s="38">
        <v>0.62178699999999998</v>
      </c>
      <c r="L62" s="38">
        <v>0.62784799999999996</v>
      </c>
      <c r="M62" s="38">
        <v>0.63409899999999997</v>
      </c>
      <c r="N62" s="38">
        <v>0.63862600000000003</v>
      </c>
      <c r="O62" s="38">
        <v>0.64276299999999997</v>
      </c>
      <c r="P62" s="38">
        <v>0.64734499999999995</v>
      </c>
      <c r="Q62" s="38">
        <v>0.65202800000000005</v>
      </c>
      <c r="R62" s="38">
        <v>0.65664400000000001</v>
      </c>
      <c r="S62" s="38">
        <v>0.66073000000000004</v>
      </c>
      <c r="T62" s="38">
        <v>0.66483199999999998</v>
      </c>
      <c r="U62" s="38">
        <v>0.66848200000000002</v>
      </c>
      <c r="V62" s="38">
        <v>0.67252000000000001</v>
      </c>
      <c r="W62" s="38">
        <v>0.67693099999999995</v>
      </c>
      <c r="X62" s="38">
        <v>0.68160100000000001</v>
      </c>
      <c r="Y62" s="38">
        <v>0.68668499999999999</v>
      </c>
      <c r="Z62" s="38">
        <v>0.69230199999999997</v>
      </c>
      <c r="AA62" s="38">
        <v>0.69904699999999997</v>
      </c>
      <c r="AB62" s="38">
        <v>0.70658299999999996</v>
      </c>
      <c r="AC62" s="38">
        <v>0.71440800000000004</v>
      </c>
      <c r="AD62" s="38">
        <v>0.72237300000000004</v>
      </c>
      <c r="AE62" s="38">
        <v>0.73107699999999998</v>
      </c>
      <c r="AF62" s="35">
        <v>9.0729999999999995E-3</v>
      </c>
      <c r="AG62" s="29"/>
    </row>
    <row r="63" spans="1:33" ht="15" customHeight="1">
      <c r="A63" s="34" t="s">
        <v>5246</v>
      </c>
      <c r="B63" s="37" t="s">
        <v>5228</v>
      </c>
      <c r="C63" s="38">
        <v>0.62239199999999995</v>
      </c>
      <c r="D63" s="38">
        <v>0.61648700000000001</v>
      </c>
      <c r="E63" s="38">
        <v>0.62638199999999999</v>
      </c>
      <c r="F63" s="38">
        <v>0.64160099999999998</v>
      </c>
      <c r="G63" s="38">
        <v>0.65436700000000003</v>
      </c>
      <c r="H63" s="38">
        <v>0.66423600000000005</v>
      </c>
      <c r="I63" s="38">
        <v>0.67247500000000004</v>
      </c>
      <c r="J63" s="38">
        <v>0.67865399999999998</v>
      </c>
      <c r="K63" s="38">
        <v>0.68412200000000001</v>
      </c>
      <c r="L63" s="38">
        <v>0.68943200000000004</v>
      </c>
      <c r="M63" s="38">
        <v>0.69428699999999999</v>
      </c>
      <c r="N63" s="38">
        <v>0.69785900000000001</v>
      </c>
      <c r="O63" s="38">
        <v>0.70086000000000004</v>
      </c>
      <c r="P63" s="38">
        <v>0.70355900000000005</v>
      </c>
      <c r="Q63" s="38">
        <v>0.70652700000000002</v>
      </c>
      <c r="R63" s="38">
        <v>0.70912900000000001</v>
      </c>
      <c r="S63" s="38">
        <v>0.71062800000000004</v>
      </c>
      <c r="T63" s="38">
        <v>0.71255900000000005</v>
      </c>
      <c r="U63" s="38">
        <v>0.71415200000000001</v>
      </c>
      <c r="V63" s="38">
        <v>0.71578200000000003</v>
      </c>
      <c r="W63" s="38">
        <v>0.71773699999999996</v>
      </c>
      <c r="X63" s="38">
        <v>0.72048800000000002</v>
      </c>
      <c r="Y63" s="38">
        <v>0.72402699999999998</v>
      </c>
      <c r="Z63" s="38">
        <v>0.72670500000000005</v>
      </c>
      <c r="AA63" s="38">
        <v>0.72720399999999996</v>
      </c>
      <c r="AB63" s="38">
        <v>0.72896399999999995</v>
      </c>
      <c r="AC63" s="38">
        <v>0.73219699999999999</v>
      </c>
      <c r="AD63" s="38">
        <v>0.73582999999999998</v>
      </c>
      <c r="AE63" s="38">
        <v>0.73886499999999999</v>
      </c>
      <c r="AF63" s="35">
        <v>6.1450000000000003E-3</v>
      </c>
      <c r="AG63" s="29"/>
    </row>
    <row r="64" spans="1:33" ht="15" customHeight="1">
      <c r="A64" s="34" t="s">
        <v>5245</v>
      </c>
      <c r="B64" s="37" t="s">
        <v>5226</v>
      </c>
      <c r="C64" s="38">
        <v>0.41879300000000003</v>
      </c>
      <c r="D64" s="38">
        <v>0.407891</v>
      </c>
      <c r="E64" s="38">
        <v>0.40001900000000001</v>
      </c>
      <c r="F64" s="38">
        <v>0.394285</v>
      </c>
      <c r="G64" s="38">
        <v>0.38813999999999999</v>
      </c>
      <c r="H64" s="38">
        <v>0.38119500000000001</v>
      </c>
      <c r="I64" s="38">
        <v>0.37394899999999998</v>
      </c>
      <c r="J64" s="38">
        <v>0.36649399999999999</v>
      </c>
      <c r="K64" s="38">
        <v>0.35841099999999998</v>
      </c>
      <c r="L64" s="38">
        <v>0.35066599999999998</v>
      </c>
      <c r="M64" s="38">
        <v>0.34295799999999999</v>
      </c>
      <c r="N64" s="38">
        <v>0.33487299999999998</v>
      </c>
      <c r="O64" s="38">
        <v>0.32677299999999998</v>
      </c>
      <c r="P64" s="38">
        <v>0.31914799999999999</v>
      </c>
      <c r="Q64" s="38">
        <v>0.311811</v>
      </c>
      <c r="R64" s="38">
        <v>0.30456</v>
      </c>
      <c r="S64" s="38">
        <v>0.29719499999999999</v>
      </c>
      <c r="T64" s="38">
        <v>0.28995700000000002</v>
      </c>
      <c r="U64" s="38">
        <v>0.28303099999999998</v>
      </c>
      <c r="V64" s="38">
        <v>0.276615</v>
      </c>
      <c r="W64" s="38">
        <v>0.270569</v>
      </c>
      <c r="X64" s="38">
        <v>0.26481399999999999</v>
      </c>
      <c r="Y64" s="38">
        <v>0.25929200000000002</v>
      </c>
      <c r="Z64" s="38">
        <v>0.25397799999999998</v>
      </c>
      <c r="AA64" s="38">
        <v>0.24892300000000001</v>
      </c>
      <c r="AB64" s="38">
        <v>0.24418300000000001</v>
      </c>
      <c r="AC64" s="38">
        <v>0.239593</v>
      </c>
      <c r="AD64" s="38">
        <v>0.23527899999999999</v>
      </c>
      <c r="AE64" s="38">
        <v>0.23125899999999999</v>
      </c>
      <c r="AF64" s="35">
        <v>-2.0985E-2</v>
      </c>
      <c r="AG64" s="29"/>
    </row>
    <row r="65" spans="1:33" ht="15" customHeight="1">
      <c r="A65" s="34" t="s">
        <v>5244</v>
      </c>
      <c r="B65" s="37" t="s">
        <v>5099</v>
      </c>
      <c r="C65" s="38">
        <v>0.41303499999999999</v>
      </c>
      <c r="D65" s="38">
        <v>0.41266199999999997</v>
      </c>
      <c r="E65" s="38">
        <v>0.42121900000000001</v>
      </c>
      <c r="F65" s="38">
        <v>0.43261899999999998</v>
      </c>
      <c r="G65" s="38">
        <v>0.44208500000000001</v>
      </c>
      <c r="H65" s="38">
        <v>0.44947500000000001</v>
      </c>
      <c r="I65" s="38">
        <v>0.45582400000000001</v>
      </c>
      <c r="J65" s="38">
        <v>0.46112399999999998</v>
      </c>
      <c r="K65" s="38">
        <v>0.46594099999999999</v>
      </c>
      <c r="L65" s="38">
        <v>0.470744</v>
      </c>
      <c r="M65" s="38">
        <v>0.47515000000000002</v>
      </c>
      <c r="N65" s="38">
        <v>0.47858099999999998</v>
      </c>
      <c r="O65" s="38">
        <v>0.48148600000000003</v>
      </c>
      <c r="P65" s="38">
        <v>0.48413</v>
      </c>
      <c r="Q65" s="38">
        <v>0.486817</v>
      </c>
      <c r="R65" s="38">
        <v>0.48918800000000001</v>
      </c>
      <c r="S65" s="38">
        <v>0.49080400000000002</v>
      </c>
      <c r="T65" s="38">
        <v>0.49257499999999999</v>
      </c>
      <c r="U65" s="38">
        <v>0.49400100000000002</v>
      </c>
      <c r="V65" s="38">
        <v>0.49556600000000001</v>
      </c>
      <c r="W65" s="38">
        <v>0.497278</v>
      </c>
      <c r="X65" s="38">
        <v>0.49942399999999998</v>
      </c>
      <c r="Y65" s="38">
        <v>0.50195699999999999</v>
      </c>
      <c r="Z65" s="38">
        <v>0.50407800000000003</v>
      </c>
      <c r="AA65" s="38">
        <v>0.50450399999999995</v>
      </c>
      <c r="AB65" s="38">
        <v>0.50577300000000003</v>
      </c>
      <c r="AC65" s="38">
        <v>0.50798699999999997</v>
      </c>
      <c r="AD65" s="38">
        <v>0.51055899999999999</v>
      </c>
      <c r="AE65" s="38">
        <v>0.51284300000000005</v>
      </c>
      <c r="AF65" s="35">
        <v>7.7600000000000004E-3</v>
      </c>
      <c r="AG65" s="29"/>
    </row>
    <row r="66" spans="1:33" ht="12" customHeight="1">
      <c r="A66" s="34" t="s">
        <v>5243</v>
      </c>
      <c r="B66" s="37" t="s">
        <v>5139</v>
      </c>
      <c r="C66" s="38">
        <v>0.49728099999999997</v>
      </c>
      <c r="D66" s="38">
        <v>0.48855999999999999</v>
      </c>
      <c r="E66" s="38">
        <v>0.48579499999999998</v>
      </c>
      <c r="F66" s="38">
        <v>0.48757200000000001</v>
      </c>
      <c r="G66" s="38">
        <v>0.48936600000000002</v>
      </c>
      <c r="H66" s="38">
        <v>0.490566</v>
      </c>
      <c r="I66" s="38">
        <v>0.49202499999999999</v>
      </c>
      <c r="J66" s="38">
        <v>0.49368899999999999</v>
      </c>
      <c r="K66" s="38">
        <v>0.49101899999999998</v>
      </c>
      <c r="L66" s="38">
        <v>0.48896099999999998</v>
      </c>
      <c r="M66" s="38">
        <v>0.48697299999999999</v>
      </c>
      <c r="N66" s="38">
        <v>0.48422700000000002</v>
      </c>
      <c r="O66" s="38">
        <v>0.48097899999999999</v>
      </c>
      <c r="P66" s="38">
        <v>0.47800999999999999</v>
      </c>
      <c r="Q66" s="38">
        <v>0.474966</v>
      </c>
      <c r="R66" s="38">
        <v>0.47095500000000001</v>
      </c>
      <c r="S66" s="38">
        <v>0.46600999999999998</v>
      </c>
      <c r="T66" s="38">
        <v>0.45994200000000002</v>
      </c>
      <c r="U66" s="38">
        <v>0.45792899999999997</v>
      </c>
      <c r="V66" s="38">
        <v>0.45681100000000002</v>
      </c>
      <c r="W66" s="38">
        <v>0.45597100000000002</v>
      </c>
      <c r="X66" s="38">
        <v>0.45552999999999999</v>
      </c>
      <c r="Y66" s="38">
        <v>0.455459</v>
      </c>
      <c r="Z66" s="38">
        <v>0.45567999999999997</v>
      </c>
      <c r="AA66" s="38">
        <v>0.45632899999999998</v>
      </c>
      <c r="AB66" s="38">
        <v>0.45772200000000002</v>
      </c>
      <c r="AC66" s="38">
        <v>0.45915800000000001</v>
      </c>
      <c r="AD66" s="38">
        <v>0.460843</v>
      </c>
      <c r="AE66" s="38">
        <v>0.46300400000000003</v>
      </c>
      <c r="AF66" s="35">
        <v>-2.5469999999999998E-3</v>
      </c>
      <c r="AG66" s="29"/>
    </row>
    <row r="67" spans="1:33" ht="15" customHeight="1">
      <c r="A67" s="34" t="s">
        <v>5242</v>
      </c>
      <c r="B67" s="37" t="s">
        <v>5145</v>
      </c>
      <c r="C67" s="38">
        <v>0.603352</v>
      </c>
      <c r="D67" s="38">
        <v>0.60135499999999997</v>
      </c>
      <c r="E67" s="38">
        <v>0.60267999999999999</v>
      </c>
      <c r="F67" s="38">
        <v>0.60644600000000004</v>
      </c>
      <c r="G67" s="38">
        <v>0.60968599999999995</v>
      </c>
      <c r="H67" s="38">
        <v>0.61227900000000002</v>
      </c>
      <c r="I67" s="38">
        <v>0.61520399999999997</v>
      </c>
      <c r="J67" s="38">
        <v>0.61849299999999996</v>
      </c>
      <c r="K67" s="38">
        <v>0.62074799999999997</v>
      </c>
      <c r="L67" s="38">
        <v>0.62390000000000001</v>
      </c>
      <c r="M67" s="38">
        <v>0.62699000000000005</v>
      </c>
      <c r="N67" s="38">
        <v>0.62938700000000003</v>
      </c>
      <c r="O67" s="38">
        <v>0.63132500000000003</v>
      </c>
      <c r="P67" s="38">
        <v>0.63321400000000005</v>
      </c>
      <c r="Q67" s="38">
        <v>0.63485499999999995</v>
      </c>
      <c r="R67" s="38">
        <v>0.63615500000000003</v>
      </c>
      <c r="S67" s="38">
        <v>0.636938</v>
      </c>
      <c r="T67" s="38">
        <v>0.63747399999999999</v>
      </c>
      <c r="U67" s="38">
        <v>0.63791900000000001</v>
      </c>
      <c r="V67" s="38">
        <v>0.63905800000000001</v>
      </c>
      <c r="W67" s="38">
        <v>0.64029400000000003</v>
      </c>
      <c r="X67" s="38">
        <v>0.64160899999999998</v>
      </c>
      <c r="Y67" s="38">
        <v>0.642984</v>
      </c>
      <c r="Z67" s="38">
        <v>0.64441700000000002</v>
      </c>
      <c r="AA67" s="38">
        <v>0.64599600000000001</v>
      </c>
      <c r="AB67" s="38">
        <v>0.64779299999999995</v>
      </c>
      <c r="AC67" s="38">
        <v>0.64965700000000004</v>
      </c>
      <c r="AD67" s="38">
        <v>0.65169699999999997</v>
      </c>
      <c r="AE67" s="38">
        <v>0.65393400000000002</v>
      </c>
      <c r="AF67" s="35">
        <v>2.879E-3</v>
      </c>
      <c r="AG67" s="29"/>
    </row>
    <row r="68" spans="1:33" ht="15" customHeight="1">
      <c r="A68" s="34" t="s">
        <v>5241</v>
      </c>
      <c r="B68" s="37" t="s">
        <v>5221</v>
      </c>
      <c r="C68" s="38">
        <v>0.43073600000000001</v>
      </c>
      <c r="D68" s="38">
        <v>0.434585</v>
      </c>
      <c r="E68" s="38">
        <v>0.43993500000000002</v>
      </c>
      <c r="F68" s="38">
        <v>0.447378</v>
      </c>
      <c r="G68" s="38">
        <v>0.45436900000000002</v>
      </c>
      <c r="H68" s="38">
        <v>0.46098600000000001</v>
      </c>
      <c r="I68" s="38">
        <v>0.46887200000000001</v>
      </c>
      <c r="J68" s="38">
        <v>0.477159</v>
      </c>
      <c r="K68" s="38">
        <v>0.48619699999999999</v>
      </c>
      <c r="L68" s="38">
        <v>0.49543300000000001</v>
      </c>
      <c r="M68" s="38">
        <v>0.50508200000000003</v>
      </c>
      <c r="N68" s="38">
        <v>0.51431199999999999</v>
      </c>
      <c r="O68" s="38">
        <v>0.52371100000000004</v>
      </c>
      <c r="P68" s="38">
        <v>0.53291500000000003</v>
      </c>
      <c r="Q68" s="38">
        <v>0.54290400000000005</v>
      </c>
      <c r="R68" s="38">
        <v>0.55216500000000002</v>
      </c>
      <c r="S68" s="38">
        <v>0.56217499999999998</v>
      </c>
      <c r="T68" s="38">
        <v>0.57200700000000004</v>
      </c>
      <c r="U68" s="38">
        <v>0.58174599999999999</v>
      </c>
      <c r="V68" s="38">
        <v>0.59145400000000004</v>
      </c>
      <c r="W68" s="38">
        <v>0.60173699999999997</v>
      </c>
      <c r="X68" s="38">
        <v>0.61264799999999997</v>
      </c>
      <c r="Y68" s="38">
        <v>0.62317100000000003</v>
      </c>
      <c r="Z68" s="38">
        <v>0.63440600000000003</v>
      </c>
      <c r="AA68" s="38">
        <v>0.64643499999999998</v>
      </c>
      <c r="AB68" s="38">
        <v>0.65822099999999995</v>
      </c>
      <c r="AC68" s="38">
        <v>0.67073700000000003</v>
      </c>
      <c r="AD68" s="38">
        <v>0.68349800000000005</v>
      </c>
      <c r="AE68" s="38">
        <v>0.69654000000000005</v>
      </c>
      <c r="AF68" s="35">
        <v>1.7312999999999999E-2</v>
      </c>
      <c r="AG68" s="29"/>
    </row>
    <row r="69" spans="1:33" ht="15" customHeight="1">
      <c r="A69" s="34" t="s">
        <v>5240</v>
      </c>
      <c r="B69" s="37" t="s">
        <v>5219</v>
      </c>
      <c r="C69" s="38">
        <v>0.174708</v>
      </c>
      <c r="D69" s="38">
        <v>0.173262</v>
      </c>
      <c r="E69" s="38">
        <v>0.17277699999999999</v>
      </c>
      <c r="F69" s="38">
        <v>0.17319300000000001</v>
      </c>
      <c r="G69" s="38">
        <v>0.17386399999999999</v>
      </c>
      <c r="H69" s="38">
        <v>0.174594</v>
      </c>
      <c r="I69" s="38">
        <v>0.17566599999999999</v>
      </c>
      <c r="J69" s="38">
        <v>0.17710699999999999</v>
      </c>
      <c r="K69" s="38">
        <v>0.17887400000000001</v>
      </c>
      <c r="L69" s="38">
        <v>0.180673</v>
      </c>
      <c r="M69" s="38">
        <v>0.18267900000000001</v>
      </c>
      <c r="N69" s="38">
        <v>0.184498</v>
      </c>
      <c r="O69" s="38">
        <v>0.185888</v>
      </c>
      <c r="P69" s="38">
        <v>0.18745700000000001</v>
      </c>
      <c r="Q69" s="38">
        <v>0.18862699999999999</v>
      </c>
      <c r="R69" s="38">
        <v>0.18968199999999999</v>
      </c>
      <c r="S69" s="38">
        <v>0.190608</v>
      </c>
      <c r="T69" s="38">
        <v>0.190859</v>
      </c>
      <c r="U69" s="38">
        <v>0.19103999999999999</v>
      </c>
      <c r="V69" s="38">
        <v>0.19087699999999999</v>
      </c>
      <c r="W69" s="38">
        <v>0.19009000000000001</v>
      </c>
      <c r="X69" s="38">
        <v>0.18897900000000001</v>
      </c>
      <c r="Y69" s="38">
        <v>0.18754999999999999</v>
      </c>
      <c r="Z69" s="38">
        <v>0.1855</v>
      </c>
      <c r="AA69" s="38">
        <v>0.183143</v>
      </c>
      <c r="AB69" s="38">
        <v>0.180174</v>
      </c>
      <c r="AC69" s="38">
        <v>0.176542</v>
      </c>
      <c r="AD69" s="38">
        <v>0.17224400000000001</v>
      </c>
      <c r="AE69" s="38">
        <v>0.16695299999999999</v>
      </c>
      <c r="AF69" s="35">
        <v>-1.6199999999999999E-3</v>
      </c>
      <c r="AG69" s="29"/>
    </row>
    <row r="70" spans="1:33" ht="15" customHeight="1">
      <c r="A70" s="34" t="s">
        <v>5239</v>
      </c>
      <c r="B70" s="37" t="s">
        <v>5217</v>
      </c>
      <c r="C70" s="38">
        <v>3.4507249999999998</v>
      </c>
      <c r="D70" s="38">
        <v>3.536727</v>
      </c>
      <c r="E70" s="38">
        <v>3.4764119999999998</v>
      </c>
      <c r="F70" s="38">
        <v>3.4431989999999999</v>
      </c>
      <c r="G70" s="38">
        <v>3.4318369999999998</v>
      </c>
      <c r="H70" s="38">
        <v>3.4161250000000001</v>
      </c>
      <c r="I70" s="38">
        <v>3.446787</v>
      </c>
      <c r="J70" s="38">
        <v>3.4757069999999999</v>
      </c>
      <c r="K70" s="38">
        <v>3.5049540000000001</v>
      </c>
      <c r="L70" s="38">
        <v>3.5324049999999998</v>
      </c>
      <c r="M70" s="38">
        <v>3.5605950000000002</v>
      </c>
      <c r="N70" s="38">
        <v>3.5863670000000001</v>
      </c>
      <c r="O70" s="38">
        <v>3.6106569999999998</v>
      </c>
      <c r="P70" s="38">
        <v>3.6347269999999998</v>
      </c>
      <c r="Q70" s="38">
        <v>3.658757</v>
      </c>
      <c r="R70" s="38">
        <v>3.6816170000000001</v>
      </c>
      <c r="S70" s="38">
        <v>3.7035990000000001</v>
      </c>
      <c r="T70" s="38">
        <v>3.7265060000000001</v>
      </c>
      <c r="U70" s="38">
        <v>3.7487550000000001</v>
      </c>
      <c r="V70" s="38">
        <v>3.7714799999999999</v>
      </c>
      <c r="W70" s="38">
        <v>3.7952819999999998</v>
      </c>
      <c r="X70" s="38">
        <v>3.821091</v>
      </c>
      <c r="Y70" s="38">
        <v>3.8484419999999999</v>
      </c>
      <c r="Z70" s="38">
        <v>3.876735</v>
      </c>
      <c r="AA70" s="38">
        <v>3.9044140000000001</v>
      </c>
      <c r="AB70" s="38">
        <v>3.9351759999999998</v>
      </c>
      <c r="AC70" s="38">
        <v>3.967991</v>
      </c>
      <c r="AD70" s="38">
        <v>4.0022770000000003</v>
      </c>
      <c r="AE70" s="38">
        <v>4.0378090000000002</v>
      </c>
      <c r="AF70" s="35">
        <v>5.6270000000000001E-3</v>
      </c>
      <c r="AG70" s="29"/>
    </row>
    <row r="71" spans="1:33" ht="15" customHeight="1">
      <c r="A71" s="34" t="s">
        <v>5238</v>
      </c>
      <c r="B71" s="33" t="s">
        <v>5237</v>
      </c>
      <c r="C71" s="39">
        <v>9.335528</v>
      </c>
      <c r="D71" s="39">
        <v>9.2880570000000002</v>
      </c>
      <c r="E71" s="39">
        <v>9.2086159999999992</v>
      </c>
      <c r="F71" s="39">
        <v>9.2537749999999992</v>
      </c>
      <c r="G71" s="39">
        <v>9.3059200000000004</v>
      </c>
      <c r="H71" s="39">
        <v>9.3353859999999997</v>
      </c>
      <c r="I71" s="39">
        <v>9.403867</v>
      </c>
      <c r="J71" s="39">
        <v>9.4589149999999993</v>
      </c>
      <c r="K71" s="39">
        <v>9.5025680000000001</v>
      </c>
      <c r="L71" s="39">
        <v>9.5458870000000005</v>
      </c>
      <c r="M71" s="39">
        <v>9.5881089999999993</v>
      </c>
      <c r="N71" s="39">
        <v>9.617559</v>
      </c>
      <c r="O71" s="39">
        <v>9.6410680000000006</v>
      </c>
      <c r="P71" s="39">
        <v>9.6637880000000003</v>
      </c>
      <c r="Q71" s="39">
        <v>9.6877049999999993</v>
      </c>
      <c r="R71" s="39">
        <v>9.7066199999999991</v>
      </c>
      <c r="S71" s="39">
        <v>9.7182060000000003</v>
      </c>
      <c r="T71" s="39">
        <v>9.7299340000000001</v>
      </c>
      <c r="U71" s="39">
        <v>9.7433150000000008</v>
      </c>
      <c r="V71" s="39">
        <v>9.7592949999999998</v>
      </c>
      <c r="W71" s="39">
        <v>9.7786690000000007</v>
      </c>
      <c r="X71" s="39">
        <v>9.8043589999999998</v>
      </c>
      <c r="Y71" s="39">
        <v>9.8349259999999994</v>
      </c>
      <c r="Z71" s="39">
        <v>9.8644540000000003</v>
      </c>
      <c r="AA71" s="39">
        <v>9.8892959999999999</v>
      </c>
      <c r="AB71" s="39">
        <v>9.9223239999999997</v>
      </c>
      <c r="AC71" s="39">
        <v>9.9624299999999995</v>
      </c>
      <c r="AD71" s="39">
        <v>10.005023</v>
      </c>
      <c r="AE71" s="39">
        <v>10.047378999999999</v>
      </c>
      <c r="AF71" s="31">
        <v>2.6280000000000001E-3</v>
      </c>
      <c r="AG71" s="29"/>
    </row>
    <row r="72" spans="1:33" ht="15" customHeight="1">
      <c r="A72" s="34" t="s">
        <v>5236</v>
      </c>
      <c r="B72" s="37" t="s">
        <v>5075</v>
      </c>
      <c r="C72" s="38">
        <v>0.120598</v>
      </c>
      <c r="D72" s="38">
        <v>0.141293</v>
      </c>
      <c r="E72" s="38">
        <v>0.15779599999999999</v>
      </c>
      <c r="F72" s="38">
        <v>0.17105699999999999</v>
      </c>
      <c r="G72" s="38">
        <v>0.17847299999999999</v>
      </c>
      <c r="H72" s="38">
        <v>0.18718199999999999</v>
      </c>
      <c r="I72" s="38">
        <v>0.19470299999999999</v>
      </c>
      <c r="J72" s="38">
        <v>0.20632900000000001</v>
      </c>
      <c r="K72" s="38">
        <v>0.214666</v>
      </c>
      <c r="L72" s="38">
        <v>0.22300600000000001</v>
      </c>
      <c r="M72" s="38">
        <v>0.23046800000000001</v>
      </c>
      <c r="N72" s="38">
        <v>0.24135400000000001</v>
      </c>
      <c r="O72" s="38">
        <v>0.25285299999999999</v>
      </c>
      <c r="P72" s="38">
        <v>0.25964599999999999</v>
      </c>
      <c r="Q72" s="38">
        <v>0.27190500000000001</v>
      </c>
      <c r="R72" s="38">
        <v>0.27923599999999998</v>
      </c>
      <c r="S72" s="38">
        <v>0.28964899999999999</v>
      </c>
      <c r="T72" s="38">
        <v>0.299346</v>
      </c>
      <c r="U72" s="38">
        <v>0.30795899999999998</v>
      </c>
      <c r="V72" s="38">
        <v>0.31545000000000001</v>
      </c>
      <c r="W72" s="38">
        <v>0.32173499999999999</v>
      </c>
      <c r="X72" s="38">
        <v>0.32723600000000003</v>
      </c>
      <c r="Y72" s="38">
        <v>0.33231100000000002</v>
      </c>
      <c r="Z72" s="38">
        <v>0.33729500000000001</v>
      </c>
      <c r="AA72" s="38">
        <v>0.34577400000000003</v>
      </c>
      <c r="AB72" s="38">
        <v>0.34869</v>
      </c>
      <c r="AC72" s="38">
        <v>0.35358000000000001</v>
      </c>
      <c r="AD72" s="38">
        <v>0.35607299999999997</v>
      </c>
      <c r="AE72" s="38">
        <v>0.35779100000000003</v>
      </c>
      <c r="AF72" s="35">
        <v>3.9602999999999999E-2</v>
      </c>
      <c r="AG72" s="29"/>
    </row>
    <row r="73" spans="1:33" ht="12" customHeight="1">
      <c r="A73" s="34" t="s">
        <v>5235</v>
      </c>
      <c r="B73" s="33" t="s">
        <v>2076</v>
      </c>
      <c r="C73" s="39">
        <v>9.214931</v>
      </c>
      <c r="D73" s="39">
        <v>9.1467639999999992</v>
      </c>
      <c r="E73" s="39">
        <v>9.0508199999999999</v>
      </c>
      <c r="F73" s="39">
        <v>9.0827179999999998</v>
      </c>
      <c r="G73" s="39">
        <v>9.1274470000000001</v>
      </c>
      <c r="H73" s="39">
        <v>9.1482039999999998</v>
      </c>
      <c r="I73" s="39">
        <v>9.2091639999999995</v>
      </c>
      <c r="J73" s="39">
        <v>9.2525849999999998</v>
      </c>
      <c r="K73" s="39">
        <v>9.2879020000000008</v>
      </c>
      <c r="L73" s="39">
        <v>9.3228819999999999</v>
      </c>
      <c r="M73" s="39">
        <v>9.3576409999999992</v>
      </c>
      <c r="N73" s="39">
        <v>9.3762050000000006</v>
      </c>
      <c r="O73" s="39">
        <v>9.3882150000000006</v>
      </c>
      <c r="P73" s="39">
        <v>9.4041420000000002</v>
      </c>
      <c r="Q73" s="39">
        <v>9.4158000000000008</v>
      </c>
      <c r="R73" s="39">
        <v>9.427384</v>
      </c>
      <c r="S73" s="39">
        <v>9.4285560000000004</v>
      </c>
      <c r="T73" s="39">
        <v>9.4305880000000002</v>
      </c>
      <c r="U73" s="39">
        <v>9.4353560000000005</v>
      </c>
      <c r="V73" s="39">
        <v>9.4438440000000003</v>
      </c>
      <c r="W73" s="39">
        <v>9.4569349999999996</v>
      </c>
      <c r="X73" s="39">
        <v>9.4771230000000006</v>
      </c>
      <c r="Y73" s="39">
        <v>9.5026139999999995</v>
      </c>
      <c r="Z73" s="39">
        <v>9.5271600000000003</v>
      </c>
      <c r="AA73" s="39">
        <v>9.5435219999999994</v>
      </c>
      <c r="AB73" s="39">
        <v>9.5736340000000002</v>
      </c>
      <c r="AC73" s="39">
        <v>9.6088500000000003</v>
      </c>
      <c r="AD73" s="39">
        <v>9.6489499999999992</v>
      </c>
      <c r="AE73" s="39">
        <v>9.6895889999999998</v>
      </c>
      <c r="AF73" s="31">
        <v>1.7949999999999999E-3</v>
      </c>
      <c r="AG73" s="29"/>
    </row>
    <row r="74" spans="1:33" ht="15" customHeight="1">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row>
    <row r="75" spans="1:33" ht="15" customHeight="1">
      <c r="A75" s="34" t="s">
        <v>5234</v>
      </c>
      <c r="B75" s="33" t="s">
        <v>5071</v>
      </c>
      <c r="C75" s="39">
        <v>8.418628</v>
      </c>
      <c r="D75" s="39">
        <v>8.1140220000000003</v>
      </c>
      <c r="E75" s="39">
        <v>8.1917259999999992</v>
      </c>
      <c r="F75" s="39">
        <v>8.1594289999999994</v>
      </c>
      <c r="G75" s="39">
        <v>8.0919919999999994</v>
      </c>
      <c r="H75" s="39">
        <v>8.0060850000000006</v>
      </c>
      <c r="I75" s="39">
        <v>7.955819</v>
      </c>
      <c r="J75" s="39">
        <v>7.9158020000000002</v>
      </c>
      <c r="K75" s="39">
        <v>7.8963580000000002</v>
      </c>
      <c r="L75" s="39">
        <v>7.9300129999999998</v>
      </c>
      <c r="M75" s="39">
        <v>8.0035220000000002</v>
      </c>
      <c r="N75" s="39">
        <v>8.0267309999999998</v>
      </c>
      <c r="O75" s="39">
        <v>8.0801970000000001</v>
      </c>
      <c r="P75" s="39">
        <v>8.1208340000000003</v>
      </c>
      <c r="Q75" s="39">
        <v>8.1497419999999998</v>
      </c>
      <c r="R75" s="39">
        <v>8.1508179999999992</v>
      </c>
      <c r="S75" s="39">
        <v>8.1182960000000008</v>
      </c>
      <c r="T75" s="39">
        <v>8.0792339999999996</v>
      </c>
      <c r="U75" s="39">
        <v>8.0688680000000002</v>
      </c>
      <c r="V75" s="39">
        <v>8.0798349999999992</v>
      </c>
      <c r="W75" s="39">
        <v>8.1258210000000002</v>
      </c>
      <c r="X75" s="39">
        <v>8.1633040000000001</v>
      </c>
      <c r="Y75" s="39">
        <v>8.2102930000000001</v>
      </c>
      <c r="Z75" s="39">
        <v>8.2706389999999992</v>
      </c>
      <c r="AA75" s="39">
        <v>8.2967460000000006</v>
      </c>
      <c r="AB75" s="39">
        <v>8.3478860000000008</v>
      </c>
      <c r="AC75" s="39">
        <v>8.401999</v>
      </c>
      <c r="AD75" s="39">
        <v>8.4501869999999997</v>
      </c>
      <c r="AE75" s="39">
        <v>8.5127570000000006</v>
      </c>
      <c r="AF75" s="31">
        <v>3.97E-4</v>
      </c>
      <c r="AG75" s="29"/>
    </row>
    <row r="76" spans="1:33" ht="15" customHeight="1">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1:33" ht="15" customHeight="1">
      <c r="B77" s="33" t="s">
        <v>5070</v>
      </c>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1:33" ht="15" customHeight="1">
      <c r="A78" s="34" t="s">
        <v>5233</v>
      </c>
      <c r="B78" s="37" t="s">
        <v>5232</v>
      </c>
      <c r="C78" s="38">
        <v>2.3697560000000002</v>
      </c>
      <c r="D78" s="38">
        <v>2.3253029999999999</v>
      </c>
      <c r="E78" s="38">
        <v>2.2000709999999999</v>
      </c>
      <c r="F78" s="38">
        <v>2.2340339999999999</v>
      </c>
      <c r="G78" s="38">
        <v>2.258785</v>
      </c>
      <c r="H78" s="38">
        <v>2.2721779999999998</v>
      </c>
      <c r="I78" s="38">
        <v>2.2786050000000002</v>
      </c>
      <c r="J78" s="38">
        <v>2.2756099999999999</v>
      </c>
      <c r="K78" s="38">
        <v>2.2688220000000001</v>
      </c>
      <c r="L78" s="38">
        <v>2.2625299999999999</v>
      </c>
      <c r="M78" s="38">
        <v>2.2550870000000001</v>
      </c>
      <c r="N78" s="38">
        <v>2.242448</v>
      </c>
      <c r="O78" s="38">
        <v>2.2285940000000002</v>
      </c>
      <c r="P78" s="38">
        <v>2.2133579999999999</v>
      </c>
      <c r="Q78" s="38">
        <v>2.1982949999999999</v>
      </c>
      <c r="R78" s="38">
        <v>2.181622</v>
      </c>
      <c r="S78" s="38">
        <v>2.1610209999999999</v>
      </c>
      <c r="T78" s="38">
        <v>2.140987</v>
      </c>
      <c r="U78" s="38">
        <v>2.120797</v>
      </c>
      <c r="V78" s="38">
        <v>2.1009540000000002</v>
      </c>
      <c r="W78" s="38">
        <v>2.0825870000000002</v>
      </c>
      <c r="X78" s="38">
        <v>2.0657890000000001</v>
      </c>
      <c r="Y78" s="38">
        <v>2.0509119999999998</v>
      </c>
      <c r="Z78" s="38">
        <v>2.0343010000000001</v>
      </c>
      <c r="AA78" s="38">
        <v>2.0144310000000001</v>
      </c>
      <c r="AB78" s="38">
        <v>1.9967809999999999</v>
      </c>
      <c r="AC78" s="38">
        <v>1.981096</v>
      </c>
      <c r="AD78" s="38">
        <v>1.9651620000000001</v>
      </c>
      <c r="AE78" s="38">
        <v>1.94787</v>
      </c>
      <c r="AF78" s="35">
        <v>-6.9769999999999997E-3</v>
      </c>
      <c r="AG78" s="29"/>
    </row>
    <row r="79" spans="1:33" ht="12" customHeight="1">
      <c r="A79" s="34" t="s">
        <v>5231</v>
      </c>
      <c r="B79" s="37" t="s">
        <v>5230</v>
      </c>
      <c r="C79" s="38">
        <v>1.5369969999999999</v>
      </c>
      <c r="D79" s="38">
        <v>1.328487</v>
      </c>
      <c r="E79" s="38">
        <v>1.535744</v>
      </c>
      <c r="F79" s="38">
        <v>1.556894</v>
      </c>
      <c r="G79" s="38">
        <v>1.567385</v>
      </c>
      <c r="H79" s="38">
        <v>1.575223</v>
      </c>
      <c r="I79" s="38">
        <v>1.582111</v>
      </c>
      <c r="J79" s="38">
        <v>1.588919</v>
      </c>
      <c r="K79" s="38">
        <v>1.5958870000000001</v>
      </c>
      <c r="L79" s="38">
        <v>1.609396</v>
      </c>
      <c r="M79" s="38">
        <v>1.6281920000000001</v>
      </c>
      <c r="N79" s="38">
        <v>1.6374580000000001</v>
      </c>
      <c r="O79" s="38">
        <v>1.650042</v>
      </c>
      <c r="P79" s="38">
        <v>1.6619710000000001</v>
      </c>
      <c r="Q79" s="38">
        <v>1.672609</v>
      </c>
      <c r="R79" s="38">
        <v>1.680196</v>
      </c>
      <c r="S79" s="38">
        <v>1.6826190000000001</v>
      </c>
      <c r="T79" s="38">
        <v>1.684639</v>
      </c>
      <c r="U79" s="38">
        <v>1.6883490000000001</v>
      </c>
      <c r="V79" s="38">
        <v>1.695125</v>
      </c>
      <c r="W79" s="38">
        <v>1.7068909999999999</v>
      </c>
      <c r="X79" s="38">
        <v>1.717692</v>
      </c>
      <c r="Y79" s="38">
        <v>1.73045</v>
      </c>
      <c r="Z79" s="38">
        <v>1.7457689999999999</v>
      </c>
      <c r="AA79" s="38">
        <v>1.7589360000000001</v>
      </c>
      <c r="AB79" s="38">
        <v>1.7766649999999999</v>
      </c>
      <c r="AC79" s="38">
        <v>1.7950440000000001</v>
      </c>
      <c r="AD79" s="38">
        <v>1.812694</v>
      </c>
      <c r="AE79" s="38">
        <v>1.833566</v>
      </c>
      <c r="AF79" s="35">
        <v>6.3210000000000002E-3</v>
      </c>
      <c r="AG79" s="29"/>
    </row>
    <row r="80" spans="1:33" ht="15" customHeight="1">
      <c r="A80" s="34" t="s">
        <v>5229</v>
      </c>
      <c r="B80" s="37" t="s">
        <v>5228</v>
      </c>
      <c r="C80" s="38">
        <v>0.66562699999999997</v>
      </c>
      <c r="D80" s="38">
        <v>0.65749899999999994</v>
      </c>
      <c r="E80" s="38">
        <v>0.66666899999999996</v>
      </c>
      <c r="F80" s="38">
        <v>0.68124700000000005</v>
      </c>
      <c r="G80" s="38">
        <v>0.69316900000000004</v>
      </c>
      <c r="H80" s="38">
        <v>0.70242899999999997</v>
      </c>
      <c r="I80" s="38">
        <v>0.71000700000000005</v>
      </c>
      <c r="J80" s="38">
        <v>0.71553599999999995</v>
      </c>
      <c r="K80" s="38">
        <v>0.72045199999999998</v>
      </c>
      <c r="L80" s="38">
        <v>0.72542899999999999</v>
      </c>
      <c r="M80" s="38">
        <v>0.730105</v>
      </c>
      <c r="N80" s="38">
        <v>0.73323199999999999</v>
      </c>
      <c r="O80" s="38">
        <v>0.735904</v>
      </c>
      <c r="P80" s="38">
        <v>0.73823899999999998</v>
      </c>
      <c r="Q80" s="38">
        <v>0.740788</v>
      </c>
      <c r="R80" s="38">
        <v>0.74285599999999996</v>
      </c>
      <c r="S80" s="38">
        <v>0.74366299999999996</v>
      </c>
      <c r="T80" s="38">
        <v>0.74489700000000003</v>
      </c>
      <c r="U80" s="38">
        <v>0.74589700000000003</v>
      </c>
      <c r="V80" s="38">
        <v>0.74704199999999998</v>
      </c>
      <c r="W80" s="38">
        <v>0.74865400000000004</v>
      </c>
      <c r="X80" s="38">
        <v>0.75102800000000003</v>
      </c>
      <c r="Y80" s="38">
        <v>0.75422599999999995</v>
      </c>
      <c r="Z80" s="38">
        <v>0.756606</v>
      </c>
      <c r="AA80" s="38">
        <v>0.75668800000000003</v>
      </c>
      <c r="AB80" s="38">
        <v>0.75813200000000003</v>
      </c>
      <c r="AC80" s="38">
        <v>0.76105400000000001</v>
      </c>
      <c r="AD80" s="38">
        <v>0.76436300000000001</v>
      </c>
      <c r="AE80" s="38">
        <v>0.76713299999999995</v>
      </c>
      <c r="AF80" s="35">
        <v>5.0819999999999997E-3</v>
      </c>
      <c r="AG80" s="29"/>
    </row>
    <row r="81" spans="1:33" ht="12" customHeight="1">
      <c r="A81" s="34" t="s">
        <v>5227</v>
      </c>
      <c r="B81" s="37" t="s">
        <v>5226</v>
      </c>
      <c r="C81" s="38">
        <v>1.1665289999999999</v>
      </c>
      <c r="D81" s="38">
        <v>1.1180840000000001</v>
      </c>
      <c r="E81" s="38">
        <v>1.0967420000000001</v>
      </c>
      <c r="F81" s="38">
        <v>1.0777890000000001</v>
      </c>
      <c r="G81" s="38">
        <v>1.053604</v>
      </c>
      <c r="H81" s="38">
        <v>1.026656</v>
      </c>
      <c r="I81" s="38">
        <v>0.99876600000000004</v>
      </c>
      <c r="J81" s="38">
        <v>0.97128400000000004</v>
      </c>
      <c r="K81" s="38">
        <v>0.94479100000000005</v>
      </c>
      <c r="L81" s="38">
        <v>0.92290000000000005</v>
      </c>
      <c r="M81" s="38">
        <v>0.90390099999999995</v>
      </c>
      <c r="N81" s="38">
        <v>0.88105</v>
      </c>
      <c r="O81" s="38">
        <v>0.86056600000000005</v>
      </c>
      <c r="P81" s="38">
        <v>0.84034600000000004</v>
      </c>
      <c r="Q81" s="38">
        <v>0.82012499999999999</v>
      </c>
      <c r="R81" s="38">
        <v>0.79879900000000004</v>
      </c>
      <c r="S81" s="38">
        <v>0.77551099999999995</v>
      </c>
      <c r="T81" s="38">
        <v>0.75261400000000001</v>
      </c>
      <c r="U81" s="38">
        <v>0.73203600000000002</v>
      </c>
      <c r="V81" s="38">
        <v>0.71380699999999997</v>
      </c>
      <c r="W81" s="38">
        <v>0.69832300000000003</v>
      </c>
      <c r="X81" s="38">
        <v>0.68294299999999997</v>
      </c>
      <c r="Y81" s="38">
        <v>0.66856300000000002</v>
      </c>
      <c r="Z81" s="38">
        <v>0.65516399999999997</v>
      </c>
      <c r="AA81" s="38">
        <v>0.64053499999999997</v>
      </c>
      <c r="AB81" s="38">
        <v>0.62772799999999995</v>
      </c>
      <c r="AC81" s="38">
        <v>0.61534299999999997</v>
      </c>
      <c r="AD81" s="38">
        <v>0.60333199999999998</v>
      </c>
      <c r="AE81" s="38">
        <v>0.59254700000000005</v>
      </c>
      <c r="AF81" s="35">
        <v>-2.3900999999999999E-2</v>
      </c>
      <c r="AG81" s="29"/>
    </row>
    <row r="82" spans="1:33" ht="15" customHeight="1">
      <c r="A82" s="34" t="s">
        <v>5225</v>
      </c>
      <c r="B82" s="37" t="s">
        <v>5099</v>
      </c>
      <c r="C82" s="38">
        <v>0.56011500000000003</v>
      </c>
      <c r="D82" s="38">
        <v>0.55493300000000001</v>
      </c>
      <c r="E82" s="38">
        <v>0.56366799999999995</v>
      </c>
      <c r="F82" s="38">
        <v>0.57528999999999997</v>
      </c>
      <c r="G82" s="38">
        <v>0.583754</v>
      </c>
      <c r="H82" s="38">
        <v>0.58954399999999996</v>
      </c>
      <c r="I82" s="38">
        <v>0.59404199999999996</v>
      </c>
      <c r="J82" s="38">
        <v>0.59749699999999994</v>
      </c>
      <c r="K82" s="38">
        <v>0.60081499999999999</v>
      </c>
      <c r="L82" s="38">
        <v>0.60494700000000001</v>
      </c>
      <c r="M82" s="38">
        <v>0.60926800000000003</v>
      </c>
      <c r="N82" s="38">
        <v>0.61163299999999998</v>
      </c>
      <c r="O82" s="38">
        <v>0.61390199999999995</v>
      </c>
      <c r="P82" s="38">
        <v>0.61572099999999996</v>
      </c>
      <c r="Q82" s="38">
        <v>0.61733800000000005</v>
      </c>
      <c r="R82" s="38">
        <v>0.61818600000000001</v>
      </c>
      <c r="S82" s="38">
        <v>0.617672</v>
      </c>
      <c r="T82" s="38">
        <v>0.61723899999999998</v>
      </c>
      <c r="U82" s="38">
        <v>0.61680999999999997</v>
      </c>
      <c r="V82" s="38">
        <v>0.61690299999999998</v>
      </c>
      <c r="W82" s="38">
        <v>0.61767099999999997</v>
      </c>
      <c r="X82" s="38">
        <v>0.618726</v>
      </c>
      <c r="Y82" s="38">
        <v>0.62030300000000005</v>
      </c>
      <c r="Z82" s="38">
        <v>0.62162399999999995</v>
      </c>
      <c r="AA82" s="38">
        <v>0.62077099999999996</v>
      </c>
      <c r="AB82" s="38">
        <v>0.62115200000000004</v>
      </c>
      <c r="AC82" s="38">
        <v>0.62246100000000004</v>
      </c>
      <c r="AD82" s="38">
        <v>0.62402999999999997</v>
      </c>
      <c r="AE82" s="38">
        <v>0.62551599999999996</v>
      </c>
      <c r="AF82" s="35">
        <v>3.9519999999999998E-3</v>
      </c>
      <c r="AG82" s="29"/>
    </row>
    <row r="83" spans="1:33" ht="15" customHeight="1">
      <c r="A83" s="34" t="s">
        <v>5224</v>
      </c>
      <c r="B83" s="37" t="s">
        <v>5139</v>
      </c>
      <c r="C83" s="38">
        <v>1.3851530000000001</v>
      </c>
      <c r="D83" s="38">
        <v>1.339207</v>
      </c>
      <c r="E83" s="38">
        <v>1.331915</v>
      </c>
      <c r="F83" s="38">
        <v>1.332792</v>
      </c>
      <c r="G83" s="38">
        <v>1.3283799999999999</v>
      </c>
      <c r="H83" s="38">
        <v>1.3212189999999999</v>
      </c>
      <c r="I83" s="38">
        <v>1.3141320000000001</v>
      </c>
      <c r="J83" s="38">
        <v>1.308378</v>
      </c>
      <c r="K83" s="38">
        <v>1.2943530000000001</v>
      </c>
      <c r="L83" s="38">
        <v>1.2868710000000001</v>
      </c>
      <c r="M83" s="38">
        <v>1.2834669999999999</v>
      </c>
      <c r="N83" s="38">
        <v>1.2740020000000001</v>
      </c>
      <c r="O83" s="38">
        <v>1.2666729999999999</v>
      </c>
      <c r="P83" s="38">
        <v>1.258643</v>
      </c>
      <c r="Q83" s="38">
        <v>1.249258</v>
      </c>
      <c r="R83" s="38">
        <v>1.235217</v>
      </c>
      <c r="S83" s="38">
        <v>1.2160230000000001</v>
      </c>
      <c r="T83" s="38">
        <v>1.1938260000000001</v>
      </c>
      <c r="U83" s="38">
        <v>1.1843950000000001</v>
      </c>
      <c r="V83" s="38">
        <v>1.178803</v>
      </c>
      <c r="W83" s="38">
        <v>1.176833</v>
      </c>
      <c r="X83" s="38">
        <v>1.1747920000000001</v>
      </c>
      <c r="Y83" s="38">
        <v>1.1743619999999999</v>
      </c>
      <c r="Z83" s="38">
        <v>1.175478</v>
      </c>
      <c r="AA83" s="38">
        <v>1.174237</v>
      </c>
      <c r="AB83" s="38">
        <v>1.1766799999999999</v>
      </c>
      <c r="AC83" s="38">
        <v>1.179251</v>
      </c>
      <c r="AD83" s="38">
        <v>1.181748</v>
      </c>
      <c r="AE83" s="38">
        <v>1.186339</v>
      </c>
      <c r="AF83" s="35">
        <v>-5.5180000000000003E-3</v>
      </c>
      <c r="AG83" s="29"/>
    </row>
    <row r="84" spans="1:33" ht="15" customHeight="1">
      <c r="A84" s="34" t="s">
        <v>5223</v>
      </c>
      <c r="B84" s="37" t="s">
        <v>5145</v>
      </c>
      <c r="C84" s="38">
        <v>1.680609</v>
      </c>
      <c r="D84" s="38">
        <v>1.6483950000000001</v>
      </c>
      <c r="E84" s="38">
        <v>1.652382</v>
      </c>
      <c r="F84" s="38">
        <v>1.6577379999999999</v>
      </c>
      <c r="G84" s="38">
        <v>1.6549879999999999</v>
      </c>
      <c r="H84" s="38">
        <v>1.6490229999999999</v>
      </c>
      <c r="I84" s="38">
        <v>1.643127</v>
      </c>
      <c r="J84" s="38">
        <v>1.6391340000000001</v>
      </c>
      <c r="K84" s="38">
        <v>1.6363259999999999</v>
      </c>
      <c r="L84" s="38">
        <v>1.6420090000000001</v>
      </c>
      <c r="M84" s="38">
        <v>1.652495</v>
      </c>
      <c r="N84" s="38">
        <v>1.6559159999999999</v>
      </c>
      <c r="O84" s="38">
        <v>1.6626129999999999</v>
      </c>
      <c r="P84" s="38">
        <v>1.6673100000000001</v>
      </c>
      <c r="Q84" s="38">
        <v>1.6697979999999999</v>
      </c>
      <c r="R84" s="38">
        <v>1.6685019999999999</v>
      </c>
      <c r="S84" s="38">
        <v>1.66205</v>
      </c>
      <c r="T84" s="38">
        <v>1.654631</v>
      </c>
      <c r="U84" s="38">
        <v>1.6499239999999999</v>
      </c>
      <c r="V84" s="38">
        <v>1.649092</v>
      </c>
      <c r="W84" s="38">
        <v>1.65256</v>
      </c>
      <c r="X84" s="38">
        <v>1.6546829999999999</v>
      </c>
      <c r="Y84" s="38">
        <v>1.657877</v>
      </c>
      <c r="Z84" s="38">
        <v>1.662347</v>
      </c>
      <c r="AA84" s="38">
        <v>1.6622939999999999</v>
      </c>
      <c r="AB84" s="38">
        <v>1.6653009999999999</v>
      </c>
      <c r="AC84" s="38">
        <v>1.668507</v>
      </c>
      <c r="AD84" s="38">
        <v>1.6711590000000001</v>
      </c>
      <c r="AE84" s="38">
        <v>1.6755519999999999</v>
      </c>
      <c r="AF84" s="35">
        <v>-1.08E-4</v>
      </c>
      <c r="AG84" s="29"/>
    </row>
    <row r="85" spans="1:33" ht="15" customHeight="1">
      <c r="A85" s="34" t="s">
        <v>5222</v>
      </c>
      <c r="B85" s="37" t="s">
        <v>5221</v>
      </c>
      <c r="C85" s="38">
        <v>1.199797</v>
      </c>
      <c r="D85" s="38">
        <v>1.191255</v>
      </c>
      <c r="E85" s="38">
        <v>1.2061809999999999</v>
      </c>
      <c r="F85" s="38">
        <v>1.22292</v>
      </c>
      <c r="G85" s="38">
        <v>1.2333810000000001</v>
      </c>
      <c r="H85" s="38">
        <v>1.241554</v>
      </c>
      <c r="I85" s="38">
        <v>1.252292</v>
      </c>
      <c r="J85" s="38">
        <v>1.26457</v>
      </c>
      <c r="K85" s="38">
        <v>1.2816419999999999</v>
      </c>
      <c r="L85" s="38">
        <v>1.303904</v>
      </c>
      <c r="M85" s="38">
        <v>1.3311930000000001</v>
      </c>
      <c r="N85" s="38">
        <v>1.353154</v>
      </c>
      <c r="O85" s="38">
        <v>1.3792089999999999</v>
      </c>
      <c r="P85" s="38">
        <v>1.403213</v>
      </c>
      <c r="Q85" s="38">
        <v>1.427948</v>
      </c>
      <c r="R85" s="38">
        <v>1.4482139999999999</v>
      </c>
      <c r="S85" s="38">
        <v>1.466961</v>
      </c>
      <c r="T85" s="38">
        <v>1.4847030000000001</v>
      </c>
      <c r="U85" s="38">
        <v>1.5046360000000001</v>
      </c>
      <c r="V85" s="38">
        <v>1.526249</v>
      </c>
      <c r="W85" s="38">
        <v>1.553045</v>
      </c>
      <c r="X85" s="38">
        <v>1.579993</v>
      </c>
      <c r="Y85" s="38">
        <v>1.606792</v>
      </c>
      <c r="Z85" s="38">
        <v>1.6365209999999999</v>
      </c>
      <c r="AA85" s="38">
        <v>1.663424</v>
      </c>
      <c r="AB85" s="38">
        <v>1.69211</v>
      </c>
      <c r="AC85" s="38">
        <v>1.722647</v>
      </c>
      <c r="AD85" s="38">
        <v>1.7527060000000001</v>
      </c>
      <c r="AE85" s="38">
        <v>1.784721</v>
      </c>
      <c r="AF85" s="35">
        <v>1.4284E-2</v>
      </c>
      <c r="AG85" s="29"/>
    </row>
    <row r="86" spans="1:33" ht="15" customHeight="1">
      <c r="A86" s="34" t="s">
        <v>5220</v>
      </c>
      <c r="B86" s="37" t="s">
        <v>5219</v>
      </c>
      <c r="C86" s="38">
        <v>0.48664099999999999</v>
      </c>
      <c r="D86" s="38">
        <v>0.47493299999999999</v>
      </c>
      <c r="E86" s="38">
        <v>0.47370600000000002</v>
      </c>
      <c r="F86" s="38">
        <v>0.47342800000000002</v>
      </c>
      <c r="G86" s="38">
        <v>0.47195300000000001</v>
      </c>
      <c r="H86" s="38">
        <v>0.47022799999999998</v>
      </c>
      <c r="I86" s="38">
        <v>0.46917999999999999</v>
      </c>
      <c r="J86" s="38">
        <v>0.46936899999999998</v>
      </c>
      <c r="K86" s="38">
        <v>0.47152100000000002</v>
      </c>
      <c r="L86" s="38">
        <v>0.47550500000000001</v>
      </c>
      <c r="M86" s="38">
        <v>0.48146899999999998</v>
      </c>
      <c r="N86" s="38">
        <v>0.48541499999999999</v>
      </c>
      <c r="O86" s="38">
        <v>0.489541</v>
      </c>
      <c r="P86" s="38">
        <v>0.49359199999999998</v>
      </c>
      <c r="Q86" s="38">
        <v>0.49612699999999998</v>
      </c>
      <c r="R86" s="38">
        <v>0.49749599999999999</v>
      </c>
      <c r="S86" s="38">
        <v>0.49737999999999999</v>
      </c>
      <c r="T86" s="38">
        <v>0.49539499999999997</v>
      </c>
      <c r="U86" s="38">
        <v>0.49410900000000002</v>
      </c>
      <c r="V86" s="38">
        <v>0.49255900000000002</v>
      </c>
      <c r="W86" s="38">
        <v>0.49060900000000002</v>
      </c>
      <c r="X86" s="38">
        <v>0.48736800000000002</v>
      </c>
      <c r="Y86" s="38">
        <v>0.48358099999999998</v>
      </c>
      <c r="Z86" s="38">
        <v>0.47851700000000003</v>
      </c>
      <c r="AA86" s="38">
        <v>0.47126899999999999</v>
      </c>
      <c r="AB86" s="38">
        <v>0.46317900000000001</v>
      </c>
      <c r="AC86" s="38">
        <v>0.45341199999999998</v>
      </c>
      <c r="AD86" s="38">
        <v>0.44169000000000003</v>
      </c>
      <c r="AE86" s="38">
        <v>0.42777799999999999</v>
      </c>
      <c r="AF86" s="35">
        <v>-4.594E-3</v>
      </c>
      <c r="AG86" s="29"/>
    </row>
    <row r="87" spans="1:33" ht="15" customHeight="1">
      <c r="A87" s="34" t="s">
        <v>5218</v>
      </c>
      <c r="B87" s="37" t="s">
        <v>5217</v>
      </c>
      <c r="C87" s="38">
        <v>6.7029329999999998</v>
      </c>
      <c r="D87" s="38">
        <v>6.7639820000000004</v>
      </c>
      <c r="E87" s="38">
        <v>6.6732649999999998</v>
      </c>
      <c r="F87" s="38">
        <v>6.6010710000000001</v>
      </c>
      <c r="G87" s="38">
        <v>6.5525130000000003</v>
      </c>
      <c r="H87" s="38">
        <v>6.4934190000000003</v>
      </c>
      <c r="I87" s="38">
        <v>6.5174250000000002</v>
      </c>
      <c r="J87" s="38">
        <v>6.5444190000000004</v>
      </c>
      <c r="K87" s="38">
        <v>6.5843160000000003</v>
      </c>
      <c r="L87" s="38">
        <v>6.6424099999999999</v>
      </c>
      <c r="M87" s="38">
        <v>6.7164539999999997</v>
      </c>
      <c r="N87" s="38">
        <v>6.7699829999999999</v>
      </c>
      <c r="O87" s="38">
        <v>6.8342210000000003</v>
      </c>
      <c r="P87" s="38">
        <v>6.8922309999999998</v>
      </c>
      <c r="Q87" s="38">
        <v>6.9451619999999998</v>
      </c>
      <c r="R87" s="38">
        <v>6.9863479999999996</v>
      </c>
      <c r="S87" s="38">
        <v>7.0136019999999997</v>
      </c>
      <c r="T87" s="38">
        <v>7.0402370000000003</v>
      </c>
      <c r="U87" s="38">
        <v>7.0752300000000004</v>
      </c>
      <c r="V87" s="38">
        <v>7.1185939999999999</v>
      </c>
      <c r="W87" s="38">
        <v>7.1773170000000004</v>
      </c>
      <c r="X87" s="38">
        <v>7.2346490000000001</v>
      </c>
      <c r="Y87" s="38">
        <v>7.2981509999999998</v>
      </c>
      <c r="Z87" s="38">
        <v>7.3687659999999999</v>
      </c>
      <c r="AA87" s="38">
        <v>7.423457</v>
      </c>
      <c r="AB87" s="38">
        <v>7.4924809999999997</v>
      </c>
      <c r="AC87" s="38">
        <v>7.5656140000000001</v>
      </c>
      <c r="AD87" s="38">
        <v>7.6383260000000002</v>
      </c>
      <c r="AE87" s="38">
        <v>7.7191140000000003</v>
      </c>
      <c r="AF87" s="35">
        <v>5.0540000000000003E-3</v>
      </c>
      <c r="AG87" s="29"/>
    </row>
    <row r="88" spans="1:33" ht="15" customHeight="1">
      <c r="A88" s="34" t="s">
        <v>5216</v>
      </c>
      <c r="B88" s="33" t="s">
        <v>5215</v>
      </c>
      <c r="C88" s="39">
        <v>17.754155999999998</v>
      </c>
      <c r="D88" s="39">
        <v>17.402080999999999</v>
      </c>
      <c r="E88" s="39">
        <v>17.400341000000001</v>
      </c>
      <c r="F88" s="39">
        <v>17.413204</v>
      </c>
      <c r="G88" s="39">
        <v>17.397911000000001</v>
      </c>
      <c r="H88" s="39">
        <v>17.341473000000001</v>
      </c>
      <c r="I88" s="39">
        <v>17.359686</v>
      </c>
      <c r="J88" s="39">
        <v>17.374718000000001</v>
      </c>
      <c r="K88" s="39">
        <v>17.398925999999999</v>
      </c>
      <c r="L88" s="39">
        <v>17.475898999999998</v>
      </c>
      <c r="M88" s="39">
        <v>17.591631</v>
      </c>
      <c r="N88" s="39">
        <v>17.644290999999999</v>
      </c>
      <c r="O88" s="39">
        <v>17.721266</v>
      </c>
      <c r="P88" s="39">
        <v>17.784621999999999</v>
      </c>
      <c r="Q88" s="39">
        <v>17.837447999999998</v>
      </c>
      <c r="R88" s="39">
        <v>17.857437000000001</v>
      </c>
      <c r="S88" s="39">
        <v>17.836501999999999</v>
      </c>
      <c r="T88" s="39">
        <v>17.809168</v>
      </c>
      <c r="U88" s="39">
        <v>17.812183000000001</v>
      </c>
      <c r="V88" s="39">
        <v>17.839130000000001</v>
      </c>
      <c r="W88" s="39">
        <v>17.904491</v>
      </c>
      <c r="X88" s="39">
        <v>17.967663000000002</v>
      </c>
      <c r="Y88" s="39">
        <v>18.045218999999999</v>
      </c>
      <c r="Z88" s="39">
        <v>18.135093999999999</v>
      </c>
      <c r="AA88" s="39">
        <v>18.186043000000002</v>
      </c>
      <c r="AB88" s="39">
        <v>18.270209999999999</v>
      </c>
      <c r="AC88" s="39">
        <v>18.364429000000001</v>
      </c>
      <c r="AD88" s="39">
        <v>18.455210000000001</v>
      </c>
      <c r="AE88" s="39">
        <v>18.560137000000001</v>
      </c>
      <c r="AF88" s="31">
        <v>1.5870000000000001E-3</v>
      </c>
      <c r="AG88" s="29"/>
    </row>
    <row r="89" spans="1:33" ht="15" customHeight="1">
      <c r="A89" s="34" t="s">
        <v>5214</v>
      </c>
      <c r="B89" s="37" t="s">
        <v>5075</v>
      </c>
      <c r="C89" s="38">
        <v>0.120598</v>
      </c>
      <c r="D89" s="38">
        <v>0.141293</v>
      </c>
      <c r="E89" s="38">
        <v>0.15779599999999999</v>
      </c>
      <c r="F89" s="38">
        <v>0.17105699999999999</v>
      </c>
      <c r="G89" s="38">
        <v>0.17847299999999999</v>
      </c>
      <c r="H89" s="38">
        <v>0.18718199999999999</v>
      </c>
      <c r="I89" s="38">
        <v>0.19470299999999999</v>
      </c>
      <c r="J89" s="38">
        <v>0.20632900000000001</v>
      </c>
      <c r="K89" s="38">
        <v>0.214666</v>
      </c>
      <c r="L89" s="38">
        <v>0.22300600000000001</v>
      </c>
      <c r="M89" s="38">
        <v>0.23046800000000001</v>
      </c>
      <c r="N89" s="38">
        <v>0.24135400000000001</v>
      </c>
      <c r="O89" s="38">
        <v>0.25285299999999999</v>
      </c>
      <c r="P89" s="38">
        <v>0.25964599999999999</v>
      </c>
      <c r="Q89" s="38">
        <v>0.27190500000000001</v>
      </c>
      <c r="R89" s="38">
        <v>0.27923599999999998</v>
      </c>
      <c r="S89" s="38">
        <v>0.28964899999999999</v>
      </c>
      <c r="T89" s="38">
        <v>0.299346</v>
      </c>
      <c r="U89" s="38">
        <v>0.30795899999999998</v>
      </c>
      <c r="V89" s="38">
        <v>0.31545000000000001</v>
      </c>
      <c r="W89" s="38">
        <v>0.32173499999999999</v>
      </c>
      <c r="X89" s="38">
        <v>0.32723600000000003</v>
      </c>
      <c r="Y89" s="38">
        <v>0.33231100000000002</v>
      </c>
      <c r="Z89" s="38">
        <v>0.33729500000000001</v>
      </c>
      <c r="AA89" s="38">
        <v>0.34577400000000003</v>
      </c>
      <c r="AB89" s="38">
        <v>0.34869</v>
      </c>
      <c r="AC89" s="38">
        <v>0.35358000000000001</v>
      </c>
      <c r="AD89" s="38">
        <v>0.35607299999999997</v>
      </c>
      <c r="AE89" s="38">
        <v>0.35779100000000003</v>
      </c>
      <c r="AF89" s="35">
        <v>3.9602999999999999E-2</v>
      </c>
      <c r="AG89" s="29"/>
    </row>
    <row r="90" spans="1:33" ht="15" customHeight="1">
      <c r="A90" s="34" t="s">
        <v>5213</v>
      </c>
      <c r="B90" s="33" t="s">
        <v>5036</v>
      </c>
      <c r="C90" s="39">
        <v>17.633558000000001</v>
      </c>
      <c r="D90" s="39">
        <v>17.260786</v>
      </c>
      <c r="E90" s="39">
        <v>17.242546000000001</v>
      </c>
      <c r="F90" s="39">
        <v>17.242146000000002</v>
      </c>
      <c r="G90" s="39">
        <v>17.219439999999999</v>
      </c>
      <c r="H90" s="39">
        <v>17.154288999999999</v>
      </c>
      <c r="I90" s="39">
        <v>17.164981999999998</v>
      </c>
      <c r="J90" s="39">
        <v>17.168388</v>
      </c>
      <c r="K90" s="39">
        <v>17.184260999999999</v>
      </c>
      <c r="L90" s="39">
        <v>17.252894999999999</v>
      </c>
      <c r="M90" s="39">
        <v>17.361163999999999</v>
      </c>
      <c r="N90" s="39">
        <v>17.402934999999999</v>
      </c>
      <c r="O90" s="39">
        <v>17.468412000000001</v>
      </c>
      <c r="P90" s="39">
        <v>17.524977</v>
      </c>
      <c r="Q90" s="39">
        <v>17.565542000000001</v>
      </c>
      <c r="R90" s="39">
        <v>17.578201</v>
      </c>
      <c r="S90" s="39">
        <v>17.546852000000001</v>
      </c>
      <c r="T90" s="39">
        <v>17.509823000000001</v>
      </c>
      <c r="U90" s="39">
        <v>17.504223</v>
      </c>
      <c r="V90" s="39">
        <v>17.523678</v>
      </c>
      <c r="W90" s="39">
        <v>17.582756</v>
      </c>
      <c r="X90" s="39">
        <v>17.640426999999999</v>
      </c>
      <c r="Y90" s="39">
        <v>17.712906</v>
      </c>
      <c r="Z90" s="39">
        <v>17.797798</v>
      </c>
      <c r="AA90" s="39">
        <v>17.840267000000001</v>
      </c>
      <c r="AB90" s="39">
        <v>17.921520000000001</v>
      </c>
      <c r="AC90" s="39">
        <v>18.010849</v>
      </c>
      <c r="AD90" s="39">
        <v>18.099136000000001</v>
      </c>
      <c r="AE90" s="39">
        <v>18.202347</v>
      </c>
      <c r="AF90" s="31">
        <v>1.134E-3</v>
      </c>
      <c r="AG90" s="29"/>
    </row>
    <row r="91" spans="1:33" ht="15" customHeight="1">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row>
    <row r="92" spans="1:33" ht="12" customHeight="1">
      <c r="B92" s="33" t="s">
        <v>5212</v>
      </c>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row>
    <row r="93" spans="1:33" ht="15" customHeight="1">
      <c r="A93" s="34" t="s">
        <v>5211</v>
      </c>
      <c r="B93" s="37" t="s">
        <v>5210</v>
      </c>
      <c r="C93" s="38">
        <v>7.3909000000000002E-2</v>
      </c>
      <c r="D93" s="38">
        <v>7.4150999999999995E-2</v>
      </c>
      <c r="E93" s="38">
        <v>7.5856999999999994E-2</v>
      </c>
      <c r="F93" s="38">
        <v>7.6402999999999999E-2</v>
      </c>
      <c r="G93" s="38">
        <v>7.6691999999999996E-2</v>
      </c>
      <c r="H93" s="38">
        <v>7.6408000000000004E-2</v>
      </c>
      <c r="I93" s="38">
        <v>7.5979000000000005E-2</v>
      </c>
      <c r="J93" s="38">
        <v>7.5915999999999997E-2</v>
      </c>
      <c r="K93" s="38">
        <v>7.5720999999999997E-2</v>
      </c>
      <c r="L93" s="38">
        <v>7.5837000000000002E-2</v>
      </c>
      <c r="M93" s="38">
        <v>7.5840000000000005E-2</v>
      </c>
      <c r="N93" s="38">
        <v>7.5718999999999995E-2</v>
      </c>
      <c r="O93" s="38">
        <v>7.5756000000000004E-2</v>
      </c>
      <c r="P93" s="38">
        <v>7.5952000000000006E-2</v>
      </c>
      <c r="Q93" s="38">
        <v>7.5837000000000002E-2</v>
      </c>
      <c r="R93" s="38">
        <v>7.5588000000000002E-2</v>
      </c>
      <c r="S93" s="38">
        <v>7.4880000000000002E-2</v>
      </c>
      <c r="T93" s="38">
        <v>7.4638999999999997E-2</v>
      </c>
      <c r="U93" s="38">
        <v>7.4340000000000003E-2</v>
      </c>
      <c r="V93" s="38">
        <v>7.4428999999999995E-2</v>
      </c>
      <c r="W93" s="38">
        <v>7.4297000000000002E-2</v>
      </c>
      <c r="X93" s="38">
        <v>7.4152999999999997E-2</v>
      </c>
      <c r="Y93" s="38">
        <v>7.4107000000000006E-2</v>
      </c>
      <c r="Z93" s="38">
        <v>7.4011999999999994E-2</v>
      </c>
      <c r="AA93" s="38">
        <v>7.3801000000000005E-2</v>
      </c>
      <c r="AB93" s="38">
        <v>7.3764999999999997E-2</v>
      </c>
      <c r="AC93" s="38">
        <v>7.3537000000000005E-2</v>
      </c>
      <c r="AD93" s="38">
        <v>7.3493000000000003E-2</v>
      </c>
      <c r="AE93" s="38">
        <v>7.3126999999999998E-2</v>
      </c>
      <c r="AF93" s="35">
        <v>-3.8000000000000002E-4</v>
      </c>
      <c r="AG93" s="29"/>
    </row>
    <row r="94" spans="1:33" ht="15" customHeight="1">
      <c r="A94" s="34" t="s">
        <v>5209</v>
      </c>
      <c r="B94" s="37" t="s">
        <v>5029</v>
      </c>
      <c r="C94" s="38">
        <v>0.26181500000000002</v>
      </c>
      <c r="D94" s="38">
        <v>0.30804399999999998</v>
      </c>
      <c r="E94" s="38">
        <v>0.34912500000000002</v>
      </c>
      <c r="F94" s="38">
        <v>0.37846299999999999</v>
      </c>
      <c r="G94" s="38">
        <v>0.39390900000000001</v>
      </c>
      <c r="H94" s="38">
        <v>0.41461999999999999</v>
      </c>
      <c r="I94" s="38">
        <v>0.43187599999999998</v>
      </c>
      <c r="J94" s="38">
        <v>0.46030500000000002</v>
      </c>
      <c r="K94" s="38">
        <v>0.480624</v>
      </c>
      <c r="L94" s="38">
        <v>0.50182800000000005</v>
      </c>
      <c r="M94" s="38">
        <v>0.51975400000000005</v>
      </c>
      <c r="N94" s="38">
        <v>0.54557999999999995</v>
      </c>
      <c r="O94" s="38">
        <v>0.57357999999999998</v>
      </c>
      <c r="P94" s="38">
        <v>0.59170900000000004</v>
      </c>
      <c r="Q94" s="38">
        <v>0.62073800000000001</v>
      </c>
      <c r="R94" s="38">
        <v>0.63733600000000001</v>
      </c>
      <c r="S94" s="38">
        <v>0.65883999999999998</v>
      </c>
      <c r="T94" s="38">
        <v>0.68191400000000002</v>
      </c>
      <c r="U94" s="38">
        <v>0.70109399999999999</v>
      </c>
      <c r="V94" s="38">
        <v>0.72085200000000005</v>
      </c>
      <c r="W94" s="38">
        <v>0.73541500000000004</v>
      </c>
      <c r="X94" s="38">
        <v>0.74840499999999999</v>
      </c>
      <c r="Y94" s="38">
        <v>0.76118200000000003</v>
      </c>
      <c r="Z94" s="38">
        <v>0.77283400000000002</v>
      </c>
      <c r="AA94" s="38">
        <v>0.79308599999999996</v>
      </c>
      <c r="AB94" s="38">
        <v>0.80096900000000004</v>
      </c>
      <c r="AC94" s="38">
        <v>0.81140100000000004</v>
      </c>
      <c r="AD94" s="38">
        <v>0.818581</v>
      </c>
      <c r="AE94" s="38">
        <v>0.81918100000000005</v>
      </c>
      <c r="AF94" s="35">
        <v>4.1578999999999998E-2</v>
      </c>
      <c r="AG94" s="29"/>
    </row>
    <row r="95" spans="1:33" ht="15" customHeight="1">
      <c r="A95" s="34" t="s">
        <v>5208</v>
      </c>
      <c r="B95" s="37" t="s">
        <v>5027</v>
      </c>
      <c r="C95" s="38">
        <v>6.7920000000000003E-3</v>
      </c>
      <c r="D95" s="38">
        <v>6.7889999999999999E-3</v>
      </c>
      <c r="E95" s="38">
        <v>6.8490000000000001E-3</v>
      </c>
      <c r="F95" s="38">
        <v>6.7939999999999997E-3</v>
      </c>
      <c r="G95" s="38">
        <v>6.7299999999999999E-3</v>
      </c>
      <c r="H95" s="38">
        <v>6.7140000000000003E-3</v>
      </c>
      <c r="I95" s="38">
        <v>6.7320000000000001E-3</v>
      </c>
      <c r="J95" s="38">
        <v>6.796E-3</v>
      </c>
      <c r="K95" s="38">
        <v>6.7819999999999998E-3</v>
      </c>
      <c r="L95" s="38">
        <v>6.8199999999999997E-3</v>
      </c>
      <c r="M95" s="38">
        <v>6.8349999999999999E-3</v>
      </c>
      <c r="N95" s="38">
        <v>6.8360000000000001E-3</v>
      </c>
      <c r="O95" s="38">
        <v>6.8570000000000002E-3</v>
      </c>
      <c r="P95" s="38">
        <v>6.9030000000000003E-3</v>
      </c>
      <c r="Q95" s="38">
        <v>6.914E-3</v>
      </c>
      <c r="R95" s="38">
        <v>6.8830000000000002E-3</v>
      </c>
      <c r="S95" s="38">
        <v>6.7999999999999996E-3</v>
      </c>
      <c r="T95" s="38">
        <v>6.8079999999999998E-3</v>
      </c>
      <c r="U95" s="38">
        <v>6.7809999999999997E-3</v>
      </c>
      <c r="V95" s="38">
        <v>6.8040000000000002E-3</v>
      </c>
      <c r="W95" s="38">
        <v>6.803E-3</v>
      </c>
      <c r="X95" s="38">
        <v>6.7920000000000003E-3</v>
      </c>
      <c r="Y95" s="38">
        <v>6.783E-3</v>
      </c>
      <c r="Z95" s="38">
        <v>6.7689999999999998E-3</v>
      </c>
      <c r="AA95" s="38">
        <v>6.7650000000000002E-3</v>
      </c>
      <c r="AB95" s="38">
        <v>6.7669999999999996E-3</v>
      </c>
      <c r="AC95" s="38">
        <v>6.7600000000000004E-3</v>
      </c>
      <c r="AD95" s="38">
        <v>6.7539999999999996E-3</v>
      </c>
      <c r="AE95" s="38">
        <v>6.7429999999999999E-3</v>
      </c>
      <c r="AF95" s="35">
        <v>-2.5700000000000001E-4</v>
      </c>
      <c r="AG95" s="29"/>
    </row>
    <row r="96" spans="1:33" ht="15" customHeight="1">
      <c r="A96" s="34" t="s">
        <v>5207</v>
      </c>
      <c r="B96" s="33" t="s">
        <v>2868</v>
      </c>
      <c r="C96" s="39">
        <v>0.34251599999999999</v>
      </c>
      <c r="D96" s="39">
        <v>0.388984</v>
      </c>
      <c r="E96" s="39">
        <v>0.43183100000000002</v>
      </c>
      <c r="F96" s="39">
        <v>0.46165899999999999</v>
      </c>
      <c r="G96" s="39">
        <v>0.47733100000000001</v>
      </c>
      <c r="H96" s="39">
        <v>0.49774299999999999</v>
      </c>
      <c r="I96" s="39">
        <v>0.51458599999999999</v>
      </c>
      <c r="J96" s="39">
        <v>0.54301699999999997</v>
      </c>
      <c r="K96" s="39">
        <v>0.56312700000000004</v>
      </c>
      <c r="L96" s="39">
        <v>0.584484</v>
      </c>
      <c r="M96" s="39">
        <v>0.60242899999999999</v>
      </c>
      <c r="N96" s="39">
        <v>0.628135</v>
      </c>
      <c r="O96" s="39">
        <v>0.65619300000000003</v>
      </c>
      <c r="P96" s="39">
        <v>0.67456300000000002</v>
      </c>
      <c r="Q96" s="39">
        <v>0.70348900000000003</v>
      </c>
      <c r="R96" s="39">
        <v>0.71980699999999997</v>
      </c>
      <c r="S96" s="39">
        <v>0.74051999999999996</v>
      </c>
      <c r="T96" s="39">
        <v>0.76336199999999999</v>
      </c>
      <c r="U96" s="39">
        <v>0.78221499999999999</v>
      </c>
      <c r="V96" s="39">
        <v>0.80208500000000005</v>
      </c>
      <c r="W96" s="39">
        <v>0.81651499999999999</v>
      </c>
      <c r="X96" s="39">
        <v>0.829349</v>
      </c>
      <c r="Y96" s="39">
        <v>0.84207200000000004</v>
      </c>
      <c r="Z96" s="39">
        <v>0.85361600000000004</v>
      </c>
      <c r="AA96" s="39">
        <v>0.87365199999999998</v>
      </c>
      <c r="AB96" s="39">
        <v>0.88150099999999998</v>
      </c>
      <c r="AC96" s="39">
        <v>0.89169900000000002</v>
      </c>
      <c r="AD96" s="39">
        <v>0.89882799999999996</v>
      </c>
      <c r="AE96" s="39">
        <v>0.89905100000000004</v>
      </c>
      <c r="AF96" s="31">
        <v>3.5066E-2</v>
      </c>
      <c r="AG96" s="29"/>
    </row>
    <row r="97" spans="1:33" ht="15" customHeight="1">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1:33" ht="15" customHeight="1">
      <c r="B98" s="33" t="s">
        <v>5025</v>
      </c>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1:33" ht="15" customHeight="1">
      <c r="A99" s="34" t="s">
        <v>5206</v>
      </c>
      <c r="B99" s="37" t="s">
        <v>5012</v>
      </c>
      <c r="C99" s="53">
        <v>6198</v>
      </c>
      <c r="D99" s="53">
        <v>6420</v>
      </c>
      <c r="E99" s="53">
        <v>5972</v>
      </c>
      <c r="F99" s="53">
        <v>5949</v>
      </c>
      <c r="G99" s="53">
        <v>5925</v>
      </c>
      <c r="H99" s="53">
        <v>5902</v>
      </c>
      <c r="I99" s="53">
        <v>5878</v>
      </c>
      <c r="J99" s="53">
        <v>5854</v>
      </c>
      <c r="K99" s="53">
        <v>5830</v>
      </c>
      <c r="L99" s="53">
        <v>5807</v>
      </c>
      <c r="M99" s="53">
        <v>5783</v>
      </c>
      <c r="N99" s="53">
        <v>5759</v>
      </c>
      <c r="O99" s="53">
        <v>5735</v>
      </c>
      <c r="P99" s="53">
        <v>5711</v>
      </c>
      <c r="Q99" s="53">
        <v>5687</v>
      </c>
      <c r="R99" s="53">
        <v>5663</v>
      </c>
      <c r="S99" s="53">
        <v>5639</v>
      </c>
      <c r="T99" s="53">
        <v>5615</v>
      </c>
      <c r="U99" s="53">
        <v>5591</v>
      </c>
      <c r="V99" s="53">
        <v>5567</v>
      </c>
      <c r="W99" s="53">
        <v>5543</v>
      </c>
      <c r="X99" s="53">
        <v>5519</v>
      </c>
      <c r="Y99" s="53">
        <v>5495</v>
      </c>
      <c r="Z99" s="53">
        <v>5471</v>
      </c>
      <c r="AA99" s="53">
        <v>5447</v>
      </c>
      <c r="AB99" s="53">
        <v>5423</v>
      </c>
      <c r="AC99" s="53">
        <v>5399</v>
      </c>
      <c r="AD99" s="53">
        <v>5374</v>
      </c>
      <c r="AE99" s="53">
        <v>5350</v>
      </c>
      <c r="AF99" s="35">
        <v>-5.241E-3</v>
      </c>
      <c r="AG99" s="29"/>
    </row>
    <row r="100" spans="1:33" ht="15" customHeight="1">
      <c r="A100" s="34" t="s">
        <v>5205</v>
      </c>
      <c r="B100" s="37" t="s">
        <v>5010</v>
      </c>
      <c r="C100" s="53">
        <v>5742</v>
      </c>
      <c r="D100" s="53">
        <v>5779</v>
      </c>
      <c r="E100" s="53">
        <v>5348</v>
      </c>
      <c r="F100" s="53">
        <v>5325</v>
      </c>
      <c r="G100" s="53">
        <v>5303</v>
      </c>
      <c r="H100" s="53">
        <v>5281</v>
      </c>
      <c r="I100" s="53">
        <v>5259</v>
      </c>
      <c r="J100" s="53">
        <v>5236</v>
      </c>
      <c r="K100" s="53">
        <v>5214</v>
      </c>
      <c r="L100" s="53">
        <v>5192</v>
      </c>
      <c r="M100" s="53">
        <v>5169</v>
      </c>
      <c r="N100" s="53">
        <v>5147</v>
      </c>
      <c r="O100" s="53">
        <v>5125</v>
      </c>
      <c r="P100" s="53">
        <v>5102</v>
      </c>
      <c r="Q100" s="53">
        <v>5080</v>
      </c>
      <c r="R100" s="53">
        <v>5058</v>
      </c>
      <c r="S100" s="53">
        <v>5036</v>
      </c>
      <c r="T100" s="53">
        <v>5013</v>
      </c>
      <c r="U100" s="53">
        <v>4991</v>
      </c>
      <c r="V100" s="53">
        <v>4969</v>
      </c>
      <c r="W100" s="53">
        <v>4947</v>
      </c>
      <c r="X100" s="53">
        <v>4924</v>
      </c>
      <c r="Y100" s="53">
        <v>4902</v>
      </c>
      <c r="Z100" s="53">
        <v>4880</v>
      </c>
      <c r="AA100" s="53">
        <v>4858</v>
      </c>
      <c r="AB100" s="53">
        <v>4835</v>
      </c>
      <c r="AC100" s="53">
        <v>4813</v>
      </c>
      <c r="AD100" s="53">
        <v>4791</v>
      </c>
      <c r="AE100" s="53">
        <v>4769</v>
      </c>
      <c r="AF100" s="35">
        <v>-6.6090000000000003E-3</v>
      </c>
      <c r="AG100" s="29"/>
    </row>
    <row r="101" spans="1:33" ht="12" customHeight="1">
      <c r="A101" s="34" t="s">
        <v>5204</v>
      </c>
      <c r="B101" s="37" t="s">
        <v>5008</v>
      </c>
      <c r="C101" s="53">
        <v>6427</v>
      </c>
      <c r="D101" s="53">
        <v>6306</v>
      </c>
      <c r="E101" s="53">
        <v>5982</v>
      </c>
      <c r="F101" s="53">
        <v>5967</v>
      </c>
      <c r="G101" s="53">
        <v>5953</v>
      </c>
      <c r="H101" s="53">
        <v>5938</v>
      </c>
      <c r="I101" s="53">
        <v>5923</v>
      </c>
      <c r="J101" s="53">
        <v>5908</v>
      </c>
      <c r="K101" s="53">
        <v>5893</v>
      </c>
      <c r="L101" s="53">
        <v>5879</v>
      </c>
      <c r="M101" s="53">
        <v>5864</v>
      </c>
      <c r="N101" s="53">
        <v>5849</v>
      </c>
      <c r="O101" s="53">
        <v>5834</v>
      </c>
      <c r="P101" s="53">
        <v>5819</v>
      </c>
      <c r="Q101" s="53">
        <v>5804</v>
      </c>
      <c r="R101" s="53">
        <v>5790</v>
      </c>
      <c r="S101" s="53">
        <v>5775</v>
      </c>
      <c r="T101" s="53">
        <v>5760</v>
      </c>
      <c r="U101" s="53">
        <v>5745</v>
      </c>
      <c r="V101" s="53">
        <v>5730</v>
      </c>
      <c r="W101" s="53">
        <v>5715</v>
      </c>
      <c r="X101" s="53">
        <v>5701</v>
      </c>
      <c r="Y101" s="53">
        <v>5686</v>
      </c>
      <c r="Z101" s="53">
        <v>5671</v>
      </c>
      <c r="AA101" s="53">
        <v>5656</v>
      </c>
      <c r="AB101" s="53">
        <v>5641</v>
      </c>
      <c r="AC101" s="53">
        <v>5626</v>
      </c>
      <c r="AD101" s="53">
        <v>5611</v>
      </c>
      <c r="AE101" s="53">
        <v>5597</v>
      </c>
      <c r="AF101" s="35">
        <v>-4.9259999999999998E-3</v>
      </c>
      <c r="AG101" s="29"/>
    </row>
    <row r="102" spans="1:33" ht="12" customHeight="1">
      <c r="A102" s="34" t="s">
        <v>5203</v>
      </c>
      <c r="B102" s="37" t="s">
        <v>5006</v>
      </c>
      <c r="C102" s="53">
        <v>6845</v>
      </c>
      <c r="D102" s="53">
        <v>6601</v>
      </c>
      <c r="E102" s="53">
        <v>6349</v>
      </c>
      <c r="F102" s="53">
        <v>6340</v>
      </c>
      <c r="G102" s="53">
        <v>6330</v>
      </c>
      <c r="H102" s="53">
        <v>6321</v>
      </c>
      <c r="I102" s="53">
        <v>6311</v>
      </c>
      <c r="J102" s="53">
        <v>6301</v>
      </c>
      <c r="K102" s="53">
        <v>6291</v>
      </c>
      <c r="L102" s="53">
        <v>6281</v>
      </c>
      <c r="M102" s="53">
        <v>6271</v>
      </c>
      <c r="N102" s="53">
        <v>6261</v>
      </c>
      <c r="O102" s="53">
        <v>6250</v>
      </c>
      <c r="P102" s="53">
        <v>6240</v>
      </c>
      <c r="Q102" s="53">
        <v>6230</v>
      </c>
      <c r="R102" s="53">
        <v>6219</v>
      </c>
      <c r="S102" s="53">
        <v>6209</v>
      </c>
      <c r="T102" s="53">
        <v>6198</v>
      </c>
      <c r="U102" s="53">
        <v>6188</v>
      </c>
      <c r="V102" s="53">
        <v>6177</v>
      </c>
      <c r="W102" s="53">
        <v>6167</v>
      </c>
      <c r="X102" s="53">
        <v>6156</v>
      </c>
      <c r="Y102" s="53">
        <v>6145</v>
      </c>
      <c r="Z102" s="53">
        <v>6135</v>
      </c>
      <c r="AA102" s="53">
        <v>6124</v>
      </c>
      <c r="AB102" s="53">
        <v>6113</v>
      </c>
      <c r="AC102" s="53">
        <v>6103</v>
      </c>
      <c r="AD102" s="53">
        <v>6092</v>
      </c>
      <c r="AE102" s="53">
        <v>6081</v>
      </c>
      <c r="AF102" s="35">
        <v>-4.2180000000000004E-3</v>
      </c>
      <c r="AG102" s="29"/>
    </row>
    <row r="103" spans="1:33" ht="15" customHeight="1">
      <c r="A103" s="34" t="s">
        <v>5202</v>
      </c>
      <c r="B103" s="37" t="s">
        <v>5004</v>
      </c>
      <c r="C103" s="53">
        <v>2566</v>
      </c>
      <c r="D103" s="53">
        <v>2600</v>
      </c>
      <c r="E103" s="53">
        <v>2375</v>
      </c>
      <c r="F103" s="53">
        <v>2358</v>
      </c>
      <c r="G103" s="53">
        <v>2342</v>
      </c>
      <c r="H103" s="53">
        <v>2326</v>
      </c>
      <c r="I103" s="53">
        <v>2310</v>
      </c>
      <c r="J103" s="53">
        <v>2294</v>
      </c>
      <c r="K103" s="53">
        <v>2277</v>
      </c>
      <c r="L103" s="53">
        <v>2261</v>
      </c>
      <c r="M103" s="53">
        <v>2245</v>
      </c>
      <c r="N103" s="53">
        <v>2229</v>
      </c>
      <c r="O103" s="53">
        <v>2213</v>
      </c>
      <c r="P103" s="53">
        <v>2197</v>
      </c>
      <c r="Q103" s="53">
        <v>2180</v>
      </c>
      <c r="R103" s="53">
        <v>2164</v>
      </c>
      <c r="S103" s="53">
        <v>2148</v>
      </c>
      <c r="T103" s="53">
        <v>2132</v>
      </c>
      <c r="U103" s="53">
        <v>2116</v>
      </c>
      <c r="V103" s="53">
        <v>2100</v>
      </c>
      <c r="W103" s="53">
        <v>2084</v>
      </c>
      <c r="X103" s="53">
        <v>2068</v>
      </c>
      <c r="Y103" s="53">
        <v>2052</v>
      </c>
      <c r="Z103" s="53">
        <v>2036</v>
      </c>
      <c r="AA103" s="53">
        <v>2020</v>
      </c>
      <c r="AB103" s="53">
        <v>2005</v>
      </c>
      <c r="AC103" s="53">
        <v>1989</v>
      </c>
      <c r="AD103" s="53">
        <v>1973</v>
      </c>
      <c r="AE103" s="53">
        <v>1957</v>
      </c>
      <c r="AF103" s="35">
        <v>-9.6299999999999997E-3</v>
      </c>
      <c r="AG103" s="29"/>
    </row>
    <row r="104" spans="1:33" ht="15" customHeight="1">
      <c r="A104" s="34" t="s">
        <v>5201</v>
      </c>
      <c r="B104" s="37" t="s">
        <v>5002</v>
      </c>
      <c r="C104" s="53">
        <v>3487</v>
      </c>
      <c r="D104" s="53">
        <v>3442</v>
      </c>
      <c r="E104" s="53">
        <v>3180</v>
      </c>
      <c r="F104" s="53">
        <v>3168</v>
      </c>
      <c r="G104" s="53">
        <v>3156</v>
      </c>
      <c r="H104" s="53">
        <v>3144</v>
      </c>
      <c r="I104" s="53">
        <v>3131</v>
      </c>
      <c r="J104" s="53">
        <v>3119</v>
      </c>
      <c r="K104" s="53">
        <v>3106</v>
      </c>
      <c r="L104" s="53">
        <v>3094</v>
      </c>
      <c r="M104" s="53">
        <v>3081</v>
      </c>
      <c r="N104" s="53">
        <v>3069</v>
      </c>
      <c r="O104" s="53">
        <v>3056</v>
      </c>
      <c r="P104" s="53">
        <v>3043</v>
      </c>
      <c r="Q104" s="53">
        <v>3031</v>
      </c>
      <c r="R104" s="53">
        <v>3018</v>
      </c>
      <c r="S104" s="53">
        <v>3005</v>
      </c>
      <c r="T104" s="53">
        <v>2992</v>
      </c>
      <c r="U104" s="53">
        <v>2980</v>
      </c>
      <c r="V104" s="53">
        <v>2967</v>
      </c>
      <c r="W104" s="53">
        <v>2954</v>
      </c>
      <c r="X104" s="53">
        <v>2941</v>
      </c>
      <c r="Y104" s="53">
        <v>2929</v>
      </c>
      <c r="Z104" s="53">
        <v>2916</v>
      </c>
      <c r="AA104" s="53">
        <v>2903</v>
      </c>
      <c r="AB104" s="53">
        <v>2890</v>
      </c>
      <c r="AC104" s="53">
        <v>2877</v>
      </c>
      <c r="AD104" s="53">
        <v>2865</v>
      </c>
      <c r="AE104" s="53">
        <v>2852</v>
      </c>
      <c r="AF104" s="35">
        <v>-7.1539999999999998E-3</v>
      </c>
      <c r="AG104" s="29"/>
    </row>
    <row r="105" spans="1:33" ht="15" customHeight="1">
      <c r="A105" s="34" t="s">
        <v>5200</v>
      </c>
      <c r="B105" s="37" t="s">
        <v>5000</v>
      </c>
      <c r="C105" s="53">
        <v>2195</v>
      </c>
      <c r="D105" s="53">
        <v>2056</v>
      </c>
      <c r="E105" s="53">
        <v>1942</v>
      </c>
      <c r="F105" s="53">
        <v>1934</v>
      </c>
      <c r="G105" s="53">
        <v>1925</v>
      </c>
      <c r="H105" s="53">
        <v>1916</v>
      </c>
      <c r="I105" s="53">
        <v>1908</v>
      </c>
      <c r="J105" s="53">
        <v>1899</v>
      </c>
      <c r="K105" s="53">
        <v>1891</v>
      </c>
      <c r="L105" s="53">
        <v>1882</v>
      </c>
      <c r="M105" s="53">
        <v>1874</v>
      </c>
      <c r="N105" s="53">
        <v>1865</v>
      </c>
      <c r="O105" s="53">
        <v>1857</v>
      </c>
      <c r="P105" s="53">
        <v>1849</v>
      </c>
      <c r="Q105" s="53">
        <v>1840</v>
      </c>
      <c r="R105" s="53">
        <v>1832</v>
      </c>
      <c r="S105" s="53">
        <v>1824</v>
      </c>
      <c r="T105" s="53">
        <v>1815</v>
      </c>
      <c r="U105" s="53">
        <v>1807</v>
      </c>
      <c r="V105" s="53">
        <v>1799</v>
      </c>
      <c r="W105" s="53">
        <v>1791</v>
      </c>
      <c r="X105" s="53">
        <v>1783</v>
      </c>
      <c r="Y105" s="53">
        <v>1774</v>
      </c>
      <c r="Z105" s="53">
        <v>1766</v>
      </c>
      <c r="AA105" s="53">
        <v>1758</v>
      </c>
      <c r="AB105" s="53">
        <v>1750</v>
      </c>
      <c r="AC105" s="53">
        <v>1742</v>
      </c>
      <c r="AD105" s="53">
        <v>1734</v>
      </c>
      <c r="AE105" s="53">
        <v>1726</v>
      </c>
      <c r="AF105" s="35">
        <v>-8.548E-3</v>
      </c>
      <c r="AG105" s="29"/>
    </row>
    <row r="106" spans="1:33" ht="15" customHeight="1">
      <c r="A106" s="34" t="s">
        <v>5199</v>
      </c>
      <c r="B106" s="37" t="s">
        <v>4998</v>
      </c>
      <c r="C106" s="53">
        <v>4970</v>
      </c>
      <c r="D106" s="53">
        <v>4978</v>
      </c>
      <c r="E106" s="53">
        <v>4789</v>
      </c>
      <c r="F106" s="53">
        <v>4776</v>
      </c>
      <c r="G106" s="53">
        <v>4763</v>
      </c>
      <c r="H106" s="53">
        <v>4751</v>
      </c>
      <c r="I106" s="53">
        <v>4738</v>
      </c>
      <c r="J106" s="53">
        <v>4725</v>
      </c>
      <c r="K106" s="53">
        <v>4712</v>
      </c>
      <c r="L106" s="53">
        <v>4698</v>
      </c>
      <c r="M106" s="53">
        <v>4685</v>
      </c>
      <c r="N106" s="53">
        <v>4672</v>
      </c>
      <c r="O106" s="53">
        <v>4658</v>
      </c>
      <c r="P106" s="53">
        <v>4645</v>
      </c>
      <c r="Q106" s="53">
        <v>4632</v>
      </c>
      <c r="R106" s="53">
        <v>4619</v>
      </c>
      <c r="S106" s="53">
        <v>4606</v>
      </c>
      <c r="T106" s="53">
        <v>4593</v>
      </c>
      <c r="U106" s="53">
        <v>4580</v>
      </c>
      <c r="V106" s="53">
        <v>4568</v>
      </c>
      <c r="W106" s="53">
        <v>4555</v>
      </c>
      <c r="X106" s="53">
        <v>4542</v>
      </c>
      <c r="Y106" s="53">
        <v>4530</v>
      </c>
      <c r="Z106" s="53">
        <v>4517</v>
      </c>
      <c r="AA106" s="53">
        <v>4504</v>
      </c>
      <c r="AB106" s="53">
        <v>4492</v>
      </c>
      <c r="AC106" s="53">
        <v>4479</v>
      </c>
      <c r="AD106" s="53">
        <v>4467</v>
      </c>
      <c r="AE106" s="53">
        <v>4454</v>
      </c>
      <c r="AF106" s="35">
        <v>-3.9069999999999999E-3</v>
      </c>
      <c r="AG106" s="29"/>
    </row>
    <row r="107" spans="1:33" ht="15" customHeight="1">
      <c r="A107" s="34" t="s">
        <v>5198</v>
      </c>
      <c r="B107" s="37" t="s">
        <v>4996</v>
      </c>
      <c r="C107" s="53">
        <v>3212</v>
      </c>
      <c r="D107" s="53">
        <v>3503</v>
      </c>
      <c r="E107" s="53">
        <v>3250</v>
      </c>
      <c r="F107" s="53">
        <v>3241</v>
      </c>
      <c r="G107" s="53">
        <v>3232</v>
      </c>
      <c r="H107" s="53">
        <v>3223</v>
      </c>
      <c r="I107" s="53">
        <v>3213</v>
      </c>
      <c r="J107" s="53">
        <v>3204</v>
      </c>
      <c r="K107" s="53">
        <v>3195</v>
      </c>
      <c r="L107" s="53">
        <v>3185</v>
      </c>
      <c r="M107" s="53">
        <v>3176</v>
      </c>
      <c r="N107" s="53">
        <v>3166</v>
      </c>
      <c r="O107" s="53">
        <v>3157</v>
      </c>
      <c r="P107" s="53">
        <v>3147</v>
      </c>
      <c r="Q107" s="53">
        <v>3137</v>
      </c>
      <c r="R107" s="53">
        <v>3128</v>
      </c>
      <c r="S107" s="53">
        <v>3118</v>
      </c>
      <c r="T107" s="53">
        <v>3108</v>
      </c>
      <c r="U107" s="53">
        <v>3098</v>
      </c>
      <c r="V107" s="53">
        <v>3089</v>
      </c>
      <c r="W107" s="53">
        <v>3079</v>
      </c>
      <c r="X107" s="53">
        <v>3069</v>
      </c>
      <c r="Y107" s="53">
        <v>3059</v>
      </c>
      <c r="Z107" s="53">
        <v>3049</v>
      </c>
      <c r="AA107" s="53">
        <v>3040</v>
      </c>
      <c r="AB107" s="53">
        <v>3030</v>
      </c>
      <c r="AC107" s="53">
        <v>3020</v>
      </c>
      <c r="AD107" s="53">
        <v>3010</v>
      </c>
      <c r="AE107" s="53">
        <v>3000</v>
      </c>
      <c r="AF107" s="35">
        <v>-2.4359999999999998E-3</v>
      </c>
      <c r="AG107" s="29"/>
    </row>
    <row r="108" spans="1:33" ht="15" customHeight="1">
      <c r="A108" s="34" t="s">
        <v>5197</v>
      </c>
      <c r="B108" s="33" t="s">
        <v>4994</v>
      </c>
      <c r="C108" s="40">
        <v>4234.6137699999999</v>
      </c>
      <c r="D108" s="40">
        <v>4246.6186520000001</v>
      </c>
      <c r="E108" s="40">
        <v>3976.1059570000002</v>
      </c>
      <c r="F108" s="40">
        <v>3957.180664</v>
      </c>
      <c r="G108" s="40">
        <v>3938.5415039999998</v>
      </c>
      <c r="H108" s="40">
        <v>3920.0117190000001</v>
      </c>
      <c r="I108" s="40">
        <v>3901.2561040000001</v>
      </c>
      <c r="J108" s="40">
        <v>3882.5219729999999</v>
      </c>
      <c r="K108" s="40">
        <v>3863.8103030000002</v>
      </c>
      <c r="L108" s="40">
        <v>3845.1889649999998</v>
      </c>
      <c r="M108" s="40">
        <v>3826.626221</v>
      </c>
      <c r="N108" s="40">
        <v>3807.9733890000002</v>
      </c>
      <c r="O108" s="40">
        <v>3789.4521479999999</v>
      </c>
      <c r="P108" s="40">
        <v>3770.821289</v>
      </c>
      <c r="Q108" s="40">
        <v>3752.0329590000001</v>
      </c>
      <c r="R108" s="40">
        <v>3733.780029</v>
      </c>
      <c r="S108" s="40">
        <v>3715.305664</v>
      </c>
      <c r="T108" s="40">
        <v>3696.5273440000001</v>
      </c>
      <c r="U108" s="40">
        <v>3678.117432</v>
      </c>
      <c r="V108" s="40">
        <v>3659.850586</v>
      </c>
      <c r="W108" s="40">
        <v>3641.3955080000001</v>
      </c>
      <c r="X108" s="40">
        <v>3622.8991700000001</v>
      </c>
      <c r="Y108" s="40">
        <v>3604.398682</v>
      </c>
      <c r="Z108" s="40">
        <v>3585.969482</v>
      </c>
      <c r="AA108" s="40">
        <v>3567.7004390000002</v>
      </c>
      <c r="AB108" s="40">
        <v>3549.5581050000001</v>
      </c>
      <c r="AC108" s="40">
        <v>3531.4091800000001</v>
      </c>
      <c r="AD108" s="40">
        <v>3513.482422</v>
      </c>
      <c r="AE108" s="40">
        <v>3495.6748050000001</v>
      </c>
      <c r="AF108" s="31">
        <v>-6.8250000000000003E-3</v>
      </c>
      <c r="AG108" s="29"/>
    </row>
    <row r="109" spans="1:33" ht="15" customHeight="1">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row>
    <row r="110" spans="1:33" ht="15" customHeight="1">
      <c r="B110" s="33" t="s">
        <v>5014</v>
      </c>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row>
    <row r="111" spans="1:33" ht="15" customHeight="1">
      <c r="A111" s="34" t="s">
        <v>5196</v>
      </c>
      <c r="B111" s="37" t="s">
        <v>5012</v>
      </c>
      <c r="C111" s="53">
        <v>639</v>
      </c>
      <c r="D111" s="53">
        <v>500</v>
      </c>
      <c r="E111" s="53">
        <v>614</v>
      </c>
      <c r="F111" s="53">
        <v>621</v>
      </c>
      <c r="G111" s="53">
        <v>629</v>
      </c>
      <c r="H111" s="53">
        <v>636</v>
      </c>
      <c r="I111" s="53">
        <v>643</v>
      </c>
      <c r="J111" s="53">
        <v>651</v>
      </c>
      <c r="K111" s="53">
        <v>658</v>
      </c>
      <c r="L111" s="53">
        <v>665</v>
      </c>
      <c r="M111" s="53">
        <v>673</v>
      </c>
      <c r="N111" s="53">
        <v>680</v>
      </c>
      <c r="O111" s="53">
        <v>687</v>
      </c>
      <c r="P111" s="53">
        <v>695</v>
      </c>
      <c r="Q111" s="53">
        <v>702</v>
      </c>
      <c r="R111" s="53">
        <v>710</v>
      </c>
      <c r="S111" s="53">
        <v>717</v>
      </c>
      <c r="T111" s="53">
        <v>724</v>
      </c>
      <c r="U111" s="53">
        <v>732</v>
      </c>
      <c r="V111" s="53">
        <v>739</v>
      </c>
      <c r="W111" s="53">
        <v>747</v>
      </c>
      <c r="X111" s="53">
        <v>754</v>
      </c>
      <c r="Y111" s="53">
        <v>761</v>
      </c>
      <c r="Z111" s="53">
        <v>769</v>
      </c>
      <c r="AA111" s="53">
        <v>776</v>
      </c>
      <c r="AB111" s="53">
        <v>784</v>
      </c>
      <c r="AC111" s="53">
        <v>791</v>
      </c>
      <c r="AD111" s="53">
        <v>799</v>
      </c>
      <c r="AE111" s="53">
        <v>806</v>
      </c>
      <c r="AF111" s="35">
        <v>8.3269999999999993E-3</v>
      </c>
      <c r="AG111" s="29"/>
    </row>
    <row r="112" spans="1:33" ht="15" customHeight="1">
      <c r="A112" s="34" t="s">
        <v>5195</v>
      </c>
      <c r="B112" s="37" t="s">
        <v>5010</v>
      </c>
      <c r="C112" s="1975">
        <v>835</v>
      </c>
      <c r="D112" s="1975">
        <v>692</v>
      </c>
      <c r="E112" s="1975">
        <v>864</v>
      </c>
      <c r="F112" s="1975">
        <v>874</v>
      </c>
      <c r="G112" s="1975">
        <v>883</v>
      </c>
      <c r="H112" s="1975">
        <v>893</v>
      </c>
      <c r="I112" s="1975">
        <v>902</v>
      </c>
      <c r="J112" s="1975">
        <v>912</v>
      </c>
      <c r="K112" s="1975">
        <v>922</v>
      </c>
      <c r="L112" s="1975">
        <v>931</v>
      </c>
      <c r="M112" s="1975">
        <v>941</v>
      </c>
      <c r="N112" s="1975">
        <v>950</v>
      </c>
      <c r="O112" s="1975">
        <v>960</v>
      </c>
      <c r="P112" s="1975">
        <v>970</v>
      </c>
      <c r="Q112" s="1975">
        <v>979</v>
      </c>
      <c r="R112" s="1975">
        <v>989</v>
      </c>
      <c r="S112" s="1975">
        <v>999</v>
      </c>
      <c r="T112" s="1975">
        <v>1008</v>
      </c>
      <c r="U112" s="1975">
        <v>1018</v>
      </c>
      <c r="V112" s="1975">
        <v>1027</v>
      </c>
      <c r="W112" s="1975">
        <v>1037</v>
      </c>
      <c r="X112" s="1975">
        <v>1047</v>
      </c>
      <c r="Y112" s="1975">
        <v>1056</v>
      </c>
      <c r="Z112" s="1975">
        <v>1066</v>
      </c>
      <c r="AA112" s="1975">
        <v>1076</v>
      </c>
      <c r="AB112" s="1975">
        <v>1085</v>
      </c>
      <c r="AC112" s="1975">
        <v>1095</v>
      </c>
      <c r="AD112" s="1975">
        <v>1104</v>
      </c>
      <c r="AE112" s="1975">
        <v>1114</v>
      </c>
      <c r="AF112" s="447">
        <v>1.0349000000000001E-2</v>
      </c>
      <c r="AG112" s="29"/>
    </row>
    <row r="113" spans="1:34" ht="15" customHeight="1">
      <c r="A113" s="34" t="s">
        <v>5194</v>
      </c>
      <c r="B113" s="37" t="s">
        <v>5008</v>
      </c>
      <c r="C113" s="53">
        <v>813</v>
      </c>
      <c r="D113" s="53">
        <v>752</v>
      </c>
      <c r="E113" s="53">
        <v>892</v>
      </c>
      <c r="F113" s="53">
        <v>900</v>
      </c>
      <c r="G113" s="53">
        <v>908</v>
      </c>
      <c r="H113" s="53">
        <v>916</v>
      </c>
      <c r="I113" s="53">
        <v>924</v>
      </c>
      <c r="J113" s="53">
        <v>932</v>
      </c>
      <c r="K113" s="53">
        <v>939</v>
      </c>
      <c r="L113" s="53">
        <v>947</v>
      </c>
      <c r="M113" s="53">
        <v>955</v>
      </c>
      <c r="N113" s="53">
        <v>963</v>
      </c>
      <c r="O113" s="53">
        <v>971</v>
      </c>
      <c r="P113" s="53">
        <v>979</v>
      </c>
      <c r="Q113" s="53">
        <v>987</v>
      </c>
      <c r="R113" s="53">
        <v>994</v>
      </c>
      <c r="S113" s="53">
        <v>1002</v>
      </c>
      <c r="T113" s="53">
        <v>1010</v>
      </c>
      <c r="U113" s="53">
        <v>1018</v>
      </c>
      <c r="V113" s="53">
        <v>1026</v>
      </c>
      <c r="W113" s="53">
        <v>1034</v>
      </c>
      <c r="X113" s="53">
        <v>1042</v>
      </c>
      <c r="Y113" s="53">
        <v>1050</v>
      </c>
      <c r="Z113" s="53">
        <v>1058</v>
      </c>
      <c r="AA113" s="53">
        <v>1066</v>
      </c>
      <c r="AB113" s="53">
        <v>1073</v>
      </c>
      <c r="AC113" s="53">
        <v>1081</v>
      </c>
      <c r="AD113" s="53">
        <v>1089</v>
      </c>
      <c r="AE113" s="53">
        <v>1097</v>
      </c>
      <c r="AF113" s="35">
        <v>1.0758E-2</v>
      </c>
      <c r="AG113" s="29"/>
    </row>
    <row r="114" spans="1:34" ht="15" customHeight="1">
      <c r="A114" s="34" t="s">
        <v>5193</v>
      </c>
      <c r="B114" s="37" t="s">
        <v>5006</v>
      </c>
      <c r="C114" s="53">
        <v>1050</v>
      </c>
      <c r="D114" s="53">
        <v>944</v>
      </c>
      <c r="E114" s="53">
        <v>1069</v>
      </c>
      <c r="F114" s="53">
        <v>1077</v>
      </c>
      <c r="G114" s="53">
        <v>1084</v>
      </c>
      <c r="H114" s="53">
        <v>1091</v>
      </c>
      <c r="I114" s="53">
        <v>1099</v>
      </c>
      <c r="J114" s="53">
        <v>1106</v>
      </c>
      <c r="K114" s="53">
        <v>1114</v>
      </c>
      <c r="L114" s="53">
        <v>1121</v>
      </c>
      <c r="M114" s="53">
        <v>1129</v>
      </c>
      <c r="N114" s="53">
        <v>1136</v>
      </c>
      <c r="O114" s="53">
        <v>1144</v>
      </c>
      <c r="P114" s="53">
        <v>1151</v>
      </c>
      <c r="Q114" s="53">
        <v>1159</v>
      </c>
      <c r="R114" s="53">
        <v>1166</v>
      </c>
      <c r="S114" s="53">
        <v>1174</v>
      </c>
      <c r="T114" s="53">
        <v>1182</v>
      </c>
      <c r="U114" s="53">
        <v>1189</v>
      </c>
      <c r="V114" s="53">
        <v>1197</v>
      </c>
      <c r="W114" s="53">
        <v>1204</v>
      </c>
      <c r="X114" s="53">
        <v>1212</v>
      </c>
      <c r="Y114" s="53">
        <v>1220</v>
      </c>
      <c r="Z114" s="53">
        <v>1227</v>
      </c>
      <c r="AA114" s="53">
        <v>1235</v>
      </c>
      <c r="AB114" s="53">
        <v>1243</v>
      </c>
      <c r="AC114" s="53">
        <v>1250</v>
      </c>
      <c r="AD114" s="53">
        <v>1258</v>
      </c>
      <c r="AE114" s="53">
        <v>1266</v>
      </c>
      <c r="AF114" s="35">
        <v>6.7029999999999998E-3</v>
      </c>
      <c r="AG114" s="29"/>
    </row>
    <row r="115" spans="1:34" ht="15" customHeight="1">
      <c r="A115" s="34" t="s">
        <v>5192</v>
      </c>
      <c r="B115" s="37" t="s">
        <v>5004</v>
      </c>
      <c r="C115" s="53">
        <v>2264</v>
      </c>
      <c r="D115" s="53">
        <v>2150</v>
      </c>
      <c r="E115" s="53">
        <v>2408</v>
      </c>
      <c r="F115" s="53">
        <v>2426</v>
      </c>
      <c r="G115" s="53">
        <v>2442</v>
      </c>
      <c r="H115" s="53">
        <v>2459</v>
      </c>
      <c r="I115" s="53">
        <v>2476</v>
      </c>
      <c r="J115" s="53">
        <v>2494</v>
      </c>
      <c r="K115" s="53">
        <v>2511</v>
      </c>
      <c r="L115" s="53">
        <v>2528</v>
      </c>
      <c r="M115" s="53">
        <v>2545</v>
      </c>
      <c r="N115" s="53">
        <v>2562</v>
      </c>
      <c r="O115" s="53">
        <v>2579</v>
      </c>
      <c r="P115" s="53">
        <v>2597</v>
      </c>
      <c r="Q115" s="53">
        <v>2614</v>
      </c>
      <c r="R115" s="53">
        <v>2632</v>
      </c>
      <c r="S115" s="53">
        <v>2649</v>
      </c>
      <c r="T115" s="53">
        <v>2666</v>
      </c>
      <c r="U115" s="53">
        <v>2684</v>
      </c>
      <c r="V115" s="53">
        <v>2701</v>
      </c>
      <c r="W115" s="53">
        <v>2719</v>
      </c>
      <c r="X115" s="53">
        <v>2736</v>
      </c>
      <c r="Y115" s="53">
        <v>2754</v>
      </c>
      <c r="Z115" s="53">
        <v>2771</v>
      </c>
      <c r="AA115" s="53">
        <v>2789</v>
      </c>
      <c r="AB115" s="53">
        <v>2806</v>
      </c>
      <c r="AC115" s="53">
        <v>2824</v>
      </c>
      <c r="AD115" s="53">
        <v>2842</v>
      </c>
      <c r="AE115" s="53">
        <v>2859</v>
      </c>
      <c r="AF115" s="35">
        <v>8.3680000000000004E-3</v>
      </c>
      <c r="AG115" s="29"/>
    </row>
    <row r="116" spans="1:34" ht="15" customHeight="1">
      <c r="A116" s="34" t="s">
        <v>5191</v>
      </c>
      <c r="B116" s="37" t="s">
        <v>5002</v>
      </c>
      <c r="C116" s="53">
        <v>1730</v>
      </c>
      <c r="D116" s="53">
        <v>1637</v>
      </c>
      <c r="E116" s="53">
        <v>1805</v>
      </c>
      <c r="F116" s="53">
        <v>1814</v>
      </c>
      <c r="G116" s="53">
        <v>1824</v>
      </c>
      <c r="H116" s="53">
        <v>1834</v>
      </c>
      <c r="I116" s="53">
        <v>1844</v>
      </c>
      <c r="J116" s="53">
        <v>1854</v>
      </c>
      <c r="K116" s="53">
        <v>1864</v>
      </c>
      <c r="L116" s="53">
        <v>1874</v>
      </c>
      <c r="M116" s="53">
        <v>1884</v>
      </c>
      <c r="N116" s="53">
        <v>1894</v>
      </c>
      <c r="O116" s="53">
        <v>1904</v>
      </c>
      <c r="P116" s="53">
        <v>1914</v>
      </c>
      <c r="Q116" s="53">
        <v>1924</v>
      </c>
      <c r="R116" s="53">
        <v>1934</v>
      </c>
      <c r="S116" s="53">
        <v>1944</v>
      </c>
      <c r="T116" s="53">
        <v>1954</v>
      </c>
      <c r="U116" s="53">
        <v>1964</v>
      </c>
      <c r="V116" s="53">
        <v>1974</v>
      </c>
      <c r="W116" s="53">
        <v>1984</v>
      </c>
      <c r="X116" s="53">
        <v>1994</v>
      </c>
      <c r="Y116" s="53">
        <v>2004</v>
      </c>
      <c r="Z116" s="53">
        <v>2014</v>
      </c>
      <c r="AA116" s="53">
        <v>2024</v>
      </c>
      <c r="AB116" s="53">
        <v>2034</v>
      </c>
      <c r="AC116" s="53">
        <v>2044</v>
      </c>
      <c r="AD116" s="53">
        <v>2054</v>
      </c>
      <c r="AE116" s="53">
        <v>2064</v>
      </c>
      <c r="AF116" s="35">
        <v>6.3239999999999998E-3</v>
      </c>
      <c r="AG116" s="29"/>
    </row>
    <row r="117" spans="1:34" ht="15" customHeight="1">
      <c r="A117" s="34" t="s">
        <v>5190</v>
      </c>
      <c r="B117" s="37" t="s">
        <v>5000</v>
      </c>
      <c r="C117" s="53">
        <v>3000</v>
      </c>
      <c r="D117" s="53">
        <v>2658</v>
      </c>
      <c r="E117" s="53">
        <v>2860</v>
      </c>
      <c r="F117" s="53">
        <v>2874</v>
      </c>
      <c r="G117" s="53">
        <v>2887</v>
      </c>
      <c r="H117" s="53">
        <v>2901</v>
      </c>
      <c r="I117" s="53">
        <v>2915</v>
      </c>
      <c r="J117" s="53">
        <v>2928</v>
      </c>
      <c r="K117" s="53">
        <v>2942</v>
      </c>
      <c r="L117" s="53">
        <v>2955</v>
      </c>
      <c r="M117" s="53">
        <v>2969</v>
      </c>
      <c r="N117" s="53">
        <v>2982</v>
      </c>
      <c r="O117" s="53">
        <v>2996</v>
      </c>
      <c r="P117" s="53">
        <v>3009</v>
      </c>
      <c r="Q117" s="53">
        <v>3023</v>
      </c>
      <c r="R117" s="53">
        <v>3036</v>
      </c>
      <c r="S117" s="53">
        <v>3050</v>
      </c>
      <c r="T117" s="53">
        <v>3063</v>
      </c>
      <c r="U117" s="53">
        <v>3076</v>
      </c>
      <c r="V117" s="53">
        <v>3090</v>
      </c>
      <c r="W117" s="53">
        <v>3103</v>
      </c>
      <c r="X117" s="53">
        <v>3117</v>
      </c>
      <c r="Y117" s="53">
        <v>3130</v>
      </c>
      <c r="Z117" s="53">
        <v>3144</v>
      </c>
      <c r="AA117" s="53">
        <v>3157</v>
      </c>
      <c r="AB117" s="53">
        <v>3170</v>
      </c>
      <c r="AC117" s="53">
        <v>3184</v>
      </c>
      <c r="AD117" s="53">
        <v>3197</v>
      </c>
      <c r="AE117" s="53">
        <v>3210</v>
      </c>
      <c r="AF117" s="35">
        <v>2.4190000000000001E-3</v>
      </c>
      <c r="AG117" s="29"/>
    </row>
    <row r="118" spans="1:34" ht="15" customHeight="1">
      <c r="A118" s="34" t="s">
        <v>5189</v>
      </c>
      <c r="B118" s="37" t="s">
        <v>4998</v>
      </c>
      <c r="C118" s="53">
        <v>1578</v>
      </c>
      <c r="D118" s="53">
        <v>1415</v>
      </c>
      <c r="E118" s="53">
        <v>1580</v>
      </c>
      <c r="F118" s="53">
        <v>1589</v>
      </c>
      <c r="G118" s="53">
        <v>1599</v>
      </c>
      <c r="H118" s="53">
        <v>1608</v>
      </c>
      <c r="I118" s="53">
        <v>1618</v>
      </c>
      <c r="J118" s="53">
        <v>1628</v>
      </c>
      <c r="K118" s="53">
        <v>1638</v>
      </c>
      <c r="L118" s="53">
        <v>1647</v>
      </c>
      <c r="M118" s="53">
        <v>1657</v>
      </c>
      <c r="N118" s="53">
        <v>1667</v>
      </c>
      <c r="O118" s="53">
        <v>1677</v>
      </c>
      <c r="P118" s="53">
        <v>1687</v>
      </c>
      <c r="Q118" s="53">
        <v>1697</v>
      </c>
      <c r="R118" s="53">
        <v>1706</v>
      </c>
      <c r="S118" s="53">
        <v>1716</v>
      </c>
      <c r="T118" s="53">
        <v>1726</v>
      </c>
      <c r="U118" s="53">
        <v>1735</v>
      </c>
      <c r="V118" s="53">
        <v>1745</v>
      </c>
      <c r="W118" s="53">
        <v>1755</v>
      </c>
      <c r="X118" s="53">
        <v>1764</v>
      </c>
      <c r="Y118" s="53">
        <v>1774</v>
      </c>
      <c r="Z118" s="53">
        <v>1783</v>
      </c>
      <c r="AA118" s="53">
        <v>1793</v>
      </c>
      <c r="AB118" s="53">
        <v>1802</v>
      </c>
      <c r="AC118" s="53">
        <v>1812</v>
      </c>
      <c r="AD118" s="53">
        <v>1822</v>
      </c>
      <c r="AE118" s="53">
        <v>1831</v>
      </c>
      <c r="AF118" s="35">
        <v>5.3249999999999999E-3</v>
      </c>
      <c r="AG118" s="29"/>
    </row>
    <row r="119" spans="1:34" ht="15" customHeight="1">
      <c r="A119" s="34" t="s">
        <v>5188</v>
      </c>
      <c r="B119" s="37" t="s">
        <v>4996</v>
      </c>
      <c r="C119" s="53">
        <v>1098</v>
      </c>
      <c r="D119" s="53">
        <v>825</v>
      </c>
      <c r="E119" s="53">
        <v>1006</v>
      </c>
      <c r="F119" s="53">
        <v>1013</v>
      </c>
      <c r="G119" s="53">
        <v>1020</v>
      </c>
      <c r="H119" s="53">
        <v>1028</v>
      </c>
      <c r="I119" s="53">
        <v>1035</v>
      </c>
      <c r="J119" s="53">
        <v>1043</v>
      </c>
      <c r="K119" s="53">
        <v>1050</v>
      </c>
      <c r="L119" s="53">
        <v>1058</v>
      </c>
      <c r="M119" s="53">
        <v>1066</v>
      </c>
      <c r="N119" s="53">
        <v>1073</v>
      </c>
      <c r="O119" s="53">
        <v>1081</v>
      </c>
      <c r="P119" s="53">
        <v>1088</v>
      </c>
      <c r="Q119" s="53">
        <v>1096</v>
      </c>
      <c r="R119" s="53">
        <v>1104</v>
      </c>
      <c r="S119" s="53">
        <v>1111</v>
      </c>
      <c r="T119" s="53">
        <v>1119</v>
      </c>
      <c r="U119" s="53">
        <v>1127</v>
      </c>
      <c r="V119" s="53">
        <v>1134</v>
      </c>
      <c r="W119" s="53">
        <v>1142</v>
      </c>
      <c r="X119" s="53">
        <v>1150</v>
      </c>
      <c r="Y119" s="53">
        <v>1157</v>
      </c>
      <c r="Z119" s="53">
        <v>1165</v>
      </c>
      <c r="AA119" s="53">
        <v>1173</v>
      </c>
      <c r="AB119" s="53">
        <v>1181</v>
      </c>
      <c r="AC119" s="53">
        <v>1188</v>
      </c>
      <c r="AD119" s="53">
        <v>1196</v>
      </c>
      <c r="AE119" s="53">
        <v>1204</v>
      </c>
      <c r="AF119" s="35">
        <v>3.297E-3</v>
      </c>
      <c r="AG119" s="29"/>
    </row>
    <row r="120" spans="1:34" ht="15" customHeight="1">
      <c r="A120" s="34" t="s">
        <v>5187</v>
      </c>
      <c r="B120" s="33" t="s">
        <v>4994</v>
      </c>
      <c r="C120" s="40">
        <v>1549.955811</v>
      </c>
      <c r="D120" s="40">
        <v>1383.8479</v>
      </c>
      <c r="E120" s="40">
        <v>1570.0424800000001</v>
      </c>
      <c r="F120" s="40">
        <v>1583.3448490000001</v>
      </c>
      <c r="G120" s="40">
        <v>1596.1142580000001</v>
      </c>
      <c r="H120" s="40">
        <v>1609.38501</v>
      </c>
      <c r="I120" s="40">
        <v>1622.5207519999999</v>
      </c>
      <c r="J120" s="40">
        <v>1636.0070800000001</v>
      </c>
      <c r="K120" s="40">
        <v>1649.149048</v>
      </c>
      <c r="L120" s="40">
        <v>1662.2188719999999</v>
      </c>
      <c r="M120" s="40">
        <v>1675.7426760000001</v>
      </c>
      <c r="N120" s="40">
        <v>1688.762207</v>
      </c>
      <c r="O120" s="40">
        <v>1702.278198</v>
      </c>
      <c r="P120" s="40">
        <v>1715.7017820000001</v>
      </c>
      <c r="Q120" s="40">
        <v>1729.1450199999999</v>
      </c>
      <c r="R120" s="40">
        <v>1742.5604249999999</v>
      </c>
      <c r="S120" s="40">
        <v>1755.9835210000001</v>
      </c>
      <c r="T120" s="40">
        <v>1769.3446039999999</v>
      </c>
      <c r="U120" s="40">
        <v>1782.940063</v>
      </c>
      <c r="V120" s="40">
        <v>1796.302124</v>
      </c>
      <c r="W120" s="40">
        <v>1810.015259</v>
      </c>
      <c r="X120" s="40">
        <v>1823.60437</v>
      </c>
      <c r="Y120" s="40">
        <v>1837.094971</v>
      </c>
      <c r="Z120" s="40">
        <v>1850.6906739999999</v>
      </c>
      <c r="AA120" s="40">
        <v>1864.471436</v>
      </c>
      <c r="AB120" s="40">
        <v>1877.7441409999999</v>
      </c>
      <c r="AC120" s="40">
        <v>1891.3885499999999</v>
      </c>
      <c r="AD120" s="40">
        <v>1904.9642329999999</v>
      </c>
      <c r="AE120" s="40">
        <v>1918.225586</v>
      </c>
      <c r="AF120" s="31">
        <v>7.6420000000000004E-3</v>
      </c>
      <c r="AG120" s="29"/>
    </row>
    <row r="121" spans="1:34" ht="15" customHeight="1" thickBot="1">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row>
    <row r="122" spans="1:34" ht="15" customHeight="1">
      <c r="B122" s="2181" t="s">
        <v>4993</v>
      </c>
      <c r="C122" s="2180"/>
      <c r="D122" s="2180"/>
      <c r="E122" s="2180"/>
      <c r="F122" s="2180"/>
      <c r="G122" s="2180"/>
      <c r="H122" s="2180"/>
      <c r="I122" s="2180"/>
      <c r="J122" s="2180"/>
      <c r="K122" s="2180"/>
      <c r="L122" s="2180"/>
      <c r="M122" s="2180"/>
      <c r="N122" s="2180"/>
      <c r="O122" s="2180"/>
      <c r="P122" s="2180"/>
      <c r="Q122" s="2180"/>
      <c r="R122" s="2180"/>
      <c r="S122" s="2180"/>
      <c r="T122" s="2180"/>
      <c r="U122" s="2180"/>
      <c r="V122" s="2180"/>
      <c r="W122" s="2180"/>
      <c r="X122" s="2180"/>
      <c r="Y122" s="2180"/>
      <c r="Z122" s="2180"/>
      <c r="AA122" s="2180"/>
      <c r="AB122" s="2180"/>
      <c r="AC122" s="2180"/>
      <c r="AD122" s="2180"/>
      <c r="AE122" s="2180"/>
      <c r="AF122" s="2180"/>
      <c r="AG122" s="2180"/>
      <c r="AH122" s="30"/>
    </row>
    <row r="123" spans="1:34" ht="15" customHeight="1">
      <c r="B123" s="29" t="s">
        <v>4992</v>
      </c>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row>
    <row r="124" spans="1:34" ht="15" customHeight="1">
      <c r="B124" s="29" t="s">
        <v>5186</v>
      </c>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row>
    <row r="125" spans="1:34" ht="15" customHeight="1">
      <c r="B125" s="29" t="s">
        <v>5185</v>
      </c>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row>
    <row r="126" spans="1:34" ht="15" customHeight="1">
      <c r="B126" s="29" t="s">
        <v>5184</v>
      </c>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row>
    <row r="127" spans="1:34" ht="15" customHeight="1">
      <c r="B127" s="29" t="s">
        <v>5183</v>
      </c>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row>
    <row r="128" spans="1:34" ht="15" customHeight="1">
      <c r="B128" s="29" t="s">
        <v>5182</v>
      </c>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row>
    <row r="129" spans="2:33" ht="15" customHeight="1">
      <c r="B129" s="29" t="s">
        <v>5181</v>
      </c>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row>
    <row r="130" spans="2:33" ht="15" customHeight="1">
      <c r="B130" s="29" t="s">
        <v>5180</v>
      </c>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row>
    <row r="131" spans="2:33" ht="15" customHeight="1">
      <c r="B131" s="29" t="s">
        <v>5179</v>
      </c>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row>
    <row r="132" spans="2:33" ht="15" customHeight="1">
      <c r="B132" s="29" t="s">
        <v>5178</v>
      </c>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row>
    <row r="133" spans="2:33" ht="15" customHeight="1">
      <c r="B133" s="29" t="s">
        <v>5177</v>
      </c>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row>
    <row r="134" spans="2:33" ht="15" customHeight="1">
      <c r="B134" s="29" t="s">
        <v>5176</v>
      </c>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row>
    <row r="135" spans="2:33" ht="15" customHeight="1">
      <c r="B135" s="29" t="s">
        <v>5175</v>
      </c>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row>
    <row r="136" spans="2:33" ht="15" customHeight="1">
      <c r="B136" s="29" t="s">
        <v>2291</v>
      </c>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row>
    <row r="137" spans="2:33" ht="15" customHeight="1">
      <c r="B137" s="29" t="s">
        <v>2292</v>
      </c>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row>
    <row r="138" spans="2:33" ht="15" customHeight="1">
      <c r="B138" s="29" t="s">
        <v>2584</v>
      </c>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row>
    <row r="139" spans="2:33" ht="15" customHeight="1">
      <c r="B139" s="29" t="s">
        <v>2294</v>
      </c>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row>
    <row r="140" spans="2:33" ht="15" customHeight="1">
      <c r="B140" s="29" t="s">
        <v>2295</v>
      </c>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row>
    <row r="141" spans="2:33" ht="12" customHeight="1">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row>
    <row r="142" spans="2:33" ht="12" customHeight="1">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row>
    <row r="143" spans="2:33" ht="12" customHeight="1">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row>
    <row r="144" spans="2:33" ht="12" customHeight="1">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row>
    <row r="145" spans="2:33" ht="12" customHeight="1">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row>
    <row r="146" spans="2:33" ht="12" customHeight="1">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row>
    <row r="147" spans="2:33" ht="12" customHeight="1">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row>
    <row r="148" spans="2:33" ht="12" customHeight="1">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row>
    <row r="149" spans="2:33" ht="12" customHeight="1">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row>
    <row r="150" spans="2:33" ht="15" customHeight="1">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row>
    <row r="151" spans="2:33" ht="15" customHeight="1">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row>
    <row r="152" spans="2:33" ht="15" customHeight="1">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row>
    <row r="153" spans="2:33" ht="15" customHeight="1">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row>
    <row r="154" spans="2:33" ht="15" customHeight="1">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row>
    <row r="155" spans="2:33" ht="15" customHeight="1">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row>
    <row r="156" spans="2:33" ht="15" customHeight="1">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row>
    <row r="157" spans="2:33" ht="15" customHeight="1">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row>
    <row r="158" spans="2:33" ht="15" customHeight="1">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row>
    <row r="159" spans="2:33" ht="15" customHeight="1">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row>
    <row r="160" spans="2:33" ht="15" customHeight="1">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row>
    <row r="161" spans="2:33" ht="15" customHeight="1">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row>
    <row r="162" spans="2:33" ht="15" customHeight="1">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row>
    <row r="163" spans="2:33" ht="15" customHeight="1">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row>
    <row r="164" spans="2:33" ht="15" customHeight="1">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row>
    <row r="165" spans="2:33" ht="12" customHeight="1">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row>
    <row r="166" spans="2:33" ht="15" customHeight="1">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row>
    <row r="167" spans="2:33" ht="15" customHeight="1">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row>
    <row r="168" spans="2:33" ht="15" customHeight="1">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row>
    <row r="169" spans="2:33" ht="15" customHeight="1">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row>
    <row r="170" spans="2:33" ht="15" customHeight="1">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row>
    <row r="171" spans="2:33" ht="15" customHeight="1">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row>
    <row r="172" spans="2:33" ht="15" customHeight="1">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row>
    <row r="173" spans="2:33" ht="15" customHeight="1">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row>
    <row r="174" spans="2:33" ht="15" customHeight="1">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row>
    <row r="175" spans="2:33" ht="15" customHeight="1">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row>
    <row r="176" spans="2:33" ht="15" customHeight="1">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row>
    <row r="177" spans="2:33" ht="15" customHeight="1">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row>
    <row r="178" spans="2:33" ht="15" customHeight="1">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row>
    <row r="179" spans="2:33" ht="15" customHeight="1">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row>
    <row r="180" spans="2:33" ht="12" customHeight="1">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row>
    <row r="181" spans="2:33" ht="15" customHeight="1">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row>
    <row r="182" spans="2:33" ht="15" customHeight="1">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row>
    <row r="183" spans="2:33" ht="15" customHeight="1">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row>
    <row r="184" spans="2:33" ht="15" customHeight="1">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row>
    <row r="204" ht="12" customHeight="1"/>
    <row r="205" ht="12" customHeight="1"/>
    <row r="223" ht="12" customHeight="1"/>
    <row r="226" ht="12" customHeight="1"/>
    <row r="256" ht="12" customHeight="1"/>
    <row r="257" ht="12" customHeight="1"/>
    <row r="269" ht="12" customHeight="1"/>
    <row r="299" ht="12" customHeight="1"/>
    <row r="308" spans="2:32" ht="15" customHeight="1">
      <c r="B308" s="2178"/>
      <c r="C308" s="2178"/>
      <c r="D308" s="2178"/>
      <c r="E308" s="2178"/>
      <c r="F308" s="2178"/>
      <c r="G308" s="2178"/>
      <c r="H308" s="2178"/>
      <c r="I308" s="2178"/>
      <c r="J308" s="2178"/>
      <c r="K308" s="2178"/>
      <c r="L308" s="2178"/>
      <c r="M308" s="2178"/>
      <c r="N308" s="2178"/>
      <c r="O308" s="2178"/>
      <c r="P308" s="2178"/>
      <c r="Q308" s="2178"/>
      <c r="R308" s="2178"/>
      <c r="S308" s="2178"/>
      <c r="T308" s="2178"/>
      <c r="U308" s="2178"/>
      <c r="V308" s="2178"/>
      <c r="W308" s="2178"/>
      <c r="X308" s="2178"/>
      <c r="Y308" s="2178"/>
      <c r="Z308" s="2178"/>
      <c r="AA308" s="2178"/>
      <c r="AB308" s="2178"/>
      <c r="AC308" s="2178"/>
      <c r="AD308" s="2178"/>
      <c r="AE308" s="2178"/>
      <c r="AF308" s="2178"/>
    </row>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85" ht="12" customHeight="1"/>
    <row r="392" ht="12" customHeight="1"/>
    <row r="402" ht="12" customHeight="1"/>
    <row r="412" ht="12" customHeight="1"/>
    <row r="419" ht="12" customHeight="1"/>
    <row r="420" ht="12" customHeight="1"/>
    <row r="433" ht="12" customHeight="1"/>
    <row r="443" ht="12" customHeight="1"/>
    <row r="444" ht="12" customHeight="1"/>
    <row r="451" ht="12" customHeight="1"/>
    <row r="458" ht="12" customHeight="1"/>
    <row r="468" ht="12" customHeight="1"/>
    <row r="469" ht="12" customHeight="1"/>
    <row r="479" ht="12" customHeight="1"/>
    <row r="486" ht="12" customHeight="1"/>
    <row r="499" spans="2:32" ht="12" customHeight="1"/>
    <row r="509" spans="2:32" ht="12" customHeight="1"/>
    <row r="511" spans="2:32" ht="15" customHeight="1">
      <c r="B511" s="2178"/>
      <c r="C511" s="2178"/>
      <c r="D511" s="2178"/>
      <c r="E511" s="2178"/>
      <c r="F511" s="2178"/>
      <c r="G511" s="2178"/>
      <c r="H511" s="2178"/>
      <c r="I511" s="2178"/>
      <c r="J511" s="2178"/>
      <c r="K511" s="2178"/>
      <c r="L511" s="2178"/>
      <c r="M511" s="2178"/>
      <c r="N511" s="2178"/>
      <c r="O511" s="2178"/>
      <c r="P511" s="2178"/>
      <c r="Q511" s="2178"/>
      <c r="R511" s="2178"/>
      <c r="S511" s="2178"/>
      <c r="T511" s="2178"/>
      <c r="U511" s="2178"/>
      <c r="V511" s="2178"/>
      <c r="W511" s="2178"/>
      <c r="X511" s="2178"/>
      <c r="Y511" s="2178"/>
      <c r="Z511" s="2178"/>
      <c r="AA511" s="2178"/>
      <c r="AB511" s="2178"/>
      <c r="AC511" s="2178"/>
      <c r="AD511" s="2178"/>
      <c r="AE511" s="2178"/>
      <c r="AF511" s="2178"/>
    </row>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86" ht="12" customHeight="1"/>
    <row r="588" ht="12" customHeight="1"/>
    <row r="596" ht="12" customHeight="1"/>
    <row r="616" ht="12" customHeight="1"/>
    <row r="625" ht="12" customHeight="1"/>
    <row r="631" ht="12" customHeight="1"/>
    <row r="638" ht="12" customHeight="1"/>
    <row r="640" ht="12" customHeight="1"/>
    <row r="659" ht="12" customHeight="1"/>
    <row r="661" ht="12" customHeight="1"/>
    <row r="680" ht="12" customHeight="1"/>
    <row r="687" ht="12" customHeight="1"/>
    <row r="699" ht="12" customHeight="1"/>
    <row r="712" spans="2:32" ht="15" customHeight="1">
      <c r="B712" s="2178"/>
      <c r="C712" s="2178"/>
      <c r="D712" s="2178"/>
      <c r="E712" s="2178"/>
      <c r="F712" s="2178"/>
      <c r="G712" s="2178"/>
      <c r="H712" s="2178"/>
      <c r="I712" s="2178"/>
      <c r="J712" s="2178"/>
      <c r="K712" s="2178"/>
      <c r="L712" s="2178"/>
      <c r="M712" s="2178"/>
      <c r="N712" s="2178"/>
      <c r="O712" s="2178"/>
      <c r="P712" s="2178"/>
      <c r="Q712" s="2178"/>
      <c r="R712" s="2178"/>
      <c r="S712" s="2178"/>
      <c r="T712" s="2178"/>
      <c r="U712" s="2178"/>
      <c r="V712" s="2178"/>
      <c r="W712" s="2178"/>
      <c r="X712" s="2178"/>
      <c r="Y712" s="2178"/>
      <c r="Z712" s="2178"/>
      <c r="AA712" s="2178"/>
      <c r="AB712" s="2178"/>
      <c r="AC712" s="2178"/>
      <c r="AD712" s="2178"/>
      <c r="AE712" s="2178"/>
      <c r="AF712" s="2178"/>
    </row>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81" ht="12" customHeight="1"/>
    <row r="786" ht="12" customHeight="1"/>
    <row r="791" ht="12" customHeight="1"/>
    <row r="807" ht="12" customHeight="1"/>
    <row r="815" ht="12" customHeight="1"/>
    <row r="821" ht="12" customHeight="1"/>
    <row r="824" ht="12" customHeight="1"/>
    <row r="839" ht="12" customHeight="1"/>
    <row r="841" ht="12" customHeight="1"/>
    <row r="856" ht="12" customHeight="1"/>
    <row r="862" ht="12" customHeight="1"/>
    <row r="874" ht="12" customHeight="1"/>
    <row r="887" spans="2:32" ht="15" customHeight="1">
      <c r="B887" s="2178"/>
      <c r="C887" s="2178"/>
      <c r="D887" s="2178"/>
      <c r="E887" s="2178"/>
      <c r="F887" s="2178"/>
      <c r="G887" s="2178"/>
      <c r="H887" s="2178"/>
      <c r="I887" s="2178"/>
      <c r="J887" s="2178"/>
      <c r="K887" s="2178"/>
      <c r="L887" s="2178"/>
      <c r="M887" s="2178"/>
      <c r="N887" s="2178"/>
      <c r="O887" s="2178"/>
      <c r="P887" s="2178"/>
      <c r="Q887" s="2178"/>
      <c r="R887" s="2178"/>
      <c r="S887" s="2178"/>
      <c r="T887" s="2178"/>
      <c r="U887" s="2178"/>
      <c r="V887" s="2178"/>
      <c r="W887" s="2178"/>
      <c r="X887" s="2178"/>
      <c r="Y887" s="2178"/>
      <c r="Z887" s="2178"/>
      <c r="AA887" s="2178"/>
      <c r="AB887" s="2178"/>
      <c r="AC887" s="2178"/>
      <c r="AD887" s="2178"/>
      <c r="AE887" s="2178"/>
      <c r="AF887" s="2178"/>
    </row>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60" ht="12" customHeight="1"/>
    <row r="986" ht="12" customHeight="1"/>
    <row r="987" ht="12" customHeight="1"/>
    <row r="1017" ht="12" customHeight="1"/>
    <row r="1018" ht="12" customHeight="1"/>
    <row r="1039" ht="12" customHeight="1"/>
    <row r="1067" ht="12" customHeight="1"/>
    <row r="1096" spans="2:32" ht="12" customHeight="1"/>
    <row r="1101" spans="2:32" ht="15" customHeight="1">
      <c r="B1101" s="2178"/>
      <c r="C1101" s="2178"/>
      <c r="D1101" s="2178"/>
      <c r="E1101" s="2178"/>
      <c r="F1101" s="2178"/>
      <c r="G1101" s="2178"/>
      <c r="H1101" s="2178"/>
      <c r="I1101" s="2178"/>
      <c r="J1101" s="2178"/>
      <c r="K1101" s="2178"/>
      <c r="L1101" s="2178"/>
      <c r="M1101" s="2178"/>
      <c r="N1101" s="2178"/>
      <c r="O1101" s="2178"/>
      <c r="P1101" s="2178"/>
      <c r="Q1101" s="2178"/>
      <c r="R1101" s="2178"/>
      <c r="S1101" s="2178"/>
      <c r="T1101" s="2178"/>
      <c r="U1101" s="2178"/>
      <c r="V1101" s="2178"/>
      <c r="W1101" s="2178"/>
      <c r="X1101" s="2178"/>
      <c r="Y1101" s="2178"/>
      <c r="Z1101" s="2178"/>
      <c r="AA1101" s="2178"/>
      <c r="AB1101" s="2178"/>
      <c r="AC1101" s="2178"/>
      <c r="AD1101" s="2178"/>
      <c r="AE1101" s="2178"/>
      <c r="AF1101" s="2178"/>
    </row>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69" ht="12" customHeight="1"/>
    <row r="1193" ht="12" customHeight="1"/>
    <row r="1211" ht="12" customHeight="1"/>
    <row r="1229" spans="2:32" ht="15" customHeight="1">
      <c r="B1229" s="2178"/>
      <c r="C1229" s="2178"/>
      <c r="D1229" s="2178"/>
      <c r="E1229" s="2178"/>
      <c r="F1229" s="2178"/>
      <c r="G1229" s="2178"/>
      <c r="H1229" s="2178"/>
      <c r="I1229" s="2178"/>
      <c r="J1229" s="2178"/>
      <c r="K1229" s="2178"/>
      <c r="L1229" s="2178"/>
      <c r="M1229" s="2178"/>
      <c r="N1229" s="2178"/>
      <c r="O1229" s="2178"/>
      <c r="P1229" s="2178"/>
      <c r="Q1229" s="2178"/>
      <c r="R1229" s="2178"/>
      <c r="S1229" s="2178"/>
      <c r="T1229" s="2178"/>
      <c r="U1229" s="2178"/>
      <c r="V1229" s="2178"/>
      <c r="W1229" s="2178"/>
      <c r="X1229" s="2178"/>
      <c r="Y1229" s="2178"/>
      <c r="Z1229" s="2178"/>
      <c r="AA1229" s="2178"/>
      <c r="AB1229" s="2178"/>
      <c r="AC1229" s="2178"/>
      <c r="AD1229" s="2178"/>
      <c r="AE1229" s="2178"/>
      <c r="AF1229" s="2178"/>
    </row>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6" ht="12" customHeight="1"/>
    <row r="1326" ht="12" customHeight="1"/>
    <row r="1328" ht="12" customHeight="1"/>
    <row r="1339" ht="12" customHeight="1"/>
    <row r="1349" ht="12" customHeight="1"/>
    <row r="1351" ht="12" customHeight="1"/>
    <row r="1360" ht="12" customHeight="1"/>
    <row r="1374" ht="12" customHeight="1"/>
    <row r="1384" spans="2:32" ht="12" customHeight="1"/>
    <row r="1390" spans="2:32" ht="15" customHeight="1">
      <c r="B1390" s="2178"/>
      <c r="C1390" s="2178"/>
      <c r="D1390" s="2178"/>
      <c r="E1390" s="2178"/>
      <c r="F1390" s="2178"/>
      <c r="G1390" s="2178"/>
      <c r="H1390" s="2178"/>
      <c r="I1390" s="2178"/>
      <c r="J1390" s="2178"/>
      <c r="K1390" s="2178"/>
      <c r="L1390" s="2178"/>
      <c r="M1390" s="2178"/>
      <c r="N1390" s="2178"/>
      <c r="O1390" s="2178"/>
      <c r="P1390" s="2178"/>
      <c r="Q1390" s="2178"/>
      <c r="R1390" s="2178"/>
      <c r="S1390" s="2178"/>
      <c r="T1390" s="2178"/>
      <c r="U1390" s="2178"/>
      <c r="V1390" s="2178"/>
      <c r="W1390" s="2178"/>
      <c r="X1390" s="2178"/>
      <c r="Y1390" s="2178"/>
      <c r="Z1390" s="2178"/>
      <c r="AA1390" s="2178"/>
      <c r="AB1390" s="2178"/>
      <c r="AC1390" s="2178"/>
      <c r="AD1390" s="2178"/>
      <c r="AE1390" s="2178"/>
      <c r="AF1390" s="2178"/>
    </row>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50" ht="12" customHeight="1"/>
    <row r="1476" ht="12" customHeight="1"/>
    <row r="1488" ht="12" customHeight="1"/>
    <row r="1490" spans="2:32" ht="12" customHeight="1"/>
    <row r="1499" spans="2:32" ht="12" customHeight="1"/>
    <row r="1502" spans="2:32" ht="15" customHeight="1">
      <c r="B1502" s="2178"/>
      <c r="C1502" s="2178"/>
      <c r="D1502" s="2178"/>
      <c r="E1502" s="2178"/>
      <c r="F1502" s="2178"/>
      <c r="G1502" s="2178"/>
      <c r="H1502" s="2178"/>
      <c r="I1502" s="2178"/>
      <c r="J1502" s="2178"/>
      <c r="K1502" s="2178"/>
      <c r="L1502" s="2178"/>
      <c r="M1502" s="2178"/>
      <c r="N1502" s="2178"/>
      <c r="O1502" s="2178"/>
      <c r="P1502" s="2178"/>
      <c r="Q1502" s="2178"/>
      <c r="R1502" s="2178"/>
      <c r="S1502" s="2178"/>
      <c r="T1502" s="2178"/>
      <c r="U1502" s="2178"/>
      <c r="V1502" s="2178"/>
      <c r="W1502" s="2178"/>
      <c r="X1502" s="2178"/>
      <c r="Y1502" s="2178"/>
      <c r="Z1502" s="2178"/>
      <c r="AA1502" s="2178"/>
      <c r="AB1502" s="2178"/>
      <c r="AC1502" s="2178"/>
      <c r="AD1502" s="2178"/>
      <c r="AE1502" s="2178"/>
      <c r="AF1502" s="2178"/>
    </row>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6" ht="12" customHeight="1"/>
    <row r="1591" ht="12" customHeight="1"/>
    <row r="1593" ht="12" customHeight="1"/>
    <row r="1598" ht="12" customHeight="1"/>
    <row r="1604" spans="2:32" ht="15" customHeight="1">
      <c r="B1604" s="2178"/>
      <c r="C1604" s="2178"/>
      <c r="D1604" s="2178"/>
      <c r="E1604" s="2178"/>
      <c r="F1604" s="2178"/>
      <c r="G1604" s="2178"/>
      <c r="H1604" s="2178"/>
      <c r="I1604" s="2178"/>
      <c r="J1604" s="2178"/>
      <c r="K1604" s="2178"/>
      <c r="L1604" s="2178"/>
      <c r="M1604" s="2178"/>
      <c r="N1604" s="2178"/>
      <c r="O1604" s="2178"/>
      <c r="P1604" s="2178"/>
      <c r="Q1604" s="2178"/>
      <c r="R1604" s="2178"/>
      <c r="S1604" s="2178"/>
      <c r="T1604" s="2178"/>
      <c r="U1604" s="2178"/>
      <c r="V1604" s="2178"/>
      <c r="W1604" s="2178"/>
      <c r="X1604" s="2178"/>
      <c r="Y1604" s="2178"/>
      <c r="Z1604" s="2178"/>
      <c r="AA1604" s="2178"/>
      <c r="AB1604" s="2178"/>
      <c r="AC1604" s="2178"/>
      <c r="AD1604" s="2178"/>
      <c r="AE1604" s="2178"/>
      <c r="AF1604" s="2178"/>
    </row>
    <row r="1612" spans="2:32" ht="12" customHeight="1"/>
    <row r="1613" spans="2:32" ht="12" customHeight="1"/>
    <row r="1614" spans="2:32" ht="12" customHeight="1"/>
    <row r="1615" spans="2:32" ht="12" customHeight="1"/>
    <row r="1616" spans="2:32" ht="12" customHeight="1"/>
    <row r="1617" ht="12" customHeight="1"/>
    <row r="1618" ht="12" customHeight="1"/>
    <row r="1619" ht="12" customHeight="1"/>
    <row r="1620" ht="12" customHeight="1"/>
    <row r="1621" ht="12" customHeight="1"/>
    <row r="1622" ht="12" customHeight="1"/>
    <row r="1623" ht="12" customHeight="1"/>
    <row r="1624" ht="12" customHeight="1"/>
    <row r="1639" ht="12" customHeight="1"/>
    <row r="1665" ht="12" customHeight="1"/>
    <row r="1667" ht="12" customHeight="1"/>
    <row r="1668" ht="12" customHeight="1"/>
    <row r="1686" ht="12" customHeight="1"/>
    <row r="1688" ht="12" customHeight="1"/>
    <row r="1697" spans="2:32" ht="12" customHeight="1"/>
    <row r="1699" spans="2:32" ht="15" customHeight="1">
      <c r="B1699" s="2178"/>
      <c r="C1699" s="2178"/>
      <c r="D1699" s="2178"/>
      <c r="E1699" s="2178"/>
      <c r="F1699" s="2178"/>
      <c r="G1699" s="2178"/>
      <c r="H1699" s="2178"/>
      <c r="I1699" s="2178"/>
      <c r="J1699" s="2178"/>
      <c r="K1699" s="2178"/>
      <c r="L1699" s="2178"/>
      <c r="M1699" s="2178"/>
      <c r="N1699" s="2178"/>
      <c r="O1699" s="2178"/>
      <c r="P1699" s="2178"/>
      <c r="Q1699" s="2178"/>
      <c r="R1699" s="2178"/>
      <c r="S1699" s="2178"/>
      <c r="T1699" s="2178"/>
      <c r="U1699" s="2178"/>
      <c r="V1699" s="2178"/>
      <c r="W1699" s="2178"/>
      <c r="X1699" s="2178"/>
      <c r="Y1699" s="2178"/>
      <c r="Z1699" s="2178"/>
      <c r="AA1699" s="2178"/>
      <c r="AB1699" s="2178"/>
      <c r="AC1699" s="2178"/>
      <c r="AD1699" s="2178"/>
      <c r="AE1699" s="2178"/>
      <c r="AF1699" s="2178"/>
    </row>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60" ht="12" customHeight="1"/>
    <row r="1862" ht="12" customHeight="1"/>
    <row r="1866" ht="12" customHeight="1"/>
    <row r="1871" ht="12" customHeight="1"/>
    <row r="1877" ht="12" customHeight="1"/>
    <row r="1887" ht="12" customHeight="1"/>
    <row r="1892" ht="12" customHeight="1"/>
    <row r="1901" ht="12" customHeight="1"/>
    <row r="1902" ht="12" customHeight="1"/>
    <row r="1908" ht="12" customHeight="1"/>
    <row r="1914" ht="12" customHeight="1"/>
    <row r="1918" ht="12" customHeight="1"/>
    <row r="1923" ht="12" customHeight="1"/>
    <row r="1932" ht="12" customHeight="1"/>
    <row r="1936" ht="12" customHeight="1"/>
    <row r="1945" spans="2:32" ht="15" customHeight="1">
      <c r="B1945" s="2178"/>
      <c r="C1945" s="2178"/>
      <c r="D1945" s="2178"/>
      <c r="E1945" s="2178"/>
      <c r="F1945" s="2178"/>
      <c r="G1945" s="2178"/>
      <c r="H1945" s="2178"/>
      <c r="I1945" s="2178"/>
      <c r="J1945" s="2178"/>
      <c r="K1945" s="2178"/>
      <c r="L1945" s="2178"/>
      <c r="M1945" s="2178"/>
      <c r="N1945" s="2178"/>
      <c r="O1945" s="2178"/>
      <c r="P1945" s="2178"/>
      <c r="Q1945" s="2178"/>
      <c r="R1945" s="2178"/>
      <c r="S1945" s="2178"/>
      <c r="T1945" s="2178"/>
      <c r="U1945" s="2178"/>
      <c r="V1945" s="2178"/>
      <c r="W1945" s="2178"/>
      <c r="X1945" s="2178"/>
      <c r="Y1945" s="2178"/>
      <c r="Z1945" s="2178"/>
      <c r="AA1945" s="2178"/>
      <c r="AB1945" s="2178"/>
      <c r="AC1945" s="2178"/>
      <c r="AD1945" s="2178"/>
      <c r="AE1945" s="2178"/>
      <c r="AF1945" s="2178"/>
    </row>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83" ht="12" customHeight="1"/>
    <row r="1987" ht="12" customHeight="1"/>
    <row r="1989" ht="12" customHeight="1"/>
    <row r="2003" ht="12" customHeight="1"/>
    <row r="2005" ht="12" customHeight="1"/>
    <row r="2007" ht="12" customHeight="1"/>
    <row r="2010" ht="12" customHeight="1"/>
    <row r="2021" spans="2:32" ht="12" customHeight="1"/>
    <row r="2031" spans="2:32" ht="15" customHeight="1">
      <c r="B2031" s="2178"/>
      <c r="C2031" s="2178"/>
      <c r="D2031" s="2178"/>
      <c r="E2031" s="2178"/>
      <c r="F2031" s="2178"/>
      <c r="G2031" s="2178"/>
      <c r="H2031" s="2178"/>
      <c r="I2031" s="2178"/>
      <c r="J2031" s="2178"/>
      <c r="K2031" s="2178"/>
      <c r="L2031" s="2178"/>
      <c r="M2031" s="2178"/>
      <c r="N2031" s="2178"/>
      <c r="O2031" s="2178"/>
      <c r="P2031" s="2178"/>
      <c r="Q2031" s="2178"/>
      <c r="R2031" s="2178"/>
      <c r="S2031" s="2178"/>
      <c r="T2031" s="2178"/>
      <c r="U2031" s="2178"/>
      <c r="V2031" s="2178"/>
      <c r="W2031" s="2178"/>
      <c r="X2031" s="2178"/>
      <c r="Y2031" s="2178"/>
      <c r="Z2031" s="2178"/>
      <c r="AA2031" s="2178"/>
      <c r="AB2031" s="2178"/>
      <c r="AC2031" s="2178"/>
      <c r="AD2031" s="2178"/>
      <c r="AE2031" s="2178"/>
      <c r="AF2031" s="2178"/>
    </row>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6" ht="12" customHeight="1"/>
    <row r="2109" ht="12" customHeight="1"/>
    <row r="2123" ht="12" customHeight="1"/>
    <row r="2130" ht="12" customHeight="1"/>
    <row r="2132" ht="12" customHeight="1"/>
    <row r="2135" ht="12" customHeight="1"/>
    <row r="2147" spans="2:32" ht="12" customHeight="1"/>
    <row r="2149" spans="2:32" ht="12" customHeight="1"/>
    <row r="2150" spans="2:32" ht="12" customHeight="1"/>
    <row r="2153" spans="2:32" ht="15" customHeight="1">
      <c r="B2153" s="2178"/>
      <c r="C2153" s="2178"/>
      <c r="D2153" s="2178"/>
      <c r="E2153" s="2178"/>
      <c r="F2153" s="2178"/>
      <c r="G2153" s="2178"/>
      <c r="H2153" s="2178"/>
      <c r="I2153" s="2178"/>
      <c r="J2153" s="2178"/>
      <c r="K2153" s="2178"/>
      <c r="L2153" s="2178"/>
      <c r="M2153" s="2178"/>
      <c r="N2153" s="2178"/>
      <c r="O2153" s="2178"/>
      <c r="P2153" s="2178"/>
      <c r="Q2153" s="2178"/>
      <c r="R2153" s="2178"/>
      <c r="S2153" s="2178"/>
      <c r="T2153" s="2178"/>
      <c r="U2153" s="2178"/>
      <c r="V2153" s="2178"/>
      <c r="W2153" s="2178"/>
      <c r="X2153" s="2178"/>
      <c r="Y2153" s="2178"/>
      <c r="Z2153" s="2178"/>
      <c r="AA2153" s="2178"/>
      <c r="AB2153" s="2178"/>
      <c r="AC2153" s="2178"/>
      <c r="AD2153" s="2178"/>
      <c r="AE2153" s="2178"/>
      <c r="AF2153" s="2178"/>
    </row>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9" ht="12" customHeight="1"/>
    <row r="2263" ht="12" customHeight="1"/>
    <row r="2265" ht="12" customHeight="1"/>
    <row r="2270" ht="12" customHeight="1"/>
    <row r="2272" ht="12" customHeight="1"/>
    <row r="2281" ht="12" customHeight="1"/>
    <row r="2283" ht="12" customHeight="1"/>
    <row r="2287" ht="12" customHeight="1"/>
    <row r="2299" ht="12" customHeight="1"/>
    <row r="2300" ht="12" customHeight="1"/>
    <row r="2304" ht="12" customHeight="1"/>
    <row r="2317" spans="2:32" ht="15" customHeight="1">
      <c r="B2317" s="2178"/>
      <c r="C2317" s="2178"/>
      <c r="D2317" s="2178"/>
      <c r="E2317" s="2178"/>
      <c r="F2317" s="2178"/>
      <c r="G2317" s="2178"/>
      <c r="H2317" s="2178"/>
      <c r="I2317" s="2178"/>
      <c r="J2317" s="2178"/>
      <c r="K2317" s="2178"/>
      <c r="L2317" s="2178"/>
      <c r="M2317" s="2178"/>
      <c r="N2317" s="2178"/>
      <c r="O2317" s="2178"/>
      <c r="P2317" s="2178"/>
      <c r="Q2317" s="2178"/>
      <c r="R2317" s="2178"/>
      <c r="S2317" s="2178"/>
      <c r="T2317" s="2178"/>
      <c r="U2317" s="2178"/>
      <c r="V2317" s="2178"/>
      <c r="W2317" s="2178"/>
      <c r="X2317" s="2178"/>
      <c r="Y2317" s="2178"/>
      <c r="Z2317" s="2178"/>
      <c r="AA2317" s="2178"/>
      <c r="AB2317" s="2178"/>
      <c r="AC2317" s="2178"/>
      <c r="AD2317" s="2178"/>
      <c r="AE2317" s="2178"/>
      <c r="AF2317" s="2178"/>
    </row>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66" ht="12" customHeight="1"/>
    <row r="2379" ht="12" customHeight="1"/>
    <row r="2389" ht="12" customHeight="1"/>
    <row r="2398" ht="12" customHeight="1"/>
    <row r="2399" ht="12" customHeight="1"/>
    <row r="2409" ht="12" customHeight="1"/>
    <row r="2419" spans="2:32" ht="15" customHeight="1">
      <c r="B2419" s="2178"/>
      <c r="C2419" s="2178"/>
      <c r="D2419" s="2178"/>
      <c r="E2419" s="2178"/>
      <c r="F2419" s="2178"/>
      <c r="G2419" s="2178"/>
      <c r="H2419" s="2178"/>
      <c r="I2419" s="2178"/>
      <c r="J2419" s="2178"/>
      <c r="K2419" s="2178"/>
      <c r="L2419" s="2178"/>
      <c r="M2419" s="2178"/>
      <c r="N2419" s="2178"/>
      <c r="O2419" s="2178"/>
      <c r="P2419" s="2178"/>
      <c r="Q2419" s="2178"/>
      <c r="R2419" s="2178"/>
      <c r="S2419" s="2178"/>
      <c r="T2419" s="2178"/>
      <c r="U2419" s="2178"/>
      <c r="V2419" s="2178"/>
      <c r="W2419" s="2178"/>
      <c r="X2419" s="2178"/>
      <c r="Y2419" s="2178"/>
      <c r="Z2419" s="2178"/>
      <c r="AA2419" s="2178"/>
      <c r="AB2419" s="2178"/>
      <c r="AC2419" s="2178"/>
      <c r="AD2419" s="2178"/>
      <c r="AE2419" s="2178"/>
      <c r="AF2419" s="2178"/>
    </row>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6" ht="12" customHeight="1"/>
    <row r="2458" ht="12" customHeight="1"/>
    <row r="2460" ht="12" customHeight="1"/>
    <row r="2466" ht="12" customHeight="1"/>
    <row r="2474" ht="12" customHeight="1"/>
    <row r="2485" ht="12" customHeight="1"/>
    <row r="2487" ht="12" customHeight="1"/>
    <row r="2493" ht="12" customHeight="1"/>
    <row r="2494" ht="12" customHeight="1"/>
    <row r="2497" spans="2:32" ht="12" customHeight="1"/>
    <row r="2503" spans="2:32" ht="12" customHeight="1"/>
    <row r="2509" spans="2:32" ht="15" customHeight="1">
      <c r="B2509" s="2178"/>
      <c r="C2509" s="2178"/>
      <c r="D2509" s="2178"/>
      <c r="E2509" s="2178"/>
      <c r="F2509" s="2178"/>
      <c r="G2509" s="2178"/>
      <c r="H2509" s="2178"/>
      <c r="I2509" s="2178"/>
      <c r="J2509" s="2178"/>
      <c r="K2509" s="2178"/>
      <c r="L2509" s="2178"/>
      <c r="M2509" s="2178"/>
      <c r="N2509" s="2178"/>
      <c r="O2509" s="2178"/>
      <c r="P2509" s="2178"/>
      <c r="Q2509" s="2178"/>
      <c r="R2509" s="2178"/>
      <c r="S2509" s="2178"/>
      <c r="T2509" s="2178"/>
      <c r="U2509" s="2178"/>
      <c r="V2509" s="2178"/>
      <c r="W2509" s="2178"/>
      <c r="X2509" s="2178"/>
      <c r="Y2509" s="2178"/>
      <c r="Z2509" s="2178"/>
      <c r="AA2509" s="2178"/>
      <c r="AB2509" s="2178"/>
      <c r="AC2509" s="2178"/>
      <c r="AD2509" s="2178"/>
      <c r="AE2509" s="2178"/>
      <c r="AF2509" s="2178"/>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60" ht="12" customHeight="1"/>
    <row r="2567" ht="12" customHeight="1"/>
    <row r="2574" ht="12" customHeight="1"/>
    <row r="2580" ht="12" customHeight="1"/>
    <row r="2587" ht="12" customHeight="1"/>
    <row r="2594" spans="2:32" ht="12" customHeight="1"/>
    <row r="2598" spans="2:32" ht="15" customHeight="1">
      <c r="B2598" s="2178"/>
      <c r="C2598" s="2178"/>
      <c r="D2598" s="2178"/>
      <c r="E2598" s="2178"/>
      <c r="F2598" s="2178"/>
      <c r="G2598" s="2178"/>
      <c r="H2598" s="2178"/>
      <c r="I2598" s="2178"/>
      <c r="J2598" s="2178"/>
      <c r="K2598" s="2178"/>
      <c r="L2598" s="2178"/>
      <c r="M2598" s="2178"/>
      <c r="N2598" s="2178"/>
      <c r="O2598" s="2178"/>
      <c r="P2598" s="2178"/>
      <c r="Q2598" s="2178"/>
      <c r="R2598" s="2178"/>
      <c r="S2598" s="2178"/>
      <c r="T2598" s="2178"/>
      <c r="U2598" s="2178"/>
      <c r="V2598" s="2178"/>
      <c r="W2598" s="2178"/>
      <c r="X2598" s="2178"/>
      <c r="Y2598" s="2178"/>
      <c r="Z2598" s="2178"/>
      <c r="AA2598" s="2178"/>
      <c r="AB2598" s="2178"/>
      <c r="AC2598" s="2178"/>
      <c r="AD2598" s="2178"/>
      <c r="AE2598" s="2178"/>
      <c r="AF2598" s="2178"/>
    </row>
    <row r="2616" ht="12" customHeight="1"/>
    <row r="2617" ht="12" customHeight="1"/>
    <row r="2618" ht="12" customHeight="1"/>
    <row r="2619" ht="12" customHeight="1"/>
    <row r="2620" ht="12" customHeight="1"/>
    <row r="2621" ht="12" customHeight="1"/>
    <row r="2622" ht="12" customHeight="1"/>
    <row r="2623" ht="12" customHeight="1"/>
    <row r="2624" ht="12" customHeight="1"/>
    <row r="2647" ht="12" customHeight="1"/>
    <row r="2660" ht="12" customHeight="1"/>
    <row r="2661" ht="12" customHeight="1"/>
    <row r="2688" ht="12" customHeight="1"/>
    <row r="2705" spans="2:32" ht="12" customHeight="1"/>
    <row r="2706" spans="2:32" ht="12" customHeight="1"/>
    <row r="2719" spans="2:32" ht="15" customHeight="1">
      <c r="B2719" s="2178"/>
      <c r="C2719" s="2178"/>
      <c r="D2719" s="2178"/>
      <c r="E2719" s="2178"/>
      <c r="F2719" s="2178"/>
      <c r="G2719" s="2178"/>
      <c r="H2719" s="2178"/>
      <c r="I2719" s="2178"/>
      <c r="J2719" s="2178"/>
      <c r="K2719" s="2178"/>
      <c r="L2719" s="2178"/>
      <c r="M2719" s="2178"/>
      <c r="N2719" s="2178"/>
      <c r="O2719" s="2178"/>
      <c r="P2719" s="2178"/>
      <c r="Q2719" s="2178"/>
      <c r="R2719" s="2178"/>
      <c r="S2719" s="2178"/>
      <c r="T2719" s="2178"/>
      <c r="U2719" s="2178"/>
      <c r="V2719" s="2178"/>
      <c r="W2719" s="2178"/>
      <c r="X2719" s="2178"/>
      <c r="Y2719" s="2178"/>
      <c r="Z2719" s="2178"/>
      <c r="AA2719" s="2178"/>
      <c r="AB2719" s="2178"/>
      <c r="AC2719" s="2178"/>
      <c r="AD2719" s="2178"/>
      <c r="AE2719" s="2178"/>
      <c r="AF2719" s="2178"/>
    </row>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7" ht="12" customHeight="1"/>
    <row r="2792" ht="12" customHeight="1"/>
    <row r="2803" ht="12" customHeight="1"/>
    <row r="2808" ht="12" customHeight="1"/>
    <row r="2817" ht="12" customHeight="1"/>
    <row r="2824" ht="12" customHeight="1"/>
    <row r="2829" ht="12" customHeight="1"/>
    <row r="2830" ht="12" customHeight="1"/>
    <row r="2837" spans="2:32" ht="15" customHeight="1">
      <c r="B2837" s="2178"/>
      <c r="C2837" s="2178"/>
      <c r="D2837" s="2178"/>
      <c r="E2837" s="2178"/>
      <c r="F2837" s="2178"/>
      <c r="G2837" s="2178"/>
      <c r="H2837" s="2178"/>
      <c r="I2837" s="2178"/>
      <c r="J2837" s="2178"/>
      <c r="K2837" s="2178"/>
      <c r="L2837" s="2178"/>
      <c r="M2837" s="2178"/>
      <c r="N2837" s="2178"/>
      <c r="O2837" s="2178"/>
      <c r="P2837" s="2178"/>
      <c r="Q2837" s="2178"/>
      <c r="R2837" s="2178"/>
      <c r="S2837" s="2178"/>
      <c r="T2837" s="2178"/>
      <c r="U2837" s="2178"/>
      <c r="V2837" s="2178"/>
      <c r="W2837" s="2178"/>
      <c r="X2837" s="2178"/>
      <c r="Y2837" s="2178"/>
      <c r="Z2837" s="2178"/>
      <c r="AA2837" s="2178"/>
      <c r="AB2837" s="2178"/>
      <c r="AC2837" s="2178"/>
      <c r="AD2837" s="2178"/>
      <c r="AE2837" s="2178"/>
      <c r="AF2837" s="2178"/>
    </row>
  </sheetData>
  <mergeCells count="20">
    <mergeCell ref="B2719:AF2719"/>
    <mergeCell ref="B2837:AF2837"/>
    <mergeCell ref="B2031:AF2031"/>
    <mergeCell ref="B2153:AF2153"/>
    <mergeCell ref="B2317:AF2317"/>
    <mergeCell ref="B2419:AF2419"/>
    <mergeCell ref="B2509:AF2509"/>
    <mergeCell ref="B2598:AF2598"/>
    <mergeCell ref="B122:AG122"/>
    <mergeCell ref="B1945:AF1945"/>
    <mergeCell ref="B308:AF308"/>
    <mergeCell ref="B511:AF511"/>
    <mergeCell ref="B712:AF712"/>
    <mergeCell ref="B887:AF887"/>
    <mergeCell ref="B1101:AF1101"/>
    <mergeCell ref="B1229:AF1229"/>
    <mergeCell ref="B1390:AF1390"/>
    <mergeCell ref="B1502:AF1502"/>
    <mergeCell ref="B1604:AF1604"/>
    <mergeCell ref="B1699:AF1699"/>
  </mergeCells>
  <pageMargins left="0.75" right="0.75" top="1" bottom="1" header="0.5" footer="0.5"/>
  <pageSetup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32484-9C5F-492D-91BB-464C05464306}">
  <sheetPr codeName="Sheet29"/>
  <dimension ref="A1:AH2837"/>
  <sheetViews>
    <sheetView workbookViewId="0">
      <pane xSplit="2" ySplit="1" topLeftCell="C2" activePane="bottomRight" state="frozen"/>
      <selection pane="topRight" activeCell="C1" sqref="C1"/>
      <selection pane="bottomLeft" activeCell="A2" sqref="A2"/>
      <selection pane="bottomRight" activeCell="B121" sqref="B121"/>
    </sheetView>
  </sheetViews>
  <sheetFormatPr baseColWidth="10" defaultColWidth="9.33203125" defaultRowHeight="15" customHeight="1"/>
  <cols>
    <col min="1" max="1" width="20.6640625" style="28" hidden="1" customWidth="1"/>
    <col min="2" max="2" width="45.6640625" style="28" customWidth="1"/>
    <col min="3" max="16384" width="9.33203125" style="28"/>
  </cols>
  <sheetData>
    <row r="1" spans="1:33" ht="15" customHeight="1" thickBot="1">
      <c r="B1" s="50" t="s">
        <v>2046</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2047</v>
      </c>
      <c r="D3" s="48" t="s">
        <v>311</v>
      </c>
      <c r="E3" s="47"/>
      <c r="F3" s="47"/>
      <c r="G3" s="47"/>
    </row>
    <row r="4" spans="1:33" ht="15" customHeight="1">
      <c r="C4" s="48" t="s">
        <v>2048</v>
      </c>
      <c r="D4" s="48" t="s">
        <v>2049</v>
      </c>
      <c r="E4" s="47"/>
      <c r="F4" s="47"/>
      <c r="G4" s="48" t="s">
        <v>207</v>
      </c>
    </row>
    <row r="5" spans="1:33" ht="15" customHeight="1">
      <c r="C5" s="48" t="s">
        <v>2050</v>
      </c>
      <c r="D5" s="48" t="s">
        <v>2051</v>
      </c>
      <c r="E5" s="47"/>
      <c r="F5" s="47"/>
      <c r="G5" s="47"/>
    </row>
    <row r="6" spans="1:33" ht="15" customHeight="1">
      <c r="C6" s="48" t="s">
        <v>2052</v>
      </c>
      <c r="D6" s="47"/>
      <c r="E6" s="48" t="s">
        <v>2053</v>
      </c>
      <c r="F6" s="47"/>
      <c r="G6" s="47"/>
    </row>
    <row r="7" spans="1:33" ht="12" customHeight="1"/>
    <row r="8" spans="1:33" ht="12" customHeight="1"/>
    <row r="9" spans="1:33" ht="12" customHeight="1">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row>
    <row r="10" spans="1:33" ht="15" customHeight="1">
      <c r="A10" s="34" t="s">
        <v>2296</v>
      </c>
      <c r="B10" s="46" t="s">
        <v>2297</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2056</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2058</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2059</v>
      </c>
      <c r="AG12" s="29"/>
    </row>
    <row r="13" spans="1:33" ht="15" customHeight="1" thickBot="1">
      <c r="B13" s="42" t="s">
        <v>2298</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t="s">
        <v>2061</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B15" s="33" t="s">
        <v>2299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row>
    <row r="16" spans="1:33" ht="15" customHeight="1">
      <c r="B16" s="33" t="s">
        <v>2300</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A17" s="34" t="s">
        <v>2301</v>
      </c>
      <c r="B17" s="37" t="s">
        <v>2302</v>
      </c>
      <c r="C17" s="53">
        <v>6697.8847660000001</v>
      </c>
      <c r="D17" s="53">
        <v>6758.5898440000001</v>
      </c>
      <c r="E17" s="53">
        <v>6771.7910160000001</v>
      </c>
      <c r="F17" s="53">
        <v>6833.3701170000004</v>
      </c>
      <c r="G17" s="53">
        <v>6944.1020509999998</v>
      </c>
      <c r="H17" s="53">
        <v>7064.9638670000004</v>
      </c>
      <c r="I17" s="53">
        <v>7160.2954099999997</v>
      </c>
      <c r="J17" s="53">
        <v>7231.5322269999997</v>
      </c>
      <c r="K17" s="53">
        <v>7290.5878910000001</v>
      </c>
      <c r="L17" s="53">
        <v>7367.3496089999999</v>
      </c>
      <c r="M17" s="53">
        <v>7481.513672</v>
      </c>
      <c r="N17" s="53">
        <v>7583.3486329999996</v>
      </c>
      <c r="O17" s="53">
        <v>7681.3842770000001</v>
      </c>
      <c r="P17" s="53">
        <v>7786.7773440000001</v>
      </c>
      <c r="Q17" s="53">
        <v>7888.3823240000002</v>
      </c>
      <c r="R17" s="53">
        <v>7990.5244140000004</v>
      </c>
      <c r="S17" s="53">
        <v>8097.0214839999999</v>
      </c>
      <c r="T17" s="53">
        <v>8199.3603519999997</v>
      </c>
      <c r="U17" s="53">
        <v>8316.9638670000004</v>
      </c>
      <c r="V17" s="53">
        <v>8445.7978519999997</v>
      </c>
      <c r="W17" s="53">
        <v>8571.2490230000003</v>
      </c>
      <c r="X17" s="53">
        <v>8691.1308590000008</v>
      </c>
      <c r="Y17" s="53">
        <v>8799.1328119999998</v>
      </c>
      <c r="Z17" s="53">
        <v>8899.6904300000006</v>
      </c>
      <c r="AA17" s="53">
        <v>9015.9970699999994</v>
      </c>
      <c r="AB17" s="53">
        <v>9142.9052730000003</v>
      </c>
      <c r="AC17" s="53">
        <v>9254.2802730000003</v>
      </c>
      <c r="AD17" s="53">
        <v>9365.4667969999991</v>
      </c>
      <c r="AE17" s="53">
        <v>9517.6181639999995</v>
      </c>
      <c r="AF17" s="35">
        <v>1.2626999999999999E-2</v>
      </c>
      <c r="AG17" s="29"/>
    </row>
    <row r="18" spans="1:33" ht="15" customHeight="1">
      <c r="A18" s="34" t="s">
        <v>2303</v>
      </c>
      <c r="B18" s="37" t="s">
        <v>2304</v>
      </c>
      <c r="C18" s="53">
        <v>2681.0803219999998</v>
      </c>
      <c r="D18" s="53">
        <v>2628.852539</v>
      </c>
      <c r="E18" s="53">
        <v>2624.1557619999999</v>
      </c>
      <c r="F18" s="53">
        <v>2655.4101559999999</v>
      </c>
      <c r="G18" s="53">
        <v>2682.7021479999999</v>
      </c>
      <c r="H18" s="53">
        <v>2688.8879390000002</v>
      </c>
      <c r="I18" s="53">
        <v>2708.4409179999998</v>
      </c>
      <c r="J18" s="53">
        <v>2746.125732</v>
      </c>
      <c r="K18" s="53">
        <v>2775.4067380000001</v>
      </c>
      <c r="L18" s="53">
        <v>2785.6977539999998</v>
      </c>
      <c r="M18" s="53">
        <v>2795.6611330000001</v>
      </c>
      <c r="N18" s="53">
        <v>2809.0566410000001</v>
      </c>
      <c r="O18" s="53">
        <v>2818.998047</v>
      </c>
      <c r="P18" s="53">
        <v>2832.444336</v>
      </c>
      <c r="Q18" s="53">
        <v>2851.4467770000001</v>
      </c>
      <c r="R18" s="53">
        <v>2878.5874020000001</v>
      </c>
      <c r="S18" s="53">
        <v>2906.5366210000002</v>
      </c>
      <c r="T18" s="53">
        <v>2932.4846189999998</v>
      </c>
      <c r="U18" s="53">
        <v>2958.3295899999998</v>
      </c>
      <c r="V18" s="53">
        <v>2988.671143</v>
      </c>
      <c r="W18" s="53">
        <v>3015.7910160000001</v>
      </c>
      <c r="X18" s="53">
        <v>3041.9609380000002</v>
      </c>
      <c r="Y18" s="53">
        <v>3067.6520999999998</v>
      </c>
      <c r="Z18" s="53">
        <v>3092.5610350000002</v>
      </c>
      <c r="AA18" s="53">
        <v>3120.2929690000001</v>
      </c>
      <c r="AB18" s="53">
        <v>3143.9736330000001</v>
      </c>
      <c r="AC18" s="53">
        <v>3168.15625</v>
      </c>
      <c r="AD18" s="53">
        <v>3191.6689449999999</v>
      </c>
      <c r="AE18" s="53">
        <v>3223.2126459999999</v>
      </c>
      <c r="AF18" s="35">
        <v>6.5989999999999998E-3</v>
      </c>
      <c r="AG18" s="29"/>
    </row>
    <row r="19" spans="1:33" ht="15" customHeight="1">
      <c r="A19" s="34" t="s">
        <v>2305</v>
      </c>
      <c r="B19" s="33" t="s">
        <v>2080</v>
      </c>
      <c r="C19" s="40">
        <v>9378.9648440000001</v>
      </c>
      <c r="D19" s="40">
        <v>9387.4423829999996</v>
      </c>
      <c r="E19" s="40">
        <v>9395.9472659999992</v>
      </c>
      <c r="F19" s="40">
        <v>9488.7802730000003</v>
      </c>
      <c r="G19" s="40">
        <v>9626.8046880000002</v>
      </c>
      <c r="H19" s="40">
        <v>9753.8515619999998</v>
      </c>
      <c r="I19" s="40">
        <v>9868.7363280000009</v>
      </c>
      <c r="J19" s="40">
        <v>9977.6582030000009</v>
      </c>
      <c r="K19" s="40">
        <v>10065.994140999999</v>
      </c>
      <c r="L19" s="40">
        <v>10153.046875</v>
      </c>
      <c r="M19" s="40">
        <v>10277.174805000001</v>
      </c>
      <c r="N19" s="40">
        <v>10392.405273</v>
      </c>
      <c r="O19" s="40">
        <v>10500.382812</v>
      </c>
      <c r="P19" s="40">
        <v>10619.221680000001</v>
      </c>
      <c r="Q19" s="40">
        <v>10739.829102</v>
      </c>
      <c r="R19" s="40">
        <v>10869.111328000001</v>
      </c>
      <c r="S19" s="40">
        <v>11003.558594</v>
      </c>
      <c r="T19" s="40">
        <v>11131.844727</v>
      </c>
      <c r="U19" s="40">
        <v>11275.292969</v>
      </c>
      <c r="V19" s="40">
        <v>11434.46875</v>
      </c>
      <c r="W19" s="40">
        <v>11587.040039</v>
      </c>
      <c r="X19" s="40">
        <v>11733.091796999999</v>
      </c>
      <c r="Y19" s="40">
        <v>11866.785156</v>
      </c>
      <c r="Z19" s="40">
        <v>11992.251953000001</v>
      </c>
      <c r="AA19" s="40">
        <v>12136.290039</v>
      </c>
      <c r="AB19" s="40">
        <v>12286.878906</v>
      </c>
      <c r="AC19" s="40">
        <v>12422.436523</v>
      </c>
      <c r="AD19" s="40">
        <v>12557.135742</v>
      </c>
      <c r="AE19" s="40">
        <v>12740.831055000001</v>
      </c>
      <c r="AF19" s="31">
        <v>1.1001E-2</v>
      </c>
      <c r="AG19" s="29"/>
    </row>
    <row r="20" spans="1:33" ht="15" customHeight="1">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row>
    <row r="21" spans="1:33" ht="15" customHeight="1">
      <c r="B21" s="33" t="s">
        <v>2306</v>
      </c>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row>
    <row r="22" spans="1:33" ht="15" customHeight="1">
      <c r="B22" s="33" t="s">
        <v>2307</v>
      </c>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row>
    <row r="23" spans="1:33" ht="15" customHeight="1">
      <c r="A23" s="34" t="s">
        <v>2308</v>
      </c>
      <c r="B23" s="37" t="s">
        <v>2064</v>
      </c>
      <c r="C23" s="38">
        <v>23.435020000000002</v>
      </c>
      <c r="D23" s="38">
        <v>21.469131000000001</v>
      </c>
      <c r="E23" s="38">
        <v>19.205514999999998</v>
      </c>
      <c r="F23" s="38">
        <v>17.003975000000001</v>
      </c>
      <c r="G23" s="38">
        <v>15.932600000000001</v>
      </c>
      <c r="H23" s="38">
        <v>15.368119999999999</v>
      </c>
      <c r="I23" s="38">
        <v>15.270111</v>
      </c>
      <c r="J23" s="38">
        <v>15.401593999999999</v>
      </c>
      <c r="K23" s="38">
        <v>15.727974</v>
      </c>
      <c r="L23" s="38">
        <v>16.148448999999999</v>
      </c>
      <c r="M23" s="38">
        <v>16.682365000000001</v>
      </c>
      <c r="N23" s="38">
        <v>17.278714999999998</v>
      </c>
      <c r="O23" s="38">
        <v>17.769476000000001</v>
      </c>
      <c r="P23" s="38">
        <v>18.054673999999999</v>
      </c>
      <c r="Q23" s="38">
        <v>18.227862999999999</v>
      </c>
      <c r="R23" s="38">
        <v>18.434585999999999</v>
      </c>
      <c r="S23" s="38">
        <v>18.832411</v>
      </c>
      <c r="T23" s="38">
        <v>18.834531999999999</v>
      </c>
      <c r="U23" s="38">
        <v>19.175160999999999</v>
      </c>
      <c r="V23" s="38">
        <v>19.442754999999998</v>
      </c>
      <c r="W23" s="38">
        <v>19.555237000000002</v>
      </c>
      <c r="X23" s="38">
        <v>19.550401999999998</v>
      </c>
      <c r="Y23" s="38">
        <v>19.489827999999999</v>
      </c>
      <c r="Z23" s="38">
        <v>19.551672</v>
      </c>
      <c r="AA23" s="38">
        <v>19.545283999999999</v>
      </c>
      <c r="AB23" s="38">
        <v>19.586832000000001</v>
      </c>
      <c r="AC23" s="38">
        <v>19.694735999999999</v>
      </c>
      <c r="AD23" s="38">
        <v>19.679703</v>
      </c>
      <c r="AE23" s="38">
        <v>19.630019999999998</v>
      </c>
      <c r="AF23" s="35">
        <v>-6.3080000000000002E-3</v>
      </c>
      <c r="AG23" s="29"/>
    </row>
    <row r="24" spans="1:33" ht="15" customHeight="1">
      <c r="A24" s="34" t="s">
        <v>2309</v>
      </c>
      <c r="B24" s="37" t="s">
        <v>2310</v>
      </c>
      <c r="C24" s="38">
        <v>34.599964</v>
      </c>
      <c r="D24" s="38">
        <v>29.196480000000001</v>
      </c>
      <c r="E24" s="38">
        <v>27.493793</v>
      </c>
      <c r="F24" s="38">
        <v>26.178529999999999</v>
      </c>
      <c r="G24" s="38">
        <v>26.023122999999998</v>
      </c>
      <c r="H24" s="38">
        <v>25.749741</v>
      </c>
      <c r="I24" s="38">
        <v>25.520337999999999</v>
      </c>
      <c r="J24" s="38">
        <v>25.580219</v>
      </c>
      <c r="K24" s="38">
        <v>25.683491</v>
      </c>
      <c r="L24" s="38">
        <v>25.665742999999999</v>
      </c>
      <c r="M24" s="38">
        <v>25.813133000000001</v>
      </c>
      <c r="N24" s="38">
        <v>25.892859000000001</v>
      </c>
      <c r="O24" s="38">
        <v>25.995114999999998</v>
      </c>
      <c r="P24" s="38">
        <v>26.067188000000002</v>
      </c>
      <c r="Q24" s="38">
        <v>26.347957999999998</v>
      </c>
      <c r="R24" s="38">
        <v>26.401878</v>
      </c>
      <c r="S24" s="38">
        <v>26.494064000000002</v>
      </c>
      <c r="T24" s="38">
        <v>26.617166999999998</v>
      </c>
      <c r="U24" s="38">
        <v>26.665388</v>
      </c>
      <c r="V24" s="38">
        <v>26.680665999999999</v>
      </c>
      <c r="W24" s="38">
        <v>26.760572</v>
      </c>
      <c r="X24" s="38">
        <v>26.669174000000002</v>
      </c>
      <c r="Y24" s="38">
        <v>26.854084</v>
      </c>
      <c r="Z24" s="38">
        <v>26.866278000000001</v>
      </c>
      <c r="AA24" s="38">
        <v>27.358256999999998</v>
      </c>
      <c r="AB24" s="38">
        <v>27.370774999999998</v>
      </c>
      <c r="AC24" s="38">
        <v>27.600125999999999</v>
      </c>
      <c r="AD24" s="38">
        <v>27.685863000000001</v>
      </c>
      <c r="AE24" s="38">
        <v>27.936733</v>
      </c>
      <c r="AF24" s="35">
        <v>-7.6109999999999997E-3</v>
      </c>
      <c r="AG24" s="29"/>
    </row>
    <row r="25" spans="1:33" ht="15" customHeight="1">
      <c r="A25" s="34" t="s">
        <v>2311</v>
      </c>
      <c r="B25" s="37" t="s">
        <v>2088</v>
      </c>
      <c r="C25" s="38">
        <v>35.187302000000003</v>
      </c>
      <c r="D25" s="38">
        <v>32.804630000000003</v>
      </c>
      <c r="E25" s="38">
        <v>30.476191</v>
      </c>
      <c r="F25" s="38">
        <v>27.636358000000001</v>
      </c>
      <c r="G25" s="38">
        <v>25.955219</v>
      </c>
      <c r="H25" s="38">
        <v>24.321341</v>
      </c>
      <c r="I25" s="38">
        <v>22.837069</v>
      </c>
      <c r="J25" s="38">
        <v>22.933368999999999</v>
      </c>
      <c r="K25" s="38">
        <v>22.940442999999998</v>
      </c>
      <c r="L25" s="38">
        <v>23.109438000000001</v>
      </c>
      <c r="M25" s="38">
        <v>23.212620000000001</v>
      </c>
      <c r="N25" s="38">
        <v>23.333881000000002</v>
      </c>
      <c r="O25" s="38">
        <v>23.39049</v>
      </c>
      <c r="P25" s="38">
        <v>23.561223999999999</v>
      </c>
      <c r="Q25" s="38">
        <v>23.589086999999999</v>
      </c>
      <c r="R25" s="38">
        <v>23.713947000000001</v>
      </c>
      <c r="S25" s="38">
        <v>23.804403000000001</v>
      </c>
      <c r="T25" s="38">
        <v>23.853134000000001</v>
      </c>
      <c r="U25" s="38">
        <v>23.908232000000002</v>
      </c>
      <c r="V25" s="38">
        <v>24.072897000000001</v>
      </c>
      <c r="W25" s="38">
        <v>24.073511</v>
      </c>
      <c r="X25" s="38">
        <v>24.198322000000001</v>
      </c>
      <c r="Y25" s="38">
        <v>24.118036</v>
      </c>
      <c r="Z25" s="38">
        <v>24.174662000000001</v>
      </c>
      <c r="AA25" s="38">
        <v>24.400406</v>
      </c>
      <c r="AB25" s="38">
        <v>24.425331</v>
      </c>
      <c r="AC25" s="38">
        <v>24.465714999999999</v>
      </c>
      <c r="AD25" s="38">
        <v>24.54307</v>
      </c>
      <c r="AE25" s="38">
        <v>24.550739</v>
      </c>
      <c r="AF25" s="35">
        <v>-1.2773E-2</v>
      </c>
      <c r="AG25" s="29"/>
    </row>
    <row r="26" spans="1:33" ht="15" customHeight="1">
      <c r="A26" s="34" t="s">
        <v>2312</v>
      </c>
      <c r="B26" s="37" t="s">
        <v>2090</v>
      </c>
      <c r="C26" s="38">
        <v>13.34515</v>
      </c>
      <c r="D26" s="38">
        <v>8.4961450000000003</v>
      </c>
      <c r="E26" s="38">
        <v>10.168447</v>
      </c>
      <c r="F26" s="38">
        <v>10.736027</v>
      </c>
      <c r="G26" s="38">
        <v>12.278802000000001</v>
      </c>
      <c r="H26" s="38">
        <v>13.923551</v>
      </c>
      <c r="I26" s="38">
        <v>15.540428</v>
      </c>
      <c r="J26" s="38">
        <v>15.624060999999999</v>
      </c>
      <c r="K26" s="38">
        <v>15.728377999999999</v>
      </c>
      <c r="L26" s="38">
        <v>15.850405</v>
      </c>
      <c r="M26" s="38">
        <v>15.970654</v>
      </c>
      <c r="N26" s="38">
        <v>16.084973999999999</v>
      </c>
      <c r="O26" s="38">
        <v>16.205594999999999</v>
      </c>
      <c r="P26" s="38">
        <v>16.335402999999999</v>
      </c>
      <c r="Q26" s="38">
        <v>16.434000000000001</v>
      </c>
      <c r="R26" s="38">
        <v>16.537801999999999</v>
      </c>
      <c r="S26" s="38">
        <v>16.65823</v>
      </c>
      <c r="T26" s="38">
        <v>16.734859</v>
      </c>
      <c r="U26" s="38">
        <v>16.834289999999999</v>
      </c>
      <c r="V26" s="38">
        <v>16.971537000000001</v>
      </c>
      <c r="W26" s="38">
        <v>16.992591999999998</v>
      </c>
      <c r="X26" s="38">
        <v>17.066227000000001</v>
      </c>
      <c r="Y26" s="38">
        <v>17.056498999999999</v>
      </c>
      <c r="Z26" s="38">
        <v>17.117035000000001</v>
      </c>
      <c r="AA26" s="38">
        <v>17.292304999999999</v>
      </c>
      <c r="AB26" s="38">
        <v>17.297117</v>
      </c>
      <c r="AC26" s="38">
        <v>17.411476</v>
      </c>
      <c r="AD26" s="38">
        <v>17.497350999999998</v>
      </c>
      <c r="AE26" s="38">
        <v>17.570716999999998</v>
      </c>
      <c r="AF26" s="35">
        <v>9.8729999999999998E-3</v>
      </c>
      <c r="AG26" s="29"/>
    </row>
    <row r="27" spans="1:33" ht="15" customHeight="1">
      <c r="A27" s="34" t="s">
        <v>2313</v>
      </c>
      <c r="B27" s="37" t="s">
        <v>2314</v>
      </c>
      <c r="C27" s="38">
        <v>7.4636329999999997</v>
      </c>
      <c r="D27" s="38">
        <v>7.9371590000000003</v>
      </c>
      <c r="E27" s="38">
        <v>8.6724619999999994</v>
      </c>
      <c r="F27" s="38">
        <v>8.6315290000000005</v>
      </c>
      <c r="G27" s="38">
        <v>9.2255739999999999</v>
      </c>
      <c r="H27" s="38">
        <v>9.8733419999999992</v>
      </c>
      <c r="I27" s="38">
        <v>10.496993</v>
      </c>
      <c r="J27" s="38">
        <v>10.562181000000001</v>
      </c>
      <c r="K27" s="38">
        <v>10.627367</v>
      </c>
      <c r="L27" s="38">
        <v>10.657337999999999</v>
      </c>
      <c r="M27" s="38">
        <v>10.702121999999999</v>
      </c>
      <c r="N27" s="38">
        <v>10.769819999999999</v>
      </c>
      <c r="O27" s="38">
        <v>10.833624</v>
      </c>
      <c r="P27" s="38">
        <v>10.913729999999999</v>
      </c>
      <c r="Q27" s="38">
        <v>10.969963</v>
      </c>
      <c r="R27" s="38">
        <v>11.032714</v>
      </c>
      <c r="S27" s="38">
        <v>11.119011</v>
      </c>
      <c r="T27" s="38">
        <v>11.167144</v>
      </c>
      <c r="U27" s="38">
        <v>11.244695999999999</v>
      </c>
      <c r="V27" s="38">
        <v>11.327537</v>
      </c>
      <c r="W27" s="38">
        <v>11.353478000000001</v>
      </c>
      <c r="X27" s="38">
        <v>11.404982</v>
      </c>
      <c r="Y27" s="38">
        <v>11.455927000000001</v>
      </c>
      <c r="Z27" s="38">
        <v>11.533315</v>
      </c>
      <c r="AA27" s="38">
        <v>11.674472</v>
      </c>
      <c r="AB27" s="38">
        <v>11.712146000000001</v>
      </c>
      <c r="AC27" s="38">
        <v>11.771817</v>
      </c>
      <c r="AD27" s="38">
        <v>11.818236000000001</v>
      </c>
      <c r="AE27" s="38">
        <v>11.85694</v>
      </c>
      <c r="AF27" s="35">
        <v>1.6669E-2</v>
      </c>
      <c r="AG27" s="29"/>
    </row>
    <row r="28" spans="1:33" ht="15" customHeight="1">
      <c r="A28" s="34" t="s">
        <v>2315</v>
      </c>
      <c r="B28" s="37" t="s">
        <v>2316</v>
      </c>
      <c r="C28" s="38">
        <v>7.3609559999999998</v>
      </c>
      <c r="D28" s="38">
        <v>6.2995510000000001</v>
      </c>
      <c r="E28" s="38">
        <v>5.2344949999999999</v>
      </c>
      <c r="F28" s="38">
        <v>4.6678220000000001</v>
      </c>
      <c r="G28" s="38">
        <v>4.2346320000000004</v>
      </c>
      <c r="H28" s="38">
        <v>3.9926569999999999</v>
      </c>
      <c r="I28" s="38">
        <v>3.9081030000000001</v>
      </c>
      <c r="J28" s="38">
        <v>3.9214349999999998</v>
      </c>
      <c r="K28" s="38">
        <v>3.9774980000000002</v>
      </c>
      <c r="L28" s="38">
        <v>4.0822630000000002</v>
      </c>
      <c r="M28" s="38">
        <v>4.1896659999999999</v>
      </c>
      <c r="N28" s="38">
        <v>4.3467419999999999</v>
      </c>
      <c r="O28" s="38">
        <v>4.4742689999999996</v>
      </c>
      <c r="P28" s="38">
        <v>4.5854460000000001</v>
      </c>
      <c r="Q28" s="38">
        <v>4.6051089999999997</v>
      </c>
      <c r="R28" s="38">
        <v>4.6511509999999996</v>
      </c>
      <c r="S28" s="38">
        <v>4.7761360000000002</v>
      </c>
      <c r="T28" s="38">
        <v>4.7222809999999997</v>
      </c>
      <c r="U28" s="38">
        <v>4.8413389999999996</v>
      </c>
      <c r="V28" s="38">
        <v>4.9183320000000004</v>
      </c>
      <c r="W28" s="38">
        <v>4.9129569999999996</v>
      </c>
      <c r="X28" s="38">
        <v>4.8632200000000001</v>
      </c>
      <c r="Y28" s="38">
        <v>4.8131259999999996</v>
      </c>
      <c r="Z28" s="38">
        <v>4.8102770000000001</v>
      </c>
      <c r="AA28" s="38">
        <v>4.7627889999999997</v>
      </c>
      <c r="AB28" s="38">
        <v>4.7301890000000002</v>
      </c>
      <c r="AC28" s="38">
        <v>4.6965180000000002</v>
      </c>
      <c r="AD28" s="38">
        <v>4.6571999999999996</v>
      </c>
      <c r="AE28" s="38">
        <v>4.6548590000000001</v>
      </c>
      <c r="AF28" s="35">
        <v>-1.6233999999999998E-2</v>
      </c>
      <c r="AG28" s="29"/>
    </row>
    <row r="29" spans="1:33" ht="15" customHeight="1">
      <c r="A29" s="34" t="s">
        <v>2317</v>
      </c>
      <c r="B29" s="37" t="s">
        <v>2318</v>
      </c>
      <c r="C29" s="38">
        <v>7.3069660000000001</v>
      </c>
      <c r="D29" s="38">
        <v>6.2464500000000003</v>
      </c>
      <c r="E29" s="38">
        <v>5.103091</v>
      </c>
      <c r="F29" s="38">
        <v>4.5329899999999999</v>
      </c>
      <c r="G29" s="38">
        <v>4.0997979999999998</v>
      </c>
      <c r="H29" s="38">
        <v>3.863143</v>
      </c>
      <c r="I29" s="38">
        <v>3.7806660000000001</v>
      </c>
      <c r="J29" s="38">
        <v>3.7968350000000002</v>
      </c>
      <c r="K29" s="38">
        <v>3.85669</v>
      </c>
      <c r="L29" s="38">
        <v>3.9632170000000002</v>
      </c>
      <c r="M29" s="38">
        <v>4.077007</v>
      </c>
      <c r="N29" s="38">
        <v>4.2361430000000002</v>
      </c>
      <c r="O29" s="38">
        <v>4.3616330000000003</v>
      </c>
      <c r="P29" s="38">
        <v>4.4725770000000002</v>
      </c>
      <c r="Q29" s="38">
        <v>4.4913129999999999</v>
      </c>
      <c r="R29" s="38">
        <v>4.5349560000000002</v>
      </c>
      <c r="S29" s="38">
        <v>4.6586790000000002</v>
      </c>
      <c r="T29" s="38">
        <v>4.6021270000000003</v>
      </c>
      <c r="U29" s="38">
        <v>4.7230049999999997</v>
      </c>
      <c r="V29" s="38">
        <v>4.7991149999999996</v>
      </c>
      <c r="W29" s="38">
        <v>4.792618</v>
      </c>
      <c r="X29" s="38">
        <v>4.7401289999999996</v>
      </c>
      <c r="Y29" s="38">
        <v>4.6909559999999999</v>
      </c>
      <c r="Z29" s="38">
        <v>4.6882859999999997</v>
      </c>
      <c r="AA29" s="38">
        <v>4.662471</v>
      </c>
      <c r="AB29" s="38">
        <v>4.6259160000000001</v>
      </c>
      <c r="AC29" s="38">
        <v>4.5921830000000003</v>
      </c>
      <c r="AD29" s="38">
        <v>4.5479589999999996</v>
      </c>
      <c r="AE29" s="38">
        <v>4.543069</v>
      </c>
      <c r="AF29" s="35">
        <v>-1.6829E-2</v>
      </c>
      <c r="AG29" s="29"/>
    </row>
    <row r="30" spans="1:33" ht="15" customHeight="1">
      <c r="A30" s="34" t="s">
        <v>2319</v>
      </c>
      <c r="B30" s="37" t="s">
        <v>2120</v>
      </c>
      <c r="C30" s="38">
        <v>5.4304249999999996</v>
      </c>
      <c r="D30" s="38">
        <v>5.4466970000000003</v>
      </c>
      <c r="E30" s="38">
        <v>5.6790830000000003</v>
      </c>
      <c r="F30" s="38">
        <v>5.6766920000000001</v>
      </c>
      <c r="G30" s="38">
        <v>5.7069979999999996</v>
      </c>
      <c r="H30" s="38">
        <v>5.757409</v>
      </c>
      <c r="I30" s="38">
        <v>5.7974399999999999</v>
      </c>
      <c r="J30" s="38">
        <v>5.8433669999999998</v>
      </c>
      <c r="K30" s="38">
        <v>5.947584</v>
      </c>
      <c r="L30" s="38">
        <v>6.0097779999999998</v>
      </c>
      <c r="M30" s="38">
        <v>6.110779</v>
      </c>
      <c r="N30" s="38">
        <v>6.1829609999999997</v>
      </c>
      <c r="O30" s="38">
        <v>6.2506630000000003</v>
      </c>
      <c r="P30" s="38">
        <v>6.3259449999999999</v>
      </c>
      <c r="Q30" s="38">
        <v>6.403143</v>
      </c>
      <c r="R30" s="38">
        <v>6.4953659999999998</v>
      </c>
      <c r="S30" s="38">
        <v>6.5684300000000002</v>
      </c>
      <c r="T30" s="38">
        <v>6.6390440000000002</v>
      </c>
      <c r="U30" s="38">
        <v>6.7099260000000003</v>
      </c>
      <c r="V30" s="38">
        <v>6.7595479999999997</v>
      </c>
      <c r="W30" s="38">
        <v>6.8068</v>
      </c>
      <c r="X30" s="38">
        <v>6.8561490000000003</v>
      </c>
      <c r="Y30" s="38">
        <v>6.9083310000000004</v>
      </c>
      <c r="Z30" s="38">
        <v>6.9656209999999996</v>
      </c>
      <c r="AA30" s="38">
        <v>7.01844</v>
      </c>
      <c r="AB30" s="38">
        <v>7.0695379999999997</v>
      </c>
      <c r="AC30" s="38">
        <v>7.1226570000000002</v>
      </c>
      <c r="AD30" s="38">
        <v>7.1712059999999997</v>
      </c>
      <c r="AE30" s="38">
        <v>7.2262329999999997</v>
      </c>
      <c r="AF30" s="35">
        <v>1.0255999999999999E-2</v>
      </c>
      <c r="AG30" s="29"/>
    </row>
    <row r="31" spans="1:33" ht="12" customHeight="1">
      <c r="A31" s="34" t="s">
        <v>2320</v>
      </c>
      <c r="B31" s="37" t="s">
        <v>2122</v>
      </c>
      <c r="C31" s="38">
        <v>2.7995990000000002</v>
      </c>
      <c r="D31" s="38">
        <v>2.739652</v>
      </c>
      <c r="E31" s="38">
        <v>2.81602</v>
      </c>
      <c r="F31" s="38">
        <v>2.8787729999999998</v>
      </c>
      <c r="G31" s="38">
        <v>2.8711600000000002</v>
      </c>
      <c r="H31" s="38">
        <v>2.854581</v>
      </c>
      <c r="I31" s="38">
        <v>2.8362250000000002</v>
      </c>
      <c r="J31" s="38">
        <v>2.8263880000000001</v>
      </c>
      <c r="K31" s="38">
        <v>2.8201990000000001</v>
      </c>
      <c r="L31" s="38">
        <v>2.8153779999999999</v>
      </c>
      <c r="M31" s="38">
        <v>2.808907</v>
      </c>
      <c r="N31" s="38">
        <v>2.8084190000000002</v>
      </c>
      <c r="O31" s="38">
        <v>2.8094380000000001</v>
      </c>
      <c r="P31" s="38">
        <v>2.811175</v>
      </c>
      <c r="Q31" s="38">
        <v>2.8150270000000002</v>
      </c>
      <c r="R31" s="38">
        <v>2.8257270000000001</v>
      </c>
      <c r="S31" s="38">
        <v>2.8389229999999999</v>
      </c>
      <c r="T31" s="38">
        <v>2.847067</v>
      </c>
      <c r="U31" s="38">
        <v>2.8494899999999999</v>
      </c>
      <c r="V31" s="38">
        <v>2.85175</v>
      </c>
      <c r="W31" s="38">
        <v>2.8516870000000001</v>
      </c>
      <c r="X31" s="38">
        <v>2.8542700000000001</v>
      </c>
      <c r="Y31" s="38">
        <v>2.8538139999999999</v>
      </c>
      <c r="Z31" s="38">
        <v>2.8573719999999998</v>
      </c>
      <c r="AA31" s="38">
        <v>2.860795</v>
      </c>
      <c r="AB31" s="38">
        <v>2.8650159999999998</v>
      </c>
      <c r="AC31" s="38">
        <v>2.8701219999999998</v>
      </c>
      <c r="AD31" s="38">
        <v>2.8668680000000002</v>
      </c>
      <c r="AE31" s="38">
        <v>2.867251</v>
      </c>
      <c r="AF31" s="35">
        <v>8.5300000000000003E-4</v>
      </c>
      <c r="AG31" s="29"/>
    </row>
    <row r="32" spans="1:33" ht="12" customHeight="1">
      <c r="A32" s="34" t="s">
        <v>2321</v>
      </c>
      <c r="B32" s="37" t="s">
        <v>2322</v>
      </c>
      <c r="C32" s="38" t="s">
        <v>1278</v>
      </c>
      <c r="D32" s="38" t="s">
        <v>1278</v>
      </c>
      <c r="E32" s="38" t="s">
        <v>1278</v>
      </c>
      <c r="F32" s="38" t="s">
        <v>1278</v>
      </c>
      <c r="G32" s="38" t="s">
        <v>1278</v>
      </c>
      <c r="H32" s="38" t="s">
        <v>1278</v>
      </c>
      <c r="I32" s="38" t="s">
        <v>1278</v>
      </c>
      <c r="J32" s="38" t="s">
        <v>1278</v>
      </c>
      <c r="K32" s="38" t="s">
        <v>1278</v>
      </c>
      <c r="L32" s="38" t="s">
        <v>1278</v>
      </c>
      <c r="M32" s="38" t="s">
        <v>1278</v>
      </c>
      <c r="N32" s="38" t="s">
        <v>1278</v>
      </c>
      <c r="O32" s="38" t="s">
        <v>1278</v>
      </c>
      <c r="P32" s="38" t="s">
        <v>1278</v>
      </c>
      <c r="Q32" s="38" t="s">
        <v>1278</v>
      </c>
      <c r="R32" s="38" t="s">
        <v>1278</v>
      </c>
      <c r="S32" s="38" t="s">
        <v>1278</v>
      </c>
      <c r="T32" s="38" t="s">
        <v>1278</v>
      </c>
      <c r="U32" s="38" t="s">
        <v>1278</v>
      </c>
      <c r="V32" s="38" t="s">
        <v>1278</v>
      </c>
      <c r="W32" s="38" t="s">
        <v>1278</v>
      </c>
      <c r="X32" s="38" t="s">
        <v>1278</v>
      </c>
      <c r="Y32" s="38" t="s">
        <v>1278</v>
      </c>
      <c r="Z32" s="38" t="s">
        <v>1278</v>
      </c>
      <c r="AA32" s="38" t="s">
        <v>1278</v>
      </c>
      <c r="AB32" s="38" t="s">
        <v>1278</v>
      </c>
      <c r="AC32" s="38" t="s">
        <v>1278</v>
      </c>
      <c r="AD32" s="38" t="s">
        <v>1278</v>
      </c>
      <c r="AE32" s="38" t="s">
        <v>1278</v>
      </c>
      <c r="AF32" s="35" t="s">
        <v>1278</v>
      </c>
      <c r="AG32" s="29" t="s">
        <v>1278</v>
      </c>
    </row>
    <row r="33" spans="1:33" ht="12" customHeight="1">
      <c r="A33" s="34" t="s">
        <v>2323</v>
      </c>
      <c r="B33" s="37" t="s">
        <v>760</v>
      </c>
      <c r="C33" s="38">
        <v>24.421028</v>
      </c>
      <c r="D33" s="38">
        <v>23.969260999999999</v>
      </c>
      <c r="E33" s="38">
        <v>22.165068000000002</v>
      </c>
      <c r="F33" s="38">
        <v>20.957455</v>
      </c>
      <c r="G33" s="38">
        <v>20.154661000000001</v>
      </c>
      <c r="H33" s="38">
        <v>19.591453999999999</v>
      </c>
      <c r="I33" s="38">
        <v>19.228178</v>
      </c>
      <c r="J33" s="38">
        <v>19.033812999999999</v>
      </c>
      <c r="K33" s="38">
        <v>18.984463000000002</v>
      </c>
      <c r="L33" s="38">
        <v>18.977394</v>
      </c>
      <c r="M33" s="38">
        <v>18.989550000000001</v>
      </c>
      <c r="N33" s="38">
        <v>19.311668000000001</v>
      </c>
      <c r="O33" s="38">
        <v>19.408781000000001</v>
      </c>
      <c r="P33" s="38">
        <v>19.357766999999999</v>
      </c>
      <c r="Q33" s="38">
        <v>19.480951000000001</v>
      </c>
      <c r="R33" s="38">
        <v>19.64303</v>
      </c>
      <c r="S33" s="38">
        <v>19.909723</v>
      </c>
      <c r="T33" s="38">
        <v>20.139053000000001</v>
      </c>
      <c r="U33" s="38">
        <v>20.302842999999999</v>
      </c>
      <c r="V33" s="38">
        <v>20.438231999999999</v>
      </c>
      <c r="W33" s="38">
        <v>20.447336</v>
      </c>
      <c r="X33" s="38">
        <v>20.409019000000001</v>
      </c>
      <c r="Y33" s="38">
        <v>20.401765999999999</v>
      </c>
      <c r="Z33" s="38">
        <v>20.352792999999998</v>
      </c>
      <c r="AA33" s="38">
        <v>20.226258999999999</v>
      </c>
      <c r="AB33" s="38">
        <v>20.095247000000001</v>
      </c>
      <c r="AC33" s="38">
        <v>20.023175999999999</v>
      </c>
      <c r="AD33" s="38">
        <v>19.89432</v>
      </c>
      <c r="AE33" s="38">
        <v>19.708027000000001</v>
      </c>
      <c r="AF33" s="35">
        <v>-7.6290000000000004E-3</v>
      </c>
      <c r="AG33" s="29"/>
    </row>
    <row r="34" spans="1:33" ht="12" customHeight="1">
      <c r="B34" s="33" t="s">
        <v>2324</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row>
    <row r="35" spans="1:33" ht="12" customHeight="1">
      <c r="A35" s="34" t="s">
        <v>2325</v>
      </c>
      <c r="B35" s="37" t="s">
        <v>2064</v>
      </c>
      <c r="C35" s="38">
        <v>23.435020000000002</v>
      </c>
      <c r="D35" s="38">
        <v>22.356629999999999</v>
      </c>
      <c r="E35" s="38">
        <v>20.487594999999999</v>
      </c>
      <c r="F35" s="38">
        <v>18.533535000000001</v>
      </c>
      <c r="G35" s="38">
        <v>17.736046000000002</v>
      </c>
      <c r="H35" s="38">
        <v>17.477232000000001</v>
      </c>
      <c r="I35" s="38">
        <v>17.740955</v>
      </c>
      <c r="J35" s="38">
        <v>18.286145999999999</v>
      </c>
      <c r="K35" s="38">
        <v>19.090485000000001</v>
      </c>
      <c r="L35" s="38">
        <v>20.049326000000001</v>
      </c>
      <c r="M35" s="38">
        <v>21.186962000000001</v>
      </c>
      <c r="N35" s="38">
        <v>22.464024999999999</v>
      </c>
      <c r="O35" s="38">
        <v>23.655508000000001</v>
      </c>
      <c r="P35" s="38">
        <v>24.597995999999998</v>
      </c>
      <c r="Q35" s="38">
        <v>25.405923999999999</v>
      </c>
      <c r="R35" s="38">
        <v>26.269162999999999</v>
      </c>
      <c r="S35" s="38">
        <v>27.429414999999999</v>
      </c>
      <c r="T35" s="38">
        <v>28.034966000000001</v>
      </c>
      <c r="U35" s="38">
        <v>29.178497</v>
      </c>
      <c r="V35" s="38">
        <v>30.24905</v>
      </c>
      <c r="W35" s="38">
        <v>31.111232999999999</v>
      </c>
      <c r="X35" s="38">
        <v>31.816524999999999</v>
      </c>
      <c r="Y35" s="38">
        <v>32.450352000000002</v>
      </c>
      <c r="Z35" s="38">
        <v>33.311852000000002</v>
      </c>
      <c r="AA35" s="38">
        <v>34.086624</v>
      </c>
      <c r="AB35" s="38">
        <v>34.970641999999998</v>
      </c>
      <c r="AC35" s="38">
        <v>36.006217999999997</v>
      </c>
      <c r="AD35" s="38">
        <v>36.842278</v>
      </c>
      <c r="AE35" s="38">
        <v>37.636386999999999</v>
      </c>
      <c r="AF35" s="35">
        <v>1.7062999999999998E-2</v>
      </c>
      <c r="AG35" s="29"/>
    </row>
    <row r="36" spans="1:33" ht="12" customHeight="1">
      <c r="A36" s="34" t="s">
        <v>2326</v>
      </c>
      <c r="B36" s="37" t="s">
        <v>2310</v>
      </c>
      <c r="C36" s="38">
        <v>34.599964</v>
      </c>
      <c r="D36" s="38">
        <v>30.403414000000001</v>
      </c>
      <c r="E36" s="38">
        <v>29.329165</v>
      </c>
      <c r="F36" s="38">
        <v>28.533366999999998</v>
      </c>
      <c r="G36" s="38">
        <v>28.968737000000001</v>
      </c>
      <c r="H36" s="38">
        <v>29.283621</v>
      </c>
      <c r="I36" s="38">
        <v>29.649763</v>
      </c>
      <c r="J36" s="38">
        <v>30.371119</v>
      </c>
      <c r="K36" s="38">
        <v>31.174410000000002</v>
      </c>
      <c r="L36" s="38">
        <v>31.865649999999999</v>
      </c>
      <c r="M36" s="38">
        <v>32.783230000000003</v>
      </c>
      <c r="N36" s="38">
        <v>33.663257999999999</v>
      </c>
      <c r="O36" s="38">
        <v>34.605843</v>
      </c>
      <c r="P36" s="38">
        <v>35.514378000000001</v>
      </c>
      <c r="Q36" s="38">
        <v>36.723678999999997</v>
      </c>
      <c r="R36" s="38">
        <v>37.622501</v>
      </c>
      <c r="S36" s="38">
        <v>38.588619000000001</v>
      </c>
      <c r="T36" s="38">
        <v>39.619320000000002</v>
      </c>
      <c r="U36" s="38">
        <v>40.576241000000003</v>
      </c>
      <c r="V36" s="38">
        <v>41.509796000000001</v>
      </c>
      <c r="W36" s="38">
        <v>42.574500999999998</v>
      </c>
      <c r="X36" s="38">
        <v>43.401688</v>
      </c>
      <c r="Y36" s="38">
        <v>44.711758000000003</v>
      </c>
      <c r="Z36" s="38">
        <v>45.774372</v>
      </c>
      <c r="AA36" s="38">
        <v>47.712307000000003</v>
      </c>
      <c r="AB36" s="38">
        <v>48.868217000000001</v>
      </c>
      <c r="AC36" s="38">
        <v>50.458973</v>
      </c>
      <c r="AD36" s="38">
        <v>51.830573999999999</v>
      </c>
      <c r="AE36" s="38">
        <v>53.562744000000002</v>
      </c>
      <c r="AF36" s="35">
        <v>1.5730000000000001E-2</v>
      </c>
      <c r="AG36" s="29"/>
    </row>
    <row r="37" spans="1:33" ht="12" customHeight="1">
      <c r="A37" s="34" t="s">
        <v>2327</v>
      </c>
      <c r="B37" s="37" t="s">
        <v>2088</v>
      </c>
      <c r="C37" s="38">
        <v>35.187302000000003</v>
      </c>
      <c r="D37" s="38">
        <v>34.160721000000002</v>
      </c>
      <c r="E37" s="38">
        <v>32.510654000000002</v>
      </c>
      <c r="F37" s="38">
        <v>30.122333999999999</v>
      </c>
      <c r="G37" s="38">
        <v>28.893148</v>
      </c>
      <c r="H37" s="38">
        <v>27.659189000000001</v>
      </c>
      <c r="I37" s="38">
        <v>26.532314</v>
      </c>
      <c r="J37" s="38">
        <v>27.228542000000001</v>
      </c>
      <c r="K37" s="38">
        <v>27.844920999999999</v>
      </c>
      <c r="L37" s="38">
        <v>28.691835000000001</v>
      </c>
      <c r="M37" s="38">
        <v>29.480526000000001</v>
      </c>
      <c r="N37" s="38">
        <v>30.336335999999999</v>
      </c>
      <c r="O37" s="38">
        <v>31.138449000000001</v>
      </c>
      <c r="P37" s="38">
        <v>32.100211999999999</v>
      </c>
      <c r="Q37" s="38">
        <v>32.878376000000003</v>
      </c>
      <c r="R37" s="38">
        <v>33.792220999999998</v>
      </c>
      <c r="S37" s="38">
        <v>34.671123999999999</v>
      </c>
      <c r="T37" s="38">
        <v>35.505093000000002</v>
      </c>
      <c r="U37" s="38">
        <v>36.380726000000003</v>
      </c>
      <c r="V37" s="38">
        <v>37.452629000000002</v>
      </c>
      <c r="W37" s="38">
        <v>38.299540999999998</v>
      </c>
      <c r="X37" s="38">
        <v>39.380600000000001</v>
      </c>
      <c r="Y37" s="38">
        <v>40.156269000000002</v>
      </c>
      <c r="Z37" s="38">
        <v>41.188437999999998</v>
      </c>
      <c r="AA37" s="38">
        <v>42.553871000000001</v>
      </c>
      <c r="AB37" s="38">
        <v>43.609371000000003</v>
      </c>
      <c r="AC37" s="38">
        <v>44.728596000000003</v>
      </c>
      <c r="AD37" s="38">
        <v>45.946964000000001</v>
      </c>
      <c r="AE37" s="38">
        <v>47.070819999999998</v>
      </c>
      <c r="AF37" s="35">
        <v>1.0446E-2</v>
      </c>
      <c r="AG37" s="29"/>
    </row>
    <row r="38" spans="1:33" ht="12" customHeight="1">
      <c r="A38" s="34" t="s">
        <v>2328</v>
      </c>
      <c r="B38" s="37" t="s">
        <v>2090</v>
      </c>
      <c r="C38" s="38">
        <v>13.34515</v>
      </c>
      <c r="D38" s="38">
        <v>8.8473620000000004</v>
      </c>
      <c r="E38" s="38">
        <v>10.847251</v>
      </c>
      <c r="F38" s="38">
        <v>11.701765</v>
      </c>
      <c r="G38" s="38">
        <v>13.668666</v>
      </c>
      <c r="H38" s="38">
        <v>15.834412</v>
      </c>
      <c r="I38" s="38">
        <v>18.055012000000001</v>
      </c>
      <c r="J38" s="38">
        <v>18.550280000000001</v>
      </c>
      <c r="K38" s="38">
        <v>19.090975</v>
      </c>
      <c r="L38" s="38">
        <v>19.679285</v>
      </c>
      <c r="M38" s="38">
        <v>20.283073000000002</v>
      </c>
      <c r="N38" s="38">
        <v>20.912044999999999</v>
      </c>
      <c r="O38" s="38">
        <v>21.573601</v>
      </c>
      <c r="P38" s="38">
        <v>22.25563</v>
      </c>
      <c r="Q38" s="38">
        <v>22.905643000000001</v>
      </c>
      <c r="R38" s="38">
        <v>23.566257</v>
      </c>
      <c r="S38" s="38">
        <v>24.262720000000002</v>
      </c>
      <c r="T38" s="38">
        <v>24.90963</v>
      </c>
      <c r="U38" s="38">
        <v>25.616434000000002</v>
      </c>
      <c r="V38" s="38">
        <v>26.404326999999999</v>
      </c>
      <c r="W38" s="38">
        <v>27.034216000000001</v>
      </c>
      <c r="X38" s="38">
        <v>27.773752000000002</v>
      </c>
      <c r="Y38" s="38">
        <v>28.398886000000001</v>
      </c>
      <c r="Z38" s="38">
        <v>29.163754000000001</v>
      </c>
      <c r="AA38" s="38">
        <v>30.157468999999999</v>
      </c>
      <c r="AB38" s="38">
        <v>30.882546999999999</v>
      </c>
      <c r="AC38" s="38">
        <v>31.831925999999999</v>
      </c>
      <c r="AD38" s="38">
        <v>32.756706000000001</v>
      </c>
      <c r="AE38" s="38">
        <v>33.688113999999999</v>
      </c>
      <c r="AF38" s="35">
        <v>3.3624000000000001E-2</v>
      </c>
      <c r="AG38" s="29"/>
    </row>
    <row r="39" spans="1:33" ht="12" customHeight="1">
      <c r="A39" s="34" t="s">
        <v>2329</v>
      </c>
      <c r="B39" s="37" t="s">
        <v>2314</v>
      </c>
      <c r="C39" s="38">
        <v>7.4636329999999997</v>
      </c>
      <c r="D39" s="38">
        <v>8.2652669999999997</v>
      </c>
      <c r="E39" s="38">
        <v>9.2514000000000003</v>
      </c>
      <c r="F39" s="38">
        <v>9.4079610000000002</v>
      </c>
      <c r="G39" s="38">
        <v>10.269836</v>
      </c>
      <c r="H39" s="38">
        <v>11.228354</v>
      </c>
      <c r="I39" s="38">
        <v>12.195501999999999</v>
      </c>
      <c r="J39" s="38">
        <v>12.540362999999999</v>
      </c>
      <c r="K39" s="38">
        <v>12.899409</v>
      </c>
      <c r="L39" s="38">
        <v>13.231762</v>
      </c>
      <c r="M39" s="38">
        <v>13.591924000000001</v>
      </c>
      <c r="N39" s="38">
        <v>14.001822000000001</v>
      </c>
      <c r="O39" s="38">
        <v>14.422197000000001</v>
      </c>
      <c r="P39" s="38">
        <v>14.869051000000001</v>
      </c>
      <c r="Q39" s="38">
        <v>15.28989</v>
      </c>
      <c r="R39" s="38">
        <v>15.721544</v>
      </c>
      <c r="S39" s="38">
        <v>16.194845000000001</v>
      </c>
      <c r="T39" s="38">
        <v>16.622153999999998</v>
      </c>
      <c r="U39" s="38">
        <v>17.110849000000002</v>
      </c>
      <c r="V39" s="38">
        <v>17.623387999999998</v>
      </c>
      <c r="W39" s="38">
        <v>18.062716999999999</v>
      </c>
      <c r="X39" s="38">
        <v>18.560585</v>
      </c>
      <c r="Y39" s="38">
        <v>19.073993999999999</v>
      </c>
      <c r="Z39" s="38">
        <v>19.650293000000001</v>
      </c>
      <c r="AA39" s="38">
        <v>20.360068999999999</v>
      </c>
      <c r="AB39" s="38">
        <v>20.911051</v>
      </c>
      <c r="AC39" s="38">
        <v>21.521415999999999</v>
      </c>
      <c r="AD39" s="38">
        <v>22.124865</v>
      </c>
      <c r="AE39" s="38">
        <v>22.733160000000002</v>
      </c>
      <c r="AF39" s="35">
        <v>4.0579999999999998E-2</v>
      </c>
      <c r="AG39" s="29"/>
    </row>
    <row r="40" spans="1:33" ht="12" customHeight="1">
      <c r="A40" s="34" t="s">
        <v>2330</v>
      </c>
      <c r="B40" s="37" t="s">
        <v>2316</v>
      </c>
      <c r="C40" s="38">
        <v>7.3609559999999998</v>
      </c>
      <c r="D40" s="38">
        <v>6.559965</v>
      </c>
      <c r="E40" s="38">
        <v>5.5839280000000002</v>
      </c>
      <c r="F40" s="38">
        <v>5.087707</v>
      </c>
      <c r="G40" s="38">
        <v>4.7139600000000002</v>
      </c>
      <c r="H40" s="38">
        <v>4.5406060000000004</v>
      </c>
      <c r="I40" s="38">
        <v>4.54047</v>
      </c>
      <c r="J40" s="38">
        <v>4.6558780000000004</v>
      </c>
      <c r="K40" s="38">
        <v>4.8278540000000003</v>
      </c>
      <c r="L40" s="38">
        <v>5.0683889999999998</v>
      </c>
      <c r="M40" s="38">
        <v>5.3209650000000002</v>
      </c>
      <c r="N40" s="38">
        <v>5.6511909999999999</v>
      </c>
      <c r="O40" s="38">
        <v>5.9563439999999996</v>
      </c>
      <c r="P40" s="38">
        <v>6.2472899999999996</v>
      </c>
      <c r="Q40" s="38">
        <v>6.4185819999999998</v>
      </c>
      <c r="R40" s="38">
        <v>6.6278589999999999</v>
      </c>
      <c r="S40" s="38">
        <v>6.9564450000000004</v>
      </c>
      <c r="T40" s="38">
        <v>7.0290559999999997</v>
      </c>
      <c r="U40" s="38">
        <v>7.3669789999999997</v>
      </c>
      <c r="V40" s="38">
        <v>7.6519430000000002</v>
      </c>
      <c r="W40" s="38">
        <v>7.8162260000000003</v>
      </c>
      <c r="X40" s="38">
        <v>7.9144540000000001</v>
      </c>
      <c r="Y40" s="38">
        <v>8.0138029999999993</v>
      </c>
      <c r="Z40" s="38">
        <v>8.1956790000000002</v>
      </c>
      <c r="AA40" s="38">
        <v>8.3062179999999994</v>
      </c>
      <c r="AB40" s="38">
        <v>8.445354</v>
      </c>
      <c r="AC40" s="38">
        <v>8.5862459999999992</v>
      </c>
      <c r="AD40" s="38">
        <v>8.7187219999999996</v>
      </c>
      <c r="AE40" s="38">
        <v>8.9247019999999999</v>
      </c>
      <c r="AF40" s="35">
        <v>6.9040000000000004E-3</v>
      </c>
      <c r="AG40" s="29"/>
    </row>
    <row r="41" spans="1:33" ht="12" customHeight="1">
      <c r="A41" s="34" t="s">
        <v>2331</v>
      </c>
      <c r="B41" s="37" t="s">
        <v>2318</v>
      </c>
      <c r="C41" s="38">
        <v>7.3069660000000001</v>
      </c>
      <c r="D41" s="38">
        <v>6.5046679999999997</v>
      </c>
      <c r="E41" s="38">
        <v>5.4437519999999999</v>
      </c>
      <c r="F41" s="38">
        <v>4.940747</v>
      </c>
      <c r="G41" s="38">
        <v>4.5638629999999996</v>
      </c>
      <c r="H41" s="38">
        <v>4.3933179999999998</v>
      </c>
      <c r="I41" s="38">
        <v>4.3924130000000003</v>
      </c>
      <c r="J41" s="38">
        <v>4.5079409999999998</v>
      </c>
      <c r="K41" s="38">
        <v>4.6812180000000003</v>
      </c>
      <c r="L41" s="38">
        <v>4.9205860000000001</v>
      </c>
      <c r="M41" s="38">
        <v>5.1778870000000001</v>
      </c>
      <c r="N41" s="38">
        <v>5.5074009999999998</v>
      </c>
      <c r="O41" s="38">
        <v>5.8063969999999996</v>
      </c>
      <c r="P41" s="38">
        <v>6.093515</v>
      </c>
      <c r="Q41" s="38">
        <v>6.2599739999999997</v>
      </c>
      <c r="R41" s="38">
        <v>6.4622830000000002</v>
      </c>
      <c r="S41" s="38">
        <v>6.7853669999999999</v>
      </c>
      <c r="T41" s="38">
        <v>6.8502080000000003</v>
      </c>
      <c r="U41" s="38">
        <v>7.1869110000000003</v>
      </c>
      <c r="V41" s="38">
        <v>7.4664650000000004</v>
      </c>
      <c r="W41" s="38">
        <v>7.6247730000000002</v>
      </c>
      <c r="X41" s="38">
        <v>7.7141349999999997</v>
      </c>
      <c r="Y41" s="38">
        <v>7.8103910000000001</v>
      </c>
      <c r="Z41" s="38">
        <v>7.9878330000000002</v>
      </c>
      <c r="AA41" s="38">
        <v>8.1312660000000001</v>
      </c>
      <c r="AB41" s="38">
        <v>8.2591839999999994</v>
      </c>
      <c r="AC41" s="38">
        <v>8.3954989999999992</v>
      </c>
      <c r="AD41" s="38">
        <v>8.5142129999999998</v>
      </c>
      <c r="AE41" s="38">
        <v>8.710369</v>
      </c>
      <c r="AF41" s="35">
        <v>6.2940000000000001E-3</v>
      </c>
      <c r="AG41" s="29"/>
    </row>
    <row r="42" spans="1:33" ht="12" customHeight="1">
      <c r="A42" s="34" t="s">
        <v>2332</v>
      </c>
      <c r="B42" s="37" t="s">
        <v>2120</v>
      </c>
      <c r="C42" s="38">
        <v>5.4304249999999996</v>
      </c>
      <c r="D42" s="38">
        <v>5.6718549999999999</v>
      </c>
      <c r="E42" s="38">
        <v>6.0581950000000004</v>
      </c>
      <c r="F42" s="38">
        <v>6.1873269999999998</v>
      </c>
      <c r="G42" s="38">
        <v>6.3529850000000003</v>
      </c>
      <c r="H42" s="38">
        <v>6.5475529999999997</v>
      </c>
      <c r="I42" s="38">
        <v>6.7355179999999999</v>
      </c>
      <c r="J42" s="38">
        <v>6.9377659999999999</v>
      </c>
      <c r="K42" s="38">
        <v>7.2191280000000004</v>
      </c>
      <c r="L42" s="38">
        <v>7.4615220000000004</v>
      </c>
      <c r="M42" s="38">
        <v>7.7608199999999998</v>
      </c>
      <c r="N42" s="38">
        <v>8.038456</v>
      </c>
      <c r="O42" s="38">
        <v>8.3211580000000005</v>
      </c>
      <c r="P42" s="38">
        <v>8.6185759999999991</v>
      </c>
      <c r="Q42" s="38">
        <v>8.9246759999999998</v>
      </c>
      <c r="R42" s="38">
        <v>9.2558539999999994</v>
      </c>
      <c r="S42" s="38">
        <v>9.5669219999999999</v>
      </c>
      <c r="T42" s="38">
        <v>9.8821329999999996</v>
      </c>
      <c r="U42" s="38">
        <v>10.210374</v>
      </c>
      <c r="V42" s="38">
        <v>10.516508999999999</v>
      </c>
      <c r="W42" s="38">
        <v>10.829219999999999</v>
      </c>
      <c r="X42" s="38">
        <v>11.157767</v>
      </c>
      <c r="Y42" s="38">
        <v>11.502295999999999</v>
      </c>
      <c r="Z42" s="38">
        <v>11.867922999999999</v>
      </c>
      <c r="AA42" s="38">
        <v>12.240033</v>
      </c>
      <c r="AB42" s="38">
        <v>12.622064999999999</v>
      </c>
      <c r="AC42" s="38">
        <v>13.021750000000001</v>
      </c>
      <c r="AD42" s="38">
        <v>13.425182</v>
      </c>
      <c r="AE42" s="38">
        <v>13.854766</v>
      </c>
      <c r="AF42" s="35">
        <v>3.4015999999999998E-2</v>
      </c>
      <c r="AG42" s="29"/>
    </row>
    <row r="43" spans="1:33" ht="12" customHeight="1">
      <c r="A43" s="34" t="s">
        <v>2333</v>
      </c>
      <c r="B43" s="37" t="s">
        <v>2122</v>
      </c>
      <c r="C43" s="38">
        <v>2.7995990000000002</v>
      </c>
      <c r="D43" s="38">
        <v>2.8529049999999998</v>
      </c>
      <c r="E43" s="38">
        <v>3.0040049999999998</v>
      </c>
      <c r="F43" s="38">
        <v>3.1377269999999999</v>
      </c>
      <c r="G43" s="38">
        <v>3.1961529999999998</v>
      </c>
      <c r="H43" s="38">
        <v>3.2463419999999998</v>
      </c>
      <c r="I43" s="38">
        <v>3.2951519999999999</v>
      </c>
      <c r="J43" s="38">
        <v>3.3557399999999999</v>
      </c>
      <c r="K43" s="38">
        <v>3.4231340000000001</v>
      </c>
      <c r="L43" s="38">
        <v>3.4954710000000002</v>
      </c>
      <c r="M43" s="38">
        <v>3.5673729999999999</v>
      </c>
      <c r="N43" s="38">
        <v>3.6512199999999999</v>
      </c>
      <c r="O43" s="38">
        <v>3.7400479999999998</v>
      </c>
      <c r="P43" s="38">
        <v>3.829993</v>
      </c>
      <c r="Q43" s="38">
        <v>3.9235730000000002</v>
      </c>
      <c r="R43" s="38">
        <v>4.0266419999999998</v>
      </c>
      <c r="S43" s="38">
        <v>4.1348919999999998</v>
      </c>
      <c r="T43" s="38">
        <v>4.2378229999999997</v>
      </c>
      <c r="U43" s="38">
        <v>4.336017</v>
      </c>
      <c r="V43" s="38">
        <v>4.4367539999999996</v>
      </c>
      <c r="W43" s="38">
        <v>4.536867</v>
      </c>
      <c r="X43" s="38">
        <v>4.6450690000000003</v>
      </c>
      <c r="Y43" s="38">
        <v>4.7515689999999999</v>
      </c>
      <c r="Z43" s="38">
        <v>4.8683480000000001</v>
      </c>
      <c r="AA43" s="38">
        <v>4.9891750000000004</v>
      </c>
      <c r="AB43" s="38">
        <v>5.1152439999999997</v>
      </c>
      <c r="AC43" s="38">
        <v>5.2472009999999996</v>
      </c>
      <c r="AD43" s="38">
        <v>5.3670499999999999</v>
      </c>
      <c r="AE43" s="38">
        <v>5.497344</v>
      </c>
      <c r="AF43" s="35">
        <v>2.4392E-2</v>
      </c>
      <c r="AG43" s="29"/>
    </row>
    <row r="44" spans="1:33" ht="12" customHeight="1">
      <c r="A44" s="34" t="s">
        <v>2334</v>
      </c>
      <c r="B44" s="37" t="s">
        <v>2322</v>
      </c>
      <c r="C44" s="38" t="s">
        <v>1278</v>
      </c>
      <c r="D44" s="38" t="s">
        <v>1278</v>
      </c>
      <c r="E44" s="38" t="s">
        <v>1278</v>
      </c>
      <c r="F44" s="38" t="s">
        <v>1278</v>
      </c>
      <c r="G44" s="38" t="s">
        <v>1278</v>
      </c>
      <c r="H44" s="38" t="s">
        <v>1278</v>
      </c>
      <c r="I44" s="38" t="s">
        <v>1278</v>
      </c>
      <c r="J44" s="38" t="s">
        <v>1278</v>
      </c>
      <c r="K44" s="38" t="s">
        <v>1278</v>
      </c>
      <c r="L44" s="38" t="s">
        <v>1278</v>
      </c>
      <c r="M44" s="38" t="s">
        <v>1278</v>
      </c>
      <c r="N44" s="38" t="s">
        <v>1278</v>
      </c>
      <c r="O44" s="38" t="s">
        <v>1278</v>
      </c>
      <c r="P44" s="38" t="s">
        <v>1278</v>
      </c>
      <c r="Q44" s="38" t="s">
        <v>1278</v>
      </c>
      <c r="R44" s="38" t="s">
        <v>1278</v>
      </c>
      <c r="S44" s="38" t="s">
        <v>1278</v>
      </c>
      <c r="T44" s="38" t="s">
        <v>1278</v>
      </c>
      <c r="U44" s="38" t="s">
        <v>1278</v>
      </c>
      <c r="V44" s="38" t="s">
        <v>1278</v>
      </c>
      <c r="W44" s="38" t="s">
        <v>1278</v>
      </c>
      <c r="X44" s="38" t="s">
        <v>1278</v>
      </c>
      <c r="Y44" s="38" t="s">
        <v>1278</v>
      </c>
      <c r="Z44" s="38" t="s">
        <v>1278</v>
      </c>
      <c r="AA44" s="38" t="s">
        <v>1278</v>
      </c>
      <c r="AB44" s="38" t="s">
        <v>1278</v>
      </c>
      <c r="AC44" s="38" t="s">
        <v>1278</v>
      </c>
      <c r="AD44" s="38" t="s">
        <v>1278</v>
      </c>
      <c r="AE44" s="38" t="s">
        <v>1278</v>
      </c>
      <c r="AF44" s="35" t="s">
        <v>1278</v>
      </c>
      <c r="AG44" s="29" t="s">
        <v>1278</v>
      </c>
    </row>
    <row r="45" spans="1:33" ht="12" customHeight="1">
      <c r="A45" s="34" t="s">
        <v>2335</v>
      </c>
      <c r="B45" s="37" t="s">
        <v>760</v>
      </c>
      <c r="C45" s="38">
        <v>24.421028</v>
      </c>
      <c r="D45" s="38">
        <v>24.96011</v>
      </c>
      <c r="E45" s="38">
        <v>23.644715999999999</v>
      </c>
      <c r="F45" s="38">
        <v>22.842644</v>
      </c>
      <c r="G45" s="38">
        <v>22.436012000000002</v>
      </c>
      <c r="H45" s="38">
        <v>22.280173999999999</v>
      </c>
      <c r="I45" s="38">
        <v>22.339473999999999</v>
      </c>
      <c r="J45" s="38">
        <v>22.598642000000002</v>
      </c>
      <c r="K45" s="38">
        <v>23.043182000000002</v>
      </c>
      <c r="L45" s="38">
        <v>23.561640000000001</v>
      </c>
      <c r="M45" s="38">
        <v>24.117135999999999</v>
      </c>
      <c r="N45" s="38">
        <v>25.107063</v>
      </c>
      <c r="O45" s="38">
        <v>25.837824000000001</v>
      </c>
      <c r="P45" s="38">
        <v>26.373349999999999</v>
      </c>
      <c r="Q45" s="38">
        <v>27.152471999999999</v>
      </c>
      <c r="R45" s="38">
        <v>27.991188000000001</v>
      </c>
      <c r="S45" s="38">
        <v>28.998522000000001</v>
      </c>
      <c r="T45" s="38">
        <v>29.97673</v>
      </c>
      <c r="U45" s="38">
        <v>30.894469999999998</v>
      </c>
      <c r="V45" s="38">
        <v>31.797815</v>
      </c>
      <c r="W45" s="38">
        <v>32.53051</v>
      </c>
      <c r="X45" s="38">
        <v>33.213847999999999</v>
      </c>
      <c r="Y45" s="38">
        <v>33.968719</v>
      </c>
      <c r="Z45" s="38">
        <v>34.676791999999999</v>
      </c>
      <c r="AA45" s="38">
        <v>35.274234999999997</v>
      </c>
      <c r="AB45" s="38">
        <v>35.878371999999999</v>
      </c>
      <c r="AC45" s="38">
        <v>36.606673999999998</v>
      </c>
      <c r="AD45" s="38">
        <v>37.244061000000002</v>
      </c>
      <c r="AE45" s="38">
        <v>37.78595</v>
      </c>
      <c r="AF45" s="35">
        <v>1.5710999999999999E-2</v>
      </c>
      <c r="AG45" s="29"/>
    </row>
    <row r="46" spans="1:33" ht="12" customHeight="1">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row>
    <row r="47" spans="1:33" ht="12" customHeight="1">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row>
    <row r="48" spans="1:33" ht="12" customHeight="1">
      <c r="B48" s="33" t="s">
        <v>2336</v>
      </c>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row>
    <row r="49" spans="1:33" ht="12" customHeight="1">
      <c r="B49" s="33" t="s">
        <v>2337</v>
      </c>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row>
    <row r="50" spans="1:33" ht="15" customHeight="1">
      <c r="A50" s="34" t="s">
        <v>2338</v>
      </c>
      <c r="B50" s="37" t="s">
        <v>2339</v>
      </c>
      <c r="C50" s="38">
        <v>8.8752999999999999E-2</v>
      </c>
      <c r="D50" s="38">
        <v>9.1974E-2</v>
      </c>
      <c r="E50" s="38">
        <v>0.14009099999999999</v>
      </c>
      <c r="F50" s="38">
        <v>0.14101900000000001</v>
      </c>
      <c r="G50" s="38">
        <v>0.14202400000000001</v>
      </c>
      <c r="H50" s="38">
        <v>0.143097</v>
      </c>
      <c r="I50" s="38">
        <v>0.144063</v>
      </c>
      <c r="J50" s="38">
        <v>0.14550399999999999</v>
      </c>
      <c r="K50" s="38">
        <v>0.14643100000000001</v>
      </c>
      <c r="L50" s="38">
        <v>0.147011</v>
      </c>
      <c r="M50" s="38">
        <v>0.148173</v>
      </c>
      <c r="N50" s="38">
        <v>0.14858499999999999</v>
      </c>
      <c r="O50" s="38">
        <v>0.14896200000000001</v>
      </c>
      <c r="P50" s="38">
        <v>0.149446</v>
      </c>
      <c r="Q50" s="38">
        <v>0.14992</v>
      </c>
      <c r="R50" s="38">
        <v>0.15092800000000001</v>
      </c>
      <c r="S50" s="38">
        <v>0.15193999999999999</v>
      </c>
      <c r="T50" s="38">
        <v>0.152832</v>
      </c>
      <c r="U50" s="38">
        <v>0.15370400000000001</v>
      </c>
      <c r="V50" s="38">
        <v>0.154506</v>
      </c>
      <c r="W50" s="38">
        <v>0.15526999999999999</v>
      </c>
      <c r="X50" s="38">
        <v>0.15589800000000001</v>
      </c>
      <c r="Y50" s="38">
        <v>0.156524</v>
      </c>
      <c r="Z50" s="38">
        <v>0.157191</v>
      </c>
      <c r="AA50" s="38">
        <v>0.15789700000000001</v>
      </c>
      <c r="AB50" s="38">
        <v>0.15859300000000001</v>
      </c>
      <c r="AC50" s="38">
        <v>0.15914800000000001</v>
      </c>
      <c r="AD50" s="38">
        <v>0.15965499999999999</v>
      </c>
      <c r="AE50" s="38">
        <v>0.16042300000000001</v>
      </c>
      <c r="AF50" s="35">
        <v>2.1367000000000001E-2</v>
      </c>
      <c r="AG50" s="29"/>
    </row>
    <row r="51" spans="1:33" ht="15" customHeight="1">
      <c r="A51" s="34" t="s">
        <v>2340</v>
      </c>
      <c r="B51" s="37" t="s">
        <v>2341</v>
      </c>
      <c r="C51" s="38">
        <v>3.6684999999999999</v>
      </c>
      <c r="D51" s="38">
        <v>3.7806989999999998</v>
      </c>
      <c r="E51" s="38">
        <v>3.6721110000000001</v>
      </c>
      <c r="F51" s="38">
        <v>3.7589079999999999</v>
      </c>
      <c r="G51" s="38">
        <v>3.8682780000000001</v>
      </c>
      <c r="H51" s="38">
        <v>3.9479489999999999</v>
      </c>
      <c r="I51" s="38">
        <v>4.0052940000000001</v>
      </c>
      <c r="J51" s="38">
        <v>4.039644</v>
      </c>
      <c r="K51" s="38">
        <v>4.068085</v>
      </c>
      <c r="L51" s="38">
        <v>4.1118750000000004</v>
      </c>
      <c r="M51" s="38">
        <v>4.1652740000000001</v>
      </c>
      <c r="N51" s="38">
        <v>4.2092989999999997</v>
      </c>
      <c r="O51" s="38">
        <v>4.2618229999999997</v>
      </c>
      <c r="P51" s="38">
        <v>4.3044419999999999</v>
      </c>
      <c r="Q51" s="38">
        <v>4.3382480000000001</v>
      </c>
      <c r="R51" s="38">
        <v>4.3780469999999996</v>
      </c>
      <c r="S51" s="38">
        <v>4.4036770000000001</v>
      </c>
      <c r="T51" s="38">
        <v>4.4491569999999996</v>
      </c>
      <c r="U51" s="38">
        <v>4.5053619999999999</v>
      </c>
      <c r="V51" s="38">
        <v>4.5512899999999998</v>
      </c>
      <c r="W51" s="38">
        <v>4.5911419999999996</v>
      </c>
      <c r="X51" s="38">
        <v>4.6378599999999999</v>
      </c>
      <c r="Y51" s="38">
        <v>4.6725180000000002</v>
      </c>
      <c r="Z51" s="38">
        <v>4.7025540000000001</v>
      </c>
      <c r="AA51" s="38">
        <v>4.7500280000000004</v>
      </c>
      <c r="AB51" s="38">
        <v>4.8096420000000002</v>
      </c>
      <c r="AC51" s="38">
        <v>4.8377429999999997</v>
      </c>
      <c r="AD51" s="38">
        <v>4.8807150000000004</v>
      </c>
      <c r="AE51" s="38">
        <v>4.9654429999999996</v>
      </c>
      <c r="AF51" s="35">
        <v>1.0869999999999999E-2</v>
      </c>
      <c r="AG51" s="29"/>
    </row>
    <row r="52" spans="1:33" ht="15" customHeight="1">
      <c r="A52" s="34" t="s">
        <v>2342</v>
      </c>
      <c r="B52" s="37" t="s">
        <v>2343</v>
      </c>
      <c r="C52" s="38">
        <v>2.0815999999999999</v>
      </c>
      <c r="D52" s="38">
        <v>2.1968000000000001</v>
      </c>
      <c r="E52" s="38">
        <v>2.1790729999999998</v>
      </c>
      <c r="F52" s="38">
        <v>2.2209530000000002</v>
      </c>
      <c r="G52" s="38">
        <v>2.358142</v>
      </c>
      <c r="H52" s="38">
        <v>2.4973709999999998</v>
      </c>
      <c r="I52" s="38">
        <v>2.5964960000000001</v>
      </c>
      <c r="J52" s="38">
        <v>2.658023</v>
      </c>
      <c r="K52" s="38">
        <v>2.7050540000000001</v>
      </c>
      <c r="L52" s="38">
        <v>2.7033809999999998</v>
      </c>
      <c r="M52" s="38">
        <v>2.7306550000000001</v>
      </c>
      <c r="N52" s="38">
        <v>2.7527170000000001</v>
      </c>
      <c r="O52" s="38">
        <v>2.7975539999999999</v>
      </c>
      <c r="P52" s="38">
        <v>2.825453</v>
      </c>
      <c r="Q52" s="38">
        <v>2.867788</v>
      </c>
      <c r="R52" s="38">
        <v>2.8838460000000001</v>
      </c>
      <c r="S52" s="38">
        <v>2.8876400000000002</v>
      </c>
      <c r="T52" s="38">
        <v>2.9346169999999998</v>
      </c>
      <c r="U52" s="38">
        <v>2.948839</v>
      </c>
      <c r="V52" s="38">
        <v>2.9810810000000001</v>
      </c>
      <c r="W52" s="38">
        <v>3.0489199999999999</v>
      </c>
      <c r="X52" s="38">
        <v>3.1006049999999998</v>
      </c>
      <c r="Y52" s="38">
        <v>3.1229439999999999</v>
      </c>
      <c r="Z52" s="38">
        <v>3.1380170000000001</v>
      </c>
      <c r="AA52" s="38">
        <v>3.1579519999999999</v>
      </c>
      <c r="AB52" s="38">
        <v>3.1736</v>
      </c>
      <c r="AC52" s="38">
        <v>3.1815579999999999</v>
      </c>
      <c r="AD52" s="38">
        <v>3.1932360000000002</v>
      </c>
      <c r="AE52" s="38">
        <v>3.2060200000000001</v>
      </c>
      <c r="AF52" s="35">
        <v>1.5544000000000001E-2</v>
      </c>
      <c r="AG52" s="29"/>
    </row>
    <row r="53" spans="1:33" ht="15" customHeight="1">
      <c r="A53" s="34" t="s">
        <v>2344</v>
      </c>
      <c r="B53" s="37" t="s">
        <v>2345</v>
      </c>
      <c r="C53" s="38">
        <v>0.38350000000000001</v>
      </c>
      <c r="D53" s="38">
        <v>0.40649999999999997</v>
      </c>
      <c r="E53" s="38">
        <v>0.37135400000000002</v>
      </c>
      <c r="F53" s="38">
        <v>0.38693899999999998</v>
      </c>
      <c r="G53" s="38">
        <v>0.37728699999999998</v>
      </c>
      <c r="H53" s="38">
        <v>0.35662199999999999</v>
      </c>
      <c r="I53" s="38">
        <v>0.34212599999999999</v>
      </c>
      <c r="J53" s="38">
        <v>0.33269700000000002</v>
      </c>
      <c r="K53" s="38">
        <v>0.32653100000000002</v>
      </c>
      <c r="L53" s="38">
        <v>0.37523099999999998</v>
      </c>
      <c r="M53" s="38">
        <v>0.41324899999999998</v>
      </c>
      <c r="N53" s="38">
        <v>0.44978899999999999</v>
      </c>
      <c r="O53" s="38">
        <v>0.47547600000000001</v>
      </c>
      <c r="P53" s="38">
        <v>0.50939599999999996</v>
      </c>
      <c r="Q53" s="38">
        <v>0.52056999999999998</v>
      </c>
      <c r="R53" s="38">
        <v>0.55815400000000004</v>
      </c>
      <c r="S53" s="38">
        <v>0.59709599999999996</v>
      </c>
      <c r="T53" s="38">
        <v>0.61280999999999997</v>
      </c>
      <c r="U53" s="38">
        <v>0.66790099999999997</v>
      </c>
      <c r="V53" s="38">
        <v>0.69717099999999999</v>
      </c>
      <c r="W53" s="38">
        <v>0.69291499999999995</v>
      </c>
      <c r="X53" s="38">
        <v>0.70734900000000001</v>
      </c>
      <c r="Y53" s="38">
        <v>0.73650800000000005</v>
      </c>
      <c r="Z53" s="38">
        <v>0.76954199999999995</v>
      </c>
      <c r="AA53" s="38">
        <v>0.81313800000000003</v>
      </c>
      <c r="AB53" s="38">
        <v>0.86992899999999995</v>
      </c>
      <c r="AC53" s="38">
        <v>0.90758399999999995</v>
      </c>
      <c r="AD53" s="38">
        <v>0.95472000000000001</v>
      </c>
      <c r="AE53" s="38">
        <v>1.0354829999999999</v>
      </c>
      <c r="AF53" s="35">
        <v>3.6110999999999997E-2</v>
      </c>
      <c r="AG53" s="29"/>
    </row>
    <row r="54" spans="1:33" ht="15" customHeight="1">
      <c r="A54" s="34" t="s">
        <v>2346</v>
      </c>
      <c r="B54" s="37" t="s">
        <v>2347</v>
      </c>
      <c r="C54" s="38">
        <v>0.41049999999999998</v>
      </c>
      <c r="D54" s="38">
        <v>0.4123</v>
      </c>
      <c r="E54" s="38">
        <v>0.422732</v>
      </c>
      <c r="F54" s="38">
        <v>0.422732</v>
      </c>
      <c r="G54" s="38">
        <v>0.422732</v>
      </c>
      <c r="H54" s="38">
        <v>0.422732</v>
      </c>
      <c r="I54" s="38">
        <v>0.422732</v>
      </c>
      <c r="J54" s="38">
        <v>0.422732</v>
      </c>
      <c r="K54" s="38">
        <v>0.422732</v>
      </c>
      <c r="L54" s="38">
        <v>0.422732</v>
      </c>
      <c r="M54" s="38">
        <v>0.422732</v>
      </c>
      <c r="N54" s="38">
        <v>0.422732</v>
      </c>
      <c r="O54" s="38">
        <v>0.422732</v>
      </c>
      <c r="P54" s="38">
        <v>0.422732</v>
      </c>
      <c r="Q54" s="38">
        <v>0.422732</v>
      </c>
      <c r="R54" s="38">
        <v>0.422732</v>
      </c>
      <c r="S54" s="38">
        <v>0.422732</v>
      </c>
      <c r="T54" s="38">
        <v>0.422732</v>
      </c>
      <c r="U54" s="38">
        <v>0.422732</v>
      </c>
      <c r="V54" s="38">
        <v>0.422732</v>
      </c>
      <c r="W54" s="38">
        <v>0.422732</v>
      </c>
      <c r="X54" s="38">
        <v>0.422732</v>
      </c>
      <c r="Y54" s="38">
        <v>0.422732</v>
      </c>
      <c r="Z54" s="38">
        <v>0.422732</v>
      </c>
      <c r="AA54" s="38">
        <v>0.422732</v>
      </c>
      <c r="AB54" s="38">
        <v>0.422732</v>
      </c>
      <c r="AC54" s="38">
        <v>0.422732</v>
      </c>
      <c r="AD54" s="38">
        <v>0.422732</v>
      </c>
      <c r="AE54" s="38">
        <v>0.422732</v>
      </c>
      <c r="AF54" s="35">
        <v>1.049E-3</v>
      </c>
      <c r="AG54" s="29"/>
    </row>
    <row r="55" spans="1:33" ht="15" customHeight="1">
      <c r="A55" s="34" t="s">
        <v>2348</v>
      </c>
      <c r="B55" s="37" t="s">
        <v>2349</v>
      </c>
      <c r="C55" s="38">
        <v>0.37409999999999999</v>
      </c>
      <c r="D55" s="38">
        <v>0.35349999999999998</v>
      </c>
      <c r="E55" s="38">
        <v>0.32293699999999997</v>
      </c>
      <c r="F55" s="38">
        <v>0.33649000000000001</v>
      </c>
      <c r="G55" s="38">
        <v>0.328096</v>
      </c>
      <c r="H55" s="38">
        <v>0.31012600000000001</v>
      </c>
      <c r="I55" s="38">
        <v>0.29752000000000001</v>
      </c>
      <c r="J55" s="38">
        <v>0.28932000000000002</v>
      </c>
      <c r="K55" s="38">
        <v>0.283634</v>
      </c>
      <c r="L55" s="38">
        <v>0.28837200000000002</v>
      </c>
      <c r="M55" s="38">
        <v>0.288358</v>
      </c>
      <c r="N55" s="38">
        <v>0.28709899999999999</v>
      </c>
      <c r="O55" s="38">
        <v>0.28314099999999998</v>
      </c>
      <c r="P55" s="38">
        <v>0.279725</v>
      </c>
      <c r="Q55" s="38">
        <v>0.27329799999999999</v>
      </c>
      <c r="R55" s="38">
        <v>0.27245799999999998</v>
      </c>
      <c r="S55" s="38">
        <v>0.27049299999999998</v>
      </c>
      <c r="T55" s="38">
        <v>0.26561400000000002</v>
      </c>
      <c r="U55" s="38">
        <v>0.26723000000000002</v>
      </c>
      <c r="V55" s="38">
        <v>0.26467299999999999</v>
      </c>
      <c r="W55" s="38">
        <v>0.25474200000000002</v>
      </c>
      <c r="X55" s="38">
        <v>0.248836</v>
      </c>
      <c r="Y55" s="38">
        <v>0.24576700000000001</v>
      </c>
      <c r="Z55" s="38">
        <v>0.24268999999999999</v>
      </c>
      <c r="AA55" s="38">
        <v>0.24171599999999999</v>
      </c>
      <c r="AB55" s="38">
        <v>0.24365400000000001</v>
      </c>
      <c r="AC55" s="38">
        <v>0.241369</v>
      </c>
      <c r="AD55" s="38">
        <v>0.24091899999999999</v>
      </c>
      <c r="AE55" s="38">
        <v>0.24740899999999999</v>
      </c>
      <c r="AF55" s="35">
        <v>-1.4659E-2</v>
      </c>
      <c r="AG55" s="29"/>
    </row>
    <row r="56" spans="1:33" ht="15" customHeight="1">
      <c r="A56" s="34" t="s">
        <v>2350</v>
      </c>
      <c r="B56" s="37" t="s">
        <v>2351</v>
      </c>
      <c r="C56" s="38">
        <v>0.41880000000000001</v>
      </c>
      <c r="D56" s="38">
        <v>0.41160000000000002</v>
      </c>
      <c r="E56" s="38">
        <v>0.37601400000000001</v>
      </c>
      <c r="F56" s="38">
        <v>0.39179399999999998</v>
      </c>
      <c r="G56" s="38">
        <v>0.382021</v>
      </c>
      <c r="H56" s="38">
        <v>0.361097</v>
      </c>
      <c r="I56" s="38">
        <v>0.34641899999999998</v>
      </c>
      <c r="J56" s="38">
        <v>0.336872</v>
      </c>
      <c r="K56" s="38">
        <v>0.33013399999999998</v>
      </c>
      <c r="L56" s="38">
        <v>0.32215899999999997</v>
      </c>
      <c r="M56" s="38">
        <v>0.310278</v>
      </c>
      <c r="N56" s="38">
        <v>0.29696099999999997</v>
      </c>
      <c r="O56" s="38">
        <v>0.28291899999999998</v>
      </c>
      <c r="P56" s="38">
        <v>0.26713599999999998</v>
      </c>
      <c r="Q56" s="38">
        <v>0.25385999999999997</v>
      </c>
      <c r="R56" s="38">
        <v>0.24085699999999999</v>
      </c>
      <c r="S56" s="38">
        <v>0.225715</v>
      </c>
      <c r="T56" s="38">
        <v>0.21338299999999999</v>
      </c>
      <c r="U56" s="38">
        <v>0.198658</v>
      </c>
      <c r="V56" s="38">
        <v>0.18563099999999999</v>
      </c>
      <c r="W56" s="38">
        <v>0.17183300000000001</v>
      </c>
      <c r="X56" s="38">
        <v>0.158336</v>
      </c>
      <c r="Y56" s="38">
        <v>0.144565</v>
      </c>
      <c r="Z56" s="38">
        <v>0.12957299999999999</v>
      </c>
      <c r="AA56" s="38">
        <v>0.11448899999999999</v>
      </c>
      <c r="AB56" s="38">
        <v>9.9724999999999994E-2</v>
      </c>
      <c r="AC56" s="38">
        <v>8.4498000000000004E-2</v>
      </c>
      <c r="AD56" s="38">
        <v>6.9108000000000003E-2</v>
      </c>
      <c r="AE56" s="38">
        <v>5.3797999999999999E-2</v>
      </c>
      <c r="AF56" s="35">
        <v>-7.0669999999999997E-2</v>
      </c>
      <c r="AG56" s="29"/>
    </row>
    <row r="57" spans="1:33" ht="15" customHeight="1">
      <c r="A57" s="34" t="s">
        <v>2352</v>
      </c>
      <c r="B57" s="37" t="s">
        <v>2310</v>
      </c>
      <c r="C57" s="38">
        <v>0.29296100000000003</v>
      </c>
      <c r="D57" s="38">
        <v>0.29184599999999999</v>
      </c>
      <c r="E57" s="38">
        <v>0.28855799999999998</v>
      </c>
      <c r="F57" s="38">
        <v>0.28835699999999997</v>
      </c>
      <c r="G57" s="38">
        <v>0.287908</v>
      </c>
      <c r="H57" s="38">
        <v>0.28598200000000001</v>
      </c>
      <c r="I57" s="38">
        <v>0.28506799999999999</v>
      </c>
      <c r="J57" s="38">
        <v>0.28583199999999997</v>
      </c>
      <c r="K57" s="38">
        <v>0.28615400000000002</v>
      </c>
      <c r="L57" s="38">
        <v>0.28532600000000002</v>
      </c>
      <c r="M57" s="38">
        <v>0.285028</v>
      </c>
      <c r="N57" s="38">
        <v>0.28497</v>
      </c>
      <c r="O57" s="38">
        <v>0.28505000000000003</v>
      </c>
      <c r="P57" s="38">
        <v>0.28587800000000002</v>
      </c>
      <c r="Q57" s="38">
        <v>0.28722999999999999</v>
      </c>
      <c r="R57" s="38">
        <v>0.28936200000000001</v>
      </c>
      <c r="S57" s="38">
        <v>0.29157899999999998</v>
      </c>
      <c r="T57" s="38">
        <v>0.29358600000000001</v>
      </c>
      <c r="U57" s="38">
        <v>0.29565000000000002</v>
      </c>
      <c r="V57" s="38">
        <v>0.29796899999999998</v>
      </c>
      <c r="W57" s="38">
        <v>0.30004500000000001</v>
      </c>
      <c r="X57" s="38">
        <v>0.30201099999999997</v>
      </c>
      <c r="Y57" s="38">
        <v>0.303898</v>
      </c>
      <c r="Z57" s="38">
        <v>0.30581000000000003</v>
      </c>
      <c r="AA57" s="38">
        <v>0.30781599999999998</v>
      </c>
      <c r="AB57" s="38">
        <v>0.309581</v>
      </c>
      <c r="AC57" s="38">
        <v>0.31126999999999999</v>
      </c>
      <c r="AD57" s="38">
        <v>0.31289800000000001</v>
      </c>
      <c r="AE57" s="38">
        <v>0.31510700000000003</v>
      </c>
      <c r="AF57" s="35">
        <v>2.6059999999999998E-3</v>
      </c>
      <c r="AG57" s="29"/>
    </row>
    <row r="58" spans="1:33" ht="15" customHeight="1">
      <c r="A58" s="34" t="s">
        <v>2353</v>
      </c>
      <c r="B58" s="37" t="s">
        <v>2088</v>
      </c>
      <c r="C58" s="38">
        <v>1.1086940000000001</v>
      </c>
      <c r="D58" s="38">
        <v>1.1025860000000001</v>
      </c>
      <c r="E58" s="38">
        <v>1.083148</v>
      </c>
      <c r="F58" s="38">
        <v>1.075752</v>
      </c>
      <c r="G58" s="38">
        <v>1.068146</v>
      </c>
      <c r="H58" s="38">
        <v>1.057798</v>
      </c>
      <c r="I58" s="38">
        <v>1.0522450000000001</v>
      </c>
      <c r="J58" s="38">
        <v>1.0513589999999999</v>
      </c>
      <c r="K58" s="38">
        <v>1.049995</v>
      </c>
      <c r="L58" s="38">
        <v>1.0457890000000001</v>
      </c>
      <c r="M58" s="38">
        <v>1.0438179999999999</v>
      </c>
      <c r="N58" s="38">
        <v>1.0417130000000001</v>
      </c>
      <c r="O58" s="38">
        <v>1.039992</v>
      </c>
      <c r="P58" s="38">
        <v>1.0409189999999999</v>
      </c>
      <c r="Q58" s="38">
        <v>1.0431490000000001</v>
      </c>
      <c r="R58" s="38">
        <v>1.0479529999999999</v>
      </c>
      <c r="S58" s="38">
        <v>1.0532490000000001</v>
      </c>
      <c r="T58" s="38">
        <v>1.0580130000000001</v>
      </c>
      <c r="U58" s="38">
        <v>1.0631699999999999</v>
      </c>
      <c r="V58" s="38">
        <v>1.069069</v>
      </c>
      <c r="W58" s="38">
        <v>1.0743050000000001</v>
      </c>
      <c r="X58" s="38">
        <v>1.079013</v>
      </c>
      <c r="Y58" s="38">
        <v>1.083534</v>
      </c>
      <c r="Z58" s="38">
        <v>1.0882309999999999</v>
      </c>
      <c r="AA58" s="38">
        <v>1.0929549999999999</v>
      </c>
      <c r="AB58" s="38">
        <v>1.096991</v>
      </c>
      <c r="AC58" s="38">
        <v>1.1004389999999999</v>
      </c>
      <c r="AD58" s="38">
        <v>1.103701</v>
      </c>
      <c r="AE58" s="38">
        <v>1.109048</v>
      </c>
      <c r="AF58" s="35">
        <v>1.1E-5</v>
      </c>
      <c r="AG58" s="29"/>
    </row>
    <row r="59" spans="1:33" ht="15" customHeight="1">
      <c r="A59" s="34" t="s">
        <v>2354</v>
      </c>
      <c r="B59" s="37" t="s">
        <v>2090</v>
      </c>
      <c r="C59" s="38">
        <v>5.4398000000000002E-2</v>
      </c>
      <c r="D59" s="38">
        <v>6.0393000000000002E-2</v>
      </c>
      <c r="E59" s="38">
        <v>4.2014000000000003E-2</v>
      </c>
      <c r="F59" s="38">
        <v>3.6399000000000001E-2</v>
      </c>
      <c r="G59" s="38">
        <v>3.3191999999999999E-2</v>
      </c>
      <c r="H59" s="38">
        <v>3.0807999999999999E-2</v>
      </c>
      <c r="I59" s="38">
        <v>2.9021999999999999E-2</v>
      </c>
      <c r="J59" s="38">
        <v>2.8118000000000001E-2</v>
      </c>
      <c r="K59" s="38">
        <v>2.7484000000000001E-2</v>
      </c>
      <c r="L59" s="38">
        <v>2.7149E-2</v>
      </c>
      <c r="M59" s="38">
        <v>2.7168999999999999E-2</v>
      </c>
      <c r="N59" s="38">
        <v>2.7543000000000002E-2</v>
      </c>
      <c r="O59" s="38">
        <v>2.8034E-2</v>
      </c>
      <c r="P59" s="38">
        <v>2.8743000000000001E-2</v>
      </c>
      <c r="Q59" s="38">
        <v>2.9177999999999999E-2</v>
      </c>
      <c r="R59" s="38">
        <v>2.9798000000000002E-2</v>
      </c>
      <c r="S59" s="38">
        <v>3.0748999999999999E-2</v>
      </c>
      <c r="T59" s="38">
        <v>3.0870000000000002E-2</v>
      </c>
      <c r="U59" s="38">
        <v>3.1850999999999997E-2</v>
      </c>
      <c r="V59" s="38">
        <v>3.2607999999999998E-2</v>
      </c>
      <c r="W59" s="38">
        <v>3.3100999999999998E-2</v>
      </c>
      <c r="X59" s="38">
        <v>3.3167000000000002E-2</v>
      </c>
      <c r="Y59" s="38">
        <v>3.3339000000000001E-2</v>
      </c>
      <c r="Z59" s="38">
        <v>3.3570999999999997E-2</v>
      </c>
      <c r="AA59" s="38">
        <v>3.3549000000000002E-2</v>
      </c>
      <c r="AB59" s="38">
        <v>3.3748E-2</v>
      </c>
      <c r="AC59" s="38">
        <v>3.3671E-2</v>
      </c>
      <c r="AD59" s="38">
        <v>3.3585999999999998E-2</v>
      </c>
      <c r="AE59" s="38">
        <v>3.3841000000000003E-2</v>
      </c>
      <c r="AF59" s="35">
        <v>-1.6809000000000001E-2</v>
      </c>
      <c r="AG59" s="29"/>
    </row>
    <row r="60" spans="1:33" ht="15" customHeight="1">
      <c r="A60" s="34" t="s">
        <v>2355</v>
      </c>
      <c r="B60" s="37" t="s">
        <v>2108</v>
      </c>
      <c r="C60" s="38">
        <v>0.52429800000000004</v>
      </c>
      <c r="D60" s="38">
        <v>0.59491700000000003</v>
      </c>
      <c r="E60" s="38">
        <v>0.55000000000000004</v>
      </c>
      <c r="F60" s="38">
        <v>0.55000000000000004</v>
      </c>
      <c r="G60" s="38">
        <v>0.55000000000000004</v>
      </c>
      <c r="H60" s="38">
        <v>0.55000000000000004</v>
      </c>
      <c r="I60" s="38">
        <v>0.55000000000000004</v>
      </c>
      <c r="J60" s="38">
        <v>0.55000000000000004</v>
      </c>
      <c r="K60" s="38">
        <v>0.55000000000000004</v>
      </c>
      <c r="L60" s="38">
        <v>0.55000000000000004</v>
      </c>
      <c r="M60" s="38">
        <v>0.55000000000000004</v>
      </c>
      <c r="N60" s="38">
        <v>0.55000000000000004</v>
      </c>
      <c r="O60" s="38">
        <v>0.55000000000000004</v>
      </c>
      <c r="P60" s="38">
        <v>0.55000000000000004</v>
      </c>
      <c r="Q60" s="38">
        <v>0.55000000000000004</v>
      </c>
      <c r="R60" s="38">
        <v>0.55000000000000004</v>
      </c>
      <c r="S60" s="38">
        <v>0.55000000000000004</v>
      </c>
      <c r="T60" s="38">
        <v>0.55000000000000004</v>
      </c>
      <c r="U60" s="38">
        <v>0.55000000000000004</v>
      </c>
      <c r="V60" s="38">
        <v>0.55000000000000004</v>
      </c>
      <c r="W60" s="38">
        <v>0.55000000000000004</v>
      </c>
      <c r="X60" s="38">
        <v>0.55000000000000004</v>
      </c>
      <c r="Y60" s="38">
        <v>0.55000000000000004</v>
      </c>
      <c r="Z60" s="38">
        <v>0.55000000000000004</v>
      </c>
      <c r="AA60" s="38">
        <v>0.55000000000000004</v>
      </c>
      <c r="AB60" s="38">
        <v>0.55000000000000004</v>
      </c>
      <c r="AC60" s="38">
        <v>0.55000000000000004</v>
      </c>
      <c r="AD60" s="38">
        <v>0.55000000000000004</v>
      </c>
      <c r="AE60" s="38">
        <v>0.55000000000000004</v>
      </c>
      <c r="AF60" s="35">
        <v>1.7110000000000001E-3</v>
      </c>
      <c r="AG60" s="29"/>
    </row>
    <row r="61" spans="1:33" ht="15" customHeight="1">
      <c r="A61" s="34" t="s">
        <v>2356</v>
      </c>
      <c r="B61" s="37" t="s">
        <v>2357</v>
      </c>
      <c r="C61" s="38">
        <v>7.5192999999999996E-2</v>
      </c>
      <c r="D61" s="38">
        <v>4.3214000000000002E-2</v>
      </c>
      <c r="E61" s="38">
        <v>4.6351000000000003E-2</v>
      </c>
      <c r="F61" s="38">
        <v>5.0965999999999997E-2</v>
      </c>
      <c r="G61" s="38">
        <v>5.5967999999999997E-2</v>
      </c>
      <c r="H61" s="38">
        <v>6.0996000000000002E-2</v>
      </c>
      <c r="I61" s="38">
        <v>6.5301999999999999E-2</v>
      </c>
      <c r="J61" s="38">
        <v>6.7087999999999995E-2</v>
      </c>
      <c r="K61" s="38">
        <v>6.8539000000000003E-2</v>
      </c>
      <c r="L61" s="38">
        <v>6.9694999999999993E-2</v>
      </c>
      <c r="M61" s="38">
        <v>7.0218000000000003E-2</v>
      </c>
      <c r="N61" s="38">
        <v>7.0123000000000005E-2</v>
      </c>
      <c r="O61" s="38">
        <v>6.9639999999999994E-2</v>
      </c>
      <c r="P61" s="38">
        <v>6.8921999999999997E-2</v>
      </c>
      <c r="Q61" s="38">
        <v>6.7794999999999994E-2</v>
      </c>
      <c r="R61" s="38">
        <v>6.6379999999999995E-2</v>
      </c>
      <c r="S61" s="38">
        <v>6.4971000000000001E-2</v>
      </c>
      <c r="T61" s="38">
        <v>6.4341999999999996E-2</v>
      </c>
      <c r="U61" s="38">
        <v>6.4151E-2</v>
      </c>
      <c r="V61" s="38">
        <v>6.3838000000000006E-2</v>
      </c>
      <c r="W61" s="38">
        <v>6.3070000000000001E-2</v>
      </c>
      <c r="X61" s="38">
        <v>6.1880999999999999E-2</v>
      </c>
      <c r="Y61" s="38">
        <v>6.0463999999999997E-2</v>
      </c>
      <c r="Z61" s="38">
        <v>5.9692000000000002E-2</v>
      </c>
      <c r="AA61" s="38">
        <v>5.8757999999999998E-2</v>
      </c>
      <c r="AB61" s="38">
        <v>5.7791000000000002E-2</v>
      </c>
      <c r="AC61" s="38">
        <v>5.6797E-2</v>
      </c>
      <c r="AD61" s="38">
        <v>5.5628999999999998E-2</v>
      </c>
      <c r="AE61" s="38">
        <v>5.4498999999999999E-2</v>
      </c>
      <c r="AF61" s="35">
        <v>-1.1429999999999999E-2</v>
      </c>
      <c r="AG61" s="29"/>
    </row>
    <row r="62" spans="1:33" ht="15" customHeight="1">
      <c r="A62" s="34" t="s">
        <v>2358</v>
      </c>
      <c r="B62" s="37" t="s">
        <v>2314</v>
      </c>
      <c r="C62" s="38">
        <v>0.87712299999999999</v>
      </c>
      <c r="D62" s="38">
        <v>0.83828499999999995</v>
      </c>
      <c r="E62" s="38">
        <v>0.80333200000000005</v>
      </c>
      <c r="F62" s="38">
        <v>0.88528499999999999</v>
      </c>
      <c r="G62" s="38">
        <v>0.89676699999999998</v>
      </c>
      <c r="H62" s="38">
        <v>0.91066899999999995</v>
      </c>
      <c r="I62" s="38">
        <v>0.92057599999999995</v>
      </c>
      <c r="J62" s="38">
        <v>0.92912399999999995</v>
      </c>
      <c r="K62" s="38">
        <v>0.93557900000000005</v>
      </c>
      <c r="L62" s="38">
        <v>0.94043699999999997</v>
      </c>
      <c r="M62" s="38">
        <v>0.93912099999999998</v>
      </c>
      <c r="N62" s="38">
        <v>0.94223800000000002</v>
      </c>
      <c r="O62" s="38">
        <v>0.94938400000000001</v>
      </c>
      <c r="P62" s="38">
        <v>0.95640099999999995</v>
      </c>
      <c r="Q62" s="38">
        <v>0.96348699999999998</v>
      </c>
      <c r="R62" s="38">
        <v>0.97220799999999996</v>
      </c>
      <c r="S62" s="38">
        <v>0.98347600000000002</v>
      </c>
      <c r="T62" s="38">
        <v>0.99422600000000005</v>
      </c>
      <c r="U62" s="38">
        <v>1.00613</v>
      </c>
      <c r="V62" s="38">
        <v>1.018478</v>
      </c>
      <c r="W62" s="38">
        <v>1.0289170000000001</v>
      </c>
      <c r="X62" s="38">
        <v>1.031261</v>
      </c>
      <c r="Y62" s="38">
        <v>1.046449</v>
      </c>
      <c r="Z62" s="38">
        <v>1.0671619999999999</v>
      </c>
      <c r="AA62" s="38">
        <v>1.0781000000000001</v>
      </c>
      <c r="AB62" s="38">
        <v>1.09335</v>
      </c>
      <c r="AC62" s="38">
        <v>1.1059760000000001</v>
      </c>
      <c r="AD62" s="38">
        <v>1.118703</v>
      </c>
      <c r="AE62" s="38">
        <v>1.132056</v>
      </c>
      <c r="AF62" s="35">
        <v>9.1540000000000007E-3</v>
      </c>
      <c r="AG62" s="29"/>
    </row>
    <row r="63" spans="1:33" ht="15" customHeight="1">
      <c r="A63" s="34" t="s">
        <v>2359</v>
      </c>
      <c r="B63" s="37" t="s">
        <v>2360</v>
      </c>
      <c r="C63" s="38">
        <v>0.52215800000000001</v>
      </c>
      <c r="D63" s="38">
        <v>0.33646199999999998</v>
      </c>
      <c r="E63" s="38">
        <v>0.28020299999999998</v>
      </c>
      <c r="F63" s="38">
        <v>0.27927800000000003</v>
      </c>
      <c r="G63" s="38">
        <v>0.25812200000000002</v>
      </c>
      <c r="H63" s="38">
        <v>0.242428</v>
      </c>
      <c r="I63" s="38">
        <v>0.23458200000000001</v>
      </c>
      <c r="J63" s="38">
        <v>0.250834</v>
      </c>
      <c r="K63" s="38">
        <v>0.26877000000000001</v>
      </c>
      <c r="L63" s="38">
        <v>0.28834799999999999</v>
      </c>
      <c r="M63" s="38">
        <v>0.307641</v>
      </c>
      <c r="N63" s="38">
        <v>0.327843</v>
      </c>
      <c r="O63" s="38">
        <v>0.34354299999999999</v>
      </c>
      <c r="P63" s="38">
        <v>0.35498600000000002</v>
      </c>
      <c r="Q63" s="38">
        <v>0.35789399999999999</v>
      </c>
      <c r="R63" s="38">
        <v>0.36314099999999999</v>
      </c>
      <c r="S63" s="38">
        <v>0.37321100000000001</v>
      </c>
      <c r="T63" s="38">
        <v>0.37158099999999999</v>
      </c>
      <c r="U63" s="38">
        <v>0.38423200000000002</v>
      </c>
      <c r="V63" s="38">
        <v>0.392287</v>
      </c>
      <c r="W63" s="38">
        <v>0.395984</v>
      </c>
      <c r="X63" s="38">
        <v>0.39447100000000002</v>
      </c>
      <c r="Y63" s="38">
        <v>0.39481100000000002</v>
      </c>
      <c r="Z63" s="38">
        <v>0.396395</v>
      </c>
      <c r="AA63" s="38">
        <v>0.40059299999999998</v>
      </c>
      <c r="AB63" s="38">
        <v>0.40232200000000001</v>
      </c>
      <c r="AC63" s="38">
        <v>0.40068100000000001</v>
      </c>
      <c r="AD63" s="38">
        <v>0.39899899999999999</v>
      </c>
      <c r="AE63" s="38">
        <v>0.40340500000000001</v>
      </c>
      <c r="AF63" s="35">
        <v>-9.1730000000000006E-3</v>
      </c>
      <c r="AG63" s="29"/>
    </row>
    <row r="64" spans="1:33" ht="15" customHeight="1">
      <c r="A64" s="34" t="s">
        <v>2361</v>
      </c>
      <c r="B64" s="37" t="s">
        <v>2068</v>
      </c>
      <c r="C64" s="38">
        <v>7.212078</v>
      </c>
      <c r="D64" s="38">
        <v>7.1403759999999998</v>
      </c>
      <c r="E64" s="38">
        <v>6.9058089999999996</v>
      </c>
      <c r="F64" s="38">
        <v>7.0659640000000001</v>
      </c>
      <c r="G64" s="38">
        <v>7.160406</v>
      </c>
      <c r="H64" s="38">
        <v>7.2297260000000003</v>
      </c>
      <c r="I64" s="38">
        <v>7.2861529999999997</v>
      </c>
      <c r="J64" s="38">
        <v>7.3475029999999997</v>
      </c>
      <c r="K64" s="38">
        <v>7.4010369999999996</v>
      </c>
      <c r="L64" s="38">
        <v>7.4656310000000001</v>
      </c>
      <c r="M64" s="38">
        <v>7.5364430000000002</v>
      </c>
      <c r="N64" s="38">
        <v>7.6023129999999997</v>
      </c>
      <c r="O64" s="38">
        <v>7.6764289999999997</v>
      </c>
      <c r="P64" s="38">
        <v>7.739738</v>
      </c>
      <c r="Q64" s="38">
        <v>7.7869020000000004</v>
      </c>
      <c r="R64" s="38">
        <v>7.8478159999999999</v>
      </c>
      <c r="S64" s="38">
        <v>7.9028530000000003</v>
      </c>
      <c r="T64" s="38">
        <v>7.964607</v>
      </c>
      <c r="U64" s="38">
        <v>8.0542510000000007</v>
      </c>
      <c r="V64" s="38">
        <v>8.1300460000000001</v>
      </c>
      <c r="W64" s="38">
        <v>8.1918340000000001</v>
      </c>
      <c r="X64" s="38">
        <v>8.2455610000000004</v>
      </c>
      <c r="Y64" s="38">
        <v>8.3015369999999997</v>
      </c>
      <c r="Z64" s="38">
        <v>8.3606060000000006</v>
      </c>
      <c r="AA64" s="38">
        <v>8.4296970000000009</v>
      </c>
      <c r="AB64" s="38">
        <v>8.5120199999999997</v>
      </c>
      <c r="AC64" s="38">
        <v>8.5557269999999992</v>
      </c>
      <c r="AD64" s="38">
        <v>8.6138849999999998</v>
      </c>
      <c r="AE64" s="38">
        <v>8.7238229999999994</v>
      </c>
      <c r="AF64" s="35">
        <v>6.8199999999999997E-3</v>
      </c>
      <c r="AG64" s="29"/>
    </row>
    <row r="65" spans="1:33" ht="15" customHeight="1">
      <c r="A65" s="34" t="s">
        <v>2362</v>
      </c>
      <c r="B65" s="37" t="s">
        <v>2316</v>
      </c>
      <c r="C65" s="38">
        <v>6.144431</v>
      </c>
      <c r="D65" s="38">
        <v>5.8286129999999998</v>
      </c>
      <c r="E65" s="38">
        <v>5.9174059999999997</v>
      </c>
      <c r="F65" s="38">
        <v>6.0284170000000001</v>
      </c>
      <c r="G65" s="38">
        <v>6.1997309999999999</v>
      </c>
      <c r="H65" s="38">
        <v>6.3169529999999998</v>
      </c>
      <c r="I65" s="38">
        <v>6.3837250000000001</v>
      </c>
      <c r="J65" s="38">
        <v>6.3929479999999996</v>
      </c>
      <c r="K65" s="38">
        <v>6.388477</v>
      </c>
      <c r="L65" s="38">
        <v>6.3916360000000001</v>
      </c>
      <c r="M65" s="38">
        <v>6.412458</v>
      </c>
      <c r="N65" s="38">
        <v>6.4242480000000004</v>
      </c>
      <c r="O65" s="38">
        <v>6.4526680000000001</v>
      </c>
      <c r="P65" s="38">
        <v>6.4908250000000001</v>
      </c>
      <c r="Q65" s="38">
        <v>6.538678</v>
      </c>
      <c r="R65" s="38">
        <v>6.5900990000000004</v>
      </c>
      <c r="S65" s="38">
        <v>6.6237159999999999</v>
      </c>
      <c r="T65" s="38">
        <v>6.6925670000000004</v>
      </c>
      <c r="U65" s="38">
        <v>6.7418360000000002</v>
      </c>
      <c r="V65" s="38">
        <v>6.7991060000000001</v>
      </c>
      <c r="W65" s="38">
        <v>6.864325</v>
      </c>
      <c r="X65" s="38">
        <v>6.93452</v>
      </c>
      <c r="Y65" s="38">
        <v>6.9929899999999998</v>
      </c>
      <c r="Z65" s="38">
        <v>7.0424660000000001</v>
      </c>
      <c r="AA65" s="38">
        <v>7.0899140000000003</v>
      </c>
      <c r="AB65" s="38">
        <v>7.1635499999999999</v>
      </c>
      <c r="AC65" s="38">
        <v>7.2180479999999996</v>
      </c>
      <c r="AD65" s="38">
        <v>7.2847720000000002</v>
      </c>
      <c r="AE65" s="38">
        <v>7.3783659999999998</v>
      </c>
      <c r="AF65" s="35">
        <v>6.5570000000000003E-3</v>
      </c>
      <c r="AG65" s="29"/>
    </row>
    <row r="66" spans="1:33" ht="12" customHeight="1">
      <c r="A66" s="34" t="s">
        <v>2363</v>
      </c>
      <c r="B66" s="37" t="s">
        <v>2318</v>
      </c>
      <c r="C66" s="38">
        <v>1.1061000000000001</v>
      </c>
      <c r="D66" s="38">
        <v>1.1051</v>
      </c>
      <c r="E66" s="38">
        <v>1.097051</v>
      </c>
      <c r="F66" s="38">
        <v>1.1263320000000001</v>
      </c>
      <c r="G66" s="38">
        <v>1.160811</v>
      </c>
      <c r="H66" s="38">
        <v>1.187154</v>
      </c>
      <c r="I66" s="38">
        <v>1.205184</v>
      </c>
      <c r="J66" s="38">
        <v>1.2187760000000001</v>
      </c>
      <c r="K66" s="38">
        <v>1.2298990000000001</v>
      </c>
      <c r="L66" s="38">
        <v>1.2447189999999999</v>
      </c>
      <c r="M66" s="38">
        <v>1.268942</v>
      </c>
      <c r="N66" s="38">
        <v>1.283147</v>
      </c>
      <c r="O66" s="38">
        <v>1.3011779999999999</v>
      </c>
      <c r="P66" s="38">
        <v>1.3175060000000001</v>
      </c>
      <c r="Q66" s="38">
        <v>1.330819</v>
      </c>
      <c r="R66" s="38">
        <v>1.3442609999999999</v>
      </c>
      <c r="S66" s="38">
        <v>1.356203</v>
      </c>
      <c r="T66" s="38">
        <v>1.3649070000000001</v>
      </c>
      <c r="U66" s="38">
        <v>1.3759779999999999</v>
      </c>
      <c r="V66" s="38">
        <v>1.3871100000000001</v>
      </c>
      <c r="W66" s="38">
        <v>1.3938410000000001</v>
      </c>
      <c r="X66" s="38">
        <v>1.397159</v>
      </c>
      <c r="Y66" s="38">
        <v>1.3965069999999999</v>
      </c>
      <c r="Z66" s="38">
        <v>1.3939889999999999</v>
      </c>
      <c r="AA66" s="38">
        <v>1.3980269999999999</v>
      </c>
      <c r="AB66" s="38">
        <v>1.406296</v>
      </c>
      <c r="AC66" s="38">
        <v>1.40652</v>
      </c>
      <c r="AD66" s="38">
        <v>1.410704</v>
      </c>
      <c r="AE66" s="38">
        <v>1.4252089999999999</v>
      </c>
      <c r="AF66" s="35">
        <v>9.0939999999999997E-3</v>
      </c>
      <c r="AG66" s="29"/>
    </row>
    <row r="67" spans="1:33" ht="15" customHeight="1">
      <c r="A67" s="34" t="s">
        <v>2364</v>
      </c>
      <c r="B67" s="37" t="s">
        <v>2365</v>
      </c>
      <c r="C67" s="38">
        <v>2.058109</v>
      </c>
      <c r="D67" s="38">
        <v>2.092768</v>
      </c>
      <c r="E67" s="38">
        <v>2.0814270000000001</v>
      </c>
      <c r="F67" s="38">
        <v>2.0905629999999999</v>
      </c>
      <c r="G67" s="38">
        <v>2.1201449999999999</v>
      </c>
      <c r="H67" s="38">
        <v>2.120571</v>
      </c>
      <c r="I67" s="38">
        <v>2.1526890000000001</v>
      </c>
      <c r="J67" s="38">
        <v>2.1577320000000002</v>
      </c>
      <c r="K67" s="38">
        <v>2.1695030000000002</v>
      </c>
      <c r="L67" s="38">
        <v>2.1815989999999998</v>
      </c>
      <c r="M67" s="38">
        <v>2.2111010000000002</v>
      </c>
      <c r="N67" s="38">
        <v>2.2290570000000001</v>
      </c>
      <c r="O67" s="38">
        <v>2.2467280000000001</v>
      </c>
      <c r="P67" s="38">
        <v>2.2575560000000001</v>
      </c>
      <c r="Q67" s="38">
        <v>2.2863720000000001</v>
      </c>
      <c r="R67" s="38">
        <v>2.3044690000000001</v>
      </c>
      <c r="S67" s="38">
        <v>2.314082</v>
      </c>
      <c r="T67" s="38">
        <v>2.3346290000000001</v>
      </c>
      <c r="U67" s="38">
        <v>2.333602</v>
      </c>
      <c r="V67" s="38">
        <v>2.335842</v>
      </c>
      <c r="W67" s="38">
        <v>2.3531970000000002</v>
      </c>
      <c r="X67" s="38">
        <v>2.370949</v>
      </c>
      <c r="Y67" s="38">
        <v>2.3963049999999999</v>
      </c>
      <c r="Z67" s="38">
        <v>2.4046780000000001</v>
      </c>
      <c r="AA67" s="38">
        <v>2.4146890000000001</v>
      </c>
      <c r="AB67" s="38">
        <v>2.416207</v>
      </c>
      <c r="AC67" s="38">
        <v>2.4452199999999999</v>
      </c>
      <c r="AD67" s="38">
        <v>2.4601860000000002</v>
      </c>
      <c r="AE67" s="38">
        <v>2.4687199999999998</v>
      </c>
      <c r="AF67" s="35">
        <v>6.5180000000000004E-3</v>
      </c>
      <c r="AG67" s="29"/>
    </row>
    <row r="68" spans="1:33" ht="15" customHeight="1">
      <c r="A68" s="34" t="s">
        <v>2366</v>
      </c>
      <c r="B68" s="37" t="s">
        <v>2118</v>
      </c>
      <c r="C68" s="38">
        <v>9.3086400000000005</v>
      </c>
      <c r="D68" s="38">
        <v>9.0264819999999997</v>
      </c>
      <c r="E68" s="38">
        <v>9.0958830000000006</v>
      </c>
      <c r="F68" s="38">
        <v>9.2453120000000002</v>
      </c>
      <c r="G68" s="38">
        <v>9.4806869999999996</v>
      </c>
      <c r="H68" s="38">
        <v>9.6246779999999994</v>
      </c>
      <c r="I68" s="38">
        <v>9.7415979999999998</v>
      </c>
      <c r="J68" s="38">
        <v>9.7694569999999992</v>
      </c>
      <c r="K68" s="38">
        <v>9.7878790000000002</v>
      </c>
      <c r="L68" s="38">
        <v>9.8179529999999993</v>
      </c>
      <c r="M68" s="38">
        <v>9.8925009999999993</v>
      </c>
      <c r="N68" s="38">
        <v>9.9364509999999999</v>
      </c>
      <c r="O68" s="38">
        <v>10.000574</v>
      </c>
      <c r="P68" s="38">
        <v>10.065886000000001</v>
      </c>
      <c r="Q68" s="38">
        <v>10.155868999999999</v>
      </c>
      <c r="R68" s="38">
        <v>10.23883</v>
      </c>
      <c r="S68" s="38">
        <v>10.294001</v>
      </c>
      <c r="T68" s="38">
        <v>10.392103000000001</v>
      </c>
      <c r="U68" s="38">
        <v>10.451416</v>
      </c>
      <c r="V68" s="38">
        <v>10.522057999999999</v>
      </c>
      <c r="W68" s="38">
        <v>10.611362</v>
      </c>
      <c r="X68" s="38">
        <v>10.702628000000001</v>
      </c>
      <c r="Y68" s="38">
        <v>10.785802</v>
      </c>
      <c r="Z68" s="38">
        <v>10.841132999999999</v>
      </c>
      <c r="AA68" s="38">
        <v>10.90263</v>
      </c>
      <c r="AB68" s="38">
        <v>10.986053</v>
      </c>
      <c r="AC68" s="38">
        <v>11.069788000000001</v>
      </c>
      <c r="AD68" s="38">
        <v>11.155663000000001</v>
      </c>
      <c r="AE68" s="38">
        <v>11.272295</v>
      </c>
      <c r="AF68" s="35">
        <v>6.8589999999999996E-3</v>
      </c>
      <c r="AG68" s="29"/>
    </row>
    <row r="69" spans="1:33" ht="15" customHeight="1">
      <c r="A69" s="34" t="s">
        <v>2367</v>
      </c>
      <c r="B69" s="37" t="s">
        <v>2368</v>
      </c>
      <c r="C69" s="38">
        <v>0.38958799999999999</v>
      </c>
      <c r="D69" s="38">
        <v>0.407723</v>
      </c>
      <c r="E69" s="38">
        <v>0.42370099999999999</v>
      </c>
      <c r="F69" s="38">
        <v>0.42176400000000003</v>
      </c>
      <c r="G69" s="38">
        <v>0.42654900000000001</v>
      </c>
      <c r="H69" s="38">
        <v>0.42880699999999999</v>
      </c>
      <c r="I69" s="38">
        <v>0.428975</v>
      </c>
      <c r="J69" s="38">
        <v>0.429118</v>
      </c>
      <c r="K69" s="38">
        <v>0.42477900000000002</v>
      </c>
      <c r="L69" s="38">
        <v>0.421456</v>
      </c>
      <c r="M69" s="38">
        <v>0.42292800000000003</v>
      </c>
      <c r="N69" s="38">
        <v>0.41902899999999998</v>
      </c>
      <c r="O69" s="38">
        <v>0.41584100000000002</v>
      </c>
      <c r="P69" s="38">
        <v>0.41363699999999998</v>
      </c>
      <c r="Q69" s="38">
        <v>0.41121799999999997</v>
      </c>
      <c r="R69" s="38">
        <v>0.410306</v>
      </c>
      <c r="S69" s="38">
        <v>0.40495199999999998</v>
      </c>
      <c r="T69" s="38">
        <v>0.39735700000000002</v>
      </c>
      <c r="U69" s="38">
        <v>0.39246799999999998</v>
      </c>
      <c r="V69" s="38">
        <v>0.390573</v>
      </c>
      <c r="W69" s="38">
        <v>0.39028800000000002</v>
      </c>
      <c r="X69" s="38">
        <v>0.38829799999999998</v>
      </c>
      <c r="Y69" s="38">
        <v>0.38521</v>
      </c>
      <c r="Z69" s="38">
        <v>0.38122499999999998</v>
      </c>
      <c r="AA69" s="38">
        <v>0.37828899999999999</v>
      </c>
      <c r="AB69" s="38">
        <v>0.37598500000000001</v>
      </c>
      <c r="AC69" s="38">
        <v>0.37150699999999998</v>
      </c>
      <c r="AD69" s="38">
        <v>0.36893300000000001</v>
      </c>
      <c r="AE69" s="38">
        <v>0.36955300000000002</v>
      </c>
      <c r="AF69" s="35">
        <v>-1.884E-3</v>
      </c>
      <c r="AG69" s="29"/>
    </row>
    <row r="70" spans="1:33" ht="15" customHeight="1">
      <c r="A70" s="34" t="s">
        <v>2369</v>
      </c>
      <c r="B70" s="37" t="s">
        <v>2122</v>
      </c>
      <c r="C70" s="38">
        <v>0.44247700000000001</v>
      </c>
      <c r="D70" s="38">
        <v>0.39132699999999998</v>
      </c>
      <c r="E70" s="38">
        <v>0.38247799999999998</v>
      </c>
      <c r="F70" s="38">
        <v>0.37922800000000001</v>
      </c>
      <c r="G70" s="38">
        <v>0.37898500000000002</v>
      </c>
      <c r="H70" s="38">
        <v>0.377697</v>
      </c>
      <c r="I70" s="38">
        <v>0.37473299999999998</v>
      </c>
      <c r="J70" s="38">
        <v>0.36712400000000001</v>
      </c>
      <c r="K70" s="38">
        <v>0.35903400000000002</v>
      </c>
      <c r="L70" s="38">
        <v>0.351352</v>
      </c>
      <c r="M70" s="38">
        <v>0.343721</v>
      </c>
      <c r="N70" s="38">
        <v>0.33530199999999999</v>
      </c>
      <c r="O70" s="38">
        <v>0.32699699999999998</v>
      </c>
      <c r="P70" s="38">
        <v>0.319048</v>
      </c>
      <c r="Q70" s="38">
        <v>0.31028099999999997</v>
      </c>
      <c r="R70" s="38">
        <v>0.30185000000000001</v>
      </c>
      <c r="S70" s="38">
        <v>0.29398600000000003</v>
      </c>
      <c r="T70" s="38">
        <v>0.28745100000000001</v>
      </c>
      <c r="U70" s="38">
        <v>0.28280100000000002</v>
      </c>
      <c r="V70" s="38">
        <v>0.278167</v>
      </c>
      <c r="W70" s="38">
        <v>0.27293200000000001</v>
      </c>
      <c r="X70" s="38">
        <v>0.26702900000000002</v>
      </c>
      <c r="Y70" s="38">
        <v>0.26098700000000002</v>
      </c>
      <c r="Z70" s="38">
        <v>0.25583499999999998</v>
      </c>
      <c r="AA70" s="38">
        <v>0.25075700000000001</v>
      </c>
      <c r="AB70" s="38">
        <v>0.245865</v>
      </c>
      <c r="AC70" s="38">
        <v>0.24072499999999999</v>
      </c>
      <c r="AD70" s="38">
        <v>0.235759</v>
      </c>
      <c r="AE70" s="38">
        <v>0.23153000000000001</v>
      </c>
      <c r="AF70" s="35">
        <v>-2.2866000000000001E-2</v>
      </c>
      <c r="AG70" s="29"/>
    </row>
    <row r="71" spans="1:33" ht="15" customHeight="1">
      <c r="A71" s="34" t="s">
        <v>2370</v>
      </c>
      <c r="B71" s="37" t="s">
        <v>2128</v>
      </c>
      <c r="C71" s="38">
        <v>0.83206500000000005</v>
      </c>
      <c r="D71" s="38">
        <v>0.79905000000000004</v>
      </c>
      <c r="E71" s="38">
        <v>0.80618000000000001</v>
      </c>
      <c r="F71" s="38">
        <v>0.80099200000000004</v>
      </c>
      <c r="G71" s="38">
        <v>0.80553399999999997</v>
      </c>
      <c r="H71" s="38">
        <v>0.806504</v>
      </c>
      <c r="I71" s="38">
        <v>0.80370799999999998</v>
      </c>
      <c r="J71" s="38">
        <v>0.79624200000000001</v>
      </c>
      <c r="K71" s="38">
        <v>0.78381299999999998</v>
      </c>
      <c r="L71" s="38">
        <v>0.77280800000000005</v>
      </c>
      <c r="M71" s="38">
        <v>0.766648</v>
      </c>
      <c r="N71" s="38">
        <v>0.75433099999999997</v>
      </c>
      <c r="O71" s="38">
        <v>0.742838</v>
      </c>
      <c r="P71" s="38">
        <v>0.73268599999999995</v>
      </c>
      <c r="Q71" s="38">
        <v>0.721499</v>
      </c>
      <c r="R71" s="38">
        <v>0.71215600000000001</v>
      </c>
      <c r="S71" s="38">
        <v>0.69893799999999995</v>
      </c>
      <c r="T71" s="38">
        <v>0.68480799999999997</v>
      </c>
      <c r="U71" s="38">
        <v>0.67526799999999998</v>
      </c>
      <c r="V71" s="38">
        <v>0.66874</v>
      </c>
      <c r="W71" s="38">
        <v>0.66322000000000003</v>
      </c>
      <c r="X71" s="38">
        <v>0.65532599999999996</v>
      </c>
      <c r="Y71" s="38">
        <v>0.64619700000000002</v>
      </c>
      <c r="Z71" s="38">
        <v>0.63705999999999996</v>
      </c>
      <c r="AA71" s="38">
        <v>0.62904499999999997</v>
      </c>
      <c r="AB71" s="38">
        <v>0.62185000000000001</v>
      </c>
      <c r="AC71" s="38">
        <v>0.61223099999999997</v>
      </c>
      <c r="AD71" s="38">
        <v>0.60469200000000001</v>
      </c>
      <c r="AE71" s="38">
        <v>0.60108300000000003</v>
      </c>
      <c r="AF71" s="35">
        <v>-1.1546000000000001E-2</v>
      </c>
      <c r="AG71" s="29"/>
    </row>
    <row r="72" spans="1:33" ht="15" customHeight="1">
      <c r="A72" s="34" t="s">
        <v>2371</v>
      </c>
      <c r="B72" s="37" t="s">
        <v>2372</v>
      </c>
      <c r="C72" s="38">
        <v>1.500772</v>
      </c>
      <c r="D72" s="38">
        <v>1.573715</v>
      </c>
      <c r="E72" s="38">
        <v>1.5441100000000001</v>
      </c>
      <c r="F72" s="38">
        <v>1.5522039999999999</v>
      </c>
      <c r="G72" s="38">
        <v>1.557104</v>
      </c>
      <c r="H72" s="38">
        <v>1.5653379999999999</v>
      </c>
      <c r="I72" s="38">
        <v>1.5778289999999999</v>
      </c>
      <c r="J72" s="38">
        <v>1.588481</v>
      </c>
      <c r="K72" s="38">
        <v>1.595888</v>
      </c>
      <c r="L72" s="38">
        <v>1.605475</v>
      </c>
      <c r="M72" s="38">
        <v>1.61859</v>
      </c>
      <c r="N72" s="38">
        <v>1.6311960000000001</v>
      </c>
      <c r="O72" s="38">
        <v>1.6447590000000001</v>
      </c>
      <c r="P72" s="38">
        <v>1.6559740000000001</v>
      </c>
      <c r="Q72" s="38">
        <v>1.6610100000000001</v>
      </c>
      <c r="R72" s="38">
        <v>1.669924</v>
      </c>
      <c r="S72" s="38">
        <v>1.6773480000000001</v>
      </c>
      <c r="T72" s="38">
        <v>1.687114</v>
      </c>
      <c r="U72" s="38">
        <v>1.6990590000000001</v>
      </c>
      <c r="V72" s="38">
        <v>1.7115830000000001</v>
      </c>
      <c r="W72" s="38">
        <v>1.723722</v>
      </c>
      <c r="X72" s="38">
        <v>1.7336530000000001</v>
      </c>
      <c r="Y72" s="38">
        <v>1.7397769999999999</v>
      </c>
      <c r="Z72" s="38">
        <v>1.7428060000000001</v>
      </c>
      <c r="AA72" s="38">
        <v>1.7491080000000001</v>
      </c>
      <c r="AB72" s="38">
        <v>1.759927</v>
      </c>
      <c r="AC72" s="38">
        <v>1.765495</v>
      </c>
      <c r="AD72" s="38">
        <v>1.7731509999999999</v>
      </c>
      <c r="AE72" s="38">
        <v>1.788621</v>
      </c>
      <c r="AF72" s="35">
        <v>6.2859999999999999E-3</v>
      </c>
      <c r="AG72" s="29"/>
    </row>
    <row r="73" spans="1:33" ht="12" customHeight="1">
      <c r="A73" s="34" t="s">
        <v>2373</v>
      </c>
      <c r="B73" s="37" t="s">
        <v>2074</v>
      </c>
      <c r="C73" s="38">
        <v>3.2719520000000002</v>
      </c>
      <c r="D73" s="38">
        <v>3.2874340000000002</v>
      </c>
      <c r="E73" s="38">
        <v>3.2621730000000002</v>
      </c>
      <c r="F73" s="38">
        <v>3.2850100000000002</v>
      </c>
      <c r="G73" s="38">
        <v>3.3252139999999999</v>
      </c>
      <c r="H73" s="38">
        <v>3.3582139999999998</v>
      </c>
      <c r="I73" s="38">
        <v>3.3810020000000001</v>
      </c>
      <c r="J73" s="38">
        <v>3.3958539999999999</v>
      </c>
      <c r="K73" s="38">
        <v>3.401338</v>
      </c>
      <c r="L73" s="38">
        <v>3.4100959999999998</v>
      </c>
      <c r="M73" s="38">
        <v>3.4309630000000002</v>
      </c>
      <c r="N73" s="38">
        <v>3.443076</v>
      </c>
      <c r="O73" s="38">
        <v>3.4620220000000002</v>
      </c>
      <c r="P73" s="38">
        <v>3.4873940000000001</v>
      </c>
      <c r="Q73" s="38">
        <v>3.503898</v>
      </c>
      <c r="R73" s="38">
        <v>3.5252210000000002</v>
      </c>
      <c r="S73" s="38">
        <v>3.545887</v>
      </c>
      <c r="T73" s="38">
        <v>3.5618370000000001</v>
      </c>
      <c r="U73" s="38">
        <v>3.5844580000000001</v>
      </c>
      <c r="V73" s="38">
        <v>3.611361</v>
      </c>
      <c r="W73" s="38">
        <v>3.6375289999999998</v>
      </c>
      <c r="X73" s="38">
        <v>3.6602100000000002</v>
      </c>
      <c r="Y73" s="38">
        <v>3.6769940000000001</v>
      </c>
      <c r="Z73" s="38">
        <v>3.694966</v>
      </c>
      <c r="AA73" s="38">
        <v>3.730607</v>
      </c>
      <c r="AB73" s="38">
        <v>3.7571599999999998</v>
      </c>
      <c r="AC73" s="38">
        <v>3.7742979999999999</v>
      </c>
      <c r="AD73" s="38">
        <v>3.7933460000000001</v>
      </c>
      <c r="AE73" s="38">
        <v>3.8309410000000002</v>
      </c>
      <c r="AF73" s="35">
        <v>5.6490000000000004E-3</v>
      </c>
      <c r="AG73" s="29"/>
    </row>
    <row r="74" spans="1:33" ht="15" customHeight="1">
      <c r="A74" s="34" t="s">
        <v>2374</v>
      </c>
      <c r="B74" s="33" t="s">
        <v>2076</v>
      </c>
      <c r="C74" s="39">
        <v>22.125506999999999</v>
      </c>
      <c r="D74" s="39">
        <v>21.827055000000001</v>
      </c>
      <c r="E74" s="39">
        <v>21.614155</v>
      </c>
      <c r="F74" s="39">
        <v>21.949482</v>
      </c>
      <c r="G74" s="39">
        <v>22.328946999999999</v>
      </c>
      <c r="H74" s="39">
        <v>22.584461000000001</v>
      </c>
      <c r="I74" s="39">
        <v>22.790291</v>
      </c>
      <c r="J74" s="39">
        <v>22.897537</v>
      </c>
      <c r="K74" s="39">
        <v>22.969954000000001</v>
      </c>
      <c r="L74" s="39">
        <v>23.071964000000001</v>
      </c>
      <c r="M74" s="39">
        <v>23.245144</v>
      </c>
      <c r="N74" s="39">
        <v>23.367367000000002</v>
      </c>
      <c r="O74" s="39">
        <v>23.526623000000001</v>
      </c>
      <c r="P74" s="39">
        <v>23.681678999999999</v>
      </c>
      <c r="Q74" s="39">
        <v>23.829177999999999</v>
      </c>
      <c r="R74" s="39">
        <v>23.993946000000001</v>
      </c>
      <c r="S74" s="39">
        <v>24.119026000000002</v>
      </c>
      <c r="T74" s="39">
        <v>24.290469999999999</v>
      </c>
      <c r="U74" s="39">
        <v>24.464451</v>
      </c>
      <c r="V74" s="39">
        <v>24.643787</v>
      </c>
      <c r="W74" s="39">
        <v>24.827667000000002</v>
      </c>
      <c r="X74" s="39">
        <v>24.997378999999999</v>
      </c>
      <c r="Y74" s="39">
        <v>25.150304999999999</v>
      </c>
      <c r="Z74" s="39">
        <v>25.276572999999999</v>
      </c>
      <c r="AA74" s="39">
        <v>25.441085999999999</v>
      </c>
      <c r="AB74" s="39">
        <v>25.637008999999999</v>
      </c>
      <c r="AC74" s="39">
        <v>25.777538</v>
      </c>
      <c r="AD74" s="39">
        <v>25.940735</v>
      </c>
      <c r="AE74" s="39">
        <v>26.216763</v>
      </c>
      <c r="AF74" s="31">
        <v>6.0780000000000001E-3</v>
      </c>
      <c r="AG74" s="29"/>
    </row>
    <row r="75" spans="1:33" ht="15" customHeight="1">
      <c r="A75" s="34" t="s">
        <v>2375</v>
      </c>
      <c r="B75" s="37" t="s">
        <v>2078</v>
      </c>
      <c r="C75" s="38">
        <v>5.995266</v>
      </c>
      <c r="D75" s="38">
        <v>5.9028289999999997</v>
      </c>
      <c r="E75" s="38">
        <v>5.8790490000000002</v>
      </c>
      <c r="F75" s="38">
        <v>5.9094179999999996</v>
      </c>
      <c r="G75" s="38">
        <v>5.9251079999999998</v>
      </c>
      <c r="H75" s="38">
        <v>5.9207080000000003</v>
      </c>
      <c r="I75" s="38">
        <v>5.8900399999999999</v>
      </c>
      <c r="J75" s="38">
        <v>5.8557360000000003</v>
      </c>
      <c r="K75" s="38">
        <v>5.823798</v>
      </c>
      <c r="L75" s="38">
        <v>5.8324059999999998</v>
      </c>
      <c r="M75" s="38">
        <v>5.8890459999999996</v>
      </c>
      <c r="N75" s="38">
        <v>5.905259</v>
      </c>
      <c r="O75" s="38">
        <v>5.9599739999999999</v>
      </c>
      <c r="P75" s="38">
        <v>6.0089889999999997</v>
      </c>
      <c r="Q75" s="38">
        <v>6.0406089999999999</v>
      </c>
      <c r="R75" s="38">
        <v>6.0574649999999997</v>
      </c>
      <c r="S75" s="38">
        <v>6.0545489999999997</v>
      </c>
      <c r="T75" s="38">
        <v>6.0403830000000003</v>
      </c>
      <c r="U75" s="38">
        <v>6.0529260000000003</v>
      </c>
      <c r="V75" s="38">
        <v>6.0831379999999999</v>
      </c>
      <c r="W75" s="38">
        <v>6.1347120000000004</v>
      </c>
      <c r="X75" s="38">
        <v>6.1698329999999997</v>
      </c>
      <c r="Y75" s="38">
        <v>6.1999019999999998</v>
      </c>
      <c r="Z75" s="38">
        <v>6.2384930000000001</v>
      </c>
      <c r="AA75" s="38">
        <v>6.2808960000000003</v>
      </c>
      <c r="AB75" s="38">
        <v>6.3158669999999999</v>
      </c>
      <c r="AC75" s="38">
        <v>6.3374509999999997</v>
      </c>
      <c r="AD75" s="38">
        <v>6.3527589999999998</v>
      </c>
      <c r="AE75" s="38">
        <v>6.4055489999999997</v>
      </c>
      <c r="AF75" s="35">
        <v>2.3670000000000002E-3</v>
      </c>
      <c r="AG75" s="29"/>
    </row>
    <row r="76" spans="1:33" ht="15" customHeight="1">
      <c r="A76" s="34" t="s">
        <v>2376</v>
      </c>
      <c r="B76" s="33" t="s">
        <v>2080</v>
      </c>
      <c r="C76" s="39">
        <v>28.120773</v>
      </c>
      <c r="D76" s="39">
        <v>27.729883000000001</v>
      </c>
      <c r="E76" s="39">
        <v>27.493203999999999</v>
      </c>
      <c r="F76" s="39">
        <v>27.858899999999998</v>
      </c>
      <c r="G76" s="39">
        <v>28.254055000000001</v>
      </c>
      <c r="H76" s="39">
        <v>28.505168999999999</v>
      </c>
      <c r="I76" s="39">
        <v>28.680332</v>
      </c>
      <c r="J76" s="39">
        <v>28.753273</v>
      </c>
      <c r="K76" s="39">
        <v>28.793751</v>
      </c>
      <c r="L76" s="39">
        <v>28.904368999999999</v>
      </c>
      <c r="M76" s="39">
        <v>29.13419</v>
      </c>
      <c r="N76" s="39">
        <v>29.272625000000001</v>
      </c>
      <c r="O76" s="39">
        <v>29.486597</v>
      </c>
      <c r="P76" s="39">
        <v>29.690667999999999</v>
      </c>
      <c r="Q76" s="39">
        <v>29.869786999999999</v>
      </c>
      <c r="R76" s="39">
        <v>30.051411000000002</v>
      </c>
      <c r="S76" s="39">
        <v>30.173576000000001</v>
      </c>
      <c r="T76" s="39">
        <v>30.330853000000001</v>
      </c>
      <c r="U76" s="39">
        <v>30.517375999999999</v>
      </c>
      <c r="V76" s="39">
        <v>30.726925000000001</v>
      </c>
      <c r="W76" s="39">
        <v>30.962378999999999</v>
      </c>
      <c r="X76" s="39">
        <v>31.167213</v>
      </c>
      <c r="Y76" s="39">
        <v>31.350206</v>
      </c>
      <c r="Z76" s="39">
        <v>31.515066000000001</v>
      </c>
      <c r="AA76" s="39">
        <v>31.721981</v>
      </c>
      <c r="AB76" s="39">
        <v>31.952877000000001</v>
      </c>
      <c r="AC76" s="39">
        <v>32.114989999999999</v>
      </c>
      <c r="AD76" s="39">
        <v>32.293495</v>
      </c>
      <c r="AE76" s="39">
        <v>32.622311000000003</v>
      </c>
      <c r="AF76" s="31">
        <v>5.3169999999999997E-3</v>
      </c>
      <c r="AG76" s="29"/>
    </row>
    <row r="77" spans="1:33" ht="15" customHeight="1">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1:33" ht="15" customHeight="1">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1:33" ht="12" customHeight="1">
      <c r="B79" s="33" t="s">
        <v>2377</v>
      </c>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row>
    <row r="80" spans="1:33" ht="15" customHeight="1">
      <c r="A80" s="34" t="s">
        <v>2378</v>
      </c>
      <c r="B80" s="37" t="s">
        <v>2379</v>
      </c>
      <c r="C80" s="38">
        <v>6.8129999999999996E-3</v>
      </c>
      <c r="D80" s="38">
        <v>4.7629999999999999E-3</v>
      </c>
      <c r="E80" s="38">
        <v>0</v>
      </c>
      <c r="F80" s="38">
        <v>0</v>
      </c>
      <c r="G80" s="38">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5" t="s">
        <v>1278</v>
      </c>
      <c r="AG80" s="29"/>
    </row>
    <row r="81" spans="1:33" ht="12" customHeight="1">
      <c r="A81" s="34" t="s">
        <v>2380</v>
      </c>
      <c r="B81" s="37" t="s">
        <v>2088</v>
      </c>
      <c r="C81" s="38">
        <v>1.6249999999999999E-3</v>
      </c>
      <c r="D81" s="38">
        <v>1.4040000000000001E-3</v>
      </c>
      <c r="E81" s="38">
        <v>0</v>
      </c>
      <c r="F81" s="38">
        <v>0</v>
      </c>
      <c r="G81" s="38">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5" t="s">
        <v>1278</v>
      </c>
      <c r="AG81" s="29"/>
    </row>
    <row r="82" spans="1:33" ht="15" customHeight="1">
      <c r="A82" s="34" t="s">
        <v>2381</v>
      </c>
      <c r="B82" s="37" t="s">
        <v>2090</v>
      </c>
      <c r="C82" s="38">
        <v>2.14E-4</v>
      </c>
      <c r="D82" s="38">
        <v>2.0100000000000001E-4</v>
      </c>
      <c r="E82" s="38">
        <v>0</v>
      </c>
      <c r="F82" s="38">
        <v>0</v>
      </c>
      <c r="G82" s="38">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5" t="s">
        <v>1278</v>
      </c>
      <c r="AG82" s="29"/>
    </row>
    <row r="83" spans="1:33" ht="15" customHeight="1">
      <c r="A83" s="34" t="s">
        <v>2382</v>
      </c>
      <c r="B83" s="37" t="s">
        <v>2357</v>
      </c>
      <c r="C83" s="38">
        <v>0.43287599999999998</v>
      </c>
      <c r="D83" s="38">
        <v>0.45236100000000001</v>
      </c>
      <c r="E83" s="38">
        <v>0.50534000000000001</v>
      </c>
      <c r="F83" s="38">
        <v>0.50629299999999999</v>
      </c>
      <c r="G83" s="38">
        <v>0.50245099999999998</v>
      </c>
      <c r="H83" s="38">
        <v>0.50134400000000001</v>
      </c>
      <c r="I83" s="38">
        <v>0.50226099999999996</v>
      </c>
      <c r="J83" s="38">
        <v>0.50323300000000004</v>
      </c>
      <c r="K83" s="38">
        <v>0.50015100000000001</v>
      </c>
      <c r="L83" s="38">
        <v>0.49775999999999998</v>
      </c>
      <c r="M83" s="38">
        <v>0.497446</v>
      </c>
      <c r="N83" s="38">
        <v>0.49541200000000002</v>
      </c>
      <c r="O83" s="38">
        <v>0.49457899999999999</v>
      </c>
      <c r="P83" s="38">
        <v>0.49438799999999999</v>
      </c>
      <c r="Q83" s="38">
        <v>0.495087</v>
      </c>
      <c r="R83" s="38">
        <v>0.49207299999999998</v>
      </c>
      <c r="S83" s="38">
        <v>0.49238100000000001</v>
      </c>
      <c r="T83" s="38">
        <v>0.49346800000000002</v>
      </c>
      <c r="U83" s="38">
        <v>0.49466599999999999</v>
      </c>
      <c r="V83" s="38">
        <v>0.49278</v>
      </c>
      <c r="W83" s="38">
        <v>0.49391699999999999</v>
      </c>
      <c r="X83" s="38">
        <v>0.49007099999999998</v>
      </c>
      <c r="Y83" s="38">
        <v>0.48987999999999998</v>
      </c>
      <c r="Z83" s="38">
        <v>0.48972399999999999</v>
      </c>
      <c r="AA83" s="38">
        <v>0.491004</v>
      </c>
      <c r="AB83" s="38">
        <v>0.49063000000000001</v>
      </c>
      <c r="AC83" s="38">
        <v>0.49408999999999997</v>
      </c>
      <c r="AD83" s="38">
        <v>0.49665999999999999</v>
      </c>
      <c r="AE83" s="38">
        <v>0.49459399999999998</v>
      </c>
      <c r="AF83" s="35">
        <v>4.7710000000000001E-3</v>
      </c>
      <c r="AG83" s="29"/>
    </row>
    <row r="84" spans="1:33" ht="15" customHeight="1">
      <c r="A84" s="34" t="s">
        <v>2383</v>
      </c>
      <c r="B84" s="37" t="s">
        <v>2384</v>
      </c>
      <c r="C84" s="38">
        <v>1.3070349999999999</v>
      </c>
      <c r="D84" s="38">
        <v>1.3641589999999999</v>
      </c>
      <c r="E84" s="38">
        <v>1.3154330000000001</v>
      </c>
      <c r="F84" s="38">
        <v>1.3108500000000001</v>
      </c>
      <c r="G84" s="38">
        <v>1.3348819999999999</v>
      </c>
      <c r="H84" s="38">
        <v>1.3401989999999999</v>
      </c>
      <c r="I84" s="38">
        <v>1.367391</v>
      </c>
      <c r="J84" s="38">
        <v>1.371934</v>
      </c>
      <c r="K84" s="38">
        <v>1.3803570000000001</v>
      </c>
      <c r="L84" s="38">
        <v>1.3816189999999999</v>
      </c>
      <c r="M84" s="38">
        <v>1.3933660000000001</v>
      </c>
      <c r="N84" s="38">
        <v>1.3888750000000001</v>
      </c>
      <c r="O84" s="38">
        <v>1.409797</v>
      </c>
      <c r="P84" s="38">
        <v>1.4130199999999999</v>
      </c>
      <c r="Q84" s="38">
        <v>1.4104490000000001</v>
      </c>
      <c r="R84" s="38">
        <v>1.4220360000000001</v>
      </c>
      <c r="S84" s="38">
        <v>1.4241060000000001</v>
      </c>
      <c r="T84" s="38">
        <v>1.4337219999999999</v>
      </c>
      <c r="U84" s="38">
        <v>1.437419</v>
      </c>
      <c r="V84" s="38">
        <v>1.4419029999999999</v>
      </c>
      <c r="W84" s="38">
        <v>1.4440470000000001</v>
      </c>
      <c r="X84" s="38">
        <v>1.4469970000000001</v>
      </c>
      <c r="Y84" s="38">
        <v>1.4465969999999999</v>
      </c>
      <c r="Z84" s="38">
        <v>1.446151</v>
      </c>
      <c r="AA84" s="38">
        <v>1.433908</v>
      </c>
      <c r="AB84" s="38">
        <v>1.432005</v>
      </c>
      <c r="AC84" s="38">
        <v>1.4265410000000001</v>
      </c>
      <c r="AD84" s="38">
        <v>1.423645</v>
      </c>
      <c r="AE84" s="38">
        <v>1.412466</v>
      </c>
      <c r="AF84" s="35">
        <v>2.774E-3</v>
      </c>
      <c r="AG84" s="29"/>
    </row>
    <row r="85" spans="1:33" ht="15" customHeight="1">
      <c r="A85" s="34" t="s">
        <v>2385</v>
      </c>
      <c r="B85" s="37" t="s">
        <v>2360</v>
      </c>
      <c r="C85" s="38">
        <v>2.9580000000000001E-3</v>
      </c>
      <c r="D85" s="38">
        <v>4.9890000000000004E-3</v>
      </c>
      <c r="E85" s="38">
        <v>1.7795999999999999E-2</v>
      </c>
      <c r="F85" s="38">
        <v>1.4548E-2</v>
      </c>
      <c r="G85" s="38">
        <v>3.0249999999999999E-3</v>
      </c>
      <c r="H85" s="38">
        <v>4.999E-3</v>
      </c>
      <c r="I85" s="38">
        <v>5.0000000000000004E-6</v>
      </c>
      <c r="J85" s="38">
        <v>3.3000000000000003E-5</v>
      </c>
      <c r="K85" s="38">
        <v>1.8E-5</v>
      </c>
      <c r="L85" s="38">
        <v>0</v>
      </c>
      <c r="M85" s="38">
        <v>2.8E-5</v>
      </c>
      <c r="N85" s="38">
        <v>0</v>
      </c>
      <c r="O85" s="38">
        <v>0</v>
      </c>
      <c r="P85" s="38">
        <v>9.9999999999999995E-7</v>
      </c>
      <c r="Q85" s="38">
        <v>1.0000000000000001E-5</v>
      </c>
      <c r="R85" s="38">
        <v>0</v>
      </c>
      <c r="S85" s="38">
        <v>0</v>
      </c>
      <c r="T85" s="38">
        <v>0</v>
      </c>
      <c r="U85" s="38">
        <v>0</v>
      </c>
      <c r="V85" s="38">
        <v>3.1610000000000002E-3</v>
      </c>
      <c r="W85" s="38">
        <v>5.9760000000000004E-3</v>
      </c>
      <c r="X85" s="38">
        <v>1.0116999999999999E-2</v>
      </c>
      <c r="Y85" s="38">
        <v>1.3934999999999999E-2</v>
      </c>
      <c r="Z85" s="38">
        <v>1.7017000000000001E-2</v>
      </c>
      <c r="AA85" s="38">
        <v>2.1304E-2</v>
      </c>
      <c r="AB85" s="38">
        <v>2.1333000000000001E-2</v>
      </c>
      <c r="AC85" s="38">
        <v>1.9626000000000001E-2</v>
      </c>
      <c r="AD85" s="38">
        <v>1.7718000000000001E-2</v>
      </c>
      <c r="AE85" s="38">
        <v>1.8741000000000001E-2</v>
      </c>
      <c r="AF85" s="35">
        <v>6.8156999999999995E-2</v>
      </c>
      <c r="AG85" s="29"/>
    </row>
    <row r="86" spans="1:33" ht="15" customHeight="1">
      <c r="A86" s="34" t="s">
        <v>2386</v>
      </c>
      <c r="B86" s="37" t="s">
        <v>2068</v>
      </c>
      <c r="C86" s="38">
        <v>1.7515210000000001</v>
      </c>
      <c r="D86" s="38">
        <v>1.827877</v>
      </c>
      <c r="E86" s="38">
        <v>1.838568</v>
      </c>
      <c r="F86" s="38">
        <v>1.831691</v>
      </c>
      <c r="G86" s="38">
        <v>1.8403590000000001</v>
      </c>
      <c r="H86" s="38">
        <v>1.8465419999999999</v>
      </c>
      <c r="I86" s="38">
        <v>1.869656</v>
      </c>
      <c r="J86" s="38">
        <v>1.8751990000000001</v>
      </c>
      <c r="K86" s="38">
        <v>1.8805259999999999</v>
      </c>
      <c r="L86" s="38">
        <v>1.8793800000000001</v>
      </c>
      <c r="M86" s="38">
        <v>1.8908389999999999</v>
      </c>
      <c r="N86" s="38">
        <v>1.884287</v>
      </c>
      <c r="O86" s="38">
        <v>1.9043760000000001</v>
      </c>
      <c r="P86" s="38">
        <v>1.90741</v>
      </c>
      <c r="Q86" s="38">
        <v>1.905546</v>
      </c>
      <c r="R86" s="38">
        <v>1.9141090000000001</v>
      </c>
      <c r="S86" s="38">
        <v>1.916488</v>
      </c>
      <c r="T86" s="38">
        <v>1.92719</v>
      </c>
      <c r="U86" s="38">
        <v>1.9320850000000001</v>
      </c>
      <c r="V86" s="38">
        <v>1.9378439999999999</v>
      </c>
      <c r="W86" s="38">
        <v>1.9439409999999999</v>
      </c>
      <c r="X86" s="38">
        <v>1.9471849999999999</v>
      </c>
      <c r="Y86" s="38">
        <v>1.950412</v>
      </c>
      <c r="Z86" s="38">
        <v>1.9528920000000001</v>
      </c>
      <c r="AA86" s="38">
        <v>1.9462159999999999</v>
      </c>
      <c r="AB86" s="38">
        <v>1.943967</v>
      </c>
      <c r="AC86" s="38">
        <v>1.9402569999999999</v>
      </c>
      <c r="AD86" s="38">
        <v>1.9380219999999999</v>
      </c>
      <c r="AE86" s="38">
        <v>1.9258</v>
      </c>
      <c r="AF86" s="35">
        <v>3.3939999999999999E-3</v>
      </c>
      <c r="AG86" s="29"/>
    </row>
    <row r="87" spans="1:33" ht="15" customHeight="1">
      <c r="A87" s="34" t="s">
        <v>2387</v>
      </c>
      <c r="B87" s="37" t="s">
        <v>2316</v>
      </c>
      <c r="C87" s="38">
        <v>1.376263</v>
      </c>
      <c r="D87" s="38">
        <v>1.395192</v>
      </c>
      <c r="E87" s="38">
        <v>1.214321</v>
      </c>
      <c r="F87" s="38">
        <v>1.2220580000000001</v>
      </c>
      <c r="G87" s="38">
        <v>1.2331859999999999</v>
      </c>
      <c r="H87" s="38">
        <v>1.2349319999999999</v>
      </c>
      <c r="I87" s="38">
        <v>1.2503550000000001</v>
      </c>
      <c r="J87" s="38">
        <v>1.2739510000000001</v>
      </c>
      <c r="K87" s="38">
        <v>1.292791</v>
      </c>
      <c r="L87" s="38">
        <v>1.287061</v>
      </c>
      <c r="M87" s="38">
        <v>1.280538</v>
      </c>
      <c r="N87" s="38">
        <v>1.2809280000000001</v>
      </c>
      <c r="O87" s="38">
        <v>1.281274</v>
      </c>
      <c r="P87" s="38">
        <v>1.2799929999999999</v>
      </c>
      <c r="Q87" s="38">
        <v>1.2837069999999999</v>
      </c>
      <c r="R87" s="38">
        <v>1.2777780000000001</v>
      </c>
      <c r="S87" s="38">
        <v>1.287304</v>
      </c>
      <c r="T87" s="38">
        <v>1.2861800000000001</v>
      </c>
      <c r="U87" s="38">
        <v>1.2893300000000001</v>
      </c>
      <c r="V87" s="38">
        <v>1.2944789999999999</v>
      </c>
      <c r="W87" s="38">
        <v>1.292643</v>
      </c>
      <c r="X87" s="38">
        <v>1.2911010000000001</v>
      </c>
      <c r="Y87" s="38">
        <v>1.292559</v>
      </c>
      <c r="Z87" s="38">
        <v>1.2988569999999999</v>
      </c>
      <c r="AA87" s="38">
        <v>1.2742009999999999</v>
      </c>
      <c r="AB87" s="38">
        <v>1.2780819999999999</v>
      </c>
      <c r="AC87" s="38">
        <v>1.3042260000000001</v>
      </c>
      <c r="AD87" s="38">
        <v>1.3159829999999999</v>
      </c>
      <c r="AE87" s="38">
        <v>1.326446</v>
      </c>
      <c r="AF87" s="35">
        <v>-1.3159999999999999E-3</v>
      </c>
      <c r="AG87" s="29"/>
    </row>
    <row r="88" spans="1:33" ht="15" customHeight="1">
      <c r="A88" s="34" t="s">
        <v>2388</v>
      </c>
      <c r="B88" s="37" t="s">
        <v>2318</v>
      </c>
      <c r="C88" s="38">
        <v>0.2</v>
      </c>
      <c r="D88" s="38">
        <v>0.2</v>
      </c>
      <c r="E88" s="38">
        <v>0.21255199999999999</v>
      </c>
      <c r="F88" s="38">
        <v>0.20749999999999999</v>
      </c>
      <c r="G88" s="38">
        <v>0.209783</v>
      </c>
      <c r="H88" s="38">
        <v>0.20674200000000001</v>
      </c>
      <c r="I88" s="38">
        <v>0.21555299999999999</v>
      </c>
      <c r="J88" s="38">
        <v>0.22411800000000001</v>
      </c>
      <c r="K88" s="38">
        <v>0.235184</v>
      </c>
      <c r="L88" s="38">
        <v>0.235292</v>
      </c>
      <c r="M88" s="38">
        <v>0.23547299999999999</v>
      </c>
      <c r="N88" s="38">
        <v>0.23172799999999999</v>
      </c>
      <c r="O88" s="38">
        <v>0.239033</v>
      </c>
      <c r="P88" s="38">
        <v>0.23424800000000001</v>
      </c>
      <c r="Q88" s="38">
        <v>0.23133699999999999</v>
      </c>
      <c r="R88" s="38">
        <v>0.22994400000000001</v>
      </c>
      <c r="S88" s="38">
        <v>0.229745</v>
      </c>
      <c r="T88" s="38">
        <v>0.22936300000000001</v>
      </c>
      <c r="U88" s="38">
        <v>0.225659</v>
      </c>
      <c r="V88" s="38">
        <v>0.227325</v>
      </c>
      <c r="W88" s="38">
        <v>0.225607</v>
      </c>
      <c r="X88" s="38">
        <v>0.22533600000000001</v>
      </c>
      <c r="Y88" s="38">
        <v>0.22650500000000001</v>
      </c>
      <c r="Z88" s="38">
        <v>0.22759699999999999</v>
      </c>
      <c r="AA88" s="38">
        <v>0.20296700000000001</v>
      </c>
      <c r="AB88" s="38">
        <v>0.20266100000000001</v>
      </c>
      <c r="AC88" s="38">
        <v>0.20893500000000001</v>
      </c>
      <c r="AD88" s="38">
        <v>0.20976800000000001</v>
      </c>
      <c r="AE88" s="38">
        <v>0.20852599999999999</v>
      </c>
      <c r="AF88" s="35">
        <v>1.4920000000000001E-3</v>
      </c>
      <c r="AG88" s="29"/>
    </row>
    <row r="89" spans="1:33" ht="15" customHeight="1">
      <c r="A89" s="34" t="s">
        <v>2389</v>
      </c>
      <c r="B89" s="37" t="s">
        <v>2114</v>
      </c>
      <c r="C89" s="38">
        <v>0</v>
      </c>
      <c r="D89" s="38">
        <v>0</v>
      </c>
      <c r="E89" s="38">
        <v>0</v>
      </c>
      <c r="F89" s="38">
        <v>0</v>
      </c>
      <c r="G89" s="38">
        <v>0</v>
      </c>
      <c r="H89" s="38">
        <v>0</v>
      </c>
      <c r="I89" s="38">
        <v>0</v>
      </c>
      <c r="J89" s="38">
        <v>0</v>
      </c>
      <c r="K89" s="38">
        <v>0</v>
      </c>
      <c r="L89" s="38">
        <v>0</v>
      </c>
      <c r="M89" s="38">
        <v>0</v>
      </c>
      <c r="N89" s="38">
        <v>0</v>
      </c>
      <c r="O89" s="38">
        <v>0</v>
      </c>
      <c r="P89" s="38">
        <v>0</v>
      </c>
      <c r="Q89" s="38">
        <v>0</v>
      </c>
      <c r="R89" s="38">
        <v>0</v>
      </c>
      <c r="S89" s="38">
        <v>0</v>
      </c>
      <c r="T89" s="38">
        <v>0</v>
      </c>
      <c r="U89" s="38">
        <v>0</v>
      </c>
      <c r="V89" s="38">
        <v>0</v>
      </c>
      <c r="W89" s="38">
        <v>0</v>
      </c>
      <c r="X89" s="38">
        <v>0</v>
      </c>
      <c r="Y89" s="38">
        <v>0</v>
      </c>
      <c r="Z89" s="38">
        <v>0</v>
      </c>
      <c r="AA89" s="38">
        <v>0</v>
      </c>
      <c r="AB89" s="38">
        <v>0</v>
      </c>
      <c r="AC89" s="38">
        <v>0</v>
      </c>
      <c r="AD89" s="38">
        <v>0</v>
      </c>
      <c r="AE89" s="38">
        <v>0</v>
      </c>
      <c r="AF89" s="35" t="s">
        <v>1278</v>
      </c>
      <c r="AG89" s="29"/>
    </row>
    <row r="90" spans="1:33" ht="15" customHeight="1">
      <c r="A90" s="34" t="s">
        <v>2390</v>
      </c>
      <c r="B90" s="37" t="s">
        <v>2118</v>
      </c>
      <c r="C90" s="38">
        <v>1.576263</v>
      </c>
      <c r="D90" s="38">
        <v>1.5951919999999999</v>
      </c>
      <c r="E90" s="38">
        <v>1.4268730000000001</v>
      </c>
      <c r="F90" s="38">
        <v>1.429559</v>
      </c>
      <c r="G90" s="38">
        <v>1.4429689999999999</v>
      </c>
      <c r="H90" s="38">
        <v>1.4416739999999999</v>
      </c>
      <c r="I90" s="38">
        <v>1.4659070000000001</v>
      </c>
      <c r="J90" s="38">
        <v>1.4980690000000001</v>
      </c>
      <c r="K90" s="38">
        <v>1.5279750000000001</v>
      </c>
      <c r="L90" s="38">
        <v>1.5223530000000001</v>
      </c>
      <c r="M90" s="38">
        <v>1.516011</v>
      </c>
      <c r="N90" s="38">
        <v>1.512656</v>
      </c>
      <c r="O90" s="38">
        <v>1.520308</v>
      </c>
      <c r="P90" s="38">
        <v>1.5142409999999999</v>
      </c>
      <c r="Q90" s="38">
        <v>1.5150429999999999</v>
      </c>
      <c r="R90" s="38">
        <v>1.507722</v>
      </c>
      <c r="S90" s="38">
        <v>1.5170490000000001</v>
      </c>
      <c r="T90" s="38">
        <v>1.515544</v>
      </c>
      <c r="U90" s="38">
        <v>1.5149889999999999</v>
      </c>
      <c r="V90" s="38">
        <v>1.5218039999999999</v>
      </c>
      <c r="W90" s="38">
        <v>1.5182500000000001</v>
      </c>
      <c r="X90" s="38">
        <v>1.516437</v>
      </c>
      <c r="Y90" s="38">
        <v>1.519064</v>
      </c>
      <c r="Z90" s="38">
        <v>1.526454</v>
      </c>
      <c r="AA90" s="38">
        <v>1.477168</v>
      </c>
      <c r="AB90" s="38">
        <v>1.4807429999999999</v>
      </c>
      <c r="AC90" s="38">
        <v>1.5131619999999999</v>
      </c>
      <c r="AD90" s="38">
        <v>1.5257510000000001</v>
      </c>
      <c r="AE90" s="38">
        <v>1.534972</v>
      </c>
      <c r="AF90" s="35">
        <v>-9.4799999999999995E-4</v>
      </c>
      <c r="AG90" s="29"/>
    </row>
    <row r="91" spans="1:33" ht="15" customHeight="1">
      <c r="A91" s="34" t="s">
        <v>2391</v>
      </c>
      <c r="B91" s="37" t="s">
        <v>2122</v>
      </c>
      <c r="C91" s="38">
        <v>2.4E-2</v>
      </c>
      <c r="D91" s="38">
        <v>2.4E-2</v>
      </c>
      <c r="E91" s="38">
        <v>1.73E-4</v>
      </c>
      <c r="F91" s="38">
        <v>1.73E-4</v>
      </c>
      <c r="G91" s="38">
        <v>1.73E-4</v>
      </c>
      <c r="H91" s="38">
        <v>1.73E-4</v>
      </c>
      <c r="I91" s="38">
        <v>1.73E-4</v>
      </c>
      <c r="J91" s="38">
        <v>1.73E-4</v>
      </c>
      <c r="K91" s="38">
        <v>1.73E-4</v>
      </c>
      <c r="L91" s="38">
        <v>1.73E-4</v>
      </c>
      <c r="M91" s="38">
        <v>1.73E-4</v>
      </c>
      <c r="N91" s="38">
        <v>1.73E-4</v>
      </c>
      <c r="O91" s="38">
        <v>1.73E-4</v>
      </c>
      <c r="P91" s="38">
        <v>1.73E-4</v>
      </c>
      <c r="Q91" s="38">
        <v>1.73E-4</v>
      </c>
      <c r="R91" s="38">
        <v>1.73E-4</v>
      </c>
      <c r="S91" s="38">
        <v>1.73E-4</v>
      </c>
      <c r="T91" s="38">
        <v>1.73E-4</v>
      </c>
      <c r="U91" s="38">
        <v>1.73E-4</v>
      </c>
      <c r="V91" s="38">
        <v>1.73E-4</v>
      </c>
      <c r="W91" s="38">
        <v>1.73E-4</v>
      </c>
      <c r="X91" s="38">
        <v>1.73E-4</v>
      </c>
      <c r="Y91" s="38">
        <v>1.73E-4</v>
      </c>
      <c r="Z91" s="38">
        <v>2.9599999999999998E-4</v>
      </c>
      <c r="AA91" s="38">
        <v>6.9680000000000002E-3</v>
      </c>
      <c r="AB91" s="38">
        <v>1.4781000000000001E-2</v>
      </c>
      <c r="AC91" s="38">
        <v>2.6588000000000001E-2</v>
      </c>
      <c r="AD91" s="38">
        <v>3.0481000000000001E-2</v>
      </c>
      <c r="AE91" s="38">
        <v>3.0481000000000001E-2</v>
      </c>
      <c r="AF91" s="35">
        <v>8.574E-3</v>
      </c>
      <c r="AG91" s="29"/>
    </row>
    <row r="92" spans="1:33" ht="12" customHeight="1">
      <c r="A92" s="34" t="s">
        <v>2392</v>
      </c>
      <c r="B92" s="37" t="s">
        <v>2124</v>
      </c>
      <c r="C92" s="38">
        <v>0</v>
      </c>
      <c r="D92" s="38">
        <v>0</v>
      </c>
      <c r="E92" s="38">
        <v>0</v>
      </c>
      <c r="F92" s="38">
        <v>0</v>
      </c>
      <c r="G92" s="38">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5" t="s">
        <v>1278</v>
      </c>
      <c r="AG92" s="29"/>
    </row>
    <row r="93" spans="1:33" ht="15" customHeight="1">
      <c r="A93" s="34" t="s">
        <v>2393</v>
      </c>
      <c r="B93" s="37" t="s">
        <v>2128</v>
      </c>
      <c r="C93" s="38">
        <v>2.4E-2</v>
      </c>
      <c r="D93" s="38">
        <v>2.4E-2</v>
      </c>
      <c r="E93" s="38">
        <v>1.73E-4</v>
      </c>
      <c r="F93" s="38">
        <v>1.73E-4</v>
      </c>
      <c r="G93" s="38">
        <v>1.73E-4</v>
      </c>
      <c r="H93" s="38">
        <v>1.73E-4</v>
      </c>
      <c r="I93" s="38">
        <v>1.73E-4</v>
      </c>
      <c r="J93" s="38">
        <v>1.73E-4</v>
      </c>
      <c r="K93" s="38">
        <v>1.73E-4</v>
      </c>
      <c r="L93" s="38">
        <v>1.73E-4</v>
      </c>
      <c r="M93" s="38">
        <v>1.73E-4</v>
      </c>
      <c r="N93" s="38">
        <v>1.73E-4</v>
      </c>
      <c r="O93" s="38">
        <v>1.73E-4</v>
      </c>
      <c r="P93" s="38">
        <v>1.73E-4</v>
      </c>
      <c r="Q93" s="38">
        <v>1.73E-4</v>
      </c>
      <c r="R93" s="38">
        <v>1.73E-4</v>
      </c>
      <c r="S93" s="38">
        <v>1.73E-4</v>
      </c>
      <c r="T93" s="38">
        <v>1.73E-4</v>
      </c>
      <c r="U93" s="38">
        <v>1.73E-4</v>
      </c>
      <c r="V93" s="38">
        <v>1.73E-4</v>
      </c>
      <c r="W93" s="38">
        <v>1.73E-4</v>
      </c>
      <c r="X93" s="38">
        <v>1.73E-4</v>
      </c>
      <c r="Y93" s="38">
        <v>1.73E-4</v>
      </c>
      <c r="Z93" s="38">
        <v>2.9599999999999998E-4</v>
      </c>
      <c r="AA93" s="38">
        <v>6.9680000000000002E-3</v>
      </c>
      <c r="AB93" s="38">
        <v>1.4781000000000001E-2</v>
      </c>
      <c r="AC93" s="38">
        <v>2.6588000000000001E-2</v>
      </c>
      <c r="AD93" s="38">
        <v>3.0481000000000001E-2</v>
      </c>
      <c r="AE93" s="38">
        <v>3.0481000000000001E-2</v>
      </c>
      <c r="AF93" s="35">
        <v>8.574E-3</v>
      </c>
      <c r="AG93" s="29"/>
    </row>
    <row r="94" spans="1:33" ht="15" customHeight="1">
      <c r="A94" s="34" t="s">
        <v>2394</v>
      </c>
      <c r="B94" s="37" t="s">
        <v>2130</v>
      </c>
      <c r="C94" s="38">
        <v>0.918076</v>
      </c>
      <c r="D94" s="38">
        <v>0.98457799999999995</v>
      </c>
      <c r="E94" s="38">
        <v>0.91028900000000001</v>
      </c>
      <c r="F94" s="38">
        <v>0.90657900000000002</v>
      </c>
      <c r="G94" s="38">
        <v>0.90483100000000005</v>
      </c>
      <c r="H94" s="38">
        <v>0.90374500000000002</v>
      </c>
      <c r="I94" s="38">
        <v>0.90679799999999999</v>
      </c>
      <c r="J94" s="38">
        <v>0.90332000000000001</v>
      </c>
      <c r="K94" s="38">
        <v>0.89893800000000001</v>
      </c>
      <c r="L94" s="38">
        <v>0.89509300000000003</v>
      </c>
      <c r="M94" s="38">
        <v>0.89138700000000004</v>
      </c>
      <c r="N94" s="38">
        <v>0.89019999999999999</v>
      </c>
      <c r="O94" s="38">
        <v>0.89020600000000005</v>
      </c>
      <c r="P94" s="38">
        <v>0.89728600000000003</v>
      </c>
      <c r="Q94" s="38">
        <v>0.89668300000000001</v>
      </c>
      <c r="R94" s="38">
        <v>0.89757100000000001</v>
      </c>
      <c r="S94" s="38">
        <v>0.89926799999999996</v>
      </c>
      <c r="T94" s="38">
        <v>0.90170099999999997</v>
      </c>
      <c r="U94" s="38">
        <v>0.90580700000000003</v>
      </c>
      <c r="V94" s="38">
        <v>0.91853799999999997</v>
      </c>
      <c r="W94" s="38">
        <v>0.92452100000000004</v>
      </c>
      <c r="X94" s="38">
        <v>0.93119799999999997</v>
      </c>
      <c r="Y94" s="38">
        <v>0.93196400000000001</v>
      </c>
      <c r="Z94" s="38">
        <v>0.93861300000000003</v>
      </c>
      <c r="AA94" s="38">
        <v>0.94881700000000002</v>
      </c>
      <c r="AB94" s="38">
        <v>0.96047800000000005</v>
      </c>
      <c r="AC94" s="38">
        <v>0.98155700000000001</v>
      </c>
      <c r="AD94" s="38">
        <v>0.99059399999999997</v>
      </c>
      <c r="AE94" s="38">
        <v>0.99686799999999998</v>
      </c>
      <c r="AF94" s="35">
        <v>2.9450000000000001E-3</v>
      </c>
      <c r="AG94" s="29"/>
    </row>
    <row r="95" spans="1:33" ht="15" customHeight="1">
      <c r="A95" s="34" t="s">
        <v>2395</v>
      </c>
      <c r="B95" s="37" t="s">
        <v>2074</v>
      </c>
      <c r="C95" s="38">
        <v>0.187223</v>
      </c>
      <c r="D95" s="38">
        <v>0.18268999999999999</v>
      </c>
      <c r="E95" s="38">
        <v>0.18603900000000001</v>
      </c>
      <c r="F95" s="38">
        <v>0.18617300000000001</v>
      </c>
      <c r="G95" s="38">
        <v>0.18698300000000001</v>
      </c>
      <c r="H95" s="38">
        <v>0.18675800000000001</v>
      </c>
      <c r="I95" s="38">
        <v>0.19048699999999999</v>
      </c>
      <c r="J95" s="38">
        <v>0.193497</v>
      </c>
      <c r="K95" s="38">
        <v>0.19669800000000001</v>
      </c>
      <c r="L95" s="38">
        <v>0.19550300000000001</v>
      </c>
      <c r="M95" s="38">
        <v>0.195908</v>
      </c>
      <c r="N95" s="38">
        <v>0.194887</v>
      </c>
      <c r="O95" s="38">
        <v>0.197162</v>
      </c>
      <c r="P95" s="38">
        <v>0.19662299999999999</v>
      </c>
      <c r="Q95" s="38">
        <v>0.19686799999999999</v>
      </c>
      <c r="R95" s="38">
        <v>0.19669600000000001</v>
      </c>
      <c r="S95" s="38">
        <v>0.19756299999999999</v>
      </c>
      <c r="T95" s="38">
        <v>0.19852800000000001</v>
      </c>
      <c r="U95" s="38">
        <v>0.19872899999999999</v>
      </c>
      <c r="V95" s="38">
        <v>0.19953299999999999</v>
      </c>
      <c r="W95" s="38">
        <v>0.19980100000000001</v>
      </c>
      <c r="X95" s="38">
        <v>0.199406</v>
      </c>
      <c r="Y95" s="38">
        <v>0.19992099999999999</v>
      </c>
      <c r="Z95" s="38">
        <v>0.200573</v>
      </c>
      <c r="AA95" s="38">
        <v>0.202928</v>
      </c>
      <c r="AB95" s="38">
        <v>0.203571</v>
      </c>
      <c r="AC95" s="38">
        <v>0.20525399999999999</v>
      </c>
      <c r="AD95" s="38">
        <v>0.20633599999999999</v>
      </c>
      <c r="AE95" s="38">
        <v>0.20682</v>
      </c>
      <c r="AF95" s="35">
        <v>3.5620000000000001E-3</v>
      </c>
      <c r="AG95" s="29"/>
    </row>
    <row r="96" spans="1:33" ht="15" customHeight="1">
      <c r="A96" s="34" t="s">
        <v>2396</v>
      </c>
      <c r="B96" s="33" t="s">
        <v>2076</v>
      </c>
      <c r="C96" s="39">
        <v>4.4570829999999999</v>
      </c>
      <c r="D96" s="39">
        <v>4.6143369999999999</v>
      </c>
      <c r="E96" s="39">
        <v>4.3619430000000001</v>
      </c>
      <c r="F96" s="39">
        <v>4.3541759999999998</v>
      </c>
      <c r="G96" s="39">
        <v>4.3753169999999999</v>
      </c>
      <c r="H96" s="39">
        <v>4.3788919999999996</v>
      </c>
      <c r="I96" s="39">
        <v>4.4330220000000002</v>
      </c>
      <c r="J96" s="39">
        <v>4.4702570000000001</v>
      </c>
      <c r="K96" s="39">
        <v>4.5043100000000003</v>
      </c>
      <c r="L96" s="39">
        <v>4.492502</v>
      </c>
      <c r="M96" s="39">
        <v>4.4943179999999998</v>
      </c>
      <c r="N96" s="39">
        <v>4.4822030000000002</v>
      </c>
      <c r="O96" s="39">
        <v>4.5122249999999999</v>
      </c>
      <c r="P96" s="39">
        <v>4.5157340000000001</v>
      </c>
      <c r="Q96" s="39">
        <v>4.5143129999999996</v>
      </c>
      <c r="R96" s="39">
        <v>4.5162709999999997</v>
      </c>
      <c r="S96" s="39">
        <v>4.5305400000000002</v>
      </c>
      <c r="T96" s="39">
        <v>4.5431369999999998</v>
      </c>
      <c r="U96" s="39">
        <v>4.5517830000000004</v>
      </c>
      <c r="V96" s="39">
        <v>4.5778920000000003</v>
      </c>
      <c r="W96" s="39">
        <v>4.5866850000000001</v>
      </c>
      <c r="X96" s="39">
        <v>4.5944000000000003</v>
      </c>
      <c r="Y96" s="39">
        <v>4.6015350000000002</v>
      </c>
      <c r="Z96" s="39">
        <v>4.6188289999999999</v>
      </c>
      <c r="AA96" s="39">
        <v>4.5820959999999999</v>
      </c>
      <c r="AB96" s="39">
        <v>4.6035399999999997</v>
      </c>
      <c r="AC96" s="39">
        <v>4.6668180000000001</v>
      </c>
      <c r="AD96" s="39">
        <v>4.6911839999999998</v>
      </c>
      <c r="AE96" s="39">
        <v>4.6949420000000002</v>
      </c>
      <c r="AF96" s="31">
        <v>1.859E-3</v>
      </c>
      <c r="AG96" s="29"/>
    </row>
    <row r="97" spans="1:33" ht="15" customHeight="1">
      <c r="A97" s="34" t="s">
        <v>2397</v>
      </c>
      <c r="B97" s="37" t="s">
        <v>2078</v>
      </c>
      <c r="C97" s="38">
        <v>0.343053</v>
      </c>
      <c r="D97" s="38">
        <v>0.32803300000000002</v>
      </c>
      <c r="E97" s="38">
        <v>0.33527800000000002</v>
      </c>
      <c r="F97" s="38">
        <v>0.33490700000000001</v>
      </c>
      <c r="G97" s="38">
        <v>0.33317999999999998</v>
      </c>
      <c r="H97" s="38">
        <v>0.329264</v>
      </c>
      <c r="I97" s="38">
        <v>0.331847</v>
      </c>
      <c r="J97" s="38">
        <v>0.33366099999999999</v>
      </c>
      <c r="K97" s="38">
        <v>0.336787</v>
      </c>
      <c r="L97" s="38">
        <v>0.33437600000000001</v>
      </c>
      <c r="M97" s="38">
        <v>0.33626400000000001</v>
      </c>
      <c r="N97" s="38">
        <v>0.33425300000000002</v>
      </c>
      <c r="O97" s="38">
        <v>0.33941900000000003</v>
      </c>
      <c r="P97" s="38">
        <v>0.33879399999999998</v>
      </c>
      <c r="Q97" s="38">
        <v>0.339395</v>
      </c>
      <c r="R97" s="38">
        <v>0.33798699999999998</v>
      </c>
      <c r="S97" s="38">
        <v>0.337335</v>
      </c>
      <c r="T97" s="38">
        <v>0.33667599999999998</v>
      </c>
      <c r="U97" s="38">
        <v>0.33558500000000002</v>
      </c>
      <c r="V97" s="38">
        <v>0.33610200000000001</v>
      </c>
      <c r="W97" s="38">
        <v>0.33696500000000001</v>
      </c>
      <c r="X97" s="38">
        <v>0.33612900000000001</v>
      </c>
      <c r="Y97" s="38">
        <v>0.337094</v>
      </c>
      <c r="Z97" s="38">
        <v>0.33864300000000003</v>
      </c>
      <c r="AA97" s="38">
        <v>0.34165200000000001</v>
      </c>
      <c r="AB97" s="38">
        <v>0.34220699999999998</v>
      </c>
      <c r="AC97" s="38">
        <v>0.34464400000000001</v>
      </c>
      <c r="AD97" s="38">
        <v>0.345553</v>
      </c>
      <c r="AE97" s="38">
        <v>0.34581499999999998</v>
      </c>
      <c r="AF97" s="35">
        <v>2.8600000000000001E-4</v>
      </c>
      <c r="AG97" s="29"/>
    </row>
    <row r="98" spans="1:33" ht="15" customHeight="1">
      <c r="A98" s="34" t="s">
        <v>2398</v>
      </c>
      <c r="B98" s="33" t="s">
        <v>2080</v>
      </c>
      <c r="C98" s="39">
        <v>4.8001360000000002</v>
      </c>
      <c r="D98" s="39">
        <v>4.9423700000000004</v>
      </c>
      <c r="E98" s="39">
        <v>4.6972209999999999</v>
      </c>
      <c r="F98" s="39">
        <v>4.689082</v>
      </c>
      <c r="G98" s="39">
        <v>4.7084970000000004</v>
      </c>
      <c r="H98" s="39">
        <v>4.7081559999999998</v>
      </c>
      <c r="I98" s="39">
        <v>4.764869</v>
      </c>
      <c r="J98" s="39">
        <v>4.8039180000000004</v>
      </c>
      <c r="K98" s="39">
        <v>4.8410970000000004</v>
      </c>
      <c r="L98" s="39">
        <v>4.8268789999999999</v>
      </c>
      <c r="M98" s="39">
        <v>4.8305819999999997</v>
      </c>
      <c r="N98" s="39">
        <v>4.8164559999999996</v>
      </c>
      <c r="O98" s="39">
        <v>4.8516440000000003</v>
      </c>
      <c r="P98" s="39">
        <v>4.854527</v>
      </c>
      <c r="Q98" s="39">
        <v>4.8537080000000001</v>
      </c>
      <c r="R98" s="39">
        <v>4.8542569999999996</v>
      </c>
      <c r="S98" s="39">
        <v>4.8678749999999997</v>
      </c>
      <c r="T98" s="39">
        <v>4.8798130000000004</v>
      </c>
      <c r="U98" s="39">
        <v>4.8873680000000004</v>
      </c>
      <c r="V98" s="39">
        <v>4.9139949999999999</v>
      </c>
      <c r="W98" s="39">
        <v>4.9236500000000003</v>
      </c>
      <c r="X98" s="39">
        <v>4.9305289999999999</v>
      </c>
      <c r="Y98" s="39">
        <v>4.9386289999999997</v>
      </c>
      <c r="Z98" s="39">
        <v>4.957471</v>
      </c>
      <c r="AA98" s="39">
        <v>4.9237479999999998</v>
      </c>
      <c r="AB98" s="39">
        <v>4.9457469999999999</v>
      </c>
      <c r="AC98" s="39">
        <v>5.0114619999999999</v>
      </c>
      <c r="AD98" s="39">
        <v>5.0367369999999996</v>
      </c>
      <c r="AE98" s="39">
        <v>5.0407570000000002</v>
      </c>
      <c r="AF98" s="31">
        <v>1.748E-3</v>
      </c>
      <c r="AG98" s="29"/>
    </row>
    <row r="99" spans="1:33" ht="15" customHeight="1">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1:33" ht="15" customHeight="1">
      <c r="B100" s="33" t="s">
        <v>2399</v>
      </c>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1:33" ht="12" customHeight="1">
      <c r="A101" s="34" t="s">
        <v>2400</v>
      </c>
      <c r="B101" s="37" t="s">
        <v>2379</v>
      </c>
      <c r="C101" s="38">
        <v>9.5565999999999998E-2</v>
      </c>
      <c r="D101" s="38">
        <v>9.6736000000000003E-2</v>
      </c>
      <c r="E101" s="38">
        <v>0.14009099999999999</v>
      </c>
      <c r="F101" s="38">
        <v>0.14101900000000001</v>
      </c>
      <c r="G101" s="38">
        <v>0.14202400000000001</v>
      </c>
      <c r="H101" s="38">
        <v>0.143097</v>
      </c>
      <c r="I101" s="38">
        <v>0.144063</v>
      </c>
      <c r="J101" s="38">
        <v>0.14550399999999999</v>
      </c>
      <c r="K101" s="38">
        <v>0.14643100000000001</v>
      </c>
      <c r="L101" s="38">
        <v>0.147011</v>
      </c>
      <c r="M101" s="38">
        <v>0.148173</v>
      </c>
      <c r="N101" s="38">
        <v>0.14858499999999999</v>
      </c>
      <c r="O101" s="38">
        <v>0.14896200000000001</v>
      </c>
      <c r="P101" s="38">
        <v>0.149446</v>
      </c>
      <c r="Q101" s="38">
        <v>0.14992</v>
      </c>
      <c r="R101" s="38">
        <v>0.15092800000000001</v>
      </c>
      <c r="S101" s="38">
        <v>0.15193999999999999</v>
      </c>
      <c r="T101" s="38">
        <v>0.152832</v>
      </c>
      <c r="U101" s="38">
        <v>0.15370400000000001</v>
      </c>
      <c r="V101" s="38">
        <v>0.154506</v>
      </c>
      <c r="W101" s="38">
        <v>0.15526999999999999</v>
      </c>
      <c r="X101" s="38">
        <v>0.15589800000000001</v>
      </c>
      <c r="Y101" s="38">
        <v>0.156524</v>
      </c>
      <c r="Z101" s="38">
        <v>0.157191</v>
      </c>
      <c r="AA101" s="38">
        <v>0.15789700000000001</v>
      </c>
      <c r="AB101" s="38">
        <v>0.15859300000000001</v>
      </c>
      <c r="AC101" s="38">
        <v>0.15914800000000001</v>
      </c>
      <c r="AD101" s="38">
        <v>0.15965499999999999</v>
      </c>
      <c r="AE101" s="38">
        <v>0.16042300000000001</v>
      </c>
      <c r="AF101" s="35">
        <v>1.8672000000000001E-2</v>
      </c>
      <c r="AG101" s="29"/>
    </row>
    <row r="102" spans="1:33" ht="12" customHeight="1">
      <c r="A102" s="34" t="s">
        <v>2401</v>
      </c>
      <c r="B102" s="37" t="s">
        <v>2341</v>
      </c>
      <c r="C102" s="38">
        <v>3.6684999999999999</v>
      </c>
      <c r="D102" s="38">
        <v>3.7806989999999998</v>
      </c>
      <c r="E102" s="38">
        <v>3.6721110000000001</v>
      </c>
      <c r="F102" s="38">
        <v>3.7589079999999999</v>
      </c>
      <c r="G102" s="38">
        <v>3.8682780000000001</v>
      </c>
      <c r="H102" s="38">
        <v>3.9479489999999999</v>
      </c>
      <c r="I102" s="38">
        <v>4.0052940000000001</v>
      </c>
      <c r="J102" s="38">
        <v>4.039644</v>
      </c>
      <c r="K102" s="38">
        <v>4.068085</v>
      </c>
      <c r="L102" s="38">
        <v>4.1118750000000004</v>
      </c>
      <c r="M102" s="38">
        <v>4.1652740000000001</v>
      </c>
      <c r="N102" s="38">
        <v>4.2092989999999997</v>
      </c>
      <c r="O102" s="38">
        <v>4.2618229999999997</v>
      </c>
      <c r="P102" s="38">
        <v>4.3044419999999999</v>
      </c>
      <c r="Q102" s="38">
        <v>4.3382480000000001</v>
      </c>
      <c r="R102" s="38">
        <v>4.3780469999999996</v>
      </c>
      <c r="S102" s="38">
        <v>4.4036770000000001</v>
      </c>
      <c r="T102" s="38">
        <v>4.4491569999999996</v>
      </c>
      <c r="U102" s="38">
        <v>4.5053619999999999</v>
      </c>
      <c r="V102" s="38">
        <v>4.5512899999999998</v>
      </c>
      <c r="W102" s="38">
        <v>4.5911419999999996</v>
      </c>
      <c r="X102" s="38">
        <v>4.6378599999999999</v>
      </c>
      <c r="Y102" s="38">
        <v>4.6725180000000002</v>
      </c>
      <c r="Z102" s="38">
        <v>4.7025540000000001</v>
      </c>
      <c r="AA102" s="38">
        <v>4.7500280000000004</v>
      </c>
      <c r="AB102" s="38">
        <v>4.8096420000000002</v>
      </c>
      <c r="AC102" s="38">
        <v>4.8377429999999997</v>
      </c>
      <c r="AD102" s="38">
        <v>4.8807150000000004</v>
      </c>
      <c r="AE102" s="38">
        <v>4.9654429999999996</v>
      </c>
      <c r="AF102" s="35">
        <v>1.0869999999999999E-2</v>
      </c>
      <c r="AG102" s="29"/>
    </row>
    <row r="103" spans="1:33" ht="15" customHeight="1">
      <c r="A103" s="34" t="s">
        <v>2402</v>
      </c>
      <c r="B103" s="37" t="s">
        <v>2310</v>
      </c>
      <c r="C103" s="38">
        <v>0.29296100000000003</v>
      </c>
      <c r="D103" s="38">
        <v>0.29184599999999999</v>
      </c>
      <c r="E103" s="38">
        <v>0.28855799999999998</v>
      </c>
      <c r="F103" s="38">
        <v>0.28835699999999997</v>
      </c>
      <c r="G103" s="38">
        <v>0.287908</v>
      </c>
      <c r="H103" s="38">
        <v>0.28598200000000001</v>
      </c>
      <c r="I103" s="38">
        <v>0.28506799999999999</v>
      </c>
      <c r="J103" s="38">
        <v>0.28583199999999997</v>
      </c>
      <c r="K103" s="38">
        <v>0.28615400000000002</v>
      </c>
      <c r="L103" s="38">
        <v>0.28532600000000002</v>
      </c>
      <c r="M103" s="38">
        <v>0.285028</v>
      </c>
      <c r="N103" s="38">
        <v>0.28497</v>
      </c>
      <c r="O103" s="38">
        <v>0.28505000000000003</v>
      </c>
      <c r="P103" s="38">
        <v>0.28587800000000002</v>
      </c>
      <c r="Q103" s="38">
        <v>0.28722999999999999</v>
      </c>
      <c r="R103" s="38">
        <v>0.28936200000000001</v>
      </c>
      <c r="S103" s="38">
        <v>0.29157899999999998</v>
      </c>
      <c r="T103" s="38">
        <v>0.29358600000000001</v>
      </c>
      <c r="U103" s="38">
        <v>0.29565000000000002</v>
      </c>
      <c r="V103" s="38">
        <v>0.29796899999999998</v>
      </c>
      <c r="W103" s="38">
        <v>0.30004500000000001</v>
      </c>
      <c r="X103" s="38">
        <v>0.30201099999999997</v>
      </c>
      <c r="Y103" s="38">
        <v>0.303898</v>
      </c>
      <c r="Z103" s="38">
        <v>0.30581000000000003</v>
      </c>
      <c r="AA103" s="38">
        <v>0.30781599999999998</v>
      </c>
      <c r="AB103" s="38">
        <v>0.309581</v>
      </c>
      <c r="AC103" s="38">
        <v>0.31126999999999999</v>
      </c>
      <c r="AD103" s="38">
        <v>0.31289800000000001</v>
      </c>
      <c r="AE103" s="38">
        <v>0.31510700000000003</v>
      </c>
      <c r="AF103" s="35">
        <v>2.6059999999999998E-3</v>
      </c>
      <c r="AG103" s="29"/>
    </row>
    <row r="104" spans="1:33" ht="15" customHeight="1">
      <c r="A104" s="34" t="s">
        <v>2403</v>
      </c>
      <c r="B104" s="37" t="s">
        <v>2088</v>
      </c>
      <c r="C104" s="38">
        <v>1.1103190000000001</v>
      </c>
      <c r="D104" s="38">
        <v>1.10399</v>
      </c>
      <c r="E104" s="38">
        <v>1.083148</v>
      </c>
      <c r="F104" s="38">
        <v>1.075752</v>
      </c>
      <c r="G104" s="38">
        <v>1.068146</v>
      </c>
      <c r="H104" s="38">
        <v>1.057798</v>
      </c>
      <c r="I104" s="38">
        <v>1.0522450000000001</v>
      </c>
      <c r="J104" s="38">
        <v>1.0513589999999999</v>
      </c>
      <c r="K104" s="38">
        <v>1.049995</v>
      </c>
      <c r="L104" s="38">
        <v>1.0457890000000001</v>
      </c>
      <c r="M104" s="38">
        <v>1.0438179999999999</v>
      </c>
      <c r="N104" s="38">
        <v>1.0417130000000001</v>
      </c>
      <c r="O104" s="38">
        <v>1.039992</v>
      </c>
      <c r="P104" s="38">
        <v>1.0409189999999999</v>
      </c>
      <c r="Q104" s="38">
        <v>1.0431490000000001</v>
      </c>
      <c r="R104" s="38">
        <v>1.0479529999999999</v>
      </c>
      <c r="S104" s="38">
        <v>1.0532490000000001</v>
      </c>
      <c r="T104" s="38">
        <v>1.0580130000000001</v>
      </c>
      <c r="U104" s="38">
        <v>1.0631699999999999</v>
      </c>
      <c r="V104" s="38">
        <v>1.069069</v>
      </c>
      <c r="W104" s="38">
        <v>1.0743050000000001</v>
      </c>
      <c r="X104" s="38">
        <v>1.079013</v>
      </c>
      <c r="Y104" s="38">
        <v>1.083534</v>
      </c>
      <c r="Z104" s="38">
        <v>1.0882309999999999</v>
      </c>
      <c r="AA104" s="38">
        <v>1.0929549999999999</v>
      </c>
      <c r="AB104" s="38">
        <v>1.096991</v>
      </c>
      <c r="AC104" s="38">
        <v>1.1004389999999999</v>
      </c>
      <c r="AD104" s="38">
        <v>1.103701</v>
      </c>
      <c r="AE104" s="38">
        <v>1.109048</v>
      </c>
      <c r="AF104" s="35">
        <v>-4.1E-5</v>
      </c>
      <c r="AG104" s="29"/>
    </row>
    <row r="105" spans="1:33" ht="15" customHeight="1">
      <c r="A105" s="34" t="s">
        <v>2404</v>
      </c>
      <c r="B105" s="37" t="s">
        <v>2090</v>
      </c>
      <c r="C105" s="38">
        <v>5.4612000000000001E-2</v>
      </c>
      <c r="D105" s="38">
        <v>6.0594000000000002E-2</v>
      </c>
      <c r="E105" s="38">
        <v>4.2014000000000003E-2</v>
      </c>
      <c r="F105" s="38">
        <v>3.6399000000000001E-2</v>
      </c>
      <c r="G105" s="38">
        <v>3.3191999999999999E-2</v>
      </c>
      <c r="H105" s="38">
        <v>3.0807999999999999E-2</v>
      </c>
      <c r="I105" s="38">
        <v>2.9021999999999999E-2</v>
      </c>
      <c r="J105" s="38">
        <v>2.8118000000000001E-2</v>
      </c>
      <c r="K105" s="38">
        <v>2.7484000000000001E-2</v>
      </c>
      <c r="L105" s="38">
        <v>2.7149E-2</v>
      </c>
      <c r="M105" s="38">
        <v>2.7168999999999999E-2</v>
      </c>
      <c r="N105" s="38">
        <v>2.7543000000000002E-2</v>
      </c>
      <c r="O105" s="38">
        <v>2.8034E-2</v>
      </c>
      <c r="P105" s="38">
        <v>2.8743000000000001E-2</v>
      </c>
      <c r="Q105" s="38">
        <v>2.9177999999999999E-2</v>
      </c>
      <c r="R105" s="38">
        <v>2.9798000000000002E-2</v>
      </c>
      <c r="S105" s="38">
        <v>3.0748999999999999E-2</v>
      </c>
      <c r="T105" s="38">
        <v>3.0870000000000002E-2</v>
      </c>
      <c r="U105" s="38">
        <v>3.1850999999999997E-2</v>
      </c>
      <c r="V105" s="38">
        <v>3.2607999999999998E-2</v>
      </c>
      <c r="W105" s="38">
        <v>3.3100999999999998E-2</v>
      </c>
      <c r="X105" s="38">
        <v>3.3167000000000002E-2</v>
      </c>
      <c r="Y105" s="38">
        <v>3.3339000000000001E-2</v>
      </c>
      <c r="Z105" s="38">
        <v>3.3570999999999997E-2</v>
      </c>
      <c r="AA105" s="38">
        <v>3.3549000000000002E-2</v>
      </c>
      <c r="AB105" s="38">
        <v>3.3748E-2</v>
      </c>
      <c r="AC105" s="38">
        <v>3.3671E-2</v>
      </c>
      <c r="AD105" s="38">
        <v>3.3585999999999998E-2</v>
      </c>
      <c r="AE105" s="38">
        <v>3.3841000000000003E-2</v>
      </c>
      <c r="AF105" s="35">
        <v>-1.6945999999999999E-2</v>
      </c>
      <c r="AG105" s="29"/>
    </row>
    <row r="106" spans="1:33" ht="15" customHeight="1">
      <c r="A106" s="34" t="s">
        <v>2405</v>
      </c>
      <c r="B106" s="37" t="s">
        <v>2108</v>
      </c>
      <c r="C106" s="38">
        <v>0.52429800000000004</v>
      </c>
      <c r="D106" s="38">
        <v>0.59491700000000003</v>
      </c>
      <c r="E106" s="38">
        <v>0.55000000000000004</v>
      </c>
      <c r="F106" s="38">
        <v>0.55000000000000004</v>
      </c>
      <c r="G106" s="38">
        <v>0.55000000000000004</v>
      </c>
      <c r="H106" s="38">
        <v>0.55000000000000004</v>
      </c>
      <c r="I106" s="38">
        <v>0.55000000000000004</v>
      </c>
      <c r="J106" s="38">
        <v>0.55000000000000004</v>
      </c>
      <c r="K106" s="38">
        <v>0.55000000000000004</v>
      </c>
      <c r="L106" s="38">
        <v>0.55000000000000004</v>
      </c>
      <c r="M106" s="38">
        <v>0.55000000000000004</v>
      </c>
      <c r="N106" s="38">
        <v>0.55000000000000004</v>
      </c>
      <c r="O106" s="38">
        <v>0.55000000000000004</v>
      </c>
      <c r="P106" s="38">
        <v>0.55000000000000004</v>
      </c>
      <c r="Q106" s="38">
        <v>0.55000000000000004</v>
      </c>
      <c r="R106" s="38">
        <v>0.55000000000000004</v>
      </c>
      <c r="S106" s="38">
        <v>0.55000000000000004</v>
      </c>
      <c r="T106" s="38">
        <v>0.55000000000000004</v>
      </c>
      <c r="U106" s="38">
        <v>0.55000000000000004</v>
      </c>
      <c r="V106" s="38">
        <v>0.55000000000000004</v>
      </c>
      <c r="W106" s="38">
        <v>0.55000000000000004</v>
      </c>
      <c r="X106" s="38">
        <v>0.55000000000000004</v>
      </c>
      <c r="Y106" s="38">
        <v>0.55000000000000004</v>
      </c>
      <c r="Z106" s="38">
        <v>0.55000000000000004</v>
      </c>
      <c r="AA106" s="38">
        <v>0.55000000000000004</v>
      </c>
      <c r="AB106" s="38">
        <v>0.55000000000000004</v>
      </c>
      <c r="AC106" s="38">
        <v>0.55000000000000004</v>
      </c>
      <c r="AD106" s="38">
        <v>0.55000000000000004</v>
      </c>
      <c r="AE106" s="38">
        <v>0.55000000000000004</v>
      </c>
      <c r="AF106" s="35">
        <v>1.7110000000000001E-3</v>
      </c>
      <c r="AG106" s="29"/>
    </row>
    <row r="107" spans="1:33" ht="15" customHeight="1">
      <c r="A107" s="34" t="s">
        <v>2406</v>
      </c>
      <c r="B107" s="37" t="s">
        <v>2357</v>
      </c>
      <c r="C107" s="38">
        <v>0.50806899999999999</v>
      </c>
      <c r="D107" s="38">
        <v>0.49557499999999999</v>
      </c>
      <c r="E107" s="38">
        <v>0.55169100000000004</v>
      </c>
      <c r="F107" s="38">
        <v>0.55725899999999995</v>
      </c>
      <c r="G107" s="38">
        <v>0.55842000000000003</v>
      </c>
      <c r="H107" s="38">
        <v>0.56233999999999995</v>
      </c>
      <c r="I107" s="38">
        <v>0.56756300000000004</v>
      </c>
      <c r="J107" s="38">
        <v>0.57032000000000005</v>
      </c>
      <c r="K107" s="38">
        <v>0.56869000000000003</v>
      </c>
      <c r="L107" s="38">
        <v>0.56745500000000004</v>
      </c>
      <c r="M107" s="38">
        <v>0.56766399999999995</v>
      </c>
      <c r="N107" s="38">
        <v>0.56553500000000001</v>
      </c>
      <c r="O107" s="38">
        <v>0.56421900000000003</v>
      </c>
      <c r="P107" s="38">
        <v>0.56331100000000001</v>
      </c>
      <c r="Q107" s="38">
        <v>0.56288199999999999</v>
      </c>
      <c r="R107" s="38">
        <v>0.55845299999999998</v>
      </c>
      <c r="S107" s="38">
        <v>0.55735199999999996</v>
      </c>
      <c r="T107" s="38">
        <v>0.55781000000000003</v>
      </c>
      <c r="U107" s="38">
        <v>0.55881700000000001</v>
      </c>
      <c r="V107" s="38">
        <v>0.55661799999999995</v>
      </c>
      <c r="W107" s="38">
        <v>0.55698700000000001</v>
      </c>
      <c r="X107" s="38">
        <v>0.551952</v>
      </c>
      <c r="Y107" s="38">
        <v>0.55034499999999997</v>
      </c>
      <c r="Z107" s="38">
        <v>0.54941700000000004</v>
      </c>
      <c r="AA107" s="38">
        <v>0.54976100000000006</v>
      </c>
      <c r="AB107" s="38">
        <v>0.54842100000000005</v>
      </c>
      <c r="AC107" s="38">
        <v>0.55088700000000002</v>
      </c>
      <c r="AD107" s="38">
        <v>0.55228900000000003</v>
      </c>
      <c r="AE107" s="38">
        <v>0.54909200000000002</v>
      </c>
      <c r="AF107" s="35">
        <v>2.777E-3</v>
      </c>
      <c r="AG107" s="29"/>
    </row>
    <row r="108" spans="1:33" ht="15" customHeight="1">
      <c r="A108" s="34" t="s">
        <v>2407</v>
      </c>
      <c r="B108" s="37" t="s">
        <v>2314</v>
      </c>
      <c r="C108" s="38">
        <v>0.87712299999999999</v>
      </c>
      <c r="D108" s="38">
        <v>0.83828499999999995</v>
      </c>
      <c r="E108" s="38">
        <v>0.80333200000000005</v>
      </c>
      <c r="F108" s="38">
        <v>0.88528499999999999</v>
      </c>
      <c r="G108" s="38">
        <v>0.89676699999999998</v>
      </c>
      <c r="H108" s="38">
        <v>0.91066899999999995</v>
      </c>
      <c r="I108" s="38">
        <v>0.92057599999999995</v>
      </c>
      <c r="J108" s="38">
        <v>0.92912399999999995</v>
      </c>
      <c r="K108" s="38">
        <v>0.93557900000000005</v>
      </c>
      <c r="L108" s="38">
        <v>0.94043699999999997</v>
      </c>
      <c r="M108" s="38">
        <v>0.93912099999999998</v>
      </c>
      <c r="N108" s="38">
        <v>0.94223800000000002</v>
      </c>
      <c r="O108" s="38">
        <v>0.94938400000000001</v>
      </c>
      <c r="P108" s="38">
        <v>0.95640099999999995</v>
      </c>
      <c r="Q108" s="38">
        <v>0.96348699999999998</v>
      </c>
      <c r="R108" s="38">
        <v>0.97220799999999996</v>
      </c>
      <c r="S108" s="38">
        <v>0.98347600000000002</v>
      </c>
      <c r="T108" s="38">
        <v>0.99422600000000005</v>
      </c>
      <c r="U108" s="38">
        <v>1.00613</v>
      </c>
      <c r="V108" s="38">
        <v>1.018478</v>
      </c>
      <c r="W108" s="38">
        <v>1.0289170000000001</v>
      </c>
      <c r="X108" s="38">
        <v>1.031261</v>
      </c>
      <c r="Y108" s="38">
        <v>1.046449</v>
      </c>
      <c r="Z108" s="38">
        <v>1.0671619999999999</v>
      </c>
      <c r="AA108" s="38">
        <v>1.0781000000000001</v>
      </c>
      <c r="AB108" s="38">
        <v>1.09335</v>
      </c>
      <c r="AC108" s="38">
        <v>1.1059760000000001</v>
      </c>
      <c r="AD108" s="38">
        <v>1.118703</v>
      </c>
      <c r="AE108" s="38">
        <v>1.132056</v>
      </c>
      <c r="AF108" s="35">
        <v>9.1540000000000007E-3</v>
      </c>
      <c r="AG108" s="29"/>
    </row>
    <row r="109" spans="1:33" ht="15" customHeight="1">
      <c r="A109" s="34" t="s">
        <v>2408</v>
      </c>
      <c r="B109" s="37" t="s">
        <v>2384</v>
      </c>
      <c r="C109" s="38">
        <v>1.3070349999999999</v>
      </c>
      <c r="D109" s="38">
        <v>1.3641589999999999</v>
      </c>
      <c r="E109" s="38">
        <v>1.3154330000000001</v>
      </c>
      <c r="F109" s="38">
        <v>1.3108500000000001</v>
      </c>
      <c r="G109" s="38">
        <v>1.3348819999999999</v>
      </c>
      <c r="H109" s="38">
        <v>1.3401989999999999</v>
      </c>
      <c r="I109" s="38">
        <v>1.367391</v>
      </c>
      <c r="J109" s="38">
        <v>1.371934</v>
      </c>
      <c r="K109" s="38">
        <v>1.3803570000000001</v>
      </c>
      <c r="L109" s="38">
        <v>1.3816200000000001</v>
      </c>
      <c r="M109" s="38">
        <v>1.3933660000000001</v>
      </c>
      <c r="N109" s="38">
        <v>1.3888750000000001</v>
      </c>
      <c r="O109" s="38">
        <v>1.4097980000000001</v>
      </c>
      <c r="P109" s="38">
        <v>1.4130199999999999</v>
      </c>
      <c r="Q109" s="38">
        <v>1.4104490000000001</v>
      </c>
      <c r="R109" s="38">
        <v>1.4220360000000001</v>
      </c>
      <c r="S109" s="38">
        <v>1.4241060000000001</v>
      </c>
      <c r="T109" s="38">
        <v>1.4337219999999999</v>
      </c>
      <c r="U109" s="38">
        <v>1.437419</v>
      </c>
      <c r="V109" s="38">
        <v>1.4419029999999999</v>
      </c>
      <c r="W109" s="38">
        <v>1.4440470000000001</v>
      </c>
      <c r="X109" s="38">
        <v>1.446998</v>
      </c>
      <c r="Y109" s="38">
        <v>1.4465969999999999</v>
      </c>
      <c r="Z109" s="38">
        <v>1.4461520000000001</v>
      </c>
      <c r="AA109" s="38">
        <v>1.433908</v>
      </c>
      <c r="AB109" s="38">
        <v>1.432005</v>
      </c>
      <c r="AC109" s="38">
        <v>1.4265410000000001</v>
      </c>
      <c r="AD109" s="38">
        <v>1.423645</v>
      </c>
      <c r="AE109" s="38">
        <v>1.412466</v>
      </c>
      <c r="AF109" s="35">
        <v>2.774E-3</v>
      </c>
      <c r="AG109" s="29"/>
    </row>
    <row r="110" spans="1:33" ht="15" customHeight="1">
      <c r="A110" s="34" t="s">
        <v>2409</v>
      </c>
      <c r="B110" s="37" t="s">
        <v>2360</v>
      </c>
      <c r="C110" s="38">
        <v>0.52511600000000003</v>
      </c>
      <c r="D110" s="38">
        <v>0.341451</v>
      </c>
      <c r="E110" s="38">
        <v>0.29799999999999999</v>
      </c>
      <c r="F110" s="38">
        <v>0.29382599999999998</v>
      </c>
      <c r="G110" s="38">
        <v>0.26114700000000002</v>
      </c>
      <c r="H110" s="38">
        <v>0.24742700000000001</v>
      </c>
      <c r="I110" s="38">
        <v>0.23458699999999999</v>
      </c>
      <c r="J110" s="38">
        <v>0.25086700000000001</v>
      </c>
      <c r="K110" s="38">
        <v>0.26878800000000003</v>
      </c>
      <c r="L110" s="38">
        <v>0.28834799999999999</v>
      </c>
      <c r="M110" s="38">
        <v>0.30766900000000003</v>
      </c>
      <c r="N110" s="38">
        <v>0.327843</v>
      </c>
      <c r="O110" s="38">
        <v>0.34354299999999999</v>
      </c>
      <c r="P110" s="38">
        <v>0.354987</v>
      </c>
      <c r="Q110" s="38">
        <v>0.357904</v>
      </c>
      <c r="R110" s="38">
        <v>0.36314099999999999</v>
      </c>
      <c r="S110" s="38">
        <v>0.37321100000000001</v>
      </c>
      <c r="T110" s="38">
        <v>0.37158099999999999</v>
      </c>
      <c r="U110" s="38">
        <v>0.38423200000000002</v>
      </c>
      <c r="V110" s="38">
        <v>0.39544800000000002</v>
      </c>
      <c r="W110" s="38">
        <v>0.40195999999999998</v>
      </c>
      <c r="X110" s="38">
        <v>0.40458699999999997</v>
      </c>
      <c r="Y110" s="38">
        <v>0.40874500000000002</v>
      </c>
      <c r="Z110" s="38">
        <v>0.413412</v>
      </c>
      <c r="AA110" s="38">
        <v>0.42189700000000002</v>
      </c>
      <c r="AB110" s="38">
        <v>0.423655</v>
      </c>
      <c r="AC110" s="38">
        <v>0.42030699999999999</v>
      </c>
      <c r="AD110" s="38">
        <v>0.416717</v>
      </c>
      <c r="AE110" s="38">
        <v>0.42214499999999999</v>
      </c>
      <c r="AF110" s="35">
        <v>-7.7650000000000002E-3</v>
      </c>
      <c r="AG110" s="29"/>
    </row>
    <row r="111" spans="1:33" ht="15" customHeight="1">
      <c r="A111" s="34" t="s">
        <v>2410</v>
      </c>
      <c r="B111" s="37" t="s">
        <v>2068</v>
      </c>
      <c r="C111" s="38">
        <v>8.9635990000000003</v>
      </c>
      <c r="D111" s="38">
        <v>8.9682519999999997</v>
      </c>
      <c r="E111" s="38">
        <v>8.7443770000000001</v>
      </c>
      <c r="F111" s="38">
        <v>8.8976550000000003</v>
      </c>
      <c r="G111" s="38">
        <v>9.0007649999999995</v>
      </c>
      <c r="H111" s="38">
        <v>9.0762680000000007</v>
      </c>
      <c r="I111" s="38">
        <v>9.1558089999999996</v>
      </c>
      <c r="J111" s="38">
        <v>9.222702</v>
      </c>
      <c r="K111" s="38">
        <v>9.2815630000000002</v>
      </c>
      <c r="L111" s="38">
        <v>9.3450109999999995</v>
      </c>
      <c r="M111" s="38">
        <v>9.4272810000000007</v>
      </c>
      <c r="N111" s="38">
        <v>9.486599</v>
      </c>
      <c r="O111" s="38">
        <v>9.5808049999999998</v>
      </c>
      <c r="P111" s="38">
        <v>9.6471470000000004</v>
      </c>
      <c r="Q111" s="38">
        <v>9.6924480000000006</v>
      </c>
      <c r="R111" s="38">
        <v>9.7619249999999997</v>
      </c>
      <c r="S111" s="38">
        <v>9.8193400000000004</v>
      </c>
      <c r="T111" s="38">
        <v>9.8917970000000004</v>
      </c>
      <c r="U111" s="38">
        <v>9.9863350000000004</v>
      </c>
      <c r="V111" s="38">
        <v>10.067888999999999</v>
      </c>
      <c r="W111" s="38">
        <v>10.135775000000001</v>
      </c>
      <c r="X111" s="38">
        <v>10.192745</v>
      </c>
      <c r="Y111" s="38">
        <v>10.251949</v>
      </c>
      <c r="Z111" s="38">
        <v>10.313497999999999</v>
      </c>
      <c r="AA111" s="38">
        <v>10.375912</v>
      </c>
      <c r="AB111" s="38">
        <v>10.455985999999999</v>
      </c>
      <c r="AC111" s="38">
        <v>10.495983000000001</v>
      </c>
      <c r="AD111" s="38">
        <v>10.551907999999999</v>
      </c>
      <c r="AE111" s="38">
        <v>10.649623</v>
      </c>
      <c r="AF111" s="35">
        <v>6.1739999999999998E-3</v>
      </c>
      <c r="AG111" s="29"/>
    </row>
    <row r="112" spans="1:33" ht="15" customHeight="1">
      <c r="A112" s="34" t="s">
        <v>2411</v>
      </c>
      <c r="B112" s="2182" t="s">
        <v>2316</v>
      </c>
      <c r="C112" s="2183">
        <v>7.5206939999999998</v>
      </c>
      <c r="D112" s="2183">
        <v>7.2238049999999996</v>
      </c>
      <c r="E112" s="2183">
        <v>7.1317269999999997</v>
      </c>
      <c r="F112" s="2183">
        <v>7.2504749999999998</v>
      </c>
      <c r="G112" s="2183">
        <v>7.4329179999999999</v>
      </c>
      <c r="H112" s="2183">
        <v>7.5518850000000004</v>
      </c>
      <c r="I112" s="2183">
        <v>7.63408</v>
      </c>
      <c r="J112" s="2183">
        <v>7.6668989999999999</v>
      </c>
      <c r="K112" s="2183">
        <v>7.6812680000000002</v>
      </c>
      <c r="L112" s="2183">
        <v>7.6786969999999997</v>
      </c>
      <c r="M112" s="2183">
        <v>7.6929970000000001</v>
      </c>
      <c r="N112" s="2183">
        <v>7.7051759999999998</v>
      </c>
      <c r="O112" s="2183">
        <v>7.733943</v>
      </c>
      <c r="P112" s="2183">
        <v>7.7708180000000002</v>
      </c>
      <c r="Q112" s="2183">
        <v>7.8223849999999997</v>
      </c>
      <c r="R112" s="2183">
        <v>7.867877</v>
      </c>
      <c r="S112" s="2183">
        <v>7.9110199999999997</v>
      </c>
      <c r="T112" s="2183">
        <v>7.9787480000000004</v>
      </c>
      <c r="U112" s="2183">
        <v>8.0311669999999999</v>
      </c>
      <c r="V112" s="2183">
        <v>8.0935849999999991</v>
      </c>
      <c r="W112" s="2183">
        <v>8.1569669999999999</v>
      </c>
      <c r="X112" s="2183">
        <v>8.2256199999999993</v>
      </c>
      <c r="Y112" s="2183">
        <v>8.2855480000000004</v>
      </c>
      <c r="Z112" s="2183">
        <v>8.3413219999999999</v>
      </c>
      <c r="AA112" s="2183">
        <v>8.3641159999999992</v>
      </c>
      <c r="AB112" s="2183">
        <v>8.4416320000000002</v>
      </c>
      <c r="AC112" s="2183">
        <v>8.5222739999999995</v>
      </c>
      <c r="AD112" s="2183">
        <v>8.6007549999999995</v>
      </c>
      <c r="AE112" s="2183">
        <v>8.7048109999999994</v>
      </c>
      <c r="AF112" s="2184">
        <v>5.2360000000000002E-3</v>
      </c>
      <c r="AG112" s="29"/>
    </row>
    <row r="113" spans="1:33" ht="15" customHeight="1">
      <c r="A113" s="34" t="s">
        <v>2412</v>
      </c>
      <c r="B113" s="37" t="s">
        <v>2318</v>
      </c>
      <c r="C113" s="38">
        <v>1.3061</v>
      </c>
      <c r="D113" s="38">
        <v>1.3050999999999999</v>
      </c>
      <c r="E113" s="38">
        <v>1.3096019999999999</v>
      </c>
      <c r="F113" s="38">
        <v>1.333833</v>
      </c>
      <c r="G113" s="38">
        <v>1.3705940000000001</v>
      </c>
      <c r="H113" s="38">
        <v>1.393896</v>
      </c>
      <c r="I113" s="38">
        <v>1.4207369999999999</v>
      </c>
      <c r="J113" s="38">
        <v>1.4428939999999999</v>
      </c>
      <c r="K113" s="38">
        <v>1.4650829999999999</v>
      </c>
      <c r="L113" s="38">
        <v>1.480011</v>
      </c>
      <c r="M113" s="38">
        <v>1.5044150000000001</v>
      </c>
      <c r="N113" s="38">
        <v>1.5148740000000001</v>
      </c>
      <c r="O113" s="38">
        <v>1.540211</v>
      </c>
      <c r="P113" s="38">
        <v>1.5517540000000001</v>
      </c>
      <c r="Q113" s="38">
        <v>1.562155</v>
      </c>
      <c r="R113" s="38">
        <v>1.574206</v>
      </c>
      <c r="S113" s="38">
        <v>1.585947</v>
      </c>
      <c r="T113" s="38">
        <v>1.5942700000000001</v>
      </c>
      <c r="U113" s="38">
        <v>1.601637</v>
      </c>
      <c r="V113" s="38">
        <v>1.614436</v>
      </c>
      <c r="W113" s="38">
        <v>1.619448</v>
      </c>
      <c r="X113" s="38">
        <v>1.622495</v>
      </c>
      <c r="Y113" s="38">
        <v>1.6230119999999999</v>
      </c>
      <c r="Z113" s="38">
        <v>1.621586</v>
      </c>
      <c r="AA113" s="38">
        <v>1.600994</v>
      </c>
      <c r="AB113" s="38">
        <v>1.608957</v>
      </c>
      <c r="AC113" s="38">
        <v>1.615456</v>
      </c>
      <c r="AD113" s="38">
        <v>1.6204730000000001</v>
      </c>
      <c r="AE113" s="38">
        <v>1.6337349999999999</v>
      </c>
      <c r="AF113" s="35">
        <v>8.0260000000000001E-3</v>
      </c>
      <c r="AG113" s="29"/>
    </row>
    <row r="114" spans="1:33" ht="15" customHeight="1">
      <c r="A114" s="34" t="s">
        <v>2413</v>
      </c>
      <c r="B114" s="37" t="s">
        <v>2114</v>
      </c>
      <c r="C114" s="38">
        <v>0</v>
      </c>
      <c r="D114" s="38">
        <v>0</v>
      </c>
      <c r="E114" s="38">
        <v>0</v>
      </c>
      <c r="F114" s="38">
        <v>0</v>
      </c>
      <c r="G114" s="38">
        <v>0</v>
      </c>
      <c r="H114" s="38">
        <v>0</v>
      </c>
      <c r="I114" s="38">
        <v>0</v>
      </c>
      <c r="J114" s="38">
        <v>0</v>
      </c>
      <c r="K114" s="38">
        <v>0</v>
      </c>
      <c r="L114" s="38">
        <v>0</v>
      </c>
      <c r="M114" s="38">
        <v>0</v>
      </c>
      <c r="N114" s="38">
        <v>0</v>
      </c>
      <c r="O114" s="38">
        <v>0</v>
      </c>
      <c r="P114" s="38">
        <v>0</v>
      </c>
      <c r="Q114" s="38">
        <v>0</v>
      </c>
      <c r="R114" s="38">
        <v>0</v>
      </c>
      <c r="S114" s="38">
        <v>0</v>
      </c>
      <c r="T114" s="38">
        <v>0</v>
      </c>
      <c r="U114" s="38">
        <v>0</v>
      </c>
      <c r="V114" s="38">
        <v>0</v>
      </c>
      <c r="W114" s="38">
        <v>0</v>
      </c>
      <c r="X114" s="38">
        <v>0</v>
      </c>
      <c r="Y114" s="38">
        <v>0</v>
      </c>
      <c r="Z114" s="38">
        <v>0</v>
      </c>
      <c r="AA114" s="38">
        <v>0</v>
      </c>
      <c r="AB114" s="38">
        <v>0</v>
      </c>
      <c r="AC114" s="38">
        <v>0</v>
      </c>
      <c r="AD114" s="38">
        <v>0</v>
      </c>
      <c r="AE114" s="38">
        <v>0</v>
      </c>
      <c r="AF114" s="35" t="s">
        <v>1278</v>
      </c>
      <c r="AG114" s="29"/>
    </row>
    <row r="115" spans="1:33" ht="15" customHeight="1">
      <c r="A115" s="34" t="s">
        <v>2414</v>
      </c>
      <c r="B115" s="37" t="s">
        <v>2365</v>
      </c>
      <c r="C115" s="38">
        <v>2.058109</v>
      </c>
      <c r="D115" s="38">
        <v>2.092768</v>
      </c>
      <c r="E115" s="38">
        <v>2.0814270000000001</v>
      </c>
      <c r="F115" s="38">
        <v>2.0905629999999999</v>
      </c>
      <c r="G115" s="38">
        <v>2.1201449999999999</v>
      </c>
      <c r="H115" s="38">
        <v>2.120571</v>
      </c>
      <c r="I115" s="38">
        <v>2.1526890000000001</v>
      </c>
      <c r="J115" s="38">
        <v>2.1577320000000002</v>
      </c>
      <c r="K115" s="38">
        <v>2.1695030000000002</v>
      </c>
      <c r="L115" s="38">
        <v>2.1815989999999998</v>
      </c>
      <c r="M115" s="38">
        <v>2.2111010000000002</v>
      </c>
      <c r="N115" s="38">
        <v>2.2290570000000001</v>
      </c>
      <c r="O115" s="38">
        <v>2.2467280000000001</v>
      </c>
      <c r="P115" s="38">
        <v>2.2575560000000001</v>
      </c>
      <c r="Q115" s="38">
        <v>2.2863720000000001</v>
      </c>
      <c r="R115" s="38">
        <v>2.3044690000000001</v>
      </c>
      <c r="S115" s="38">
        <v>2.314082</v>
      </c>
      <c r="T115" s="38">
        <v>2.3346290000000001</v>
      </c>
      <c r="U115" s="38">
        <v>2.333602</v>
      </c>
      <c r="V115" s="38">
        <v>2.335842</v>
      </c>
      <c r="W115" s="38">
        <v>2.3531970000000002</v>
      </c>
      <c r="X115" s="38">
        <v>2.370949</v>
      </c>
      <c r="Y115" s="38">
        <v>2.3963049999999999</v>
      </c>
      <c r="Z115" s="38">
        <v>2.4046780000000001</v>
      </c>
      <c r="AA115" s="38">
        <v>2.4146890000000001</v>
      </c>
      <c r="AB115" s="38">
        <v>2.416207</v>
      </c>
      <c r="AC115" s="38">
        <v>2.4452199999999999</v>
      </c>
      <c r="AD115" s="38">
        <v>2.4601860000000002</v>
      </c>
      <c r="AE115" s="38">
        <v>2.4687199999999998</v>
      </c>
      <c r="AF115" s="35">
        <v>6.5180000000000004E-3</v>
      </c>
      <c r="AG115" s="29"/>
    </row>
    <row r="116" spans="1:33" ht="15" customHeight="1">
      <c r="A116" s="34" t="s">
        <v>2415</v>
      </c>
      <c r="B116" s="37" t="s">
        <v>2118</v>
      </c>
      <c r="C116" s="38">
        <v>10.884902</v>
      </c>
      <c r="D116" s="38">
        <v>10.621674000000001</v>
      </c>
      <c r="E116" s="38">
        <v>10.522757</v>
      </c>
      <c r="F116" s="38">
        <v>10.67487</v>
      </c>
      <c r="G116" s="38">
        <v>10.923655999999999</v>
      </c>
      <c r="H116" s="38">
        <v>11.066352</v>
      </c>
      <c r="I116" s="38">
        <v>11.207504999999999</v>
      </c>
      <c r="J116" s="38">
        <v>11.267524999999999</v>
      </c>
      <c r="K116" s="38">
        <v>11.315854</v>
      </c>
      <c r="L116" s="38">
        <v>11.340306999999999</v>
      </c>
      <c r="M116" s="38">
        <v>11.408512</v>
      </c>
      <c r="N116" s="38">
        <v>11.449107</v>
      </c>
      <c r="O116" s="38">
        <v>11.520883</v>
      </c>
      <c r="P116" s="38">
        <v>11.580128</v>
      </c>
      <c r="Q116" s="38">
        <v>11.670913000000001</v>
      </c>
      <c r="R116" s="38">
        <v>11.746551999999999</v>
      </c>
      <c r="S116" s="38">
        <v>11.811049000000001</v>
      </c>
      <c r="T116" s="38">
        <v>11.907647000000001</v>
      </c>
      <c r="U116" s="38">
        <v>11.966405999999999</v>
      </c>
      <c r="V116" s="38">
        <v>12.043862000000001</v>
      </c>
      <c r="W116" s="38">
        <v>12.129612</v>
      </c>
      <c r="X116" s="38">
        <v>12.219065000000001</v>
      </c>
      <c r="Y116" s="38">
        <v>12.304866000000001</v>
      </c>
      <c r="Z116" s="38">
        <v>12.367585999999999</v>
      </c>
      <c r="AA116" s="38">
        <v>12.379799</v>
      </c>
      <c r="AB116" s="38">
        <v>12.466796</v>
      </c>
      <c r="AC116" s="38">
        <v>12.58295</v>
      </c>
      <c r="AD116" s="38">
        <v>12.681414</v>
      </c>
      <c r="AE116" s="38">
        <v>12.807266</v>
      </c>
      <c r="AF116" s="35">
        <v>5.8250000000000003E-3</v>
      </c>
      <c r="AG116" s="29"/>
    </row>
    <row r="117" spans="1:33" ht="15" customHeight="1">
      <c r="A117" s="34" t="s">
        <v>2416</v>
      </c>
      <c r="B117" s="37" t="s">
        <v>2368</v>
      </c>
      <c r="C117" s="38">
        <v>0.38958799999999999</v>
      </c>
      <c r="D117" s="38">
        <v>0.407723</v>
      </c>
      <c r="E117" s="38">
        <v>0.42370099999999999</v>
      </c>
      <c r="F117" s="38">
        <v>0.42176400000000003</v>
      </c>
      <c r="G117" s="38">
        <v>0.42654900000000001</v>
      </c>
      <c r="H117" s="38">
        <v>0.42880699999999999</v>
      </c>
      <c r="I117" s="38">
        <v>0.428975</v>
      </c>
      <c r="J117" s="38">
        <v>0.429118</v>
      </c>
      <c r="K117" s="38">
        <v>0.42477900000000002</v>
      </c>
      <c r="L117" s="38">
        <v>0.421456</v>
      </c>
      <c r="M117" s="38">
        <v>0.42292800000000003</v>
      </c>
      <c r="N117" s="38">
        <v>0.41902899999999998</v>
      </c>
      <c r="O117" s="38">
        <v>0.41584100000000002</v>
      </c>
      <c r="P117" s="38">
        <v>0.41363699999999998</v>
      </c>
      <c r="Q117" s="38">
        <v>0.41121799999999997</v>
      </c>
      <c r="R117" s="38">
        <v>0.410306</v>
      </c>
      <c r="S117" s="38">
        <v>0.40495199999999998</v>
      </c>
      <c r="T117" s="38">
        <v>0.39735700000000002</v>
      </c>
      <c r="U117" s="38">
        <v>0.39246799999999998</v>
      </c>
      <c r="V117" s="38">
        <v>0.390573</v>
      </c>
      <c r="W117" s="38">
        <v>0.39028800000000002</v>
      </c>
      <c r="X117" s="38">
        <v>0.38829799999999998</v>
      </c>
      <c r="Y117" s="38">
        <v>0.38521</v>
      </c>
      <c r="Z117" s="38">
        <v>0.38122499999999998</v>
      </c>
      <c r="AA117" s="38">
        <v>0.37828899999999999</v>
      </c>
      <c r="AB117" s="38">
        <v>0.37598500000000001</v>
      </c>
      <c r="AC117" s="38">
        <v>0.37150699999999998</v>
      </c>
      <c r="AD117" s="38">
        <v>0.36893300000000001</v>
      </c>
      <c r="AE117" s="38">
        <v>0.36955300000000002</v>
      </c>
      <c r="AF117" s="35">
        <v>-1.884E-3</v>
      </c>
      <c r="AG117" s="29"/>
    </row>
    <row r="118" spans="1:33" ht="15" customHeight="1">
      <c r="A118" s="34" t="s">
        <v>2417</v>
      </c>
      <c r="B118" s="37" t="s">
        <v>2122</v>
      </c>
      <c r="C118" s="38">
        <v>0.46647699999999997</v>
      </c>
      <c r="D118" s="38">
        <v>0.415327</v>
      </c>
      <c r="E118" s="38">
        <v>0.38265199999999999</v>
      </c>
      <c r="F118" s="38">
        <v>0.37940099999999999</v>
      </c>
      <c r="G118" s="38">
        <v>0.379158</v>
      </c>
      <c r="H118" s="38">
        <v>0.37786999999999998</v>
      </c>
      <c r="I118" s="38">
        <v>0.37490600000000002</v>
      </c>
      <c r="J118" s="38">
        <v>0.36729699999999998</v>
      </c>
      <c r="K118" s="38">
        <v>0.359207</v>
      </c>
      <c r="L118" s="38">
        <v>0.35152499999999998</v>
      </c>
      <c r="M118" s="38">
        <v>0.34389399999999998</v>
      </c>
      <c r="N118" s="38">
        <v>0.33547500000000002</v>
      </c>
      <c r="O118" s="38">
        <v>0.32717000000000002</v>
      </c>
      <c r="P118" s="38">
        <v>0.31922200000000001</v>
      </c>
      <c r="Q118" s="38">
        <v>0.31045400000000001</v>
      </c>
      <c r="R118" s="38">
        <v>0.30202299999999999</v>
      </c>
      <c r="S118" s="38">
        <v>0.294159</v>
      </c>
      <c r="T118" s="38">
        <v>0.28762399999999999</v>
      </c>
      <c r="U118" s="38">
        <v>0.282974</v>
      </c>
      <c r="V118" s="38">
        <v>0.27833999999999998</v>
      </c>
      <c r="W118" s="38">
        <v>0.27310499999999999</v>
      </c>
      <c r="X118" s="38">
        <v>0.267202</v>
      </c>
      <c r="Y118" s="38">
        <v>0.26116</v>
      </c>
      <c r="Z118" s="38">
        <v>0.256131</v>
      </c>
      <c r="AA118" s="38">
        <v>0.25772400000000001</v>
      </c>
      <c r="AB118" s="38">
        <v>0.26064599999999999</v>
      </c>
      <c r="AC118" s="38">
        <v>0.26731300000000002</v>
      </c>
      <c r="AD118" s="38">
        <v>0.26623999999999998</v>
      </c>
      <c r="AE118" s="38">
        <v>0.26201099999999999</v>
      </c>
      <c r="AF118" s="35">
        <v>-2.0389999999999998E-2</v>
      </c>
      <c r="AG118" s="29"/>
    </row>
    <row r="119" spans="1:33" ht="15" customHeight="1">
      <c r="A119" s="34" t="s">
        <v>2418</v>
      </c>
      <c r="B119" s="37" t="s">
        <v>2124</v>
      </c>
      <c r="C119" s="38">
        <v>0</v>
      </c>
      <c r="D119" s="38">
        <v>0</v>
      </c>
      <c r="E119" s="38">
        <v>0</v>
      </c>
      <c r="F119" s="38">
        <v>0</v>
      </c>
      <c r="G119" s="38">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5" t="s">
        <v>1278</v>
      </c>
      <c r="AG119" s="29"/>
    </row>
    <row r="120" spans="1:33" ht="15" customHeight="1">
      <c r="A120" s="34" t="s">
        <v>2419</v>
      </c>
      <c r="B120" s="37" t="s">
        <v>2128</v>
      </c>
      <c r="C120" s="38">
        <v>0.85606499999999996</v>
      </c>
      <c r="D120" s="38">
        <v>0.82304999999999995</v>
      </c>
      <c r="E120" s="38">
        <v>0.80635299999999999</v>
      </c>
      <c r="F120" s="38">
        <v>0.80116500000000002</v>
      </c>
      <c r="G120" s="38">
        <v>0.80570699999999995</v>
      </c>
      <c r="H120" s="38">
        <v>0.80667699999999998</v>
      </c>
      <c r="I120" s="38">
        <v>0.80388099999999996</v>
      </c>
      <c r="J120" s="38">
        <v>0.79641499999999998</v>
      </c>
      <c r="K120" s="38">
        <v>0.78398599999999996</v>
      </c>
      <c r="L120" s="38">
        <v>0.77298100000000003</v>
      </c>
      <c r="M120" s="38">
        <v>0.76682099999999997</v>
      </c>
      <c r="N120" s="38">
        <v>0.75450499999999998</v>
      </c>
      <c r="O120" s="38">
        <v>0.74301099999999998</v>
      </c>
      <c r="P120" s="38">
        <v>0.73285900000000004</v>
      </c>
      <c r="Q120" s="38">
        <v>0.72167199999999998</v>
      </c>
      <c r="R120" s="38">
        <v>0.71233000000000002</v>
      </c>
      <c r="S120" s="38">
        <v>0.69911100000000004</v>
      </c>
      <c r="T120" s="38">
        <v>0.68498199999999998</v>
      </c>
      <c r="U120" s="38">
        <v>0.67544199999999999</v>
      </c>
      <c r="V120" s="38">
        <v>0.66891299999999998</v>
      </c>
      <c r="W120" s="38">
        <v>0.66339300000000001</v>
      </c>
      <c r="X120" s="38">
        <v>0.65549999999999997</v>
      </c>
      <c r="Y120" s="38">
        <v>0.64637</v>
      </c>
      <c r="Z120" s="38">
        <v>0.63735600000000003</v>
      </c>
      <c r="AA120" s="38">
        <v>0.63601300000000005</v>
      </c>
      <c r="AB120" s="38">
        <v>0.63663099999999995</v>
      </c>
      <c r="AC120" s="38">
        <v>0.63882000000000005</v>
      </c>
      <c r="AD120" s="38">
        <v>0.63517299999999999</v>
      </c>
      <c r="AE120" s="38">
        <v>0.63156400000000001</v>
      </c>
      <c r="AF120" s="35">
        <v>-1.0803999999999999E-2</v>
      </c>
      <c r="AG120" s="29"/>
    </row>
    <row r="121" spans="1:33" ht="15" customHeight="1">
      <c r="A121" s="34" t="s">
        <v>2420</v>
      </c>
      <c r="B121" s="37" t="s">
        <v>2130</v>
      </c>
      <c r="C121" s="38">
        <v>0.918076</v>
      </c>
      <c r="D121" s="38">
        <v>0.98457799999999995</v>
      </c>
      <c r="E121" s="38">
        <v>0.91028900000000001</v>
      </c>
      <c r="F121" s="38">
        <v>0.90657900000000002</v>
      </c>
      <c r="G121" s="38">
        <v>0.90483100000000005</v>
      </c>
      <c r="H121" s="38">
        <v>0.90374500000000002</v>
      </c>
      <c r="I121" s="38">
        <v>0.90679799999999999</v>
      </c>
      <c r="J121" s="38">
        <v>0.90332000000000001</v>
      </c>
      <c r="K121" s="38">
        <v>0.89893800000000001</v>
      </c>
      <c r="L121" s="38">
        <v>0.89509300000000003</v>
      </c>
      <c r="M121" s="38">
        <v>0.89138700000000004</v>
      </c>
      <c r="N121" s="38">
        <v>0.89019999999999999</v>
      </c>
      <c r="O121" s="38">
        <v>0.89020600000000005</v>
      </c>
      <c r="P121" s="38">
        <v>0.89728600000000003</v>
      </c>
      <c r="Q121" s="38">
        <v>0.89668300000000001</v>
      </c>
      <c r="R121" s="38">
        <v>0.89757100000000001</v>
      </c>
      <c r="S121" s="38">
        <v>0.89926799999999996</v>
      </c>
      <c r="T121" s="38">
        <v>0.90170099999999997</v>
      </c>
      <c r="U121" s="38">
        <v>0.90580700000000003</v>
      </c>
      <c r="V121" s="38">
        <v>0.91853799999999997</v>
      </c>
      <c r="W121" s="38">
        <v>0.92452100000000004</v>
      </c>
      <c r="X121" s="38">
        <v>0.93119799999999997</v>
      </c>
      <c r="Y121" s="38">
        <v>0.93196400000000001</v>
      </c>
      <c r="Z121" s="38">
        <v>0.93861300000000003</v>
      </c>
      <c r="AA121" s="38">
        <v>0.94881700000000002</v>
      </c>
      <c r="AB121" s="38">
        <v>0.96047800000000005</v>
      </c>
      <c r="AC121" s="38">
        <v>0.98155700000000001</v>
      </c>
      <c r="AD121" s="38">
        <v>0.99059399999999997</v>
      </c>
      <c r="AE121" s="38">
        <v>0.99686799999999998</v>
      </c>
      <c r="AF121" s="35">
        <v>2.9450000000000001E-3</v>
      </c>
      <c r="AG121" s="29"/>
    </row>
    <row r="122" spans="1:33" ht="15" customHeight="1">
      <c r="A122" s="34" t="s">
        <v>2421</v>
      </c>
      <c r="B122" s="37" t="s">
        <v>2372</v>
      </c>
      <c r="C122" s="38">
        <v>1.500772</v>
      </c>
      <c r="D122" s="38">
        <v>1.573715</v>
      </c>
      <c r="E122" s="38">
        <v>1.5441100000000001</v>
      </c>
      <c r="F122" s="38">
        <v>1.5522039999999999</v>
      </c>
      <c r="G122" s="38">
        <v>1.557104</v>
      </c>
      <c r="H122" s="38">
        <v>1.5653379999999999</v>
      </c>
      <c r="I122" s="38">
        <v>1.5778289999999999</v>
      </c>
      <c r="J122" s="38">
        <v>1.588481</v>
      </c>
      <c r="K122" s="38">
        <v>1.595888</v>
      </c>
      <c r="L122" s="38">
        <v>1.605475</v>
      </c>
      <c r="M122" s="38">
        <v>1.61859</v>
      </c>
      <c r="N122" s="38">
        <v>1.6311960000000001</v>
      </c>
      <c r="O122" s="38">
        <v>1.6447590000000001</v>
      </c>
      <c r="P122" s="38">
        <v>1.6559740000000001</v>
      </c>
      <c r="Q122" s="38">
        <v>1.6610100000000001</v>
      </c>
      <c r="R122" s="38">
        <v>1.669924</v>
      </c>
      <c r="S122" s="38">
        <v>1.6773480000000001</v>
      </c>
      <c r="T122" s="38">
        <v>1.687114</v>
      </c>
      <c r="U122" s="38">
        <v>1.6990590000000001</v>
      </c>
      <c r="V122" s="38">
        <v>1.7115830000000001</v>
      </c>
      <c r="W122" s="38">
        <v>1.723722</v>
      </c>
      <c r="X122" s="38">
        <v>1.7336530000000001</v>
      </c>
      <c r="Y122" s="38">
        <v>1.7397769999999999</v>
      </c>
      <c r="Z122" s="38">
        <v>1.7428060000000001</v>
      </c>
      <c r="AA122" s="38">
        <v>1.7491080000000001</v>
      </c>
      <c r="AB122" s="38">
        <v>1.759927</v>
      </c>
      <c r="AC122" s="38">
        <v>1.765495</v>
      </c>
      <c r="AD122" s="38">
        <v>1.7731509999999999</v>
      </c>
      <c r="AE122" s="38">
        <v>1.788621</v>
      </c>
      <c r="AF122" s="35">
        <v>6.2859999999999999E-3</v>
      </c>
      <c r="AG122" s="29"/>
    </row>
    <row r="123" spans="1:33" ht="15" customHeight="1">
      <c r="A123" s="34" t="s">
        <v>2422</v>
      </c>
      <c r="B123" s="37" t="s">
        <v>2074</v>
      </c>
      <c r="C123" s="38">
        <v>3.4591750000000001</v>
      </c>
      <c r="D123" s="38">
        <v>3.4701240000000002</v>
      </c>
      <c r="E123" s="38">
        <v>3.448213</v>
      </c>
      <c r="F123" s="38">
        <v>3.4711820000000002</v>
      </c>
      <c r="G123" s="38">
        <v>3.512197</v>
      </c>
      <c r="H123" s="38">
        <v>3.544972</v>
      </c>
      <c r="I123" s="38">
        <v>3.5714890000000001</v>
      </c>
      <c r="J123" s="38">
        <v>3.5893510000000002</v>
      </c>
      <c r="K123" s="38">
        <v>3.5980349999999999</v>
      </c>
      <c r="L123" s="38">
        <v>3.6055999999999999</v>
      </c>
      <c r="M123" s="38">
        <v>3.6268699999999998</v>
      </c>
      <c r="N123" s="38">
        <v>3.6379640000000002</v>
      </c>
      <c r="O123" s="38">
        <v>3.6591830000000001</v>
      </c>
      <c r="P123" s="38">
        <v>3.6840169999999999</v>
      </c>
      <c r="Q123" s="38">
        <v>3.7007660000000002</v>
      </c>
      <c r="R123" s="38">
        <v>3.7219169999999999</v>
      </c>
      <c r="S123" s="38">
        <v>3.743449</v>
      </c>
      <c r="T123" s="38">
        <v>3.7603650000000002</v>
      </c>
      <c r="U123" s="38">
        <v>3.7831860000000002</v>
      </c>
      <c r="V123" s="38">
        <v>3.8108939999999998</v>
      </c>
      <c r="W123" s="38">
        <v>3.837329</v>
      </c>
      <c r="X123" s="38">
        <v>3.8596170000000001</v>
      </c>
      <c r="Y123" s="38">
        <v>3.8769149999999999</v>
      </c>
      <c r="Z123" s="38">
        <v>3.8955389999999999</v>
      </c>
      <c r="AA123" s="38">
        <v>3.933535</v>
      </c>
      <c r="AB123" s="38">
        <v>3.960731</v>
      </c>
      <c r="AC123" s="38">
        <v>3.9795530000000001</v>
      </c>
      <c r="AD123" s="38">
        <v>3.9996809999999998</v>
      </c>
      <c r="AE123" s="38">
        <v>4.0377619999999999</v>
      </c>
      <c r="AF123" s="35">
        <v>5.5389999999999997E-3</v>
      </c>
      <c r="AG123" s="29"/>
    </row>
    <row r="124" spans="1:33" ht="15" customHeight="1">
      <c r="A124" s="34" t="s">
        <v>2423</v>
      </c>
      <c r="B124" s="33" t="s">
        <v>2076</v>
      </c>
      <c r="C124" s="39">
        <v>26.58259</v>
      </c>
      <c r="D124" s="39">
        <v>26.441390999999999</v>
      </c>
      <c r="E124" s="39">
        <v>25.976096999999999</v>
      </c>
      <c r="F124" s="39">
        <v>26.303656</v>
      </c>
      <c r="G124" s="39">
        <v>26.704260000000001</v>
      </c>
      <c r="H124" s="39">
        <v>26.963352</v>
      </c>
      <c r="I124" s="39">
        <v>27.223312</v>
      </c>
      <c r="J124" s="39">
        <v>27.367794</v>
      </c>
      <c r="K124" s="39">
        <v>27.474266</v>
      </c>
      <c r="L124" s="39">
        <v>27.564465999999999</v>
      </c>
      <c r="M124" s="39">
        <v>27.739462</v>
      </c>
      <c r="N124" s="39">
        <v>27.849568999999999</v>
      </c>
      <c r="O124" s="39">
        <v>28.038848999999999</v>
      </c>
      <c r="P124" s="39">
        <v>28.197410999999999</v>
      </c>
      <c r="Q124" s="39">
        <v>28.343491</v>
      </c>
      <c r="R124" s="39">
        <v>28.510217999999998</v>
      </c>
      <c r="S124" s="39">
        <v>28.649563000000001</v>
      </c>
      <c r="T124" s="39">
        <v>28.833607000000001</v>
      </c>
      <c r="U124" s="39">
        <v>29.016235000000002</v>
      </c>
      <c r="V124" s="39">
        <v>29.221679999999999</v>
      </c>
      <c r="W124" s="39">
        <v>29.414352000000001</v>
      </c>
      <c r="X124" s="39">
        <v>29.591778000000001</v>
      </c>
      <c r="Y124" s="39">
        <v>29.751842</v>
      </c>
      <c r="Z124" s="39">
        <v>29.895399000000001</v>
      </c>
      <c r="AA124" s="39">
        <v>30.023181999999998</v>
      </c>
      <c r="AB124" s="39">
        <v>30.240549000000001</v>
      </c>
      <c r="AC124" s="39">
        <v>30.444355000000002</v>
      </c>
      <c r="AD124" s="39">
        <v>30.631920000000001</v>
      </c>
      <c r="AE124" s="39">
        <v>30.911705000000001</v>
      </c>
      <c r="AF124" s="31">
        <v>5.4029999999999998E-3</v>
      </c>
      <c r="AG124" s="29"/>
    </row>
    <row r="125" spans="1:33" ht="15" customHeight="1">
      <c r="A125" s="34" t="s">
        <v>2424</v>
      </c>
      <c r="B125" s="37" t="s">
        <v>2078</v>
      </c>
      <c r="C125" s="38">
        <v>6.3383190000000003</v>
      </c>
      <c r="D125" s="38">
        <v>6.2308620000000001</v>
      </c>
      <c r="E125" s="38">
        <v>6.2143259999999998</v>
      </c>
      <c r="F125" s="38">
        <v>6.2443249999999999</v>
      </c>
      <c r="G125" s="38">
        <v>6.2582880000000003</v>
      </c>
      <c r="H125" s="38">
        <v>6.2499710000000004</v>
      </c>
      <c r="I125" s="38">
        <v>6.2218879999999999</v>
      </c>
      <c r="J125" s="38">
        <v>6.1893969999999996</v>
      </c>
      <c r="K125" s="38">
        <v>6.1605850000000002</v>
      </c>
      <c r="L125" s="38">
        <v>6.1667820000000004</v>
      </c>
      <c r="M125" s="38">
        <v>6.2253090000000002</v>
      </c>
      <c r="N125" s="38">
        <v>6.2395110000000003</v>
      </c>
      <c r="O125" s="38">
        <v>6.2993940000000004</v>
      </c>
      <c r="P125" s="38">
        <v>6.3477829999999997</v>
      </c>
      <c r="Q125" s="38">
        <v>6.3800039999999996</v>
      </c>
      <c r="R125" s="38">
        <v>6.3954519999999997</v>
      </c>
      <c r="S125" s="38">
        <v>6.3918840000000001</v>
      </c>
      <c r="T125" s="38">
        <v>6.377059</v>
      </c>
      <c r="U125" s="38">
        <v>6.3885120000000004</v>
      </c>
      <c r="V125" s="38">
        <v>6.4192400000000003</v>
      </c>
      <c r="W125" s="38">
        <v>6.4716760000000004</v>
      </c>
      <c r="X125" s="38">
        <v>6.5059630000000004</v>
      </c>
      <c r="Y125" s="38">
        <v>6.5369950000000001</v>
      </c>
      <c r="Z125" s="38">
        <v>6.5771360000000003</v>
      </c>
      <c r="AA125" s="38">
        <v>6.6225480000000001</v>
      </c>
      <c r="AB125" s="38">
        <v>6.658074</v>
      </c>
      <c r="AC125" s="38">
        <v>6.6820950000000003</v>
      </c>
      <c r="AD125" s="38">
        <v>6.6983119999999996</v>
      </c>
      <c r="AE125" s="38">
        <v>6.7513639999999997</v>
      </c>
      <c r="AF125" s="35">
        <v>2.2569999999999999E-3</v>
      </c>
      <c r="AG125" s="29"/>
    </row>
    <row r="126" spans="1:33" ht="15" customHeight="1">
      <c r="A126" s="34" t="s">
        <v>2425</v>
      </c>
      <c r="B126" s="33" t="s">
        <v>2080</v>
      </c>
      <c r="C126" s="39">
        <v>32.920909999999999</v>
      </c>
      <c r="D126" s="39">
        <v>32.672252999999998</v>
      </c>
      <c r="E126" s="39">
        <v>32.190421999999998</v>
      </c>
      <c r="F126" s="39">
        <v>32.547981</v>
      </c>
      <c r="G126" s="39">
        <v>32.962547000000001</v>
      </c>
      <c r="H126" s="39">
        <v>33.213326000000002</v>
      </c>
      <c r="I126" s="39">
        <v>33.445197999999998</v>
      </c>
      <c r="J126" s="39">
        <v>33.557189999999999</v>
      </c>
      <c r="K126" s="39">
        <v>33.63485</v>
      </c>
      <c r="L126" s="39">
        <v>33.731247000000003</v>
      </c>
      <c r="M126" s="39">
        <v>33.964770999999999</v>
      </c>
      <c r="N126" s="39">
        <v>34.089081</v>
      </c>
      <c r="O126" s="39">
        <v>34.338242000000001</v>
      </c>
      <c r="P126" s="39">
        <v>34.545192999999998</v>
      </c>
      <c r="Q126" s="39">
        <v>34.723495</v>
      </c>
      <c r="R126" s="39">
        <v>34.905670000000001</v>
      </c>
      <c r="S126" s="39">
        <v>35.041446999999998</v>
      </c>
      <c r="T126" s="39">
        <v>35.210667000000001</v>
      </c>
      <c r="U126" s="39">
        <v>35.404747</v>
      </c>
      <c r="V126" s="39">
        <v>35.640918999999997</v>
      </c>
      <c r="W126" s="39">
        <v>35.886028000000003</v>
      </c>
      <c r="X126" s="39">
        <v>36.097740000000002</v>
      </c>
      <c r="Y126" s="39">
        <v>36.288837000000001</v>
      </c>
      <c r="Z126" s="39">
        <v>36.472534000000003</v>
      </c>
      <c r="AA126" s="39">
        <v>36.645729000000003</v>
      </c>
      <c r="AB126" s="39">
        <v>36.898623999999998</v>
      </c>
      <c r="AC126" s="39">
        <v>37.126449999999998</v>
      </c>
      <c r="AD126" s="39">
        <v>37.330230999999998</v>
      </c>
      <c r="AE126" s="39">
        <v>37.663071000000002</v>
      </c>
      <c r="AF126" s="31">
        <v>4.8180000000000002E-3</v>
      </c>
      <c r="AG126" s="29"/>
    </row>
    <row r="127" spans="1:33" ht="15" customHeight="1">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row>
    <row r="128" spans="1:33" ht="15" customHeight="1">
      <c r="B128" s="33" t="s">
        <v>2426</v>
      </c>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row>
    <row r="129" spans="1:33" ht="15" customHeight="1">
      <c r="B129" s="33" t="s">
        <v>2427</v>
      </c>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row>
    <row r="130" spans="1:33" ht="15" customHeight="1">
      <c r="A130" s="34" t="s">
        <v>2428</v>
      </c>
      <c r="B130" s="37" t="s">
        <v>2379</v>
      </c>
      <c r="C130" s="38">
        <v>1.0189E-2</v>
      </c>
      <c r="D130" s="38">
        <v>1.0305E-2</v>
      </c>
      <c r="E130" s="38">
        <v>1.491E-2</v>
      </c>
      <c r="F130" s="38">
        <v>1.4862E-2</v>
      </c>
      <c r="G130" s="38">
        <v>1.4753E-2</v>
      </c>
      <c r="H130" s="38">
        <v>1.4671E-2</v>
      </c>
      <c r="I130" s="38">
        <v>1.4598E-2</v>
      </c>
      <c r="J130" s="38">
        <v>1.4583E-2</v>
      </c>
      <c r="K130" s="38">
        <v>1.4546999999999999E-2</v>
      </c>
      <c r="L130" s="38">
        <v>1.448E-2</v>
      </c>
      <c r="M130" s="38">
        <v>1.4418E-2</v>
      </c>
      <c r="N130" s="38">
        <v>1.4297000000000001E-2</v>
      </c>
      <c r="O130" s="38">
        <v>1.4186000000000001E-2</v>
      </c>
      <c r="P130" s="38">
        <v>1.4073E-2</v>
      </c>
      <c r="Q130" s="38">
        <v>1.3958999999999999E-2</v>
      </c>
      <c r="R130" s="38">
        <v>1.3886000000000001E-2</v>
      </c>
      <c r="S130" s="38">
        <v>1.3808000000000001E-2</v>
      </c>
      <c r="T130" s="38">
        <v>1.3729E-2</v>
      </c>
      <c r="U130" s="38">
        <v>1.3632E-2</v>
      </c>
      <c r="V130" s="38">
        <v>1.3512E-2</v>
      </c>
      <c r="W130" s="38">
        <v>1.34E-2</v>
      </c>
      <c r="X130" s="38">
        <v>1.3287E-2</v>
      </c>
      <c r="Y130" s="38">
        <v>1.319E-2</v>
      </c>
      <c r="Z130" s="38">
        <v>1.3108E-2</v>
      </c>
      <c r="AA130" s="38">
        <v>1.3010000000000001E-2</v>
      </c>
      <c r="AB130" s="38">
        <v>1.2907999999999999E-2</v>
      </c>
      <c r="AC130" s="38">
        <v>1.2810999999999999E-2</v>
      </c>
      <c r="AD130" s="38">
        <v>1.2714E-2</v>
      </c>
      <c r="AE130" s="38">
        <v>1.2591E-2</v>
      </c>
      <c r="AF130" s="35">
        <v>7.5880000000000001E-3</v>
      </c>
      <c r="AG130" s="29"/>
    </row>
    <row r="131" spans="1:33" ht="15" customHeight="1">
      <c r="A131" s="34" t="s">
        <v>2429</v>
      </c>
      <c r="B131" s="37" t="s">
        <v>2341</v>
      </c>
      <c r="C131" s="38">
        <v>0.39114100000000002</v>
      </c>
      <c r="D131" s="38">
        <v>0.40273999999999999</v>
      </c>
      <c r="E131" s="38">
        <v>0.39081900000000003</v>
      </c>
      <c r="F131" s="38">
        <v>0.39614199999999999</v>
      </c>
      <c r="G131" s="38">
        <v>0.40182400000000001</v>
      </c>
      <c r="H131" s="38">
        <v>0.40475800000000001</v>
      </c>
      <c r="I131" s="38">
        <v>0.40585700000000002</v>
      </c>
      <c r="J131" s="38">
        <v>0.40486899999999998</v>
      </c>
      <c r="K131" s="38">
        <v>0.40414099999999997</v>
      </c>
      <c r="L131" s="38">
        <v>0.40498899999999999</v>
      </c>
      <c r="M131" s="38">
        <v>0.40529399999999999</v>
      </c>
      <c r="N131" s="38">
        <v>0.40503600000000001</v>
      </c>
      <c r="O131" s="38">
        <v>0.40587299999999998</v>
      </c>
      <c r="P131" s="38">
        <v>0.40534399999999998</v>
      </c>
      <c r="Q131" s="38">
        <v>0.40394000000000002</v>
      </c>
      <c r="R131" s="38">
        <v>0.40279700000000002</v>
      </c>
      <c r="S131" s="38">
        <v>0.40020499999999998</v>
      </c>
      <c r="T131" s="38">
        <v>0.39967799999999998</v>
      </c>
      <c r="U131" s="38">
        <v>0.39957799999999999</v>
      </c>
      <c r="V131" s="38">
        <v>0.398032</v>
      </c>
      <c r="W131" s="38">
        <v>0.396231</v>
      </c>
      <c r="X131" s="38">
        <v>0.39528000000000002</v>
      </c>
      <c r="Y131" s="38">
        <v>0.39374799999999999</v>
      </c>
      <c r="Z131" s="38">
        <v>0.39213300000000001</v>
      </c>
      <c r="AA131" s="38">
        <v>0.39139000000000002</v>
      </c>
      <c r="AB131" s="38">
        <v>0.39144499999999999</v>
      </c>
      <c r="AC131" s="38">
        <v>0.389436</v>
      </c>
      <c r="AD131" s="38">
        <v>0.388681</v>
      </c>
      <c r="AE131" s="38">
        <v>0.38972699999999999</v>
      </c>
      <c r="AF131" s="35">
        <v>-1.2899999999999999E-4</v>
      </c>
      <c r="AG131" s="29"/>
    </row>
    <row r="132" spans="1:33" ht="15" customHeight="1">
      <c r="A132" s="34" t="s">
        <v>2430</v>
      </c>
      <c r="B132" s="37" t="s">
        <v>2310</v>
      </c>
      <c r="C132" s="38">
        <v>3.1236E-2</v>
      </c>
      <c r="D132" s="38">
        <v>3.1088999999999999E-2</v>
      </c>
      <c r="E132" s="38">
        <v>3.0710999999999999E-2</v>
      </c>
      <c r="F132" s="38">
        <v>3.0388999999999999E-2</v>
      </c>
      <c r="G132" s="38">
        <v>2.9907E-2</v>
      </c>
      <c r="H132" s="38">
        <v>2.9319999999999999E-2</v>
      </c>
      <c r="I132" s="38">
        <v>2.8885999999999998E-2</v>
      </c>
      <c r="J132" s="38">
        <v>2.8646999999999999E-2</v>
      </c>
      <c r="K132" s="38">
        <v>2.8427999999999998E-2</v>
      </c>
      <c r="L132" s="38">
        <v>2.8103E-2</v>
      </c>
      <c r="M132" s="38">
        <v>2.7734000000000002E-2</v>
      </c>
      <c r="N132" s="38">
        <v>2.7421000000000001E-2</v>
      </c>
      <c r="O132" s="38">
        <v>2.7147000000000001E-2</v>
      </c>
      <c r="P132" s="38">
        <v>2.6921E-2</v>
      </c>
      <c r="Q132" s="38">
        <v>2.6744E-2</v>
      </c>
      <c r="R132" s="38">
        <v>2.6622E-2</v>
      </c>
      <c r="S132" s="38">
        <v>2.6499000000000002E-2</v>
      </c>
      <c r="T132" s="38">
        <v>2.6374000000000002E-2</v>
      </c>
      <c r="U132" s="38">
        <v>2.6221000000000001E-2</v>
      </c>
      <c r="V132" s="38">
        <v>2.6058999999999999E-2</v>
      </c>
      <c r="W132" s="38">
        <v>2.5895000000000001E-2</v>
      </c>
      <c r="X132" s="38">
        <v>2.5739999999999999E-2</v>
      </c>
      <c r="Y132" s="38">
        <v>2.5609E-2</v>
      </c>
      <c r="Z132" s="38">
        <v>2.5500999999999999E-2</v>
      </c>
      <c r="AA132" s="38">
        <v>2.5363E-2</v>
      </c>
      <c r="AB132" s="38">
        <v>2.5196E-2</v>
      </c>
      <c r="AC132" s="38">
        <v>2.5056999999999999E-2</v>
      </c>
      <c r="AD132" s="38">
        <v>2.4917999999999999E-2</v>
      </c>
      <c r="AE132" s="38">
        <v>2.4732000000000001E-2</v>
      </c>
      <c r="AF132" s="35">
        <v>-8.3040000000000006E-3</v>
      </c>
      <c r="AG132" s="29"/>
    </row>
    <row r="133" spans="1:33" ht="15" customHeight="1">
      <c r="A133" s="34" t="s">
        <v>2431</v>
      </c>
      <c r="B133" s="37" t="s">
        <v>2088</v>
      </c>
      <c r="C133" s="38">
        <v>0.118384</v>
      </c>
      <c r="D133" s="38">
        <v>0.117603</v>
      </c>
      <c r="E133" s="38">
        <v>0.11527800000000001</v>
      </c>
      <c r="F133" s="38">
        <v>0.113371</v>
      </c>
      <c r="G133" s="38">
        <v>0.110955</v>
      </c>
      <c r="H133" s="38">
        <v>0.108449</v>
      </c>
      <c r="I133" s="38">
        <v>0.106624</v>
      </c>
      <c r="J133" s="38">
        <v>0.10537100000000001</v>
      </c>
      <c r="K133" s="38">
        <v>0.104311</v>
      </c>
      <c r="L133" s="38">
        <v>0.103002</v>
      </c>
      <c r="M133" s="38">
        <v>0.101567</v>
      </c>
      <c r="N133" s="38">
        <v>0.10023799999999999</v>
      </c>
      <c r="O133" s="38">
        <v>9.9043000000000006E-2</v>
      </c>
      <c r="P133" s="38">
        <v>9.8021999999999998E-2</v>
      </c>
      <c r="Q133" s="38">
        <v>9.7128999999999993E-2</v>
      </c>
      <c r="R133" s="38">
        <v>9.6416000000000002E-2</v>
      </c>
      <c r="S133" s="38">
        <v>9.5718999999999999E-2</v>
      </c>
      <c r="T133" s="38">
        <v>9.5044000000000003E-2</v>
      </c>
      <c r="U133" s="38">
        <v>9.4292000000000001E-2</v>
      </c>
      <c r="V133" s="38">
        <v>9.3494999999999995E-2</v>
      </c>
      <c r="W133" s="38">
        <v>9.2716000000000007E-2</v>
      </c>
      <c r="X133" s="38">
        <v>9.1963000000000003E-2</v>
      </c>
      <c r="Y133" s="38">
        <v>9.1308E-2</v>
      </c>
      <c r="Z133" s="38">
        <v>9.0745000000000006E-2</v>
      </c>
      <c r="AA133" s="38">
        <v>9.0056999999999998E-2</v>
      </c>
      <c r="AB133" s="38">
        <v>8.9282E-2</v>
      </c>
      <c r="AC133" s="38">
        <v>8.8584999999999997E-2</v>
      </c>
      <c r="AD133" s="38">
        <v>8.7894E-2</v>
      </c>
      <c r="AE133" s="38">
        <v>8.7046999999999999E-2</v>
      </c>
      <c r="AF133" s="35">
        <v>-1.0921999999999999E-2</v>
      </c>
      <c r="AG133" s="29"/>
    </row>
    <row r="134" spans="1:33" ht="15" customHeight="1">
      <c r="A134" s="34" t="s">
        <v>2432</v>
      </c>
      <c r="B134" s="37" t="s">
        <v>2090</v>
      </c>
      <c r="C134" s="38">
        <v>5.8230000000000001E-3</v>
      </c>
      <c r="D134" s="38">
        <v>6.4549999999999998E-3</v>
      </c>
      <c r="E134" s="38">
        <v>4.4720000000000003E-3</v>
      </c>
      <c r="F134" s="38">
        <v>3.836E-3</v>
      </c>
      <c r="G134" s="38">
        <v>3.4480000000000001E-3</v>
      </c>
      <c r="H134" s="38">
        <v>3.1589999999999999E-3</v>
      </c>
      <c r="I134" s="38">
        <v>2.941E-3</v>
      </c>
      <c r="J134" s="38">
        <v>2.8180000000000002E-3</v>
      </c>
      <c r="K134" s="38">
        <v>2.7299999999999998E-3</v>
      </c>
      <c r="L134" s="38">
        <v>2.6740000000000002E-3</v>
      </c>
      <c r="M134" s="38">
        <v>2.6440000000000001E-3</v>
      </c>
      <c r="N134" s="38">
        <v>2.65E-3</v>
      </c>
      <c r="O134" s="38">
        <v>2.6700000000000001E-3</v>
      </c>
      <c r="P134" s="38">
        <v>2.7070000000000002E-3</v>
      </c>
      <c r="Q134" s="38">
        <v>2.7169999999999998E-3</v>
      </c>
      <c r="R134" s="38">
        <v>2.7420000000000001E-3</v>
      </c>
      <c r="S134" s="38">
        <v>2.794E-3</v>
      </c>
      <c r="T134" s="38">
        <v>2.7729999999999999E-3</v>
      </c>
      <c r="U134" s="38">
        <v>2.8249999999999998E-3</v>
      </c>
      <c r="V134" s="38">
        <v>2.8519999999999999E-3</v>
      </c>
      <c r="W134" s="38">
        <v>2.8570000000000002E-3</v>
      </c>
      <c r="X134" s="38">
        <v>2.8270000000000001E-3</v>
      </c>
      <c r="Y134" s="38">
        <v>2.8089999999999999E-3</v>
      </c>
      <c r="Z134" s="38">
        <v>2.7989999999999998E-3</v>
      </c>
      <c r="AA134" s="38">
        <v>2.764E-3</v>
      </c>
      <c r="AB134" s="38">
        <v>2.7469999999999999E-3</v>
      </c>
      <c r="AC134" s="38">
        <v>2.7109999999999999E-3</v>
      </c>
      <c r="AD134" s="38">
        <v>2.6749999999999999E-3</v>
      </c>
      <c r="AE134" s="38">
        <v>2.6559999999999999E-3</v>
      </c>
      <c r="AF134" s="35">
        <v>-2.7643000000000001E-2</v>
      </c>
      <c r="AG134" s="29"/>
    </row>
    <row r="135" spans="1:33" ht="15" customHeight="1">
      <c r="A135" s="34" t="s">
        <v>2433</v>
      </c>
      <c r="B135" s="37" t="s">
        <v>2108</v>
      </c>
      <c r="C135" s="38">
        <v>5.5902E-2</v>
      </c>
      <c r="D135" s="38">
        <v>6.3374E-2</v>
      </c>
      <c r="E135" s="38">
        <v>5.8535999999999998E-2</v>
      </c>
      <c r="F135" s="38">
        <v>5.7963000000000001E-2</v>
      </c>
      <c r="G135" s="38">
        <v>5.7132000000000002E-2</v>
      </c>
      <c r="H135" s="38">
        <v>5.6388000000000001E-2</v>
      </c>
      <c r="I135" s="38">
        <v>5.5731999999999997E-2</v>
      </c>
      <c r="J135" s="38">
        <v>5.5122999999999998E-2</v>
      </c>
      <c r="K135" s="38">
        <v>5.4639E-2</v>
      </c>
      <c r="L135" s="38">
        <v>5.4170999999999997E-2</v>
      </c>
      <c r="M135" s="38">
        <v>5.3517000000000002E-2</v>
      </c>
      <c r="N135" s="38">
        <v>5.2922999999999998E-2</v>
      </c>
      <c r="O135" s="38">
        <v>5.2379000000000002E-2</v>
      </c>
      <c r="P135" s="38">
        <v>5.1792999999999999E-2</v>
      </c>
      <c r="Q135" s="38">
        <v>5.1211E-2</v>
      </c>
      <c r="R135" s="38">
        <v>5.0602000000000001E-2</v>
      </c>
      <c r="S135" s="38">
        <v>4.9984000000000001E-2</v>
      </c>
      <c r="T135" s="38">
        <v>4.9408000000000001E-2</v>
      </c>
      <c r="U135" s="38">
        <v>4.8779000000000003E-2</v>
      </c>
      <c r="V135" s="38">
        <v>4.8099999999999997E-2</v>
      </c>
      <c r="W135" s="38">
        <v>4.7467000000000002E-2</v>
      </c>
      <c r="X135" s="38">
        <v>4.6876000000000001E-2</v>
      </c>
      <c r="Y135" s="38">
        <v>4.6348E-2</v>
      </c>
      <c r="Z135" s="38">
        <v>4.5863000000000001E-2</v>
      </c>
      <c r="AA135" s="38">
        <v>4.5318999999999998E-2</v>
      </c>
      <c r="AB135" s="38">
        <v>4.4762999999999997E-2</v>
      </c>
      <c r="AC135" s="38">
        <v>4.4275000000000002E-2</v>
      </c>
      <c r="AD135" s="38">
        <v>4.3799999999999999E-2</v>
      </c>
      <c r="AE135" s="38">
        <v>4.3167999999999998E-2</v>
      </c>
      <c r="AF135" s="35">
        <v>-9.1889999999999993E-3</v>
      </c>
      <c r="AG135" s="29"/>
    </row>
    <row r="136" spans="1:33" ht="15" customHeight="1">
      <c r="A136" s="34" t="s">
        <v>2434</v>
      </c>
      <c r="B136" s="37" t="s">
        <v>2357</v>
      </c>
      <c r="C136" s="38">
        <v>5.4170999999999997E-2</v>
      </c>
      <c r="D136" s="38">
        <v>5.2790999999999998E-2</v>
      </c>
      <c r="E136" s="38">
        <v>5.8715999999999997E-2</v>
      </c>
      <c r="F136" s="38">
        <v>5.8728000000000002E-2</v>
      </c>
      <c r="G136" s="38">
        <v>5.8007000000000003E-2</v>
      </c>
      <c r="H136" s="38">
        <v>5.7653000000000003E-2</v>
      </c>
      <c r="I136" s="38">
        <v>5.7511E-2</v>
      </c>
      <c r="J136" s="38">
        <v>5.7160000000000002E-2</v>
      </c>
      <c r="K136" s="38">
        <v>5.6495999999999998E-2</v>
      </c>
      <c r="L136" s="38">
        <v>5.5890000000000002E-2</v>
      </c>
      <c r="M136" s="38">
        <v>5.5234999999999999E-2</v>
      </c>
      <c r="N136" s="38">
        <v>5.4418000000000001E-2</v>
      </c>
      <c r="O136" s="38">
        <v>5.3733000000000003E-2</v>
      </c>
      <c r="P136" s="38">
        <v>5.3046000000000003E-2</v>
      </c>
      <c r="Q136" s="38">
        <v>5.2410999999999999E-2</v>
      </c>
      <c r="R136" s="38">
        <v>5.1380000000000002E-2</v>
      </c>
      <c r="S136" s="38">
        <v>5.0652000000000003E-2</v>
      </c>
      <c r="T136" s="38">
        <v>5.0109000000000001E-2</v>
      </c>
      <c r="U136" s="38">
        <v>4.9561000000000001E-2</v>
      </c>
      <c r="V136" s="38">
        <v>4.8679E-2</v>
      </c>
      <c r="W136" s="38">
        <v>4.8070000000000002E-2</v>
      </c>
      <c r="X136" s="38">
        <v>4.7042E-2</v>
      </c>
      <c r="Y136" s="38">
        <v>4.6377000000000002E-2</v>
      </c>
      <c r="Z136" s="38">
        <v>4.5814000000000001E-2</v>
      </c>
      <c r="AA136" s="38">
        <v>4.5298999999999999E-2</v>
      </c>
      <c r="AB136" s="38">
        <v>4.4635000000000001E-2</v>
      </c>
      <c r="AC136" s="38">
        <v>4.4345999999999997E-2</v>
      </c>
      <c r="AD136" s="38">
        <v>4.3982E-2</v>
      </c>
      <c r="AE136" s="38">
        <v>4.3097000000000003E-2</v>
      </c>
      <c r="AF136" s="35">
        <v>-8.1340000000000006E-3</v>
      </c>
      <c r="AG136" s="29"/>
    </row>
    <row r="137" spans="1:33" ht="15" customHeight="1">
      <c r="A137" s="34" t="s">
        <v>2435</v>
      </c>
      <c r="B137" s="37" t="s">
        <v>2314</v>
      </c>
      <c r="C137" s="38">
        <v>9.3520000000000006E-2</v>
      </c>
      <c r="D137" s="38">
        <v>8.9299000000000003E-2</v>
      </c>
      <c r="E137" s="38">
        <v>8.5498000000000005E-2</v>
      </c>
      <c r="F137" s="38">
        <v>9.3298000000000006E-2</v>
      </c>
      <c r="G137" s="38">
        <v>9.3153E-2</v>
      </c>
      <c r="H137" s="38">
        <v>9.3365000000000004E-2</v>
      </c>
      <c r="I137" s="38">
        <v>9.3282000000000004E-2</v>
      </c>
      <c r="J137" s="38">
        <v>9.3119999999999994E-2</v>
      </c>
      <c r="K137" s="38">
        <v>9.2945E-2</v>
      </c>
      <c r="L137" s="38">
        <v>9.2626E-2</v>
      </c>
      <c r="M137" s="38">
        <v>9.1379000000000002E-2</v>
      </c>
      <c r="N137" s="38">
        <v>9.0665999999999997E-2</v>
      </c>
      <c r="O137" s="38">
        <v>9.0413999999999994E-2</v>
      </c>
      <c r="P137" s="38">
        <v>9.0063000000000004E-2</v>
      </c>
      <c r="Q137" s="38">
        <v>8.9712E-2</v>
      </c>
      <c r="R137" s="38">
        <v>8.9446999999999999E-2</v>
      </c>
      <c r="S137" s="38">
        <v>8.9377999999999999E-2</v>
      </c>
      <c r="T137" s="38">
        <v>8.9314000000000004E-2</v>
      </c>
      <c r="U137" s="38">
        <v>8.9233000000000007E-2</v>
      </c>
      <c r="V137" s="38">
        <v>8.9070999999999997E-2</v>
      </c>
      <c r="W137" s="38">
        <v>8.8799000000000003E-2</v>
      </c>
      <c r="X137" s="38">
        <v>8.7892999999999999E-2</v>
      </c>
      <c r="Y137" s="38">
        <v>8.8182999999999997E-2</v>
      </c>
      <c r="Z137" s="38">
        <v>8.8987999999999998E-2</v>
      </c>
      <c r="AA137" s="38">
        <v>8.8832999999999995E-2</v>
      </c>
      <c r="AB137" s="38">
        <v>8.8984999999999995E-2</v>
      </c>
      <c r="AC137" s="38">
        <v>8.9029999999999998E-2</v>
      </c>
      <c r="AD137" s="38">
        <v>8.9089000000000002E-2</v>
      </c>
      <c r="AE137" s="38">
        <v>8.8853000000000001E-2</v>
      </c>
      <c r="AF137" s="35">
        <v>-1.8270000000000001E-3</v>
      </c>
      <c r="AG137" s="29"/>
    </row>
    <row r="138" spans="1:33" ht="15" customHeight="1">
      <c r="A138" s="34" t="s">
        <v>2436</v>
      </c>
      <c r="B138" s="37" t="s">
        <v>2384</v>
      </c>
      <c r="C138" s="38">
        <v>0.13935800000000001</v>
      </c>
      <c r="D138" s="38">
        <v>0.145317</v>
      </c>
      <c r="E138" s="38">
        <v>0.14000000000000001</v>
      </c>
      <c r="F138" s="38">
        <v>0.13814699999999999</v>
      </c>
      <c r="G138" s="38">
        <v>0.13866300000000001</v>
      </c>
      <c r="H138" s="38">
        <v>0.137402</v>
      </c>
      <c r="I138" s="38">
        <v>0.13855799999999999</v>
      </c>
      <c r="J138" s="38">
        <v>0.13750100000000001</v>
      </c>
      <c r="K138" s="38">
        <v>0.137131</v>
      </c>
      <c r="L138" s="38">
        <v>0.13607900000000001</v>
      </c>
      <c r="M138" s="38">
        <v>0.13557900000000001</v>
      </c>
      <c r="N138" s="38">
        <v>0.13364300000000001</v>
      </c>
      <c r="O138" s="38">
        <v>0.13426199999999999</v>
      </c>
      <c r="P138" s="38">
        <v>0.13306200000000001</v>
      </c>
      <c r="Q138" s="38">
        <v>0.131329</v>
      </c>
      <c r="R138" s="38">
        <v>0.130833</v>
      </c>
      <c r="S138" s="38">
        <v>0.12942200000000001</v>
      </c>
      <c r="T138" s="38">
        <v>0.12879499999999999</v>
      </c>
      <c r="U138" s="38">
        <v>0.12748399999999999</v>
      </c>
      <c r="V138" s="38">
        <v>0.12610099999999999</v>
      </c>
      <c r="W138" s="38">
        <v>0.124626</v>
      </c>
      <c r="X138" s="38">
        <v>0.12332600000000001</v>
      </c>
      <c r="Y138" s="38">
        <v>0.121903</v>
      </c>
      <c r="Z138" s="38">
        <v>0.12059</v>
      </c>
      <c r="AA138" s="38">
        <v>0.11815000000000001</v>
      </c>
      <c r="AB138" s="38">
        <v>0.116547</v>
      </c>
      <c r="AC138" s="38">
        <v>0.11483599999999999</v>
      </c>
      <c r="AD138" s="38">
        <v>0.113373</v>
      </c>
      <c r="AE138" s="38">
        <v>0.110861</v>
      </c>
      <c r="AF138" s="35">
        <v>-8.1370000000000001E-3</v>
      </c>
      <c r="AG138" s="29"/>
    </row>
    <row r="139" spans="1:33" ht="15" customHeight="1">
      <c r="A139" s="34" t="s">
        <v>2437</v>
      </c>
      <c r="B139" s="37" t="s">
        <v>2360</v>
      </c>
      <c r="C139" s="38">
        <v>5.5988999999999997E-2</v>
      </c>
      <c r="D139" s="38">
        <v>3.6373000000000003E-2</v>
      </c>
      <c r="E139" s="38">
        <v>3.1716000000000001E-2</v>
      </c>
      <c r="F139" s="38">
        <v>3.0966E-2</v>
      </c>
      <c r="G139" s="38">
        <v>2.7126999999999998E-2</v>
      </c>
      <c r="H139" s="38">
        <v>2.5367000000000001E-2</v>
      </c>
      <c r="I139" s="38">
        <v>2.3771E-2</v>
      </c>
      <c r="J139" s="38">
        <v>2.5142999999999999E-2</v>
      </c>
      <c r="K139" s="38">
        <v>2.6703000000000001E-2</v>
      </c>
      <c r="L139" s="38">
        <v>2.8400000000000002E-2</v>
      </c>
      <c r="M139" s="38">
        <v>2.9936999999999998E-2</v>
      </c>
      <c r="N139" s="38">
        <v>3.1545999999999998E-2</v>
      </c>
      <c r="O139" s="38">
        <v>3.2717000000000003E-2</v>
      </c>
      <c r="P139" s="38">
        <v>3.3429E-2</v>
      </c>
      <c r="Q139" s="38">
        <v>3.3325E-2</v>
      </c>
      <c r="R139" s="38">
        <v>3.3410000000000002E-2</v>
      </c>
      <c r="S139" s="38">
        <v>3.3917000000000003E-2</v>
      </c>
      <c r="T139" s="38">
        <v>3.338E-2</v>
      </c>
      <c r="U139" s="38">
        <v>3.4077000000000003E-2</v>
      </c>
      <c r="V139" s="38">
        <v>3.4583999999999997E-2</v>
      </c>
      <c r="W139" s="38">
        <v>3.4689999999999999E-2</v>
      </c>
      <c r="X139" s="38">
        <v>3.4483E-2</v>
      </c>
      <c r="Y139" s="38">
        <v>3.4444000000000002E-2</v>
      </c>
      <c r="Z139" s="38">
        <v>3.4472999999999997E-2</v>
      </c>
      <c r="AA139" s="38">
        <v>3.4763000000000002E-2</v>
      </c>
      <c r="AB139" s="38">
        <v>3.4479999999999997E-2</v>
      </c>
      <c r="AC139" s="38">
        <v>3.3834999999999997E-2</v>
      </c>
      <c r="AD139" s="38">
        <v>3.3186E-2</v>
      </c>
      <c r="AE139" s="38">
        <v>3.3133000000000003E-2</v>
      </c>
      <c r="AF139" s="35">
        <v>-1.8561999999999999E-2</v>
      </c>
      <c r="AG139" s="29"/>
    </row>
    <row r="140" spans="1:33" ht="15" customHeight="1">
      <c r="A140" s="34" t="s">
        <v>2438</v>
      </c>
      <c r="B140" s="37" t="s">
        <v>2068</v>
      </c>
      <c r="C140" s="38">
        <v>0.95571300000000003</v>
      </c>
      <c r="D140" s="38">
        <v>0.95534600000000003</v>
      </c>
      <c r="E140" s="38">
        <v>0.93065399999999998</v>
      </c>
      <c r="F140" s="38">
        <v>0.93770299999999995</v>
      </c>
      <c r="G140" s="38">
        <v>0.93496900000000005</v>
      </c>
      <c r="H140" s="38">
        <v>0.93053200000000003</v>
      </c>
      <c r="I140" s="38">
        <v>0.927759</v>
      </c>
      <c r="J140" s="38">
        <v>0.92433500000000002</v>
      </c>
      <c r="K140" s="38">
        <v>0.92207099999999997</v>
      </c>
      <c r="L140" s="38">
        <v>0.92041399999999995</v>
      </c>
      <c r="M140" s="38">
        <v>0.91730299999999998</v>
      </c>
      <c r="N140" s="38">
        <v>0.91283999999999998</v>
      </c>
      <c r="O140" s="38">
        <v>0.91242400000000001</v>
      </c>
      <c r="P140" s="38">
        <v>0.90846099999999996</v>
      </c>
      <c r="Q140" s="38">
        <v>0.90247699999999997</v>
      </c>
      <c r="R140" s="38">
        <v>0.89813399999999999</v>
      </c>
      <c r="S140" s="38">
        <v>0.89237900000000003</v>
      </c>
      <c r="T140" s="38">
        <v>0.88860399999999995</v>
      </c>
      <c r="U140" s="38">
        <v>0.885683</v>
      </c>
      <c r="V140" s="38">
        <v>0.88048599999999999</v>
      </c>
      <c r="W140" s="38">
        <v>0.87475099999999995</v>
      </c>
      <c r="X140" s="38">
        <v>0.86871799999999999</v>
      </c>
      <c r="Y140" s="38">
        <v>0.86392000000000002</v>
      </c>
      <c r="Z140" s="38">
        <v>0.86001300000000003</v>
      </c>
      <c r="AA140" s="38">
        <v>0.85494899999999996</v>
      </c>
      <c r="AB140" s="38">
        <v>0.85098799999999997</v>
      </c>
      <c r="AC140" s="38">
        <v>0.84492100000000003</v>
      </c>
      <c r="AD140" s="38">
        <v>0.84031199999999995</v>
      </c>
      <c r="AE140" s="38">
        <v>0.835866</v>
      </c>
      <c r="AF140" s="35">
        <v>-4.7739999999999996E-3</v>
      </c>
      <c r="AG140" s="29"/>
    </row>
    <row r="141" spans="1:33" ht="12" customHeight="1">
      <c r="A141" s="34" t="s">
        <v>2439</v>
      </c>
      <c r="B141" s="37" t="s">
        <v>2316</v>
      </c>
      <c r="C141" s="38">
        <v>0.80186800000000003</v>
      </c>
      <c r="D141" s="38">
        <v>0.76951800000000004</v>
      </c>
      <c r="E141" s="38">
        <v>0.75902199999999997</v>
      </c>
      <c r="F141" s="38">
        <v>0.76410999999999996</v>
      </c>
      <c r="G141" s="38">
        <v>0.77210599999999996</v>
      </c>
      <c r="H141" s="38">
        <v>0.77424599999999999</v>
      </c>
      <c r="I141" s="38">
        <v>0.77356199999999997</v>
      </c>
      <c r="J141" s="38">
        <v>0.76840699999999995</v>
      </c>
      <c r="K141" s="38">
        <v>0.76309099999999996</v>
      </c>
      <c r="L141" s="38">
        <v>0.75629500000000005</v>
      </c>
      <c r="M141" s="38">
        <v>0.748552</v>
      </c>
      <c r="N141" s="38">
        <v>0.74142399999999997</v>
      </c>
      <c r="O141" s="38">
        <v>0.73653900000000005</v>
      </c>
      <c r="P141" s="38">
        <v>0.731769</v>
      </c>
      <c r="Q141" s="38">
        <v>0.72835300000000003</v>
      </c>
      <c r="R141" s="38">
        <v>0.72387500000000005</v>
      </c>
      <c r="S141" s="38">
        <v>0.71895100000000001</v>
      </c>
      <c r="T141" s="38">
        <v>0.71675</v>
      </c>
      <c r="U141" s="38">
        <v>0.71228000000000002</v>
      </c>
      <c r="V141" s="38">
        <v>0.70782299999999998</v>
      </c>
      <c r="W141" s="38">
        <v>0.70397299999999996</v>
      </c>
      <c r="X141" s="38">
        <v>0.70106199999999996</v>
      </c>
      <c r="Y141" s="38">
        <v>0.69821299999999997</v>
      </c>
      <c r="Z141" s="38">
        <v>0.69555900000000004</v>
      </c>
      <c r="AA141" s="38">
        <v>0.68918199999999996</v>
      </c>
      <c r="AB141" s="38">
        <v>0.68704500000000002</v>
      </c>
      <c r="AC141" s="38">
        <v>0.68603899999999995</v>
      </c>
      <c r="AD141" s="38">
        <v>0.68493000000000004</v>
      </c>
      <c r="AE141" s="38">
        <v>0.683222</v>
      </c>
      <c r="AF141" s="35">
        <v>-5.7019999999999996E-3</v>
      </c>
      <c r="AG141" s="29"/>
    </row>
    <row r="142" spans="1:33" ht="12" customHeight="1">
      <c r="A142" s="34" t="s">
        <v>2440</v>
      </c>
      <c r="B142" s="37" t="s">
        <v>2441</v>
      </c>
      <c r="C142" s="38">
        <v>0.13925799999999999</v>
      </c>
      <c r="D142" s="38">
        <v>0.13902600000000001</v>
      </c>
      <c r="E142" s="38">
        <v>0.139379</v>
      </c>
      <c r="F142" s="38">
        <v>0.140569</v>
      </c>
      <c r="G142" s="38">
        <v>0.142373</v>
      </c>
      <c r="H142" s="38">
        <v>0.14290700000000001</v>
      </c>
      <c r="I142" s="38">
        <v>0.14396300000000001</v>
      </c>
      <c r="J142" s="38">
        <v>0.14461299999999999</v>
      </c>
      <c r="K142" s="38">
        <v>0.14554800000000001</v>
      </c>
      <c r="L142" s="38">
        <v>0.14577000000000001</v>
      </c>
      <c r="M142" s="38">
        <v>0.14638399999999999</v>
      </c>
      <c r="N142" s="38">
        <v>0.14576700000000001</v>
      </c>
      <c r="O142" s="38">
        <v>0.14668100000000001</v>
      </c>
      <c r="P142" s="38">
        <v>0.14612700000000001</v>
      </c>
      <c r="Q142" s="38">
        <v>0.145454</v>
      </c>
      <c r="R142" s="38">
        <v>0.14483299999999999</v>
      </c>
      <c r="S142" s="38">
        <v>0.14413000000000001</v>
      </c>
      <c r="T142" s="38">
        <v>0.14321700000000001</v>
      </c>
      <c r="U142" s="38">
        <v>0.14204800000000001</v>
      </c>
      <c r="V142" s="38">
        <v>0.14119000000000001</v>
      </c>
      <c r="W142" s="38">
        <v>0.139764</v>
      </c>
      <c r="X142" s="38">
        <v>0.13828399999999999</v>
      </c>
      <c r="Y142" s="38">
        <v>0.136769</v>
      </c>
      <c r="Z142" s="38">
        <v>0.13522000000000001</v>
      </c>
      <c r="AA142" s="38">
        <v>0.13191800000000001</v>
      </c>
      <c r="AB142" s="38">
        <v>0.13094900000000001</v>
      </c>
      <c r="AC142" s="38">
        <v>0.13004299999999999</v>
      </c>
      <c r="AD142" s="38">
        <v>0.129048</v>
      </c>
      <c r="AE142" s="38">
        <v>0.12822800000000001</v>
      </c>
      <c r="AF142" s="35">
        <v>-2.9429999999999999E-3</v>
      </c>
      <c r="AG142" s="29"/>
    </row>
    <row r="143" spans="1:33" ht="12" customHeight="1">
      <c r="A143" s="34" t="s">
        <v>2442</v>
      </c>
      <c r="B143" s="37" t="s">
        <v>2114</v>
      </c>
      <c r="C143" s="38">
        <v>0</v>
      </c>
      <c r="D143" s="38">
        <v>0</v>
      </c>
      <c r="E143" s="38">
        <v>0</v>
      </c>
      <c r="F143" s="38">
        <v>0</v>
      </c>
      <c r="G143" s="38">
        <v>0</v>
      </c>
      <c r="H143" s="38">
        <v>0</v>
      </c>
      <c r="I143" s="38">
        <v>0</v>
      </c>
      <c r="J143" s="38">
        <v>0</v>
      </c>
      <c r="K143" s="38">
        <v>0</v>
      </c>
      <c r="L143" s="38">
        <v>0</v>
      </c>
      <c r="M143" s="38">
        <v>0</v>
      </c>
      <c r="N143" s="38">
        <v>0</v>
      </c>
      <c r="O143" s="38">
        <v>0</v>
      </c>
      <c r="P143" s="38">
        <v>0</v>
      </c>
      <c r="Q143" s="38">
        <v>0</v>
      </c>
      <c r="R143" s="38">
        <v>0</v>
      </c>
      <c r="S143" s="38">
        <v>0</v>
      </c>
      <c r="T143" s="38">
        <v>0</v>
      </c>
      <c r="U143" s="38">
        <v>0</v>
      </c>
      <c r="V143" s="38">
        <v>0</v>
      </c>
      <c r="W143" s="38">
        <v>0</v>
      </c>
      <c r="X143" s="38">
        <v>0</v>
      </c>
      <c r="Y143" s="38">
        <v>0</v>
      </c>
      <c r="Z143" s="38">
        <v>0</v>
      </c>
      <c r="AA143" s="38">
        <v>0</v>
      </c>
      <c r="AB143" s="38">
        <v>0</v>
      </c>
      <c r="AC143" s="38">
        <v>0</v>
      </c>
      <c r="AD143" s="38">
        <v>0</v>
      </c>
      <c r="AE143" s="38">
        <v>0</v>
      </c>
      <c r="AF143" s="35" t="s">
        <v>1278</v>
      </c>
      <c r="AG143" s="29"/>
    </row>
    <row r="144" spans="1:33" ht="12" customHeight="1">
      <c r="A144" s="34" t="s">
        <v>2443</v>
      </c>
      <c r="B144" s="37" t="s">
        <v>2365</v>
      </c>
      <c r="C144" s="38">
        <v>0.219439</v>
      </c>
      <c r="D144" s="38">
        <v>0.22293299999999999</v>
      </c>
      <c r="E144" s="38">
        <v>0.221524</v>
      </c>
      <c r="F144" s="38">
        <v>0.22031899999999999</v>
      </c>
      <c r="G144" s="38">
        <v>0.22023400000000001</v>
      </c>
      <c r="H144" s="38">
        <v>0.21740899999999999</v>
      </c>
      <c r="I144" s="38">
        <v>0.21813199999999999</v>
      </c>
      <c r="J144" s="38">
        <v>0.216256</v>
      </c>
      <c r="K144" s="38">
        <v>0.215528</v>
      </c>
      <c r="L144" s="38">
        <v>0.21487100000000001</v>
      </c>
      <c r="M144" s="38">
        <v>0.215147</v>
      </c>
      <c r="N144" s="38">
        <v>0.21448900000000001</v>
      </c>
      <c r="O144" s="38">
        <v>0.21396599999999999</v>
      </c>
      <c r="P144" s="38">
        <v>0.212591</v>
      </c>
      <c r="Q144" s="38">
        <v>0.21288699999999999</v>
      </c>
      <c r="R144" s="38">
        <v>0.21201999999999999</v>
      </c>
      <c r="S144" s="38">
        <v>0.21030299999999999</v>
      </c>
      <c r="T144" s="38">
        <v>0.20972499999999999</v>
      </c>
      <c r="U144" s="38">
        <v>0.20696600000000001</v>
      </c>
      <c r="V144" s="38">
        <v>0.20428099999999999</v>
      </c>
      <c r="W144" s="38">
        <v>0.20308899999999999</v>
      </c>
      <c r="X144" s="38">
        <v>0.202074</v>
      </c>
      <c r="Y144" s="38">
        <v>0.201934</v>
      </c>
      <c r="Z144" s="38">
        <v>0.200519</v>
      </c>
      <c r="AA144" s="38">
        <v>0.198964</v>
      </c>
      <c r="AB144" s="38">
        <v>0.19664899999999999</v>
      </c>
      <c r="AC144" s="38">
        <v>0.19683899999999999</v>
      </c>
      <c r="AD144" s="38">
        <v>0.19591900000000001</v>
      </c>
      <c r="AE144" s="38">
        <v>0.19376399999999999</v>
      </c>
      <c r="AF144" s="35">
        <v>-4.4339999999999996E-3</v>
      </c>
      <c r="AG144" s="29"/>
    </row>
    <row r="145" spans="1:33" ht="12" customHeight="1">
      <c r="A145" s="34" t="s">
        <v>2444</v>
      </c>
      <c r="B145" s="37" t="s">
        <v>2118</v>
      </c>
      <c r="C145" s="38">
        <v>1.1605650000000001</v>
      </c>
      <c r="D145" s="38">
        <v>1.1314770000000001</v>
      </c>
      <c r="E145" s="38">
        <v>1.1199250000000001</v>
      </c>
      <c r="F145" s="38">
        <v>1.1249990000000001</v>
      </c>
      <c r="G145" s="38">
        <v>1.1347130000000001</v>
      </c>
      <c r="H145" s="38">
        <v>1.1345620000000001</v>
      </c>
      <c r="I145" s="38">
        <v>1.1356580000000001</v>
      </c>
      <c r="J145" s="38">
        <v>1.1292759999999999</v>
      </c>
      <c r="K145" s="38">
        <v>1.124166</v>
      </c>
      <c r="L145" s="38">
        <v>1.1169359999999999</v>
      </c>
      <c r="M145" s="38">
        <v>1.1100829999999999</v>
      </c>
      <c r="N145" s="38">
        <v>1.10168</v>
      </c>
      <c r="O145" s="38">
        <v>1.0971869999999999</v>
      </c>
      <c r="P145" s="38">
        <v>1.090487</v>
      </c>
      <c r="Q145" s="38">
        <v>1.086694</v>
      </c>
      <c r="R145" s="38">
        <v>1.0807279999999999</v>
      </c>
      <c r="S145" s="38">
        <v>1.073385</v>
      </c>
      <c r="T145" s="38">
        <v>1.0696920000000001</v>
      </c>
      <c r="U145" s="38">
        <v>1.061294</v>
      </c>
      <c r="V145" s="38">
        <v>1.053294</v>
      </c>
      <c r="W145" s="38">
        <v>1.046826</v>
      </c>
      <c r="X145" s="38">
        <v>1.0414190000000001</v>
      </c>
      <c r="Y145" s="38">
        <v>1.0369159999999999</v>
      </c>
      <c r="Z145" s="38">
        <v>1.031298</v>
      </c>
      <c r="AA145" s="38">
        <v>1.0200640000000001</v>
      </c>
      <c r="AB145" s="38">
        <v>1.014643</v>
      </c>
      <c r="AC145" s="38">
        <v>1.012921</v>
      </c>
      <c r="AD145" s="38">
        <v>1.009897</v>
      </c>
      <c r="AE145" s="38">
        <v>1.0052140000000001</v>
      </c>
      <c r="AF145" s="35">
        <v>-5.1190000000000003E-3</v>
      </c>
      <c r="AG145" s="29"/>
    </row>
    <row r="146" spans="1:33" ht="12" customHeight="1">
      <c r="A146" s="34" t="s">
        <v>2445</v>
      </c>
      <c r="B146" s="37" t="s">
        <v>2446</v>
      </c>
      <c r="C146" s="38">
        <v>4.1539E-2</v>
      </c>
      <c r="D146" s="38">
        <v>4.3432999999999999E-2</v>
      </c>
      <c r="E146" s="38">
        <v>4.5094000000000002E-2</v>
      </c>
      <c r="F146" s="38">
        <v>4.4449000000000002E-2</v>
      </c>
      <c r="G146" s="38">
        <v>4.4309000000000001E-2</v>
      </c>
      <c r="H146" s="38">
        <v>4.3963000000000002E-2</v>
      </c>
      <c r="I146" s="38">
        <v>4.3468E-2</v>
      </c>
      <c r="J146" s="38">
        <v>4.3007999999999998E-2</v>
      </c>
      <c r="K146" s="38">
        <v>4.2199E-2</v>
      </c>
      <c r="L146" s="38">
        <v>4.1509999999999998E-2</v>
      </c>
      <c r="M146" s="38">
        <v>4.1152000000000001E-2</v>
      </c>
      <c r="N146" s="38">
        <v>4.0321000000000003E-2</v>
      </c>
      <c r="O146" s="38">
        <v>3.9601999999999998E-2</v>
      </c>
      <c r="P146" s="38">
        <v>3.8952000000000001E-2</v>
      </c>
      <c r="Q146" s="38">
        <v>3.8288999999999997E-2</v>
      </c>
      <c r="R146" s="38">
        <v>3.7749999999999999E-2</v>
      </c>
      <c r="S146" s="38">
        <v>3.6802000000000001E-2</v>
      </c>
      <c r="T146" s="38">
        <v>3.5695999999999999E-2</v>
      </c>
      <c r="U146" s="38">
        <v>3.4807999999999999E-2</v>
      </c>
      <c r="V146" s="38">
        <v>3.4158000000000001E-2</v>
      </c>
      <c r="W146" s="38">
        <v>3.3682999999999998E-2</v>
      </c>
      <c r="X146" s="38">
        <v>3.3093999999999998E-2</v>
      </c>
      <c r="Y146" s="38">
        <v>3.2460999999999997E-2</v>
      </c>
      <c r="Z146" s="38">
        <v>3.1788999999999998E-2</v>
      </c>
      <c r="AA146" s="38">
        <v>3.117E-2</v>
      </c>
      <c r="AB146" s="38">
        <v>3.0601E-2</v>
      </c>
      <c r="AC146" s="38">
        <v>2.9905999999999999E-2</v>
      </c>
      <c r="AD146" s="38">
        <v>2.938E-2</v>
      </c>
      <c r="AE146" s="38">
        <v>2.9005E-2</v>
      </c>
      <c r="AF146" s="35">
        <v>-1.2744E-2</v>
      </c>
      <c r="AG146" s="29"/>
    </row>
    <row r="147" spans="1:33" ht="12" customHeight="1">
      <c r="A147" s="34" t="s">
        <v>2447</v>
      </c>
      <c r="B147" s="37" t="s">
        <v>2122</v>
      </c>
      <c r="C147" s="38">
        <v>4.9737000000000003E-2</v>
      </c>
      <c r="D147" s="38">
        <v>4.4242999999999998E-2</v>
      </c>
      <c r="E147" s="38">
        <v>4.0724999999999997E-2</v>
      </c>
      <c r="F147" s="38">
        <v>3.9983999999999999E-2</v>
      </c>
      <c r="G147" s="38">
        <v>3.9385999999999997E-2</v>
      </c>
      <c r="H147" s="38">
        <v>3.8740999999999998E-2</v>
      </c>
      <c r="I147" s="38">
        <v>3.7989000000000002E-2</v>
      </c>
      <c r="J147" s="38">
        <v>3.6811999999999998E-2</v>
      </c>
      <c r="K147" s="38">
        <v>3.5685000000000001E-2</v>
      </c>
      <c r="L147" s="38">
        <v>3.4623000000000001E-2</v>
      </c>
      <c r="M147" s="38">
        <v>3.3461999999999999E-2</v>
      </c>
      <c r="N147" s="38">
        <v>3.2280999999999997E-2</v>
      </c>
      <c r="O147" s="38">
        <v>3.1158000000000002E-2</v>
      </c>
      <c r="P147" s="38">
        <v>3.0061000000000001E-2</v>
      </c>
      <c r="Q147" s="38">
        <v>2.8906999999999999E-2</v>
      </c>
      <c r="R147" s="38">
        <v>2.7786999999999999E-2</v>
      </c>
      <c r="S147" s="38">
        <v>2.6733E-2</v>
      </c>
      <c r="T147" s="38">
        <v>2.5838E-2</v>
      </c>
      <c r="U147" s="38">
        <v>2.5097000000000001E-2</v>
      </c>
      <c r="V147" s="38">
        <v>2.4341999999999999E-2</v>
      </c>
      <c r="W147" s="38">
        <v>2.3570000000000001E-2</v>
      </c>
      <c r="X147" s="38">
        <v>2.2773000000000002E-2</v>
      </c>
      <c r="Y147" s="38">
        <v>2.2008E-2</v>
      </c>
      <c r="Z147" s="38">
        <v>2.1357999999999999E-2</v>
      </c>
      <c r="AA147" s="38">
        <v>2.1236000000000001E-2</v>
      </c>
      <c r="AB147" s="38">
        <v>2.1212999999999999E-2</v>
      </c>
      <c r="AC147" s="38">
        <v>2.1519E-2</v>
      </c>
      <c r="AD147" s="38">
        <v>2.1201999999999999E-2</v>
      </c>
      <c r="AE147" s="38">
        <v>2.0565E-2</v>
      </c>
      <c r="AF147" s="35">
        <v>-3.1049E-2</v>
      </c>
      <c r="AG147" s="29"/>
    </row>
    <row r="148" spans="1:33" ht="12" customHeight="1">
      <c r="A148" s="34" t="s">
        <v>2448</v>
      </c>
      <c r="B148" s="37" t="s">
        <v>2124</v>
      </c>
      <c r="C148" s="38">
        <v>0</v>
      </c>
      <c r="D148" s="38">
        <v>0</v>
      </c>
      <c r="E148" s="38">
        <v>0</v>
      </c>
      <c r="F148" s="38">
        <v>0</v>
      </c>
      <c r="G148" s="38">
        <v>0</v>
      </c>
      <c r="H148" s="38">
        <v>0</v>
      </c>
      <c r="I148" s="38">
        <v>0</v>
      </c>
      <c r="J148" s="38">
        <v>0</v>
      </c>
      <c r="K148" s="38">
        <v>0</v>
      </c>
      <c r="L148" s="38">
        <v>0</v>
      </c>
      <c r="M148" s="38">
        <v>0</v>
      </c>
      <c r="N148" s="38">
        <v>0</v>
      </c>
      <c r="O148" s="38">
        <v>0</v>
      </c>
      <c r="P148" s="38">
        <v>0</v>
      </c>
      <c r="Q148" s="38">
        <v>0</v>
      </c>
      <c r="R148" s="38">
        <v>0</v>
      </c>
      <c r="S148" s="38">
        <v>0</v>
      </c>
      <c r="T148" s="38">
        <v>0</v>
      </c>
      <c r="U148" s="38">
        <v>0</v>
      </c>
      <c r="V148" s="38">
        <v>0</v>
      </c>
      <c r="W148" s="38">
        <v>0</v>
      </c>
      <c r="X148" s="38">
        <v>0</v>
      </c>
      <c r="Y148" s="38">
        <v>0</v>
      </c>
      <c r="Z148" s="38">
        <v>0</v>
      </c>
      <c r="AA148" s="38">
        <v>0</v>
      </c>
      <c r="AB148" s="38">
        <v>0</v>
      </c>
      <c r="AC148" s="38">
        <v>0</v>
      </c>
      <c r="AD148" s="38">
        <v>0</v>
      </c>
      <c r="AE148" s="38">
        <v>0</v>
      </c>
      <c r="AF148" s="35" t="s">
        <v>1278</v>
      </c>
      <c r="AG148" s="29"/>
    </row>
    <row r="149" spans="1:33" ht="12" customHeight="1">
      <c r="A149" s="34" t="s">
        <v>2449</v>
      </c>
      <c r="B149" s="37" t="s">
        <v>2128</v>
      </c>
      <c r="C149" s="38">
        <v>9.1274999999999995E-2</v>
      </c>
      <c r="D149" s="38">
        <v>8.7676000000000004E-2</v>
      </c>
      <c r="E149" s="38">
        <v>8.5819000000000006E-2</v>
      </c>
      <c r="F149" s="38">
        <v>8.4432999999999994E-2</v>
      </c>
      <c r="G149" s="38">
        <v>8.3694000000000005E-2</v>
      </c>
      <c r="H149" s="38">
        <v>8.2702999999999999E-2</v>
      </c>
      <c r="I149" s="38">
        <v>8.1457000000000002E-2</v>
      </c>
      <c r="J149" s="38">
        <v>7.9820000000000002E-2</v>
      </c>
      <c r="K149" s="38">
        <v>7.7884999999999996E-2</v>
      </c>
      <c r="L149" s="38">
        <v>7.6133000000000006E-2</v>
      </c>
      <c r="M149" s="38">
        <v>7.4614E-2</v>
      </c>
      <c r="N149" s="38">
        <v>7.2602E-2</v>
      </c>
      <c r="O149" s="38">
        <v>7.0760000000000003E-2</v>
      </c>
      <c r="P149" s="38">
        <v>6.9012000000000004E-2</v>
      </c>
      <c r="Q149" s="38">
        <v>6.7196000000000006E-2</v>
      </c>
      <c r="R149" s="38">
        <v>6.5536999999999998E-2</v>
      </c>
      <c r="S149" s="38">
        <v>6.3534999999999994E-2</v>
      </c>
      <c r="T149" s="38">
        <v>6.1533999999999998E-2</v>
      </c>
      <c r="U149" s="38">
        <v>5.9905E-2</v>
      </c>
      <c r="V149" s="38">
        <v>5.8500000000000003E-2</v>
      </c>
      <c r="W149" s="38">
        <v>5.7252999999999998E-2</v>
      </c>
      <c r="X149" s="38">
        <v>5.5868000000000001E-2</v>
      </c>
      <c r="Y149" s="38">
        <v>5.4468999999999997E-2</v>
      </c>
      <c r="Z149" s="38">
        <v>5.3147E-2</v>
      </c>
      <c r="AA149" s="38">
        <v>5.2406000000000001E-2</v>
      </c>
      <c r="AB149" s="38">
        <v>5.1813999999999999E-2</v>
      </c>
      <c r="AC149" s="38">
        <v>5.1424999999999998E-2</v>
      </c>
      <c r="AD149" s="38">
        <v>5.0583000000000003E-2</v>
      </c>
      <c r="AE149" s="38">
        <v>4.9570000000000003E-2</v>
      </c>
      <c r="AF149" s="35">
        <v>-2.1566999999999999E-2</v>
      </c>
      <c r="AG149" s="29"/>
    </row>
    <row r="150" spans="1:33" ht="15" customHeight="1">
      <c r="A150" s="34" t="s">
        <v>2450</v>
      </c>
      <c r="B150" s="37" t="s">
        <v>2130</v>
      </c>
      <c r="C150" s="38">
        <v>9.7887000000000002E-2</v>
      </c>
      <c r="D150" s="38">
        <v>0.104882</v>
      </c>
      <c r="E150" s="38">
        <v>9.6880999999999995E-2</v>
      </c>
      <c r="F150" s="38">
        <v>9.5542000000000002E-2</v>
      </c>
      <c r="G150" s="38">
        <v>9.3991000000000005E-2</v>
      </c>
      <c r="H150" s="38">
        <v>9.2655000000000001E-2</v>
      </c>
      <c r="I150" s="38">
        <v>9.1885999999999995E-2</v>
      </c>
      <c r="J150" s="38">
        <v>9.0534000000000003E-2</v>
      </c>
      <c r="K150" s="38">
        <v>8.9303999999999994E-2</v>
      </c>
      <c r="L150" s="38">
        <v>8.8160000000000002E-2</v>
      </c>
      <c r="M150" s="38">
        <v>8.6735000000000007E-2</v>
      </c>
      <c r="N150" s="38">
        <v>8.5658999999999999E-2</v>
      </c>
      <c r="O150" s="38">
        <v>8.4778000000000006E-2</v>
      </c>
      <c r="P150" s="38">
        <v>8.4496000000000002E-2</v>
      </c>
      <c r="Q150" s="38">
        <v>8.3490999999999996E-2</v>
      </c>
      <c r="R150" s="38">
        <v>8.2580000000000001E-2</v>
      </c>
      <c r="S150" s="38">
        <v>8.1725000000000006E-2</v>
      </c>
      <c r="T150" s="38">
        <v>8.1002000000000005E-2</v>
      </c>
      <c r="U150" s="38">
        <v>8.0336000000000005E-2</v>
      </c>
      <c r="V150" s="38">
        <v>8.0331E-2</v>
      </c>
      <c r="W150" s="38">
        <v>7.9788999999999999E-2</v>
      </c>
      <c r="X150" s="38">
        <v>7.9365000000000005E-2</v>
      </c>
      <c r="Y150" s="38">
        <v>7.8535999999999995E-2</v>
      </c>
      <c r="Z150" s="38">
        <v>7.8268000000000004E-2</v>
      </c>
      <c r="AA150" s="38">
        <v>7.8179999999999999E-2</v>
      </c>
      <c r="AB150" s="38">
        <v>7.8171000000000004E-2</v>
      </c>
      <c r="AC150" s="38">
        <v>7.9015000000000002E-2</v>
      </c>
      <c r="AD150" s="38">
        <v>7.8886999999999999E-2</v>
      </c>
      <c r="AE150" s="38">
        <v>7.8242000000000006E-2</v>
      </c>
      <c r="AF150" s="35">
        <v>-7.9679999999999994E-3</v>
      </c>
      <c r="AG150" s="29"/>
    </row>
    <row r="151" spans="1:33" ht="15" customHeight="1">
      <c r="A151" s="34" t="s">
        <v>2451</v>
      </c>
      <c r="B151" s="37" t="s">
        <v>2452</v>
      </c>
      <c r="C151" s="38">
        <v>0.16001499999999999</v>
      </c>
      <c r="D151" s="38">
        <v>0.16764000000000001</v>
      </c>
      <c r="E151" s="38">
        <v>0.16433800000000001</v>
      </c>
      <c r="F151" s="38">
        <v>0.16358300000000001</v>
      </c>
      <c r="G151" s="38">
        <v>0.161747</v>
      </c>
      <c r="H151" s="38">
        <v>0.16048399999999999</v>
      </c>
      <c r="I151" s="38">
        <v>0.159882</v>
      </c>
      <c r="J151" s="38">
        <v>0.15920400000000001</v>
      </c>
      <c r="K151" s="38">
        <v>0.15854299999999999</v>
      </c>
      <c r="L151" s="38">
        <v>0.15812699999999999</v>
      </c>
      <c r="M151" s="38">
        <v>0.157494</v>
      </c>
      <c r="N151" s="38">
        <v>0.15695999999999999</v>
      </c>
      <c r="O151" s="38">
        <v>0.156638</v>
      </c>
      <c r="P151" s="38">
        <v>0.155941</v>
      </c>
      <c r="Q151" s="38">
        <v>0.15465899999999999</v>
      </c>
      <c r="R151" s="38">
        <v>0.153639</v>
      </c>
      <c r="S151" s="38">
        <v>0.15243699999999999</v>
      </c>
      <c r="T151" s="38">
        <v>0.151557</v>
      </c>
      <c r="U151" s="38">
        <v>0.15068899999999999</v>
      </c>
      <c r="V151" s="38">
        <v>0.14968600000000001</v>
      </c>
      <c r="W151" s="38">
        <v>0.14876300000000001</v>
      </c>
      <c r="X151" s="38">
        <v>0.147758</v>
      </c>
      <c r="Y151" s="38">
        <v>0.14660899999999999</v>
      </c>
      <c r="Z151" s="38">
        <v>0.14532800000000001</v>
      </c>
      <c r="AA151" s="38">
        <v>0.144122</v>
      </c>
      <c r="AB151" s="38">
        <v>0.143236</v>
      </c>
      <c r="AC151" s="38">
        <v>0.142121</v>
      </c>
      <c r="AD151" s="38">
        <v>0.141207</v>
      </c>
      <c r="AE151" s="38">
        <v>0.14038500000000001</v>
      </c>
      <c r="AF151" s="35">
        <v>-4.6629999999999996E-3</v>
      </c>
      <c r="AG151" s="29"/>
    </row>
    <row r="152" spans="1:33" ht="15" customHeight="1">
      <c r="A152" s="34" t="s">
        <v>2453</v>
      </c>
      <c r="B152" s="37" t="s">
        <v>2074</v>
      </c>
      <c r="C152" s="38">
        <v>0.36882300000000001</v>
      </c>
      <c r="D152" s="38">
        <v>0.36965599999999998</v>
      </c>
      <c r="E152" s="38">
        <v>0.36698900000000001</v>
      </c>
      <c r="F152" s="38">
        <v>0.36581999999999998</v>
      </c>
      <c r="G152" s="38">
        <v>0.36483500000000002</v>
      </c>
      <c r="H152" s="38">
        <v>0.36344300000000002</v>
      </c>
      <c r="I152" s="38">
        <v>0.36189900000000003</v>
      </c>
      <c r="J152" s="38">
        <v>0.35973899999999998</v>
      </c>
      <c r="K152" s="38">
        <v>0.35744500000000001</v>
      </c>
      <c r="L152" s="38">
        <v>0.35512500000000002</v>
      </c>
      <c r="M152" s="38">
        <v>0.35290500000000002</v>
      </c>
      <c r="N152" s="38">
        <v>0.35005999999999998</v>
      </c>
      <c r="O152" s="38">
        <v>0.34848099999999999</v>
      </c>
      <c r="P152" s="38">
        <v>0.34692000000000001</v>
      </c>
      <c r="Q152" s="38">
        <v>0.34458299999999997</v>
      </c>
      <c r="R152" s="38">
        <v>0.34243099999999999</v>
      </c>
      <c r="S152" s="38">
        <v>0.34020299999999998</v>
      </c>
      <c r="T152" s="38">
        <v>0.33780300000000002</v>
      </c>
      <c r="U152" s="38">
        <v>0.33552900000000002</v>
      </c>
      <c r="V152" s="38">
        <v>0.33328099999999999</v>
      </c>
      <c r="W152" s="38">
        <v>0.33117400000000002</v>
      </c>
      <c r="X152" s="38">
        <v>0.32895099999999999</v>
      </c>
      <c r="Y152" s="38">
        <v>0.32670300000000002</v>
      </c>
      <c r="Z152" s="38">
        <v>0.32483800000000002</v>
      </c>
      <c r="AA152" s="38">
        <v>0.32411299999999998</v>
      </c>
      <c r="AB152" s="38">
        <v>0.32235399999999997</v>
      </c>
      <c r="AC152" s="38">
        <v>0.32035200000000003</v>
      </c>
      <c r="AD152" s="38">
        <v>0.318519</v>
      </c>
      <c r="AE152" s="38">
        <v>0.316915</v>
      </c>
      <c r="AF152" s="35">
        <v>-5.4029999999999998E-3</v>
      </c>
      <c r="AG152" s="29"/>
    </row>
    <row r="153" spans="1:33" ht="15" customHeight="1">
      <c r="A153" s="34" t="s">
        <v>2454</v>
      </c>
      <c r="B153" s="33" t="s">
        <v>2076</v>
      </c>
      <c r="C153" s="39">
        <v>2.8342770000000002</v>
      </c>
      <c r="D153" s="39">
        <v>2.8166769999999999</v>
      </c>
      <c r="E153" s="39">
        <v>2.7646060000000001</v>
      </c>
      <c r="F153" s="39">
        <v>2.7720799999999999</v>
      </c>
      <c r="G153" s="39">
        <v>2.7739479999999999</v>
      </c>
      <c r="H153" s="39">
        <v>2.7643800000000001</v>
      </c>
      <c r="I153" s="39">
        <v>2.75854</v>
      </c>
      <c r="J153" s="39">
        <v>2.7429079999999999</v>
      </c>
      <c r="K153" s="39">
        <v>2.7294139999999998</v>
      </c>
      <c r="L153" s="39">
        <v>2.714896</v>
      </c>
      <c r="M153" s="39">
        <v>2.6991329999999998</v>
      </c>
      <c r="N153" s="39">
        <v>2.6798009999999999</v>
      </c>
      <c r="O153" s="39">
        <v>2.6702689999999998</v>
      </c>
      <c r="P153" s="39">
        <v>2.6553179999999998</v>
      </c>
      <c r="Q153" s="39">
        <v>2.6391010000000001</v>
      </c>
      <c r="R153" s="39">
        <v>2.623049</v>
      </c>
      <c r="S153" s="39">
        <v>2.6036640000000002</v>
      </c>
      <c r="T153" s="39">
        <v>2.5901909999999999</v>
      </c>
      <c r="U153" s="39">
        <v>2.5734349999999999</v>
      </c>
      <c r="V153" s="39">
        <v>2.5555780000000001</v>
      </c>
      <c r="W153" s="39">
        <v>2.5385559999999998</v>
      </c>
      <c r="X153" s="39">
        <v>2.522078</v>
      </c>
      <c r="Y153" s="39">
        <v>2.5071530000000002</v>
      </c>
      <c r="Z153" s="39">
        <v>2.492893</v>
      </c>
      <c r="AA153" s="39">
        <v>2.4738349999999998</v>
      </c>
      <c r="AB153" s="39">
        <v>2.4612069999999999</v>
      </c>
      <c r="AC153" s="39">
        <v>2.4507560000000002</v>
      </c>
      <c r="AD153" s="39">
        <v>2.4394040000000001</v>
      </c>
      <c r="AE153" s="39">
        <v>2.4261919999999999</v>
      </c>
      <c r="AF153" s="31">
        <v>-5.5370000000000003E-3</v>
      </c>
      <c r="AG153" s="29"/>
    </row>
    <row r="154" spans="1:33" ht="15" customHeight="1">
      <c r="A154" s="34" t="s">
        <v>2455</v>
      </c>
      <c r="B154" s="37" t="s">
        <v>2078</v>
      </c>
      <c r="C154" s="38">
        <v>0.67580200000000001</v>
      </c>
      <c r="D154" s="38">
        <v>0.663744</v>
      </c>
      <c r="E154" s="38">
        <v>0.66138399999999997</v>
      </c>
      <c r="F154" s="38">
        <v>0.65807499999999997</v>
      </c>
      <c r="G154" s="38">
        <v>0.65008999999999995</v>
      </c>
      <c r="H154" s="38">
        <v>0.64076999999999995</v>
      </c>
      <c r="I154" s="38">
        <v>0.63046400000000002</v>
      </c>
      <c r="J154" s="38">
        <v>0.62032600000000004</v>
      </c>
      <c r="K154" s="38">
        <v>0.61202000000000001</v>
      </c>
      <c r="L154" s="38">
        <v>0.60738199999999998</v>
      </c>
      <c r="M154" s="38">
        <v>0.60574099999999997</v>
      </c>
      <c r="N154" s="38">
        <v>0.60039200000000004</v>
      </c>
      <c r="O154" s="38">
        <v>0.59992000000000001</v>
      </c>
      <c r="P154" s="38">
        <v>0.59776300000000004</v>
      </c>
      <c r="Q154" s="38">
        <v>0.594051</v>
      </c>
      <c r="R154" s="38">
        <v>0.58840599999999998</v>
      </c>
      <c r="S154" s="38">
        <v>0.58089199999999996</v>
      </c>
      <c r="T154" s="38">
        <v>0.57286599999999999</v>
      </c>
      <c r="U154" s="38">
        <v>0.56659400000000004</v>
      </c>
      <c r="V154" s="38">
        <v>0.56139399999999995</v>
      </c>
      <c r="W154" s="38">
        <v>0.558527</v>
      </c>
      <c r="X154" s="38">
        <v>0.55449700000000002</v>
      </c>
      <c r="Y154" s="38">
        <v>0.55086500000000005</v>
      </c>
      <c r="Z154" s="38">
        <v>0.54844899999999996</v>
      </c>
      <c r="AA154" s="38">
        <v>0.54568099999999997</v>
      </c>
      <c r="AB154" s="38">
        <v>0.54188499999999995</v>
      </c>
      <c r="AC154" s="38">
        <v>0.53790499999999997</v>
      </c>
      <c r="AD154" s="38">
        <v>0.53342699999999998</v>
      </c>
      <c r="AE154" s="38">
        <v>0.52990000000000004</v>
      </c>
      <c r="AF154" s="35">
        <v>-8.6490000000000004E-3</v>
      </c>
      <c r="AG154" s="29"/>
    </row>
    <row r="155" spans="1:33" ht="15" customHeight="1">
      <c r="A155" s="34" t="s">
        <v>2456</v>
      </c>
      <c r="B155" s="33" t="s">
        <v>2080</v>
      </c>
      <c r="C155" s="39">
        <v>3.5100790000000002</v>
      </c>
      <c r="D155" s="39">
        <v>3.4804219999999999</v>
      </c>
      <c r="E155" s="39">
        <v>3.4259900000000001</v>
      </c>
      <c r="F155" s="39">
        <v>3.4301550000000001</v>
      </c>
      <c r="G155" s="39">
        <v>3.4240379999999999</v>
      </c>
      <c r="H155" s="39">
        <v>3.4051490000000002</v>
      </c>
      <c r="I155" s="39">
        <v>3.389005</v>
      </c>
      <c r="J155" s="39">
        <v>3.3632330000000001</v>
      </c>
      <c r="K155" s="39">
        <v>3.341434</v>
      </c>
      <c r="L155" s="39">
        <v>3.3222779999999998</v>
      </c>
      <c r="M155" s="39">
        <v>3.3048739999999999</v>
      </c>
      <c r="N155" s="39">
        <v>3.280192</v>
      </c>
      <c r="O155" s="39">
        <v>3.2701889999999998</v>
      </c>
      <c r="P155" s="39">
        <v>3.253082</v>
      </c>
      <c r="Q155" s="39">
        <v>3.2331509999999999</v>
      </c>
      <c r="R155" s="39">
        <v>3.2114560000000001</v>
      </c>
      <c r="S155" s="39">
        <v>3.1845560000000002</v>
      </c>
      <c r="T155" s="39">
        <v>3.1630579999999999</v>
      </c>
      <c r="U155" s="39">
        <v>3.1400290000000002</v>
      </c>
      <c r="V155" s="39">
        <v>3.1169720000000001</v>
      </c>
      <c r="W155" s="39">
        <v>3.097083</v>
      </c>
      <c r="X155" s="39">
        <v>3.0765750000000001</v>
      </c>
      <c r="Y155" s="39">
        <v>3.0580180000000001</v>
      </c>
      <c r="Z155" s="39">
        <v>3.0413420000000002</v>
      </c>
      <c r="AA155" s="39">
        <v>3.019517</v>
      </c>
      <c r="AB155" s="39">
        <v>3.0030920000000001</v>
      </c>
      <c r="AC155" s="39">
        <v>2.988661</v>
      </c>
      <c r="AD155" s="39">
        <v>2.9728300000000001</v>
      </c>
      <c r="AE155" s="39">
        <v>2.9560919999999999</v>
      </c>
      <c r="AF155" s="31">
        <v>-6.1159999999999999E-3</v>
      </c>
      <c r="AG155" s="29"/>
    </row>
    <row r="156" spans="1:33" ht="15" customHeight="1">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row>
    <row r="157" spans="1:33" ht="15" customHeight="1">
      <c r="B157" s="33" t="s">
        <v>2457</v>
      </c>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row>
    <row r="158" spans="1:33" ht="15" customHeight="1">
      <c r="A158" s="34" t="s">
        <v>2458</v>
      </c>
      <c r="B158" s="37" t="s">
        <v>2459</v>
      </c>
      <c r="C158" s="36">
        <v>28.352093</v>
      </c>
      <c r="D158" s="36">
        <v>28.423635000000001</v>
      </c>
      <c r="E158" s="36">
        <v>28.483540000000001</v>
      </c>
      <c r="F158" s="36">
        <v>28.622684</v>
      </c>
      <c r="G158" s="36">
        <v>28.938061000000001</v>
      </c>
      <c r="H158" s="36">
        <v>29.137899000000001</v>
      </c>
      <c r="I158" s="36">
        <v>29.334263</v>
      </c>
      <c r="J158" s="36">
        <v>29.520790000000002</v>
      </c>
      <c r="K158" s="36">
        <v>29.701962000000002</v>
      </c>
      <c r="L158" s="36">
        <v>29.906544</v>
      </c>
      <c r="M158" s="36">
        <v>30.128889000000001</v>
      </c>
      <c r="N158" s="36">
        <v>30.345645999999999</v>
      </c>
      <c r="O158" s="36">
        <v>30.582626000000001</v>
      </c>
      <c r="P158" s="36">
        <v>30.83717</v>
      </c>
      <c r="Q158" s="36">
        <v>31.096634000000002</v>
      </c>
      <c r="R158" s="36">
        <v>31.375259</v>
      </c>
      <c r="S158" s="36">
        <v>31.651350000000001</v>
      </c>
      <c r="T158" s="36">
        <v>31.958248000000001</v>
      </c>
      <c r="U158" s="36">
        <v>32.273238999999997</v>
      </c>
      <c r="V158" s="36">
        <v>32.606147999999997</v>
      </c>
      <c r="W158" s="36">
        <v>32.963622999999998</v>
      </c>
      <c r="X158" s="36">
        <v>33.334128999999997</v>
      </c>
      <c r="Y158" s="36">
        <v>33.699226000000003</v>
      </c>
      <c r="Z158" s="36">
        <v>34.060065999999999</v>
      </c>
      <c r="AA158" s="36">
        <v>34.412574999999997</v>
      </c>
      <c r="AB158" s="36">
        <v>34.792839000000001</v>
      </c>
      <c r="AC158" s="36">
        <v>35.155289000000003</v>
      </c>
      <c r="AD158" s="36">
        <v>35.540667999999997</v>
      </c>
      <c r="AE158" s="36">
        <v>35.975059999999999</v>
      </c>
      <c r="AF158" s="35">
        <v>8.541E-3</v>
      </c>
      <c r="AG158" s="29"/>
    </row>
    <row r="159" spans="1:33" ht="15" customHeight="1">
      <c r="A159" s="34" t="s">
        <v>2460</v>
      </c>
      <c r="B159" s="37" t="s">
        <v>2461</v>
      </c>
      <c r="C159" s="53">
        <v>148.95356799999999</v>
      </c>
      <c r="D159" s="53">
        <v>149.29165599999999</v>
      </c>
      <c r="E159" s="53">
        <v>152.96232599999999</v>
      </c>
      <c r="F159" s="53">
        <v>153.679382</v>
      </c>
      <c r="G159" s="53">
        <v>155.37844799999999</v>
      </c>
      <c r="H159" s="53">
        <v>156.41267400000001</v>
      </c>
      <c r="I159" s="53">
        <v>157.429214</v>
      </c>
      <c r="J159" s="53">
        <v>158.39773600000001</v>
      </c>
      <c r="K159" s="53">
        <v>159.33973700000001</v>
      </c>
      <c r="L159" s="53">
        <v>160.405731</v>
      </c>
      <c r="M159" s="53">
        <v>161.56918300000001</v>
      </c>
      <c r="N159" s="53">
        <v>162.705963</v>
      </c>
      <c r="O159" s="53">
        <v>163.950165</v>
      </c>
      <c r="P159" s="53">
        <v>165.28877299999999</v>
      </c>
      <c r="Q159" s="53">
        <v>166.65528900000001</v>
      </c>
      <c r="R159" s="53">
        <v>168.12493900000001</v>
      </c>
      <c r="S159" s="53">
        <v>169.58348100000001</v>
      </c>
      <c r="T159" s="53">
        <v>171.20521500000001</v>
      </c>
      <c r="U159" s="53">
        <v>172.87429800000001</v>
      </c>
      <c r="V159" s="53">
        <v>174.64212000000001</v>
      </c>
      <c r="W159" s="53">
        <v>176.54272499999999</v>
      </c>
      <c r="X159" s="53">
        <v>178.51499899999999</v>
      </c>
      <c r="Y159" s="53">
        <v>180.464584</v>
      </c>
      <c r="Z159" s="53">
        <v>182.39877300000001</v>
      </c>
      <c r="AA159" s="53">
        <v>183.05676299999999</v>
      </c>
      <c r="AB159" s="53">
        <v>185.005493</v>
      </c>
      <c r="AC159" s="53">
        <v>187.30084199999999</v>
      </c>
      <c r="AD159" s="53">
        <v>189.355255</v>
      </c>
      <c r="AE159" s="53">
        <v>191.46417199999999</v>
      </c>
      <c r="AF159" s="35">
        <v>9.0069999999999994E-3</v>
      </c>
      <c r="AG159" s="29"/>
    </row>
    <row r="160" spans="1:33" ht="15" customHeight="1" thickBot="1">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row>
    <row r="161" spans="2:34" ht="15" customHeight="1">
      <c r="B161" s="2179" t="s">
        <v>2462</v>
      </c>
      <c r="C161" s="2180"/>
      <c r="D161" s="2180"/>
      <c r="E161" s="2180"/>
      <c r="F161" s="2180"/>
      <c r="G161" s="2180"/>
      <c r="H161" s="2180"/>
      <c r="I161" s="2180"/>
      <c r="J161" s="2180"/>
      <c r="K161" s="2180"/>
      <c r="L161" s="2180"/>
      <c r="M161" s="2180"/>
      <c r="N161" s="2180"/>
      <c r="O161" s="2180"/>
      <c r="P161" s="2180"/>
      <c r="Q161" s="2180"/>
      <c r="R161" s="2180"/>
      <c r="S161" s="2180"/>
      <c r="T161" s="2180"/>
      <c r="U161" s="2180"/>
      <c r="V161" s="2180"/>
      <c r="W161" s="2180"/>
      <c r="X161" s="2180"/>
      <c r="Y161" s="2180"/>
      <c r="Z161" s="2180"/>
      <c r="AA161" s="2180"/>
      <c r="AB161" s="2180"/>
      <c r="AC161" s="2180"/>
      <c r="AD161" s="2180"/>
      <c r="AE161" s="2180"/>
      <c r="AF161" s="2180"/>
      <c r="AG161" s="2180"/>
      <c r="AH161" s="30"/>
    </row>
    <row r="162" spans="2:34" ht="15" customHeight="1">
      <c r="B162" s="29" t="s">
        <v>2463</v>
      </c>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row>
    <row r="163" spans="2:34" ht="15" customHeight="1">
      <c r="B163" s="29" t="s">
        <v>2464</v>
      </c>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row>
    <row r="164" spans="2:34" ht="15" customHeight="1">
      <c r="B164" s="29" t="s">
        <v>2465</v>
      </c>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row>
    <row r="165" spans="2:34" ht="12" customHeight="1">
      <c r="B165" s="29" t="s">
        <v>2466</v>
      </c>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row>
    <row r="166" spans="2:34" ht="15" customHeight="1">
      <c r="B166" s="29" t="s">
        <v>2467</v>
      </c>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row>
    <row r="167" spans="2:34" ht="15" customHeight="1">
      <c r="B167" s="29" t="s">
        <v>2468</v>
      </c>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row>
    <row r="168" spans="2:34" ht="15" customHeight="1">
      <c r="B168" s="29" t="s">
        <v>2469</v>
      </c>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row>
    <row r="169" spans="2:34" ht="15" customHeight="1">
      <c r="B169" s="29" t="s">
        <v>2291</v>
      </c>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row>
    <row r="170" spans="2:34" ht="15" customHeight="1">
      <c r="B170" s="29" t="s">
        <v>2292</v>
      </c>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row>
    <row r="171" spans="2:34" ht="15" customHeight="1">
      <c r="B171" s="29" t="s">
        <v>2293</v>
      </c>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row>
    <row r="172" spans="2:34" ht="15" customHeight="1">
      <c r="B172" s="29" t="s">
        <v>2294</v>
      </c>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row>
    <row r="173" spans="2:34" ht="15" customHeight="1">
      <c r="B173" s="29" t="s">
        <v>2295</v>
      </c>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row>
    <row r="174" spans="2:34" ht="15" customHeight="1">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row>
    <row r="175" spans="2:34" ht="15" customHeight="1">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row>
    <row r="176" spans="2:34" ht="15" customHeight="1">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row>
    <row r="177" spans="2:33" ht="15" customHeight="1">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row>
    <row r="178" spans="2:33" ht="15" customHeight="1">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row>
    <row r="179" spans="2:33" ht="15" customHeight="1">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row>
    <row r="180" spans="2:33" ht="12" customHeight="1">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row>
    <row r="181" spans="2:33" ht="15" customHeight="1">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row>
    <row r="182" spans="2:33" ht="15" customHeight="1">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row>
    <row r="183" spans="2:33" ht="15" customHeight="1">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row>
    <row r="184" spans="2:33" ht="15" customHeight="1">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row>
    <row r="185" spans="2:33" ht="15" customHeight="1">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row>
    <row r="186" spans="2:33" ht="15" customHeight="1">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row>
    <row r="187" spans="2:33" ht="15" customHeight="1">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row>
    <row r="188" spans="2:33" ht="15" customHeight="1">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row>
    <row r="189" spans="2:33" ht="15" customHeight="1">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row>
    <row r="190" spans="2:33" ht="15" customHeight="1">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row>
    <row r="191" spans="2:33" ht="15" customHeight="1">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row>
    <row r="192" spans="2:33" ht="15" customHeight="1">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row>
    <row r="193" spans="2:33" ht="15" customHeight="1">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row>
    <row r="194" spans="2:33" ht="15" customHeight="1">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row>
    <row r="195" spans="2:33" ht="15" customHeight="1">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row>
    <row r="196" spans="2:33" ht="15" customHeight="1">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row>
    <row r="197" spans="2:33" ht="15" customHeight="1">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row>
    <row r="198" spans="2:33" ht="15" customHeight="1">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row>
    <row r="199" spans="2:33" ht="15" customHeight="1">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row>
    <row r="200" spans="2:33" ht="15" customHeight="1">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row>
    <row r="201" spans="2:33" ht="15" customHeight="1">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row>
    <row r="202" spans="2:33" ht="15" customHeight="1">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row>
    <row r="203" spans="2:33" ht="15" customHeight="1">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row>
    <row r="204" spans="2:33" ht="12" customHeight="1">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row>
    <row r="205" spans="2:33" ht="12" customHeight="1">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row>
    <row r="206" spans="2:33" ht="15" customHeight="1">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row>
    <row r="207" spans="2:33" ht="15" customHeight="1">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row>
    <row r="208" spans="2:33" ht="15" customHeight="1">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row>
    <row r="209" spans="2:33" ht="15" customHeight="1">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row>
    <row r="223" spans="2:33" ht="12" customHeight="1"/>
    <row r="226" ht="12" customHeight="1"/>
    <row r="256" ht="12" customHeight="1"/>
    <row r="257" ht="12" customHeight="1"/>
    <row r="269" ht="12" customHeight="1"/>
    <row r="299" ht="12" customHeight="1"/>
    <row r="308" spans="2:32" ht="15" customHeight="1">
      <c r="B308" s="2178"/>
      <c r="C308" s="2178"/>
      <c r="D308" s="2178"/>
      <c r="E308" s="2178"/>
      <c r="F308" s="2178"/>
      <c r="G308" s="2178"/>
      <c r="H308" s="2178"/>
      <c r="I308" s="2178"/>
      <c r="J308" s="2178"/>
      <c r="K308" s="2178"/>
      <c r="L308" s="2178"/>
      <c r="M308" s="2178"/>
      <c r="N308" s="2178"/>
      <c r="O308" s="2178"/>
      <c r="P308" s="2178"/>
      <c r="Q308" s="2178"/>
      <c r="R308" s="2178"/>
      <c r="S308" s="2178"/>
      <c r="T308" s="2178"/>
      <c r="U308" s="2178"/>
      <c r="V308" s="2178"/>
      <c r="W308" s="2178"/>
      <c r="X308" s="2178"/>
      <c r="Y308" s="2178"/>
      <c r="Z308" s="2178"/>
      <c r="AA308" s="2178"/>
      <c r="AB308" s="2178"/>
      <c r="AC308" s="2178"/>
      <c r="AD308" s="2178"/>
      <c r="AE308" s="2178"/>
      <c r="AF308" s="2178"/>
    </row>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85" ht="12" customHeight="1"/>
    <row r="392" ht="12" customHeight="1"/>
    <row r="402" ht="12" customHeight="1"/>
    <row r="412" ht="12" customHeight="1"/>
    <row r="419" ht="12" customHeight="1"/>
    <row r="420" ht="12" customHeight="1"/>
    <row r="433" ht="12" customHeight="1"/>
    <row r="443" ht="12" customHeight="1"/>
    <row r="444" ht="12" customHeight="1"/>
    <row r="451" ht="12" customHeight="1"/>
    <row r="458" ht="12" customHeight="1"/>
    <row r="468" ht="12" customHeight="1"/>
    <row r="469" ht="12" customHeight="1"/>
    <row r="479" ht="12" customHeight="1"/>
    <row r="486" ht="12" customHeight="1"/>
    <row r="499" spans="2:32" ht="12" customHeight="1"/>
    <row r="509" spans="2:32" ht="12" customHeight="1"/>
    <row r="511" spans="2:32" ht="15" customHeight="1">
      <c r="B511" s="2178"/>
      <c r="C511" s="2178"/>
      <c r="D511" s="2178"/>
      <c r="E511" s="2178"/>
      <c r="F511" s="2178"/>
      <c r="G511" s="2178"/>
      <c r="H511" s="2178"/>
      <c r="I511" s="2178"/>
      <c r="J511" s="2178"/>
      <c r="K511" s="2178"/>
      <c r="L511" s="2178"/>
      <c r="M511" s="2178"/>
      <c r="N511" s="2178"/>
      <c r="O511" s="2178"/>
      <c r="P511" s="2178"/>
      <c r="Q511" s="2178"/>
      <c r="R511" s="2178"/>
      <c r="S511" s="2178"/>
      <c r="T511" s="2178"/>
      <c r="U511" s="2178"/>
      <c r="V511" s="2178"/>
      <c r="W511" s="2178"/>
      <c r="X511" s="2178"/>
      <c r="Y511" s="2178"/>
      <c r="Z511" s="2178"/>
      <c r="AA511" s="2178"/>
      <c r="AB511" s="2178"/>
      <c r="AC511" s="2178"/>
      <c r="AD511" s="2178"/>
      <c r="AE511" s="2178"/>
      <c r="AF511" s="2178"/>
    </row>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86" ht="12" customHeight="1"/>
    <row r="588" ht="12" customHeight="1"/>
    <row r="596" ht="12" customHeight="1"/>
    <row r="616" ht="12" customHeight="1"/>
    <row r="625" ht="12" customHeight="1"/>
    <row r="631" ht="12" customHeight="1"/>
    <row r="638" ht="12" customHeight="1"/>
    <row r="640" ht="12" customHeight="1"/>
    <row r="659" ht="12" customHeight="1"/>
    <row r="661" ht="12" customHeight="1"/>
    <row r="680" ht="12" customHeight="1"/>
    <row r="687" ht="12" customHeight="1"/>
    <row r="699" ht="12" customHeight="1"/>
    <row r="712" spans="2:32" ht="15" customHeight="1">
      <c r="B712" s="2178"/>
      <c r="C712" s="2178"/>
      <c r="D712" s="2178"/>
      <c r="E712" s="2178"/>
      <c r="F712" s="2178"/>
      <c r="G712" s="2178"/>
      <c r="H712" s="2178"/>
      <c r="I712" s="2178"/>
      <c r="J712" s="2178"/>
      <c r="K712" s="2178"/>
      <c r="L712" s="2178"/>
      <c r="M712" s="2178"/>
      <c r="N712" s="2178"/>
      <c r="O712" s="2178"/>
      <c r="P712" s="2178"/>
      <c r="Q712" s="2178"/>
      <c r="R712" s="2178"/>
      <c r="S712" s="2178"/>
      <c r="T712" s="2178"/>
      <c r="U712" s="2178"/>
      <c r="V712" s="2178"/>
      <c r="W712" s="2178"/>
      <c r="X712" s="2178"/>
      <c r="Y712" s="2178"/>
      <c r="Z712" s="2178"/>
      <c r="AA712" s="2178"/>
      <c r="AB712" s="2178"/>
      <c r="AC712" s="2178"/>
      <c r="AD712" s="2178"/>
      <c r="AE712" s="2178"/>
      <c r="AF712" s="2178"/>
    </row>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81" ht="12" customHeight="1"/>
    <row r="786" ht="12" customHeight="1"/>
    <row r="791" ht="12" customHeight="1"/>
    <row r="807" ht="12" customHeight="1"/>
    <row r="815" ht="12" customHeight="1"/>
    <row r="821" ht="12" customHeight="1"/>
    <row r="824" ht="12" customHeight="1"/>
    <row r="839" ht="12" customHeight="1"/>
    <row r="841" ht="12" customHeight="1"/>
    <row r="856" ht="12" customHeight="1"/>
    <row r="862" ht="12" customHeight="1"/>
    <row r="874" ht="12" customHeight="1"/>
    <row r="887" spans="2:32" ht="15" customHeight="1">
      <c r="B887" s="2178"/>
      <c r="C887" s="2178"/>
      <c r="D887" s="2178"/>
      <c r="E887" s="2178"/>
      <c r="F887" s="2178"/>
      <c r="G887" s="2178"/>
      <c r="H887" s="2178"/>
      <c r="I887" s="2178"/>
      <c r="J887" s="2178"/>
      <c r="K887" s="2178"/>
      <c r="L887" s="2178"/>
      <c r="M887" s="2178"/>
      <c r="N887" s="2178"/>
      <c r="O887" s="2178"/>
      <c r="P887" s="2178"/>
      <c r="Q887" s="2178"/>
      <c r="R887" s="2178"/>
      <c r="S887" s="2178"/>
      <c r="T887" s="2178"/>
      <c r="U887" s="2178"/>
      <c r="V887" s="2178"/>
      <c r="W887" s="2178"/>
      <c r="X887" s="2178"/>
      <c r="Y887" s="2178"/>
      <c r="Z887" s="2178"/>
      <c r="AA887" s="2178"/>
      <c r="AB887" s="2178"/>
      <c r="AC887" s="2178"/>
      <c r="AD887" s="2178"/>
      <c r="AE887" s="2178"/>
      <c r="AF887" s="2178"/>
    </row>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60" ht="12" customHeight="1"/>
    <row r="986" ht="12" customHeight="1"/>
    <row r="987" ht="12" customHeight="1"/>
    <row r="1017" ht="12" customHeight="1"/>
    <row r="1018" ht="12" customHeight="1"/>
    <row r="1039" ht="12" customHeight="1"/>
    <row r="1067" ht="12" customHeight="1"/>
    <row r="1096" spans="2:32" ht="12" customHeight="1"/>
    <row r="1101" spans="2:32" ht="15" customHeight="1">
      <c r="B1101" s="2178"/>
      <c r="C1101" s="2178"/>
      <c r="D1101" s="2178"/>
      <c r="E1101" s="2178"/>
      <c r="F1101" s="2178"/>
      <c r="G1101" s="2178"/>
      <c r="H1101" s="2178"/>
      <c r="I1101" s="2178"/>
      <c r="J1101" s="2178"/>
      <c r="K1101" s="2178"/>
      <c r="L1101" s="2178"/>
      <c r="M1101" s="2178"/>
      <c r="N1101" s="2178"/>
      <c r="O1101" s="2178"/>
      <c r="P1101" s="2178"/>
      <c r="Q1101" s="2178"/>
      <c r="R1101" s="2178"/>
      <c r="S1101" s="2178"/>
      <c r="T1101" s="2178"/>
      <c r="U1101" s="2178"/>
      <c r="V1101" s="2178"/>
      <c r="W1101" s="2178"/>
      <c r="X1101" s="2178"/>
      <c r="Y1101" s="2178"/>
      <c r="Z1101" s="2178"/>
      <c r="AA1101" s="2178"/>
      <c r="AB1101" s="2178"/>
      <c r="AC1101" s="2178"/>
      <c r="AD1101" s="2178"/>
      <c r="AE1101" s="2178"/>
      <c r="AF1101" s="2178"/>
    </row>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69" ht="12" customHeight="1"/>
    <row r="1193" ht="12" customHeight="1"/>
    <row r="1211" ht="12" customHeight="1"/>
    <row r="1229" spans="2:32" ht="15" customHeight="1">
      <c r="B1229" s="2178"/>
      <c r="C1229" s="2178"/>
      <c r="D1229" s="2178"/>
      <c r="E1229" s="2178"/>
      <c r="F1229" s="2178"/>
      <c r="G1229" s="2178"/>
      <c r="H1229" s="2178"/>
      <c r="I1229" s="2178"/>
      <c r="J1229" s="2178"/>
      <c r="K1229" s="2178"/>
      <c r="L1229" s="2178"/>
      <c r="M1229" s="2178"/>
      <c r="N1229" s="2178"/>
      <c r="O1229" s="2178"/>
      <c r="P1229" s="2178"/>
      <c r="Q1229" s="2178"/>
      <c r="R1229" s="2178"/>
      <c r="S1229" s="2178"/>
      <c r="T1229" s="2178"/>
      <c r="U1229" s="2178"/>
      <c r="V1229" s="2178"/>
      <c r="W1229" s="2178"/>
      <c r="X1229" s="2178"/>
      <c r="Y1229" s="2178"/>
      <c r="Z1229" s="2178"/>
      <c r="AA1229" s="2178"/>
      <c r="AB1229" s="2178"/>
      <c r="AC1229" s="2178"/>
      <c r="AD1229" s="2178"/>
      <c r="AE1229" s="2178"/>
      <c r="AF1229" s="2178"/>
    </row>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6" ht="12" customHeight="1"/>
    <row r="1326" ht="12" customHeight="1"/>
    <row r="1328" ht="12" customHeight="1"/>
    <row r="1339" ht="12" customHeight="1"/>
    <row r="1349" ht="12" customHeight="1"/>
    <row r="1351" ht="12" customHeight="1"/>
    <row r="1360" ht="12" customHeight="1"/>
    <row r="1374" ht="12" customHeight="1"/>
    <row r="1384" spans="2:32" ht="12" customHeight="1"/>
    <row r="1390" spans="2:32" ht="15" customHeight="1">
      <c r="B1390" s="2178"/>
      <c r="C1390" s="2178"/>
      <c r="D1390" s="2178"/>
      <c r="E1390" s="2178"/>
      <c r="F1390" s="2178"/>
      <c r="G1390" s="2178"/>
      <c r="H1390" s="2178"/>
      <c r="I1390" s="2178"/>
      <c r="J1390" s="2178"/>
      <c r="K1390" s="2178"/>
      <c r="L1390" s="2178"/>
      <c r="M1390" s="2178"/>
      <c r="N1390" s="2178"/>
      <c r="O1390" s="2178"/>
      <c r="P1390" s="2178"/>
      <c r="Q1390" s="2178"/>
      <c r="R1390" s="2178"/>
      <c r="S1390" s="2178"/>
      <c r="T1390" s="2178"/>
      <c r="U1390" s="2178"/>
      <c r="V1390" s="2178"/>
      <c r="W1390" s="2178"/>
      <c r="X1390" s="2178"/>
      <c r="Y1390" s="2178"/>
      <c r="Z1390" s="2178"/>
      <c r="AA1390" s="2178"/>
      <c r="AB1390" s="2178"/>
      <c r="AC1390" s="2178"/>
      <c r="AD1390" s="2178"/>
      <c r="AE1390" s="2178"/>
      <c r="AF1390" s="2178"/>
    </row>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50" ht="12" customHeight="1"/>
    <row r="1476" ht="12" customHeight="1"/>
    <row r="1488" ht="12" customHeight="1"/>
    <row r="1490" spans="2:32" ht="12" customHeight="1"/>
    <row r="1499" spans="2:32" ht="12" customHeight="1"/>
    <row r="1502" spans="2:32" ht="15" customHeight="1">
      <c r="B1502" s="2178"/>
      <c r="C1502" s="2178"/>
      <c r="D1502" s="2178"/>
      <c r="E1502" s="2178"/>
      <c r="F1502" s="2178"/>
      <c r="G1502" s="2178"/>
      <c r="H1502" s="2178"/>
      <c r="I1502" s="2178"/>
      <c r="J1502" s="2178"/>
      <c r="K1502" s="2178"/>
      <c r="L1502" s="2178"/>
      <c r="M1502" s="2178"/>
      <c r="N1502" s="2178"/>
      <c r="O1502" s="2178"/>
      <c r="P1502" s="2178"/>
      <c r="Q1502" s="2178"/>
      <c r="R1502" s="2178"/>
      <c r="S1502" s="2178"/>
      <c r="T1502" s="2178"/>
      <c r="U1502" s="2178"/>
      <c r="V1502" s="2178"/>
      <c r="W1502" s="2178"/>
      <c r="X1502" s="2178"/>
      <c r="Y1502" s="2178"/>
      <c r="Z1502" s="2178"/>
      <c r="AA1502" s="2178"/>
      <c r="AB1502" s="2178"/>
      <c r="AC1502" s="2178"/>
      <c r="AD1502" s="2178"/>
      <c r="AE1502" s="2178"/>
      <c r="AF1502" s="2178"/>
    </row>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6" ht="12" customHeight="1"/>
    <row r="1591" ht="12" customHeight="1"/>
    <row r="1593" ht="12" customHeight="1"/>
    <row r="1598" ht="12" customHeight="1"/>
    <row r="1604" spans="2:32" ht="15" customHeight="1">
      <c r="B1604" s="2178"/>
      <c r="C1604" s="2178"/>
      <c r="D1604" s="2178"/>
      <c r="E1604" s="2178"/>
      <c r="F1604" s="2178"/>
      <c r="G1604" s="2178"/>
      <c r="H1604" s="2178"/>
      <c r="I1604" s="2178"/>
      <c r="J1604" s="2178"/>
      <c r="K1604" s="2178"/>
      <c r="L1604" s="2178"/>
      <c r="M1604" s="2178"/>
      <c r="N1604" s="2178"/>
      <c r="O1604" s="2178"/>
      <c r="P1604" s="2178"/>
      <c r="Q1604" s="2178"/>
      <c r="R1604" s="2178"/>
      <c r="S1604" s="2178"/>
      <c r="T1604" s="2178"/>
      <c r="U1604" s="2178"/>
      <c r="V1604" s="2178"/>
      <c r="W1604" s="2178"/>
      <c r="X1604" s="2178"/>
      <c r="Y1604" s="2178"/>
      <c r="Z1604" s="2178"/>
      <c r="AA1604" s="2178"/>
      <c r="AB1604" s="2178"/>
      <c r="AC1604" s="2178"/>
      <c r="AD1604" s="2178"/>
      <c r="AE1604" s="2178"/>
      <c r="AF1604" s="2178"/>
    </row>
    <row r="1612" spans="2:32" ht="12" customHeight="1"/>
    <row r="1613" spans="2:32" ht="12" customHeight="1"/>
    <row r="1614" spans="2:32" ht="12" customHeight="1"/>
    <row r="1615" spans="2:32" ht="12" customHeight="1"/>
    <row r="1616" spans="2:32" ht="12" customHeight="1"/>
    <row r="1617" ht="12" customHeight="1"/>
    <row r="1618" ht="12" customHeight="1"/>
    <row r="1619" ht="12" customHeight="1"/>
    <row r="1620" ht="12" customHeight="1"/>
    <row r="1621" ht="12" customHeight="1"/>
    <row r="1622" ht="12" customHeight="1"/>
    <row r="1623" ht="12" customHeight="1"/>
    <row r="1624" ht="12" customHeight="1"/>
    <row r="1639" ht="12" customHeight="1"/>
    <row r="1665" ht="12" customHeight="1"/>
    <row r="1667" ht="12" customHeight="1"/>
    <row r="1668" ht="12" customHeight="1"/>
    <row r="1686" ht="12" customHeight="1"/>
    <row r="1688" ht="12" customHeight="1"/>
    <row r="1697" spans="2:32" ht="12" customHeight="1"/>
    <row r="1699" spans="2:32" ht="15" customHeight="1">
      <c r="B1699" s="2178"/>
      <c r="C1699" s="2178"/>
      <c r="D1699" s="2178"/>
      <c r="E1699" s="2178"/>
      <c r="F1699" s="2178"/>
      <c r="G1699" s="2178"/>
      <c r="H1699" s="2178"/>
      <c r="I1699" s="2178"/>
      <c r="J1699" s="2178"/>
      <c r="K1699" s="2178"/>
      <c r="L1699" s="2178"/>
      <c r="M1699" s="2178"/>
      <c r="N1699" s="2178"/>
      <c r="O1699" s="2178"/>
      <c r="P1699" s="2178"/>
      <c r="Q1699" s="2178"/>
      <c r="R1699" s="2178"/>
      <c r="S1699" s="2178"/>
      <c r="T1699" s="2178"/>
      <c r="U1699" s="2178"/>
      <c r="V1699" s="2178"/>
      <c r="W1699" s="2178"/>
      <c r="X1699" s="2178"/>
      <c r="Y1699" s="2178"/>
      <c r="Z1699" s="2178"/>
      <c r="AA1699" s="2178"/>
      <c r="AB1699" s="2178"/>
      <c r="AC1699" s="2178"/>
      <c r="AD1699" s="2178"/>
      <c r="AE1699" s="2178"/>
      <c r="AF1699" s="2178"/>
    </row>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60" ht="12" customHeight="1"/>
    <row r="1862" ht="12" customHeight="1"/>
    <row r="1866" ht="12" customHeight="1"/>
    <row r="1871" ht="12" customHeight="1"/>
    <row r="1877" ht="12" customHeight="1"/>
    <row r="1887" ht="12" customHeight="1"/>
    <row r="1892" ht="12" customHeight="1"/>
    <row r="1901" ht="12" customHeight="1"/>
    <row r="1902" ht="12" customHeight="1"/>
    <row r="1908" ht="12" customHeight="1"/>
    <row r="1914" ht="12" customHeight="1"/>
    <row r="1918" ht="12" customHeight="1"/>
    <row r="1923" ht="12" customHeight="1"/>
    <row r="1932" ht="12" customHeight="1"/>
    <row r="1936" ht="12" customHeight="1"/>
    <row r="1945" spans="2:32" ht="15" customHeight="1">
      <c r="B1945" s="2178"/>
      <c r="C1945" s="2178"/>
      <c r="D1945" s="2178"/>
      <c r="E1945" s="2178"/>
      <c r="F1945" s="2178"/>
      <c r="G1945" s="2178"/>
      <c r="H1945" s="2178"/>
      <c r="I1945" s="2178"/>
      <c r="J1945" s="2178"/>
      <c r="K1945" s="2178"/>
      <c r="L1945" s="2178"/>
      <c r="M1945" s="2178"/>
      <c r="N1945" s="2178"/>
      <c r="O1945" s="2178"/>
      <c r="P1945" s="2178"/>
      <c r="Q1945" s="2178"/>
      <c r="R1945" s="2178"/>
      <c r="S1945" s="2178"/>
      <c r="T1945" s="2178"/>
      <c r="U1945" s="2178"/>
      <c r="V1945" s="2178"/>
      <c r="W1945" s="2178"/>
      <c r="X1945" s="2178"/>
      <c r="Y1945" s="2178"/>
      <c r="Z1945" s="2178"/>
      <c r="AA1945" s="2178"/>
      <c r="AB1945" s="2178"/>
      <c r="AC1945" s="2178"/>
      <c r="AD1945" s="2178"/>
      <c r="AE1945" s="2178"/>
      <c r="AF1945" s="2178"/>
    </row>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83" ht="12" customHeight="1"/>
    <row r="1987" ht="12" customHeight="1"/>
    <row r="1989" ht="12" customHeight="1"/>
    <row r="2003" ht="12" customHeight="1"/>
    <row r="2005" ht="12" customHeight="1"/>
    <row r="2007" ht="12" customHeight="1"/>
    <row r="2010" ht="12" customHeight="1"/>
    <row r="2021" spans="2:32" ht="12" customHeight="1"/>
    <row r="2031" spans="2:32" ht="15" customHeight="1">
      <c r="B2031" s="2178"/>
      <c r="C2031" s="2178"/>
      <c r="D2031" s="2178"/>
      <c r="E2031" s="2178"/>
      <c r="F2031" s="2178"/>
      <c r="G2031" s="2178"/>
      <c r="H2031" s="2178"/>
      <c r="I2031" s="2178"/>
      <c r="J2031" s="2178"/>
      <c r="K2031" s="2178"/>
      <c r="L2031" s="2178"/>
      <c r="M2031" s="2178"/>
      <c r="N2031" s="2178"/>
      <c r="O2031" s="2178"/>
      <c r="P2031" s="2178"/>
      <c r="Q2031" s="2178"/>
      <c r="R2031" s="2178"/>
      <c r="S2031" s="2178"/>
      <c r="T2031" s="2178"/>
      <c r="U2031" s="2178"/>
      <c r="V2031" s="2178"/>
      <c r="W2031" s="2178"/>
      <c r="X2031" s="2178"/>
      <c r="Y2031" s="2178"/>
      <c r="Z2031" s="2178"/>
      <c r="AA2031" s="2178"/>
      <c r="AB2031" s="2178"/>
      <c r="AC2031" s="2178"/>
      <c r="AD2031" s="2178"/>
      <c r="AE2031" s="2178"/>
      <c r="AF2031" s="2178"/>
    </row>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6" ht="12" customHeight="1"/>
    <row r="2109" ht="12" customHeight="1"/>
    <row r="2123" ht="12" customHeight="1"/>
    <row r="2130" ht="12" customHeight="1"/>
    <row r="2132" ht="12" customHeight="1"/>
    <row r="2135" ht="12" customHeight="1"/>
    <row r="2147" spans="2:32" ht="12" customHeight="1"/>
    <row r="2149" spans="2:32" ht="12" customHeight="1"/>
    <row r="2150" spans="2:32" ht="12" customHeight="1"/>
    <row r="2153" spans="2:32" ht="15" customHeight="1">
      <c r="B2153" s="2178"/>
      <c r="C2153" s="2178"/>
      <c r="D2153" s="2178"/>
      <c r="E2153" s="2178"/>
      <c r="F2153" s="2178"/>
      <c r="G2153" s="2178"/>
      <c r="H2153" s="2178"/>
      <c r="I2153" s="2178"/>
      <c r="J2153" s="2178"/>
      <c r="K2153" s="2178"/>
      <c r="L2153" s="2178"/>
      <c r="M2153" s="2178"/>
      <c r="N2153" s="2178"/>
      <c r="O2153" s="2178"/>
      <c r="P2153" s="2178"/>
      <c r="Q2153" s="2178"/>
      <c r="R2153" s="2178"/>
      <c r="S2153" s="2178"/>
      <c r="T2153" s="2178"/>
      <c r="U2153" s="2178"/>
      <c r="V2153" s="2178"/>
      <c r="W2153" s="2178"/>
      <c r="X2153" s="2178"/>
      <c r="Y2153" s="2178"/>
      <c r="Z2153" s="2178"/>
      <c r="AA2153" s="2178"/>
      <c r="AB2153" s="2178"/>
      <c r="AC2153" s="2178"/>
      <c r="AD2153" s="2178"/>
      <c r="AE2153" s="2178"/>
      <c r="AF2153" s="2178"/>
    </row>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9" ht="12" customHeight="1"/>
    <row r="2263" ht="12" customHeight="1"/>
    <row r="2265" ht="12" customHeight="1"/>
    <row r="2270" ht="12" customHeight="1"/>
    <row r="2272" ht="12" customHeight="1"/>
    <row r="2281" ht="12" customHeight="1"/>
    <row r="2283" ht="12" customHeight="1"/>
    <row r="2287" ht="12" customHeight="1"/>
    <row r="2299" ht="12" customHeight="1"/>
    <row r="2300" ht="12" customHeight="1"/>
    <row r="2304" ht="12" customHeight="1"/>
    <row r="2317" spans="2:32" ht="15" customHeight="1">
      <c r="B2317" s="2178"/>
      <c r="C2317" s="2178"/>
      <c r="D2317" s="2178"/>
      <c r="E2317" s="2178"/>
      <c r="F2317" s="2178"/>
      <c r="G2317" s="2178"/>
      <c r="H2317" s="2178"/>
      <c r="I2317" s="2178"/>
      <c r="J2317" s="2178"/>
      <c r="K2317" s="2178"/>
      <c r="L2317" s="2178"/>
      <c r="M2317" s="2178"/>
      <c r="N2317" s="2178"/>
      <c r="O2317" s="2178"/>
      <c r="P2317" s="2178"/>
      <c r="Q2317" s="2178"/>
      <c r="R2317" s="2178"/>
      <c r="S2317" s="2178"/>
      <c r="T2317" s="2178"/>
      <c r="U2317" s="2178"/>
      <c r="V2317" s="2178"/>
      <c r="W2317" s="2178"/>
      <c r="X2317" s="2178"/>
      <c r="Y2317" s="2178"/>
      <c r="Z2317" s="2178"/>
      <c r="AA2317" s="2178"/>
      <c r="AB2317" s="2178"/>
      <c r="AC2317" s="2178"/>
      <c r="AD2317" s="2178"/>
      <c r="AE2317" s="2178"/>
      <c r="AF2317" s="2178"/>
    </row>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66" ht="12" customHeight="1"/>
    <row r="2379" ht="12" customHeight="1"/>
    <row r="2389" ht="12" customHeight="1"/>
    <row r="2398" ht="12" customHeight="1"/>
    <row r="2399" ht="12" customHeight="1"/>
    <row r="2409" ht="12" customHeight="1"/>
    <row r="2419" spans="2:32" ht="15" customHeight="1">
      <c r="B2419" s="2178"/>
      <c r="C2419" s="2178"/>
      <c r="D2419" s="2178"/>
      <c r="E2419" s="2178"/>
      <c r="F2419" s="2178"/>
      <c r="G2419" s="2178"/>
      <c r="H2419" s="2178"/>
      <c r="I2419" s="2178"/>
      <c r="J2419" s="2178"/>
      <c r="K2419" s="2178"/>
      <c r="L2419" s="2178"/>
      <c r="M2419" s="2178"/>
      <c r="N2419" s="2178"/>
      <c r="O2419" s="2178"/>
      <c r="P2419" s="2178"/>
      <c r="Q2419" s="2178"/>
      <c r="R2419" s="2178"/>
      <c r="S2419" s="2178"/>
      <c r="T2419" s="2178"/>
      <c r="U2419" s="2178"/>
      <c r="V2419" s="2178"/>
      <c r="W2419" s="2178"/>
      <c r="X2419" s="2178"/>
      <c r="Y2419" s="2178"/>
      <c r="Z2419" s="2178"/>
      <c r="AA2419" s="2178"/>
      <c r="AB2419" s="2178"/>
      <c r="AC2419" s="2178"/>
      <c r="AD2419" s="2178"/>
      <c r="AE2419" s="2178"/>
      <c r="AF2419" s="2178"/>
    </row>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6" ht="12" customHeight="1"/>
    <row r="2458" ht="12" customHeight="1"/>
    <row r="2460" ht="12" customHeight="1"/>
    <row r="2466" ht="12" customHeight="1"/>
    <row r="2474" ht="12" customHeight="1"/>
    <row r="2485" ht="12" customHeight="1"/>
    <row r="2487" ht="12" customHeight="1"/>
    <row r="2493" ht="12" customHeight="1"/>
    <row r="2494" ht="12" customHeight="1"/>
    <row r="2497" spans="2:32" ht="12" customHeight="1"/>
    <row r="2503" spans="2:32" ht="12" customHeight="1"/>
    <row r="2509" spans="2:32" ht="15" customHeight="1">
      <c r="B2509" s="2178"/>
      <c r="C2509" s="2178"/>
      <c r="D2509" s="2178"/>
      <c r="E2509" s="2178"/>
      <c r="F2509" s="2178"/>
      <c r="G2509" s="2178"/>
      <c r="H2509" s="2178"/>
      <c r="I2509" s="2178"/>
      <c r="J2509" s="2178"/>
      <c r="K2509" s="2178"/>
      <c r="L2509" s="2178"/>
      <c r="M2509" s="2178"/>
      <c r="N2509" s="2178"/>
      <c r="O2509" s="2178"/>
      <c r="P2509" s="2178"/>
      <c r="Q2509" s="2178"/>
      <c r="R2509" s="2178"/>
      <c r="S2509" s="2178"/>
      <c r="T2509" s="2178"/>
      <c r="U2509" s="2178"/>
      <c r="V2509" s="2178"/>
      <c r="W2509" s="2178"/>
      <c r="X2509" s="2178"/>
      <c r="Y2509" s="2178"/>
      <c r="Z2509" s="2178"/>
      <c r="AA2509" s="2178"/>
      <c r="AB2509" s="2178"/>
      <c r="AC2509" s="2178"/>
      <c r="AD2509" s="2178"/>
      <c r="AE2509" s="2178"/>
      <c r="AF2509" s="2178"/>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60" ht="12" customHeight="1"/>
    <row r="2567" ht="12" customHeight="1"/>
    <row r="2574" ht="12" customHeight="1"/>
    <row r="2580" ht="12" customHeight="1"/>
    <row r="2587" ht="12" customHeight="1"/>
    <row r="2594" spans="2:32" ht="12" customHeight="1"/>
    <row r="2598" spans="2:32" ht="15" customHeight="1">
      <c r="B2598" s="2178"/>
      <c r="C2598" s="2178"/>
      <c r="D2598" s="2178"/>
      <c r="E2598" s="2178"/>
      <c r="F2598" s="2178"/>
      <c r="G2598" s="2178"/>
      <c r="H2598" s="2178"/>
      <c r="I2598" s="2178"/>
      <c r="J2598" s="2178"/>
      <c r="K2598" s="2178"/>
      <c r="L2598" s="2178"/>
      <c r="M2598" s="2178"/>
      <c r="N2598" s="2178"/>
      <c r="O2598" s="2178"/>
      <c r="P2598" s="2178"/>
      <c r="Q2598" s="2178"/>
      <c r="R2598" s="2178"/>
      <c r="S2598" s="2178"/>
      <c r="T2598" s="2178"/>
      <c r="U2598" s="2178"/>
      <c r="V2598" s="2178"/>
      <c r="W2598" s="2178"/>
      <c r="X2598" s="2178"/>
      <c r="Y2598" s="2178"/>
      <c r="Z2598" s="2178"/>
      <c r="AA2598" s="2178"/>
      <c r="AB2598" s="2178"/>
      <c r="AC2598" s="2178"/>
      <c r="AD2598" s="2178"/>
      <c r="AE2598" s="2178"/>
      <c r="AF2598" s="2178"/>
    </row>
    <row r="2616" ht="12" customHeight="1"/>
    <row r="2617" ht="12" customHeight="1"/>
    <row r="2618" ht="12" customHeight="1"/>
    <row r="2619" ht="12" customHeight="1"/>
    <row r="2620" ht="12" customHeight="1"/>
    <row r="2621" ht="12" customHeight="1"/>
    <row r="2622" ht="12" customHeight="1"/>
    <row r="2623" ht="12" customHeight="1"/>
    <row r="2624" ht="12" customHeight="1"/>
    <row r="2647" ht="12" customHeight="1"/>
    <row r="2660" ht="12" customHeight="1"/>
    <row r="2661" ht="12" customHeight="1"/>
    <row r="2688" ht="12" customHeight="1"/>
    <row r="2705" spans="2:32" ht="12" customHeight="1"/>
    <row r="2706" spans="2:32" ht="12" customHeight="1"/>
    <row r="2719" spans="2:32" ht="15" customHeight="1">
      <c r="B2719" s="2178"/>
      <c r="C2719" s="2178"/>
      <c r="D2719" s="2178"/>
      <c r="E2719" s="2178"/>
      <c r="F2719" s="2178"/>
      <c r="G2719" s="2178"/>
      <c r="H2719" s="2178"/>
      <c r="I2719" s="2178"/>
      <c r="J2719" s="2178"/>
      <c r="K2719" s="2178"/>
      <c r="L2719" s="2178"/>
      <c r="M2719" s="2178"/>
      <c r="N2719" s="2178"/>
      <c r="O2719" s="2178"/>
      <c r="P2719" s="2178"/>
      <c r="Q2719" s="2178"/>
      <c r="R2719" s="2178"/>
      <c r="S2719" s="2178"/>
      <c r="T2719" s="2178"/>
      <c r="U2719" s="2178"/>
      <c r="V2719" s="2178"/>
      <c r="W2719" s="2178"/>
      <c r="X2719" s="2178"/>
      <c r="Y2719" s="2178"/>
      <c r="Z2719" s="2178"/>
      <c r="AA2719" s="2178"/>
      <c r="AB2719" s="2178"/>
      <c r="AC2719" s="2178"/>
      <c r="AD2719" s="2178"/>
      <c r="AE2719" s="2178"/>
      <c r="AF2719" s="2178"/>
    </row>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7" ht="12" customHeight="1"/>
    <row r="2792" ht="12" customHeight="1"/>
    <row r="2803" ht="12" customHeight="1"/>
    <row r="2808" ht="12" customHeight="1"/>
    <row r="2817" ht="12" customHeight="1"/>
    <row r="2824" ht="12" customHeight="1"/>
    <row r="2829" ht="12" customHeight="1"/>
    <row r="2830" ht="12" customHeight="1"/>
    <row r="2837" spans="2:32" ht="15" customHeight="1">
      <c r="B2837" s="2178"/>
      <c r="C2837" s="2178"/>
      <c r="D2837" s="2178"/>
      <c r="E2837" s="2178"/>
      <c r="F2837" s="2178"/>
      <c r="G2837" s="2178"/>
      <c r="H2837" s="2178"/>
      <c r="I2837" s="2178"/>
      <c r="J2837" s="2178"/>
      <c r="K2837" s="2178"/>
      <c r="L2837" s="2178"/>
      <c r="M2837" s="2178"/>
      <c r="N2837" s="2178"/>
      <c r="O2837" s="2178"/>
      <c r="P2837" s="2178"/>
      <c r="Q2837" s="2178"/>
      <c r="R2837" s="2178"/>
      <c r="S2837" s="2178"/>
      <c r="T2837" s="2178"/>
      <c r="U2837" s="2178"/>
      <c r="V2837" s="2178"/>
      <c r="W2837" s="2178"/>
      <c r="X2837" s="2178"/>
      <c r="Y2837" s="2178"/>
      <c r="Z2837" s="2178"/>
      <c r="AA2837" s="2178"/>
      <c r="AB2837" s="2178"/>
      <c r="AC2837" s="2178"/>
      <c r="AD2837" s="2178"/>
      <c r="AE2837" s="2178"/>
      <c r="AF2837" s="2178"/>
    </row>
  </sheetData>
  <mergeCells count="21">
    <mergeCell ref="B1604:AF1604"/>
    <mergeCell ref="B1699:AF1699"/>
    <mergeCell ref="B161:AG161"/>
    <mergeCell ref="B1945:AF1945"/>
    <mergeCell ref="B112:AF112"/>
    <mergeCell ref="B308:AF308"/>
    <mergeCell ref="B511:AF511"/>
    <mergeCell ref="B712:AF712"/>
    <mergeCell ref="B887:AF887"/>
    <mergeCell ref="B1101:AF1101"/>
    <mergeCell ref="B1229:AF1229"/>
    <mergeCell ref="B1390:AF1390"/>
    <mergeCell ref="B1502:AF1502"/>
    <mergeCell ref="B2719:AF2719"/>
    <mergeCell ref="B2837:AF2837"/>
    <mergeCell ref="B2031:AF2031"/>
    <mergeCell ref="B2153:AF2153"/>
    <mergeCell ref="B2317:AF2317"/>
    <mergeCell ref="B2419:AF2419"/>
    <mergeCell ref="B2509:AF2509"/>
    <mergeCell ref="B2598:AF2598"/>
  </mergeCells>
  <pageMargins left="0.75" right="0.75" top="1" bottom="1" header="0.5" footer="0.5"/>
  <pageSetup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3BC57-2780-4A2D-BF95-8A3F67ACB1CD}">
  <sheetPr codeName="Sheet30"/>
  <dimension ref="A1:AH2837"/>
  <sheetViews>
    <sheetView workbookViewId="0">
      <pane xSplit="2" ySplit="1" topLeftCell="C2" activePane="bottomRight" state="frozen"/>
      <selection pane="topRight" activeCell="C1" sqref="C1"/>
      <selection pane="bottomLeft" activeCell="A2" sqref="A2"/>
      <selection pane="bottomRight" activeCell="C21" sqref="C21"/>
    </sheetView>
  </sheetViews>
  <sheetFormatPr baseColWidth="10" defaultColWidth="9.33203125" defaultRowHeight="15" customHeight="1"/>
  <cols>
    <col min="1" max="1" width="20.6640625" style="28" hidden="1" customWidth="1"/>
    <col min="2" max="2" width="45.6640625" style="28" customWidth="1"/>
    <col min="3" max="16384" width="9.33203125" style="28"/>
  </cols>
  <sheetData>
    <row r="1" spans="1:33" ht="15" customHeight="1" thickBot="1">
      <c r="B1" s="50" t="s">
        <v>2046</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2047</v>
      </c>
      <c r="D3" s="48" t="s">
        <v>311</v>
      </c>
      <c r="E3" s="47"/>
      <c r="F3" s="47"/>
      <c r="G3" s="47"/>
    </row>
    <row r="4" spans="1:33" ht="15" customHeight="1">
      <c r="C4" s="48" t="s">
        <v>2048</v>
      </c>
      <c r="D4" s="48" t="s">
        <v>2049</v>
      </c>
      <c r="E4" s="47"/>
      <c r="F4" s="47"/>
      <c r="G4" s="48" t="s">
        <v>207</v>
      </c>
    </row>
    <row r="5" spans="1:33" ht="15" customHeight="1">
      <c r="C5" s="48" t="s">
        <v>2050</v>
      </c>
      <c r="D5" s="48" t="s">
        <v>2051</v>
      </c>
      <c r="E5" s="47"/>
      <c r="F5" s="47"/>
      <c r="G5" s="47"/>
    </row>
    <row r="6" spans="1:33" ht="15" customHeight="1">
      <c r="C6" s="48" t="s">
        <v>2052</v>
      </c>
      <c r="D6" s="47"/>
      <c r="E6" s="48" t="s">
        <v>2053</v>
      </c>
      <c r="F6" s="47"/>
      <c r="G6" s="47"/>
    </row>
    <row r="7" spans="1:33" ht="12" customHeight="1"/>
    <row r="8" spans="1:33" ht="12" customHeight="1"/>
    <row r="9" spans="1:33" ht="12" customHeight="1">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row>
    <row r="10" spans="1:33" ht="15" customHeight="1">
      <c r="A10" s="34" t="s">
        <v>2470</v>
      </c>
      <c r="B10" s="46" t="s">
        <v>2471</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2056</v>
      </c>
      <c r="AG10" s="29"/>
    </row>
    <row r="11" spans="1:33" ht="15" customHeight="1">
      <c r="B11" s="45" t="s">
        <v>2472</v>
      </c>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2058</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2059</v>
      </c>
      <c r="AG12" s="29"/>
    </row>
    <row r="13" spans="1:33" ht="15" customHeight="1" thickBot="1">
      <c r="B13" s="42" t="s">
        <v>2473</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t="s">
        <v>2061</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B15" s="33" t="s">
        <v>2474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row>
    <row r="16" spans="1:33" ht="15" customHeight="1">
      <c r="B16" s="33" t="s">
        <v>2475</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A17" s="34" t="s">
        <v>2476</v>
      </c>
      <c r="B17" s="37" t="s">
        <v>2477</v>
      </c>
      <c r="C17" s="36">
        <v>197.845764</v>
      </c>
      <c r="D17" s="36">
        <v>188.16383400000001</v>
      </c>
      <c r="E17" s="36">
        <v>184.18452500000001</v>
      </c>
      <c r="F17" s="36">
        <v>164.203003</v>
      </c>
      <c r="G17" s="36">
        <v>157.91920500000001</v>
      </c>
      <c r="H17" s="36">
        <v>146.27151499999999</v>
      </c>
      <c r="I17" s="36">
        <v>126.620026</v>
      </c>
      <c r="J17" s="36">
        <v>109.67042499999999</v>
      </c>
      <c r="K17" s="36">
        <v>102.100616</v>
      </c>
      <c r="L17" s="36">
        <v>100.366615</v>
      </c>
      <c r="M17" s="36">
        <v>97.298409000000007</v>
      </c>
      <c r="N17" s="36">
        <v>95.985420000000005</v>
      </c>
      <c r="O17" s="36">
        <v>92.767623999999998</v>
      </c>
      <c r="P17" s="36">
        <v>91.151618999999997</v>
      </c>
      <c r="Q17" s="36">
        <v>90.571617000000003</v>
      </c>
      <c r="R17" s="36">
        <v>88.663612000000001</v>
      </c>
      <c r="S17" s="36">
        <v>84.330619999999996</v>
      </c>
      <c r="T17" s="36">
        <v>81.302513000000005</v>
      </c>
      <c r="U17" s="36">
        <v>77.032516000000001</v>
      </c>
      <c r="V17" s="36">
        <v>74.805503999999999</v>
      </c>
      <c r="W17" s="36">
        <v>74.805503999999999</v>
      </c>
      <c r="X17" s="36">
        <v>74.805503999999999</v>
      </c>
      <c r="Y17" s="36">
        <v>74.147507000000004</v>
      </c>
      <c r="Z17" s="36">
        <v>74.147507000000004</v>
      </c>
      <c r="AA17" s="36">
        <v>71.576508000000004</v>
      </c>
      <c r="AB17" s="36">
        <v>70.417502999999996</v>
      </c>
      <c r="AC17" s="36">
        <v>69.807502999999997</v>
      </c>
      <c r="AD17" s="36">
        <v>69.807502999999997</v>
      </c>
      <c r="AE17" s="36">
        <v>69.803298999999996</v>
      </c>
      <c r="AF17" s="35">
        <v>-3.6524000000000001E-2</v>
      </c>
      <c r="AG17" s="29"/>
    </row>
    <row r="18" spans="1:33" ht="15" customHeight="1">
      <c r="A18" s="34" t="s">
        <v>2478</v>
      </c>
      <c r="B18" s="37" t="s">
        <v>2479</v>
      </c>
      <c r="C18" s="36">
        <v>74.196915000000004</v>
      </c>
      <c r="D18" s="36">
        <v>72.349914999999996</v>
      </c>
      <c r="E18" s="36">
        <v>64.121414000000001</v>
      </c>
      <c r="F18" s="36">
        <v>58.938602000000003</v>
      </c>
      <c r="G18" s="36">
        <v>57.290999999999997</v>
      </c>
      <c r="H18" s="36">
        <v>57.703296999999999</v>
      </c>
      <c r="I18" s="36">
        <v>59.407501000000003</v>
      </c>
      <c r="J18" s="36">
        <v>58.372002000000002</v>
      </c>
      <c r="K18" s="36">
        <v>58.125008000000001</v>
      </c>
      <c r="L18" s="36">
        <v>56.486305000000002</v>
      </c>
      <c r="M18" s="36">
        <v>55.624305999999997</v>
      </c>
      <c r="N18" s="36">
        <v>54.644706999999997</v>
      </c>
      <c r="O18" s="36">
        <v>54.144706999999997</v>
      </c>
      <c r="P18" s="36">
        <v>53.195205999999999</v>
      </c>
      <c r="Q18" s="36">
        <v>53.177208</v>
      </c>
      <c r="R18" s="36">
        <v>53.177208</v>
      </c>
      <c r="S18" s="36">
        <v>53.067207000000003</v>
      </c>
      <c r="T18" s="36">
        <v>52.99971</v>
      </c>
      <c r="U18" s="36">
        <v>52.99971</v>
      </c>
      <c r="V18" s="36">
        <v>53.700705999999997</v>
      </c>
      <c r="W18" s="36">
        <v>53.700705999999997</v>
      </c>
      <c r="X18" s="36">
        <v>53.700705999999997</v>
      </c>
      <c r="Y18" s="36">
        <v>53.263710000000003</v>
      </c>
      <c r="Z18" s="36">
        <v>53.263710000000003</v>
      </c>
      <c r="AA18" s="36">
        <v>53.263710000000003</v>
      </c>
      <c r="AB18" s="36">
        <v>53.263710000000003</v>
      </c>
      <c r="AC18" s="36">
        <v>53.263710000000003</v>
      </c>
      <c r="AD18" s="36">
        <v>53.213211000000001</v>
      </c>
      <c r="AE18" s="36">
        <v>53.213211000000001</v>
      </c>
      <c r="AF18" s="35">
        <v>-1.1802E-2</v>
      </c>
      <c r="AG18" s="29"/>
    </row>
    <row r="19" spans="1:33" ht="15" customHeight="1">
      <c r="A19" s="34" t="s">
        <v>2480</v>
      </c>
      <c r="B19" s="37" t="s">
        <v>2481</v>
      </c>
      <c r="C19" s="36">
        <v>257.76431300000002</v>
      </c>
      <c r="D19" s="36">
        <v>260.83624300000002</v>
      </c>
      <c r="E19" s="36">
        <v>257.91323899999998</v>
      </c>
      <c r="F19" s="36">
        <v>257.84356700000001</v>
      </c>
      <c r="G19" s="36">
        <v>257.84356700000001</v>
      </c>
      <c r="H19" s="36">
        <v>264.88855000000001</v>
      </c>
      <c r="I19" s="36">
        <v>266.08483899999999</v>
      </c>
      <c r="J19" s="36">
        <v>268.460938</v>
      </c>
      <c r="K19" s="36">
        <v>269.170593</v>
      </c>
      <c r="L19" s="36">
        <v>270.110229</v>
      </c>
      <c r="M19" s="36">
        <v>270.800049</v>
      </c>
      <c r="N19" s="36">
        <v>271.51544200000001</v>
      </c>
      <c r="O19" s="36">
        <v>271.23117100000002</v>
      </c>
      <c r="P19" s="36">
        <v>271.34008799999998</v>
      </c>
      <c r="Q19" s="36">
        <v>271.49011200000001</v>
      </c>
      <c r="R19" s="36">
        <v>272.54522700000001</v>
      </c>
      <c r="S19" s="36">
        <v>273.00341800000001</v>
      </c>
      <c r="T19" s="36">
        <v>273.00341800000001</v>
      </c>
      <c r="U19" s="36">
        <v>272.92224099999999</v>
      </c>
      <c r="V19" s="36">
        <v>272.92224099999999</v>
      </c>
      <c r="W19" s="36">
        <v>272.01623499999999</v>
      </c>
      <c r="X19" s="36">
        <v>272.01623499999999</v>
      </c>
      <c r="Y19" s="36">
        <v>271.75640900000002</v>
      </c>
      <c r="Z19" s="36">
        <v>271.75640900000002</v>
      </c>
      <c r="AA19" s="36">
        <v>275.05499300000002</v>
      </c>
      <c r="AB19" s="36">
        <v>276.51223800000002</v>
      </c>
      <c r="AC19" s="36">
        <v>276.61389200000002</v>
      </c>
      <c r="AD19" s="36">
        <v>278.08178700000002</v>
      </c>
      <c r="AE19" s="36">
        <v>280.23345899999998</v>
      </c>
      <c r="AF19" s="35">
        <v>2.9889999999999999E-3</v>
      </c>
      <c r="AG19" s="29"/>
    </row>
    <row r="20" spans="1:33" ht="15" customHeight="1">
      <c r="A20" s="34" t="s">
        <v>2482</v>
      </c>
      <c r="B20" s="37" t="s">
        <v>2483</v>
      </c>
      <c r="C20" s="36">
        <v>143.27842699999999</v>
      </c>
      <c r="D20" s="36">
        <v>147.87106299999999</v>
      </c>
      <c r="E20" s="36">
        <v>154.20671100000001</v>
      </c>
      <c r="F20" s="36">
        <v>162.56333900000001</v>
      </c>
      <c r="G20" s="36">
        <v>170.07247899999999</v>
      </c>
      <c r="H20" s="36">
        <v>179.566833</v>
      </c>
      <c r="I20" s="36">
        <v>192.20562699999999</v>
      </c>
      <c r="J20" s="36">
        <v>206.24179100000001</v>
      </c>
      <c r="K20" s="36">
        <v>209.447464</v>
      </c>
      <c r="L20" s="36">
        <v>216.00964400000001</v>
      </c>
      <c r="M20" s="36">
        <v>222.37063599999999</v>
      </c>
      <c r="N20" s="36">
        <v>230.02879300000001</v>
      </c>
      <c r="O20" s="36">
        <v>232.60884100000001</v>
      </c>
      <c r="P20" s="36">
        <v>236.18185399999999</v>
      </c>
      <c r="Q20" s="36">
        <v>240.37651099999999</v>
      </c>
      <c r="R20" s="36">
        <v>246.15837099999999</v>
      </c>
      <c r="S20" s="36">
        <v>251.46881099999999</v>
      </c>
      <c r="T20" s="36">
        <v>256.78701799999999</v>
      </c>
      <c r="U20" s="36">
        <v>261.18954500000001</v>
      </c>
      <c r="V20" s="36">
        <v>265.614868</v>
      </c>
      <c r="W20" s="36">
        <v>269.25848400000001</v>
      </c>
      <c r="X20" s="36">
        <v>273.91781600000002</v>
      </c>
      <c r="Y20" s="36">
        <v>279.74197400000003</v>
      </c>
      <c r="Z20" s="36">
        <v>287.02218599999998</v>
      </c>
      <c r="AA20" s="36">
        <v>296.12243699999999</v>
      </c>
      <c r="AB20" s="36">
        <v>301.46899400000001</v>
      </c>
      <c r="AC20" s="36">
        <v>306.07019000000003</v>
      </c>
      <c r="AD20" s="36">
        <v>312.75451700000002</v>
      </c>
      <c r="AE20" s="36">
        <v>317.25842299999999</v>
      </c>
      <c r="AF20" s="35">
        <v>2.8797E-2</v>
      </c>
      <c r="AG20" s="29"/>
    </row>
    <row r="21" spans="1:33" ht="15" customHeight="1">
      <c r="A21" s="34" t="s">
        <v>2484</v>
      </c>
      <c r="B21" s="37" t="s">
        <v>2485</v>
      </c>
      <c r="C21" s="36">
        <v>94.776611000000003</v>
      </c>
      <c r="D21" s="36">
        <v>97.004608000000005</v>
      </c>
      <c r="E21" s="36">
        <v>97.049614000000005</v>
      </c>
      <c r="F21" s="36">
        <v>95.927611999999996</v>
      </c>
      <c r="G21" s="36">
        <v>94.809616000000005</v>
      </c>
      <c r="H21" s="36">
        <v>94.809616000000005</v>
      </c>
      <c r="I21" s="36">
        <v>93.408614999999998</v>
      </c>
      <c r="J21" s="36">
        <v>93.408614999999998</v>
      </c>
      <c r="K21" s="36">
        <v>92.441115999999994</v>
      </c>
      <c r="L21" s="36">
        <v>92.441115999999994</v>
      </c>
      <c r="M21" s="36">
        <v>92.441115999999994</v>
      </c>
      <c r="N21" s="36">
        <v>87.427704000000006</v>
      </c>
      <c r="O21" s="36">
        <v>86.443207000000001</v>
      </c>
      <c r="P21" s="36">
        <v>85.466003000000001</v>
      </c>
      <c r="Q21" s="36">
        <v>83.437011999999996</v>
      </c>
      <c r="R21" s="36">
        <v>82.024010000000004</v>
      </c>
      <c r="S21" s="36">
        <v>79.612015</v>
      </c>
      <c r="T21" s="36">
        <v>78.404312000000004</v>
      </c>
      <c r="U21" s="36">
        <v>75.938309000000004</v>
      </c>
      <c r="V21" s="36">
        <v>75.938309000000004</v>
      </c>
      <c r="W21" s="36">
        <v>75.938309000000004</v>
      </c>
      <c r="X21" s="36">
        <v>75.938309000000004</v>
      </c>
      <c r="Y21" s="36">
        <v>75.938309000000004</v>
      </c>
      <c r="Z21" s="36">
        <v>75.938309000000004</v>
      </c>
      <c r="AA21" s="36">
        <v>75.938309000000004</v>
      </c>
      <c r="AB21" s="36">
        <v>75.938309000000004</v>
      </c>
      <c r="AC21" s="36">
        <v>75.938309000000004</v>
      </c>
      <c r="AD21" s="36">
        <v>75.938309000000004</v>
      </c>
      <c r="AE21" s="36">
        <v>75.938309000000004</v>
      </c>
      <c r="AF21" s="35">
        <v>-7.8829999999999994E-3</v>
      </c>
      <c r="AG21" s="29"/>
    </row>
    <row r="22" spans="1:33" ht="15" customHeight="1">
      <c r="A22" s="34" t="s">
        <v>2486</v>
      </c>
      <c r="B22" s="37" t="s">
        <v>2487</v>
      </c>
      <c r="C22" s="36">
        <v>23.007704</v>
      </c>
      <c r="D22" s="36">
        <v>23.007704</v>
      </c>
      <c r="E22" s="36">
        <v>23.007704</v>
      </c>
      <c r="F22" s="36">
        <v>23.007704</v>
      </c>
      <c r="G22" s="36">
        <v>23.007704</v>
      </c>
      <c r="H22" s="36">
        <v>23.007704</v>
      </c>
      <c r="I22" s="36">
        <v>23.007704</v>
      </c>
      <c r="J22" s="36">
        <v>23.007704</v>
      </c>
      <c r="K22" s="36">
        <v>23.007704</v>
      </c>
      <c r="L22" s="36">
        <v>23.007704</v>
      </c>
      <c r="M22" s="36">
        <v>23.007704</v>
      </c>
      <c r="N22" s="36">
        <v>23.007704</v>
      </c>
      <c r="O22" s="36">
        <v>23.007704</v>
      </c>
      <c r="P22" s="36">
        <v>23.007704</v>
      </c>
      <c r="Q22" s="36">
        <v>23.007704</v>
      </c>
      <c r="R22" s="36">
        <v>23.007704</v>
      </c>
      <c r="S22" s="36">
        <v>23.007704</v>
      </c>
      <c r="T22" s="36">
        <v>23.007704</v>
      </c>
      <c r="U22" s="36">
        <v>23.007704</v>
      </c>
      <c r="V22" s="36">
        <v>23.007704</v>
      </c>
      <c r="W22" s="36">
        <v>23.007704</v>
      </c>
      <c r="X22" s="36">
        <v>23.007704</v>
      </c>
      <c r="Y22" s="36">
        <v>23.007704</v>
      </c>
      <c r="Z22" s="36">
        <v>23.007704</v>
      </c>
      <c r="AA22" s="36">
        <v>23.007704</v>
      </c>
      <c r="AB22" s="36">
        <v>23.007704</v>
      </c>
      <c r="AC22" s="36">
        <v>23.007704</v>
      </c>
      <c r="AD22" s="36">
        <v>23.007704</v>
      </c>
      <c r="AE22" s="36">
        <v>23.007704</v>
      </c>
      <c r="AF22" s="35">
        <v>0</v>
      </c>
      <c r="AG22" s="29"/>
    </row>
    <row r="23" spans="1:33" ht="15" customHeight="1">
      <c r="A23" s="34" t="s">
        <v>2488</v>
      </c>
      <c r="B23" s="37" t="s">
        <v>2489</v>
      </c>
      <c r="C23" s="36">
        <v>6.3204000000000002</v>
      </c>
      <c r="D23" s="36">
        <v>10.757626999999999</v>
      </c>
      <c r="E23" s="36">
        <v>15.16413</v>
      </c>
      <c r="F23" s="36">
        <v>18.135919999999999</v>
      </c>
      <c r="G23" s="36">
        <v>20.234923999999999</v>
      </c>
      <c r="H23" s="36">
        <v>21.393924999999999</v>
      </c>
      <c r="I23" s="36">
        <v>26.075835999999999</v>
      </c>
      <c r="J23" s="36">
        <v>29.372323999999999</v>
      </c>
      <c r="K23" s="36">
        <v>31.532969999999999</v>
      </c>
      <c r="L23" s="36">
        <v>33.959183000000003</v>
      </c>
      <c r="M23" s="36">
        <v>38.962181000000001</v>
      </c>
      <c r="N23" s="36">
        <v>45.228306000000003</v>
      </c>
      <c r="O23" s="36">
        <v>49.784934999999997</v>
      </c>
      <c r="P23" s="36">
        <v>54.511059000000003</v>
      </c>
      <c r="Q23" s="36">
        <v>61.588740999999999</v>
      </c>
      <c r="R23" s="36">
        <v>70.435844000000003</v>
      </c>
      <c r="S23" s="36">
        <v>80.066085999999999</v>
      </c>
      <c r="T23" s="36">
        <v>89.864554999999996</v>
      </c>
      <c r="U23" s="36">
        <v>98.783057999999997</v>
      </c>
      <c r="V23" s="36">
        <v>107.62766999999999</v>
      </c>
      <c r="W23" s="36">
        <v>113.42926</v>
      </c>
      <c r="X23" s="36">
        <v>119.39762899999999</v>
      </c>
      <c r="Y23" s="36">
        <v>129.36019899999999</v>
      </c>
      <c r="Z23" s="36">
        <v>136.297821</v>
      </c>
      <c r="AA23" s="36">
        <v>139.62884500000001</v>
      </c>
      <c r="AB23" s="36">
        <v>145.051849</v>
      </c>
      <c r="AC23" s="36">
        <v>151.89106799999999</v>
      </c>
      <c r="AD23" s="36">
        <v>156.71523999999999</v>
      </c>
      <c r="AE23" s="36">
        <v>163.53500399999999</v>
      </c>
      <c r="AF23" s="35">
        <v>0.123206</v>
      </c>
      <c r="AG23" s="29"/>
    </row>
    <row r="24" spans="1:33" ht="15" customHeight="1">
      <c r="A24" s="34" t="s">
        <v>2490</v>
      </c>
      <c r="B24" s="37" t="s">
        <v>2491</v>
      </c>
      <c r="C24" s="36">
        <v>0.26569999999999999</v>
      </c>
      <c r="D24" s="36">
        <v>0.2903</v>
      </c>
      <c r="E24" s="36">
        <v>0.2903</v>
      </c>
      <c r="F24" s="36">
        <v>0.2903</v>
      </c>
      <c r="G24" s="36">
        <v>0.2903</v>
      </c>
      <c r="H24" s="36">
        <v>0.2903</v>
      </c>
      <c r="I24" s="36">
        <v>0.2903</v>
      </c>
      <c r="J24" s="36">
        <v>0.2903</v>
      </c>
      <c r="K24" s="36">
        <v>0.2903</v>
      </c>
      <c r="L24" s="36">
        <v>0.28920000000000001</v>
      </c>
      <c r="M24" s="36">
        <v>0.28920000000000001</v>
      </c>
      <c r="N24" s="36">
        <v>0.28920000000000001</v>
      </c>
      <c r="O24" s="36">
        <v>0.28920000000000001</v>
      </c>
      <c r="P24" s="36">
        <v>0.28920000000000001</v>
      </c>
      <c r="Q24" s="36">
        <v>0.28920000000000001</v>
      </c>
      <c r="R24" s="36">
        <v>0.28920000000000001</v>
      </c>
      <c r="S24" s="36">
        <v>0.28920000000000001</v>
      </c>
      <c r="T24" s="36">
        <v>0.28920000000000001</v>
      </c>
      <c r="U24" s="36">
        <v>0.28920000000000001</v>
      </c>
      <c r="V24" s="36">
        <v>0.28920000000000001</v>
      </c>
      <c r="W24" s="36">
        <v>0.28920000000000001</v>
      </c>
      <c r="X24" s="36">
        <v>0.28920000000000001</v>
      </c>
      <c r="Y24" s="36">
        <v>0.28920000000000001</v>
      </c>
      <c r="Z24" s="36">
        <v>0.28920000000000001</v>
      </c>
      <c r="AA24" s="36">
        <v>0.28920000000000001</v>
      </c>
      <c r="AB24" s="36">
        <v>0.28920000000000001</v>
      </c>
      <c r="AC24" s="36">
        <v>0.28920000000000001</v>
      </c>
      <c r="AD24" s="36">
        <v>0.28920000000000001</v>
      </c>
      <c r="AE24" s="36">
        <v>0.28920000000000001</v>
      </c>
      <c r="AF24" s="35">
        <v>3.0309999999999998E-3</v>
      </c>
      <c r="AG24" s="29"/>
    </row>
    <row r="25" spans="1:33" ht="15" customHeight="1">
      <c r="A25" s="34" t="s">
        <v>2492</v>
      </c>
      <c r="B25" s="37" t="s">
        <v>2493</v>
      </c>
      <c r="C25" s="36">
        <v>307.69635</v>
      </c>
      <c r="D25" s="36">
        <v>340.71551499999998</v>
      </c>
      <c r="E25" s="36">
        <v>381.80480999999997</v>
      </c>
      <c r="F25" s="36">
        <v>441.70507800000001</v>
      </c>
      <c r="G25" s="36">
        <v>516.61163299999998</v>
      </c>
      <c r="H25" s="36">
        <v>586.97436500000003</v>
      </c>
      <c r="I25" s="36">
        <v>647.29339600000003</v>
      </c>
      <c r="J25" s="36">
        <v>690.02221699999996</v>
      </c>
      <c r="K25" s="36">
        <v>728.005493</v>
      </c>
      <c r="L25" s="36">
        <v>759.39917000000003</v>
      </c>
      <c r="M25" s="36">
        <v>793.15789800000005</v>
      </c>
      <c r="N25" s="36">
        <v>823.83819600000004</v>
      </c>
      <c r="O25" s="36">
        <v>851.14294400000006</v>
      </c>
      <c r="P25" s="36">
        <v>869.27050799999995</v>
      </c>
      <c r="Q25" s="36">
        <v>891.71234100000004</v>
      </c>
      <c r="R25" s="36">
        <v>908.50213599999995</v>
      </c>
      <c r="S25" s="36">
        <v>929.19201699999996</v>
      </c>
      <c r="T25" s="36">
        <v>938.95043899999996</v>
      </c>
      <c r="U25" s="36">
        <v>956.40771500000005</v>
      </c>
      <c r="V25" s="36">
        <v>965.91119400000002</v>
      </c>
      <c r="W25" s="36">
        <v>981.21307400000001</v>
      </c>
      <c r="X25" s="36">
        <v>1000.398804</v>
      </c>
      <c r="Y25" s="36">
        <v>1023.604736</v>
      </c>
      <c r="Z25" s="36">
        <v>1052.7154539999999</v>
      </c>
      <c r="AA25" s="36">
        <v>1079.4467770000001</v>
      </c>
      <c r="AB25" s="36">
        <v>1099.8275149999999</v>
      </c>
      <c r="AC25" s="36">
        <v>1118.160034</v>
      </c>
      <c r="AD25" s="36">
        <v>1139.9886469999999</v>
      </c>
      <c r="AE25" s="36">
        <v>1162.1793210000001</v>
      </c>
      <c r="AF25" s="35">
        <v>4.8606999999999997E-2</v>
      </c>
      <c r="AG25" s="29"/>
    </row>
    <row r="26" spans="1:33" ht="15" customHeight="1">
      <c r="A26" s="34" t="s">
        <v>2494</v>
      </c>
      <c r="B26" s="37" t="s">
        <v>2495</v>
      </c>
      <c r="C26" s="36">
        <v>0</v>
      </c>
      <c r="D26" s="36">
        <v>0</v>
      </c>
      <c r="E26" s="36">
        <v>0.46893800000000002</v>
      </c>
      <c r="F26" s="36">
        <v>0.595611</v>
      </c>
      <c r="G26" s="36">
        <v>0.72816700000000001</v>
      </c>
      <c r="H26" s="36">
        <v>0.91843300000000005</v>
      </c>
      <c r="I26" s="36">
        <v>1.2809410000000001</v>
      </c>
      <c r="J26" s="36">
        <v>1.6805049999999999</v>
      </c>
      <c r="K26" s="36">
        <v>2.1516479999999998</v>
      </c>
      <c r="L26" s="36">
        <v>2.6822170000000001</v>
      </c>
      <c r="M26" s="36">
        <v>3.2450860000000001</v>
      </c>
      <c r="N26" s="36">
        <v>3.8611010000000001</v>
      </c>
      <c r="O26" s="36">
        <v>4.5311529999999998</v>
      </c>
      <c r="P26" s="36">
        <v>5.3206300000000004</v>
      </c>
      <c r="Q26" s="36">
        <v>6.1007930000000004</v>
      </c>
      <c r="R26" s="36">
        <v>7.090236</v>
      </c>
      <c r="S26" s="36">
        <v>8.1922379999999997</v>
      </c>
      <c r="T26" s="36">
        <v>9.1135629999999992</v>
      </c>
      <c r="U26" s="36">
        <v>10.111860999999999</v>
      </c>
      <c r="V26" s="36">
        <v>11.363516000000001</v>
      </c>
      <c r="W26" s="36">
        <v>12.585413000000001</v>
      </c>
      <c r="X26" s="36">
        <v>13.965759</v>
      </c>
      <c r="Y26" s="36">
        <v>15.482409000000001</v>
      </c>
      <c r="Z26" s="36">
        <v>17.241057999999999</v>
      </c>
      <c r="AA26" s="36">
        <v>19.031600999999998</v>
      </c>
      <c r="AB26" s="36">
        <v>20.890867</v>
      </c>
      <c r="AC26" s="36">
        <v>22.722301000000002</v>
      </c>
      <c r="AD26" s="36">
        <v>24.698650000000001</v>
      </c>
      <c r="AE26" s="36">
        <v>26.763594000000001</v>
      </c>
      <c r="AF26" s="35" t="s">
        <v>1278</v>
      </c>
      <c r="AG26" s="29"/>
    </row>
    <row r="27" spans="1:33" ht="15" customHeight="1">
      <c r="A27" s="34" t="s">
        <v>2496</v>
      </c>
      <c r="B27" s="33" t="s">
        <v>2497</v>
      </c>
      <c r="C27" s="32">
        <v>1105.1522219999999</v>
      </c>
      <c r="D27" s="32">
        <v>1140.9968260000001</v>
      </c>
      <c r="E27" s="32">
        <v>1178.211548</v>
      </c>
      <c r="F27" s="32">
        <v>1223.210693</v>
      </c>
      <c r="G27" s="32">
        <v>1298.8085940000001</v>
      </c>
      <c r="H27" s="32">
        <v>1375.8245850000001</v>
      </c>
      <c r="I27" s="32">
        <v>1435.674683</v>
      </c>
      <c r="J27" s="32">
        <v>1480.5267329999999</v>
      </c>
      <c r="K27" s="32">
        <v>1516.272827</v>
      </c>
      <c r="L27" s="32">
        <v>1554.7513429999999</v>
      </c>
      <c r="M27" s="32">
        <v>1597.196533</v>
      </c>
      <c r="N27" s="32">
        <v>1635.8264160000001</v>
      </c>
      <c r="O27" s="32">
        <v>1665.9514160000001</v>
      </c>
      <c r="P27" s="32">
        <v>1689.7338870000001</v>
      </c>
      <c r="Q27" s="32">
        <v>1721.7513429999999</v>
      </c>
      <c r="R27" s="32">
        <v>1751.893433</v>
      </c>
      <c r="S27" s="32">
        <v>1782.2292480000001</v>
      </c>
      <c r="T27" s="32">
        <v>1803.7222899999999</v>
      </c>
      <c r="U27" s="32">
        <v>1828.681763</v>
      </c>
      <c r="V27" s="32">
        <v>1851.180908</v>
      </c>
      <c r="W27" s="32">
        <v>1876.2438959999999</v>
      </c>
      <c r="X27" s="32">
        <v>1907.4376219999999</v>
      </c>
      <c r="Y27" s="32">
        <v>1946.592163</v>
      </c>
      <c r="Z27" s="32">
        <v>1991.6793210000001</v>
      </c>
      <c r="AA27" s="32">
        <v>2033.360107</v>
      </c>
      <c r="AB27" s="32">
        <v>2066.6677249999998</v>
      </c>
      <c r="AC27" s="32">
        <v>2097.7639159999999</v>
      </c>
      <c r="AD27" s="32">
        <v>2134.4946289999998</v>
      </c>
      <c r="AE27" s="32">
        <v>2172.2214359999998</v>
      </c>
      <c r="AF27" s="31">
        <v>2.4427999999999998E-2</v>
      </c>
      <c r="AG27" s="29"/>
    </row>
    <row r="28" spans="1:33" ht="15" customHeight="1">
      <c r="B28" s="33" t="s">
        <v>2498</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row>
    <row r="29" spans="1:33" ht="15" customHeight="1">
      <c r="A29" s="34" t="s">
        <v>2499</v>
      </c>
      <c r="B29" s="37" t="s">
        <v>2500</v>
      </c>
      <c r="C29" s="36">
        <v>1.6969000000000001</v>
      </c>
      <c r="D29" s="36">
        <v>1.6969000000000001</v>
      </c>
      <c r="E29" s="36">
        <v>1.4529000000000001</v>
      </c>
      <c r="F29" s="36">
        <v>1.3929</v>
      </c>
      <c r="G29" s="36">
        <v>1.3929</v>
      </c>
      <c r="H29" s="36">
        <v>1.3929</v>
      </c>
      <c r="I29" s="36">
        <v>1.3929</v>
      </c>
      <c r="J29" s="36">
        <v>1.3929</v>
      </c>
      <c r="K29" s="36">
        <v>1.3929</v>
      </c>
      <c r="L29" s="36">
        <v>1.3929</v>
      </c>
      <c r="M29" s="36">
        <v>1.3929</v>
      </c>
      <c r="N29" s="36">
        <v>1.3929</v>
      </c>
      <c r="O29" s="36">
        <v>1.3929</v>
      </c>
      <c r="P29" s="36">
        <v>1.3929</v>
      </c>
      <c r="Q29" s="36">
        <v>1.3929</v>
      </c>
      <c r="R29" s="36">
        <v>1.3929</v>
      </c>
      <c r="S29" s="36">
        <v>1.3929</v>
      </c>
      <c r="T29" s="36">
        <v>1.3929</v>
      </c>
      <c r="U29" s="36">
        <v>1.3929</v>
      </c>
      <c r="V29" s="36">
        <v>1.3929</v>
      </c>
      <c r="W29" s="36">
        <v>1.3929</v>
      </c>
      <c r="X29" s="36">
        <v>1.3929</v>
      </c>
      <c r="Y29" s="36">
        <v>1.3929</v>
      </c>
      <c r="Z29" s="36">
        <v>1.3929</v>
      </c>
      <c r="AA29" s="36">
        <v>1.3929</v>
      </c>
      <c r="AB29" s="36">
        <v>1.3929</v>
      </c>
      <c r="AC29" s="36">
        <v>1.3929</v>
      </c>
      <c r="AD29" s="36">
        <v>1.3929</v>
      </c>
      <c r="AE29" s="36">
        <v>1.3929</v>
      </c>
      <c r="AF29" s="35">
        <v>-7.0260000000000001E-3</v>
      </c>
      <c r="AG29" s="29"/>
    </row>
    <row r="30" spans="1:33" ht="15" customHeight="1">
      <c r="A30" s="34" t="s">
        <v>2501</v>
      </c>
      <c r="B30" s="37" t="s">
        <v>2502</v>
      </c>
      <c r="C30" s="36">
        <v>0.57179999999999997</v>
      </c>
      <c r="D30" s="36">
        <v>0.57179999999999997</v>
      </c>
      <c r="E30" s="36">
        <v>0.57179999999999997</v>
      </c>
      <c r="F30" s="36">
        <v>0.57179999999999997</v>
      </c>
      <c r="G30" s="36">
        <v>0.57179999999999997</v>
      </c>
      <c r="H30" s="36">
        <v>0.57179999999999997</v>
      </c>
      <c r="I30" s="36">
        <v>0.57179999999999997</v>
      </c>
      <c r="J30" s="36">
        <v>0.57179999999999997</v>
      </c>
      <c r="K30" s="36">
        <v>0.57179999999999997</v>
      </c>
      <c r="L30" s="36">
        <v>0.57179999999999997</v>
      </c>
      <c r="M30" s="36">
        <v>0.57179999999999997</v>
      </c>
      <c r="N30" s="36">
        <v>0.57179999999999997</v>
      </c>
      <c r="O30" s="36">
        <v>0.57179999999999997</v>
      </c>
      <c r="P30" s="36">
        <v>0.57179999999999997</v>
      </c>
      <c r="Q30" s="36">
        <v>0.57179999999999997</v>
      </c>
      <c r="R30" s="36">
        <v>0.57179999999999997</v>
      </c>
      <c r="S30" s="36">
        <v>0.57179999999999997</v>
      </c>
      <c r="T30" s="36">
        <v>0.57179999999999997</v>
      </c>
      <c r="U30" s="36">
        <v>0.57179999999999997</v>
      </c>
      <c r="V30" s="36">
        <v>0.57179999999999997</v>
      </c>
      <c r="W30" s="36">
        <v>0.57179999999999997</v>
      </c>
      <c r="X30" s="36">
        <v>0.57179999999999997</v>
      </c>
      <c r="Y30" s="36">
        <v>0.57179999999999997</v>
      </c>
      <c r="Z30" s="36">
        <v>0.57179999999999997</v>
      </c>
      <c r="AA30" s="36">
        <v>0.57179999999999997</v>
      </c>
      <c r="AB30" s="36">
        <v>0.57179999999999997</v>
      </c>
      <c r="AC30" s="36">
        <v>0.57179999999999997</v>
      </c>
      <c r="AD30" s="36">
        <v>0.57179999999999997</v>
      </c>
      <c r="AE30" s="36">
        <v>0.57179999999999997</v>
      </c>
      <c r="AF30" s="35">
        <v>0</v>
      </c>
      <c r="AG30" s="29"/>
    </row>
    <row r="31" spans="1:33" ht="12" customHeight="1">
      <c r="A31" s="34" t="s">
        <v>2503</v>
      </c>
      <c r="B31" s="37" t="s">
        <v>2481</v>
      </c>
      <c r="C31" s="36">
        <v>21.283404999999998</v>
      </c>
      <c r="D31" s="36">
        <v>21.197906</v>
      </c>
      <c r="E31" s="36">
        <v>21.197906</v>
      </c>
      <c r="F31" s="36">
        <v>21.197906</v>
      </c>
      <c r="G31" s="36">
        <v>21.197906</v>
      </c>
      <c r="H31" s="36">
        <v>21.197906</v>
      </c>
      <c r="I31" s="36">
        <v>21.197906</v>
      </c>
      <c r="J31" s="36">
        <v>21.197906</v>
      </c>
      <c r="K31" s="36">
        <v>21.104804999999999</v>
      </c>
      <c r="L31" s="36">
        <v>21.104804999999999</v>
      </c>
      <c r="M31" s="36">
        <v>21.104804999999999</v>
      </c>
      <c r="N31" s="36">
        <v>21.104804999999999</v>
      </c>
      <c r="O31" s="36">
        <v>21.104804999999999</v>
      </c>
      <c r="P31" s="36">
        <v>21.104804999999999</v>
      </c>
      <c r="Q31" s="36">
        <v>21.104804999999999</v>
      </c>
      <c r="R31" s="36">
        <v>21.104804999999999</v>
      </c>
      <c r="S31" s="36">
        <v>21.104804999999999</v>
      </c>
      <c r="T31" s="36">
        <v>21.104804999999999</v>
      </c>
      <c r="U31" s="36">
        <v>21.104804999999999</v>
      </c>
      <c r="V31" s="36">
        <v>21.104804999999999</v>
      </c>
      <c r="W31" s="36">
        <v>21.104804999999999</v>
      </c>
      <c r="X31" s="36">
        <v>21.104804999999999</v>
      </c>
      <c r="Y31" s="36">
        <v>21.104804999999999</v>
      </c>
      <c r="Z31" s="36">
        <v>21.104804999999999</v>
      </c>
      <c r="AA31" s="36">
        <v>21.104804999999999</v>
      </c>
      <c r="AB31" s="36">
        <v>21.104804999999999</v>
      </c>
      <c r="AC31" s="36">
        <v>21.104804999999999</v>
      </c>
      <c r="AD31" s="36">
        <v>21.104804999999999</v>
      </c>
      <c r="AE31" s="36">
        <v>21.104804999999999</v>
      </c>
      <c r="AF31" s="35">
        <v>-3.01E-4</v>
      </c>
      <c r="AG31" s="29"/>
    </row>
    <row r="32" spans="1:33" ht="12" customHeight="1">
      <c r="A32" s="34" t="s">
        <v>2504</v>
      </c>
      <c r="B32" s="37" t="s">
        <v>2483</v>
      </c>
      <c r="C32" s="36">
        <v>3.0798999999999999</v>
      </c>
      <c r="D32" s="36">
        <v>3.0798999999999999</v>
      </c>
      <c r="E32" s="36">
        <v>3.0798999999999999</v>
      </c>
      <c r="F32" s="36">
        <v>3.0798999999999999</v>
      </c>
      <c r="G32" s="36">
        <v>3.0798999999999999</v>
      </c>
      <c r="H32" s="36">
        <v>3.0798999999999999</v>
      </c>
      <c r="I32" s="36">
        <v>3.0798999999999999</v>
      </c>
      <c r="J32" s="36">
        <v>3.0798999999999999</v>
      </c>
      <c r="K32" s="36">
        <v>3.0798999999999999</v>
      </c>
      <c r="L32" s="36">
        <v>3.0798999999999999</v>
      </c>
      <c r="M32" s="36">
        <v>3.0798999999999999</v>
      </c>
      <c r="N32" s="36">
        <v>3.0798999999999999</v>
      </c>
      <c r="O32" s="36">
        <v>3.0798999999999999</v>
      </c>
      <c r="P32" s="36">
        <v>3.0798999999999999</v>
      </c>
      <c r="Q32" s="36">
        <v>3.0798999999999999</v>
      </c>
      <c r="R32" s="36">
        <v>3.0798999999999999</v>
      </c>
      <c r="S32" s="36">
        <v>3.0798999999999999</v>
      </c>
      <c r="T32" s="36">
        <v>3.0798999999999999</v>
      </c>
      <c r="U32" s="36">
        <v>3.0798999999999999</v>
      </c>
      <c r="V32" s="36">
        <v>3.0798999999999999</v>
      </c>
      <c r="W32" s="36">
        <v>3.0798999999999999</v>
      </c>
      <c r="X32" s="36">
        <v>3.0798999999999999</v>
      </c>
      <c r="Y32" s="36">
        <v>3.0798999999999999</v>
      </c>
      <c r="Z32" s="36">
        <v>3.0798999999999999</v>
      </c>
      <c r="AA32" s="36">
        <v>3.0798999999999999</v>
      </c>
      <c r="AB32" s="36">
        <v>3.0798999999999999</v>
      </c>
      <c r="AC32" s="36">
        <v>3.0798999999999999</v>
      </c>
      <c r="AD32" s="36">
        <v>3.0798999999999999</v>
      </c>
      <c r="AE32" s="36">
        <v>3.0798999999999999</v>
      </c>
      <c r="AF32" s="35">
        <v>0</v>
      </c>
      <c r="AG32" s="29"/>
    </row>
    <row r="33" spans="1:33" ht="12" customHeight="1">
      <c r="A33" s="34" t="s">
        <v>2505</v>
      </c>
      <c r="B33" s="37" t="s">
        <v>2493</v>
      </c>
      <c r="C33" s="36">
        <v>0.87753700000000001</v>
      </c>
      <c r="D33" s="36">
        <v>0.87953700000000001</v>
      </c>
      <c r="E33" s="36">
        <v>0.87953700000000001</v>
      </c>
      <c r="F33" s="36">
        <v>0.87953700000000001</v>
      </c>
      <c r="G33" s="36">
        <v>0.87953700000000001</v>
      </c>
      <c r="H33" s="36">
        <v>0.87953700000000001</v>
      </c>
      <c r="I33" s="36">
        <v>0.87953700000000001</v>
      </c>
      <c r="J33" s="36">
        <v>0.87953700000000001</v>
      </c>
      <c r="K33" s="36">
        <v>0.87953700000000001</v>
      </c>
      <c r="L33" s="36">
        <v>0.87953700000000001</v>
      </c>
      <c r="M33" s="36">
        <v>0.87953700000000001</v>
      </c>
      <c r="N33" s="36">
        <v>0.87953700000000001</v>
      </c>
      <c r="O33" s="36">
        <v>0.87953700000000001</v>
      </c>
      <c r="P33" s="36">
        <v>0.87953700000000001</v>
      </c>
      <c r="Q33" s="36">
        <v>0.87953700000000001</v>
      </c>
      <c r="R33" s="36">
        <v>0.87953700000000001</v>
      </c>
      <c r="S33" s="36">
        <v>0.87953700000000001</v>
      </c>
      <c r="T33" s="36">
        <v>0.87953700000000001</v>
      </c>
      <c r="U33" s="36">
        <v>0.87953700000000001</v>
      </c>
      <c r="V33" s="36">
        <v>0.87953700000000001</v>
      </c>
      <c r="W33" s="36">
        <v>0.87953700000000001</v>
      </c>
      <c r="X33" s="36">
        <v>0.87953700000000001</v>
      </c>
      <c r="Y33" s="36">
        <v>0.87953700000000001</v>
      </c>
      <c r="Z33" s="36">
        <v>0.87953700000000001</v>
      </c>
      <c r="AA33" s="36">
        <v>0.87953700000000001</v>
      </c>
      <c r="AB33" s="36">
        <v>0.87953700000000001</v>
      </c>
      <c r="AC33" s="36">
        <v>0.87953700000000001</v>
      </c>
      <c r="AD33" s="36">
        <v>0.87953700000000001</v>
      </c>
      <c r="AE33" s="36">
        <v>0.87953700000000001</v>
      </c>
      <c r="AF33" s="35">
        <v>8.1000000000000004E-5</v>
      </c>
      <c r="AG33" s="29"/>
    </row>
    <row r="34" spans="1:33" ht="12" customHeight="1">
      <c r="A34" s="34" t="s">
        <v>2506</v>
      </c>
      <c r="B34" s="33" t="s">
        <v>2497</v>
      </c>
      <c r="C34" s="32">
        <v>27.509542</v>
      </c>
      <c r="D34" s="32">
        <v>27.426044000000001</v>
      </c>
      <c r="E34" s="32">
        <v>27.182044999999999</v>
      </c>
      <c r="F34" s="32">
        <v>27.122046000000001</v>
      </c>
      <c r="G34" s="32">
        <v>27.122046000000001</v>
      </c>
      <c r="H34" s="32">
        <v>27.122046000000001</v>
      </c>
      <c r="I34" s="32">
        <v>27.122046000000001</v>
      </c>
      <c r="J34" s="32">
        <v>27.122046000000001</v>
      </c>
      <c r="K34" s="32">
        <v>27.028943999999999</v>
      </c>
      <c r="L34" s="32">
        <v>27.028943999999999</v>
      </c>
      <c r="M34" s="32">
        <v>27.028943999999999</v>
      </c>
      <c r="N34" s="32">
        <v>27.028943999999999</v>
      </c>
      <c r="O34" s="32">
        <v>27.028943999999999</v>
      </c>
      <c r="P34" s="32">
        <v>27.028943999999999</v>
      </c>
      <c r="Q34" s="32">
        <v>27.028943999999999</v>
      </c>
      <c r="R34" s="32">
        <v>27.028943999999999</v>
      </c>
      <c r="S34" s="32">
        <v>27.028943999999999</v>
      </c>
      <c r="T34" s="32">
        <v>27.028943999999999</v>
      </c>
      <c r="U34" s="32">
        <v>27.028943999999999</v>
      </c>
      <c r="V34" s="32">
        <v>27.028943999999999</v>
      </c>
      <c r="W34" s="32">
        <v>27.028943999999999</v>
      </c>
      <c r="X34" s="32">
        <v>27.028943999999999</v>
      </c>
      <c r="Y34" s="32">
        <v>27.028943999999999</v>
      </c>
      <c r="Z34" s="32">
        <v>27.028943999999999</v>
      </c>
      <c r="AA34" s="32">
        <v>27.028943999999999</v>
      </c>
      <c r="AB34" s="32">
        <v>27.028943999999999</v>
      </c>
      <c r="AC34" s="32">
        <v>27.028943999999999</v>
      </c>
      <c r="AD34" s="32">
        <v>27.028943999999999</v>
      </c>
      <c r="AE34" s="32">
        <v>27.028943999999999</v>
      </c>
      <c r="AF34" s="31">
        <v>-6.29E-4</v>
      </c>
      <c r="AG34" s="29"/>
    </row>
    <row r="35" spans="1:33" ht="12" customHeight="1">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row>
    <row r="36" spans="1:33" ht="12" customHeight="1">
      <c r="B36" s="33" t="s">
        <v>2507</v>
      </c>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row>
    <row r="37" spans="1:33" ht="12" customHeight="1">
      <c r="A37" s="34" t="s">
        <v>2508</v>
      </c>
      <c r="B37" s="37" t="s">
        <v>2500</v>
      </c>
      <c r="C37" s="36" t="s">
        <v>1278</v>
      </c>
      <c r="D37" s="36">
        <v>0</v>
      </c>
      <c r="E37" s="36">
        <v>0</v>
      </c>
      <c r="F37" s="36">
        <v>0</v>
      </c>
      <c r="G37" s="36">
        <v>0</v>
      </c>
      <c r="H37" s="36">
        <v>0</v>
      </c>
      <c r="I37" s="36">
        <v>0</v>
      </c>
      <c r="J37" s="36">
        <v>0</v>
      </c>
      <c r="K37" s="36">
        <v>0</v>
      </c>
      <c r="L37" s="36">
        <v>0</v>
      </c>
      <c r="M37" s="36">
        <v>0</v>
      </c>
      <c r="N37" s="36">
        <v>0</v>
      </c>
      <c r="O37" s="36">
        <v>0</v>
      </c>
      <c r="P37" s="36">
        <v>0</v>
      </c>
      <c r="Q37" s="36">
        <v>0</v>
      </c>
      <c r="R37" s="36">
        <v>0</v>
      </c>
      <c r="S37" s="36">
        <v>0</v>
      </c>
      <c r="T37" s="36">
        <v>0</v>
      </c>
      <c r="U37" s="36">
        <v>0</v>
      </c>
      <c r="V37" s="36">
        <v>0</v>
      </c>
      <c r="W37" s="36">
        <v>0</v>
      </c>
      <c r="X37" s="36">
        <v>0</v>
      </c>
      <c r="Y37" s="36">
        <v>0</v>
      </c>
      <c r="Z37" s="36">
        <v>0</v>
      </c>
      <c r="AA37" s="36">
        <v>0</v>
      </c>
      <c r="AB37" s="36">
        <v>0</v>
      </c>
      <c r="AC37" s="36">
        <v>0</v>
      </c>
      <c r="AD37" s="36">
        <v>0</v>
      </c>
      <c r="AE37" s="36">
        <v>0</v>
      </c>
      <c r="AF37" s="35" t="s">
        <v>1278</v>
      </c>
      <c r="AG37" s="29"/>
    </row>
    <row r="38" spans="1:33" ht="12" customHeight="1">
      <c r="A38" s="34" t="s">
        <v>2509</v>
      </c>
      <c r="B38" s="37" t="s">
        <v>2502</v>
      </c>
      <c r="C38" s="36" t="s">
        <v>1278</v>
      </c>
      <c r="D38" s="36">
        <v>0</v>
      </c>
      <c r="E38" s="36">
        <v>0</v>
      </c>
      <c r="F38" s="36">
        <v>0</v>
      </c>
      <c r="G38" s="36">
        <v>0</v>
      </c>
      <c r="H38" s="36">
        <v>0</v>
      </c>
      <c r="I38" s="36">
        <v>0</v>
      </c>
      <c r="J38" s="36">
        <v>0</v>
      </c>
      <c r="K38" s="36">
        <v>0</v>
      </c>
      <c r="L38" s="36">
        <v>0</v>
      </c>
      <c r="M38" s="36">
        <v>0</v>
      </c>
      <c r="N38" s="36">
        <v>0</v>
      </c>
      <c r="O38" s="36">
        <v>0</v>
      </c>
      <c r="P38" s="36">
        <v>0</v>
      </c>
      <c r="Q38" s="36">
        <v>0</v>
      </c>
      <c r="R38" s="36">
        <v>0</v>
      </c>
      <c r="S38" s="36">
        <v>0</v>
      </c>
      <c r="T38" s="36">
        <v>0</v>
      </c>
      <c r="U38" s="36">
        <v>0</v>
      </c>
      <c r="V38" s="36">
        <v>0</v>
      </c>
      <c r="W38" s="36">
        <v>0</v>
      </c>
      <c r="X38" s="36">
        <v>0</v>
      </c>
      <c r="Y38" s="36">
        <v>0</v>
      </c>
      <c r="Z38" s="36">
        <v>0</v>
      </c>
      <c r="AA38" s="36">
        <v>0</v>
      </c>
      <c r="AB38" s="36">
        <v>0</v>
      </c>
      <c r="AC38" s="36">
        <v>0</v>
      </c>
      <c r="AD38" s="36">
        <v>0</v>
      </c>
      <c r="AE38" s="36">
        <v>0</v>
      </c>
      <c r="AF38" s="35" t="s">
        <v>1278</v>
      </c>
      <c r="AG38" s="29"/>
    </row>
    <row r="39" spans="1:33" ht="12" customHeight="1">
      <c r="A39" s="34" t="s">
        <v>2510</v>
      </c>
      <c r="B39" s="37" t="s">
        <v>2481</v>
      </c>
      <c r="C39" s="36" t="s">
        <v>1278</v>
      </c>
      <c r="D39" s="36">
        <v>3.0718999999999999</v>
      </c>
      <c r="E39" s="36">
        <v>3.7166999999999999</v>
      </c>
      <c r="F39" s="36">
        <v>4.2626999999999997</v>
      </c>
      <c r="G39" s="36">
        <v>4.2626999999999997</v>
      </c>
      <c r="H39" s="36">
        <v>4.2626999999999997</v>
      </c>
      <c r="I39" s="36">
        <v>4.2626999999999997</v>
      </c>
      <c r="J39" s="36">
        <v>4.2626999999999997</v>
      </c>
      <c r="K39" s="36">
        <v>4.2626999999999997</v>
      </c>
      <c r="L39" s="36">
        <v>4.2626999999999997</v>
      </c>
      <c r="M39" s="36">
        <v>4.2626999999999997</v>
      </c>
      <c r="N39" s="36">
        <v>4.2626999999999997</v>
      </c>
      <c r="O39" s="36">
        <v>4.2626999999999997</v>
      </c>
      <c r="P39" s="36">
        <v>4.2626999999999997</v>
      </c>
      <c r="Q39" s="36">
        <v>4.2626999999999997</v>
      </c>
      <c r="R39" s="36">
        <v>4.2626999999999997</v>
      </c>
      <c r="S39" s="36">
        <v>4.2626999999999997</v>
      </c>
      <c r="T39" s="36">
        <v>4.2626999999999997</v>
      </c>
      <c r="U39" s="36">
        <v>4.2626999999999997</v>
      </c>
      <c r="V39" s="36">
        <v>4.2626999999999997</v>
      </c>
      <c r="W39" s="36">
        <v>4.2626999999999997</v>
      </c>
      <c r="X39" s="36">
        <v>4.2626999999999997</v>
      </c>
      <c r="Y39" s="36">
        <v>4.2626999999999997</v>
      </c>
      <c r="Z39" s="36">
        <v>4.2626999999999997</v>
      </c>
      <c r="AA39" s="36">
        <v>4.2626999999999997</v>
      </c>
      <c r="AB39" s="36">
        <v>4.2626999999999997</v>
      </c>
      <c r="AC39" s="36">
        <v>4.2626999999999997</v>
      </c>
      <c r="AD39" s="36">
        <v>4.2626999999999997</v>
      </c>
      <c r="AE39" s="36">
        <v>4.2626999999999997</v>
      </c>
      <c r="AF39" s="35" t="s">
        <v>1278</v>
      </c>
      <c r="AG39" s="29"/>
    </row>
    <row r="40" spans="1:33" ht="12" customHeight="1">
      <c r="A40" s="34" t="s">
        <v>2511</v>
      </c>
      <c r="B40" s="37" t="s">
        <v>2483</v>
      </c>
      <c r="C40" s="36" t="s">
        <v>1278</v>
      </c>
      <c r="D40" s="36">
        <v>2.1429999999999998</v>
      </c>
      <c r="E40" s="36">
        <v>3.2776000000000001</v>
      </c>
      <c r="F40" s="36">
        <v>3.2776000000000001</v>
      </c>
      <c r="G40" s="36">
        <v>3.2776000000000001</v>
      </c>
      <c r="H40" s="36">
        <v>3.2776000000000001</v>
      </c>
      <c r="I40" s="36">
        <v>3.2776000000000001</v>
      </c>
      <c r="J40" s="36">
        <v>3.2776000000000001</v>
      </c>
      <c r="K40" s="36">
        <v>3.2776000000000001</v>
      </c>
      <c r="L40" s="36">
        <v>3.2776000000000001</v>
      </c>
      <c r="M40" s="36">
        <v>3.2776000000000001</v>
      </c>
      <c r="N40" s="36">
        <v>3.2776000000000001</v>
      </c>
      <c r="O40" s="36">
        <v>3.2776000000000001</v>
      </c>
      <c r="P40" s="36">
        <v>3.2776000000000001</v>
      </c>
      <c r="Q40" s="36">
        <v>3.2776000000000001</v>
      </c>
      <c r="R40" s="36">
        <v>3.2776000000000001</v>
      </c>
      <c r="S40" s="36">
        <v>3.2776000000000001</v>
      </c>
      <c r="T40" s="36">
        <v>3.2776000000000001</v>
      </c>
      <c r="U40" s="36">
        <v>3.2776000000000001</v>
      </c>
      <c r="V40" s="36">
        <v>3.2776000000000001</v>
      </c>
      <c r="W40" s="36">
        <v>3.2776000000000001</v>
      </c>
      <c r="X40" s="36">
        <v>3.2776000000000001</v>
      </c>
      <c r="Y40" s="36">
        <v>3.2776000000000001</v>
      </c>
      <c r="Z40" s="36">
        <v>3.2776000000000001</v>
      </c>
      <c r="AA40" s="36">
        <v>3.2776000000000001</v>
      </c>
      <c r="AB40" s="36">
        <v>3.2776000000000001</v>
      </c>
      <c r="AC40" s="36">
        <v>3.2776000000000001</v>
      </c>
      <c r="AD40" s="36">
        <v>3.2776000000000001</v>
      </c>
      <c r="AE40" s="36">
        <v>3.2776000000000001</v>
      </c>
      <c r="AF40" s="35" t="s">
        <v>1278</v>
      </c>
      <c r="AG40" s="29"/>
    </row>
    <row r="41" spans="1:33" ht="12" customHeight="1">
      <c r="A41" s="34" t="s">
        <v>2512</v>
      </c>
      <c r="B41" s="37" t="s">
        <v>2513</v>
      </c>
      <c r="C41" s="36" t="s">
        <v>1278</v>
      </c>
      <c r="D41" s="36">
        <v>2.2280000000000002</v>
      </c>
      <c r="E41" s="36">
        <v>2.2280000000000002</v>
      </c>
      <c r="F41" s="36">
        <v>2.2280000000000002</v>
      </c>
      <c r="G41" s="36">
        <v>2.2280000000000002</v>
      </c>
      <c r="H41" s="36">
        <v>2.2280000000000002</v>
      </c>
      <c r="I41" s="36">
        <v>2.2280000000000002</v>
      </c>
      <c r="J41" s="36">
        <v>2.2280000000000002</v>
      </c>
      <c r="K41" s="36">
        <v>2.2280000000000002</v>
      </c>
      <c r="L41" s="36">
        <v>2.2280000000000002</v>
      </c>
      <c r="M41" s="36">
        <v>2.2280000000000002</v>
      </c>
      <c r="N41" s="36">
        <v>2.2280000000000002</v>
      </c>
      <c r="O41" s="36">
        <v>2.2280000000000002</v>
      </c>
      <c r="P41" s="36">
        <v>2.2280000000000002</v>
      </c>
      <c r="Q41" s="36">
        <v>2.2280000000000002</v>
      </c>
      <c r="R41" s="36">
        <v>2.2280000000000002</v>
      </c>
      <c r="S41" s="36">
        <v>2.2280000000000002</v>
      </c>
      <c r="T41" s="36">
        <v>2.2280000000000002</v>
      </c>
      <c r="U41" s="36">
        <v>2.2280000000000002</v>
      </c>
      <c r="V41" s="36">
        <v>2.2280000000000002</v>
      </c>
      <c r="W41" s="36">
        <v>2.2280000000000002</v>
      </c>
      <c r="X41" s="36">
        <v>2.2280000000000002</v>
      </c>
      <c r="Y41" s="36">
        <v>2.2280000000000002</v>
      </c>
      <c r="Z41" s="36">
        <v>2.2280000000000002</v>
      </c>
      <c r="AA41" s="36">
        <v>2.2280000000000002</v>
      </c>
      <c r="AB41" s="36">
        <v>2.2280000000000002</v>
      </c>
      <c r="AC41" s="36">
        <v>2.2280000000000002</v>
      </c>
      <c r="AD41" s="36">
        <v>2.2280000000000002</v>
      </c>
      <c r="AE41" s="36">
        <v>2.2280000000000002</v>
      </c>
      <c r="AF41" s="35" t="s">
        <v>1278</v>
      </c>
      <c r="AG41" s="29"/>
    </row>
    <row r="42" spans="1:33" ht="12" customHeight="1">
      <c r="A42" s="34" t="s">
        <v>2514</v>
      </c>
      <c r="B42" s="37" t="s">
        <v>2487</v>
      </c>
      <c r="C42" s="36" t="s">
        <v>1278</v>
      </c>
      <c r="D42" s="36">
        <v>0</v>
      </c>
      <c r="E42" s="36">
        <v>0</v>
      </c>
      <c r="F42" s="36">
        <v>0</v>
      </c>
      <c r="G42" s="36">
        <v>0</v>
      </c>
      <c r="H42" s="36">
        <v>0</v>
      </c>
      <c r="I42" s="36">
        <v>0</v>
      </c>
      <c r="J42" s="36">
        <v>0</v>
      </c>
      <c r="K42" s="36">
        <v>0</v>
      </c>
      <c r="L42" s="36">
        <v>0</v>
      </c>
      <c r="M42" s="36">
        <v>0</v>
      </c>
      <c r="N42" s="36">
        <v>0</v>
      </c>
      <c r="O42" s="36">
        <v>0</v>
      </c>
      <c r="P42" s="36">
        <v>0</v>
      </c>
      <c r="Q42" s="36">
        <v>0</v>
      </c>
      <c r="R42" s="36">
        <v>0</v>
      </c>
      <c r="S42" s="36">
        <v>0</v>
      </c>
      <c r="T42" s="36">
        <v>0</v>
      </c>
      <c r="U42" s="36">
        <v>0</v>
      </c>
      <c r="V42" s="36">
        <v>0</v>
      </c>
      <c r="W42" s="36">
        <v>0</v>
      </c>
      <c r="X42" s="36">
        <v>0</v>
      </c>
      <c r="Y42" s="36">
        <v>0</v>
      </c>
      <c r="Z42" s="36">
        <v>0</v>
      </c>
      <c r="AA42" s="36">
        <v>0</v>
      </c>
      <c r="AB42" s="36">
        <v>0</v>
      </c>
      <c r="AC42" s="36">
        <v>0</v>
      </c>
      <c r="AD42" s="36">
        <v>0</v>
      </c>
      <c r="AE42" s="36">
        <v>0</v>
      </c>
      <c r="AF42" s="35" t="s">
        <v>1278</v>
      </c>
      <c r="AG42" s="29"/>
    </row>
    <row r="43" spans="1:33" ht="12" customHeight="1">
      <c r="A43" s="34" t="s">
        <v>2515</v>
      </c>
      <c r="B43" s="37" t="s">
        <v>2489</v>
      </c>
      <c r="C43" s="36" t="s">
        <v>1278</v>
      </c>
      <c r="D43" s="36">
        <v>3.462399</v>
      </c>
      <c r="E43" s="36">
        <v>6.1102990000000004</v>
      </c>
      <c r="F43" s="36">
        <v>6.6642989999999998</v>
      </c>
      <c r="G43" s="36">
        <v>7.186299</v>
      </c>
      <c r="H43" s="36">
        <v>7.7083000000000004</v>
      </c>
      <c r="I43" s="36">
        <v>8.2302990000000005</v>
      </c>
      <c r="J43" s="36">
        <v>8.7522990000000007</v>
      </c>
      <c r="K43" s="36">
        <v>9.2743000000000002</v>
      </c>
      <c r="L43" s="36">
        <v>9.5132999999999992</v>
      </c>
      <c r="M43" s="36">
        <v>9.7522990000000007</v>
      </c>
      <c r="N43" s="36">
        <v>9.9913000000000007</v>
      </c>
      <c r="O43" s="36">
        <v>10.230299</v>
      </c>
      <c r="P43" s="36">
        <v>10.469298999999999</v>
      </c>
      <c r="Q43" s="36">
        <v>10.469298999999999</v>
      </c>
      <c r="R43" s="36">
        <v>10.469298999999999</v>
      </c>
      <c r="S43" s="36">
        <v>10.469298999999999</v>
      </c>
      <c r="T43" s="36">
        <v>10.469298999999999</v>
      </c>
      <c r="U43" s="36">
        <v>10.469298999999999</v>
      </c>
      <c r="V43" s="36">
        <v>10.469298999999999</v>
      </c>
      <c r="W43" s="36">
        <v>10.469298999999999</v>
      </c>
      <c r="X43" s="36">
        <v>10.469298999999999</v>
      </c>
      <c r="Y43" s="36">
        <v>10.469298999999999</v>
      </c>
      <c r="Z43" s="36">
        <v>10.469298999999999</v>
      </c>
      <c r="AA43" s="36">
        <v>10.469298999999999</v>
      </c>
      <c r="AB43" s="36">
        <v>10.469298999999999</v>
      </c>
      <c r="AC43" s="36">
        <v>10.469298999999999</v>
      </c>
      <c r="AD43" s="36">
        <v>10.469298999999999</v>
      </c>
      <c r="AE43" s="36">
        <v>10.469298999999999</v>
      </c>
      <c r="AF43" s="35" t="s">
        <v>1278</v>
      </c>
      <c r="AG43" s="29"/>
    </row>
    <row r="44" spans="1:33" ht="12" customHeight="1">
      <c r="A44" s="34" t="s">
        <v>2516</v>
      </c>
      <c r="B44" s="37" t="s">
        <v>2491</v>
      </c>
      <c r="C44" s="36" t="s">
        <v>1278</v>
      </c>
      <c r="D44" s="36">
        <v>2.46E-2</v>
      </c>
      <c r="E44" s="36">
        <v>2.46E-2</v>
      </c>
      <c r="F44" s="36">
        <v>2.46E-2</v>
      </c>
      <c r="G44" s="36">
        <v>2.46E-2</v>
      </c>
      <c r="H44" s="36">
        <v>2.46E-2</v>
      </c>
      <c r="I44" s="36">
        <v>2.46E-2</v>
      </c>
      <c r="J44" s="36">
        <v>2.46E-2</v>
      </c>
      <c r="K44" s="36">
        <v>2.46E-2</v>
      </c>
      <c r="L44" s="36">
        <v>2.46E-2</v>
      </c>
      <c r="M44" s="36">
        <v>2.46E-2</v>
      </c>
      <c r="N44" s="36">
        <v>2.46E-2</v>
      </c>
      <c r="O44" s="36">
        <v>2.46E-2</v>
      </c>
      <c r="P44" s="36">
        <v>2.46E-2</v>
      </c>
      <c r="Q44" s="36">
        <v>2.46E-2</v>
      </c>
      <c r="R44" s="36">
        <v>2.46E-2</v>
      </c>
      <c r="S44" s="36">
        <v>2.46E-2</v>
      </c>
      <c r="T44" s="36">
        <v>2.46E-2</v>
      </c>
      <c r="U44" s="36">
        <v>2.46E-2</v>
      </c>
      <c r="V44" s="36">
        <v>2.46E-2</v>
      </c>
      <c r="W44" s="36">
        <v>2.46E-2</v>
      </c>
      <c r="X44" s="36">
        <v>2.46E-2</v>
      </c>
      <c r="Y44" s="36">
        <v>2.46E-2</v>
      </c>
      <c r="Z44" s="36">
        <v>2.46E-2</v>
      </c>
      <c r="AA44" s="36">
        <v>2.46E-2</v>
      </c>
      <c r="AB44" s="36">
        <v>2.46E-2</v>
      </c>
      <c r="AC44" s="36">
        <v>2.46E-2</v>
      </c>
      <c r="AD44" s="36">
        <v>2.46E-2</v>
      </c>
      <c r="AE44" s="36">
        <v>2.46E-2</v>
      </c>
      <c r="AF44" s="35" t="s">
        <v>1278</v>
      </c>
      <c r="AG44" s="29"/>
    </row>
    <row r="45" spans="1:33" ht="12" customHeight="1">
      <c r="A45" s="34" t="s">
        <v>2517</v>
      </c>
      <c r="B45" s="37" t="s">
        <v>2493</v>
      </c>
      <c r="C45" s="36" t="s">
        <v>1278</v>
      </c>
      <c r="D45" s="36">
        <v>33.005051000000002</v>
      </c>
      <c r="E45" s="36">
        <v>63.530692999999999</v>
      </c>
      <c r="F45" s="36">
        <v>66.648193000000006</v>
      </c>
      <c r="G45" s="36">
        <v>68.673705999999996</v>
      </c>
      <c r="H45" s="36">
        <v>68.673705999999996</v>
      </c>
      <c r="I45" s="36">
        <v>69.773705000000007</v>
      </c>
      <c r="J45" s="36">
        <v>69.773705000000007</v>
      </c>
      <c r="K45" s="36">
        <v>75.773705000000007</v>
      </c>
      <c r="L45" s="36">
        <v>75.773705000000007</v>
      </c>
      <c r="M45" s="36">
        <v>75.773705000000007</v>
      </c>
      <c r="N45" s="36">
        <v>75.773705000000007</v>
      </c>
      <c r="O45" s="36">
        <v>80.973708999999999</v>
      </c>
      <c r="P45" s="36">
        <v>89.173705999999996</v>
      </c>
      <c r="Q45" s="36">
        <v>89.173705999999996</v>
      </c>
      <c r="R45" s="36">
        <v>89.173705999999996</v>
      </c>
      <c r="S45" s="36">
        <v>89.173705999999996</v>
      </c>
      <c r="T45" s="36">
        <v>89.173705999999996</v>
      </c>
      <c r="U45" s="36">
        <v>89.173705999999996</v>
      </c>
      <c r="V45" s="36">
        <v>89.173705999999996</v>
      </c>
      <c r="W45" s="36">
        <v>89.173705999999996</v>
      </c>
      <c r="X45" s="36">
        <v>89.173705999999996</v>
      </c>
      <c r="Y45" s="36">
        <v>89.173705999999996</v>
      </c>
      <c r="Z45" s="36">
        <v>89.173705999999996</v>
      </c>
      <c r="AA45" s="36">
        <v>89.173705999999996</v>
      </c>
      <c r="AB45" s="36">
        <v>89.173705999999996</v>
      </c>
      <c r="AC45" s="36">
        <v>89.173705999999996</v>
      </c>
      <c r="AD45" s="36">
        <v>89.173705999999996</v>
      </c>
      <c r="AE45" s="36">
        <v>89.173705999999996</v>
      </c>
      <c r="AF45" s="35" t="s">
        <v>1278</v>
      </c>
      <c r="AG45" s="29"/>
    </row>
    <row r="46" spans="1:33" ht="12" customHeight="1">
      <c r="A46" s="34" t="s">
        <v>2518</v>
      </c>
      <c r="B46" s="37" t="s">
        <v>2519</v>
      </c>
      <c r="C46" s="36" t="s">
        <v>1278</v>
      </c>
      <c r="D46" s="36">
        <v>0</v>
      </c>
      <c r="E46" s="36">
        <v>0</v>
      </c>
      <c r="F46" s="36">
        <v>0</v>
      </c>
      <c r="G46" s="36">
        <v>0</v>
      </c>
      <c r="H46" s="36">
        <v>0</v>
      </c>
      <c r="I46" s="36">
        <v>0</v>
      </c>
      <c r="J46" s="36">
        <v>0</v>
      </c>
      <c r="K46" s="36">
        <v>0</v>
      </c>
      <c r="L46" s="36">
        <v>0</v>
      </c>
      <c r="M46" s="36">
        <v>0</v>
      </c>
      <c r="N46" s="36">
        <v>0</v>
      </c>
      <c r="O46" s="36">
        <v>0</v>
      </c>
      <c r="P46" s="36">
        <v>0</v>
      </c>
      <c r="Q46" s="36">
        <v>0</v>
      </c>
      <c r="R46" s="36">
        <v>0</v>
      </c>
      <c r="S46" s="36">
        <v>0</v>
      </c>
      <c r="T46" s="36">
        <v>0</v>
      </c>
      <c r="U46" s="36">
        <v>0</v>
      </c>
      <c r="V46" s="36">
        <v>0</v>
      </c>
      <c r="W46" s="36">
        <v>0</v>
      </c>
      <c r="X46" s="36">
        <v>0</v>
      </c>
      <c r="Y46" s="36">
        <v>0</v>
      </c>
      <c r="Z46" s="36">
        <v>0</v>
      </c>
      <c r="AA46" s="36">
        <v>0</v>
      </c>
      <c r="AB46" s="36">
        <v>0</v>
      </c>
      <c r="AC46" s="36">
        <v>0</v>
      </c>
      <c r="AD46" s="36">
        <v>0</v>
      </c>
      <c r="AE46" s="36">
        <v>0</v>
      </c>
      <c r="AF46" s="35" t="s">
        <v>1278</v>
      </c>
      <c r="AG46" s="29"/>
    </row>
    <row r="47" spans="1:33" ht="12" customHeight="1">
      <c r="A47" s="34" t="s">
        <v>2520</v>
      </c>
      <c r="B47" s="33" t="s">
        <v>2497</v>
      </c>
      <c r="C47" s="32" t="s">
        <v>1278</v>
      </c>
      <c r="D47" s="32">
        <v>43.934952000000003</v>
      </c>
      <c r="E47" s="32">
        <v>78.887900999999999</v>
      </c>
      <c r="F47" s="32">
        <v>83.105407999999997</v>
      </c>
      <c r="G47" s="32">
        <v>85.652893000000006</v>
      </c>
      <c r="H47" s="32">
        <v>86.174896000000004</v>
      </c>
      <c r="I47" s="32">
        <v>87.796897999999999</v>
      </c>
      <c r="J47" s="32">
        <v>88.318900999999997</v>
      </c>
      <c r="K47" s="32">
        <v>94.840896999999998</v>
      </c>
      <c r="L47" s="32">
        <v>95.079894999999993</v>
      </c>
      <c r="M47" s="32">
        <v>95.318893000000003</v>
      </c>
      <c r="N47" s="32">
        <v>95.557891999999995</v>
      </c>
      <c r="O47" s="32">
        <v>100.99689499999999</v>
      </c>
      <c r="P47" s="32">
        <v>109.43589799999999</v>
      </c>
      <c r="Q47" s="32">
        <v>109.43589799999999</v>
      </c>
      <c r="R47" s="32">
        <v>109.43589799999999</v>
      </c>
      <c r="S47" s="32">
        <v>109.43589799999999</v>
      </c>
      <c r="T47" s="32">
        <v>109.43589799999999</v>
      </c>
      <c r="U47" s="32">
        <v>109.43589799999999</v>
      </c>
      <c r="V47" s="32">
        <v>109.43589799999999</v>
      </c>
      <c r="W47" s="32">
        <v>109.43589799999999</v>
      </c>
      <c r="X47" s="32">
        <v>109.43589799999999</v>
      </c>
      <c r="Y47" s="32">
        <v>109.43589799999999</v>
      </c>
      <c r="Z47" s="32">
        <v>109.43589799999999</v>
      </c>
      <c r="AA47" s="32">
        <v>109.43589799999999</v>
      </c>
      <c r="AB47" s="32">
        <v>109.43589799999999</v>
      </c>
      <c r="AC47" s="32">
        <v>109.43589799999999</v>
      </c>
      <c r="AD47" s="32">
        <v>109.43589799999999</v>
      </c>
      <c r="AE47" s="32">
        <v>109.43589799999999</v>
      </c>
      <c r="AF47" s="31" t="s">
        <v>1278</v>
      </c>
      <c r="AG47" s="29"/>
    </row>
    <row r="48" spans="1:33" ht="12" customHeight="1">
      <c r="B48" s="33" t="s">
        <v>2521</v>
      </c>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row>
    <row r="49" spans="1:33" ht="12" customHeight="1">
      <c r="A49" s="34" t="s">
        <v>2522</v>
      </c>
      <c r="B49" s="37" t="s">
        <v>2500</v>
      </c>
      <c r="C49" s="36" t="s">
        <v>1278</v>
      </c>
      <c r="D49" s="36">
        <v>0</v>
      </c>
      <c r="E49" s="36">
        <v>0</v>
      </c>
      <c r="F49" s="36">
        <v>0</v>
      </c>
      <c r="G49" s="36">
        <v>0</v>
      </c>
      <c r="H49" s="36">
        <v>0</v>
      </c>
      <c r="I49" s="36">
        <v>0</v>
      </c>
      <c r="J49" s="36">
        <v>0</v>
      </c>
      <c r="K49" s="36">
        <v>0</v>
      </c>
      <c r="L49" s="36">
        <v>0</v>
      </c>
      <c r="M49" s="36">
        <v>0</v>
      </c>
      <c r="N49" s="36">
        <v>0</v>
      </c>
      <c r="O49" s="36">
        <v>0</v>
      </c>
      <c r="P49" s="36">
        <v>0</v>
      </c>
      <c r="Q49" s="36">
        <v>0</v>
      </c>
      <c r="R49" s="36">
        <v>0</v>
      </c>
      <c r="S49" s="36">
        <v>0</v>
      </c>
      <c r="T49" s="36">
        <v>0</v>
      </c>
      <c r="U49" s="36">
        <v>0</v>
      </c>
      <c r="V49" s="36">
        <v>0</v>
      </c>
      <c r="W49" s="36">
        <v>0</v>
      </c>
      <c r="X49" s="36">
        <v>0</v>
      </c>
      <c r="Y49" s="36">
        <v>0</v>
      </c>
      <c r="Z49" s="36">
        <v>0</v>
      </c>
      <c r="AA49" s="36">
        <v>0</v>
      </c>
      <c r="AB49" s="36">
        <v>0</v>
      </c>
      <c r="AC49" s="36">
        <v>0</v>
      </c>
      <c r="AD49" s="36">
        <v>0</v>
      </c>
      <c r="AE49" s="36">
        <v>0</v>
      </c>
      <c r="AF49" s="35" t="s">
        <v>1278</v>
      </c>
      <c r="AG49" s="29"/>
    </row>
    <row r="50" spans="1:33" ht="15" customHeight="1">
      <c r="A50" s="34" t="s">
        <v>2523</v>
      </c>
      <c r="B50" s="37" t="s">
        <v>2502</v>
      </c>
      <c r="C50" s="36" t="s">
        <v>1278</v>
      </c>
      <c r="D50" s="36">
        <v>0</v>
      </c>
      <c r="E50" s="36">
        <v>0</v>
      </c>
      <c r="F50" s="36">
        <v>0</v>
      </c>
      <c r="G50" s="36">
        <v>0</v>
      </c>
      <c r="H50" s="36">
        <v>0</v>
      </c>
      <c r="I50" s="36">
        <v>0</v>
      </c>
      <c r="J50" s="36">
        <v>0</v>
      </c>
      <c r="K50" s="36">
        <v>0</v>
      </c>
      <c r="L50" s="36">
        <v>0</v>
      </c>
      <c r="M50" s="36">
        <v>0</v>
      </c>
      <c r="N50" s="36">
        <v>0</v>
      </c>
      <c r="O50" s="36">
        <v>0</v>
      </c>
      <c r="P50" s="36">
        <v>0</v>
      </c>
      <c r="Q50" s="36">
        <v>0</v>
      </c>
      <c r="R50" s="36">
        <v>0</v>
      </c>
      <c r="S50" s="36">
        <v>0</v>
      </c>
      <c r="T50" s="36">
        <v>0</v>
      </c>
      <c r="U50" s="36">
        <v>0</v>
      </c>
      <c r="V50" s="36">
        <v>0</v>
      </c>
      <c r="W50" s="36">
        <v>0</v>
      </c>
      <c r="X50" s="36">
        <v>0</v>
      </c>
      <c r="Y50" s="36">
        <v>0</v>
      </c>
      <c r="Z50" s="36">
        <v>0</v>
      </c>
      <c r="AA50" s="36">
        <v>0</v>
      </c>
      <c r="AB50" s="36">
        <v>0</v>
      </c>
      <c r="AC50" s="36">
        <v>0</v>
      </c>
      <c r="AD50" s="36">
        <v>0</v>
      </c>
      <c r="AE50" s="36">
        <v>0</v>
      </c>
      <c r="AF50" s="35" t="s">
        <v>1278</v>
      </c>
      <c r="AG50" s="29"/>
    </row>
    <row r="51" spans="1:33" ht="15" customHeight="1">
      <c r="A51" s="34" t="s">
        <v>2524</v>
      </c>
      <c r="B51" s="37" t="s">
        <v>2481</v>
      </c>
      <c r="C51" s="36" t="s">
        <v>1278</v>
      </c>
      <c r="D51" s="36">
        <v>0</v>
      </c>
      <c r="E51" s="36">
        <v>0</v>
      </c>
      <c r="F51" s="36">
        <v>0.22067700000000001</v>
      </c>
      <c r="G51" s="36">
        <v>0.22067700000000001</v>
      </c>
      <c r="H51" s="36">
        <v>8.0376530000000006</v>
      </c>
      <c r="I51" s="36">
        <v>9.4136629999999997</v>
      </c>
      <c r="J51" s="36">
        <v>11.78974</v>
      </c>
      <c r="K51" s="36">
        <v>12.709992</v>
      </c>
      <c r="L51" s="36">
        <v>13.912632</v>
      </c>
      <c r="M51" s="36">
        <v>15.121233</v>
      </c>
      <c r="N51" s="36">
        <v>16.717656999999999</v>
      </c>
      <c r="O51" s="36">
        <v>17.202449999999999</v>
      </c>
      <c r="P51" s="36">
        <v>17.360749999999999</v>
      </c>
      <c r="Q51" s="36">
        <v>17.651785</v>
      </c>
      <c r="R51" s="36">
        <v>18.706901999999999</v>
      </c>
      <c r="S51" s="36">
        <v>19.168106000000002</v>
      </c>
      <c r="T51" s="36">
        <v>19.168106000000002</v>
      </c>
      <c r="U51" s="36">
        <v>19.168106000000002</v>
      </c>
      <c r="V51" s="36">
        <v>19.168106000000002</v>
      </c>
      <c r="W51" s="36">
        <v>19.168106000000002</v>
      </c>
      <c r="X51" s="36">
        <v>19.168106000000002</v>
      </c>
      <c r="Y51" s="36">
        <v>19.385270999999999</v>
      </c>
      <c r="Z51" s="36">
        <v>19.385270999999999</v>
      </c>
      <c r="AA51" s="36">
        <v>22.683886999999999</v>
      </c>
      <c r="AB51" s="36">
        <v>24.14114</v>
      </c>
      <c r="AC51" s="36">
        <v>26.282872999999999</v>
      </c>
      <c r="AD51" s="36">
        <v>27.783276000000001</v>
      </c>
      <c r="AE51" s="36">
        <v>30.054956000000001</v>
      </c>
      <c r="AF51" s="35" t="s">
        <v>1278</v>
      </c>
      <c r="AG51" s="29"/>
    </row>
    <row r="52" spans="1:33" ht="15" customHeight="1">
      <c r="A52" s="34" t="s">
        <v>2525</v>
      </c>
      <c r="B52" s="37" t="s">
        <v>2483</v>
      </c>
      <c r="C52" s="36" t="s">
        <v>1278</v>
      </c>
      <c r="D52" s="36">
        <v>3.3063150000000001</v>
      </c>
      <c r="E52" s="36">
        <v>10.117960999999999</v>
      </c>
      <c r="F52" s="36">
        <v>18.632517</v>
      </c>
      <c r="G52" s="36">
        <v>26.698543999999998</v>
      </c>
      <c r="H52" s="36">
        <v>36.809578000000002</v>
      </c>
      <c r="I52" s="36">
        <v>49.44838</v>
      </c>
      <c r="J52" s="36">
        <v>63.484546999999999</v>
      </c>
      <c r="K52" s="36">
        <v>66.693984999999998</v>
      </c>
      <c r="L52" s="36">
        <v>73.319191000000004</v>
      </c>
      <c r="M52" s="36">
        <v>80.421768</v>
      </c>
      <c r="N52" s="36">
        <v>88.196029999999993</v>
      </c>
      <c r="O52" s="36">
        <v>90.776038999999997</v>
      </c>
      <c r="P52" s="36">
        <v>94.366080999999994</v>
      </c>
      <c r="Q52" s="36">
        <v>98.605712999999994</v>
      </c>
      <c r="R52" s="36">
        <v>104.387596</v>
      </c>
      <c r="S52" s="36">
        <v>109.69802900000001</v>
      </c>
      <c r="T52" s="36">
        <v>115.016243</v>
      </c>
      <c r="U52" s="36">
        <v>119.41876999999999</v>
      </c>
      <c r="V52" s="36">
        <v>124.053101</v>
      </c>
      <c r="W52" s="36">
        <v>127.728737</v>
      </c>
      <c r="X52" s="36">
        <v>132.388046</v>
      </c>
      <c r="Y52" s="36">
        <v>138.212219</v>
      </c>
      <c r="Z52" s="36">
        <v>145.49243200000001</v>
      </c>
      <c r="AA52" s="36">
        <v>154.59271200000001</v>
      </c>
      <c r="AB52" s="36">
        <v>159.93928500000001</v>
      </c>
      <c r="AC52" s="36">
        <v>164.54046600000001</v>
      </c>
      <c r="AD52" s="36">
        <v>171.22479200000001</v>
      </c>
      <c r="AE52" s="36">
        <v>175.72868299999999</v>
      </c>
      <c r="AF52" s="35" t="s">
        <v>1278</v>
      </c>
      <c r="AG52" s="29"/>
    </row>
    <row r="53" spans="1:33" ht="15" customHeight="1">
      <c r="A53" s="34" t="s">
        <v>2526</v>
      </c>
      <c r="B53" s="37" t="s">
        <v>2513</v>
      </c>
      <c r="C53" s="36" t="s">
        <v>1278</v>
      </c>
      <c r="D53" s="36">
        <v>0</v>
      </c>
      <c r="E53" s="36">
        <v>0</v>
      </c>
      <c r="F53" s="36">
        <v>0</v>
      </c>
      <c r="G53" s="36">
        <v>0</v>
      </c>
      <c r="H53" s="36">
        <v>0</v>
      </c>
      <c r="I53" s="36">
        <v>0</v>
      </c>
      <c r="J53" s="36">
        <v>0</v>
      </c>
      <c r="K53" s="36">
        <v>0</v>
      </c>
      <c r="L53" s="36">
        <v>0</v>
      </c>
      <c r="M53" s="36">
        <v>0</v>
      </c>
      <c r="N53" s="36">
        <v>0</v>
      </c>
      <c r="O53" s="36">
        <v>0</v>
      </c>
      <c r="P53" s="36">
        <v>0</v>
      </c>
      <c r="Q53" s="36">
        <v>0</v>
      </c>
      <c r="R53" s="36">
        <v>0</v>
      </c>
      <c r="S53" s="36">
        <v>0</v>
      </c>
      <c r="T53" s="36">
        <v>0</v>
      </c>
      <c r="U53" s="36">
        <v>0</v>
      </c>
      <c r="V53" s="36">
        <v>0</v>
      </c>
      <c r="W53" s="36">
        <v>0</v>
      </c>
      <c r="X53" s="36">
        <v>0</v>
      </c>
      <c r="Y53" s="36">
        <v>0</v>
      </c>
      <c r="Z53" s="36">
        <v>0</v>
      </c>
      <c r="AA53" s="36">
        <v>0</v>
      </c>
      <c r="AB53" s="36">
        <v>0</v>
      </c>
      <c r="AC53" s="36">
        <v>0</v>
      </c>
      <c r="AD53" s="36">
        <v>0</v>
      </c>
      <c r="AE53" s="36">
        <v>0</v>
      </c>
      <c r="AF53" s="35" t="s">
        <v>1278</v>
      </c>
      <c r="AG53" s="29"/>
    </row>
    <row r="54" spans="1:33" ht="15" customHeight="1">
      <c r="A54" s="34" t="s">
        <v>2527</v>
      </c>
      <c r="B54" s="37" t="s">
        <v>2487</v>
      </c>
      <c r="C54" s="36" t="s">
        <v>1278</v>
      </c>
      <c r="D54" s="36">
        <v>0</v>
      </c>
      <c r="E54" s="36">
        <v>0</v>
      </c>
      <c r="F54" s="36">
        <v>0</v>
      </c>
      <c r="G54" s="36">
        <v>0</v>
      </c>
      <c r="H54" s="36">
        <v>0</v>
      </c>
      <c r="I54" s="36">
        <v>0</v>
      </c>
      <c r="J54" s="36">
        <v>0</v>
      </c>
      <c r="K54" s="36">
        <v>0</v>
      </c>
      <c r="L54" s="36">
        <v>0</v>
      </c>
      <c r="M54" s="36">
        <v>0</v>
      </c>
      <c r="N54" s="36">
        <v>0</v>
      </c>
      <c r="O54" s="36">
        <v>0</v>
      </c>
      <c r="P54" s="36">
        <v>0</v>
      </c>
      <c r="Q54" s="36">
        <v>0</v>
      </c>
      <c r="R54" s="36">
        <v>0</v>
      </c>
      <c r="S54" s="36">
        <v>0</v>
      </c>
      <c r="T54" s="36">
        <v>0</v>
      </c>
      <c r="U54" s="36">
        <v>0</v>
      </c>
      <c r="V54" s="36">
        <v>0</v>
      </c>
      <c r="W54" s="36">
        <v>0</v>
      </c>
      <c r="X54" s="36">
        <v>0</v>
      </c>
      <c r="Y54" s="36">
        <v>0</v>
      </c>
      <c r="Z54" s="36">
        <v>0</v>
      </c>
      <c r="AA54" s="36">
        <v>0</v>
      </c>
      <c r="AB54" s="36">
        <v>0</v>
      </c>
      <c r="AC54" s="36">
        <v>0</v>
      </c>
      <c r="AD54" s="36">
        <v>0</v>
      </c>
      <c r="AE54" s="36">
        <v>0</v>
      </c>
      <c r="AF54" s="35" t="s">
        <v>1278</v>
      </c>
      <c r="AG54" s="29"/>
    </row>
    <row r="55" spans="1:33" ht="15" customHeight="1">
      <c r="A55" s="34" t="s">
        <v>2528</v>
      </c>
      <c r="B55" s="37" t="s">
        <v>2489</v>
      </c>
      <c r="C55" s="36" t="s">
        <v>1278</v>
      </c>
      <c r="D55" s="36">
        <v>0.97482899999999995</v>
      </c>
      <c r="E55" s="36">
        <v>2.7334329999999998</v>
      </c>
      <c r="F55" s="36">
        <v>5.1512169999999999</v>
      </c>
      <c r="G55" s="36">
        <v>6.733225</v>
      </c>
      <c r="H55" s="36">
        <v>7.3702249999999996</v>
      </c>
      <c r="I55" s="36">
        <v>11.530136000000001</v>
      </c>
      <c r="J55" s="36">
        <v>14.304622999999999</v>
      </c>
      <c r="K55" s="36">
        <v>15.943269000000001</v>
      </c>
      <c r="L55" s="36">
        <v>18.130482000000001</v>
      </c>
      <c r="M55" s="36">
        <v>22.904378999999999</v>
      </c>
      <c r="N55" s="36">
        <v>28.931502999999999</v>
      </c>
      <c r="O55" s="36">
        <v>33.249130000000001</v>
      </c>
      <c r="P55" s="36">
        <v>37.736248000000003</v>
      </c>
      <c r="Q55" s="36">
        <v>44.813934000000003</v>
      </c>
      <c r="R55" s="36">
        <v>53.661045000000001</v>
      </c>
      <c r="S55" s="36">
        <v>63.291279000000003</v>
      </c>
      <c r="T55" s="36">
        <v>73.089744999999994</v>
      </c>
      <c r="U55" s="36">
        <v>82.008262999999999</v>
      </c>
      <c r="V55" s="36">
        <v>90.863861</v>
      </c>
      <c r="W55" s="36">
        <v>96.865455999999995</v>
      </c>
      <c r="X55" s="36">
        <v>102.83382400000001</v>
      </c>
      <c r="Y55" s="36">
        <v>112.79639400000001</v>
      </c>
      <c r="Z55" s="36">
        <v>119.734009</v>
      </c>
      <c r="AA55" s="36">
        <v>123.065048</v>
      </c>
      <c r="AB55" s="36">
        <v>128.48805200000001</v>
      </c>
      <c r="AC55" s="36">
        <v>135.327271</v>
      </c>
      <c r="AD55" s="36">
        <v>140.151443</v>
      </c>
      <c r="AE55" s="36">
        <v>146.97120699999999</v>
      </c>
      <c r="AF55" s="35" t="s">
        <v>1278</v>
      </c>
      <c r="AG55" s="29"/>
    </row>
    <row r="56" spans="1:33" ht="15" customHeight="1">
      <c r="A56" s="34" t="s">
        <v>2529</v>
      </c>
      <c r="B56" s="37" t="s">
        <v>2491</v>
      </c>
      <c r="C56" s="36" t="s">
        <v>1278</v>
      </c>
      <c r="D56" s="36">
        <v>0</v>
      </c>
      <c r="E56" s="36">
        <v>0</v>
      </c>
      <c r="F56" s="36">
        <v>0</v>
      </c>
      <c r="G56" s="36">
        <v>0</v>
      </c>
      <c r="H56" s="36">
        <v>0</v>
      </c>
      <c r="I56" s="36">
        <v>0</v>
      </c>
      <c r="J56" s="36">
        <v>0</v>
      </c>
      <c r="K56" s="36">
        <v>0</v>
      </c>
      <c r="L56" s="36">
        <v>0</v>
      </c>
      <c r="M56" s="36">
        <v>0</v>
      </c>
      <c r="N56" s="36">
        <v>0</v>
      </c>
      <c r="O56" s="36">
        <v>0</v>
      </c>
      <c r="P56" s="36">
        <v>0</v>
      </c>
      <c r="Q56" s="36">
        <v>0</v>
      </c>
      <c r="R56" s="36">
        <v>0</v>
      </c>
      <c r="S56" s="36">
        <v>0</v>
      </c>
      <c r="T56" s="36">
        <v>0</v>
      </c>
      <c r="U56" s="36">
        <v>0</v>
      </c>
      <c r="V56" s="36">
        <v>0</v>
      </c>
      <c r="W56" s="36">
        <v>0</v>
      </c>
      <c r="X56" s="36">
        <v>0</v>
      </c>
      <c r="Y56" s="36">
        <v>0</v>
      </c>
      <c r="Z56" s="36">
        <v>0</v>
      </c>
      <c r="AA56" s="36">
        <v>0</v>
      </c>
      <c r="AB56" s="36">
        <v>0</v>
      </c>
      <c r="AC56" s="36">
        <v>0</v>
      </c>
      <c r="AD56" s="36">
        <v>0</v>
      </c>
      <c r="AE56" s="36">
        <v>0</v>
      </c>
      <c r="AF56" s="35" t="s">
        <v>1278</v>
      </c>
      <c r="AG56" s="29"/>
    </row>
    <row r="57" spans="1:33" ht="15" customHeight="1">
      <c r="A57" s="34" t="s">
        <v>2530</v>
      </c>
      <c r="B57" s="37" t="s">
        <v>2493</v>
      </c>
      <c r="C57" s="36" t="s">
        <v>1278</v>
      </c>
      <c r="D57" s="36">
        <v>0.16909099999999999</v>
      </c>
      <c r="E57" s="36">
        <v>10.754409000000001</v>
      </c>
      <c r="F57" s="36">
        <v>67.539687999999998</v>
      </c>
      <c r="G57" s="36">
        <v>140.52955600000001</v>
      </c>
      <c r="H57" s="36">
        <v>210.946609</v>
      </c>
      <c r="I57" s="36">
        <v>270.45568800000001</v>
      </c>
      <c r="J57" s="36">
        <v>313.54376200000002</v>
      </c>
      <c r="K57" s="36">
        <v>345.77398699999998</v>
      </c>
      <c r="L57" s="36">
        <v>377.55954000000003</v>
      </c>
      <c r="M57" s="36">
        <v>411.55075099999999</v>
      </c>
      <c r="N57" s="36">
        <v>442.23333700000001</v>
      </c>
      <c r="O57" s="36">
        <v>465.08197000000001</v>
      </c>
      <c r="P57" s="36">
        <v>475.135559</v>
      </c>
      <c r="Q57" s="36">
        <v>498.07870500000001</v>
      </c>
      <c r="R57" s="36">
        <v>514.94067399999994</v>
      </c>
      <c r="S57" s="36">
        <v>535.645264</v>
      </c>
      <c r="T57" s="36">
        <v>545.40356399999996</v>
      </c>
      <c r="U57" s="36">
        <v>562.86096199999997</v>
      </c>
      <c r="V57" s="36">
        <v>572.36450200000002</v>
      </c>
      <c r="W57" s="36">
        <v>587.66619900000001</v>
      </c>
      <c r="X57" s="36">
        <v>606.85522500000002</v>
      </c>
      <c r="Y57" s="36">
        <v>630.14105199999995</v>
      </c>
      <c r="Z57" s="36">
        <v>659.25183100000004</v>
      </c>
      <c r="AA57" s="36">
        <v>685.98565699999995</v>
      </c>
      <c r="AB57" s="36">
        <v>706.36926300000005</v>
      </c>
      <c r="AC57" s="36">
        <v>724.70202600000005</v>
      </c>
      <c r="AD57" s="36">
        <v>746.54577600000005</v>
      </c>
      <c r="AE57" s="36">
        <v>768.77020300000004</v>
      </c>
      <c r="AF57" s="35" t="s">
        <v>1278</v>
      </c>
      <c r="AG57" s="29"/>
    </row>
    <row r="58" spans="1:33" ht="15" customHeight="1">
      <c r="A58" s="34" t="s">
        <v>2531</v>
      </c>
      <c r="B58" s="37" t="s">
        <v>2519</v>
      </c>
      <c r="C58" s="36" t="s">
        <v>1278</v>
      </c>
      <c r="D58" s="36">
        <v>0</v>
      </c>
      <c r="E58" s="36">
        <v>0.46893800000000002</v>
      </c>
      <c r="F58" s="36">
        <v>0.595611</v>
      </c>
      <c r="G58" s="36">
        <v>0.72816700000000001</v>
      </c>
      <c r="H58" s="36">
        <v>0.91843300000000005</v>
      </c>
      <c r="I58" s="36">
        <v>1.2809410000000001</v>
      </c>
      <c r="J58" s="36">
        <v>1.6805049999999999</v>
      </c>
      <c r="K58" s="36">
        <v>2.1516479999999998</v>
      </c>
      <c r="L58" s="36">
        <v>2.6822170000000001</v>
      </c>
      <c r="M58" s="36">
        <v>3.2450860000000001</v>
      </c>
      <c r="N58" s="36">
        <v>3.8611010000000001</v>
      </c>
      <c r="O58" s="36">
        <v>4.5311529999999998</v>
      </c>
      <c r="P58" s="36">
        <v>5.3206300000000004</v>
      </c>
      <c r="Q58" s="36">
        <v>6.1007930000000004</v>
      </c>
      <c r="R58" s="36">
        <v>7.090236</v>
      </c>
      <c r="S58" s="36">
        <v>8.1922379999999997</v>
      </c>
      <c r="T58" s="36">
        <v>9.1135629999999992</v>
      </c>
      <c r="U58" s="36">
        <v>10.111860999999999</v>
      </c>
      <c r="V58" s="36">
        <v>11.363516000000001</v>
      </c>
      <c r="W58" s="36">
        <v>12.585413000000001</v>
      </c>
      <c r="X58" s="36">
        <v>13.965759</v>
      </c>
      <c r="Y58" s="36">
        <v>15.482409000000001</v>
      </c>
      <c r="Z58" s="36">
        <v>17.241057999999999</v>
      </c>
      <c r="AA58" s="36">
        <v>19.031600999999998</v>
      </c>
      <c r="AB58" s="36">
        <v>20.890867</v>
      </c>
      <c r="AC58" s="36">
        <v>22.722301000000002</v>
      </c>
      <c r="AD58" s="36">
        <v>24.698650000000001</v>
      </c>
      <c r="AE58" s="36">
        <v>26.763594000000001</v>
      </c>
      <c r="AF58" s="35" t="s">
        <v>1278</v>
      </c>
      <c r="AG58" s="29"/>
    </row>
    <row r="59" spans="1:33" ht="15" customHeight="1">
      <c r="A59" s="34" t="s">
        <v>2532</v>
      </c>
      <c r="B59" s="33" t="s">
        <v>2497</v>
      </c>
      <c r="C59" s="32" t="s">
        <v>1278</v>
      </c>
      <c r="D59" s="32">
        <v>4.450234</v>
      </c>
      <c r="E59" s="32">
        <v>24.074741</v>
      </c>
      <c r="F59" s="32">
        <v>92.139717000000005</v>
      </c>
      <c r="G59" s="32">
        <v>174.91014100000001</v>
      </c>
      <c r="H59" s="32">
        <v>264.08248900000001</v>
      </c>
      <c r="I59" s="32">
        <v>342.128784</v>
      </c>
      <c r="J59" s="32">
        <v>404.80325299999998</v>
      </c>
      <c r="K59" s="32">
        <v>443.27285799999999</v>
      </c>
      <c r="L59" s="32">
        <v>485.60409499999997</v>
      </c>
      <c r="M59" s="32">
        <v>533.24322500000005</v>
      </c>
      <c r="N59" s="32">
        <v>579.93963599999995</v>
      </c>
      <c r="O59" s="32">
        <v>610.84075900000005</v>
      </c>
      <c r="P59" s="32">
        <v>629.91931199999999</v>
      </c>
      <c r="Q59" s="32">
        <v>665.25091599999996</v>
      </c>
      <c r="R59" s="32">
        <v>698.78625499999998</v>
      </c>
      <c r="S59" s="32">
        <v>735.99505599999998</v>
      </c>
      <c r="T59" s="32">
        <v>761.79113800000005</v>
      </c>
      <c r="U59" s="32">
        <v>793.56787099999997</v>
      </c>
      <c r="V59" s="32">
        <v>817.81311000000005</v>
      </c>
      <c r="W59" s="32">
        <v>844.01379399999996</v>
      </c>
      <c r="X59" s="32">
        <v>875.21093800000006</v>
      </c>
      <c r="Y59" s="32">
        <v>916.01733400000001</v>
      </c>
      <c r="Z59" s="32">
        <v>961.104736</v>
      </c>
      <c r="AA59" s="32">
        <v>1005.358704</v>
      </c>
      <c r="AB59" s="32">
        <v>1039.8283690000001</v>
      </c>
      <c r="AC59" s="32">
        <v>1073.5749510000001</v>
      </c>
      <c r="AD59" s="32">
        <v>1110.404053</v>
      </c>
      <c r="AE59" s="32">
        <v>1148.2890620000001</v>
      </c>
      <c r="AF59" s="31" t="s">
        <v>1278</v>
      </c>
      <c r="AG59" s="29"/>
    </row>
    <row r="60" spans="1:33" ht="15" customHeight="1">
      <c r="A60" s="34" t="s">
        <v>2533</v>
      </c>
      <c r="B60" s="33" t="s">
        <v>2534</v>
      </c>
      <c r="C60" s="32" t="s">
        <v>1278</v>
      </c>
      <c r="D60" s="32">
        <v>48.385185</v>
      </c>
      <c r="E60" s="32">
        <v>102.96264600000001</v>
      </c>
      <c r="F60" s="32">
        <v>175.24511699999999</v>
      </c>
      <c r="G60" s="32">
        <v>260.56304899999998</v>
      </c>
      <c r="H60" s="32">
        <v>350.257385</v>
      </c>
      <c r="I60" s="32">
        <v>429.92568999999997</v>
      </c>
      <c r="J60" s="32">
        <v>493.122162</v>
      </c>
      <c r="K60" s="32">
        <v>538.11377000000005</v>
      </c>
      <c r="L60" s="32">
        <v>580.68395999999996</v>
      </c>
      <c r="M60" s="32">
        <v>628.56213400000001</v>
      </c>
      <c r="N60" s="32">
        <v>675.49755900000002</v>
      </c>
      <c r="O60" s="32">
        <v>711.83764599999995</v>
      </c>
      <c r="P60" s="32">
        <v>739.35522500000002</v>
      </c>
      <c r="Q60" s="32">
        <v>774.68682899999999</v>
      </c>
      <c r="R60" s="32">
        <v>808.22216800000001</v>
      </c>
      <c r="S60" s="32">
        <v>845.430969</v>
      </c>
      <c r="T60" s="32">
        <v>871.22705099999996</v>
      </c>
      <c r="U60" s="32">
        <v>903.003784</v>
      </c>
      <c r="V60" s="32">
        <v>927.24902299999997</v>
      </c>
      <c r="W60" s="32">
        <v>953.44970699999999</v>
      </c>
      <c r="X60" s="32">
        <v>984.64685099999997</v>
      </c>
      <c r="Y60" s="32">
        <v>1025.4532469999999</v>
      </c>
      <c r="Z60" s="32">
        <v>1070.540649</v>
      </c>
      <c r="AA60" s="32">
        <v>1114.7945560000001</v>
      </c>
      <c r="AB60" s="32">
        <v>1149.2642820000001</v>
      </c>
      <c r="AC60" s="32">
        <v>1183.0108640000001</v>
      </c>
      <c r="AD60" s="32">
        <v>1219.839966</v>
      </c>
      <c r="AE60" s="32">
        <v>1257.724976</v>
      </c>
      <c r="AF60" s="31" t="s">
        <v>1278</v>
      </c>
      <c r="AG60" s="29"/>
    </row>
    <row r="61" spans="1:33" ht="15" customHeight="1">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row>
    <row r="62" spans="1:33" ht="15" customHeight="1">
      <c r="B62" s="33" t="s">
        <v>2535</v>
      </c>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row>
    <row r="63" spans="1:33" ht="15" customHeight="1">
      <c r="A63" s="34" t="s">
        <v>2536</v>
      </c>
      <c r="B63" s="37" t="s">
        <v>2500</v>
      </c>
      <c r="C63" s="36" t="s">
        <v>1278</v>
      </c>
      <c r="D63" s="36">
        <v>9.6819030000000001</v>
      </c>
      <c r="E63" s="36">
        <v>13.905206</v>
      </c>
      <c r="F63" s="36">
        <v>32.707301999999999</v>
      </c>
      <c r="G63" s="36">
        <v>38.554107999999999</v>
      </c>
      <c r="H63" s="36">
        <v>48.072803</v>
      </c>
      <c r="I63" s="36">
        <v>64.490318000000002</v>
      </c>
      <c r="J63" s="36">
        <v>81.439919000000003</v>
      </c>
      <c r="K63" s="36">
        <v>89.009711999999993</v>
      </c>
      <c r="L63" s="36">
        <v>90.743713</v>
      </c>
      <c r="M63" s="36">
        <v>93.811913000000004</v>
      </c>
      <c r="N63" s="36">
        <v>95.124900999999994</v>
      </c>
      <c r="O63" s="36">
        <v>98.342704999999995</v>
      </c>
      <c r="P63" s="36">
        <v>99.958702000000002</v>
      </c>
      <c r="Q63" s="36">
        <v>100.538704</v>
      </c>
      <c r="R63" s="36">
        <v>102.446709</v>
      </c>
      <c r="S63" s="36">
        <v>106.779701</v>
      </c>
      <c r="T63" s="36">
        <v>109.807816</v>
      </c>
      <c r="U63" s="36">
        <v>114.07781199999999</v>
      </c>
      <c r="V63" s="36">
        <v>115.60380600000001</v>
      </c>
      <c r="W63" s="36">
        <v>115.60380600000001</v>
      </c>
      <c r="X63" s="36">
        <v>115.60380600000001</v>
      </c>
      <c r="Y63" s="36">
        <v>116.261803</v>
      </c>
      <c r="Z63" s="36">
        <v>116.261803</v>
      </c>
      <c r="AA63" s="36">
        <v>118.832802</v>
      </c>
      <c r="AB63" s="36">
        <v>119.991798</v>
      </c>
      <c r="AC63" s="36">
        <v>120.601799</v>
      </c>
      <c r="AD63" s="36">
        <v>120.601799</v>
      </c>
      <c r="AE63" s="36">
        <v>120.60599499999999</v>
      </c>
      <c r="AF63" s="35" t="s">
        <v>1278</v>
      </c>
      <c r="AG63" s="29"/>
    </row>
    <row r="64" spans="1:33" ht="15" customHeight="1">
      <c r="A64" s="34" t="s">
        <v>2537</v>
      </c>
      <c r="B64" s="37" t="s">
        <v>2502</v>
      </c>
      <c r="C64" s="36" t="s">
        <v>1278</v>
      </c>
      <c r="D64" s="36">
        <v>1.847</v>
      </c>
      <c r="E64" s="36">
        <v>10.0755</v>
      </c>
      <c r="F64" s="36">
        <v>16.497703999999999</v>
      </c>
      <c r="G64" s="36">
        <v>18.582301999999999</v>
      </c>
      <c r="H64" s="36">
        <v>20.299004</v>
      </c>
      <c r="I64" s="36">
        <v>21.828804000000002</v>
      </c>
      <c r="J64" s="36">
        <v>22.864305000000002</v>
      </c>
      <c r="K64" s="36">
        <v>23.111305000000002</v>
      </c>
      <c r="L64" s="36">
        <v>24.750004000000001</v>
      </c>
      <c r="M64" s="36">
        <v>25.612003000000001</v>
      </c>
      <c r="N64" s="36">
        <v>26.591604</v>
      </c>
      <c r="O64" s="36">
        <v>27.091604</v>
      </c>
      <c r="P64" s="36">
        <v>28.041105000000002</v>
      </c>
      <c r="Q64" s="36">
        <v>28.059104999999999</v>
      </c>
      <c r="R64" s="36">
        <v>28.059104999999999</v>
      </c>
      <c r="S64" s="36">
        <v>28.169105999999999</v>
      </c>
      <c r="T64" s="36">
        <v>28.236605000000001</v>
      </c>
      <c r="U64" s="36">
        <v>28.236605000000001</v>
      </c>
      <c r="V64" s="36">
        <v>28.236605000000001</v>
      </c>
      <c r="W64" s="36">
        <v>28.236605000000001</v>
      </c>
      <c r="X64" s="36">
        <v>28.236605000000001</v>
      </c>
      <c r="Y64" s="36">
        <v>28.673604999999998</v>
      </c>
      <c r="Z64" s="36">
        <v>28.673604999999998</v>
      </c>
      <c r="AA64" s="36">
        <v>28.673604999999998</v>
      </c>
      <c r="AB64" s="36">
        <v>28.673604999999998</v>
      </c>
      <c r="AC64" s="36">
        <v>28.673604999999998</v>
      </c>
      <c r="AD64" s="36">
        <v>28.724104000000001</v>
      </c>
      <c r="AE64" s="36">
        <v>28.724104000000001</v>
      </c>
      <c r="AF64" s="35" t="s">
        <v>1278</v>
      </c>
      <c r="AG64" s="29"/>
    </row>
    <row r="65" spans="1:33" ht="15" customHeight="1">
      <c r="A65" s="34" t="s">
        <v>2538</v>
      </c>
      <c r="B65" s="37" t="s">
        <v>2481</v>
      </c>
      <c r="C65" s="36" t="s">
        <v>1278</v>
      </c>
      <c r="D65" s="36">
        <v>8.5500000000000007E-2</v>
      </c>
      <c r="E65" s="36">
        <v>3.6533000000000002</v>
      </c>
      <c r="F65" s="36">
        <v>4.4896510000000003</v>
      </c>
      <c r="G65" s="36">
        <v>4.4896510000000003</v>
      </c>
      <c r="H65" s="36">
        <v>5.2616500000000004</v>
      </c>
      <c r="I65" s="36">
        <v>5.4413499999999999</v>
      </c>
      <c r="J65" s="36">
        <v>5.4413499999999999</v>
      </c>
      <c r="K65" s="36">
        <v>5.74505</v>
      </c>
      <c r="L65" s="36">
        <v>6.0080499999999999</v>
      </c>
      <c r="M65" s="36">
        <v>6.5268499999999996</v>
      </c>
      <c r="N65" s="36">
        <v>7.4078499999999998</v>
      </c>
      <c r="O65" s="36">
        <v>8.1769499999999997</v>
      </c>
      <c r="P65" s="36">
        <v>8.2263509999999993</v>
      </c>
      <c r="Q65" s="36">
        <v>8.3673509999999993</v>
      </c>
      <c r="R65" s="36">
        <v>8.3673509999999993</v>
      </c>
      <c r="S65" s="36">
        <v>8.3703509999999994</v>
      </c>
      <c r="T65" s="36">
        <v>8.3703509999999994</v>
      </c>
      <c r="U65" s="36">
        <v>8.4515499999999992</v>
      </c>
      <c r="V65" s="36">
        <v>8.4515499999999992</v>
      </c>
      <c r="W65" s="36">
        <v>9.3575510000000008</v>
      </c>
      <c r="X65" s="36">
        <v>9.3575510000000008</v>
      </c>
      <c r="Y65" s="36">
        <v>9.8345509999999994</v>
      </c>
      <c r="Z65" s="36">
        <v>9.8345509999999994</v>
      </c>
      <c r="AA65" s="36">
        <v>9.8345509999999994</v>
      </c>
      <c r="AB65" s="36">
        <v>9.8345509999999994</v>
      </c>
      <c r="AC65" s="36">
        <v>11.874651</v>
      </c>
      <c r="AD65" s="36">
        <v>11.90715</v>
      </c>
      <c r="AE65" s="36">
        <v>12.027151</v>
      </c>
      <c r="AF65" s="35" t="s">
        <v>1278</v>
      </c>
      <c r="AG65" s="29"/>
    </row>
    <row r="66" spans="1:33" ht="12" customHeight="1">
      <c r="A66" s="34" t="s">
        <v>2539</v>
      </c>
      <c r="B66" s="37" t="s">
        <v>2483</v>
      </c>
      <c r="C66" s="36" t="s">
        <v>1278</v>
      </c>
      <c r="D66" s="36">
        <v>0.85670000000000002</v>
      </c>
      <c r="E66" s="36">
        <v>2.4672999999999998</v>
      </c>
      <c r="F66" s="36">
        <v>2.6252</v>
      </c>
      <c r="G66" s="36">
        <v>3.1821000000000002</v>
      </c>
      <c r="H66" s="36">
        <v>3.7988</v>
      </c>
      <c r="I66" s="36">
        <v>3.7988</v>
      </c>
      <c r="J66" s="36">
        <v>3.7988</v>
      </c>
      <c r="K66" s="36">
        <v>3.8026</v>
      </c>
      <c r="L66" s="36">
        <v>3.8656000000000001</v>
      </c>
      <c r="M66" s="36">
        <v>4.6071999999999997</v>
      </c>
      <c r="N66" s="36">
        <v>4.7233000000000001</v>
      </c>
      <c r="O66" s="36">
        <v>4.7233000000000001</v>
      </c>
      <c r="P66" s="36">
        <v>4.7403000000000004</v>
      </c>
      <c r="Q66" s="36">
        <v>4.7853000000000003</v>
      </c>
      <c r="R66" s="36">
        <v>4.7853000000000003</v>
      </c>
      <c r="S66" s="36">
        <v>4.7853000000000003</v>
      </c>
      <c r="T66" s="36">
        <v>4.7853000000000003</v>
      </c>
      <c r="U66" s="36">
        <v>4.7853000000000003</v>
      </c>
      <c r="V66" s="36">
        <v>4.9943</v>
      </c>
      <c r="W66" s="36">
        <v>5.0263</v>
      </c>
      <c r="X66" s="36">
        <v>5.0263</v>
      </c>
      <c r="Y66" s="36">
        <v>5.0263</v>
      </c>
      <c r="Z66" s="36">
        <v>5.0263</v>
      </c>
      <c r="AA66" s="36">
        <v>5.0263</v>
      </c>
      <c r="AB66" s="36">
        <v>5.0263</v>
      </c>
      <c r="AC66" s="36">
        <v>5.0263</v>
      </c>
      <c r="AD66" s="36">
        <v>5.0263</v>
      </c>
      <c r="AE66" s="36">
        <v>5.0263</v>
      </c>
      <c r="AF66" s="35" t="s">
        <v>1278</v>
      </c>
      <c r="AG66" s="29"/>
    </row>
    <row r="67" spans="1:33" ht="15" customHeight="1">
      <c r="A67" s="34" t="s">
        <v>2540</v>
      </c>
      <c r="B67" s="37" t="s">
        <v>2513</v>
      </c>
      <c r="C67" s="36" t="s">
        <v>1278</v>
      </c>
      <c r="D67" s="36">
        <v>0</v>
      </c>
      <c r="E67" s="36">
        <v>0</v>
      </c>
      <c r="F67" s="36">
        <v>1.1220000000000001</v>
      </c>
      <c r="G67" s="36">
        <v>2.2400000000000002</v>
      </c>
      <c r="H67" s="36">
        <v>2.2400000000000002</v>
      </c>
      <c r="I67" s="36">
        <v>3.641</v>
      </c>
      <c r="J67" s="36">
        <v>3.641</v>
      </c>
      <c r="K67" s="36">
        <v>4.6085000000000003</v>
      </c>
      <c r="L67" s="36">
        <v>4.6085000000000003</v>
      </c>
      <c r="M67" s="36">
        <v>4.6085000000000003</v>
      </c>
      <c r="N67" s="36">
        <v>9.6219000000000001</v>
      </c>
      <c r="O67" s="36">
        <v>10.606400000000001</v>
      </c>
      <c r="P67" s="36">
        <v>11.583599</v>
      </c>
      <c r="Q67" s="36">
        <v>13.612598999999999</v>
      </c>
      <c r="R67" s="36">
        <v>15.025600000000001</v>
      </c>
      <c r="S67" s="36">
        <v>17.437601000000001</v>
      </c>
      <c r="T67" s="36">
        <v>18.645302000000001</v>
      </c>
      <c r="U67" s="36">
        <v>21.111301000000001</v>
      </c>
      <c r="V67" s="36">
        <v>21.111301000000001</v>
      </c>
      <c r="W67" s="36">
        <v>21.111301000000001</v>
      </c>
      <c r="X67" s="36">
        <v>21.111301000000001</v>
      </c>
      <c r="Y67" s="36">
        <v>21.111301000000001</v>
      </c>
      <c r="Z67" s="36">
        <v>21.111301000000001</v>
      </c>
      <c r="AA67" s="36">
        <v>21.111301000000001</v>
      </c>
      <c r="AB67" s="36">
        <v>21.111301000000001</v>
      </c>
      <c r="AC67" s="36">
        <v>21.111301000000001</v>
      </c>
      <c r="AD67" s="36">
        <v>21.111301000000001</v>
      </c>
      <c r="AE67" s="36">
        <v>21.111301000000001</v>
      </c>
      <c r="AF67" s="35" t="s">
        <v>1278</v>
      </c>
      <c r="AG67" s="29"/>
    </row>
    <row r="68" spans="1:33" ht="15" customHeight="1">
      <c r="A68" s="34" t="s">
        <v>2541</v>
      </c>
      <c r="B68" s="37" t="s">
        <v>2487</v>
      </c>
      <c r="C68" s="36" t="s">
        <v>1278</v>
      </c>
      <c r="D68" s="36">
        <v>0</v>
      </c>
      <c r="E68" s="36">
        <v>0</v>
      </c>
      <c r="F68" s="36">
        <v>0</v>
      </c>
      <c r="G68" s="36">
        <v>0</v>
      </c>
      <c r="H68" s="36">
        <v>0</v>
      </c>
      <c r="I68" s="36">
        <v>0</v>
      </c>
      <c r="J68" s="36">
        <v>0</v>
      </c>
      <c r="K68" s="36">
        <v>0</v>
      </c>
      <c r="L68" s="36">
        <v>0</v>
      </c>
      <c r="M68" s="36">
        <v>0</v>
      </c>
      <c r="N68" s="36">
        <v>0</v>
      </c>
      <c r="O68" s="36">
        <v>0</v>
      </c>
      <c r="P68" s="36">
        <v>0</v>
      </c>
      <c r="Q68" s="36">
        <v>0</v>
      </c>
      <c r="R68" s="36">
        <v>0</v>
      </c>
      <c r="S68" s="36">
        <v>0</v>
      </c>
      <c r="T68" s="36">
        <v>0</v>
      </c>
      <c r="U68" s="36">
        <v>0</v>
      </c>
      <c r="V68" s="36">
        <v>0</v>
      </c>
      <c r="W68" s="36">
        <v>0</v>
      </c>
      <c r="X68" s="36">
        <v>0</v>
      </c>
      <c r="Y68" s="36">
        <v>0</v>
      </c>
      <c r="Z68" s="36">
        <v>0</v>
      </c>
      <c r="AA68" s="36">
        <v>0</v>
      </c>
      <c r="AB68" s="36">
        <v>0</v>
      </c>
      <c r="AC68" s="36">
        <v>0</v>
      </c>
      <c r="AD68" s="36">
        <v>0</v>
      </c>
      <c r="AE68" s="36">
        <v>0</v>
      </c>
      <c r="AF68" s="35" t="s">
        <v>1278</v>
      </c>
      <c r="AG68" s="29"/>
    </row>
    <row r="69" spans="1:33" ht="15" customHeight="1">
      <c r="A69" s="34" t="s">
        <v>2542</v>
      </c>
      <c r="B69" s="37" t="s">
        <v>2489</v>
      </c>
      <c r="C69" s="36" t="s">
        <v>1278</v>
      </c>
      <c r="D69" s="36">
        <v>0</v>
      </c>
      <c r="E69" s="36">
        <v>0</v>
      </c>
      <c r="F69" s="36">
        <v>0</v>
      </c>
      <c r="G69" s="36">
        <v>5.0000000000000001E-3</v>
      </c>
      <c r="H69" s="36">
        <v>5.0000000000000001E-3</v>
      </c>
      <c r="I69" s="36">
        <v>5.0000000000000001E-3</v>
      </c>
      <c r="J69" s="36">
        <v>5.0000000000000001E-3</v>
      </c>
      <c r="K69" s="36">
        <v>5.0000000000000001E-3</v>
      </c>
      <c r="L69" s="36">
        <v>5.0000000000000001E-3</v>
      </c>
      <c r="M69" s="36">
        <v>1.49E-2</v>
      </c>
      <c r="N69" s="36">
        <v>1.49E-2</v>
      </c>
      <c r="O69" s="36">
        <v>1.49E-2</v>
      </c>
      <c r="P69" s="36">
        <v>1.49E-2</v>
      </c>
      <c r="Q69" s="36">
        <v>1.49E-2</v>
      </c>
      <c r="R69" s="36">
        <v>1.49E-2</v>
      </c>
      <c r="S69" s="36">
        <v>1.49E-2</v>
      </c>
      <c r="T69" s="36">
        <v>1.49E-2</v>
      </c>
      <c r="U69" s="36">
        <v>1.49E-2</v>
      </c>
      <c r="V69" s="36">
        <v>2.5899999999999999E-2</v>
      </c>
      <c r="W69" s="36">
        <v>0.22589999999999999</v>
      </c>
      <c r="X69" s="36">
        <v>0.22589999999999999</v>
      </c>
      <c r="Y69" s="36">
        <v>0.22589999999999999</v>
      </c>
      <c r="Z69" s="36">
        <v>0.22589999999999999</v>
      </c>
      <c r="AA69" s="36">
        <v>0.22589999999999999</v>
      </c>
      <c r="AB69" s="36">
        <v>0.22589999999999999</v>
      </c>
      <c r="AC69" s="36">
        <v>0.22589999999999999</v>
      </c>
      <c r="AD69" s="36">
        <v>0.22589999999999999</v>
      </c>
      <c r="AE69" s="36">
        <v>0.22589999999999999</v>
      </c>
      <c r="AF69" s="35" t="s">
        <v>1278</v>
      </c>
      <c r="AG69" s="29"/>
    </row>
    <row r="70" spans="1:33" ht="15" customHeight="1">
      <c r="A70" s="34" t="s">
        <v>2543</v>
      </c>
      <c r="B70" s="37" t="s">
        <v>2491</v>
      </c>
      <c r="C70" s="36" t="s">
        <v>1278</v>
      </c>
      <c r="D70" s="36">
        <v>0</v>
      </c>
      <c r="E70" s="36">
        <v>0</v>
      </c>
      <c r="F70" s="36">
        <v>0</v>
      </c>
      <c r="G70" s="36">
        <v>0</v>
      </c>
      <c r="H70" s="36">
        <v>0</v>
      </c>
      <c r="I70" s="36">
        <v>0</v>
      </c>
      <c r="J70" s="36">
        <v>0</v>
      </c>
      <c r="K70" s="36">
        <v>0</v>
      </c>
      <c r="L70" s="36">
        <v>1.1000000000000001E-3</v>
      </c>
      <c r="M70" s="36">
        <v>1.1000000000000001E-3</v>
      </c>
      <c r="N70" s="36">
        <v>1.1000000000000001E-3</v>
      </c>
      <c r="O70" s="36">
        <v>1.1000000000000001E-3</v>
      </c>
      <c r="P70" s="36">
        <v>1.1000000000000001E-3</v>
      </c>
      <c r="Q70" s="36">
        <v>1.1000000000000001E-3</v>
      </c>
      <c r="R70" s="36">
        <v>1.1000000000000001E-3</v>
      </c>
      <c r="S70" s="36">
        <v>1.1000000000000001E-3</v>
      </c>
      <c r="T70" s="36">
        <v>1.1000000000000001E-3</v>
      </c>
      <c r="U70" s="36">
        <v>1.1000000000000001E-3</v>
      </c>
      <c r="V70" s="36">
        <v>1.1000000000000001E-3</v>
      </c>
      <c r="W70" s="36">
        <v>1.1000000000000001E-3</v>
      </c>
      <c r="X70" s="36">
        <v>1.1000000000000001E-3</v>
      </c>
      <c r="Y70" s="36">
        <v>1.1000000000000001E-3</v>
      </c>
      <c r="Z70" s="36">
        <v>1.1000000000000001E-3</v>
      </c>
      <c r="AA70" s="36">
        <v>1.1000000000000001E-3</v>
      </c>
      <c r="AB70" s="36">
        <v>1.1000000000000001E-3</v>
      </c>
      <c r="AC70" s="36">
        <v>1.1000000000000001E-3</v>
      </c>
      <c r="AD70" s="36">
        <v>1.1000000000000001E-3</v>
      </c>
      <c r="AE70" s="36">
        <v>1.1000000000000001E-3</v>
      </c>
      <c r="AF70" s="35" t="s">
        <v>1278</v>
      </c>
      <c r="AG70" s="29"/>
    </row>
    <row r="71" spans="1:33" ht="15" customHeight="1">
      <c r="A71" s="34" t="s">
        <v>2544</v>
      </c>
      <c r="B71" s="37" t="s">
        <v>2493</v>
      </c>
      <c r="C71" s="36" t="s">
        <v>1278</v>
      </c>
      <c r="D71" s="36">
        <v>0.153</v>
      </c>
      <c r="E71" s="36">
        <v>0.17469999999999999</v>
      </c>
      <c r="F71" s="36">
        <v>0.1772</v>
      </c>
      <c r="G71" s="36">
        <v>0.28599999999999998</v>
      </c>
      <c r="H71" s="36">
        <v>0.34039999999999998</v>
      </c>
      <c r="I71" s="36">
        <v>0.63039999999999996</v>
      </c>
      <c r="J71" s="36">
        <v>0.98960000000000004</v>
      </c>
      <c r="K71" s="36">
        <v>1.2366010000000001</v>
      </c>
      <c r="L71" s="36">
        <v>1.628501</v>
      </c>
      <c r="M71" s="36">
        <v>1.8610009999999999</v>
      </c>
      <c r="N71" s="36">
        <v>1.8632010000000001</v>
      </c>
      <c r="O71" s="36">
        <v>2.6071010000000001</v>
      </c>
      <c r="P71" s="36">
        <v>2.7330009999999998</v>
      </c>
      <c r="Q71" s="36">
        <v>3.2343570000000001</v>
      </c>
      <c r="R71" s="36">
        <v>3.3065570000000002</v>
      </c>
      <c r="S71" s="36">
        <v>3.3212570000000001</v>
      </c>
      <c r="T71" s="36">
        <v>3.3212570000000001</v>
      </c>
      <c r="U71" s="36">
        <v>3.3212570000000001</v>
      </c>
      <c r="V71" s="36">
        <v>3.3212570000000001</v>
      </c>
      <c r="W71" s="36">
        <v>3.3212570000000001</v>
      </c>
      <c r="X71" s="36">
        <v>3.3244570000000002</v>
      </c>
      <c r="Y71" s="36">
        <v>3.4043570000000001</v>
      </c>
      <c r="Z71" s="36">
        <v>3.4043570000000001</v>
      </c>
      <c r="AA71" s="36">
        <v>3.4069569999999998</v>
      </c>
      <c r="AB71" s="36">
        <v>3.4099569999999999</v>
      </c>
      <c r="AC71" s="36">
        <v>3.4099569999999999</v>
      </c>
      <c r="AD71" s="36">
        <v>3.424957</v>
      </c>
      <c r="AE71" s="36">
        <v>3.4587569999999999</v>
      </c>
      <c r="AF71" s="35" t="s">
        <v>1278</v>
      </c>
      <c r="AG71" s="29"/>
    </row>
    <row r="72" spans="1:33" ht="15" customHeight="1">
      <c r="A72" s="34" t="s">
        <v>2545</v>
      </c>
      <c r="B72" s="33" t="s">
        <v>2497</v>
      </c>
      <c r="C72" s="32" t="s">
        <v>1278</v>
      </c>
      <c r="D72" s="32">
        <v>12.624104000000001</v>
      </c>
      <c r="E72" s="32">
        <v>30.276014</v>
      </c>
      <c r="F72" s="32">
        <v>57.619041000000003</v>
      </c>
      <c r="G72" s="32">
        <v>67.339157</v>
      </c>
      <c r="H72" s="32">
        <v>80.017632000000006</v>
      </c>
      <c r="I72" s="32">
        <v>99.835648000000006</v>
      </c>
      <c r="J72" s="32">
        <v>118.17997</v>
      </c>
      <c r="K72" s="32">
        <v>127.518776</v>
      </c>
      <c r="L72" s="32">
        <v>131.61045799999999</v>
      </c>
      <c r="M72" s="32">
        <v>137.04345699999999</v>
      </c>
      <c r="N72" s="32">
        <v>145.34875500000001</v>
      </c>
      <c r="O72" s="32">
        <v>151.564087</v>
      </c>
      <c r="P72" s="32">
        <v>155.29908800000001</v>
      </c>
      <c r="Q72" s="32">
        <v>158.613449</v>
      </c>
      <c r="R72" s="32">
        <v>162.00663800000001</v>
      </c>
      <c r="S72" s="32">
        <v>168.87934899999999</v>
      </c>
      <c r="T72" s="32">
        <v>173.18266299999999</v>
      </c>
      <c r="U72" s="32">
        <v>179.999863</v>
      </c>
      <c r="V72" s="32">
        <v>181.74588</v>
      </c>
      <c r="W72" s="32">
        <v>182.883881</v>
      </c>
      <c r="X72" s="32">
        <v>182.88708500000001</v>
      </c>
      <c r="Y72" s="32">
        <v>184.538971</v>
      </c>
      <c r="Z72" s="32">
        <v>184.538971</v>
      </c>
      <c r="AA72" s="32">
        <v>187.11256399999999</v>
      </c>
      <c r="AB72" s="32">
        <v>188.27456699999999</v>
      </c>
      <c r="AC72" s="32">
        <v>190.92468299999999</v>
      </c>
      <c r="AD72" s="32">
        <v>191.02267499999999</v>
      </c>
      <c r="AE72" s="32">
        <v>191.180679</v>
      </c>
      <c r="AF72" s="31" t="s">
        <v>1278</v>
      </c>
      <c r="AG72" s="29"/>
    </row>
    <row r="73" spans="1:33" ht="12" customHeight="1">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1:33" ht="15" customHeight="1">
      <c r="A74" s="34" t="s">
        <v>2546</v>
      </c>
      <c r="B74" s="33" t="s">
        <v>2547</v>
      </c>
      <c r="C74" s="32">
        <v>1132.6617429999999</v>
      </c>
      <c r="D74" s="32">
        <v>1168.4228519999999</v>
      </c>
      <c r="E74" s="32">
        <v>1205.3935550000001</v>
      </c>
      <c r="F74" s="32">
        <v>1250.332764</v>
      </c>
      <c r="G74" s="32">
        <v>1325.930664</v>
      </c>
      <c r="H74" s="32">
        <v>1402.946655</v>
      </c>
      <c r="I74" s="32">
        <v>1462.7967530000001</v>
      </c>
      <c r="J74" s="32">
        <v>1507.6488039999999</v>
      </c>
      <c r="K74" s="32">
        <v>1543.3017580000001</v>
      </c>
      <c r="L74" s="32">
        <v>1581.7802730000001</v>
      </c>
      <c r="M74" s="32">
        <v>1624.2254640000001</v>
      </c>
      <c r="N74" s="32">
        <v>1662.8553469999999</v>
      </c>
      <c r="O74" s="32">
        <v>1692.9803469999999</v>
      </c>
      <c r="P74" s="32">
        <v>1716.762817</v>
      </c>
      <c r="Q74" s="32">
        <v>1748.7802730000001</v>
      </c>
      <c r="R74" s="32">
        <v>1778.9223629999999</v>
      </c>
      <c r="S74" s="32">
        <v>1809.2581789999999</v>
      </c>
      <c r="T74" s="32">
        <v>1830.751221</v>
      </c>
      <c r="U74" s="32">
        <v>1855.710693</v>
      </c>
      <c r="V74" s="32">
        <v>1878.2098390000001</v>
      </c>
      <c r="W74" s="32">
        <v>1903.272827</v>
      </c>
      <c r="X74" s="32">
        <v>1934.466553</v>
      </c>
      <c r="Y74" s="32">
        <v>1973.6210940000001</v>
      </c>
      <c r="Z74" s="32">
        <v>2018.7082519999999</v>
      </c>
      <c r="AA74" s="32">
        <v>2060.3891600000002</v>
      </c>
      <c r="AB74" s="32">
        <v>2093.6967770000001</v>
      </c>
      <c r="AC74" s="32">
        <v>2124.7929690000001</v>
      </c>
      <c r="AD74" s="32">
        <v>2161.523682</v>
      </c>
      <c r="AE74" s="32">
        <v>2199.2504880000001</v>
      </c>
      <c r="AF74" s="31">
        <v>2.3980999999999999E-2</v>
      </c>
      <c r="AG74" s="29"/>
    </row>
    <row r="75" spans="1:33" ht="15" customHeight="1">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1:33" ht="15" customHeight="1">
      <c r="B76" s="33" t="s">
        <v>2548</v>
      </c>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1:33" ht="15" customHeight="1">
      <c r="A77" s="34" t="s">
        <v>2549</v>
      </c>
      <c r="B77" s="37" t="s">
        <v>2500</v>
      </c>
      <c r="C77" s="36">
        <v>1.6362540000000001</v>
      </c>
      <c r="D77" s="36">
        <v>1.6180399999999999</v>
      </c>
      <c r="E77" s="36">
        <v>1.5981380000000001</v>
      </c>
      <c r="F77" s="36">
        <v>1.5811519999999999</v>
      </c>
      <c r="G77" s="36">
        <v>1.572481</v>
      </c>
      <c r="H77" s="36">
        <v>1.56366</v>
      </c>
      <c r="I77" s="36">
        <v>1.554424</v>
      </c>
      <c r="J77" s="36">
        <v>1.545005</v>
      </c>
      <c r="K77" s="36">
        <v>1.535101</v>
      </c>
      <c r="L77" s="36">
        <v>1.5260279999999999</v>
      </c>
      <c r="M77" s="36">
        <v>1.517612</v>
      </c>
      <c r="N77" s="36">
        <v>1.5084709999999999</v>
      </c>
      <c r="O77" s="36">
        <v>1.4996700000000001</v>
      </c>
      <c r="P77" s="36">
        <v>1.491222</v>
      </c>
      <c r="Q77" s="36">
        <v>1.4822379999999999</v>
      </c>
      <c r="R77" s="36">
        <v>1.4736739999999999</v>
      </c>
      <c r="S77" s="36">
        <v>1.4648190000000001</v>
      </c>
      <c r="T77" s="36">
        <v>1.4557739999999999</v>
      </c>
      <c r="U77" s="36">
        <v>1.447392</v>
      </c>
      <c r="V77" s="36">
        <v>1.439117</v>
      </c>
      <c r="W77" s="36">
        <v>1.4311130000000001</v>
      </c>
      <c r="X77" s="36">
        <v>1.422809</v>
      </c>
      <c r="Y77" s="36">
        <v>1.4142509999999999</v>
      </c>
      <c r="Z77" s="36">
        <v>1.4056120000000001</v>
      </c>
      <c r="AA77" s="36">
        <v>1.3974340000000001</v>
      </c>
      <c r="AB77" s="36">
        <v>1.3897470000000001</v>
      </c>
      <c r="AC77" s="36">
        <v>1.381351</v>
      </c>
      <c r="AD77" s="36">
        <v>1.373283</v>
      </c>
      <c r="AE77" s="36">
        <v>1.3659969999999999</v>
      </c>
      <c r="AF77" s="35">
        <v>-6.4270000000000004E-3</v>
      </c>
      <c r="AG77" s="29"/>
    </row>
    <row r="78" spans="1:33" ht="15" customHeight="1">
      <c r="A78" s="34" t="s">
        <v>2550</v>
      </c>
      <c r="B78" s="37" t="s">
        <v>2551</v>
      </c>
      <c r="C78" s="36">
        <v>0.53329300000000002</v>
      </c>
      <c r="D78" s="36">
        <v>0.53284399999999998</v>
      </c>
      <c r="E78" s="36">
        <v>0.53228299999999995</v>
      </c>
      <c r="F78" s="36">
        <v>0.531891</v>
      </c>
      <c r="G78" s="36">
        <v>0.53184399999999998</v>
      </c>
      <c r="H78" s="36">
        <v>0.531802</v>
      </c>
      <c r="I78" s="36">
        <v>0.53174699999999997</v>
      </c>
      <c r="J78" s="36">
        <v>0.53167799999999998</v>
      </c>
      <c r="K78" s="36">
        <v>0.53159299999999998</v>
      </c>
      <c r="L78" s="36">
        <v>0.53154999999999997</v>
      </c>
      <c r="M78" s="36">
        <v>0.53152600000000005</v>
      </c>
      <c r="N78" s="36">
        <v>0.53147599999999995</v>
      </c>
      <c r="O78" s="36">
        <v>0.53144100000000005</v>
      </c>
      <c r="P78" s="36">
        <v>0.53142299999999998</v>
      </c>
      <c r="Q78" s="36">
        <v>0.53136399999999995</v>
      </c>
      <c r="R78" s="36">
        <v>0.53132599999999996</v>
      </c>
      <c r="S78" s="36">
        <v>0.53128200000000003</v>
      </c>
      <c r="T78" s="36">
        <v>0.53122800000000003</v>
      </c>
      <c r="U78" s="36">
        <v>0.53121600000000002</v>
      </c>
      <c r="V78" s="36">
        <v>0.53119700000000003</v>
      </c>
      <c r="W78" s="36">
        <v>0.53119400000000006</v>
      </c>
      <c r="X78" s="36">
        <v>0.53117199999999998</v>
      </c>
      <c r="Y78" s="36">
        <v>0.53112999999999999</v>
      </c>
      <c r="Z78" s="36">
        <v>0.53108299999999997</v>
      </c>
      <c r="AA78" s="36">
        <v>0.53107499999999996</v>
      </c>
      <c r="AB78" s="36">
        <v>0.53111799999999998</v>
      </c>
      <c r="AC78" s="36">
        <v>0.53109600000000001</v>
      </c>
      <c r="AD78" s="36">
        <v>0.53110199999999996</v>
      </c>
      <c r="AE78" s="36">
        <v>0.53119000000000005</v>
      </c>
      <c r="AF78" s="35">
        <v>-1.4100000000000001E-4</v>
      </c>
      <c r="AG78" s="29"/>
    </row>
    <row r="79" spans="1:33" ht="12" customHeight="1">
      <c r="A79" s="34" t="s">
        <v>2552</v>
      </c>
      <c r="B79" s="37" t="s">
        <v>2553</v>
      </c>
      <c r="C79" s="36">
        <v>19.267299999999999</v>
      </c>
      <c r="D79" s="36">
        <v>19.494534999999999</v>
      </c>
      <c r="E79" s="36">
        <v>19.658781000000001</v>
      </c>
      <c r="F79" s="36">
        <v>19.783961999999999</v>
      </c>
      <c r="G79" s="36">
        <v>20.029892</v>
      </c>
      <c r="H79" s="36">
        <v>20.209789000000001</v>
      </c>
      <c r="I79" s="36">
        <v>20.390411</v>
      </c>
      <c r="J79" s="36">
        <v>20.573201999999998</v>
      </c>
      <c r="K79" s="36">
        <v>20.759429999999998</v>
      </c>
      <c r="L79" s="36">
        <v>20.958670000000001</v>
      </c>
      <c r="M79" s="36">
        <v>21.173285</v>
      </c>
      <c r="N79" s="36">
        <v>21.392665999999998</v>
      </c>
      <c r="O79" s="36">
        <v>21.628748000000002</v>
      </c>
      <c r="P79" s="36">
        <v>21.878609000000001</v>
      </c>
      <c r="Q79" s="36">
        <v>22.134308000000001</v>
      </c>
      <c r="R79" s="36">
        <v>22.404961</v>
      </c>
      <c r="S79" s="36">
        <v>22.687266999999999</v>
      </c>
      <c r="T79" s="36">
        <v>22.982583999999999</v>
      </c>
      <c r="U79" s="36">
        <v>23.295998000000001</v>
      </c>
      <c r="V79" s="36">
        <v>23.624006000000001</v>
      </c>
      <c r="W79" s="36">
        <v>23.967196000000001</v>
      </c>
      <c r="X79" s="36">
        <v>24.320139000000001</v>
      </c>
      <c r="Y79" s="36">
        <v>24.679563999999999</v>
      </c>
      <c r="Z79" s="36">
        <v>25.043064000000001</v>
      </c>
      <c r="AA79" s="36">
        <v>25.378708</v>
      </c>
      <c r="AB79" s="36">
        <v>25.733324</v>
      </c>
      <c r="AC79" s="36">
        <v>26.08849</v>
      </c>
      <c r="AD79" s="36">
        <v>26.459178999999999</v>
      </c>
      <c r="AE79" s="36">
        <v>26.861211999999998</v>
      </c>
      <c r="AF79" s="35">
        <v>1.1938000000000001E-2</v>
      </c>
      <c r="AG79" s="29"/>
    </row>
    <row r="80" spans="1:33" ht="15" customHeight="1">
      <c r="A80" s="34" t="s">
        <v>2554</v>
      </c>
      <c r="B80" s="37" t="s">
        <v>2555</v>
      </c>
      <c r="C80" s="36">
        <v>2.3580999999999999</v>
      </c>
      <c r="D80" s="36">
        <v>2.3815</v>
      </c>
      <c r="E80" s="36">
        <v>2.3815</v>
      </c>
      <c r="F80" s="36">
        <v>2.4016000000000002</v>
      </c>
      <c r="G80" s="36">
        <v>2.4016000000000002</v>
      </c>
      <c r="H80" s="36">
        <v>2.4016000000000002</v>
      </c>
      <c r="I80" s="36">
        <v>2.4016000000000002</v>
      </c>
      <c r="J80" s="36">
        <v>2.4016000000000002</v>
      </c>
      <c r="K80" s="36">
        <v>2.4016000000000002</v>
      </c>
      <c r="L80" s="36">
        <v>2.4016000000000002</v>
      </c>
      <c r="M80" s="36">
        <v>2.4016000000000002</v>
      </c>
      <c r="N80" s="36">
        <v>2.4016000000000002</v>
      </c>
      <c r="O80" s="36">
        <v>2.4016000000000002</v>
      </c>
      <c r="P80" s="36">
        <v>2.4016000000000002</v>
      </c>
      <c r="Q80" s="36">
        <v>2.4016000000000002</v>
      </c>
      <c r="R80" s="36">
        <v>2.4016000000000002</v>
      </c>
      <c r="S80" s="36">
        <v>2.4016000000000002</v>
      </c>
      <c r="T80" s="36">
        <v>2.4016000000000002</v>
      </c>
      <c r="U80" s="36">
        <v>2.4016000000000002</v>
      </c>
      <c r="V80" s="36">
        <v>2.4016000000000002</v>
      </c>
      <c r="W80" s="36">
        <v>2.4016000000000002</v>
      </c>
      <c r="X80" s="36">
        <v>2.4016000000000002</v>
      </c>
      <c r="Y80" s="36">
        <v>2.4016000000000002</v>
      </c>
      <c r="Z80" s="36">
        <v>2.4016000000000002</v>
      </c>
      <c r="AA80" s="36">
        <v>2.4016000000000002</v>
      </c>
      <c r="AB80" s="36">
        <v>2.4016000000000002</v>
      </c>
      <c r="AC80" s="36">
        <v>2.4016000000000002</v>
      </c>
      <c r="AD80" s="36">
        <v>2.4016000000000002</v>
      </c>
      <c r="AE80" s="36">
        <v>2.4016000000000002</v>
      </c>
      <c r="AF80" s="35">
        <v>6.5300000000000004E-4</v>
      </c>
      <c r="AG80" s="29"/>
    </row>
    <row r="81" spans="1:34" ht="12" customHeight="1">
      <c r="A81" s="34" t="s">
        <v>2556</v>
      </c>
      <c r="B81" s="37" t="s">
        <v>2493</v>
      </c>
      <c r="C81" s="36">
        <v>55.088580999999998</v>
      </c>
      <c r="D81" s="36">
        <v>61.784584000000002</v>
      </c>
      <c r="E81" s="36">
        <v>68.065956</v>
      </c>
      <c r="F81" s="36">
        <v>73.924010999999993</v>
      </c>
      <c r="G81" s="36">
        <v>78.473526000000007</v>
      </c>
      <c r="H81" s="36">
        <v>83.382271000000003</v>
      </c>
      <c r="I81" s="36">
        <v>88.145392999999999</v>
      </c>
      <c r="J81" s="36">
        <v>93.947593999999995</v>
      </c>
      <c r="K81" s="36">
        <v>99.106346000000002</v>
      </c>
      <c r="L81" s="36">
        <v>104.475723</v>
      </c>
      <c r="M81" s="36">
        <v>109.911209</v>
      </c>
      <c r="N81" s="36">
        <v>116.118263</v>
      </c>
      <c r="O81" s="36">
        <v>122.657608</v>
      </c>
      <c r="P81" s="36">
        <v>127.58551799999999</v>
      </c>
      <c r="Q81" s="36">
        <v>133.96225000000001</v>
      </c>
      <c r="R81" s="36">
        <v>139.35754399999999</v>
      </c>
      <c r="S81" s="36">
        <v>145.725708</v>
      </c>
      <c r="T81" s="36">
        <v>152.26521299999999</v>
      </c>
      <c r="U81" s="36">
        <v>158.83000200000001</v>
      </c>
      <c r="V81" s="36">
        <v>165.440414</v>
      </c>
      <c r="W81" s="36">
        <v>172.05561800000001</v>
      </c>
      <c r="X81" s="36">
        <v>178.825714</v>
      </c>
      <c r="Y81" s="36">
        <v>185.69212300000001</v>
      </c>
      <c r="Z81" s="36">
        <v>192.87107800000001</v>
      </c>
      <c r="AA81" s="36">
        <v>201.085556</v>
      </c>
      <c r="AB81" s="36">
        <v>208.26741000000001</v>
      </c>
      <c r="AC81" s="36">
        <v>216.260696</v>
      </c>
      <c r="AD81" s="36">
        <v>223.84262100000001</v>
      </c>
      <c r="AE81" s="36">
        <v>231.52693199999999</v>
      </c>
      <c r="AF81" s="35">
        <v>5.2614000000000001E-2</v>
      </c>
      <c r="AG81" s="29"/>
    </row>
    <row r="82" spans="1:34" ht="15" customHeight="1">
      <c r="A82" s="34" t="s">
        <v>2557</v>
      </c>
      <c r="B82" s="37" t="s">
        <v>2558</v>
      </c>
      <c r="C82" s="36">
        <v>0.38080000000000003</v>
      </c>
      <c r="D82" s="36">
        <v>0.38080000000000003</v>
      </c>
      <c r="E82" s="36">
        <v>0.38080000000000003</v>
      </c>
      <c r="F82" s="36">
        <v>0.38080000000000003</v>
      </c>
      <c r="G82" s="36">
        <v>0.43080000000000002</v>
      </c>
      <c r="H82" s="36">
        <v>0.43080000000000002</v>
      </c>
      <c r="I82" s="36">
        <v>0.43080000000000002</v>
      </c>
      <c r="J82" s="36">
        <v>0.43080000000000002</v>
      </c>
      <c r="K82" s="36">
        <v>0.43080000000000002</v>
      </c>
      <c r="L82" s="36">
        <v>0.43080000000000002</v>
      </c>
      <c r="M82" s="36">
        <v>0.43080000000000002</v>
      </c>
      <c r="N82" s="36">
        <v>0.43080000000000002</v>
      </c>
      <c r="O82" s="36">
        <v>0.43080000000000002</v>
      </c>
      <c r="P82" s="36">
        <v>0.43080000000000002</v>
      </c>
      <c r="Q82" s="36">
        <v>0.43080000000000002</v>
      </c>
      <c r="R82" s="36">
        <v>0.43080000000000002</v>
      </c>
      <c r="S82" s="36">
        <v>0.43080000000000002</v>
      </c>
      <c r="T82" s="36">
        <v>0.43080000000000002</v>
      </c>
      <c r="U82" s="36">
        <v>0.43080000000000002</v>
      </c>
      <c r="V82" s="36">
        <v>0.43080000000000002</v>
      </c>
      <c r="W82" s="36">
        <v>0.43080000000000002</v>
      </c>
      <c r="X82" s="36">
        <v>0.43080000000000002</v>
      </c>
      <c r="Y82" s="36">
        <v>0.43080000000000002</v>
      </c>
      <c r="Z82" s="36">
        <v>0.43080000000000002</v>
      </c>
      <c r="AA82" s="36">
        <v>0.43080000000000002</v>
      </c>
      <c r="AB82" s="36">
        <v>0.43080000000000002</v>
      </c>
      <c r="AC82" s="36">
        <v>0.43080000000000002</v>
      </c>
      <c r="AD82" s="36">
        <v>0.43080000000000002</v>
      </c>
      <c r="AE82" s="36">
        <v>0.43080000000000002</v>
      </c>
      <c r="AF82" s="35">
        <v>4.4159999999999998E-3</v>
      </c>
      <c r="AG82" s="29"/>
    </row>
    <row r="83" spans="1:34" ht="15" customHeight="1">
      <c r="A83" s="34" t="s">
        <v>2559</v>
      </c>
      <c r="B83" s="33" t="s">
        <v>2497</v>
      </c>
      <c r="C83" s="32">
        <v>79.264328000000006</v>
      </c>
      <c r="D83" s="32">
        <v>86.192307</v>
      </c>
      <c r="E83" s="32">
        <v>92.617462000000003</v>
      </c>
      <c r="F83" s="32">
        <v>98.603408999999999</v>
      </c>
      <c r="G83" s="32">
        <v>103.44014</v>
      </c>
      <c r="H83" s="32">
        <v>108.51992</v>
      </c>
      <c r="I83" s="32">
        <v>113.454376</v>
      </c>
      <c r="J83" s="32">
        <v>119.429878</v>
      </c>
      <c r="K83" s="32">
        <v>124.76487</v>
      </c>
      <c r="L83" s="32">
        <v>130.32437100000001</v>
      </c>
      <c r="M83" s="32">
        <v>135.96603400000001</v>
      </c>
      <c r="N83" s="32">
        <v>142.38327000000001</v>
      </c>
      <c r="O83" s="32">
        <v>149.14987199999999</v>
      </c>
      <c r="P83" s="32">
        <v>154.31918300000001</v>
      </c>
      <c r="Q83" s="32">
        <v>160.942566</v>
      </c>
      <c r="R83" s="32">
        <v>166.59991500000001</v>
      </c>
      <c r="S83" s="32">
        <v>173.24146999999999</v>
      </c>
      <c r="T83" s="32">
        <v>180.06720000000001</v>
      </c>
      <c r="U83" s="32">
        <v>186.93701200000001</v>
      </c>
      <c r="V83" s="32">
        <v>193.867142</v>
      </c>
      <c r="W83" s="32">
        <v>200.81752</v>
      </c>
      <c r="X83" s="32">
        <v>207.93223599999999</v>
      </c>
      <c r="Y83" s="32">
        <v>215.14946</v>
      </c>
      <c r="Z83" s="32">
        <v>222.68322800000001</v>
      </c>
      <c r="AA83" s="32">
        <v>231.22515899999999</v>
      </c>
      <c r="AB83" s="32">
        <v>238.753998</v>
      </c>
      <c r="AC83" s="32">
        <v>247.09402499999999</v>
      </c>
      <c r="AD83" s="32">
        <v>255.038589</v>
      </c>
      <c r="AE83" s="32">
        <v>263.11773699999998</v>
      </c>
      <c r="AF83" s="31">
        <v>4.3782000000000001E-2</v>
      </c>
      <c r="AG83" s="29"/>
    </row>
    <row r="84" spans="1:34" ht="15" customHeight="1">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row>
    <row r="85" spans="1:34" ht="15" customHeight="1">
      <c r="A85" s="34" t="s">
        <v>2560</v>
      </c>
      <c r="B85" s="33" t="s">
        <v>2561</v>
      </c>
      <c r="C85" s="32" t="s">
        <v>1278</v>
      </c>
      <c r="D85" s="32">
        <v>7.0811950000000001</v>
      </c>
      <c r="E85" s="32">
        <v>13.581953</v>
      </c>
      <c r="F85" s="32">
        <v>19.585304000000001</v>
      </c>
      <c r="G85" s="32">
        <v>24.430754</v>
      </c>
      <c r="H85" s="32">
        <v>29.519401999999999</v>
      </c>
      <c r="I85" s="32">
        <v>34.463135000000001</v>
      </c>
      <c r="J85" s="32">
        <v>40.448112000000002</v>
      </c>
      <c r="K85" s="32">
        <v>45.793114000000003</v>
      </c>
      <c r="L85" s="32">
        <v>51.361716999999999</v>
      </c>
      <c r="M85" s="32">
        <v>57.011806</v>
      </c>
      <c r="N85" s="32">
        <v>63.438267000000003</v>
      </c>
      <c r="O85" s="32">
        <v>70.213676000000007</v>
      </c>
      <c r="P85" s="32">
        <v>75.391411000000005</v>
      </c>
      <c r="Q85" s="32">
        <v>82.023842000000002</v>
      </c>
      <c r="R85" s="32">
        <v>87.689812000000003</v>
      </c>
      <c r="S85" s="32">
        <v>94.340286000000006</v>
      </c>
      <c r="T85" s="32">
        <v>101.175117</v>
      </c>
      <c r="U85" s="32">
        <v>108.053299</v>
      </c>
      <c r="V85" s="32">
        <v>114.99176</v>
      </c>
      <c r="W85" s="32">
        <v>121.95011100000001</v>
      </c>
      <c r="X85" s="32">
        <v>129.07313500000001</v>
      </c>
      <c r="Y85" s="32">
        <v>136.299026</v>
      </c>
      <c r="Z85" s="32">
        <v>143.84144599999999</v>
      </c>
      <c r="AA85" s="32">
        <v>152.391617</v>
      </c>
      <c r="AB85" s="32">
        <v>159.92811599999999</v>
      </c>
      <c r="AC85" s="32">
        <v>168.27650499999999</v>
      </c>
      <c r="AD85" s="32">
        <v>176.229141</v>
      </c>
      <c r="AE85" s="32">
        <v>184.31558200000001</v>
      </c>
      <c r="AF85" s="31" t="s">
        <v>1278</v>
      </c>
      <c r="AG85" s="29"/>
    </row>
    <row r="86" spans="1:34" ht="15" customHeight="1" thickBot="1">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row>
    <row r="87" spans="1:34" ht="15" customHeight="1">
      <c r="B87" s="2179" t="s">
        <v>2562</v>
      </c>
      <c r="C87" s="2180"/>
      <c r="D87" s="2180"/>
      <c r="E87" s="2180"/>
      <c r="F87" s="2180"/>
      <c r="G87" s="2180"/>
      <c r="H87" s="2180"/>
      <c r="I87" s="2180"/>
      <c r="J87" s="2180"/>
      <c r="K87" s="2180"/>
      <c r="L87" s="2180"/>
      <c r="M87" s="2180"/>
      <c r="N87" s="2180"/>
      <c r="O87" s="2180"/>
      <c r="P87" s="2180"/>
      <c r="Q87" s="2180"/>
      <c r="R87" s="2180"/>
      <c r="S87" s="2180"/>
      <c r="T87" s="2180"/>
      <c r="U87" s="2180"/>
      <c r="V87" s="2180"/>
      <c r="W87" s="2180"/>
      <c r="X87" s="2180"/>
      <c r="Y87" s="2180"/>
      <c r="Z87" s="2180"/>
      <c r="AA87" s="2180"/>
      <c r="AB87" s="2180"/>
      <c r="AC87" s="2180"/>
      <c r="AD87" s="2180"/>
      <c r="AE87" s="2180"/>
      <c r="AF87" s="2180"/>
      <c r="AG87" s="2180"/>
      <c r="AH87" s="30"/>
    </row>
    <row r="88" spans="1:34" ht="15" customHeight="1">
      <c r="B88" s="29" t="s">
        <v>2563</v>
      </c>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row>
    <row r="89" spans="1:34" ht="15" customHeight="1">
      <c r="B89" s="29" t="s">
        <v>2564</v>
      </c>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row>
    <row r="90" spans="1:34" ht="15" customHeight="1">
      <c r="B90" s="29" t="s">
        <v>2565</v>
      </c>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row>
    <row r="91" spans="1:34" ht="15" customHeight="1">
      <c r="B91" s="29" t="s">
        <v>2566</v>
      </c>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row>
    <row r="92" spans="1:34" ht="12" customHeight="1">
      <c r="B92" s="29" t="s">
        <v>2567</v>
      </c>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row>
    <row r="93" spans="1:34" ht="15" customHeight="1">
      <c r="B93" s="29" t="s">
        <v>2568</v>
      </c>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row>
    <row r="94" spans="1:34" ht="15" customHeight="1">
      <c r="B94" s="29" t="s">
        <v>2569</v>
      </c>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1:34" ht="15" customHeight="1">
      <c r="B95" s="29" t="s">
        <v>2570</v>
      </c>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row>
    <row r="96" spans="1:34" ht="15" customHeight="1">
      <c r="B96" s="29" t="s">
        <v>2571</v>
      </c>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2:33" ht="15" customHeight="1">
      <c r="B97" s="29" t="s">
        <v>2572</v>
      </c>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2:33" ht="15" customHeight="1">
      <c r="B98" s="29" t="s">
        <v>2573</v>
      </c>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2:33" ht="15" customHeight="1">
      <c r="B99" s="29" t="s">
        <v>2574</v>
      </c>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2:33" ht="15" customHeight="1">
      <c r="B100" s="29" t="s">
        <v>2575</v>
      </c>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2:33" ht="12" customHeight="1">
      <c r="B101" s="29" t="s">
        <v>2576</v>
      </c>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2:33" ht="12" customHeight="1">
      <c r="B102" s="29" t="s">
        <v>2577</v>
      </c>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2:33" ht="15" customHeight="1">
      <c r="B103" s="29" t="s">
        <v>2578</v>
      </c>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2:33" ht="15" customHeight="1">
      <c r="B104" s="29" t="s">
        <v>2579</v>
      </c>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2:33" ht="15" customHeight="1">
      <c r="B105" s="29" t="s">
        <v>2580</v>
      </c>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2:33" ht="15" customHeight="1">
      <c r="B106" s="29" t="s">
        <v>2581</v>
      </c>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2:33" ht="15" customHeight="1">
      <c r="B107" s="29" t="s">
        <v>2582</v>
      </c>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2:33" ht="15" customHeight="1">
      <c r="B108" s="29" t="s">
        <v>2583</v>
      </c>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row>
    <row r="109" spans="2:33" ht="15" customHeight="1">
      <c r="B109" s="29" t="s">
        <v>2292</v>
      </c>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row>
    <row r="110" spans="2:33" ht="15" customHeight="1">
      <c r="B110" s="29" t="s">
        <v>2584</v>
      </c>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row>
    <row r="111" spans="2:33" ht="15" customHeight="1">
      <c r="B111" s="29" t="s">
        <v>2585</v>
      </c>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row>
    <row r="112" spans="2:33" ht="15" customHeight="1">
      <c r="B112" s="2185" t="s">
        <v>2586</v>
      </c>
      <c r="C112" s="2185"/>
      <c r="D112" s="2185"/>
      <c r="E112" s="2185"/>
      <c r="F112" s="2185"/>
      <c r="G112" s="2185"/>
      <c r="H112" s="2185"/>
      <c r="I112" s="2185"/>
      <c r="J112" s="2185"/>
      <c r="K112" s="2185"/>
      <c r="L112" s="2185"/>
      <c r="M112" s="2185"/>
      <c r="N112" s="2185"/>
      <c r="O112" s="2185"/>
      <c r="P112" s="2185"/>
      <c r="Q112" s="2185"/>
      <c r="R112" s="2185"/>
      <c r="S112" s="2185"/>
      <c r="T112" s="2185"/>
      <c r="U112" s="2185"/>
      <c r="V112" s="2185"/>
      <c r="W112" s="2185"/>
      <c r="X112" s="2185"/>
      <c r="Y112" s="2185"/>
      <c r="Z112" s="2185"/>
      <c r="AA112" s="2185"/>
      <c r="AB112" s="2185"/>
      <c r="AC112" s="2185"/>
      <c r="AD112" s="2185"/>
      <c r="AE112" s="2185"/>
      <c r="AF112" s="2185"/>
      <c r="AG112" s="29"/>
    </row>
    <row r="113" spans="2:33" ht="15" customHeight="1">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row>
    <row r="114" spans="2:33" ht="15" customHeight="1">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row>
    <row r="115" spans="2:33" ht="15" customHeight="1">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row>
    <row r="116" spans="2:33" ht="15" customHeight="1">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row>
    <row r="117" spans="2:33" ht="15" customHeight="1">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row>
    <row r="118" spans="2:33" ht="15" customHeight="1">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row>
    <row r="119" spans="2:33" ht="15" customHeight="1">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row>
    <row r="120" spans="2:33" ht="15" customHeight="1">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row>
    <row r="121" spans="2:33" ht="15" customHeight="1">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row>
    <row r="122" spans="2:33" ht="15" customHeight="1">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row>
    <row r="123" spans="2:33" ht="15" customHeight="1">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row>
    <row r="124" spans="2:33" ht="15" customHeight="1">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row>
    <row r="125" spans="2:33" ht="15" customHeight="1">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row>
    <row r="126" spans="2:33" ht="15" customHeight="1">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row>
    <row r="127" spans="2:33" ht="15" customHeight="1">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row>
    <row r="128" spans="2:33" ht="15" customHeight="1">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row>
    <row r="129" spans="2:33" ht="15" customHeight="1">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row>
    <row r="130" spans="2:33" ht="15" customHeight="1">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row>
    <row r="131" spans="2:33" ht="15" customHeight="1">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row>
    <row r="132" spans="2:33" ht="15" customHeight="1">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row>
    <row r="133" spans="2:33" ht="15" customHeight="1">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row>
    <row r="134" spans="2:33" ht="15" customHeight="1">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row>
    <row r="135" spans="2:33" ht="15" customHeight="1">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row>
    <row r="136" spans="2:33" ht="15" customHeight="1">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row>
    <row r="137" spans="2:33" ht="15" customHeight="1">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row>
    <row r="138" spans="2:33" ht="15" customHeight="1">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row>
    <row r="139" spans="2:33" ht="15" customHeight="1">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row>
    <row r="140" spans="2:33" ht="15" customHeight="1">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row>
    <row r="141" spans="2:33" ht="12" customHeight="1">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row>
    <row r="142" spans="2:33" ht="12" customHeight="1">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row>
    <row r="143" spans="2:33" ht="12" customHeight="1">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row>
    <row r="144" spans="2:33" ht="12" customHeight="1">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row>
    <row r="145" spans="2:33" ht="12" customHeight="1">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row>
    <row r="146" spans="2:33" ht="12" customHeight="1">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row>
    <row r="147" spans="2:33" ht="12" customHeight="1">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row>
    <row r="148" spans="2:33" ht="12" customHeight="1">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row>
    <row r="149" spans="2:33" ht="12" customHeight="1">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row>
    <row r="150" spans="2:33" ht="15" customHeight="1">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row>
    <row r="151" spans="2:33" ht="15" customHeight="1">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row>
    <row r="152" spans="2:33" ht="15" customHeight="1">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row>
    <row r="153" spans="2:33" ht="15" customHeight="1">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row>
    <row r="154" spans="2:33" ht="15" customHeight="1">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row>
    <row r="155" spans="2:33" ht="15" customHeight="1">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row>
    <row r="156" spans="2:33" ht="15" customHeight="1">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row>
    <row r="157" spans="2:33" ht="15" customHeight="1">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row>
    <row r="158" spans="2:33" ht="15" customHeight="1">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row>
    <row r="159" spans="2:33" ht="15" customHeight="1">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row>
    <row r="165" ht="12" customHeight="1"/>
    <row r="180" ht="12" customHeight="1"/>
    <row r="204" ht="12" customHeight="1"/>
    <row r="205" ht="12" customHeight="1"/>
    <row r="223" ht="12" customHeight="1"/>
    <row r="226" ht="12" customHeight="1"/>
    <row r="256" ht="12" customHeight="1"/>
    <row r="257" ht="12" customHeight="1"/>
    <row r="269" ht="12" customHeight="1"/>
    <row r="299" ht="12" customHeight="1"/>
    <row r="308" spans="2:32" ht="15" customHeight="1">
      <c r="B308" s="2178"/>
      <c r="C308" s="2178"/>
      <c r="D308" s="2178"/>
      <c r="E308" s="2178"/>
      <c r="F308" s="2178"/>
      <c r="G308" s="2178"/>
      <c r="H308" s="2178"/>
      <c r="I308" s="2178"/>
      <c r="J308" s="2178"/>
      <c r="K308" s="2178"/>
      <c r="L308" s="2178"/>
      <c r="M308" s="2178"/>
      <c r="N308" s="2178"/>
      <c r="O308" s="2178"/>
      <c r="P308" s="2178"/>
      <c r="Q308" s="2178"/>
      <c r="R308" s="2178"/>
      <c r="S308" s="2178"/>
      <c r="T308" s="2178"/>
      <c r="U308" s="2178"/>
      <c r="V308" s="2178"/>
      <c r="W308" s="2178"/>
      <c r="X308" s="2178"/>
      <c r="Y308" s="2178"/>
      <c r="Z308" s="2178"/>
      <c r="AA308" s="2178"/>
      <c r="AB308" s="2178"/>
      <c r="AC308" s="2178"/>
      <c r="AD308" s="2178"/>
      <c r="AE308" s="2178"/>
      <c r="AF308" s="2178"/>
    </row>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85" ht="12" customHeight="1"/>
    <row r="392" ht="12" customHeight="1"/>
    <row r="402" ht="12" customHeight="1"/>
    <row r="412" ht="12" customHeight="1"/>
    <row r="419" ht="12" customHeight="1"/>
    <row r="420" ht="12" customHeight="1"/>
    <row r="433" ht="12" customHeight="1"/>
    <row r="443" ht="12" customHeight="1"/>
    <row r="444" ht="12" customHeight="1"/>
    <row r="451" ht="12" customHeight="1"/>
    <row r="458" ht="12" customHeight="1"/>
    <row r="468" ht="12" customHeight="1"/>
    <row r="469" ht="12" customHeight="1"/>
    <row r="479" ht="12" customHeight="1"/>
    <row r="486" ht="12" customHeight="1"/>
    <row r="499" spans="2:32" ht="12" customHeight="1"/>
    <row r="509" spans="2:32" ht="12" customHeight="1"/>
    <row r="511" spans="2:32" ht="15" customHeight="1">
      <c r="B511" s="2178"/>
      <c r="C511" s="2178"/>
      <c r="D511" s="2178"/>
      <c r="E511" s="2178"/>
      <c r="F511" s="2178"/>
      <c r="G511" s="2178"/>
      <c r="H511" s="2178"/>
      <c r="I511" s="2178"/>
      <c r="J511" s="2178"/>
      <c r="K511" s="2178"/>
      <c r="L511" s="2178"/>
      <c r="M511" s="2178"/>
      <c r="N511" s="2178"/>
      <c r="O511" s="2178"/>
      <c r="P511" s="2178"/>
      <c r="Q511" s="2178"/>
      <c r="R511" s="2178"/>
      <c r="S511" s="2178"/>
      <c r="T511" s="2178"/>
      <c r="U511" s="2178"/>
      <c r="V511" s="2178"/>
      <c r="W511" s="2178"/>
      <c r="X511" s="2178"/>
      <c r="Y511" s="2178"/>
      <c r="Z511" s="2178"/>
      <c r="AA511" s="2178"/>
      <c r="AB511" s="2178"/>
      <c r="AC511" s="2178"/>
      <c r="AD511" s="2178"/>
      <c r="AE511" s="2178"/>
      <c r="AF511" s="2178"/>
    </row>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86" ht="12" customHeight="1"/>
    <row r="588" ht="12" customHeight="1"/>
    <row r="596" ht="12" customHeight="1"/>
    <row r="616" ht="12" customHeight="1"/>
    <row r="625" ht="12" customHeight="1"/>
    <row r="631" ht="12" customHeight="1"/>
    <row r="638" ht="12" customHeight="1"/>
    <row r="640" ht="12" customHeight="1"/>
    <row r="659" ht="12" customHeight="1"/>
    <row r="661" ht="12" customHeight="1"/>
    <row r="680" ht="12" customHeight="1"/>
    <row r="687" ht="12" customHeight="1"/>
    <row r="699" ht="12" customHeight="1"/>
    <row r="712" spans="2:32" ht="15" customHeight="1">
      <c r="B712" s="2178"/>
      <c r="C712" s="2178"/>
      <c r="D712" s="2178"/>
      <c r="E712" s="2178"/>
      <c r="F712" s="2178"/>
      <c r="G712" s="2178"/>
      <c r="H712" s="2178"/>
      <c r="I712" s="2178"/>
      <c r="J712" s="2178"/>
      <c r="K712" s="2178"/>
      <c r="L712" s="2178"/>
      <c r="M712" s="2178"/>
      <c r="N712" s="2178"/>
      <c r="O712" s="2178"/>
      <c r="P712" s="2178"/>
      <c r="Q712" s="2178"/>
      <c r="R712" s="2178"/>
      <c r="S712" s="2178"/>
      <c r="T712" s="2178"/>
      <c r="U712" s="2178"/>
      <c r="V712" s="2178"/>
      <c r="W712" s="2178"/>
      <c r="X712" s="2178"/>
      <c r="Y712" s="2178"/>
      <c r="Z712" s="2178"/>
      <c r="AA712" s="2178"/>
      <c r="AB712" s="2178"/>
      <c r="AC712" s="2178"/>
      <c r="AD712" s="2178"/>
      <c r="AE712" s="2178"/>
      <c r="AF712" s="2178"/>
    </row>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81" ht="12" customHeight="1"/>
    <row r="786" ht="12" customHeight="1"/>
    <row r="791" ht="12" customHeight="1"/>
    <row r="807" ht="12" customHeight="1"/>
    <row r="815" ht="12" customHeight="1"/>
    <row r="821" ht="12" customHeight="1"/>
    <row r="824" ht="12" customHeight="1"/>
    <row r="839" ht="12" customHeight="1"/>
    <row r="841" ht="12" customHeight="1"/>
    <row r="856" ht="12" customHeight="1"/>
    <row r="862" ht="12" customHeight="1"/>
    <row r="874" ht="12" customHeight="1"/>
    <row r="887" spans="2:32" ht="15" customHeight="1">
      <c r="B887" s="2178"/>
      <c r="C887" s="2178"/>
      <c r="D887" s="2178"/>
      <c r="E887" s="2178"/>
      <c r="F887" s="2178"/>
      <c r="G887" s="2178"/>
      <c r="H887" s="2178"/>
      <c r="I887" s="2178"/>
      <c r="J887" s="2178"/>
      <c r="K887" s="2178"/>
      <c r="L887" s="2178"/>
      <c r="M887" s="2178"/>
      <c r="N887" s="2178"/>
      <c r="O887" s="2178"/>
      <c r="P887" s="2178"/>
      <c r="Q887" s="2178"/>
      <c r="R887" s="2178"/>
      <c r="S887" s="2178"/>
      <c r="T887" s="2178"/>
      <c r="U887" s="2178"/>
      <c r="V887" s="2178"/>
      <c r="W887" s="2178"/>
      <c r="X887" s="2178"/>
      <c r="Y887" s="2178"/>
      <c r="Z887" s="2178"/>
      <c r="AA887" s="2178"/>
      <c r="AB887" s="2178"/>
      <c r="AC887" s="2178"/>
      <c r="AD887" s="2178"/>
      <c r="AE887" s="2178"/>
      <c r="AF887" s="2178"/>
    </row>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60" ht="12" customHeight="1"/>
    <row r="986" ht="12" customHeight="1"/>
    <row r="987" ht="12" customHeight="1"/>
    <row r="1017" ht="12" customHeight="1"/>
    <row r="1018" ht="12" customHeight="1"/>
    <row r="1039" ht="12" customHeight="1"/>
    <row r="1067" ht="12" customHeight="1"/>
    <row r="1096" spans="2:32" ht="12" customHeight="1"/>
    <row r="1101" spans="2:32" ht="15" customHeight="1">
      <c r="B1101" s="2178"/>
      <c r="C1101" s="2178"/>
      <c r="D1101" s="2178"/>
      <c r="E1101" s="2178"/>
      <c r="F1101" s="2178"/>
      <c r="G1101" s="2178"/>
      <c r="H1101" s="2178"/>
      <c r="I1101" s="2178"/>
      <c r="J1101" s="2178"/>
      <c r="K1101" s="2178"/>
      <c r="L1101" s="2178"/>
      <c r="M1101" s="2178"/>
      <c r="N1101" s="2178"/>
      <c r="O1101" s="2178"/>
      <c r="P1101" s="2178"/>
      <c r="Q1101" s="2178"/>
      <c r="R1101" s="2178"/>
      <c r="S1101" s="2178"/>
      <c r="T1101" s="2178"/>
      <c r="U1101" s="2178"/>
      <c r="V1101" s="2178"/>
      <c r="W1101" s="2178"/>
      <c r="X1101" s="2178"/>
      <c r="Y1101" s="2178"/>
      <c r="Z1101" s="2178"/>
      <c r="AA1101" s="2178"/>
      <c r="AB1101" s="2178"/>
      <c r="AC1101" s="2178"/>
      <c r="AD1101" s="2178"/>
      <c r="AE1101" s="2178"/>
      <c r="AF1101" s="2178"/>
    </row>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69" ht="12" customHeight="1"/>
    <row r="1193" ht="12" customHeight="1"/>
    <row r="1211" ht="12" customHeight="1"/>
    <row r="1229" spans="2:32" ht="15" customHeight="1">
      <c r="B1229" s="2178"/>
      <c r="C1229" s="2178"/>
      <c r="D1229" s="2178"/>
      <c r="E1229" s="2178"/>
      <c r="F1229" s="2178"/>
      <c r="G1229" s="2178"/>
      <c r="H1229" s="2178"/>
      <c r="I1229" s="2178"/>
      <c r="J1229" s="2178"/>
      <c r="K1229" s="2178"/>
      <c r="L1229" s="2178"/>
      <c r="M1229" s="2178"/>
      <c r="N1229" s="2178"/>
      <c r="O1229" s="2178"/>
      <c r="P1229" s="2178"/>
      <c r="Q1229" s="2178"/>
      <c r="R1229" s="2178"/>
      <c r="S1229" s="2178"/>
      <c r="T1229" s="2178"/>
      <c r="U1229" s="2178"/>
      <c r="V1229" s="2178"/>
      <c r="W1229" s="2178"/>
      <c r="X1229" s="2178"/>
      <c r="Y1229" s="2178"/>
      <c r="Z1229" s="2178"/>
      <c r="AA1229" s="2178"/>
      <c r="AB1229" s="2178"/>
      <c r="AC1229" s="2178"/>
      <c r="AD1229" s="2178"/>
      <c r="AE1229" s="2178"/>
      <c r="AF1229" s="2178"/>
    </row>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6" ht="12" customHeight="1"/>
    <row r="1326" ht="12" customHeight="1"/>
    <row r="1328" ht="12" customHeight="1"/>
    <row r="1339" ht="12" customHeight="1"/>
    <row r="1349" ht="12" customHeight="1"/>
    <row r="1351" ht="12" customHeight="1"/>
    <row r="1360" ht="12" customHeight="1"/>
    <row r="1374" ht="12" customHeight="1"/>
    <row r="1384" spans="2:32" ht="12" customHeight="1"/>
    <row r="1390" spans="2:32" ht="15" customHeight="1">
      <c r="B1390" s="2178"/>
      <c r="C1390" s="2178"/>
      <c r="D1390" s="2178"/>
      <c r="E1390" s="2178"/>
      <c r="F1390" s="2178"/>
      <c r="G1390" s="2178"/>
      <c r="H1390" s="2178"/>
      <c r="I1390" s="2178"/>
      <c r="J1390" s="2178"/>
      <c r="K1390" s="2178"/>
      <c r="L1390" s="2178"/>
      <c r="M1390" s="2178"/>
      <c r="N1390" s="2178"/>
      <c r="O1390" s="2178"/>
      <c r="P1390" s="2178"/>
      <c r="Q1390" s="2178"/>
      <c r="R1390" s="2178"/>
      <c r="S1390" s="2178"/>
      <c r="T1390" s="2178"/>
      <c r="U1390" s="2178"/>
      <c r="V1390" s="2178"/>
      <c r="W1390" s="2178"/>
      <c r="X1390" s="2178"/>
      <c r="Y1390" s="2178"/>
      <c r="Z1390" s="2178"/>
      <c r="AA1390" s="2178"/>
      <c r="AB1390" s="2178"/>
      <c r="AC1390" s="2178"/>
      <c r="AD1390" s="2178"/>
      <c r="AE1390" s="2178"/>
      <c r="AF1390" s="2178"/>
    </row>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50" ht="12" customHeight="1"/>
    <row r="1476" ht="12" customHeight="1"/>
    <row r="1488" ht="12" customHeight="1"/>
    <row r="1490" spans="2:32" ht="12" customHeight="1"/>
    <row r="1499" spans="2:32" ht="12" customHeight="1"/>
    <row r="1502" spans="2:32" ht="15" customHeight="1">
      <c r="B1502" s="2178"/>
      <c r="C1502" s="2178"/>
      <c r="D1502" s="2178"/>
      <c r="E1502" s="2178"/>
      <c r="F1502" s="2178"/>
      <c r="G1502" s="2178"/>
      <c r="H1502" s="2178"/>
      <c r="I1502" s="2178"/>
      <c r="J1502" s="2178"/>
      <c r="K1502" s="2178"/>
      <c r="L1502" s="2178"/>
      <c r="M1502" s="2178"/>
      <c r="N1502" s="2178"/>
      <c r="O1502" s="2178"/>
      <c r="P1502" s="2178"/>
      <c r="Q1502" s="2178"/>
      <c r="R1502" s="2178"/>
      <c r="S1502" s="2178"/>
      <c r="T1502" s="2178"/>
      <c r="U1502" s="2178"/>
      <c r="V1502" s="2178"/>
      <c r="W1502" s="2178"/>
      <c r="X1502" s="2178"/>
      <c r="Y1502" s="2178"/>
      <c r="Z1502" s="2178"/>
      <c r="AA1502" s="2178"/>
      <c r="AB1502" s="2178"/>
      <c r="AC1502" s="2178"/>
      <c r="AD1502" s="2178"/>
      <c r="AE1502" s="2178"/>
      <c r="AF1502" s="2178"/>
    </row>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6" ht="12" customHeight="1"/>
    <row r="1591" ht="12" customHeight="1"/>
    <row r="1593" ht="12" customHeight="1"/>
    <row r="1598" ht="12" customHeight="1"/>
    <row r="1604" spans="2:32" ht="15" customHeight="1">
      <c r="B1604" s="2178"/>
      <c r="C1604" s="2178"/>
      <c r="D1604" s="2178"/>
      <c r="E1604" s="2178"/>
      <c r="F1604" s="2178"/>
      <c r="G1604" s="2178"/>
      <c r="H1604" s="2178"/>
      <c r="I1604" s="2178"/>
      <c r="J1604" s="2178"/>
      <c r="K1604" s="2178"/>
      <c r="L1604" s="2178"/>
      <c r="M1604" s="2178"/>
      <c r="N1604" s="2178"/>
      <c r="O1604" s="2178"/>
      <c r="P1604" s="2178"/>
      <c r="Q1604" s="2178"/>
      <c r="R1604" s="2178"/>
      <c r="S1604" s="2178"/>
      <c r="T1604" s="2178"/>
      <c r="U1604" s="2178"/>
      <c r="V1604" s="2178"/>
      <c r="W1604" s="2178"/>
      <c r="X1604" s="2178"/>
      <c r="Y1604" s="2178"/>
      <c r="Z1604" s="2178"/>
      <c r="AA1604" s="2178"/>
      <c r="AB1604" s="2178"/>
      <c r="AC1604" s="2178"/>
      <c r="AD1604" s="2178"/>
      <c r="AE1604" s="2178"/>
      <c r="AF1604" s="2178"/>
    </row>
    <row r="1612" spans="2:32" ht="12" customHeight="1"/>
    <row r="1613" spans="2:32" ht="12" customHeight="1"/>
    <row r="1614" spans="2:32" ht="12" customHeight="1"/>
    <row r="1615" spans="2:32" ht="12" customHeight="1"/>
    <row r="1616" spans="2:32" ht="12" customHeight="1"/>
    <row r="1617" ht="12" customHeight="1"/>
    <row r="1618" ht="12" customHeight="1"/>
    <row r="1619" ht="12" customHeight="1"/>
    <row r="1620" ht="12" customHeight="1"/>
    <row r="1621" ht="12" customHeight="1"/>
    <row r="1622" ht="12" customHeight="1"/>
    <row r="1623" ht="12" customHeight="1"/>
    <row r="1624" ht="12" customHeight="1"/>
    <row r="1639" ht="12" customHeight="1"/>
    <row r="1665" ht="12" customHeight="1"/>
    <row r="1667" ht="12" customHeight="1"/>
    <row r="1668" ht="12" customHeight="1"/>
    <row r="1686" ht="12" customHeight="1"/>
    <row r="1688" ht="12" customHeight="1"/>
    <row r="1697" spans="2:32" ht="12" customHeight="1"/>
    <row r="1699" spans="2:32" ht="15" customHeight="1">
      <c r="B1699" s="2178"/>
      <c r="C1699" s="2178"/>
      <c r="D1699" s="2178"/>
      <c r="E1699" s="2178"/>
      <c r="F1699" s="2178"/>
      <c r="G1699" s="2178"/>
      <c r="H1699" s="2178"/>
      <c r="I1699" s="2178"/>
      <c r="J1699" s="2178"/>
      <c r="K1699" s="2178"/>
      <c r="L1699" s="2178"/>
      <c r="M1699" s="2178"/>
      <c r="N1699" s="2178"/>
      <c r="O1699" s="2178"/>
      <c r="P1699" s="2178"/>
      <c r="Q1699" s="2178"/>
      <c r="R1699" s="2178"/>
      <c r="S1699" s="2178"/>
      <c r="T1699" s="2178"/>
      <c r="U1699" s="2178"/>
      <c r="V1699" s="2178"/>
      <c r="W1699" s="2178"/>
      <c r="X1699" s="2178"/>
      <c r="Y1699" s="2178"/>
      <c r="Z1699" s="2178"/>
      <c r="AA1699" s="2178"/>
      <c r="AB1699" s="2178"/>
      <c r="AC1699" s="2178"/>
      <c r="AD1699" s="2178"/>
      <c r="AE1699" s="2178"/>
      <c r="AF1699" s="2178"/>
    </row>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60" ht="12" customHeight="1"/>
    <row r="1862" ht="12" customHeight="1"/>
    <row r="1866" ht="12" customHeight="1"/>
    <row r="1871" ht="12" customHeight="1"/>
    <row r="1877" ht="12" customHeight="1"/>
    <row r="1887" ht="12" customHeight="1"/>
    <row r="1892" ht="12" customHeight="1"/>
    <row r="1901" ht="12" customHeight="1"/>
    <row r="1902" ht="12" customHeight="1"/>
    <row r="1908" ht="12" customHeight="1"/>
    <row r="1914" ht="12" customHeight="1"/>
    <row r="1918" ht="12" customHeight="1"/>
    <row r="1923" ht="12" customHeight="1"/>
    <row r="1932" ht="12" customHeight="1"/>
    <row r="1936" ht="12" customHeight="1"/>
    <row r="1945" spans="2:32" ht="15" customHeight="1">
      <c r="B1945" s="2178"/>
      <c r="C1945" s="2178"/>
      <c r="D1945" s="2178"/>
      <c r="E1945" s="2178"/>
      <c r="F1945" s="2178"/>
      <c r="G1945" s="2178"/>
      <c r="H1945" s="2178"/>
      <c r="I1945" s="2178"/>
      <c r="J1945" s="2178"/>
      <c r="K1945" s="2178"/>
      <c r="L1945" s="2178"/>
      <c r="M1945" s="2178"/>
      <c r="N1945" s="2178"/>
      <c r="O1945" s="2178"/>
      <c r="P1945" s="2178"/>
      <c r="Q1945" s="2178"/>
      <c r="R1945" s="2178"/>
      <c r="S1945" s="2178"/>
      <c r="T1945" s="2178"/>
      <c r="U1945" s="2178"/>
      <c r="V1945" s="2178"/>
      <c r="W1945" s="2178"/>
      <c r="X1945" s="2178"/>
      <c r="Y1945" s="2178"/>
      <c r="Z1945" s="2178"/>
      <c r="AA1945" s="2178"/>
      <c r="AB1945" s="2178"/>
      <c r="AC1945" s="2178"/>
      <c r="AD1945" s="2178"/>
      <c r="AE1945" s="2178"/>
      <c r="AF1945" s="2178"/>
    </row>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83" ht="12" customHeight="1"/>
    <row r="1987" ht="12" customHeight="1"/>
    <row r="1989" ht="12" customHeight="1"/>
    <row r="2003" ht="12" customHeight="1"/>
    <row r="2005" ht="12" customHeight="1"/>
    <row r="2007" ht="12" customHeight="1"/>
    <row r="2010" ht="12" customHeight="1"/>
    <row r="2021" spans="2:32" ht="12" customHeight="1"/>
    <row r="2031" spans="2:32" ht="15" customHeight="1">
      <c r="B2031" s="2178"/>
      <c r="C2031" s="2178"/>
      <c r="D2031" s="2178"/>
      <c r="E2031" s="2178"/>
      <c r="F2031" s="2178"/>
      <c r="G2031" s="2178"/>
      <c r="H2031" s="2178"/>
      <c r="I2031" s="2178"/>
      <c r="J2031" s="2178"/>
      <c r="K2031" s="2178"/>
      <c r="L2031" s="2178"/>
      <c r="M2031" s="2178"/>
      <c r="N2031" s="2178"/>
      <c r="O2031" s="2178"/>
      <c r="P2031" s="2178"/>
      <c r="Q2031" s="2178"/>
      <c r="R2031" s="2178"/>
      <c r="S2031" s="2178"/>
      <c r="T2031" s="2178"/>
      <c r="U2031" s="2178"/>
      <c r="V2031" s="2178"/>
      <c r="W2031" s="2178"/>
      <c r="X2031" s="2178"/>
      <c r="Y2031" s="2178"/>
      <c r="Z2031" s="2178"/>
      <c r="AA2031" s="2178"/>
      <c r="AB2031" s="2178"/>
      <c r="AC2031" s="2178"/>
      <c r="AD2031" s="2178"/>
      <c r="AE2031" s="2178"/>
      <c r="AF2031" s="2178"/>
    </row>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6" ht="12" customHeight="1"/>
    <row r="2109" ht="12" customHeight="1"/>
    <row r="2123" ht="12" customHeight="1"/>
    <row r="2130" ht="12" customHeight="1"/>
    <row r="2132" ht="12" customHeight="1"/>
    <row r="2135" ht="12" customHeight="1"/>
    <row r="2147" spans="2:32" ht="12" customHeight="1"/>
    <row r="2149" spans="2:32" ht="12" customHeight="1"/>
    <row r="2150" spans="2:32" ht="12" customHeight="1"/>
    <row r="2153" spans="2:32" ht="15" customHeight="1">
      <c r="B2153" s="2178"/>
      <c r="C2153" s="2178"/>
      <c r="D2153" s="2178"/>
      <c r="E2153" s="2178"/>
      <c r="F2153" s="2178"/>
      <c r="G2153" s="2178"/>
      <c r="H2153" s="2178"/>
      <c r="I2153" s="2178"/>
      <c r="J2153" s="2178"/>
      <c r="K2153" s="2178"/>
      <c r="L2153" s="2178"/>
      <c r="M2153" s="2178"/>
      <c r="N2153" s="2178"/>
      <c r="O2153" s="2178"/>
      <c r="P2153" s="2178"/>
      <c r="Q2153" s="2178"/>
      <c r="R2153" s="2178"/>
      <c r="S2153" s="2178"/>
      <c r="T2153" s="2178"/>
      <c r="U2153" s="2178"/>
      <c r="V2153" s="2178"/>
      <c r="W2153" s="2178"/>
      <c r="X2153" s="2178"/>
      <c r="Y2153" s="2178"/>
      <c r="Z2153" s="2178"/>
      <c r="AA2153" s="2178"/>
      <c r="AB2153" s="2178"/>
      <c r="AC2153" s="2178"/>
      <c r="AD2153" s="2178"/>
      <c r="AE2153" s="2178"/>
      <c r="AF2153" s="2178"/>
    </row>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9" ht="12" customHeight="1"/>
    <row r="2263" ht="12" customHeight="1"/>
    <row r="2265" ht="12" customHeight="1"/>
    <row r="2270" ht="12" customHeight="1"/>
    <row r="2272" ht="12" customHeight="1"/>
    <row r="2281" ht="12" customHeight="1"/>
    <row r="2283" ht="12" customHeight="1"/>
    <row r="2287" ht="12" customHeight="1"/>
    <row r="2299" ht="12" customHeight="1"/>
    <row r="2300" ht="12" customHeight="1"/>
    <row r="2304" ht="12" customHeight="1"/>
    <row r="2317" spans="2:32" ht="15" customHeight="1">
      <c r="B2317" s="2178"/>
      <c r="C2317" s="2178"/>
      <c r="D2317" s="2178"/>
      <c r="E2317" s="2178"/>
      <c r="F2317" s="2178"/>
      <c r="G2317" s="2178"/>
      <c r="H2317" s="2178"/>
      <c r="I2317" s="2178"/>
      <c r="J2317" s="2178"/>
      <c r="K2317" s="2178"/>
      <c r="L2317" s="2178"/>
      <c r="M2317" s="2178"/>
      <c r="N2317" s="2178"/>
      <c r="O2317" s="2178"/>
      <c r="P2317" s="2178"/>
      <c r="Q2317" s="2178"/>
      <c r="R2317" s="2178"/>
      <c r="S2317" s="2178"/>
      <c r="T2317" s="2178"/>
      <c r="U2317" s="2178"/>
      <c r="V2317" s="2178"/>
      <c r="W2317" s="2178"/>
      <c r="X2317" s="2178"/>
      <c r="Y2317" s="2178"/>
      <c r="Z2317" s="2178"/>
      <c r="AA2317" s="2178"/>
      <c r="AB2317" s="2178"/>
      <c r="AC2317" s="2178"/>
      <c r="AD2317" s="2178"/>
      <c r="AE2317" s="2178"/>
      <c r="AF2317" s="2178"/>
    </row>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66" ht="12" customHeight="1"/>
    <row r="2379" ht="12" customHeight="1"/>
    <row r="2389" ht="12" customHeight="1"/>
    <row r="2398" ht="12" customHeight="1"/>
    <row r="2399" ht="12" customHeight="1"/>
    <row r="2409" ht="12" customHeight="1"/>
    <row r="2419" spans="2:32" ht="15" customHeight="1">
      <c r="B2419" s="2178"/>
      <c r="C2419" s="2178"/>
      <c r="D2419" s="2178"/>
      <c r="E2419" s="2178"/>
      <c r="F2419" s="2178"/>
      <c r="G2419" s="2178"/>
      <c r="H2419" s="2178"/>
      <c r="I2419" s="2178"/>
      <c r="J2419" s="2178"/>
      <c r="K2419" s="2178"/>
      <c r="L2419" s="2178"/>
      <c r="M2419" s="2178"/>
      <c r="N2419" s="2178"/>
      <c r="O2419" s="2178"/>
      <c r="P2419" s="2178"/>
      <c r="Q2419" s="2178"/>
      <c r="R2419" s="2178"/>
      <c r="S2419" s="2178"/>
      <c r="T2419" s="2178"/>
      <c r="U2419" s="2178"/>
      <c r="V2419" s="2178"/>
      <c r="W2419" s="2178"/>
      <c r="X2419" s="2178"/>
      <c r="Y2419" s="2178"/>
      <c r="Z2419" s="2178"/>
      <c r="AA2419" s="2178"/>
      <c r="AB2419" s="2178"/>
      <c r="AC2419" s="2178"/>
      <c r="AD2419" s="2178"/>
      <c r="AE2419" s="2178"/>
      <c r="AF2419" s="2178"/>
    </row>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6" ht="12" customHeight="1"/>
    <row r="2458" ht="12" customHeight="1"/>
    <row r="2460" ht="12" customHeight="1"/>
    <row r="2466" ht="12" customHeight="1"/>
    <row r="2474" ht="12" customHeight="1"/>
    <row r="2485" ht="12" customHeight="1"/>
    <row r="2487" ht="12" customHeight="1"/>
    <row r="2493" ht="12" customHeight="1"/>
    <row r="2494" ht="12" customHeight="1"/>
    <row r="2497" spans="2:32" ht="12" customHeight="1"/>
    <row r="2503" spans="2:32" ht="12" customHeight="1"/>
    <row r="2509" spans="2:32" ht="15" customHeight="1">
      <c r="B2509" s="2178"/>
      <c r="C2509" s="2178"/>
      <c r="D2509" s="2178"/>
      <c r="E2509" s="2178"/>
      <c r="F2509" s="2178"/>
      <c r="G2509" s="2178"/>
      <c r="H2509" s="2178"/>
      <c r="I2509" s="2178"/>
      <c r="J2509" s="2178"/>
      <c r="K2509" s="2178"/>
      <c r="L2509" s="2178"/>
      <c r="M2509" s="2178"/>
      <c r="N2509" s="2178"/>
      <c r="O2509" s="2178"/>
      <c r="P2509" s="2178"/>
      <c r="Q2509" s="2178"/>
      <c r="R2509" s="2178"/>
      <c r="S2509" s="2178"/>
      <c r="T2509" s="2178"/>
      <c r="U2509" s="2178"/>
      <c r="V2509" s="2178"/>
      <c r="W2509" s="2178"/>
      <c r="X2509" s="2178"/>
      <c r="Y2509" s="2178"/>
      <c r="Z2509" s="2178"/>
      <c r="AA2509" s="2178"/>
      <c r="AB2509" s="2178"/>
      <c r="AC2509" s="2178"/>
      <c r="AD2509" s="2178"/>
      <c r="AE2509" s="2178"/>
      <c r="AF2509" s="2178"/>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60" ht="12" customHeight="1"/>
    <row r="2567" ht="12" customHeight="1"/>
    <row r="2574" ht="12" customHeight="1"/>
    <row r="2580" ht="12" customHeight="1"/>
    <row r="2587" ht="12" customHeight="1"/>
    <row r="2594" spans="2:32" ht="12" customHeight="1"/>
    <row r="2598" spans="2:32" ht="15" customHeight="1">
      <c r="B2598" s="2178"/>
      <c r="C2598" s="2178"/>
      <c r="D2598" s="2178"/>
      <c r="E2598" s="2178"/>
      <c r="F2598" s="2178"/>
      <c r="G2598" s="2178"/>
      <c r="H2598" s="2178"/>
      <c r="I2598" s="2178"/>
      <c r="J2598" s="2178"/>
      <c r="K2598" s="2178"/>
      <c r="L2598" s="2178"/>
      <c r="M2598" s="2178"/>
      <c r="N2598" s="2178"/>
      <c r="O2598" s="2178"/>
      <c r="P2598" s="2178"/>
      <c r="Q2598" s="2178"/>
      <c r="R2598" s="2178"/>
      <c r="S2598" s="2178"/>
      <c r="T2598" s="2178"/>
      <c r="U2598" s="2178"/>
      <c r="V2598" s="2178"/>
      <c r="W2598" s="2178"/>
      <c r="X2598" s="2178"/>
      <c r="Y2598" s="2178"/>
      <c r="Z2598" s="2178"/>
      <c r="AA2598" s="2178"/>
      <c r="AB2598" s="2178"/>
      <c r="AC2598" s="2178"/>
      <c r="AD2598" s="2178"/>
      <c r="AE2598" s="2178"/>
      <c r="AF2598" s="2178"/>
    </row>
    <row r="2616" ht="12" customHeight="1"/>
    <row r="2617" ht="12" customHeight="1"/>
    <row r="2618" ht="12" customHeight="1"/>
    <row r="2619" ht="12" customHeight="1"/>
    <row r="2620" ht="12" customHeight="1"/>
    <row r="2621" ht="12" customHeight="1"/>
    <row r="2622" ht="12" customHeight="1"/>
    <row r="2623" ht="12" customHeight="1"/>
    <row r="2624" ht="12" customHeight="1"/>
    <row r="2647" ht="12" customHeight="1"/>
    <row r="2660" ht="12" customHeight="1"/>
    <row r="2661" ht="12" customHeight="1"/>
    <row r="2688" ht="12" customHeight="1"/>
    <row r="2705" spans="2:32" ht="12" customHeight="1"/>
    <row r="2706" spans="2:32" ht="12" customHeight="1"/>
    <row r="2719" spans="2:32" ht="15" customHeight="1">
      <c r="B2719" s="2178"/>
      <c r="C2719" s="2178"/>
      <c r="D2719" s="2178"/>
      <c r="E2719" s="2178"/>
      <c r="F2719" s="2178"/>
      <c r="G2719" s="2178"/>
      <c r="H2719" s="2178"/>
      <c r="I2719" s="2178"/>
      <c r="J2719" s="2178"/>
      <c r="K2719" s="2178"/>
      <c r="L2719" s="2178"/>
      <c r="M2719" s="2178"/>
      <c r="N2719" s="2178"/>
      <c r="O2719" s="2178"/>
      <c r="P2719" s="2178"/>
      <c r="Q2719" s="2178"/>
      <c r="R2719" s="2178"/>
      <c r="S2719" s="2178"/>
      <c r="T2719" s="2178"/>
      <c r="U2719" s="2178"/>
      <c r="V2719" s="2178"/>
      <c r="W2719" s="2178"/>
      <c r="X2719" s="2178"/>
      <c r="Y2719" s="2178"/>
      <c r="Z2719" s="2178"/>
      <c r="AA2719" s="2178"/>
      <c r="AB2719" s="2178"/>
      <c r="AC2719" s="2178"/>
      <c r="AD2719" s="2178"/>
      <c r="AE2719" s="2178"/>
      <c r="AF2719" s="2178"/>
    </row>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7" ht="12" customHeight="1"/>
    <row r="2792" ht="12" customHeight="1"/>
    <row r="2803" ht="12" customHeight="1"/>
    <row r="2808" ht="12" customHeight="1"/>
    <row r="2817" ht="12" customHeight="1"/>
    <row r="2824" ht="12" customHeight="1"/>
    <row r="2829" ht="12" customHeight="1"/>
    <row r="2830" ht="12" customHeight="1"/>
    <row r="2837" spans="2:32" ht="15" customHeight="1">
      <c r="B2837" s="2178"/>
      <c r="C2837" s="2178"/>
      <c r="D2837" s="2178"/>
      <c r="E2837" s="2178"/>
      <c r="F2837" s="2178"/>
      <c r="G2837" s="2178"/>
      <c r="H2837" s="2178"/>
      <c r="I2837" s="2178"/>
      <c r="J2837" s="2178"/>
      <c r="K2837" s="2178"/>
      <c r="L2837" s="2178"/>
      <c r="M2837" s="2178"/>
      <c r="N2837" s="2178"/>
      <c r="O2837" s="2178"/>
      <c r="P2837" s="2178"/>
      <c r="Q2837" s="2178"/>
      <c r="R2837" s="2178"/>
      <c r="S2837" s="2178"/>
      <c r="T2837" s="2178"/>
      <c r="U2837" s="2178"/>
      <c r="V2837" s="2178"/>
      <c r="W2837" s="2178"/>
      <c r="X2837" s="2178"/>
      <c r="Y2837" s="2178"/>
      <c r="Z2837" s="2178"/>
      <c r="AA2837" s="2178"/>
      <c r="AB2837" s="2178"/>
      <c r="AC2837" s="2178"/>
      <c r="AD2837" s="2178"/>
      <c r="AE2837" s="2178"/>
      <c r="AF2837" s="2178"/>
    </row>
  </sheetData>
  <mergeCells count="21">
    <mergeCell ref="B1101:AF1101"/>
    <mergeCell ref="B87:AG87"/>
    <mergeCell ref="B2719:AF2719"/>
    <mergeCell ref="B2837:AF2837"/>
    <mergeCell ref="B2031:AF2031"/>
    <mergeCell ref="B2153:AF2153"/>
    <mergeCell ref="B2317:AF2317"/>
    <mergeCell ref="B2419:AF2419"/>
    <mergeCell ref="B2509:AF2509"/>
    <mergeCell ref="B2598:AF2598"/>
    <mergeCell ref="B1945:AF1945"/>
    <mergeCell ref="B112:AF112"/>
    <mergeCell ref="B308:AF308"/>
    <mergeCell ref="B511:AF511"/>
    <mergeCell ref="B712:AF712"/>
    <mergeCell ref="B887:AF887"/>
    <mergeCell ref="B1229:AF1229"/>
    <mergeCell ref="B1390:AF1390"/>
    <mergeCell ref="B1502:AF1502"/>
    <mergeCell ref="B1604:AF1604"/>
    <mergeCell ref="B1699:AF1699"/>
  </mergeCells>
  <pageMargins left="0.75" right="0.75" top="1" bottom="1" header="0.5" footer="0.5"/>
  <pageSetup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8B941-D4FF-40B6-8BEA-DBB9777D3D87}">
  <sheetPr codeName="Sheet31"/>
  <dimension ref="A1:AH2837"/>
  <sheetViews>
    <sheetView workbookViewId="0">
      <pane xSplit="2" ySplit="1" topLeftCell="C8" activePane="bottomRight" state="frozen"/>
      <selection pane="topRight" activeCell="C1" sqref="C1"/>
      <selection pane="bottomLeft" activeCell="A2" sqref="A2"/>
      <selection pane="bottomRight" activeCell="C33" sqref="C33"/>
    </sheetView>
  </sheetViews>
  <sheetFormatPr baseColWidth="10" defaultColWidth="9.1640625" defaultRowHeight="15" customHeight="1"/>
  <cols>
    <col min="1" max="1" width="20.83203125" style="28" hidden="1" customWidth="1"/>
    <col min="2" max="2" width="45.6640625" style="28" customWidth="1"/>
    <col min="3" max="16384" width="9.1640625" style="28"/>
  </cols>
  <sheetData>
    <row r="1" spans="1:33" ht="15" customHeight="1" thickBot="1">
      <c r="B1" s="50" t="s">
        <v>2046</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1974" t="s">
        <v>2047</v>
      </c>
      <c r="D3" s="1974" t="s">
        <v>311</v>
      </c>
      <c r="E3" s="47"/>
      <c r="F3" s="47"/>
      <c r="G3" s="47"/>
    </row>
    <row r="4" spans="1:33" ht="15" customHeight="1">
      <c r="C4" s="1974" t="s">
        <v>2048</v>
      </c>
      <c r="D4" s="1974" t="s">
        <v>2049</v>
      </c>
      <c r="E4" s="47"/>
      <c r="F4" s="47"/>
      <c r="G4" s="1974" t="s">
        <v>207</v>
      </c>
    </row>
    <row r="5" spans="1:33" ht="15" customHeight="1">
      <c r="C5" s="1974" t="s">
        <v>2050</v>
      </c>
      <c r="D5" s="1974" t="s">
        <v>2051</v>
      </c>
      <c r="E5" s="47"/>
      <c r="F5" s="47"/>
      <c r="G5" s="47"/>
    </row>
    <row r="6" spans="1:33" ht="15" customHeight="1">
      <c r="C6" s="1974" t="s">
        <v>2052</v>
      </c>
      <c r="D6" s="47"/>
      <c r="E6" s="1974" t="s">
        <v>2053</v>
      </c>
      <c r="F6" s="47"/>
      <c r="G6" s="47"/>
    </row>
    <row r="7" spans="1:33" ht="12" customHeight="1"/>
    <row r="8" spans="1:33" ht="12" customHeight="1"/>
    <row r="9" spans="1:33" ht="12" customHeight="1">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row>
    <row r="10" spans="1:33" ht="15" customHeight="1">
      <c r="A10" s="34" t="s">
        <v>5426</v>
      </c>
      <c r="B10" s="46" t="s">
        <v>5425</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2056</v>
      </c>
      <c r="AG10" s="29"/>
    </row>
    <row r="11" spans="1:33" ht="15" customHeight="1">
      <c r="B11" s="45" t="s">
        <v>5424</v>
      </c>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2058</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2059</v>
      </c>
      <c r="AG12" s="29"/>
    </row>
    <row r="13" spans="1:33" ht="15" customHeight="1" thickBot="1">
      <c r="B13" s="42" t="s">
        <v>5423</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t="s">
        <v>2061</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B15" s="33" t="s">
        <v>5422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row>
    <row r="16" spans="1:33" ht="15" customHeight="1">
      <c r="A16" s="34" t="s">
        <v>5421</v>
      </c>
      <c r="B16" s="37" t="s">
        <v>5420</v>
      </c>
      <c r="C16" s="38">
        <v>11.828412999999999</v>
      </c>
      <c r="D16" s="38">
        <v>12.317411</v>
      </c>
      <c r="E16" s="38">
        <v>12.668136000000001</v>
      </c>
      <c r="F16" s="38">
        <v>12.860077</v>
      </c>
      <c r="G16" s="38">
        <v>13.04087</v>
      </c>
      <c r="H16" s="38">
        <v>13.143864000000001</v>
      </c>
      <c r="I16" s="38">
        <v>13.308415999999999</v>
      </c>
      <c r="J16" s="38">
        <v>13.288779</v>
      </c>
      <c r="K16" s="38">
        <v>13.312295000000001</v>
      </c>
      <c r="L16" s="38">
        <v>13.240861000000001</v>
      </c>
      <c r="M16" s="38">
        <v>13.273460999999999</v>
      </c>
      <c r="N16" s="38">
        <v>13.304527999999999</v>
      </c>
      <c r="O16" s="38">
        <v>13.258546000000001</v>
      </c>
      <c r="P16" s="38">
        <v>13.227854000000001</v>
      </c>
      <c r="Q16" s="38">
        <v>13.170089000000001</v>
      </c>
      <c r="R16" s="38">
        <v>13.155234999999999</v>
      </c>
      <c r="S16" s="38">
        <v>13.109235999999999</v>
      </c>
      <c r="T16" s="38">
        <v>13.059265</v>
      </c>
      <c r="U16" s="38">
        <v>12.962479</v>
      </c>
      <c r="V16" s="38">
        <v>12.830216999999999</v>
      </c>
      <c r="W16" s="38">
        <v>12.859726999999999</v>
      </c>
      <c r="X16" s="38">
        <v>12.929422000000001</v>
      </c>
      <c r="Y16" s="38">
        <v>13.063684</v>
      </c>
      <c r="Z16" s="38">
        <v>13.097238000000001</v>
      </c>
      <c r="AA16" s="38">
        <v>13.129096000000001</v>
      </c>
      <c r="AB16" s="38">
        <v>13.032037000000001</v>
      </c>
      <c r="AC16" s="38">
        <v>13.064216</v>
      </c>
      <c r="AD16" s="38">
        <v>13.201051</v>
      </c>
      <c r="AE16" s="38">
        <v>13.238148000000001</v>
      </c>
      <c r="AF16" s="35">
        <v>4.0299999999999997E-3</v>
      </c>
      <c r="AG16" s="29"/>
    </row>
    <row r="17" spans="1:33" ht="15" customHeight="1">
      <c r="A17" s="34" t="s">
        <v>5419</v>
      </c>
      <c r="B17" s="37" t="s">
        <v>5418</v>
      </c>
      <c r="C17" s="38">
        <v>0.43645099999999998</v>
      </c>
      <c r="D17" s="38">
        <v>0.40578799999999998</v>
      </c>
      <c r="E17" s="38">
        <v>0.38200000000000001</v>
      </c>
      <c r="F17" s="38">
        <v>0.45424100000000001</v>
      </c>
      <c r="G17" s="38">
        <v>0.47660200000000003</v>
      </c>
      <c r="H17" s="38">
        <v>0.50541999999999998</v>
      </c>
      <c r="I17" s="38">
        <v>0.551674</v>
      </c>
      <c r="J17" s="38">
        <v>0.56236900000000001</v>
      </c>
      <c r="K17" s="38">
        <v>0.60036800000000001</v>
      </c>
      <c r="L17" s="38">
        <v>0.60017299999999996</v>
      </c>
      <c r="M17" s="38">
        <v>0.63000199999999995</v>
      </c>
      <c r="N17" s="38">
        <v>0.65393400000000002</v>
      </c>
      <c r="O17" s="38">
        <v>0.60891499999999998</v>
      </c>
      <c r="P17" s="38">
        <v>0.56296100000000004</v>
      </c>
      <c r="Q17" s="38">
        <v>0.56128</v>
      </c>
      <c r="R17" s="38">
        <v>0.601912</v>
      </c>
      <c r="S17" s="38">
        <v>0.64548799999999995</v>
      </c>
      <c r="T17" s="38">
        <v>0.67734899999999998</v>
      </c>
      <c r="U17" s="38">
        <v>0.64909899999999998</v>
      </c>
      <c r="V17" s="38">
        <v>0.62270099999999995</v>
      </c>
      <c r="W17" s="38">
        <v>0.61865099999999995</v>
      </c>
      <c r="X17" s="38">
        <v>0.61594300000000002</v>
      </c>
      <c r="Y17" s="38">
        <v>0.67054100000000005</v>
      </c>
      <c r="Z17" s="38">
        <v>0.69927799999999996</v>
      </c>
      <c r="AA17" s="38">
        <v>0.73988900000000002</v>
      </c>
      <c r="AB17" s="38">
        <v>0.74507299999999999</v>
      </c>
      <c r="AC17" s="38">
        <v>0.76454299999999997</v>
      </c>
      <c r="AD17" s="38">
        <v>0.75924100000000005</v>
      </c>
      <c r="AE17" s="38">
        <v>0.72814500000000004</v>
      </c>
      <c r="AF17" s="35">
        <v>1.8447999999999999E-2</v>
      </c>
      <c r="AG17" s="29"/>
    </row>
    <row r="18" spans="1:33" ht="15" customHeight="1">
      <c r="A18" s="34" t="s">
        <v>5417</v>
      </c>
      <c r="B18" s="37" t="s">
        <v>5416</v>
      </c>
      <c r="C18" s="38">
        <v>11.391961</v>
      </c>
      <c r="D18" s="38">
        <v>11.911623000000001</v>
      </c>
      <c r="E18" s="38">
        <v>12.286136000000001</v>
      </c>
      <c r="F18" s="38">
        <v>12.405836000000001</v>
      </c>
      <c r="G18" s="38">
        <v>12.564268</v>
      </c>
      <c r="H18" s="38">
        <v>12.638444</v>
      </c>
      <c r="I18" s="38">
        <v>12.756741999999999</v>
      </c>
      <c r="J18" s="38">
        <v>12.72641</v>
      </c>
      <c r="K18" s="38">
        <v>12.711926999999999</v>
      </c>
      <c r="L18" s="38">
        <v>12.640687</v>
      </c>
      <c r="M18" s="38">
        <v>12.643459</v>
      </c>
      <c r="N18" s="38">
        <v>12.650594</v>
      </c>
      <c r="O18" s="38">
        <v>12.649630999999999</v>
      </c>
      <c r="P18" s="38">
        <v>12.664894</v>
      </c>
      <c r="Q18" s="38">
        <v>12.608809000000001</v>
      </c>
      <c r="R18" s="38">
        <v>12.553323000000001</v>
      </c>
      <c r="S18" s="38">
        <v>12.463748000000001</v>
      </c>
      <c r="T18" s="38">
        <v>12.381916</v>
      </c>
      <c r="U18" s="38">
        <v>12.313378999999999</v>
      </c>
      <c r="V18" s="38">
        <v>12.207516</v>
      </c>
      <c r="W18" s="38">
        <v>12.241076</v>
      </c>
      <c r="X18" s="38">
        <v>12.313478999999999</v>
      </c>
      <c r="Y18" s="38">
        <v>12.393143</v>
      </c>
      <c r="Z18" s="38">
        <v>12.397959999999999</v>
      </c>
      <c r="AA18" s="38">
        <v>12.389208</v>
      </c>
      <c r="AB18" s="38">
        <v>12.286963</v>
      </c>
      <c r="AC18" s="38">
        <v>12.299671999999999</v>
      </c>
      <c r="AD18" s="38">
        <v>12.441811</v>
      </c>
      <c r="AE18" s="38">
        <v>12.510002</v>
      </c>
      <c r="AF18" s="35">
        <v>3.349E-3</v>
      </c>
      <c r="AG18" s="29"/>
    </row>
    <row r="19" spans="1:33" ht="15" customHeight="1">
      <c r="A19" s="34" t="s">
        <v>5415</v>
      </c>
      <c r="B19" s="37" t="s">
        <v>5414</v>
      </c>
      <c r="C19" s="38">
        <v>2.8143750000000001</v>
      </c>
      <c r="D19" s="38">
        <v>3.4323570000000001</v>
      </c>
      <c r="E19" s="38">
        <v>3.7852549999999998</v>
      </c>
      <c r="F19" s="38">
        <v>3.714477</v>
      </c>
      <c r="G19" s="38">
        <v>3.5692279999999998</v>
      </c>
      <c r="H19" s="38">
        <v>3.6300080000000001</v>
      </c>
      <c r="I19" s="38">
        <v>3.5685880000000001</v>
      </c>
      <c r="J19" s="38">
        <v>3.656625</v>
      </c>
      <c r="K19" s="38">
        <v>3.6410710000000002</v>
      </c>
      <c r="L19" s="38">
        <v>3.6865429999999999</v>
      </c>
      <c r="M19" s="38">
        <v>3.7116129999999998</v>
      </c>
      <c r="N19" s="38">
        <v>3.6603880000000002</v>
      </c>
      <c r="O19" s="38">
        <v>3.725044</v>
      </c>
      <c r="P19" s="38">
        <v>3.772062</v>
      </c>
      <c r="Q19" s="38">
        <v>3.8114880000000002</v>
      </c>
      <c r="R19" s="38">
        <v>3.8008229999999998</v>
      </c>
      <c r="S19" s="38">
        <v>3.874444</v>
      </c>
      <c r="T19" s="38">
        <v>3.9282339999999998</v>
      </c>
      <c r="U19" s="38">
        <v>4.0325350000000002</v>
      </c>
      <c r="V19" s="38">
        <v>4.1801500000000003</v>
      </c>
      <c r="W19" s="38">
        <v>4.1641560000000002</v>
      </c>
      <c r="X19" s="38">
        <v>4.0675059999999998</v>
      </c>
      <c r="Y19" s="38">
        <v>3.9746419999999998</v>
      </c>
      <c r="Z19" s="38">
        <v>3.916458</v>
      </c>
      <c r="AA19" s="38">
        <v>3.9220820000000001</v>
      </c>
      <c r="AB19" s="38">
        <v>3.9684349999999999</v>
      </c>
      <c r="AC19" s="38">
        <v>3.9202720000000002</v>
      </c>
      <c r="AD19" s="38">
        <v>3.8041930000000002</v>
      </c>
      <c r="AE19" s="38">
        <v>3.7092299999999998</v>
      </c>
      <c r="AF19" s="35">
        <v>9.9089999999999994E-3</v>
      </c>
      <c r="AG19" s="29"/>
    </row>
    <row r="20" spans="1:33" ht="15" customHeight="1">
      <c r="A20" s="34" t="s">
        <v>5413</v>
      </c>
      <c r="B20" s="37" t="s">
        <v>5412</v>
      </c>
      <c r="C20" s="38">
        <v>6.274</v>
      </c>
      <c r="D20" s="38">
        <v>6.7510000000000003</v>
      </c>
      <c r="E20" s="38">
        <v>7.0114400000000003</v>
      </c>
      <c r="F20" s="38">
        <v>6.9421210000000002</v>
      </c>
      <c r="G20" s="38">
        <v>6.7860100000000001</v>
      </c>
      <c r="H20" s="38">
        <v>6.9115469999999997</v>
      </c>
      <c r="I20" s="38">
        <v>6.8844649999999996</v>
      </c>
      <c r="J20" s="38">
        <v>7.0033799999999999</v>
      </c>
      <c r="K20" s="38">
        <v>7.0459079999999998</v>
      </c>
      <c r="L20" s="38">
        <v>7.0791649999999997</v>
      </c>
      <c r="M20" s="38">
        <v>7.0837250000000003</v>
      </c>
      <c r="N20" s="38">
        <v>7.0042400000000002</v>
      </c>
      <c r="O20" s="38">
        <v>7.068397</v>
      </c>
      <c r="P20" s="38">
        <v>7.131424</v>
      </c>
      <c r="Q20" s="38">
        <v>7.1280070000000002</v>
      </c>
      <c r="R20" s="38">
        <v>7.1006450000000001</v>
      </c>
      <c r="S20" s="38">
        <v>7.130846</v>
      </c>
      <c r="T20" s="38">
        <v>7.1797279999999999</v>
      </c>
      <c r="U20" s="38">
        <v>7.2051290000000003</v>
      </c>
      <c r="V20" s="38">
        <v>7.3635760000000001</v>
      </c>
      <c r="W20" s="38">
        <v>7.3365780000000003</v>
      </c>
      <c r="X20" s="38">
        <v>7.2538460000000002</v>
      </c>
      <c r="Y20" s="38">
        <v>7.1317979999999999</v>
      </c>
      <c r="Z20" s="38">
        <v>7.0743099999999997</v>
      </c>
      <c r="AA20" s="38">
        <v>6.9566140000000001</v>
      </c>
      <c r="AB20" s="38">
        <v>6.9715410000000002</v>
      </c>
      <c r="AC20" s="38">
        <v>6.9134529999999996</v>
      </c>
      <c r="AD20" s="38">
        <v>6.7632329999999996</v>
      </c>
      <c r="AE20" s="38">
        <v>6.6499560000000004</v>
      </c>
      <c r="AF20" s="35">
        <v>2.081E-3</v>
      </c>
      <c r="AG20" s="29"/>
    </row>
    <row r="21" spans="1:33" ht="15" customHeight="1">
      <c r="A21" s="34" t="s">
        <v>5411</v>
      </c>
      <c r="B21" s="37" t="s">
        <v>5410</v>
      </c>
      <c r="C21" s="38">
        <v>3.459625</v>
      </c>
      <c r="D21" s="38">
        <v>3.3186429999999998</v>
      </c>
      <c r="E21" s="38">
        <v>3.2261850000000001</v>
      </c>
      <c r="F21" s="38">
        <v>3.2276440000000002</v>
      </c>
      <c r="G21" s="38">
        <v>3.2167829999999999</v>
      </c>
      <c r="H21" s="38">
        <v>3.2815379999999998</v>
      </c>
      <c r="I21" s="38">
        <v>3.315877</v>
      </c>
      <c r="J21" s="38">
        <v>3.3467549999999999</v>
      </c>
      <c r="K21" s="38">
        <v>3.4048370000000001</v>
      </c>
      <c r="L21" s="38">
        <v>3.3926229999999999</v>
      </c>
      <c r="M21" s="38">
        <v>3.372112</v>
      </c>
      <c r="N21" s="38">
        <v>3.343852</v>
      </c>
      <c r="O21" s="38">
        <v>3.3433519999999999</v>
      </c>
      <c r="P21" s="38">
        <v>3.359362</v>
      </c>
      <c r="Q21" s="38">
        <v>3.316519</v>
      </c>
      <c r="R21" s="38">
        <v>3.2998210000000001</v>
      </c>
      <c r="S21" s="38">
        <v>3.256402</v>
      </c>
      <c r="T21" s="38">
        <v>3.2514940000000001</v>
      </c>
      <c r="U21" s="38">
        <v>3.1725940000000001</v>
      </c>
      <c r="V21" s="38">
        <v>3.183427</v>
      </c>
      <c r="W21" s="38">
        <v>3.1724220000000001</v>
      </c>
      <c r="X21" s="38">
        <v>3.18634</v>
      </c>
      <c r="Y21" s="38">
        <v>3.1571570000000002</v>
      </c>
      <c r="Z21" s="38">
        <v>3.1578520000000001</v>
      </c>
      <c r="AA21" s="38">
        <v>3.0345330000000001</v>
      </c>
      <c r="AB21" s="38">
        <v>3.003107</v>
      </c>
      <c r="AC21" s="38">
        <v>2.9931809999999999</v>
      </c>
      <c r="AD21" s="38">
        <v>2.9590399999999999</v>
      </c>
      <c r="AE21" s="38">
        <v>2.940725</v>
      </c>
      <c r="AF21" s="35">
        <v>-5.7869999999999996E-3</v>
      </c>
      <c r="AG21" s="29"/>
    </row>
    <row r="22" spans="1:33" ht="15" customHeight="1">
      <c r="A22" s="34" t="s">
        <v>5409</v>
      </c>
      <c r="B22" s="37" t="s">
        <v>5408</v>
      </c>
      <c r="C22" s="38">
        <v>0.57399999999999995</v>
      </c>
      <c r="D22" s="38">
        <v>0.28999999999999998</v>
      </c>
      <c r="E22" s="38">
        <v>0.111</v>
      </c>
      <c r="F22" s="38">
        <v>5.4109999999999998E-2</v>
      </c>
      <c r="G22" s="38">
        <v>0.10617</v>
      </c>
      <c r="H22" s="38">
        <v>0.10548</v>
      </c>
      <c r="I22" s="38">
        <v>7.0080000000000003E-2</v>
      </c>
      <c r="J22" s="38">
        <v>0.06</v>
      </c>
      <c r="K22" s="38">
        <v>0.06</v>
      </c>
      <c r="L22" s="38">
        <v>0.06</v>
      </c>
      <c r="M22" s="38">
        <v>0</v>
      </c>
      <c r="N22" s="38">
        <v>0</v>
      </c>
      <c r="O22" s="38">
        <v>0</v>
      </c>
      <c r="P22" s="38">
        <v>0</v>
      </c>
      <c r="Q22" s="38">
        <v>0</v>
      </c>
      <c r="R22" s="38">
        <v>0</v>
      </c>
      <c r="S22" s="38">
        <v>0</v>
      </c>
      <c r="T22" s="38">
        <v>0</v>
      </c>
      <c r="U22" s="38">
        <v>0</v>
      </c>
      <c r="V22" s="38">
        <v>0</v>
      </c>
      <c r="W22" s="38">
        <v>0</v>
      </c>
      <c r="X22" s="38">
        <v>0</v>
      </c>
      <c r="Y22" s="38">
        <v>0</v>
      </c>
      <c r="Z22" s="38">
        <v>0</v>
      </c>
      <c r="AA22" s="38">
        <v>0</v>
      </c>
      <c r="AB22" s="38">
        <v>0</v>
      </c>
      <c r="AC22" s="38">
        <v>0</v>
      </c>
      <c r="AD22" s="38">
        <v>0</v>
      </c>
      <c r="AE22" s="38">
        <v>0</v>
      </c>
      <c r="AF22" s="35" t="s">
        <v>1278</v>
      </c>
      <c r="AG22" s="29"/>
    </row>
    <row r="23" spans="1:33" ht="15" customHeight="1">
      <c r="A23" s="34" t="s">
        <v>5407</v>
      </c>
      <c r="B23" s="33" t="s">
        <v>5406</v>
      </c>
      <c r="C23" s="39">
        <v>15.216787999999999</v>
      </c>
      <c r="D23" s="39">
        <v>16.039767999999999</v>
      </c>
      <c r="E23" s="39">
        <v>16.56439</v>
      </c>
      <c r="F23" s="39">
        <v>16.628664000000001</v>
      </c>
      <c r="G23" s="39">
        <v>16.716269</v>
      </c>
      <c r="H23" s="39">
        <v>16.879352999999998</v>
      </c>
      <c r="I23" s="39">
        <v>16.947084</v>
      </c>
      <c r="J23" s="39">
        <v>17.005403999999999</v>
      </c>
      <c r="K23" s="39">
        <v>17.013365</v>
      </c>
      <c r="L23" s="39">
        <v>16.987401999999999</v>
      </c>
      <c r="M23" s="39">
        <v>16.985073</v>
      </c>
      <c r="N23" s="39">
        <v>16.964915999999999</v>
      </c>
      <c r="O23" s="39">
        <v>16.983591000000001</v>
      </c>
      <c r="P23" s="39">
        <v>16.999915999999999</v>
      </c>
      <c r="Q23" s="39">
        <v>16.981577000000001</v>
      </c>
      <c r="R23" s="39">
        <v>16.956059</v>
      </c>
      <c r="S23" s="39">
        <v>16.983678999999999</v>
      </c>
      <c r="T23" s="39">
        <v>16.987499</v>
      </c>
      <c r="U23" s="39">
        <v>16.995014000000001</v>
      </c>
      <c r="V23" s="39">
        <v>17.010366000000001</v>
      </c>
      <c r="W23" s="39">
        <v>17.023883999999999</v>
      </c>
      <c r="X23" s="39">
        <v>16.996929000000002</v>
      </c>
      <c r="Y23" s="39">
        <v>17.038323999999999</v>
      </c>
      <c r="Z23" s="39">
        <v>17.013694999999998</v>
      </c>
      <c r="AA23" s="39">
        <v>17.051178</v>
      </c>
      <c r="AB23" s="39">
        <v>17.000471000000001</v>
      </c>
      <c r="AC23" s="39">
        <v>16.984487999999999</v>
      </c>
      <c r="AD23" s="39">
        <v>17.005243</v>
      </c>
      <c r="AE23" s="39">
        <v>16.947378</v>
      </c>
      <c r="AF23" s="31">
        <v>3.8539999999999998E-3</v>
      </c>
      <c r="AG23" s="29"/>
    </row>
    <row r="24" spans="1:33" ht="15" customHeight="1">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row>
    <row r="25" spans="1:33" ht="15" customHeight="1">
      <c r="A25" s="34" t="s">
        <v>5405</v>
      </c>
      <c r="B25" s="37" t="s">
        <v>5404</v>
      </c>
      <c r="C25" s="38">
        <v>-3.9870000000000001</v>
      </c>
      <c r="D25" s="38">
        <v>-4.2750000000000004</v>
      </c>
      <c r="E25" s="38">
        <v>-5.4866590000000004</v>
      </c>
      <c r="F25" s="38">
        <v>-5.6122529999999999</v>
      </c>
      <c r="G25" s="38">
        <v>-5.8420439999999996</v>
      </c>
      <c r="H25" s="38">
        <v>-5.898498</v>
      </c>
      <c r="I25" s="38">
        <v>-5.8985370000000001</v>
      </c>
      <c r="J25" s="38">
        <v>-5.9764989999999996</v>
      </c>
      <c r="K25" s="38">
        <v>-6.082668</v>
      </c>
      <c r="L25" s="38">
        <v>-6.1247129999999999</v>
      </c>
      <c r="M25" s="38">
        <v>-6.2503149999999996</v>
      </c>
      <c r="N25" s="38">
        <v>-6.3192370000000002</v>
      </c>
      <c r="O25" s="38">
        <v>-6.4736440000000002</v>
      </c>
      <c r="P25" s="38">
        <v>-6.5625119999999999</v>
      </c>
      <c r="Q25" s="38">
        <v>-6.6830489999999996</v>
      </c>
      <c r="R25" s="38">
        <v>-6.7095079999999996</v>
      </c>
      <c r="S25" s="38">
        <v>-6.7523799999999996</v>
      </c>
      <c r="T25" s="38">
        <v>-6.842689</v>
      </c>
      <c r="U25" s="38">
        <v>-6.7977569999999998</v>
      </c>
      <c r="V25" s="38">
        <v>-6.8125210000000003</v>
      </c>
      <c r="W25" s="38">
        <v>-6.8806989999999999</v>
      </c>
      <c r="X25" s="38">
        <v>-6.8838749999999997</v>
      </c>
      <c r="Y25" s="38">
        <v>-6.9146879999999999</v>
      </c>
      <c r="Z25" s="38">
        <v>-6.858117</v>
      </c>
      <c r="AA25" s="38">
        <v>-6.8244379999999998</v>
      </c>
      <c r="AB25" s="38">
        <v>-6.7056250000000004</v>
      </c>
      <c r="AC25" s="38">
        <v>-6.6585549999999998</v>
      </c>
      <c r="AD25" s="38">
        <v>-6.6247319999999998</v>
      </c>
      <c r="AE25" s="38">
        <v>-6.4314210000000003</v>
      </c>
      <c r="AF25" s="35">
        <v>1.7224E-2</v>
      </c>
      <c r="AG25" s="29"/>
    </row>
    <row r="26" spans="1:33" ht="15" customHeight="1">
      <c r="A26" s="34" t="s">
        <v>5403</v>
      </c>
      <c r="B26" s="37" t="s">
        <v>5402</v>
      </c>
      <c r="C26" s="38">
        <v>1.016</v>
      </c>
      <c r="D26" s="38">
        <v>1.0269999999999999</v>
      </c>
      <c r="E26" s="38">
        <v>0.57503000000000004</v>
      </c>
      <c r="F26" s="38">
        <v>0.58379400000000004</v>
      </c>
      <c r="G26" s="38">
        <v>0.651779</v>
      </c>
      <c r="H26" s="38">
        <v>0.68211500000000003</v>
      </c>
      <c r="I26" s="38">
        <v>0.68209799999999998</v>
      </c>
      <c r="J26" s="38">
        <v>0.67825999999999997</v>
      </c>
      <c r="K26" s="38">
        <v>0.68942000000000003</v>
      </c>
      <c r="L26" s="38">
        <v>0.70274199999999998</v>
      </c>
      <c r="M26" s="38">
        <v>0.70090300000000005</v>
      </c>
      <c r="N26" s="38">
        <v>0.709978</v>
      </c>
      <c r="O26" s="38">
        <v>0.71134799999999998</v>
      </c>
      <c r="P26" s="38">
        <v>0.727163</v>
      </c>
      <c r="Q26" s="38">
        <v>0.72629900000000003</v>
      </c>
      <c r="R26" s="38">
        <v>0.73666799999999999</v>
      </c>
      <c r="S26" s="38">
        <v>0.74345000000000006</v>
      </c>
      <c r="T26" s="38">
        <v>0.75196300000000005</v>
      </c>
      <c r="U26" s="38">
        <v>0.75730799999999998</v>
      </c>
      <c r="V26" s="38">
        <v>0.76935100000000001</v>
      </c>
      <c r="W26" s="38">
        <v>0.769231</v>
      </c>
      <c r="X26" s="38">
        <v>0.77193699999999998</v>
      </c>
      <c r="Y26" s="38">
        <v>0.76996900000000001</v>
      </c>
      <c r="Z26" s="38">
        <v>0.78286299999999998</v>
      </c>
      <c r="AA26" s="38">
        <v>0.76741000000000004</v>
      </c>
      <c r="AB26" s="38">
        <v>0.780613</v>
      </c>
      <c r="AC26" s="38">
        <v>0.80513400000000002</v>
      </c>
      <c r="AD26" s="38">
        <v>0.81010400000000005</v>
      </c>
      <c r="AE26" s="38">
        <v>0.773733</v>
      </c>
      <c r="AF26" s="35">
        <v>-9.6810000000000004E-3</v>
      </c>
      <c r="AG26" s="29"/>
    </row>
    <row r="27" spans="1:33" ht="15" customHeight="1">
      <c r="A27" s="34" t="s">
        <v>5401</v>
      </c>
      <c r="B27" s="37" t="s">
        <v>5400</v>
      </c>
      <c r="C27" s="38">
        <v>0.71</v>
      </c>
      <c r="D27" s="38">
        <v>0.745</v>
      </c>
      <c r="E27" s="38">
        <v>0.64638899999999999</v>
      </c>
      <c r="F27" s="38">
        <v>0.64619000000000004</v>
      </c>
      <c r="G27" s="38">
        <v>0.59906099999999995</v>
      </c>
      <c r="H27" s="38">
        <v>0.58826800000000001</v>
      </c>
      <c r="I27" s="38">
        <v>0.58643299999999998</v>
      </c>
      <c r="J27" s="38">
        <v>0.58459799999999995</v>
      </c>
      <c r="K27" s="38">
        <v>0.58276300000000003</v>
      </c>
      <c r="L27" s="38">
        <v>0.58930300000000002</v>
      </c>
      <c r="M27" s="38">
        <v>0.57909299999999997</v>
      </c>
      <c r="N27" s="38">
        <v>0.57725800000000005</v>
      </c>
      <c r="O27" s="38">
        <v>0.57542300000000002</v>
      </c>
      <c r="P27" s="38">
        <v>0.57358799999999999</v>
      </c>
      <c r="Q27" s="38">
        <v>0.57175299999999996</v>
      </c>
      <c r="R27" s="38">
        <v>0.56991800000000004</v>
      </c>
      <c r="S27" s="38">
        <v>0.568083</v>
      </c>
      <c r="T27" s="38">
        <v>0.566249</v>
      </c>
      <c r="U27" s="38">
        <v>0.56441399999999997</v>
      </c>
      <c r="V27" s="38">
        <v>0.56200700000000003</v>
      </c>
      <c r="W27" s="38">
        <v>0.56022700000000003</v>
      </c>
      <c r="X27" s="38">
        <v>0.558338</v>
      </c>
      <c r="Y27" s="38">
        <v>0.55669400000000002</v>
      </c>
      <c r="Z27" s="38">
        <v>0.55485899999999999</v>
      </c>
      <c r="AA27" s="38">
        <v>0.55302399999999996</v>
      </c>
      <c r="AB27" s="38">
        <v>0.55118900000000004</v>
      </c>
      <c r="AC27" s="38">
        <v>0.54935400000000001</v>
      </c>
      <c r="AD27" s="38">
        <v>0.54752000000000001</v>
      </c>
      <c r="AE27" s="38">
        <v>0.54549300000000001</v>
      </c>
      <c r="AF27" s="35">
        <v>-9.3690000000000006E-3</v>
      </c>
      <c r="AG27" s="29"/>
    </row>
    <row r="28" spans="1:33" ht="15" customHeight="1">
      <c r="A28" s="34" t="s">
        <v>5399</v>
      </c>
      <c r="B28" s="37" t="s">
        <v>5398</v>
      </c>
      <c r="C28" s="38">
        <v>0.443</v>
      </c>
      <c r="D28" s="38">
        <v>0.45500000000000002</v>
      </c>
      <c r="E28" s="38">
        <v>0.64136700000000002</v>
      </c>
      <c r="F28" s="38">
        <v>0.63812999999999998</v>
      </c>
      <c r="G28" s="38">
        <v>0.61907900000000005</v>
      </c>
      <c r="H28" s="38">
        <v>0.57197299999999995</v>
      </c>
      <c r="I28" s="38">
        <v>0.53284799999999999</v>
      </c>
      <c r="J28" s="38">
        <v>0.49857099999999999</v>
      </c>
      <c r="K28" s="38">
        <v>0.47134999999999999</v>
      </c>
      <c r="L28" s="38">
        <v>0.44977400000000001</v>
      </c>
      <c r="M28" s="38">
        <v>0.429647</v>
      </c>
      <c r="N28" s="38">
        <v>0.40834399999999998</v>
      </c>
      <c r="O28" s="38">
        <v>0.391953</v>
      </c>
      <c r="P28" s="38">
        <v>0.37299700000000002</v>
      </c>
      <c r="Q28" s="38">
        <v>0.37082500000000002</v>
      </c>
      <c r="R28" s="38">
        <v>0.366124</v>
      </c>
      <c r="S28" s="38">
        <v>0.36203999999999997</v>
      </c>
      <c r="T28" s="38">
        <v>0.35772999999999999</v>
      </c>
      <c r="U28" s="38">
        <v>0.35836200000000001</v>
      </c>
      <c r="V28" s="38">
        <v>0.35822500000000002</v>
      </c>
      <c r="W28" s="38">
        <v>0.35786099999999998</v>
      </c>
      <c r="X28" s="38">
        <v>0.36000300000000002</v>
      </c>
      <c r="Y28" s="38">
        <v>0.35978599999999999</v>
      </c>
      <c r="Z28" s="38">
        <v>0.36251699999999998</v>
      </c>
      <c r="AA28" s="38">
        <v>0.36956299999999997</v>
      </c>
      <c r="AB28" s="38">
        <v>0.36840699999999998</v>
      </c>
      <c r="AC28" s="38">
        <v>0.38090099999999999</v>
      </c>
      <c r="AD28" s="38">
        <v>0.387239</v>
      </c>
      <c r="AE28" s="38">
        <v>0.39354800000000001</v>
      </c>
      <c r="AF28" s="35">
        <v>-4.2180000000000004E-3</v>
      </c>
      <c r="AG28" s="29"/>
    </row>
    <row r="29" spans="1:33" ht="15" customHeight="1">
      <c r="A29" s="34" t="s">
        <v>5397</v>
      </c>
      <c r="B29" s="37" t="s">
        <v>5396</v>
      </c>
      <c r="C29" s="38">
        <v>6.1559999999999997</v>
      </c>
      <c r="D29" s="38">
        <v>6.5019999999999998</v>
      </c>
      <c r="E29" s="38">
        <v>7.3494450000000002</v>
      </c>
      <c r="F29" s="38">
        <v>7.4803670000000002</v>
      </c>
      <c r="G29" s="38">
        <v>7.7119619999999998</v>
      </c>
      <c r="H29" s="38">
        <v>7.7408530000000004</v>
      </c>
      <c r="I29" s="38">
        <v>7.6999149999999998</v>
      </c>
      <c r="J29" s="38">
        <v>7.737927</v>
      </c>
      <c r="K29" s="38">
        <v>7.8262010000000002</v>
      </c>
      <c r="L29" s="38">
        <v>7.8665320000000003</v>
      </c>
      <c r="M29" s="38">
        <v>7.9599580000000003</v>
      </c>
      <c r="N29" s="38">
        <v>8.0148159999999997</v>
      </c>
      <c r="O29" s="38">
        <v>8.1523690000000002</v>
      </c>
      <c r="P29" s="38">
        <v>8.2362599999999997</v>
      </c>
      <c r="Q29" s="38">
        <v>8.3519260000000006</v>
      </c>
      <c r="R29" s="38">
        <v>8.3822179999999999</v>
      </c>
      <c r="S29" s="38">
        <v>8.4259540000000008</v>
      </c>
      <c r="T29" s="38">
        <v>8.5186309999999992</v>
      </c>
      <c r="U29" s="38">
        <v>8.4778400000000005</v>
      </c>
      <c r="V29" s="38">
        <v>8.5021039999999992</v>
      </c>
      <c r="W29" s="38">
        <v>8.5680180000000004</v>
      </c>
      <c r="X29" s="38">
        <v>8.5741530000000008</v>
      </c>
      <c r="Y29" s="38">
        <v>8.6011369999999996</v>
      </c>
      <c r="Z29" s="38">
        <v>8.5583559999999999</v>
      </c>
      <c r="AA29" s="38">
        <v>8.5144359999999999</v>
      </c>
      <c r="AB29" s="38">
        <v>8.4058329999999994</v>
      </c>
      <c r="AC29" s="38">
        <v>8.3939439999999994</v>
      </c>
      <c r="AD29" s="38">
        <v>8.3695950000000003</v>
      </c>
      <c r="AE29" s="38">
        <v>8.1441949999999999</v>
      </c>
      <c r="AF29" s="35">
        <v>1.0045999999999999E-2</v>
      </c>
      <c r="AG29" s="29"/>
    </row>
    <row r="30" spans="1:33" ht="15" customHeight="1">
      <c r="A30" s="34" t="s">
        <v>5395</v>
      </c>
      <c r="B30" s="37" t="s">
        <v>5394</v>
      </c>
      <c r="C30" s="38">
        <v>1.01</v>
      </c>
      <c r="D30" s="38">
        <v>1.016</v>
      </c>
      <c r="E30" s="38">
        <v>0.92990300000000004</v>
      </c>
      <c r="F30" s="38">
        <v>0.95240199999999997</v>
      </c>
      <c r="G30" s="38">
        <v>0.95741200000000004</v>
      </c>
      <c r="H30" s="38">
        <v>0.94188799999999995</v>
      </c>
      <c r="I30" s="38">
        <v>0.96402900000000002</v>
      </c>
      <c r="J30" s="38">
        <v>0.973603</v>
      </c>
      <c r="K30" s="38">
        <v>1.0076430000000001</v>
      </c>
      <c r="L30" s="38">
        <v>0.98453100000000004</v>
      </c>
      <c r="M30" s="38">
        <v>0.99140399999999995</v>
      </c>
      <c r="N30" s="38">
        <v>0.98396300000000003</v>
      </c>
      <c r="O30" s="38">
        <v>1.0067520000000001</v>
      </c>
      <c r="P30" s="38">
        <v>1.0017689999999999</v>
      </c>
      <c r="Q30" s="38">
        <v>1.007274</v>
      </c>
      <c r="R30" s="38">
        <v>1.0074380000000001</v>
      </c>
      <c r="S30" s="38">
        <v>1.0092300000000001</v>
      </c>
      <c r="T30" s="38">
        <v>1.013738</v>
      </c>
      <c r="U30" s="38">
        <v>1.011498</v>
      </c>
      <c r="V30" s="38">
        <v>1.0099089999999999</v>
      </c>
      <c r="W30" s="38">
        <v>1.005269</v>
      </c>
      <c r="X30" s="38">
        <v>0.99675499999999995</v>
      </c>
      <c r="Y30" s="38">
        <v>0.99619000000000002</v>
      </c>
      <c r="Z30" s="38">
        <v>0.99468999999999996</v>
      </c>
      <c r="AA30" s="38">
        <v>0.97349399999999997</v>
      </c>
      <c r="AB30" s="38">
        <v>0.96989300000000001</v>
      </c>
      <c r="AC30" s="38">
        <v>0.97395600000000004</v>
      </c>
      <c r="AD30" s="38">
        <v>0.97454499999999999</v>
      </c>
      <c r="AE30" s="38">
        <v>0.96512399999999998</v>
      </c>
      <c r="AF30" s="35">
        <v>-1.622E-3</v>
      </c>
      <c r="AG30" s="29"/>
    </row>
    <row r="31" spans="1:33" ht="12" customHeight="1">
      <c r="A31" s="34" t="s">
        <v>5393</v>
      </c>
      <c r="B31" s="37" t="s">
        <v>5392</v>
      </c>
      <c r="C31" s="38">
        <v>2.9000000000000001E-2</v>
      </c>
      <c r="D31" s="38">
        <v>-6.0999999999999999E-2</v>
      </c>
      <c r="E31" s="38">
        <v>0</v>
      </c>
      <c r="F31" s="38">
        <v>0</v>
      </c>
      <c r="G31" s="38">
        <v>0</v>
      </c>
      <c r="H31" s="38">
        <v>0</v>
      </c>
      <c r="I31" s="38">
        <v>0</v>
      </c>
      <c r="J31" s="38">
        <v>0</v>
      </c>
      <c r="K31" s="38">
        <v>0</v>
      </c>
      <c r="L31" s="38">
        <v>0</v>
      </c>
      <c r="M31" s="38">
        <v>0</v>
      </c>
      <c r="N31" s="38">
        <v>0</v>
      </c>
      <c r="O31" s="38">
        <v>0</v>
      </c>
      <c r="P31" s="38">
        <v>0</v>
      </c>
      <c r="Q31" s="38">
        <v>0</v>
      </c>
      <c r="R31" s="38">
        <v>0</v>
      </c>
      <c r="S31" s="38">
        <v>0</v>
      </c>
      <c r="T31" s="38">
        <v>0</v>
      </c>
      <c r="U31" s="38">
        <v>0</v>
      </c>
      <c r="V31" s="38">
        <v>0</v>
      </c>
      <c r="W31" s="38">
        <v>0</v>
      </c>
      <c r="X31" s="38">
        <v>0</v>
      </c>
      <c r="Y31" s="38">
        <v>0</v>
      </c>
      <c r="Z31" s="38">
        <v>0</v>
      </c>
      <c r="AA31" s="38">
        <v>0</v>
      </c>
      <c r="AB31" s="38">
        <v>0</v>
      </c>
      <c r="AC31" s="38">
        <v>0</v>
      </c>
      <c r="AD31" s="38">
        <v>0</v>
      </c>
      <c r="AE31" s="38">
        <v>0</v>
      </c>
      <c r="AF31" s="35" t="s">
        <v>1278</v>
      </c>
      <c r="AG31" s="29"/>
    </row>
    <row r="32" spans="1:33" ht="12" customHeight="1">
      <c r="A32" s="34" t="s">
        <v>5391</v>
      </c>
      <c r="B32" s="37" t="s">
        <v>5390</v>
      </c>
      <c r="C32" s="38">
        <v>5.9699749999999998</v>
      </c>
      <c r="D32" s="38">
        <v>6.296977</v>
      </c>
      <c r="E32" s="38">
        <v>6.4319179999999996</v>
      </c>
      <c r="F32" s="38">
        <v>6.4290310000000002</v>
      </c>
      <c r="G32" s="38">
        <v>6.5575539999999997</v>
      </c>
      <c r="H32" s="38">
        <v>6.4541130000000004</v>
      </c>
      <c r="I32" s="38">
        <v>6.365405</v>
      </c>
      <c r="J32" s="38">
        <v>6.2854109999999999</v>
      </c>
      <c r="K32" s="38">
        <v>6.2338209999999998</v>
      </c>
      <c r="L32" s="38">
        <v>6.2209989999999999</v>
      </c>
      <c r="M32" s="38">
        <v>6.2777099999999999</v>
      </c>
      <c r="N32" s="38">
        <v>6.3210569999999997</v>
      </c>
      <c r="O32" s="38">
        <v>6.4106740000000002</v>
      </c>
      <c r="P32" s="38">
        <v>6.4591070000000004</v>
      </c>
      <c r="Q32" s="38">
        <v>6.5548060000000001</v>
      </c>
      <c r="R32" s="38">
        <v>6.5949949999999999</v>
      </c>
      <c r="S32" s="38">
        <v>6.5962969999999999</v>
      </c>
      <c r="T32" s="38">
        <v>6.695856</v>
      </c>
      <c r="U32" s="38">
        <v>6.691878</v>
      </c>
      <c r="V32" s="38">
        <v>6.7411700000000003</v>
      </c>
      <c r="W32" s="38">
        <v>6.8641959999999997</v>
      </c>
      <c r="X32" s="38">
        <v>6.9634729999999996</v>
      </c>
      <c r="Y32" s="38">
        <v>7.0134230000000004</v>
      </c>
      <c r="Z32" s="38">
        <v>7.0499260000000001</v>
      </c>
      <c r="AA32" s="38">
        <v>7.0984809999999996</v>
      </c>
      <c r="AB32" s="38">
        <v>7.1375390000000003</v>
      </c>
      <c r="AC32" s="38">
        <v>7.1668159999999999</v>
      </c>
      <c r="AD32" s="38">
        <v>7.2011950000000002</v>
      </c>
      <c r="AE32" s="38">
        <v>7.2237090000000004</v>
      </c>
      <c r="AF32" s="35">
        <v>6.8310000000000003E-3</v>
      </c>
      <c r="AG32" s="29"/>
    </row>
    <row r="33" spans="1:33" ht="12" customHeight="1">
      <c r="A33" s="34" t="s">
        <v>5389</v>
      </c>
      <c r="B33" s="37" t="s">
        <v>5388</v>
      </c>
      <c r="C33" s="38">
        <v>1.151597</v>
      </c>
      <c r="D33" s="38">
        <v>1.173395</v>
      </c>
      <c r="E33" s="38">
        <v>1.2233290000000001</v>
      </c>
      <c r="F33" s="38">
        <v>1.2029510000000001</v>
      </c>
      <c r="G33" s="38">
        <v>1.1965600000000001</v>
      </c>
      <c r="H33" s="38">
        <v>1.1942820000000001</v>
      </c>
      <c r="I33" s="38">
        <v>1.136779</v>
      </c>
      <c r="J33" s="38">
        <v>1.1342950000000001</v>
      </c>
      <c r="K33" s="38">
        <v>1.131262</v>
      </c>
      <c r="L33" s="38">
        <v>1.128301</v>
      </c>
      <c r="M33" s="38">
        <v>1.125092</v>
      </c>
      <c r="N33" s="38">
        <v>1.1231139999999999</v>
      </c>
      <c r="O33" s="38">
        <v>1.1212930000000001</v>
      </c>
      <c r="P33" s="38">
        <v>1.1192610000000001</v>
      </c>
      <c r="Q33" s="38">
        <v>1.11697</v>
      </c>
      <c r="R33" s="38">
        <v>1.11527</v>
      </c>
      <c r="S33" s="38">
        <v>1.1139349999999999</v>
      </c>
      <c r="T33" s="38">
        <v>1.1128290000000001</v>
      </c>
      <c r="U33" s="38">
        <v>1.1123609999999999</v>
      </c>
      <c r="V33" s="38">
        <v>1.1118680000000001</v>
      </c>
      <c r="W33" s="38">
        <v>1.1120000000000001</v>
      </c>
      <c r="X33" s="38">
        <v>1.112441</v>
      </c>
      <c r="Y33" s="38">
        <v>1.1135759999999999</v>
      </c>
      <c r="Z33" s="38">
        <v>1.1150800000000001</v>
      </c>
      <c r="AA33" s="38">
        <v>1.1244940000000001</v>
      </c>
      <c r="AB33" s="38">
        <v>1.138954</v>
      </c>
      <c r="AC33" s="38">
        <v>1.1637489999999999</v>
      </c>
      <c r="AD33" s="38">
        <v>1.181888</v>
      </c>
      <c r="AE33" s="38">
        <v>1.1961409999999999</v>
      </c>
      <c r="AF33" s="35">
        <v>1.356E-3</v>
      </c>
      <c r="AG33" s="29"/>
    </row>
    <row r="34" spans="1:33" ht="12" customHeight="1">
      <c r="A34" s="34" t="s">
        <v>5387</v>
      </c>
      <c r="B34" s="37" t="s">
        <v>5386</v>
      </c>
      <c r="C34" s="38">
        <v>0.88826700000000003</v>
      </c>
      <c r="D34" s="38">
        <v>0.88663499999999995</v>
      </c>
      <c r="E34" s="38">
        <v>0.90816799999999998</v>
      </c>
      <c r="F34" s="38">
        <v>0.90070799999999995</v>
      </c>
      <c r="G34" s="38">
        <v>0.89525900000000003</v>
      </c>
      <c r="H34" s="38">
        <v>0.89078000000000002</v>
      </c>
      <c r="I34" s="38">
        <v>0.88468899999999995</v>
      </c>
      <c r="J34" s="38">
        <v>0.877112</v>
      </c>
      <c r="K34" s="38">
        <v>0.86830600000000002</v>
      </c>
      <c r="L34" s="38">
        <v>0.86020200000000002</v>
      </c>
      <c r="M34" s="38">
        <v>0.85241599999999995</v>
      </c>
      <c r="N34" s="38">
        <v>0.84707299999999996</v>
      </c>
      <c r="O34" s="38">
        <v>0.843028</v>
      </c>
      <c r="P34" s="38">
        <v>0.83882900000000005</v>
      </c>
      <c r="Q34" s="38">
        <v>0.83372199999999996</v>
      </c>
      <c r="R34" s="38">
        <v>0.83013300000000001</v>
      </c>
      <c r="S34" s="38">
        <v>0.82748999999999995</v>
      </c>
      <c r="T34" s="38">
        <v>0.82537700000000003</v>
      </c>
      <c r="U34" s="38">
        <v>0.82497500000000001</v>
      </c>
      <c r="V34" s="38">
        <v>0.82484500000000005</v>
      </c>
      <c r="W34" s="38">
        <v>0.82603800000000005</v>
      </c>
      <c r="X34" s="38">
        <v>0.82802200000000004</v>
      </c>
      <c r="Y34" s="38">
        <v>0.83152400000000004</v>
      </c>
      <c r="Z34" s="38">
        <v>0.83620399999999995</v>
      </c>
      <c r="AA34" s="38">
        <v>0.84243500000000004</v>
      </c>
      <c r="AB34" s="38">
        <v>0.85008099999999998</v>
      </c>
      <c r="AC34" s="38">
        <v>0.85816700000000001</v>
      </c>
      <c r="AD34" s="38">
        <v>0.86726999999999999</v>
      </c>
      <c r="AE34" s="38">
        <v>0.87801300000000004</v>
      </c>
      <c r="AF34" s="35">
        <v>-4.15E-4</v>
      </c>
      <c r="AG34" s="29"/>
    </row>
    <row r="35" spans="1:33" ht="12" customHeight="1">
      <c r="A35" s="34" t="s">
        <v>5385</v>
      </c>
      <c r="B35" s="37" t="s">
        <v>5375</v>
      </c>
      <c r="C35" s="38">
        <v>0.97899999999999998</v>
      </c>
      <c r="D35" s="38">
        <v>0.96047400000000005</v>
      </c>
      <c r="E35" s="38">
        <v>1.0262929999999999</v>
      </c>
      <c r="F35" s="38">
        <v>1.0217849999999999</v>
      </c>
      <c r="G35" s="38">
        <v>1.019358</v>
      </c>
      <c r="H35" s="38">
        <v>1.0179819999999999</v>
      </c>
      <c r="I35" s="38">
        <v>1.021285</v>
      </c>
      <c r="J35" s="38">
        <v>1.017118</v>
      </c>
      <c r="K35" s="38">
        <v>1.011808</v>
      </c>
      <c r="L35" s="38">
        <v>1.007296</v>
      </c>
      <c r="M35" s="38">
        <v>1.00319</v>
      </c>
      <c r="N35" s="38">
        <v>1.001611</v>
      </c>
      <c r="O35" s="38">
        <v>1.001428</v>
      </c>
      <c r="P35" s="38">
        <v>1.008569</v>
      </c>
      <c r="Q35" s="38">
        <v>1.0077050000000001</v>
      </c>
      <c r="R35" s="38">
        <v>1.008473</v>
      </c>
      <c r="S35" s="38">
        <v>1.010289</v>
      </c>
      <c r="T35" s="38">
        <v>1.012737</v>
      </c>
      <c r="U35" s="38">
        <v>1.0170250000000001</v>
      </c>
      <c r="V35" s="38">
        <v>1.0302579999999999</v>
      </c>
      <c r="W35" s="38">
        <v>1.0365839999999999</v>
      </c>
      <c r="X35" s="38">
        <v>1.043836</v>
      </c>
      <c r="Y35" s="38">
        <v>1.045533</v>
      </c>
      <c r="Z35" s="38">
        <v>1.0536099999999999</v>
      </c>
      <c r="AA35" s="38">
        <v>1.0651520000000001</v>
      </c>
      <c r="AB35" s="38">
        <v>1.0783689999999999</v>
      </c>
      <c r="AC35" s="38">
        <v>1.1023270000000001</v>
      </c>
      <c r="AD35" s="38">
        <v>1.1130720000000001</v>
      </c>
      <c r="AE35" s="38">
        <v>1.121086</v>
      </c>
      <c r="AF35" s="35">
        <v>4.8520000000000004E-3</v>
      </c>
      <c r="AG35" s="29"/>
    </row>
    <row r="36" spans="1:33" ht="12" customHeight="1">
      <c r="A36" s="34" t="s">
        <v>5384</v>
      </c>
      <c r="B36" s="37" t="s">
        <v>5373</v>
      </c>
      <c r="C36" s="38">
        <v>-9.0732999999999994E-2</v>
      </c>
      <c r="D36" s="38">
        <v>-7.3839000000000002E-2</v>
      </c>
      <c r="E36" s="38">
        <v>-0.11812499999999999</v>
      </c>
      <c r="F36" s="38">
        <v>-0.121077</v>
      </c>
      <c r="G36" s="38">
        <v>-0.124098</v>
      </c>
      <c r="H36" s="38">
        <v>-0.12720200000000001</v>
      </c>
      <c r="I36" s="38">
        <v>-0.136596</v>
      </c>
      <c r="J36" s="38">
        <v>-0.14000599999999999</v>
      </c>
      <c r="K36" s="38">
        <v>-0.14350099999999999</v>
      </c>
      <c r="L36" s="38">
        <v>-0.147094</v>
      </c>
      <c r="M36" s="38">
        <v>-0.15077299999999999</v>
      </c>
      <c r="N36" s="38">
        <v>-0.15453800000000001</v>
      </c>
      <c r="O36" s="38">
        <v>-0.15840000000000001</v>
      </c>
      <c r="P36" s="38">
        <v>-0.16974</v>
      </c>
      <c r="Q36" s="38">
        <v>-0.173982</v>
      </c>
      <c r="R36" s="38">
        <v>-0.178339</v>
      </c>
      <c r="S36" s="38">
        <v>-0.18279899999999999</v>
      </c>
      <c r="T36" s="38">
        <v>-0.187361</v>
      </c>
      <c r="U36" s="38">
        <v>-0.19205</v>
      </c>
      <c r="V36" s="38">
        <v>-0.20541300000000001</v>
      </c>
      <c r="W36" s="38">
        <v>-0.21054700000000001</v>
      </c>
      <c r="X36" s="38">
        <v>-0.215813</v>
      </c>
      <c r="Y36" s="38">
        <v>-0.214009</v>
      </c>
      <c r="Z36" s="38">
        <v>-0.21740599999999999</v>
      </c>
      <c r="AA36" s="38">
        <v>-0.222717</v>
      </c>
      <c r="AB36" s="38">
        <v>-0.22828799999999999</v>
      </c>
      <c r="AC36" s="38">
        <v>-0.24415999999999999</v>
      </c>
      <c r="AD36" s="38">
        <v>-0.24580199999999999</v>
      </c>
      <c r="AE36" s="38">
        <v>-0.24307300000000001</v>
      </c>
      <c r="AF36" s="35">
        <v>3.5820999999999999E-2</v>
      </c>
      <c r="AG36" s="29"/>
    </row>
    <row r="37" spans="1:33" ht="12" customHeight="1">
      <c r="A37" s="34" t="s">
        <v>5382</v>
      </c>
      <c r="B37" s="37" t="s">
        <v>5383</v>
      </c>
      <c r="C37" s="38">
        <v>0.103046</v>
      </c>
      <c r="D37" s="38">
        <v>9.7053E-2</v>
      </c>
      <c r="E37" s="38">
        <v>0.112022</v>
      </c>
      <c r="F37" s="38">
        <v>0.10396</v>
      </c>
      <c r="G37" s="38">
        <v>0.10224999999999999</v>
      </c>
      <c r="H37" s="38">
        <v>0.103813</v>
      </c>
      <c r="I37" s="38">
        <v>7.9212000000000005E-2</v>
      </c>
      <c r="J37" s="38">
        <v>8.3934999999999996E-2</v>
      </c>
      <c r="K37" s="38">
        <v>8.8371000000000005E-2</v>
      </c>
      <c r="L37" s="38">
        <v>9.0935000000000002E-2</v>
      </c>
      <c r="M37" s="38">
        <v>9.0301000000000006E-2</v>
      </c>
      <c r="N37" s="38">
        <v>9.1918E-2</v>
      </c>
      <c r="O37" s="38">
        <v>9.0519000000000002E-2</v>
      </c>
      <c r="P37" s="38">
        <v>8.8805999999999996E-2</v>
      </c>
      <c r="Q37" s="38">
        <v>8.7027999999999994E-2</v>
      </c>
      <c r="R37" s="38">
        <v>8.5183999999999996E-2</v>
      </c>
      <c r="S37" s="38">
        <v>8.3271999999999999E-2</v>
      </c>
      <c r="T37" s="38">
        <v>8.1551999999999999E-2</v>
      </c>
      <c r="U37" s="38">
        <v>7.9501000000000002E-2</v>
      </c>
      <c r="V37" s="38">
        <v>7.7378000000000002E-2</v>
      </c>
      <c r="W37" s="38">
        <v>7.5180999999999998E-2</v>
      </c>
      <c r="X37" s="38">
        <v>7.2909000000000002E-2</v>
      </c>
      <c r="Y37" s="38">
        <v>7.0562E-2</v>
      </c>
      <c r="Z37" s="38">
        <v>6.8136000000000002E-2</v>
      </c>
      <c r="AA37" s="38">
        <v>6.5630999999999995E-2</v>
      </c>
      <c r="AB37" s="38">
        <v>6.3045000000000004E-2</v>
      </c>
      <c r="AC37" s="38">
        <v>6.0377E-2</v>
      </c>
      <c r="AD37" s="38">
        <v>5.7681999999999997E-2</v>
      </c>
      <c r="AE37" s="38">
        <v>5.4987000000000001E-2</v>
      </c>
      <c r="AF37" s="35" t="s">
        <v>1278</v>
      </c>
      <c r="AG37" s="29"/>
    </row>
    <row r="38" spans="1:33" ht="12" customHeight="1">
      <c r="A38" s="34" t="s">
        <v>5380</v>
      </c>
      <c r="B38" s="37" t="s">
        <v>5375</v>
      </c>
      <c r="C38" s="38">
        <v>0.107</v>
      </c>
      <c r="D38" s="38">
        <v>9.4228999999999993E-2</v>
      </c>
      <c r="E38" s="38">
        <v>0.104004</v>
      </c>
      <c r="F38" s="38">
        <v>9.5902000000000001E-2</v>
      </c>
      <c r="G38" s="38">
        <v>9.4152E-2</v>
      </c>
      <c r="H38" s="38">
        <v>9.5673999999999995E-2</v>
      </c>
      <c r="I38" s="38">
        <v>7.1032999999999999E-2</v>
      </c>
      <c r="J38" s="38">
        <v>7.5715000000000005E-2</v>
      </c>
      <c r="K38" s="38">
        <v>8.0109E-2</v>
      </c>
      <c r="L38" s="38">
        <v>8.2632999999999998E-2</v>
      </c>
      <c r="M38" s="38">
        <v>8.1957000000000002E-2</v>
      </c>
      <c r="N38" s="38">
        <v>8.3531999999999995E-2</v>
      </c>
      <c r="O38" s="38">
        <v>8.2090999999999997E-2</v>
      </c>
      <c r="P38" s="38">
        <v>8.0336000000000005E-2</v>
      </c>
      <c r="Q38" s="38">
        <v>7.8516000000000002E-2</v>
      </c>
      <c r="R38" s="38">
        <v>7.6629000000000003E-2</v>
      </c>
      <c r="S38" s="38">
        <v>7.4674000000000004E-2</v>
      </c>
      <c r="T38" s="38">
        <v>7.2911000000000004E-2</v>
      </c>
      <c r="U38" s="38">
        <v>7.0817000000000005E-2</v>
      </c>
      <c r="V38" s="38">
        <v>6.8650000000000003E-2</v>
      </c>
      <c r="W38" s="38">
        <v>6.6409999999999997E-2</v>
      </c>
      <c r="X38" s="38">
        <v>6.4094999999999999E-2</v>
      </c>
      <c r="Y38" s="38">
        <v>6.1703000000000001E-2</v>
      </c>
      <c r="Z38" s="38">
        <v>5.9233000000000001E-2</v>
      </c>
      <c r="AA38" s="38">
        <v>5.6682999999999997E-2</v>
      </c>
      <c r="AB38" s="38">
        <v>5.4052999999999997E-2</v>
      </c>
      <c r="AC38" s="38">
        <v>5.1339000000000003E-2</v>
      </c>
      <c r="AD38" s="38">
        <v>4.8599000000000003E-2</v>
      </c>
      <c r="AE38" s="38">
        <v>4.5858999999999997E-2</v>
      </c>
      <c r="AF38" s="35">
        <v>-2.9805999999999999E-2</v>
      </c>
      <c r="AG38" s="29"/>
    </row>
    <row r="39" spans="1:33" ht="12" customHeight="1">
      <c r="A39" s="34" t="s">
        <v>5379</v>
      </c>
      <c r="B39" s="37" t="s">
        <v>5373</v>
      </c>
      <c r="C39" s="38">
        <v>-3.9529999999999999E-3</v>
      </c>
      <c r="D39" s="38">
        <v>2.8249999999999998E-3</v>
      </c>
      <c r="E39" s="38">
        <v>8.0180000000000008E-3</v>
      </c>
      <c r="F39" s="38">
        <v>8.0579999999999992E-3</v>
      </c>
      <c r="G39" s="38">
        <v>8.0979999999999993E-3</v>
      </c>
      <c r="H39" s="38">
        <v>8.1390000000000004E-3</v>
      </c>
      <c r="I39" s="38">
        <v>8.1799999999999998E-3</v>
      </c>
      <c r="J39" s="38">
        <v>8.2199999999999999E-3</v>
      </c>
      <c r="K39" s="38">
        <v>8.2620000000000002E-3</v>
      </c>
      <c r="L39" s="38">
        <v>8.3029999999999996E-3</v>
      </c>
      <c r="M39" s="38">
        <v>8.3440000000000007E-3</v>
      </c>
      <c r="N39" s="38">
        <v>8.3859999999999994E-3</v>
      </c>
      <c r="O39" s="38">
        <v>8.4279999999999997E-3</v>
      </c>
      <c r="P39" s="38">
        <v>8.4700000000000001E-3</v>
      </c>
      <c r="Q39" s="38">
        <v>8.5120000000000005E-3</v>
      </c>
      <c r="R39" s="38">
        <v>8.5550000000000001E-3</v>
      </c>
      <c r="S39" s="38">
        <v>8.5979999999999997E-3</v>
      </c>
      <c r="T39" s="38">
        <v>8.6409999999999994E-3</v>
      </c>
      <c r="U39" s="38">
        <v>8.6840000000000007E-3</v>
      </c>
      <c r="V39" s="38">
        <v>8.7270000000000004E-3</v>
      </c>
      <c r="W39" s="38">
        <v>8.7709999999999993E-3</v>
      </c>
      <c r="X39" s="38">
        <v>8.8149999999999999E-3</v>
      </c>
      <c r="Y39" s="38">
        <v>8.8590000000000006E-3</v>
      </c>
      <c r="Z39" s="38">
        <v>8.9029999999999995E-3</v>
      </c>
      <c r="AA39" s="38">
        <v>8.9479999999999994E-3</v>
      </c>
      <c r="AB39" s="38">
        <v>8.9929999999999993E-3</v>
      </c>
      <c r="AC39" s="38">
        <v>9.0379999999999992E-3</v>
      </c>
      <c r="AD39" s="38">
        <v>9.0830000000000008E-3</v>
      </c>
      <c r="AE39" s="38">
        <v>9.1280000000000007E-3</v>
      </c>
      <c r="AF39" s="35" t="s">
        <v>1278</v>
      </c>
      <c r="AG39" s="29"/>
    </row>
    <row r="40" spans="1:33" ht="12" customHeight="1">
      <c r="A40" s="34" t="s">
        <v>5382</v>
      </c>
      <c r="B40" s="37" t="s">
        <v>5381</v>
      </c>
      <c r="C40" s="38">
        <v>0.15696599999999999</v>
      </c>
      <c r="D40" s="38">
        <v>0.18584899999999999</v>
      </c>
      <c r="E40" s="38">
        <v>0.19922599999999999</v>
      </c>
      <c r="F40" s="38">
        <v>0.19447500000000001</v>
      </c>
      <c r="G40" s="38">
        <v>0.19520599999999999</v>
      </c>
      <c r="H40" s="38">
        <v>0.19587099999999999</v>
      </c>
      <c r="I40" s="38">
        <v>0.169574</v>
      </c>
      <c r="J40" s="38">
        <v>0.16946800000000001</v>
      </c>
      <c r="K40" s="38">
        <v>0.17105799999999999</v>
      </c>
      <c r="L40" s="38">
        <v>0.173509</v>
      </c>
      <c r="M40" s="38">
        <v>0.17861099999999999</v>
      </c>
      <c r="N40" s="38">
        <v>0.18016299999999999</v>
      </c>
      <c r="O40" s="38">
        <v>0.183723</v>
      </c>
      <c r="P40" s="38">
        <v>0.18753600000000001</v>
      </c>
      <c r="Q40" s="38">
        <v>0.192047</v>
      </c>
      <c r="R40" s="38">
        <v>0.195715</v>
      </c>
      <c r="S40" s="38">
        <v>0.198881</v>
      </c>
      <c r="T40" s="38">
        <v>0.20156499999999999</v>
      </c>
      <c r="U40" s="38">
        <v>0.20352000000000001</v>
      </c>
      <c r="V40" s="38">
        <v>0.20505499999999999</v>
      </c>
      <c r="W40" s="38">
        <v>0.20638000000000001</v>
      </c>
      <c r="X40" s="38">
        <v>0.20710400000000001</v>
      </c>
      <c r="Y40" s="38">
        <v>0.20721500000000001</v>
      </c>
      <c r="Z40" s="38">
        <v>0.20685000000000001</v>
      </c>
      <c r="AA40" s="38">
        <v>0.21198700000000001</v>
      </c>
      <c r="AB40" s="38">
        <v>0.22120899999999999</v>
      </c>
      <c r="AC40" s="38">
        <v>0.24021100000000001</v>
      </c>
      <c r="AD40" s="38">
        <v>0.25170199999999998</v>
      </c>
      <c r="AE40" s="38">
        <v>0.25795400000000002</v>
      </c>
      <c r="AF40" s="35">
        <v>1.7899000000000002E-2</v>
      </c>
      <c r="AG40" s="29"/>
    </row>
    <row r="41" spans="1:33" ht="12" customHeight="1">
      <c r="A41" s="34" t="s">
        <v>5380</v>
      </c>
      <c r="B41" s="37" t="s">
        <v>5375</v>
      </c>
      <c r="C41" s="38">
        <v>0.135765</v>
      </c>
      <c r="D41" s="38">
        <v>0.162187</v>
      </c>
      <c r="E41" s="38">
        <v>0.164766</v>
      </c>
      <c r="F41" s="38">
        <v>0.159584</v>
      </c>
      <c r="G41" s="38">
        <v>0.15987899999999999</v>
      </c>
      <c r="H41" s="38">
        <v>0.16010199999999999</v>
      </c>
      <c r="I41" s="38">
        <v>0.13335900000000001</v>
      </c>
      <c r="J41" s="38">
        <v>0.132799</v>
      </c>
      <c r="K41" s="38">
        <v>0.13393099999999999</v>
      </c>
      <c r="L41" s="38">
        <v>0.13591900000000001</v>
      </c>
      <c r="M41" s="38">
        <v>0.14055000000000001</v>
      </c>
      <c r="N41" s="38">
        <v>0.141627</v>
      </c>
      <c r="O41" s="38">
        <v>0.144705</v>
      </c>
      <c r="P41" s="38">
        <v>0.14802999999999999</v>
      </c>
      <c r="Q41" s="38">
        <v>0.15204699999999999</v>
      </c>
      <c r="R41" s="38">
        <v>0.15521499999999999</v>
      </c>
      <c r="S41" s="38">
        <v>0.15787499999999999</v>
      </c>
      <c r="T41" s="38">
        <v>0.16004599999999999</v>
      </c>
      <c r="U41" s="38">
        <v>0.16148299999999999</v>
      </c>
      <c r="V41" s="38">
        <v>0.162492</v>
      </c>
      <c r="W41" s="38">
        <v>0.16328400000000001</v>
      </c>
      <c r="X41" s="38">
        <v>0.16347</v>
      </c>
      <c r="Y41" s="38">
        <v>0.16303599999999999</v>
      </c>
      <c r="Z41" s="38">
        <v>0.16211900000000001</v>
      </c>
      <c r="AA41" s="38">
        <v>0.16669600000000001</v>
      </c>
      <c r="AB41" s="38">
        <v>0.17535300000000001</v>
      </c>
      <c r="AC41" s="38">
        <v>0.19378100000000001</v>
      </c>
      <c r="AD41" s="38">
        <v>0.20469200000000001</v>
      </c>
      <c r="AE41" s="38">
        <v>0.21035599999999999</v>
      </c>
      <c r="AF41" s="35">
        <v>1.5761000000000001E-2</v>
      </c>
      <c r="AG41" s="29"/>
    </row>
    <row r="42" spans="1:33" ht="12" customHeight="1">
      <c r="A42" s="34" t="s">
        <v>5379</v>
      </c>
      <c r="B42" s="37" t="s">
        <v>5373</v>
      </c>
      <c r="C42" s="38">
        <v>2.12E-2</v>
      </c>
      <c r="D42" s="38">
        <v>2.3661999999999999E-2</v>
      </c>
      <c r="E42" s="38">
        <v>3.4459999999999998E-2</v>
      </c>
      <c r="F42" s="38">
        <v>3.4890999999999998E-2</v>
      </c>
      <c r="G42" s="38">
        <v>3.5326999999999997E-2</v>
      </c>
      <c r="H42" s="38">
        <v>3.5769000000000002E-2</v>
      </c>
      <c r="I42" s="38">
        <v>3.6215999999999998E-2</v>
      </c>
      <c r="J42" s="38">
        <v>3.6667999999999999E-2</v>
      </c>
      <c r="K42" s="38">
        <v>3.7127E-2</v>
      </c>
      <c r="L42" s="38">
        <v>3.7590999999999999E-2</v>
      </c>
      <c r="M42" s="38">
        <v>3.8060999999999998E-2</v>
      </c>
      <c r="N42" s="38">
        <v>3.8536000000000001E-2</v>
      </c>
      <c r="O42" s="38">
        <v>3.9017999999999997E-2</v>
      </c>
      <c r="P42" s="38">
        <v>3.9505999999999999E-2</v>
      </c>
      <c r="Q42" s="38">
        <v>0.04</v>
      </c>
      <c r="R42" s="38">
        <v>4.0500000000000001E-2</v>
      </c>
      <c r="S42" s="38">
        <v>4.1006000000000001E-2</v>
      </c>
      <c r="T42" s="38">
        <v>4.1519E-2</v>
      </c>
      <c r="U42" s="38">
        <v>4.2037999999999999E-2</v>
      </c>
      <c r="V42" s="38">
        <v>4.2562999999999997E-2</v>
      </c>
      <c r="W42" s="38">
        <v>4.3095000000000001E-2</v>
      </c>
      <c r="X42" s="38">
        <v>4.3633999999999999E-2</v>
      </c>
      <c r="Y42" s="38">
        <v>4.4179000000000003E-2</v>
      </c>
      <c r="Z42" s="38">
        <v>4.4731E-2</v>
      </c>
      <c r="AA42" s="38">
        <v>4.5290999999999998E-2</v>
      </c>
      <c r="AB42" s="38">
        <v>4.5857000000000002E-2</v>
      </c>
      <c r="AC42" s="38">
        <v>4.6429999999999999E-2</v>
      </c>
      <c r="AD42" s="38">
        <v>4.7010000000000003E-2</v>
      </c>
      <c r="AE42" s="38">
        <v>4.7598000000000001E-2</v>
      </c>
      <c r="AF42" s="35">
        <v>2.9305999999999999E-2</v>
      </c>
      <c r="AG42" s="29"/>
    </row>
    <row r="43" spans="1:33" ht="12" customHeight="1">
      <c r="A43" s="34" t="s">
        <v>5378</v>
      </c>
      <c r="B43" s="37" t="s">
        <v>5377</v>
      </c>
      <c r="C43" s="38">
        <v>3.3170000000000001E-3</v>
      </c>
      <c r="D43" s="38">
        <v>3.8579999999999999E-3</v>
      </c>
      <c r="E43" s="38">
        <v>3.9139999999999999E-3</v>
      </c>
      <c r="F43" s="38">
        <v>3.8080000000000002E-3</v>
      </c>
      <c r="G43" s="38">
        <v>3.8440000000000002E-3</v>
      </c>
      <c r="H43" s="38">
        <v>3.8180000000000002E-3</v>
      </c>
      <c r="I43" s="38">
        <v>3.3029999999999999E-3</v>
      </c>
      <c r="J43" s="38">
        <v>3.7799999999999999E-3</v>
      </c>
      <c r="K43" s="38">
        <v>3.5270000000000002E-3</v>
      </c>
      <c r="L43" s="38">
        <v>3.6549999999999998E-3</v>
      </c>
      <c r="M43" s="38">
        <v>3.764E-3</v>
      </c>
      <c r="N43" s="38">
        <v>3.96E-3</v>
      </c>
      <c r="O43" s="38">
        <v>4.0229999999999997E-3</v>
      </c>
      <c r="P43" s="38">
        <v>4.0899999999999999E-3</v>
      </c>
      <c r="Q43" s="38">
        <v>4.1720000000000004E-3</v>
      </c>
      <c r="R43" s="38">
        <v>4.2370000000000003E-3</v>
      </c>
      <c r="S43" s="38">
        <v>4.2909999999999997E-3</v>
      </c>
      <c r="T43" s="38">
        <v>4.3359999999999996E-3</v>
      </c>
      <c r="U43" s="38">
        <v>4.365E-3</v>
      </c>
      <c r="V43" s="38">
        <v>4.5909999999999996E-3</v>
      </c>
      <c r="W43" s="38">
        <v>4.4019999999999997E-3</v>
      </c>
      <c r="X43" s="38">
        <v>4.4060000000000002E-3</v>
      </c>
      <c r="Y43" s="38">
        <v>4.274E-3</v>
      </c>
      <c r="Z43" s="38">
        <v>3.8899999999999998E-3</v>
      </c>
      <c r="AA43" s="38">
        <v>4.4409999999999996E-3</v>
      </c>
      <c r="AB43" s="38">
        <v>4.6179999999999997E-3</v>
      </c>
      <c r="AC43" s="38">
        <v>4.9940000000000002E-3</v>
      </c>
      <c r="AD43" s="38">
        <v>5.2350000000000001E-3</v>
      </c>
      <c r="AE43" s="38">
        <v>5.1879999999999999E-3</v>
      </c>
      <c r="AF43" s="35">
        <v>1.6102000000000002E-2</v>
      </c>
      <c r="AG43" s="29"/>
    </row>
    <row r="44" spans="1:33" ht="12" customHeight="1">
      <c r="A44" s="34" t="s">
        <v>5376</v>
      </c>
      <c r="B44" s="37" t="s">
        <v>5375</v>
      </c>
      <c r="C44" s="38">
        <v>3.3170000000000001E-3</v>
      </c>
      <c r="D44" s="38">
        <v>3.8579999999999999E-3</v>
      </c>
      <c r="E44" s="38">
        <v>3.9139999999999999E-3</v>
      </c>
      <c r="F44" s="38">
        <v>3.8080000000000002E-3</v>
      </c>
      <c r="G44" s="38">
        <v>3.8440000000000002E-3</v>
      </c>
      <c r="H44" s="38">
        <v>3.8180000000000002E-3</v>
      </c>
      <c r="I44" s="38">
        <v>3.3029999999999999E-3</v>
      </c>
      <c r="J44" s="38">
        <v>3.7799999999999999E-3</v>
      </c>
      <c r="K44" s="38">
        <v>3.5270000000000002E-3</v>
      </c>
      <c r="L44" s="38">
        <v>3.6549999999999998E-3</v>
      </c>
      <c r="M44" s="38">
        <v>3.764E-3</v>
      </c>
      <c r="N44" s="38">
        <v>3.96E-3</v>
      </c>
      <c r="O44" s="38">
        <v>4.0229999999999997E-3</v>
      </c>
      <c r="P44" s="38">
        <v>4.0899999999999999E-3</v>
      </c>
      <c r="Q44" s="38">
        <v>4.1720000000000004E-3</v>
      </c>
      <c r="R44" s="38">
        <v>4.2370000000000003E-3</v>
      </c>
      <c r="S44" s="38">
        <v>4.2909999999999997E-3</v>
      </c>
      <c r="T44" s="38">
        <v>4.3359999999999996E-3</v>
      </c>
      <c r="U44" s="38">
        <v>4.365E-3</v>
      </c>
      <c r="V44" s="38">
        <v>4.5909999999999996E-3</v>
      </c>
      <c r="W44" s="38">
        <v>4.4019999999999997E-3</v>
      </c>
      <c r="X44" s="38">
        <v>4.4060000000000002E-3</v>
      </c>
      <c r="Y44" s="38">
        <v>4.274E-3</v>
      </c>
      <c r="Z44" s="38">
        <v>3.8899999999999998E-3</v>
      </c>
      <c r="AA44" s="38">
        <v>4.4409999999999996E-3</v>
      </c>
      <c r="AB44" s="38">
        <v>4.6179999999999997E-3</v>
      </c>
      <c r="AC44" s="38">
        <v>4.9940000000000002E-3</v>
      </c>
      <c r="AD44" s="38">
        <v>5.2350000000000001E-3</v>
      </c>
      <c r="AE44" s="38">
        <v>5.1879999999999999E-3</v>
      </c>
      <c r="AF44" s="35">
        <v>1.6102000000000002E-2</v>
      </c>
      <c r="AG44" s="29"/>
    </row>
    <row r="45" spans="1:33" ht="12" customHeight="1">
      <c r="A45" s="34" t="s">
        <v>5374</v>
      </c>
      <c r="B45" s="37" t="s">
        <v>5373</v>
      </c>
      <c r="C45" s="38">
        <v>0</v>
      </c>
      <c r="D45" s="38">
        <v>0</v>
      </c>
      <c r="E45" s="38">
        <v>0</v>
      </c>
      <c r="F45" s="38">
        <v>0</v>
      </c>
      <c r="G45" s="38">
        <v>0</v>
      </c>
      <c r="H45" s="38">
        <v>0</v>
      </c>
      <c r="I45" s="38">
        <v>0</v>
      </c>
      <c r="J45" s="38">
        <v>0</v>
      </c>
      <c r="K45" s="38">
        <v>0</v>
      </c>
      <c r="L45" s="38">
        <v>0</v>
      </c>
      <c r="M45" s="38">
        <v>0</v>
      </c>
      <c r="N45" s="38">
        <v>0</v>
      </c>
      <c r="O45" s="38">
        <v>0</v>
      </c>
      <c r="P45" s="38">
        <v>0</v>
      </c>
      <c r="Q45" s="38">
        <v>0</v>
      </c>
      <c r="R45" s="38">
        <v>0</v>
      </c>
      <c r="S45" s="38">
        <v>0</v>
      </c>
      <c r="T45" s="38">
        <v>0</v>
      </c>
      <c r="U45" s="38">
        <v>0</v>
      </c>
      <c r="V45" s="38">
        <v>0</v>
      </c>
      <c r="W45" s="38">
        <v>0</v>
      </c>
      <c r="X45" s="38">
        <v>0</v>
      </c>
      <c r="Y45" s="38">
        <v>0</v>
      </c>
      <c r="Z45" s="38">
        <v>0</v>
      </c>
      <c r="AA45" s="38">
        <v>0</v>
      </c>
      <c r="AB45" s="38">
        <v>0</v>
      </c>
      <c r="AC45" s="38">
        <v>0</v>
      </c>
      <c r="AD45" s="38">
        <v>0</v>
      </c>
      <c r="AE45" s="38">
        <v>0</v>
      </c>
      <c r="AF45" s="35" t="s">
        <v>1278</v>
      </c>
      <c r="AG45" s="29"/>
    </row>
    <row r="46" spans="1:33" ht="12" customHeight="1">
      <c r="A46" s="34" t="s">
        <v>5372</v>
      </c>
      <c r="B46" s="37" t="s">
        <v>5371</v>
      </c>
      <c r="C46" s="38">
        <v>0</v>
      </c>
      <c r="D46" s="38">
        <v>0</v>
      </c>
      <c r="E46" s="38">
        <v>0</v>
      </c>
      <c r="F46" s="38">
        <v>0</v>
      </c>
      <c r="G46" s="38">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5" t="s">
        <v>1278</v>
      </c>
      <c r="AG46" s="29"/>
    </row>
    <row r="47" spans="1:33" ht="12" customHeight="1">
      <c r="A47" s="34" t="s">
        <v>5370</v>
      </c>
      <c r="B47" s="37" t="s">
        <v>5369</v>
      </c>
      <c r="C47" s="38">
        <v>0</v>
      </c>
      <c r="D47" s="38">
        <v>0</v>
      </c>
      <c r="E47" s="38">
        <v>0</v>
      </c>
      <c r="F47" s="38">
        <v>0</v>
      </c>
      <c r="G47" s="38">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5" t="s">
        <v>1278</v>
      </c>
      <c r="AG47" s="29"/>
    </row>
    <row r="48" spans="1:33" ht="12" customHeight="1">
      <c r="A48" s="34" t="s">
        <v>5368</v>
      </c>
      <c r="B48" s="37" t="s">
        <v>5367</v>
      </c>
      <c r="C48" s="38">
        <v>0</v>
      </c>
      <c r="D48" s="38">
        <v>0</v>
      </c>
      <c r="E48" s="38">
        <v>0</v>
      </c>
      <c r="F48" s="38">
        <v>0</v>
      </c>
      <c r="G48" s="38">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5" t="s">
        <v>1278</v>
      </c>
      <c r="AG48" s="29"/>
    </row>
    <row r="49" spans="1:33" ht="12" customHeight="1">
      <c r="A49" s="34" t="s">
        <v>5366</v>
      </c>
      <c r="B49" s="37" t="s">
        <v>5365</v>
      </c>
      <c r="C49" s="38">
        <v>0.221</v>
      </c>
      <c r="D49" s="38">
        <v>0.221</v>
      </c>
      <c r="E49" s="38">
        <v>0.24992</v>
      </c>
      <c r="F49" s="38">
        <v>0.24695800000000001</v>
      </c>
      <c r="G49" s="38">
        <v>0.24609600000000001</v>
      </c>
      <c r="H49" s="38">
        <v>0.24343400000000001</v>
      </c>
      <c r="I49" s="38">
        <v>0.248644</v>
      </c>
      <c r="J49" s="38">
        <v>0.25226999999999999</v>
      </c>
      <c r="K49" s="38">
        <v>0.25585599999999997</v>
      </c>
      <c r="L49" s="38">
        <v>0.25625399999999998</v>
      </c>
      <c r="M49" s="38">
        <v>0.25625300000000001</v>
      </c>
      <c r="N49" s="38">
        <v>0.254357</v>
      </c>
      <c r="O49" s="38">
        <v>0.257212</v>
      </c>
      <c r="P49" s="38">
        <v>0.25484299999999999</v>
      </c>
      <c r="Q49" s="38">
        <v>0.25335400000000002</v>
      </c>
      <c r="R49" s="38">
        <v>0.25235800000000003</v>
      </c>
      <c r="S49" s="38">
        <v>0.252745</v>
      </c>
      <c r="T49" s="38">
        <v>0.25239499999999998</v>
      </c>
      <c r="U49" s="38">
        <v>0.25091000000000002</v>
      </c>
      <c r="V49" s="38">
        <v>0.25182500000000002</v>
      </c>
      <c r="W49" s="38">
        <v>0.25083</v>
      </c>
      <c r="X49" s="38">
        <v>0.25060399999999999</v>
      </c>
      <c r="Y49" s="38">
        <v>0.25097599999999998</v>
      </c>
      <c r="Z49" s="38">
        <v>0.250917</v>
      </c>
      <c r="AA49" s="38">
        <v>0.24086399999999999</v>
      </c>
      <c r="AB49" s="38">
        <v>0.23957700000000001</v>
      </c>
      <c r="AC49" s="38">
        <v>0.24091499999999999</v>
      </c>
      <c r="AD49" s="38">
        <v>0.24116799999999999</v>
      </c>
      <c r="AE49" s="38">
        <v>0.24007899999999999</v>
      </c>
      <c r="AF49" s="35">
        <v>2.9619999999999998E-3</v>
      </c>
      <c r="AG49" s="29"/>
    </row>
    <row r="50" spans="1:33" ht="15" customHeight="1">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row>
    <row r="51" spans="1:33" ht="15" customHeight="1">
      <c r="A51" s="34" t="s">
        <v>5364</v>
      </c>
      <c r="B51" s="33" t="s">
        <v>5363</v>
      </c>
      <c r="C51" s="39">
        <v>19.611360999999999</v>
      </c>
      <c r="D51" s="39">
        <v>20.41114</v>
      </c>
      <c r="E51" s="39">
        <v>19.912801999999999</v>
      </c>
      <c r="F51" s="39">
        <v>19.847753999999998</v>
      </c>
      <c r="G51" s="39">
        <v>19.831844</v>
      </c>
      <c r="H51" s="39">
        <v>19.814571000000001</v>
      </c>
      <c r="I51" s="39">
        <v>19.763404999999999</v>
      </c>
      <c r="J51" s="39">
        <v>19.674484</v>
      </c>
      <c r="K51" s="39">
        <v>19.559280000000001</v>
      </c>
      <c r="L51" s="39">
        <v>19.452774000000002</v>
      </c>
      <c r="M51" s="39">
        <v>19.385217999999998</v>
      </c>
      <c r="N51" s="39">
        <v>19.328171000000001</v>
      </c>
      <c r="O51" s="39">
        <v>19.305878</v>
      </c>
      <c r="P51" s="39">
        <v>19.272385</v>
      </c>
      <c r="Q51" s="39">
        <v>19.230931999999999</v>
      </c>
      <c r="R51" s="39">
        <v>19.216609999999999</v>
      </c>
      <c r="S51" s="39">
        <v>19.203506000000001</v>
      </c>
      <c r="T51" s="39">
        <v>19.219626999999999</v>
      </c>
      <c r="U51" s="39">
        <v>19.263905000000001</v>
      </c>
      <c r="V51" s="39">
        <v>19.312618000000001</v>
      </c>
      <c r="W51" s="39">
        <v>19.375481000000001</v>
      </c>
      <c r="X51" s="39">
        <v>19.436326999999999</v>
      </c>
      <c r="Y51" s="39">
        <v>19.497803000000001</v>
      </c>
      <c r="Z51" s="39">
        <v>19.566192999999998</v>
      </c>
      <c r="AA51" s="39">
        <v>19.664072000000001</v>
      </c>
      <c r="AB51" s="39">
        <v>19.780811</v>
      </c>
      <c r="AC51" s="39">
        <v>19.871368</v>
      </c>
      <c r="AD51" s="39">
        <v>19.979309000000001</v>
      </c>
      <c r="AE51" s="39">
        <v>20.141010000000001</v>
      </c>
      <c r="AF51" s="31">
        <v>9.5200000000000005E-4</v>
      </c>
      <c r="AG51" s="29"/>
    </row>
    <row r="52" spans="1:33" ht="15" customHeight="1">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row>
    <row r="53" spans="1:33" ht="15" customHeight="1">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row>
    <row r="54" spans="1:33" ht="15" customHeight="1">
      <c r="B54" s="33" t="s">
        <v>5362</v>
      </c>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row>
    <row r="55" spans="1:33" ht="15" customHeight="1">
      <c r="B55" s="33" t="s">
        <v>5361</v>
      </c>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row>
    <row r="56" spans="1:33" ht="15" customHeight="1">
      <c r="A56" s="34" t="s">
        <v>5360</v>
      </c>
      <c r="B56" s="37" t="s">
        <v>5359</v>
      </c>
      <c r="C56" s="38">
        <v>3.4289999999999998</v>
      </c>
      <c r="D56" s="38">
        <v>3.5379999999999998</v>
      </c>
      <c r="E56" s="38">
        <v>3.6997770000000001</v>
      </c>
      <c r="F56" s="38">
        <v>3.7704759999999999</v>
      </c>
      <c r="G56" s="38">
        <v>3.888827</v>
      </c>
      <c r="H56" s="38">
        <v>3.9889220000000001</v>
      </c>
      <c r="I56" s="38">
        <v>4.060638</v>
      </c>
      <c r="J56" s="38">
        <v>4.1051390000000003</v>
      </c>
      <c r="K56" s="38">
        <v>4.1403790000000003</v>
      </c>
      <c r="L56" s="38">
        <v>4.172078</v>
      </c>
      <c r="M56" s="38">
        <v>4.2194570000000002</v>
      </c>
      <c r="N56" s="38">
        <v>4.2585100000000002</v>
      </c>
      <c r="O56" s="38">
        <v>4.3099720000000001</v>
      </c>
      <c r="P56" s="38">
        <v>4.3501810000000001</v>
      </c>
      <c r="Q56" s="38">
        <v>4.3882070000000004</v>
      </c>
      <c r="R56" s="38">
        <v>4.4234390000000001</v>
      </c>
      <c r="S56" s="38">
        <v>4.4455249999999999</v>
      </c>
      <c r="T56" s="38">
        <v>4.4935650000000003</v>
      </c>
      <c r="U56" s="38">
        <v>4.5401059999999998</v>
      </c>
      <c r="V56" s="38">
        <v>4.5844449999999997</v>
      </c>
      <c r="W56" s="38">
        <v>4.6349119999999999</v>
      </c>
      <c r="X56" s="38">
        <v>4.6856390000000001</v>
      </c>
      <c r="Y56" s="38">
        <v>4.7198190000000002</v>
      </c>
      <c r="Z56" s="38">
        <v>4.7490019999999999</v>
      </c>
      <c r="AA56" s="38">
        <v>4.7917740000000002</v>
      </c>
      <c r="AB56" s="38">
        <v>4.8419790000000003</v>
      </c>
      <c r="AC56" s="38">
        <v>4.8680120000000002</v>
      </c>
      <c r="AD56" s="38">
        <v>4.9056509999999998</v>
      </c>
      <c r="AE56" s="38">
        <v>4.9731300000000003</v>
      </c>
      <c r="AF56" s="35">
        <v>1.3365999999999999E-2</v>
      </c>
      <c r="AG56" s="29"/>
    </row>
    <row r="57" spans="1:33" ht="15" customHeight="1">
      <c r="A57" s="34" t="s">
        <v>5358</v>
      </c>
      <c r="B57" s="37" t="s">
        <v>5357</v>
      </c>
      <c r="C57" s="38">
        <v>8.7870000000000008</v>
      </c>
      <c r="D57" s="38">
        <v>8.7539999999999996</v>
      </c>
      <c r="E57" s="38">
        <v>8.8141409999999993</v>
      </c>
      <c r="F57" s="38">
        <v>8.6826899999999991</v>
      </c>
      <c r="G57" s="38">
        <v>8.5752980000000001</v>
      </c>
      <c r="H57" s="38">
        <v>8.478847</v>
      </c>
      <c r="I57" s="38">
        <v>8.3703489999999992</v>
      </c>
      <c r="J57" s="38">
        <v>8.2480790000000006</v>
      </c>
      <c r="K57" s="38">
        <v>8.1158560000000008</v>
      </c>
      <c r="L57" s="38">
        <v>7.9918019999999999</v>
      </c>
      <c r="M57" s="38">
        <v>7.8720869999999996</v>
      </c>
      <c r="N57" s="38">
        <v>7.7759140000000002</v>
      </c>
      <c r="O57" s="38">
        <v>7.6924130000000002</v>
      </c>
      <c r="P57" s="38">
        <v>7.6097570000000001</v>
      </c>
      <c r="Q57" s="38">
        <v>7.5254510000000003</v>
      </c>
      <c r="R57" s="38">
        <v>7.4550850000000004</v>
      </c>
      <c r="S57" s="38">
        <v>7.3948150000000004</v>
      </c>
      <c r="T57" s="38">
        <v>7.3397249999999996</v>
      </c>
      <c r="U57" s="38">
        <v>7.299925</v>
      </c>
      <c r="V57" s="38">
        <v>7.2679169999999997</v>
      </c>
      <c r="W57" s="38">
        <v>7.2454179999999999</v>
      </c>
      <c r="X57" s="38">
        <v>7.2299829999999998</v>
      </c>
      <c r="Y57" s="38">
        <v>7.2266329999999996</v>
      </c>
      <c r="Z57" s="38">
        <v>7.2346339999999998</v>
      </c>
      <c r="AA57" s="38">
        <v>7.2567560000000002</v>
      </c>
      <c r="AB57" s="38">
        <v>7.2904429999999998</v>
      </c>
      <c r="AC57" s="38">
        <v>7.329745</v>
      </c>
      <c r="AD57" s="38">
        <v>7.3740180000000004</v>
      </c>
      <c r="AE57" s="38">
        <v>7.4311680000000004</v>
      </c>
      <c r="AF57" s="35">
        <v>-5.9670000000000001E-3</v>
      </c>
      <c r="AG57" s="29"/>
    </row>
    <row r="58" spans="1:33" ht="15" customHeight="1">
      <c r="A58" s="34" t="s">
        <v>5356</v>
      </c>
      <c r="B58" s="37" t="s">
        <v>5355</v>
      </c>
      <c r="C58" s="38">
        <v>2.3189000000000001E-2</v>
      </c>
      <c r="D58" s="38">
        <v>2.3446999999999999E-2</v>
      </c>
      <c r="E58" s="38">
        <v>2.2009999999999998E-2</v>
      </c>
      <c r="F58" s="38">
        <v>2.1923000000000002E-2</v>
      </c>
      <c r="G58" s="38">
        <v>2.1377E-2</v>
      </c>
      <c r="H58" s="38">
        <v>2.0785000000000001E-2</v>
      </c>
      <c r="I58" s="38">
        <v>2.0063999999999999E-2</v>
      </c>
      <c r="J58" s="38">
        <v>1.9258000000000001E-2</v>
      </c>
      <c r="K58" s="38">
        <v>1.8409999999999999E-2</v>
      </c>
      <c r="L58" s="38">
        <v>1.7576999999999999E-2</v>
      </c>
      <c r="M58" s="38">
        <v>1.6764000000000001E-2</v>
      </c>
      <c r="N58" s="38">
        <v>1.6038E-2</v>
      </c>
      <c r="O58" s="38">
        <v>1.5382E-2</v>
      </c>
      <c r="P58" s="38">
        <v>1.4798E-2</v>
      </c>
      <c r="Q58" s="38">
        <v>1.4243E-2</v>
      </c>
      <c r="R58" s="38">
        <v>1.3837E-2</v>
      </c>
      <c r="S58" s="38">
        <v>1.3535999999999999E-2</v>
      </c>
      <c r="T58" s="38">
        <v>1.3331000000000001E-2</v>
      </c>
      <c r="U58" s="38">
        <v>1.3221999999999999E-2</v>
      </c>
      <c r="V58" s="38">
        <v>1.3164E-2</v>
      </c>
      <c r="W58" s="38">
        <v>1.3155999999999999E-2</v>
      </c>
      <c r="X58" s="38">
        <v>1.3214E-2</v>
      </c>
      <c r="Y58" s="38">
        <v>1.328E-2</v>
      </c>
      <c r="Z58" s="38">
        <v>1.3377999999999999E-2</v>
      </c>
      <c r="AA58" s="38">
        <v>1.3467E-2</v>
      </c>
      <c r="AB58" s="38">
        <v>1.363E-2</v>
      </c>
      <c r="AC58" s="38">
        <v>1.3778E-2</v>
      </c>
      <c r="AD58" s="38">
        <v>1.3969000000000001E-2</v>
      </c>
      <c r="AE58" s="38">
        <v>1.4149999999999999E-2</v>
      </c>
      <c r="AF58" s="35">
        <v>-1.7486999999999999E-2</v>
      </c>
      <c r="AG58" s="29"/>
    </row>
    <row r="59" spans="1:33" ht="15" customHeight="1">
      <c r="A59" s="34" t="s">
        <v>5354</v>
      </c>
      <c r="B59" s="37" t="s">
        <v>5353</v>
      </c>
      <c r="C59" s="38">
        <v>1.548</v>
      </c>
      <c r="D59" s="38">
        <v>1.5740000000000001</v>
      </c>
      <c r="E59" s="38">
        <v>1.678315</v>
      </c>
      <c r="F59" s="38">
        <v>1.6813990000000001</v>
      </c>
      <c r="G59" s="38">
        <v>1.700774</v>
      </c>
      <c r="H59" s="38">
        <v>1.7200120000000001</v>
      </c>
      <c r="I59" s="38">
        <v>1.7351529999999999</v>
      </c>
      <c r="J59" s="38">
        <v>1.746367</v>
      </c>
      <c r="K59" s="38">
        <v>1.754205</v>
      </c>
      <c r="L59" s="38">
        <v>1.761968</v>
      </c>
      <c r="M59" s="38">
        <v>1.7743519999999999</v>
      </c>
      <c r="N59" s="38">
        <v>1.787382</v>
      </c>
      <c r="O59" s="38">
        <v>1.7991090000000001</v>
      </c>
      <c r="P59" s="38">
        <v>1.8130919999999999</v>
      </c>
      <c r="Q59" s="38">
        <v>1.8312790000000001</v>
      </c>
      <c r="R59" s="38">
        <v>1.85307</v>
      </c>
      <c r="S59" s="38">
        <v>1.8759619999999999</v>
      </c>
      <c r="T59" s="38">
        <v>1.8998679999999999</v>
      </c>
      <c r="U59" s="38">
        <v>1.9276789999999999</v>
      </c>
      <c r="V59" s="38">
        <v>1.954288</v>
      </c>
      <c r="W59" s="38">
        <v>1.981371</v>
      </c>
      <c r="X59" s="38">
        <v>2.0088539999999999</v>
      </c>
      <c r="Y59" s="38">
        <v>2.0362640000000001</v>
      </c>
      <c r="Z59" s="38">
        <v>2.062916</v>
      </c>
      <c r="AA59" s="38">
        <v>2.088892</v>
      </c>
      <c r="AB59" s="38">
        <v>2.1168260000000001</v>
      </c>
      <c r="AC59" s="38">
        <v>2.1450589999999998</v>
      </c>
      <c r="AD59" s="38">
        <v>2.1729020000000001</v>
      </c>
      <c r="AE59" s="38">
        <v>2.2039789999999999</v>
      </c>
      <c r="AF59" s="35">
        <v>1.2697999999999999E-2</v>
      </c>
      <c r="AG59" s="29"/>
    </row>
    <row r="60" spans="1:33" ht="15" customHeight="1">
      <c r="A60" s="34" t="s">
        <v>5352</v>
      </c>
      <c r="B60" s="37" t="s">
        <v>5351</v>
      </c>
      <c r="C60" s="38">
        <v>3.9620000000000002</v>
      </c>
      <c r="D60" s="38">
        <v>3.9340000000000002</v>
      </c>
      <c r="E60" s="38">
        <v>3.8494259999999998</v>
      </c>
      <c r="F60" s="38">
        <v>3.8117809999999999</v>
      </c>
      <c r="G60" s="38">
        <v>3.7769469999999998</v>
      </c>
      <c r="H60" s="38">
        <v>3.7391969999999999</v>
      </c>
      <c r="I60" s="38">
        <v>3.708466</v>
      </c>
      <c r="J60" s="38">
        <v>3.6785169999999998</v>
      </c>
      <c r="K60" s="38">
        <v>3.6439629999999998</v>
      </c>
      <c r="L60" s="38">
        <v>3.6111789999999999</v>
      </c>
      <c r="M60" s="38">
        <v>3.5902400000000001</v>
      </c>
      <c r="N60" s="38">
        <v>3.5689839999999999</v>
      </c>
      <c r="O60" s="38">
        <v>3.5497450000000002</v>
      </c>
      <c r="P60" s="38">
        <v>3.5349550000000001</v>
      </c>
      <c r="Q60" s="38">
        <v>3.5197699999999998</v>
      </c>
      <c r="R60" s="38">
        <v>3.509916</v>
      </c>
      <c r="S60" s="38">
        <v>3.5026579999999998</v>
      </c>
      <c r="T60" s="38">
        <v>3.495072</v>
      </c>
      <c r="U60" s="38">
        <v>3.4921169999999999</v>
      </c>
      <c r="V60" s="38">
        <v>3.4921519999999999</v>
      </c>
      <c r="W60" s="38">
        <v>3.4921850000000001</v>
      </c>
      <c r="X60" s="38">
        <v>3.490767</v>
      </c>
      <c r="Y60" s="38">
        <v>3.4881530000000001</v>
      </c>
      <c r="Z60" s="38">
        <v>3.4844050000000002</v>
      </c>
      <c r="AA60" s="38">
        <v>3.4830079999999999</v>
      </c>
      <c r="AB60" s="38">
        <v>3.4822540000000002</v>
      </c>
      <c r="AC60" s="38">
        <v>3.479365</v>
      </c>
      <c r="AD60" s="38">
        <v>3.4760260000000001</v>
      </c>
      <c r="AE60" s="38">
        <v>3.481913</v>
      </c>
      <c r="AF60" s="35">
        <v>-4.6020000000000002E-3</v>
      </c>
      <c r="AG60" s="29"/>
    </row>
    <row r="61" spans="1:33" ht="15" customHeight="1">
      <c r="A61" s="34" t="s">
        <v>5350</v>
      </c>
      <c r="B61" s="37" t="s">
        <v>5349</v>
      </c>
      <c r="C61" s="38">
        <v>3.6720000000000002</v>
      </c>
      <c r="D61" s="38">
        <v>3.6619999999999999</v>
      </c>
      <c r="E61" s="38">
        <v>3.4820500000000001</v>
      </c>
      <c r="F61" s="38">
        <v>3.4487869999999998</v>
      </c>
      <c r="G61" s="38">
        <v>3.4211170000000002</v>
      </c>
      <c r="H61" s="38">
        <v>3.3907660000000002</v>
      </c>
      <c r="I61" s="38">
        <v>3.3668279999999999</v>
      </c>
      <c r="J61" s="38">
        <v>3.342041</v>
      </c>
      <c r="K61" s="38">
        <v>3.3120319999999999</v>
      </c>
      <c r="L61" s="38">
        <v>3.2843819999999999</v>
      </c>
      <c r="M61" s="38">
        <v>3.266934</v>
      </c>
      <c r="N61" s="38">
        <v>3.2488510000000002</v>
      </c>
      <c r="O61" s="38">
        <v>3.2328800000000002</v>
      </c>
      <c r="P61" s="38">
        <v>3.2210019999999999</v>
      </c>
      <c r="Q61" s="38">
        <v>3.208555</v>
      </c>
      <c r="R61" s="38">
        <v>3.2017150000000001</v>
      </c>
      <c r="S61" s="38">
        <v>3.1978260000000001</v>
      </c>
      <c r="T61" s="38">
        <v>3.1926709999999998</v>
      </c>
      <c r="U61" s="38">
        <v>3.1919270000000002</v>
      </c>
      <c r="V61" s="38">
        <v>3.1940949999999999</v>
      </c>
      <c r="W61" s="38">
        <v>3.1964730000000001</v>
      </c>
      <c r="X61" s="38">
        <v>3.19753</v>
      </c>
      <c r="Y61" s="38">
        <v>3.1973250000000002</v>
      </c>
      <c r="Z61" s="38">
        <v>3.1960519999999999</v>
      </c>
      <c r="AA61" s="38">
        <v>3.196993</v>
      </c>
      <c r="AB61" s="38">
        <v>3.1983359999999998</v>
      </c>
      <c r="AC61" s="38">
        <v>3.197692</v>
      </c>
      <c r="AD61" s="38">
        <v>3.1964160000000001</v>
      </c>
      <c r="AE61" s="38">
        <v>3.204183</v>
      </c>
      <c r="AF61" s="35">
        <v>-4.8549999999999999E-3</v>
      </c>
      <c r="AG61" s="29"/>
    </row>
    <row r="62" spans="1:33" ht="15" customHeight="1">
      <c r="A62" s="34" t="s">
        <v>5348</v>
      </c>
      <c r="B62" s="37" t="s">
        <v>5347</v>
      </c>
      <c r="C62" s="38">
        <v>0.35599999999999998</v>
      </c>
      <c r="D62" s="38">
        <v>0.39500000000000002</v>
      </c>
      <c r="E62" s="38">
        <v>0.26228899999999999</v>
      </c>
      <c r="F62" s="38">
        <v>0.26002199999999998</v>
      </c>
      <c r="G62" s="38">
        <v>0.24834100000000001</v>
      </c>
      <c r="H62" s="38">
        <v>0.242676</v>
      </c>
      <c r="I62" s="38">
        <v>0.233733</v>
      </c>
      <c r="J62" s="38">
        <v>0.228134</v>
      </c>
      <c r="K62" s="38">
        <v>0.223935</v>
      </c>
      <c r="L62" s="38">
        <v>0.223717</v>
      </c>
      <c r="M62" s="38">
        <v>0.22331200000000001</v>
      </c>
      <c r="N62" s="38">
        <v>0.223445</v>
      </c>
      <c r="O62" s="38">
        <v>0.22265499999999999</v>
      </c>
      <c r="P62" s="38">
        <v>0.222803</v>
      </c>
      <c r="Q62" s="38">
        <v>0.221277</v>
      </c>
      <c r="R62" s="38">
        <v>0.220804</v>
      </c>
      <c r="S62" s="38">
        <v>0.22040999999999999</v>
      </c>
      <c r="T62" s="38">
        <v>0.219196</v>
      </c>
      <c r="U62" s="38">
        <v>0.21858900000000001</v>
      </c>
      <c r="V62" s="38">
        <v>0.21751699999999999</v>
      </c>
      <c r="W62" s="38">
        <v>0.21682100000000001</v>
      </c>
      <c r="X62" s="38">
        <v>0.21524799999999999</v>
      </c>
      <c r="Y62" s="38">
        <v>0.213973</v>
      </c>
      <c r="Z62" s="38">
        <v>0.212425</v>
      </c>
      <c r="AA62" s="38">
        <v>0.21495300000000001</v>
      </c>
      <c r="AB62" s="38">
        <v>0.21474099999999999</v>
      </c>
      <c r="AC62" s="38">
        <v>0.21265500000000001</v>
      </c>
      <c r="AD62" s="38">
        <v>0.21106</v>
      </c>
      <c r="AE62" s="38">
        <v>0.209144</v>
      </c>
      <c r="AF62" s="35">
        <v>-1.8817E-2</v>
      </c>
      <c r="AG62" s="29"/>
    </row>
    <row r="63" spans="1:33" ht="15" customHeight="1">
      <c r="A63" s="34" t="s">
        <v>5346</v>
      </c>
      <c r="B63" s="37" t="s">
        <v>5345</v>
      </c>
      <c r="C63" s="38">
        <v>1.823</v>
      </c>
      <c r="D63" s="38">
        <v>1.8320000000000001</v>
      </c>
      <c r="E63" s="38">
        <v>1.6272660000000001</v>
      </c>
      <c r="F63" s="38">
        <v>1.6609929999999999</v>
      </c>
      <c r="G63" s="38">
        <v>1.664012</v>
      </c>
      <c r="H63" s="38">
        <v>1.6672180000000001</v>
      </c>
      <c r="I63" s="38">
        <v>1.676426</v>
      </c>
      <c r="J63" s="38">
        <v>1.6904060000000001</v>
      </c>
      <c r="K63" s="38">
        <v>1.704332</v>
      </c>
      <c r="L63" s="38">
        <v>1.715452</v>
      </c>
      <c r="M63" s="38">
        <v>1.7290989999999999</v>
      </c>
      <c r="N63" s="38">
        <v>1.736936</v>
      </c>
      <c r="O63" s="38">
        <v>1.7557609999999999</v>
      </c>
      <c r="P63" s="38">
        <v>1.765034</v>
      </c>
      <c r="Q63" s="38">
        <v>1.768025</v>
      </c>
      <c r="R63" s="38">
        <v>1.7772289999999999</v>
      </c>
      <c r="S63" s="38">
        <v>1.7870839999999999</v>
      </c>
      <c r="T63" s="38">
        <v>1.795177</v>
      </c>
      <c r="U63" s="38">
        <v>1.808163</v>
      </c>
      <c r="V63" s="38">
        <v>1.8200780000000001</v>
      </c>
      <c r="W63" s="38">
        <v>1.8287469999999999</v>
      </c>
      <c r="X63" s="38">
        <v>1.829971</v>
      </c>
      <c r="Y63" s="38">
        <v>1.8374299999999999</v>
      </c>
      <c r="Z63" s="38">
        <v>1.847979</v>
      </c>
      <c r="AA63" s="38">
        <v>1.8504959999999999</v>
      </c>
      <c r="AB63" s="38">
        <v>1.856365</v>
      </c>
      <c r="AC63" s="38">
        <v>1.857642</v>
      </c>
      <c r="AD63" s="38">
        <v>1.862096</v>
      </c>
      <c r="AE63" s="38">
        <v>1.8634539999999999</v>
      </c>
      <c r="AF63" s="35">
        <v>7.8399999999999997E-4</v>
      </c>
      <c r="AG63" s="29"/>
    </row>
    <row r="64" spans="1:33" ht="15" customHeight="1">
      <c r="B64" s="33" t="s">
        <v>5344</v>
      </c>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row>
    <row r="65" spans="1:33" ht="15" customHeight="1">
      <c r="A65" s="34" t="s">
        <v>5343</v>
      </c>
      <c r="B65" s="37" t="s">
        <v>5342</v>
      </c>
      <c r="C65" s="38">
        <v>1.044311</v>
      </c>
      <c r="D65" s="38">
        <v>1.031803</v>
      </c>
      <c r="E65" s="38">
        <v>0.97528300000000001</v>
      </c>
      <c r="F65" s="38">
        <v>0.97273299999999996</v>
      </c>
      <c r="G65" s="38">
        <v>0.96977999999999998</v>
      </c>
      <c r="H65" s="38">
        <v>0.96668500000000002</v>
      </c>
      <c r="I65" s="38">
        <v>0.96580600000000005</v>
      </c>
      <c r="J65" s="38">
        <v>0.96363900000000002</v>
      </c>
      <c r="K65" s="38">
        <v>0.96074599999999999</v>
      </c>
      <c r="L65" s="38">
        <v>0.95725300000000002</v>
      </c>
      <c r="M65" s="38">
        <v>0.953457</v>
      </c>
      <c r="N65" s="38">
        <v>0.94985299999999995</v>
      </c>
      <c r="O65" s="38">
        <v>0.94606199999999996</v>
      </c>
      <c r="P65" s="38">
        <v>0.94233500000000003</v>
      </c>
      <c r="Q65" s="38">
        <v>0.93882200000000005</v>
      </c>
      <c r="R65" s="38">
        <v>0.935558</v>
      </c>
      <c r="S65" s="38">
        <v>0.93225100000000005</v>
      </c>
      <c r="T65" s="38">
        <v>0.92918900000000004</v>
      </c>
      <c r="U65" s="38">
        <v>0.92621500000000001</v>
      </c>
      <c r="V65" s="38">
        <v>0.923346</v>
      </c>
      <c r="W65" s="38">
        <v>0.92066400000000004</v>
      </c>
      <c r="X65" s="38">
        <v>0.91816900000000001</v>
      </c>
      <c r="Y65" s="38">
        <v>0.915995</v>
      </c>
      <c r="Z65" s="38">
        <v>0.91390400000000005</v>
      </c>
      <c r="AA65" s="38">
        <v>0.91117700000000001</v>
      </c>
      <c r="AB65" s="38">
        <v>0.909076</v>
      </c>
      <c r="AC65" s="38">
        <v>0.90713900000000003</v>
      </c>
      <c r="AD65" s="38">
        <v>0.90550399999999998</v>
      </c>
      <c r="AE65" s="38">
        <v>0.90402700000000003</v>
      </c>
      <c r="AF65" s="35">
        <v>-5.1390000000000003E-3</v>
      </c>
      <c r="AG65" s="29"/>
    </row>
    <row r="66" spans="1:33" ht="12" customHeight="1">
      <c r="A66" s="34" t="s">
        <v>5341</v>
      </c>
      <c r="B66" s="37" t="s">
        <v>5340</v>
      </c>
      <c r="C66" s="38">
        <v>5.5417529999999999</v>
      </c>
      <c r="D66" s="38">
        <v>5.6083299999999996</v>
      </c>
      <c r="E66" s="38">
        <v>5.4894280000000002</v>
      </c>
      <c r="F66" s="38">
        <v>5.5865150000000003</v>
      </c>
      <c r="G66" s="38">
        <v>5.69916</v>
      </c>
      <c r="H66" s="38">
        <v>5.7945460000000004</v>
      </c>
      <c r="I66" s="38">
        <v>5.8739369999999997</v>
      </c>
      <c r="J66" s="38">
        <v>5.9318540000000004</v>
      </c>
      <c r="K66" s="38">
        <v>5.9800930000000001</v>
      </c>
      <c r="L66" s="38">
        <v>6.0204029999999999</v>
      </c>
      <c r="M66" s="38">
        <v>6.0807549999999999</v>
      </c>
      <c r="N66" s="38">
        <v>6.1271060000000004</v>
      </c>
      <c r="O66" s="38">
        <v>6.1973149999999997</v>
      </c>
      <c r="P66" s="38">
        <v>6.24824</v>
      </c>
      <c r="Q66" s="38">
        <v>6.2912480000000004</v>
      </c>
      <c r="R66" s="38">
        <v>6.339194</v>
      </c>
      <c r="S66" s="38">
        <v>6.3751280000000001</v>
      </c>
      <c r="T66" s="38">
        <v>6.4342569999999997</v>
      </c>
      <c r="U66" s="38">
        <v>6.4973450000000001</v>
      </c>
      <c r="V66" s="38">
        <v>6.5569350000000002</v>
      </c>
      <c r="W66" s="38">
        <v>6.6190480000000003</v>
      </c>
      <c r="X66" s="38">
        <v>6.6735319999999998</v>
      </c>
      <c r="Y66" s="38">
        <v>6.7172320000000001</v>
      </c>
      <c r="Z66" s="38">
        <v>6.7587469999999996</v>
      </c>
      <c r="AA66" s="38">
        <v>6.8070349999999999</v>
      </c>
      <c r="AB66" s="38">
        <v>6.8645389999999997</v>
      </c>
      <c r="AC66" s="38">
        <v>6.8939389999999996</v>
      </c>
      <c r="AD66" s="38">
        <v>6.9352510000000001</v>
      </c>
      <c r="AE66" s="38">
        <v>7.0066160000000002</v>
      </c>
      <c r="AF66" s="35">
        <v>8.4119999999999993E-3</v>
      </c>
      <c r="AG66" s="29"/>
    </row>
    <row r="67" spans="1:33" ht="15" customHeight="1">
      <c r="A67" s="34" t="s">
        <v>5339</v>
      </c>
      <c r="B67" s="37" t="s">
        <v>5338</v>
      </c>
      <c r="C67" s="38">
        <v>13.697194</v>
      </c>
      <c r="D67" s="38">
        <v>13.676905</v>
      </c>
      <c r="E67" s="38">
        <v>13.495471999999999</v>
      </c>
      <c r="F67" s="38">
        <v>13.335958</v>
      </c>
      <c r="G67" s="38">
        <v>13.21237</v>
      </c>
      <c r="H67" s="38">
        <v>13.104248</v>
      </c>
      <c r="I67" s="38">
        <v>12.979018</v>
      </c>
      <c r="J67" s="38">
        <v>12.836352</v>
      </c>
      <c r="K67" s="38">
        <v>12.677281000000001</v>
      </c>
      <c r="L67" s="38">
        <v>12.534233</v>
      </c>
      <c r="M67" s="38">
        <v>12.409414</v>
      </c>
      <c r="N67" s="38">
        <v>12.308296</v>
      </c>
      <c r="O67" s="38">
        <v>12.219779000000001</v>
      </c>
      <c r="P67" s="38">
        <v>12.137952</v>
      </c>
      <c r="Q67" s="38">
        <v>12.056125</v>
      </c>
      <c r="R67" s="38">
        <v>11.997028999999999</v>
      </c>
      <c r="S67" s="38">
        <v>11.952026</v>
      </c>
      <c r="T67" s="38">
        <v>11.911752999999999</v>
      </c>
      <c r="U67" s="38">
        <v>11.895242</v>
      </c>
      <c r="V67" s="38">
        <v>11.888226</v>
      </c>
      <c r="W67" s="38">
        <v>11.892284999999999</v>
      </c>
      <c r="X67" s="38">
        <v>11.901959</v>
      </c>
      <c r="Y67" s="38">
        <v>11.922736</v>
      </c>
      <c r="Z67" s="38">
        <v>11.952593999999999</v>
      </c>
      <c r="AA67" s="38">
        <v>12.00193</v>
      </c>
      <c r="AB67" s="38">
        <v>12.062331</v>
      </c>
      <c r="AC67" s="38">
        <v>12.124934</v>
      </c>
      <c r="AD67" s="38">
        <v>12.191979999999999</v>
      </c>
      <c r="AE67" s="38">
        <v>12.283104</v>
      </c>
      <c r="AF67" s="35">
        <v>-3.8839999999999999E-3</v>
      </c>
      <c r="AG67" s="29"/>
    </row>
    <row r="68" spans="1:33" ht="15" customHeight="1">
      <c r="A68" s="34" t="s">
        <v>5337</v>
      </c>
      <c r="B68" s="37" t="s">
        <v>5336</v>
      </c>
      <c r="C68" s="38">
        <v>5.1823000000000001E-2</v>
      </c>
      <c r="D68" s="38">
        <v>4.8967999999999998E-2</v>
      </c>
      <c r="E68" s="38">
        <v>4.9398999999999998E-2</v>
      </c>
      <c r="F68" s="38">
        <v>4.7671999999999999E-2</v>
      </c>
      <c r="G68" s="38">
        <v>4.376E-2</v>
      </c>
      <c r="H68" s="38">
        <v>4.0028000000000001E-2</v>
      </c>
      <c r="I68" s="38">
        <v>3.6288000000000001E-2</v>
      </c>
      <c r="J68" s="38">
        <v>3.4126999999999998E-2</v>
      </c>
      <c r="K68" s="38">
        <v>3.2675000000000003E-2</v>
      </c>
      <c r="L68" s="38">
        <v>3.1168999999999999E-2</v>
      </c>
      <c r="M68" s="38">
        <v>3.1022000000000001E-2</v>
      </c>
      <c r="N68" s="38">
        <v>3.0995999999999999E-2</v>
      </c>
      <c r="O68" s="38">
        <v>3.0868E-2</v>
      </c>
      <c r="P68" s="38">
        <v>3.0827E-2</v>
      </c>
      <c r="Q68" s="38">
        <v>3.0506999999999999E-2</v>
      </c>
      <c r="R68" s="38">
        <v>2.9617000000000001E-2</v>
      </c>
      <c r="S68" s="38">
        <v>2.8225E-2</v>
      </c>
      <c r="T68" s="38">
        <v>2.7762999999999999E-2</v>
      </c>
      <c r="U68" s="38">
        <v>2.7383000000000001E-2</v>
      </c>
      <c r="V68" s="38">
        <v>2.6398000000000001E-2</v>
      </c>
      <c r="W68" s="38">
        <v>2.5146000000000002E-2</v>
      </c>
      <c r="X68" s="38">
        <v>2.3862000000000001E-2</v>
      </c>
      <c r="Y68" s="38">
        <v>2.2512999999999998E-2</v>
      </c>
      <c r="Z68" s="38">
        <v>2.1048999999999998E-2</v>
      </c>
      <c r="AA68" s="38">
        <v>2.0848999999999999E-2</v>
      </c>
      <c r="AB68" s="38">
        <v>2.0882000000000001E-2</v>
      </c>
      <c r="AC68" s="38">
        <v>2.0743999999999999E-2</v>
      </c>
      <c r="AD68" s="38">
        <v>2.0784E-2</v>
      </c>
      <c r="AE68" s="38">
        <v>2.068E-2</v>
      </c>
      <c r="AF68" s="35">
        <v>-3.2277E-2</v>
      </c>
      <c r="AG68" s="29"/>
    </row>
    <row r="69" spans="1:33" ht="15" customHeight="1">
      <c r="A69" s="34" t="s">
        <v>5335</v>
      </c>
      <c r="B69" s="37" t="s">
        <v>5334</v>
      </c>
      <c r="C69" s="38">
        <v>-0.33268300000000001</v>
      </c>
      <c r="D69" s="38">
        <v>-0.20533199999999999</v>
      </c>
      <c r="E69" s="38">
        <v>-8.0464999999999995E-2</v>
      </c>
      <c r="F69" s="38">
        <v>-7.9141000000000003E-2</v>
      </c>
      <c r="G69" s="38">
        <v>-7.7562000000000006E-2</v>
      </c>
      <c r="H69" s="38">
        <v>-7.5869000000000006E-2</v>
      </c>
      <c r="I69" s="38">
        <v>-7.4584999999999999E-2</v>
      </c>
      <c r="J69" s="38">
        <v>-7.3352000000000001E-2</v>
      </c>
      <c r="K69" s="38">
        <v>-7.2014999999999996E-2</v>
      </c>
      <c r="L69" s="38">
        <v>-7.0830000000000004E-2</v>
      </c>
      <c r="M69" s="38">
        <v>-6.9986999999999994E-2</v>
      </c>
      <c r="N69" s="38">
        <v>-6.9027000000000005E-2</v>
      </c>
      <c r="O69" s="38">
        <v>-6.8177000000000001E-2</v>
      </c>
      <c r="P69" s="38">
        <v>-6.7415000000000003E-2</v>
      </c>
      <c r="Q69" s="38">
        <v>-6.6489000000000006E-2</v>
      </c>
      <c r="R69" s="38">
        <v>-6.5657999999999994E-2</v>
      </c>
      <c r="S69" s="38">
        <v>-6.4910999999999996E-2</v>
      </c>
      <c r="T69" s="38">
        <v>-6.4065999999999998E-2</v>
      </c>
      <c r="U69" s="38">
        <v>-6.3282000000000005E-2</v>
      </c>
      <c r="V69" s="38">
        <v>-6.2646999999999994E-2</v>
      </c>
      <c r="W69" s="38">
        <v>-6.1990000000000003E-2</v>
      </c>
      <c r="X69" s="38">
        <v>-6.1246000000000002E-2</v>
      </c>
      <c r="Y69" s="38">
        <v>-6.0407000000000002E-2</v>
      </c>
      <c r="Z69" s="38">
        <v>-5.9498000000000002E-2</v>
      </c>
      <c r="AA69" s="38">
        <v>-5.8693000000000002E-2</v>
      </c>
      <c r="AB69" s="38">
        <v>-5.7828999999999998E-2</v>
      </c>
      <c r="AC69" s="38">
        <v>-5.6840000000000002E-2</v>
      </c>
      <c r="AD69" s="38">
        <v>-5.5819000000000001E-2</v>
      </c>
      <c r="AE69" s="38">
        <v>-5.5093999999999997E-2</v>
      </c>
      <c r="AF69" s="35">
        <v>-6.2200999999999999E-2</v>
      </c>
      <c r="AG69" s="29"/>
    </row>
    <row r="70" spans="1:33" ht="15" customHeight="1">
      <c r="A70" s="34" t="s">
        <v>5333</v>
      </c>
      <c r="B70" s="33" t="s">
        <v>2798</v>
      </c>
      <c r="C70" s="39">
        <v>19.905000999999999</v>
      </c>
      <c r="D70" s="39">
        <v>20.027002</v>
      </c>
      <c r="E70" s="39">
        <v>19.931213</v>
      </c>
      <c r="F70" s="39">
        <v>19.867359</v>
      </c>
      <c r="G70" s="39">
        <v>19.854198</v>
      </c>
      <c r="H70" s="39">
        <v>19.836870000000001</v>
      </c>
      <c r="I70" s="39">
        <v>19.784765</v>
      </c>
      <c r="J70" s="39">
        <v>19.696639999999999</v>
      </c>
      <c r="K70" s="39">
        <v>19.58267</v>
      </c>
      <c r="L70" s="39">
        <v>19.476194</v>
      </c>
      <c r="M70" s="39">
        <v>19.408548</v>
      </c>
      <c r="N70" s="39">
        <v>19.351171000000001</v>
      </c>
      <c r="O70" s="39">
        <v>19.329653</v>
      </c>
      <c r="P70" s="39">
        <v>19.295822000000001</v>
      </c>
      <c r="Q70" s="39">
        <v>19.254009</v>
      </c>
      <c r="R70" s="39">
        <v>19.239543999999999</v>
      </c>
      <c r="S70" s="39">
        <v>19.226454</v>
      </c>
      <c r="T70" s="39">
        <v>19.242602999999999</v>
      </c>
      <c r="U70" s="39">
        <v>19.286579</v>
      </c>
      <c r="V70" s="39">
        <v>19.336397000000002</v>
      </c>
      <c r="W70" s="39">
        <v>19.399456000000001</v>
      </c>
      <c r="X70" s="39">
        <v>19.460463000000001</v>
      </c>
      <c r="Y70" s="39">
        <v>19.522269999999999</v>
      </c>
      <c r="Z70" s="39">
        <v>19.591360000000002</v>
      </c>
      <c r="AA70" s="39">
        <v>19.685879</v>
      </c>
      <c r="AB70" s="39">
        <v>19.802607999999999</v>
      </c>
      <c r="AC70" s="39">
        <v>19.892477</v>
      </c>
      <c r="AD70" s="39">
        <v>20.001750999999999</v>
      </c>
      <c r="AE70" s="39">
        <v>20.162787999999999</v>
      </c>
      <c r="AF70" s="31">
        <v>4.6000000000000001E-4</v>
      </c>
      <c r="AG70" s="29"/>
    </row>
    <row r="71" spans="1:33" ht="15" customHeight="1">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row>
    <row r="72" spans="1:33" ht="15" customHeight="1">
      <c r="A72" s="34" t="s">
        <v>5332</v>
      </c>
      <c r="B72" s="37" t="s">
        <v>5331</v>
      </c>
      <c r="C72" s="38">
        <v>-0.29364000000000001</v>
      </c>
      <c r="D72" s="38">
        <v>0.38413799999999998</v>
      </c>
      <c r="E72" s="38">
        <v>-1.8412000000000001E-2</v>
      </c>
      <c r="F72" s="38">
        <v>-1.9605999999999998E-2</v>
      </c>
      <c r="G72" s="38">
        <v>-2.2353999999999999E-2</v>
      </c>
      <c r="H72" s="38">
        <v>-2.2298999999999999E-2</v>
      </c>
      <c r="I72" s="38">
        <v>-2.1360000000000001E-2</v>
      </c>
      <c r="J72" s="38">
        <v>-2.2155999999999999E-2</v>
      </c>
      <c r="K72" s="38">
        <v>-2.3390000000000001E-2</v>
      </c>
      <c r="L72" s="38">
        <v>-2.342E-2</v>
      </c>
      <c r="M72" s="38">
        <v>-2.3331000000000001E-2</v>
      </c>
      <c r="N72" s="38">
        <v>-2.3001000000000001E-2</v>
      </c>
      <c r="O72" s="38">
        <v>-2.3775000000000001E-2</v>
      </c>
      <c r="P72" s="38">
        <v>-2.3438000000000001E-2</v>
      </c>
      <c r="Q72" s="38">
        <v>-2.3077E-2</v>
      </c>
      <c r="R72" s="38">
        <v>-2.2934E-2</v>
      </c>
      <c r="S72" s="38">
        <v>-2.2946999999999999E-2</v>
      </c>
      <c r="T72" s="38">
        <v>-2.2976E-2</v>
      </c>
      <c r="U72" s="38">
        <v>-2.2675000000000001E-2</v>
      </c>
      <c r="V72" s="38">
        <v>-2.3779000000000002E-2</v>
      </c>
      <c r="W72" s="38">
        <v>-2.3975E-2</v>
      </c>
      <c r="X72" s="38">
        <v>-2.4136000000000001E-2</v>
      </c>
      <c r="Y72" s="38">
        <v>-2.4466999999999999E-2</v>
      </c>
      <c r="Z72" s="38">
        <v>-2.5166999999999998E-2</v>
      </c>
      <c r="AA72" s="38">
        <v>-2.1807E-2</v>
      </c>
      <c r="AB72" s="38">
        <v>-2.1797E-2</v>
      </c>
      <c r="AC72" s="38">
        <v>-2.1108999999999999E-2</v>
      </c>
      <c r="AD72" s="38">
        <v>-2.2442E-2</v>
      </c>
      <c r="AE72" s="38">
        <v>-2.1777999999999999E-2</v>
      </c>
      <c r="AF72" s="35">
        <v>-8.8723999999999997E-2</v>
      </c>
      <c r="AG72" s="29"/>
    </row>
    <row r="73" spans="1:33" ht="12" customHeight="1">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1:33" ht="15" customHeight="1">
      <c r="A74" s="34" t="s">
        <v>5330</v>
      </c>
      <c r="B74" s="37" t="s">
        <v>5329</v>
      </c>
      <c r="C74" s="36">
        <v>17.952000000000002</v>
      </c>
      <c r="D74" s="36">
        <v>18.118998999999999</v>
      </c>
      <c r="E74" s="36">
        <v>18.448851000000001</v>
      </c>
      <c r="F74" s="36">
        <v>18.520790000000002</v>
      </c>
      <c r="G74" s="36">
        <v>18.59273</v>
      </c>
      <c r="H74" s="36">
        <v>18.664670999999998</v>
      </c>
      <c r="I74" s="36">
        <v>18.664670999999998</v>
      </c>
      <c r="J74" s="36">
        <v>18.664670999999998</v>
      </c>
      <c r="K74" s="36">
        <v>18.664670999999998</v>
      </c>
      <c r="L74" s="36">
        <v>18.664670999999998</v>
      </c>
      <c r="M74" s="36">
        <v>18.664670999999998</v>
      </c>
      <c r="N74" s="36">
        <v>18.664670999999998</v>
      </c>
      <c r="O74" s="36">
        <v>18.664670999999998</v>
      </c>
      <c r="P74" s="36">
        <v>18.664670999999998</v>
      </c>
      <c r="Q74" s="36">
        <v>18.664670999999998</v>
      </c>
      <c r="R74" s="36">
        <v>18.664670999999998</v>
      </c>
      <c r="S74" s="36">
        <v>18.664670999999998</v>
      </c>
      <c r="T74" s="36">
        <v>18.664670999999998</v>
      </c>
      <c r="U74" s="36">
        <v>18.664670999999998</v>
      </c>
      <c r="V74" s="36">
        <v>18.664670999999998</v>
      </c>
      <c r="W74" s="36">
        <v>18.664670999999998</v>
      </c>
      <c r="X74" s="36">
        <v>18.664670999999998</v>
      </c>
      <c r="Y74" s="36">
        <v>18.664670999999998</v>
      </c>
      <c r="Z74" s="36">
        <v>18.664670999999998</v>
      </c>
      <c r="AA74" s="36">
        <v>18.664670999999998</v>
      </c>
      <c r="AB74" s="36">
        <v>18.664670999999998</v>
      </c>
      <c r="AC74" s="36">
        <v>18.664670999999998</v>
      </c>
      <c r="AD74" s="36">
        <v>18.664670999999998</v>
      </c>
      <c r="AE74" s="36">
        <v>18.664670999999998</v>
      </c>
      <c r="AF74" s="35">
        <v>1.3910000000000001E-3</v>
      </c>
      <c r="AG74" s="29"/>
    </row>
    <row r="75" spans="1:33" ht="15" customHeight="1">
      <c r="A75" s="34" t="s">
        <v>5328</v>
      </c>
      <c r="B75" s="37" t="s">
        <v>5327</v>
      </c>
      <c r="C75" s="36">
        <v>91.459000000000003</v>
      </c>
      <c r="D75" s="36">
        <v>90.059997999999993</v>
      </c>
      <c r="E75" s="36">
        <v>90.952515000000005</v>
      </c>
      <c r="F75" s="36">
        <v>90.945999</v>
      </c>
      <c r="G75" s="36">
        <v>90.980926999999994</v>
      </c>
      <c r="H75" s="36">
        <v>91.484848</v>
      </c>
      <c r="I75" s="36">
        <v>91.844536000000005</v>
      </c>
      <c r="J75" s="36">
        <v>92.153808999999995</v>
      </c>
      <c r="K75" s="36">
        <v>92.193236999999996</v>
      </c>
      <c r="L75" s="36">
        <v>92.065842000000004</v>
      </c>
      <c r="M75" s="36">
        <v>92.035163999999995</v>
      </c>
      <c r="N75" s="36">
        <v>91.923935</v>
      </c>
      <c r="O75" s="36">
        <v>92.020874000000006</v>
      </c>
      <c r="P75" s="36">
        <v>92.105225000000004</v>
      </c>
      <c r="Q75" s="36">
        <v>92.003792000000004</v>
      </c>
      <c r="R75" s="36">
        <v>91.863945000000001</v>
      </c>
      <c r="S75" s="36">
        <v>92.008858000000004</v>
      </c>
      <c r="T75" s="36">
        <v>92.026291000000001</v>
      </c>
      <c r="U75" s="36">
        <v>92.063507000000001</v>
      </c>
      <c r="V75" s="36">
        <v>92.141662999999994</v>
      </c>
      <c r="W75" s="36">
        <v>92.211074999999994</v>
      </c>
      <c r="X75" s="36">
        <v>92.063453999999993</v>
      </c>
      <c r="Y75" s="36">
        <v>92.282477999999998</v>
      </c>
      <c r="Z75" s="36">
        <v>92.147307999999995</v>
      </c>
      <c r="AA75" s="36">
        <v>92.345222000000007</v>
      </c>
      <c r="AB75" s="36">
        <v>92.071074999999993</v>
      </c>
      <c r="AC75" s="36">
        <v>91.983101000000005</v>
      </c>
      <c r="AD75" s="36">
        <v>92.092338999999996</v>
      </c>
      <c r="AE75" s="36">
        <v>91.780060000000006</v>
      </c>
      <c r="AF75" s="35">
        <v>1.25E-4</v>
      </c>
      <c r="AG75" s="29"/>
    </row>
    <row r="76" spans="1:33" ht="15" customHeight="1">
      <c r="A76" s="34" t="s">
        <v>5326</v>
      </c>
      <c r="B76" s="37" t="s">
        <v>5325</v>
      </c>
      <c r="C76" s="38">
        <v>8.4865460000000006</v>
      </c>
      <c r="D76" s="38">
        <v>9.0409009999999999</v>
      </c>
      <c r="E76" s="38">
        <v>8.9167039999999993</v>
      </c>
      <c r="F76" s="38">
        <v>8.8531840000000006</v>
      </c>
      <c r="G76" s="38">
        <v>8.6993539999999996</v>
      </c>
      <c r="H76" s="38">
        <v>8.7978100000000001</v>
      </c>
      <c r="I76" s="38">
        <v>8.7302379999999999</v>
      </c>
      <c r="J76" s="38">
        <v>8.8096979999999991</v>
      </c>
      <c r="K76" s="38">
        <v>8.8348289999999992</v>
      </c>
      <c r="L76" s="38">
        <v>8.8668779999999998</v>
      </c>
      <c r="M76" s="38">
        <v>8.8397729999999992</v>
      </c>
      <c r="N76" s="38">
        <v>8.7467419999999994</v>
      </c>
      <c r="O76" s="38">
        <v>8.7945659999999997</v>
      </c>
      <c r="P76" s="38">
        <v>8.8531479999999991</v>
      </c>
      <c r="Q76" s="38">
        <v>8.8453959999999991</v>
      </c>
      <c r="R76" s="38">
        <v>8.8224110000000007</v>
      </c>
      <c r="S76" s="38">
        <v>8.8540229999999998</v>
      </c>
      <c r="T76" s="38">
        <v>8.9058299999999999</v>
      </c>
      <c r="U76" s="38">
        <v>8.9359339999999996</v>
      </c>
      <c r="V76" s="38">
        <v>9.1044499999999999</v>
      </c>
      <c r="W76" s="38">
        <v>9.0757650000000005</v>
      </c>
      <c r="X76" s="38">
        <v>8.9965720000000005</v>
      </c>
      <c r="Y76" s="38">
        <v>8.8712859999999996</v>
      </c>
      <c r="Z76" s="38">
        <v>8.8281840000000003</v>
      </c>
      <c r="AA76" s="38">
        <v>8.7008500000000009</v>
      </c>
      <c r="AB76" s="38">
        <v>8.7265999999999995</v>
      </c>
      <c r="AC76" s="38">
        <v>8.7043099999999995</v>
      </c>
      <c r="AD76" s="38">
        <v>8.5641890000000007</v>
      </c>
      <c r="AE76" s="38">
        <v>8.4194560000000003</v>
      </c>
      <c r="AF76" s="35">
        <v>-2.8299999999999999E-4</v>
      </c>
      <c r="AG76" s="29"/>
    </row>
    <row r="77" spans="1:33" ht="15" customHeight="1">
      <c r="A77" s="34" t="s">
        <v>5324</v>
      </c>
      <c r="B77" s="37" t="s">
        <v>5323</v>
      </c>
      <c r="C77" s="38">
        <v>9.7326560000000004</v>
      </c>
      <c r="D77" s="38">
        <v>9.9308960000000006</v>
      </c>
      <c r="E77" s="38">
        <v>10.693754999999999</v>
      </c>
      <c r="F77" s="38">
        <v>10.829088</v>
      </c>
      <c r="G77" s="38">
        <v>11.052844</v>
      </c>
      <c r="H77" s="38">
        <v>11.149592999999999</v>
      </c>
      <c r="I77" s="38">
        <v>11.152388999999999</v>
      </c>
      <c r="J77" s="38">
        <v>11.224688</v>
      </c>
      <c r="K77" s="38">
        <v>11.374539</v>
      </c>
      <c r="L77" s="38">
        <v>11.406249000000001</v>
      </c>
      <c r="M77" s="38">
        <v>11.482843000000001</v>
      </c>
      <c r="N77" s="38">
        <v>11.513206</v>
      </c>
      <c r="O77" s="38">
        <v>11.654120000000001</v>
      </c>
      <c r="P77" s="38">
        <v>11.765363000000001</v>
      </c>
      <c r="Q77" s="38">
        <v>11.842428</v>
      </c>
      <c r="R77" s="38">
        <v>11.860378000000001</v>
      </c>
      <c r="S77" s="38">
        <v>11.865155</v>
      </c>
      <c r="T77" s="38">
        <v>11.957485999999999</v>
      </c>
      <c r="U77" s="38">
        <v>11.842484000000001</v>
      </c>
      <c r="V77" s="38">
        <v>11.890943999999999</v>
      </c>
      <c r="W77" s="38">
        <v>11.950986</v>
      </c>
      <c r="X77" s="38">
        <v>11.976305999999999</v>
      </c>
      <c r="Y77" s="38">
        <v>11.972303</v>
      </c>
      <c r="Z77" s="38">
        <v>11.933615</v>
      </c>
      <c r="AA77" s="38">
        <v>11.771686000000001</v>
      </c>
      <c r="AB77" s="38">
        <v>11.637226999999999</v>
      </c>
      <c r="AC77" s="38">
        <v>11.631284000000001</v>
      </c>
      <c r="AD77" s="38">
        <v>11.574436</v>
      </c>
      <c r="AE77" s="38">
        <v>11.327992</v>
      </c>
      <c r="AF77" s="35">
        <v>5.4359999999999999E-3</v>
      </c>
      <c r="AG77" s="29"/>
    </row>
    <row r="78" spans="1:33" ht="15" customHeight="1">
      <c r="A78" s="34" t="s">
        <v>5322</v>
      </c>
      <c r="B78" s="37" t="s">
        <v>5321</v>
      </c>
      <c r="C78" s="38">
        <v>-1.246111</v>
      </c>
      <c r="D78" s="38">
        <v>-0.88999499999999998</v>
      </c>
      <c r="E78" s="38">
        <v>-1.7770509999999999</v>
      </c>
      <c r="F78" s="38">
        <v>-1.9759040000000001</v>
      </c>
      <c r="G78" s="38">
        <v>-2.3534899999999999</v>
      </c>
      <c r="H78" s="38">
        <v>-2.3517839999999999</v>
      </c>
      <c r="I78" s="38">
        <v>-2.4221509999999999</v>
      </c>
      <c r="J78" s="38">
        <v>-2.4149889999999998</v>
      </c>
      <c r="K78" s="38">
        <v>-2.5397099999999999</v>
      </c>
      <c r="L78" s="38">
        <v>-2.539371</v>
      </c>
      <c r="M78" s="38">
        <v>-2.6430699999999998</v>
      </c>
      <c r="N78" s="38">
        <v>-2.766464</v>
      </c>
      <c r="O78" s="38">
        <v>-2.8595540000000002</v>
      </c>
      <c r="P78" s="38">
        <v>-2.9122140000000001</v>
      </c>
      <c r="Q78" s="38">
        <v>-2.9970319999999999</v>
      </c>
      <c r="R78" s="38">
        <v>-3.0379679999999998</v>
      </c>
      <c r="S78" s="38">
        <v>-3.0111319999999999</v>
      </c>
      <c r="T78" s="38">
        <v>-3.0516559999999999</v>
      </c>
      <c r="U78" s="38">
        <v>-2.9065500000000002</v>
      </c>
      <c r="V78" s="38">
        <v>-2.7864930000000001</v>
      </c>
      <c r="W78" s="38">
        <v>-2.8752209999999998</v>
      </c>
      <c r="X78" s="38">
        <v>-2.9797340000000001</v>
      </c>
      <c r="Y78" s="38">
        <v>-3.1010170000000001</v>
      </c>
      <c r="Z78" s="38">
        <v>-3.1054309999999998</v>
      </c>
      <c r="AA78" s="38">
        <v>-3.0708350000000002</v>
      </c>
      <c r="AB78" s="38">
        <v>-2.9106269999999999</v>
      </c>
      <c r="AC78" s="38">
        <v>-2.9269729999999998</v>
      </c>
      <c r="AD78" s="38">
        <v>-3.0102470000000001</v>
      </c>
      <c r="AE78" s="38">
        <v>-2.9085359999999998</v>
      </c>
      <c r="AF78" s="35">
        <v>3.0734999999999998E-2</v>
      </c>
      <c r="AG78" s="29"/>
    </row>
    <row r="79" spans="1:33" ht="12" customHeight="1">
      <c r="A79" s="34" t="s">
        <v>5320</v>
      </c>
      <c r="B79" s="37" t="s">
        <v>5319</v>
      </c>
      <c r="C79" s="36">
        <v>-6.3540260000000002</v>
      </c>
      <c r="D79" s="36">
        <v>-4.3603430000000003</v>
      </c>
      <c r="E79" s="36">
        <v>-8.9241620000000008</v>
      </c>
      <c r="F79" s="36">
        <v>-9.9553010000000004</v>
      </c>
      <c r="G79" s="36">
        <v>-11.867222999999999</v>
      </c>
      <c r="H79" s="36">
        <v>-11.868959</v>
      </c>
      <c r="I79" s="36">
        <v>-12.255728</v>
      </c>
      <c r="J79" s="36">
        <v>-12.274734</v>
      </c>
      <c r="K79" s="36">
        <v>-12.984676</v>
      </c>
      <c r="L79" s="36">
        <v>-13.054034</v>
      </c>
      <c r="M79" s="36">
        <v>-13.634465000000001</v>
      </c>
      <c r="N79" s="36">
        <v>-14.313117999999999</v>
      </c>
      <c r="O79" s="36">
        <v>-14.811828999999999</v>
      </c>
      <c r="P79" s="36">
        <v>-15.110813</v>
      </c>
      <c r="Q79" s="36">
        <v>-15.584432</v>
      </c>
      <c r="R79" s="36">
        <v>-15.80908</v>
      </c>
      <c r="S79" s="36">
        <v>-15.680111999999999</v>
      </c>
      <c r="T79" s="36">
        <v>-15.87781</v>
      </c>
      <c r="U79" s="36">
        <v>-15.088065</v>
      </c>
      <c r="V79" s="36">
        <v>-14.428357999999999</v>
      </c>
      <c r="W79" s="36">
        <v>-14.839491000000001</v>
      </c>
      <c r="X79" s="36">
        <v>-15.330742000000001</v>
      </c>
      <c r="Y79" s="36">
        <v>-15.904443000000001</v>
      </c>
      <c r="Z79" s="36">
        <v>-15.871409999999999</v>
      </c>
      <c r="AA79" s="36">
        <v>-15.616472999999999</v>
      </c>
      <c r="AB79" s="36">
        <v>-14.714403000000001</v>
      </c>
      <c r="AC79" s="36">
        <v>-14.729609999999999</v>
      </c>
      <c r="AD79" s="36">
        <v>-15.066827999999999</v>
      </c>
      <c r="AE79" s="36">
        <v>-14.440868</v>
      </c>
      <c r="AF79" s="35">
        <v>2.9755E-2</v>
      </c>
      <c r="AG79" s="29"/>
    </row>
    <row r="80" spans="1:33" ht="15" customHeight="1">
      <c r="B80" s="33" t="s">
        <v>5318</v>
      </c>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row>
    <row r="81" spans="1:34" ht="12" customHeight="1">
      <c r="A81" s="34" t="s">
        <v>5317</v>
      </c>
      <c r="B81" s="37" t="s">
        <v>5316</v>
      </c>
      <c r="C81" s="53">
        <v>371.36688199999998</v>
      </c>
      <c r="D81" s="53">
        <v>248.61128199999999</v>
      </c>
      <c r="E81" s="53">
        <v>251.41229200000001</v>
      </c>
      <c r="F81" s="53">
        <v>234.703217</v>
      </c>
      <c r="G81" s="53">
        <v>230.17449999999999</v>
      </c>
      <c r="H81" s="53">
        <v>234.90776099999999</v>
      </c>
      <c r="I81" s="53">
        <v>234.48049900000001</v>
      </c>
      <c r="J81" s="53">
        <v>239.360443</v>
      </c>
      <c r="K81" s="53">
        <v>241.82403600000001</v>
      </c>
      <c r="L81" s="53">
        <v>243.932602</v>
      </c>
      <c r="M81" s="53">
        <v>245.429123</v>
      </c>
      <c r="N81" s="53">
        <v>244.05328399999999</v>
      </c>
      <c r="O81" s="53">
        <v>246.72105400000001</v>
      </c>
      <c r="P81" s="53">
        <v>250.19442699999999</v>
      </c>
      <c r="Q81" s="53">
        <v>252.71852100000001</v>
      </c>
      <c r="R81" s="53">
        <v>252.98632799999999</v>
      </c>
      <c r="S81" s="53">
        <v>255.54049699999999</v>
      </c>
      <c r="T81" s="53">
        <v>258.61086999999998</v>
      </c>
      <c r="U81" s="53">
        <v>261.46523999999999</v>
      </c>
      <c r="V81" s="53">
        <v>268.47531099999998</v>
      </c>
      <c r="W81" s="53">
        <v>269.251373</v>
      </c>
      <c r="X81" s="53">
        <v>266.64828499999999</v>
      </c>
      <c r="Y81" s="53">
        <v>263.44723499999998</v>
      </c>
      <c r="Z81" s="53">
        <v>262.58783</v>
      </c>
      <c r="AA81" s="53">
        <v>260.37374899999998</v>
      </c>
      <c r="AB81" s="53">
        <v>262.247345</v>
      </c>
      <c r="AC81" s="53">
        <v>262.36071800000002</v>
      </c>
      <c r="AD81" s="53">
        <v>259.065338</v>
      </c>
      <c r="AE81" s="53">
        <v>255.761414</v>
      </c>
      <c r="AF81" s="35">
        <v>-1.3231E-2</v>
      </c>
      <c r="AG81" s="29"/>
    </row>
    <row r="82" spans="1:34" ht="15" customHeight="1">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1:34" ht="15" customHeight="1" thickBot="1">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1:34" ht="15" customHeight="1">
      <c r="B84" s="2181" t="s">
        <v>5315</v>
      </c>
      <c r="C84" s="2180"/>
      <c r="D84" s="2180"/>
      <c r="E84" s="2180"/>
      <c r="F84" s="2180"/>
      <c r="G84" s="2180"/>
      <c r="H84" s="2180"/>
      <c r="I84" s="2180"/>
      <c r="J84" s="2180"/>
      <c r="K84" s="2180"/>
      <c r="L84" s="2180"/>
      <c r="M84" s="2180"/>
      <c r="N84" s="2180"/>
      <c r="O84" s="2180"/>
      <c r="P84" s="2180"/>
      <c r="Q84" s="2180"/>
      <c r="R84" s="2180"/>
      <c r="S84" s="2180"/>
      <c r="T84" s="2180"/>
      <c r="U84" s="2180"/>
      <c r="V84" s="2180"/>
      <c r="W84" s="2180"/>
      <c r="X84" s="2180"/>
      <c r="Y84" s="2180"/>
      <c r="Z84" s="2180"/>
      <c r="AA84" s="2180"/>
      <c r="AB84" s="2180"/>
      <c r="AC84" s="2180"/>
      <c r="AD84" s="2180"/>
      <c r="AE84" s="2180"/>
      <c r="AF84" s="2180"/>
      <c r="AG84" s="2180"/>
      <c r="AH84" s="30"/>
    </row>
    <row r="85" spans="1:34" ht="15" customHeight="1">
      <c r="B85" s="29" t="s">
        <v>5314</v>
      </c>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row>
    <row r="86" spans="1:34" ht="15" customHeight="1">
      <c r="B86" s="29" t="s">
        <v>5313</v>
      </c>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row>
    <row r="87" spans="1:34" ht="15" customHeight="1">
      <c r="B87" s="29" t="s">
        <v>5312</v>
      </c>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row>
    <row r="88" spans="1:34" ht="15" customHeight="1">
      <c r="B88" s="29" t="s">
        <v>5311</v>
      </c>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row>
    <row r="89" spans="1:34" ht="15" customHeight="1">
      <c r="B89" s="29" t="s">
        <v>5310</v>
      </c>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row>
    <row r="90" spans="1:34" ht="15" customHeight="1">
      <c r="B90" s="29" t="s">
        <v>5309</v>
      </c>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row>
    <row r="91" spans="1:34" ht="15" customHeight="1">
      <c r="B91" s="29" t="s">
        <v>5308</v>
      </c>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row>
    <row r="92" spans="1:34" ht="12" customHeight="1">
      <c r="B92" s="29" t="s">
        <v>5307</v>
      </c>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row>
    <row r="93" spans="1:34" ht="15" customHeight="1">
      <c r="B93" s="29" t="s">
        <v>5306</v>
      </c>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row>
    <row r="94" spans="1:34" ht="15" customHeight="1">
      <c r="B94" s="29" t="s">
        <v>5305</v>
      </c>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1:34" ht="15" customHeight="1">
      <c r="B95" s="29" t="s">
        <v>5304</v>
      </c>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row>
    <row r="96" spans="1:34" ht="15" customHeight="1">
      <c r="B96" s="29" t="s">
        <v>5303</v>
      </c>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2:33" ht="15" customHeight="1">
      <c r="B97" s="29" t="s">
        <v>2273</v>
      </c>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2:33" ht="15" customHeight="1">
      <c r="B98" s="29" t="s">
        <v>5302</v>
      </c>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2:33" ht="15" customHeight="1">
      <c r="B99" s="29" t="s">
        <v>5301</v>
      </c>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2:33" ht="15" customHeight="1">
      <c r="B100" s="29" t="s">
        <v>5300</v>
      </c>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2:33" ht="12" customHeight="1">
      <c r="B101" s="29" t="s">
        <v>5299</v>
      </c>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2:33" ht="12" customHeight="1">
      <c r="B102" s="29" t="s">
        <v>5298</v>
      </c>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2:33" ht="15" customHeight="1">
      <c r="B103" s="29" t="s">
        <v>5297</v>
      </c>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2:33" ht="15" customHeight="1">
      <c r="B104" s="29" t="s">
        <v>5296</v>
      </c>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2:33" ht="15" customHeight="1">
      <c r="B105" s="29" t="s">
        <v>5295</v>
      </c>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2:33" ht="15" customHeight="1">
      <c r="B106" s="29" t="s">
        <v>5294</v>
      </c>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2:33" ht="15" customHeight="1">
      <c r="B107" s="29" t="s">
        <v>5293</v>
      </c>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2:33" ht="15" customHeight="1">
      <c r="B108" s="29" t="s">
        <v>5292</v>
      </c>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row>
    <row r="109" spans="2:33" ht="15" customHeight="1">
      <c r="B109" s="29" t="s">
        <v>2292</v>
      </c>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row>
    <row r="110" spans="2:33" ht="15" customHeight="1">
      <c r="B110" s="29" t="s">
        <v>2584</v>
      </c>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row>
    <row r="111" spans="2:33" ht="15" customHeight="1">
      <c r="B111" s="29" t="s">
        <v>2585</v>
      </c>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row>
    <row r="112" spans="2:33" ht="15" customHeight="1">
      <c r="B112" s="2185" t="s">
        <v>2295</v>
      </c>
      <c r="C112" s="2185"/>
      <c r="D112" s="2185"/>
      <c r="E112" s="2185"/>
      <c r="F112" s="2185"/>
      <c r="G112" s="2185"/>
      <c r="H112" s="2185"/>
      <c r="I112" s="2185"/>
      <c r="J112" s="2185"/>
      <c r="K112" s="2185"/>
      <c r="L112" s="2185"/>
      <c r="M112" s="2185"/>
      <c r="N112" s="2185"/>
      <c r="O112" s="2185"/>
      <c r="P112" s="2185"/>
      <c r="Q112" s="2185"/>
      <c r="R112" s="2185"/>
      <c r="S112" s="2185"/>
      <c r="T112" s="2185"/>
      <c r="U112" s="2185"/>
      <c r="V112" s="2185"/>
      <c r="W112" s="2185"/>
      <c r="X112" s="2185"/>
      <c r="Y112" s="2185"/>
      <c r="Z112" s="2185"/>
      <c r="AA112" s="2185"/>
      <c r="AB112" s="2185"/>
      <c r="AC112" s="2185"/>
      <c r="AD112" s="2185"/>
      <c r="AE112" s="2185"/>
      <c r="AF112" s="2185"/>
      <c r="AG112" s="29"/>
    </row>
    <row r="113" spans="2:33" ht="15" customHeight="1">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row>
    <row r="114" spans="2:33" ht="15" customHeight="1">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row>
    <row r="115" spans="2:33" ht="15" customHeight="1">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row>
    <row r="116" spans="2:33" ht="15" customHeight="1">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row>
    <row r="117" spans="2:33" ht="15" customHeight="1">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row>
    <row r="118" spans="2:33" ht="15" customHeight="1">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row>
    <row r="119" spans="2:33" ht="15" customHeight="1">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row>
    <row r="120" spans="2:33" ht="15" customHeight="1">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row>
    <row r="121" spans="2:33" ht="15" customHeight="1">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row>
    <row r="122" spans="2:33" ht="15" customHeight="1">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row>
    <row r="123" spans="2:33" ht="15" customHeight="1">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row>
    <row r="124" spans="2:33" ht="15" customHeight="1">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row>
    <row r="125" spans="2:33" ht="15" customHeight="1">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row>
    <row r="126" spans="2:33" ht="15" customHeight="1">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row>
    <row r="127" spans="2:33" ht="15" customHeight="1">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row>
    <row r="128" spans="2:33" ht="15" customHeight="1">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row>
    <row r="129" spans="2:33" ht="15" customHeight="1">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row>
    <row r="130" spans="2:33" ht="15" customHeight="1">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row>
    <row r="131" spans="2:33" ht="15" customHeight="1">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row>
    <row r="132" spans="2:33" ht="15" customHeight="1">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row>
    <row r="133" spans="2:33" ht="15" customHeight="1">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row>
    <row r="134" spans="2:33" ht="15" customHeight="1">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row>
    <row r="135" spans="2:33" ht="15" customHeight="1">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row>
    <row r="136" spans="2:33" ht="15" customHeight="1">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row>
    <row r="137" spans="2:33" ht="15" customHeight="1">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row>
    <row r="138" spans="2:33" ht="15" customHeight="1">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row>
    <row r="139" spans="2:33" ht="15" customHeight="1">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row>
    <row r="140" spans="2:33" ht="15" customHeight="1">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row>
    <row r="141" spans="2:33" ht="12" customHeight="1">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row>
    <row r="142" spans="2:33" ht="12" customHeight="1">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row>
    <row r="143" spans="2:33" ht="12" customHeight="1">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row>
    <row r="144" spans="2:33" ht="12" customHeight="1">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row>
    <row r="145" spans="2:33" ht="12" customHeight="1">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row>
    <row r="146" spans="2:33" ht="12" customHeight="1">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row>
    <row r="147" spans="2:33" ht="12" customHeight="1">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row>
    <row r="148" spans="2:33" ht="12" customHeight="1">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row>
    <row r="149" spans="2:33" ht="12" customHeight="1">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row>
    <row r="150" spans="2:33" ht="15" customHeight="1">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row>
    <row r="151" spans="2:33" ht="15" customHeight="1">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row>
    <row r="152" spans="2:33" ht="15" customHeight="1">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row>
    <row r="153" spans="2:33" ht="15" customHeight="1">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row>
    <row r="154" spans="2:33" ht="15" customHeight="1">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row>
    <row r="155" spans="2:33" ht="15" customHeight="1">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row>
    <row r="156" spans="2:33" ht="15" customHeight="1">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row>
    <row r="157" spans="2:33" ht="15" customHeight="1">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row>
    <row r="158" spans="2:33" ht="15" customHeight="1">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row>
    <row r="159" spans="2:33" ht="15" customHeight="1">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row>
    <row r="160" spans="2:33" ht="15" customHeight="1">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row>
    <row r="161" spans="2:33" ht="15" customHeight="1">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row>
    <row r="162" spans="2:33" ht="15" customHeight="1">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row>
    <row r="163" spans="2:33" ht="15" customHeight="1">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row>
    <row r="164" spans="2:33" ht="15" customHeight="1">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row>
    <row r="165" spans="2:33" ht="12" customHeight="1">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row>
    <row r="166" spans="2:33" ht="15" customHeight="1">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row>
    <row r="167" spans="2:33" ht="15" customHeight="1">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row>
    <row r="168" spans="2:33" ht="15" customHeight="1">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row>
    <row r="169" spans="2:33" ht="15" customHeight="1">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row>
    <row r="170" spans="2:33" ht="15" customHeight="1">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row>
    <row r="171" spans="2:33" ht="15" customHeight="1">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row>
    <row r="172" spans="2:33" ht="15" customHeight="1">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row>
    <row r="173" spans="2:33" ht="15" customHeight="1">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row>
    <row r="174" spans="2:33" ht="15" customHeight="1">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row>
    <row r="175" spans="2:33" ht="15" customHeight="1">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row>
    <row r="176" spans="2:33" ht="15" customHeight="1">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row>
    <row r="177" spans="2:33" ht="15" customHeight="1">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row>
    <row r="178" spans="2:33" ht="15" customHeight="1">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row>
    <row r="179" spans="2:33" ht="15" customHeight="1">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row>
    <row r="180" spans="2:33" ht="12" customHeight="1">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row>
    <row r="181" spans="2:33" ht="15" customHeight="1">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row>
    <row r="182" spans="2:33" ht="15" customHeight="1">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row>
    <row r="183" spans="2:33" ht="15" customHeight="1">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row>
    <row r="184" spans="2:33" ht="15" customHeight="1">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row>
    <row r="185" spans="2:33" ht="15" customHeight="1">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row>
    <row r="186" spans="2:33" ht="15" customHeight="1">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row>
    <row r="187" spans="2:33" ht="15" customHeight="1">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row>
    <row r="188" spans="2:33" ht="15" customHeight="1">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row>
    <row r="189" spans="2:33" ht="15" customHeight="1">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row>
    <row r="190" spans="2:33" ht="15" customHeight="1">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row>
    <row r="191" spans="2:33" ht="15" customHeight="1">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row>
    <row r="192" spans="2:33" ht="15" customHeight="1">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row>
    <row r="193" spans="2:33" ht="15" customHeight="1">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row>
    <row r="194" spans="2:33" ht="15" customHeight="1">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row>
    <row r="195" spans="2:33" ht="15" customHeight="1">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row>
    <row r="196" spans="2:33" ht="15" customHeight="1">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row>
    <row r="197" spans="2:33" ht="15" customHeight="1">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row>
    <row r="198" spans="2:33" ht="15" customHeight="1">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row>
    <row r="199" spans="2:33" ht="15" customHeight="1">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row>
    <row r="200" spans="2:33" ht="15" customHeight="1">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row>
    <row r="201" spans="2:33" ht="15" customHeight="1">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row>
    <row r="202" spans="2:33" ht="15" customHeight="1">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row>
    <row r="203" spans="2:33" ht="15" customHeight="1">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row>
    <row r="204" spans="2:33" ht="12" customHeight="1">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row>
    <row r="205" spans="2:33" ht="12" customHeight="1">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row>
    <row r="206" spans="2:33" ht="15" customHeight="1">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row>
    <row r="207" spans="2:33" ht="15" customHeight="1">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row>
    <row r="208" spans="2:33" ht="15" customHeight="1">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row>
    <row r="209" spans="2:33" ht="15" customHeight="1">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row>
    <row r="210" spans="2:33" ht="15" customHeight="1">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row>
    <row r="211" spans="2:33" ht="15" customHeight="1">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row>
    <row r="212" spans="2:33" ht="15" customHeight="1">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row>
    <row r="213" spans="2:33" ht="15" customHeight="1">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row>
    <row r="214" spans="2:33" ht="15" customHeight="1">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row>
    <row r="215" spans="2:33" ht="15" customHeight="1">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row>
    <row r="216" spans="2:33" ht="15" customHeight="1">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row>
    <row r="217" spans="2:33" ht="15" customHeight="1">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row>
    <row r="218" spans="2:33" ht="15" customHeight="1">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row>
    <row r="219" spans="2:33" ht="15" customHeight="1">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row>
    <row r="220" spans="2:33" ht="15" customHeight="1">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row>
    <row r="221" spans="2:33" ht="15" customHeight="1">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row>
    <row r="222" spans="2:33" ht="15" customHeight="1">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row>
    <row r="223" spans="2:33" ht="12" customHeight="1">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row>
    <row r="224" spans="2:33" ht="15" customHeight="1">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row>
    <row r="225" spans="2:33" ht="15" customHeight="1">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row>
    <row r="226" spans="2:33" ht="12" customHeight="1">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row>
    <row r="227" spans="2:33" ht="15" customHeight="1">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row>
    <row r="228" spans="2:33" ht="15" customHeight="1">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row>
    <row r="229" spans="2:33" ht="15" customHeight="1">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row>
    <row r="230" spans="2:33" ht="15" customHeight="1">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row>
    <row r="231" spans="2:33" ht="15" customHeight="1">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row>
    <row r="232" spans="2:33" ht="15" customHeight="1">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row>
    <row r="233" spans="2:33" ht="15" customHeight="1">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row>
    <row r="234" spans="2:33" ht="15" customHeight="1">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row>
    <row r="256" ht="12" customHeight="1"/>
    <row r="257" ht="12" customHeight="1"/>
    <row r="269" ht="12" customHeight="1"/>
    <row r="299" ht="12" customHeight="1"/>
    <row r="308" spans="2:32" ht="15" customHeight="1">
      <c r="B308" s="2178"/>
      <c r="C308" s="2178"/>
      <c r="D308" s="2178"/>
      <c r="E308" s="2178"/>
      <c r="F308" s="2178"/>
      <c r="G308" s="2178"/>
      <c r="H308" s="2178"/>
      <c r="I308" s="2178"/>
      <c r="J308" s="2178"/>
      <c r="K308" s="2178"/>
      <c r="L308" s="2178"/>
      <c r="M308" s="2178"/>
      <c r="N308" s="2178"/>
      <c r="O308" s="2178"/>
      <c r="P308" s="2178"/>
      <c r="Q308" s="2178"/>
      <c r="R308" s="2178"/>
      <c r="S308" s="2178"/>
      <c r="T308" s="2178"/>
      <c r="U308" s="2178"/>
      <c r="V308" s="2178"/>
      <c r="W308" s="2178"/>
      <c r="X308" s="2178"/>
      <c r="Y308" s="2178"/>
      <c r="Z308" s="2178"/>
      <c r="AA308" s="2178"/>
      <c r="AB308" s="2178"/>
      <c r="AC308" s="2178"/>
      <c r="AD308" s="2178"/>
      <c r="AE308" s="2178"/>
      <c r="AF308" s="2178"/>
    </row>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85" ht="12" customHeight="1"/>
    <row r="392" ht="12" customHeight="1"/>
    <row r="402" ht="12" customHeight="1"/>
    <row r="412" ht="12" customHeight="1"/>
    <row r="419" ht="12" customHeight="1"/>
    <row r="420" ht="12" customHeight="1"/>
    <row r="433" ht="12" customHeight="1"/>
    <row r="443" ht="12" customHeight="1"/>
    <row r="444" ht="12" customHeight="1"/>
    <row r="451" ht="12" customHeight="1"/>
    <row r="458" ht="12" customHeight="1"/>
    <row r="468" ht="12" customHeight="1"/>
    <row r="469" ht="12" customHeight="1"/>
    <row r="479" ht="12" customHeight="1"/>
    <row r="486" ht="12" customHeight="1"/>
    <row r="499" spans="2:32" ht="12" customHeight="1"/>
    <row r="509" spans="2:32" ht="12" customHeight="1"/>
    <row r="511" spans="2:32" ht="15" customHeight="1">
      <c r="B511" s="2178"/>
      <c r="C511" s="2178"/>
      <c r="D511" s="2178"/>
      <c r="E511" s="2178"/>
      <c r="F511" s="2178"/>
      <c r="G511" s="2178"/>
      <c r="H511" s="2178"/>
      <c r="I511" s="2178"/>
      <c r="J511" s="2178"/>
      <c r="K511" s="2178"/>
      <c r="L511" s="2178"/>
      <c r="M511" s="2178"/>
      <c r="N511" s="2178"/>
      <c r="O511" s="2178"/>
      <c r="P511" s="2178"/>
      <c r="Q511" s="2178"/>
      <c r="R511" s="2178"/>
      <c r="S511" s="2178"/>
      <c r="T511" s="2178"/>
      <c r="U511" s="2178"/>
      <c r="V511" s="2178"/>
      <c r="W511" s="2178"/>
      <c r="X511" s="2178"/>
      <c r="Y511" s="2178"/>
      <c r="Z511" s="2178"/>
      <c r="AA511" s="2178"/>
      <c r="AB511" s="2178"/>
      <c r="AC511" s="2178"/>
      <c r="AD511" s="2178"/>
      <c r="AE511" s="2178"/>
      <c r="AF511" s="2178"/>
    </row>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86" ht="12" customHeight="1"/>
    <row r="588" ht="12" customHeight="1"/>
    <row r="596" ht="12" customHeight="1"/>
    <row r="616" ht="12" customHeight="1"/>
    <row r="625" ht="12" customHeight="1"/>
    <row r="631" ht="12" customHeight="1"/>
    <row r="638" ht="12" customHeight="1"/>
    <row r="640" ht="12" customHeight="1"/>
    <row r="659" ht="12" customHeight="1"/>
    <row r="661" ht="12" customHeight="1"/>
    <row r="680" ht="12" customHeight="1"/>
    <row r="687" ht="12" customHeight="1"/>
    <row r="699" ht="12" customHeight="1"/>
    <row r="712" spans="2:32" ht="15" customHeight="1">
      <c r="B712" s="2178"/>
      <c r="C712" s="2178"/>
      <c r="D712" s="2178"/>
      <c r="E712" s="2178"/>
      <c r="F712" s="2178"/>
      <c r="G712" s="2178"/>
      <c r="H712" s="2178"/>
      <c r="I712" s="2178"/>
      <c r="J712" s="2178"/>
      <c r="K712" s="2178"/>
      <c r="L712" s="2178"/>
      <c r="M712" s="2178"/>
      <c r="N712" s="2178"/>
      <c r="O712" s="2178"/>
      <c r="P712" s="2178"/>
      <c r="Q712" s="2178"/>
      <c r="R712" s="2178"/>
      <c r="S712" s="2178"/>
      <c r="T712" s="2178"/>
      <c r="U712" s="2178"/>
      <c r="V712" s="2178"/>
      <c r="W712" s="2178"/>
      <c r="X712" s="2178"/>
      <c r="Y712" s="2178"/>
      <c r="Z712" s="2178"/>
      <c r="AA712" s="2178"/>
      <c r="AB712" s="2178"/>
      <c r="AC712" s="2178"/>
      <c r="AD712" s="2178"/>
      <c r="AE712" s="2178"/>
      <c r="AF712" s="2178"/>
    </row>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81" ht="12" customHeight="1"/>
    <row r="786" ht="12" customHeight="1"/>
    <row r="791" ht="12" customHeight="1"/>
    <row r="807" ht="12" customHeight="1"/>
    <row r="815" ht="12" customHeight="1"/>
    <row r="821" ht="12" customHeight="1"/>
    <row r="824" ht="12" customHeight="1"/>
    <row r="839" ht="12" customHeight="1"/>
    <row r="841" ht="12" customHeight="1"/>
    <row r="856" ht="12" customHeight="1"/>
    <row r="862" ht="12" customHeight="1"/>
    <row r="874" ht="12" customHeight="1"/>
    <row r="887" spans="2:32" ht="15" customHeight="1">
      <c r="B887" s="2178"/>
      <c r="C887" s="2178"/>
      <c r="D887" s="2178"/>
      <c r="E887" s="2178"/>
      <c r="F887" s="2178"/>
      <c r="G887" s="2178"/>
      <c r="H887" s="2178"/>
      <c r="I887" s="2178"/>
      <c r="J887" s="2178"/>
      <c r="K887" s="2178"/>
      <c r="L887" s="2178"/>
      <c r="M887" s="2178"/>
      <c r="N887" s="2178"/>
      <c r="O887" s="2178"/>
      <c r="P887" s="2178"/>
      <c r="Q887" s="2178"/>
      <c r="R887" s="2178"/>
      <c r="S887" s="2178"/>
      <c r="T887" s="2178"/>
      <c r="U887" s="2178"/>
      <c r="V887" s="2178"/>
      <c r="W887" s="2178"/>
      <c r="X887" s="2178"/>
      <c r="Y887" s="2178"/>
      <c r="Z887" s="2178"/>
      <c r="AA887" s="2178"/>
      <c r="AB887" s="2178"/>
      <c r="AC887" s="2178"/>
      <c r="AD887" s="2178"/>
      <c r="AE887" s="2178"/>
      <c r="AF887" s="2178"/>
    </row>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60" ht="12" customHeight="1"/>
    <row r="986" ht="12" customHeight="1"/>
    <row r="987" ht="12" customHeight="1"/>
    <row r="1017" ht="12" customHeight="1"/>
    <row r="1018" ht="12" customHeight="1"/>
    <row r="1039" ht="12" customHeight="1"/>
    <row r="1067" ht="12" customHeight="1"/>
    <row r="1096" spans="2:32" ht="12" customHeight="1"/>
    <row r="1101" spans="2:32" ht="15" customHeight="1">
      <c r="B1101" s="2178"/>
      <c r="C1101" s="2178"/>
      <c r="D1101" s="2178"/>
      <c r="E1101" s="2178"/>
      <c r="F1101" s="2178"/>
      <c r="G1101" s="2178"/>
      <c r="H1101" s="2178"/>
      <c r="I1101" s="2178"/>
      <c r="J1101" s="2178"/>
      <c r="K1101" s="2178"/>
      <c r="L1101" s="2178"/>
      <c r="M1101" s="2178"/>
      <c r="N1101" s="2178"/>
      <c r="O1101" s="2178"/>
      <c r="P1101" s="2178"/>
      <c r="Q1101" s="2178"/>
      <c r="R1101" s="2178"/>
      <c r="S1101" s="2178"/>
      <c r="T1101" s="2178"/>
      <c r="U1101" s="2178"/>
      <c r="V1101" s="2178"/>
      <c r="W1101" s="2178"/>
      <c r="X1101" s="2178"/>
      <c r="Y1101" s="2178"/>
      <c r="Z1101" s="2178"/>
      <c r="AA1101" s="2178"/>
      <c r="AB1101" s="2178"/>
      <c r="AC1101" s="2178"/>
      <c r="AD1101" s="2178"/>
      <c r="AE1101" s="2178"/>
      <c r="AF1101" s="2178"/>
    </row>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69" ht="12" customHeight="1"/>
    <row r="1193" ht="12" customHeight="1"/>
    <row r="1211" ht="12" customHeight="1"/>
    <row r="1229" spans="2:32" ht="15" customHeight="1">
      <c r="B1229" s="2178"/>
      <c r="C1229" s="2178"/>
      <c r="D1229" s="2178"/>
      <c r="E1229" s="2178"/>
      <c r="F1229" s="2178"/>
      <c r="G1229" s="2178"/>
      <c r="H1229" s="2178"/>
      <c r="I1229" s="2178"/>
      <c r="J1229" s="2178"/>
      <c r="K1229" s="2178"/>
      <c r="L1229" s="2178"/>
      <c r="M1229" s="2178"/>
      <c r="N1229" s="2178"/>
      <c r="O1229" s="2178"/>
      <c r="P1229" s="2178"/>
      <c r="Q1229" s="2178"/>
      <c r="R1229" s="2178"/>
      <c r="S1229" s="2178"/>
      <c r="T1229" s="2178"/>
      <c r="U1229" s="2178"/>
      <c r="V1229" s="2178"/>
      <c r="W1229" s="2178"/>
      <c r="X1229" s="2178"/>
      <c r="Y1229" s="2178"/>
      <c r="Z1229" s="2178"/>
      <c r="AA1229" s="2178"/>
      <c r="AB1229" s="2178"/>
      <c r="AC1229" s="2178"/>
      <c r="AD1229" s="2178"/>
      <c r="AE1229" s="2178"/>
      <c r="AF1229" s="2178"/>
    </row>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6" ht="12" customHeight="1"/>
    <row r="1326" ht="12" customHeight="1"/>
    <row r="1328" ht="12" customHeight="1"/>
    <row r="1339" ht="12" customHeight="1"/>
    <row r="1349" ht="12" customHeight="1"/>
    <row r="1351" ht="12" customHeight="1"/>
    <row r="1360" ht="12" customHeight="1"/>
    <row r="1374" ht="12" customHeight="1"/>
    <row r="1384" spans="2:32" ht="12" customHeight="1"/>
    <row r="1390" spans="2:32" ht="15" customHeight="1">
      <c r="B1390" s="2178"/>
      <c r="C1390" s="2178"/>
      <c r="D1390" s="2178"/>
      <c r="E1390" s="2178"/>
      <c r="F1390" s="2178"/>
      <c r="G1390" s="2178"/>
      <c r="H1390" s="2178"/>
      <c r="I1390" s="2178"/>
      <c r="J1390" s="2178"/>
      <c r="K1390" s="2178"/>
      <c r="L1390" s="2178"/>
      <c r="M1390" s="2178"/>
      <c r="N1390" s="2178"/>
      <c r="O1390" s="2178"/>
      <c r="P1390" s="2178"/>
      <c r="Q1390" s="2178"/>
      <c r="R1390" s="2178"/>
      <c r="S1390" s="2178"/>
      <c r="T1390" s="2178"/>
      <c r="U1390" s="2178"/>
      <c r="V1390" s="2178"/>
      <c r="W1390" s="2178"/>
      <c r="X1390" s="2178"/>
      <c r="Y1390" s="2178"/>
      <c r="Z1390" s="2178"/>
      <c r="AA1390" s="2178"/>
      <c r="AB1390" s="2178"/>
      <c r="AC1390" s="2178"/>
      <c r="AD1390" s="2178"/>
      <c r="AE1390" s="2178"/>
      <c r="AF1390" s="2178"/>
    </row>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50" ht="12" customHeight="1"/>
    <row r="1476" ht="12" customHeight="1"/>
    <row r="1488" ht="12" customHeight="1"/>
    <row r="1490" spans="2:32" ht="12" customHeight="1"/>
    <row r="1499" spans="2:32" ht="12" customHeight="1"/>
    <row r="1502" spans="2:32" ht="15" customHeight="1">
      <c r="B1502" s="2178"/>
      <c r="C1502" s="2178"/>
      <c r="D1502" s="2178"/>
      <c r="E1502" s="2178"/>
      <c r="F1502" s="2178"/>
      <c r="G1502" s="2178"/>
      <c r="H1502" s="2178"/>
      <c r="I1502" s="2178"/>
      <c r="J1502" s="2178"/>
      <c r="K1502" s="2178"/>
      <c r="L1502" s="2178"/>
      <c r="M1502" s="2178"/>
      <c r="N1502" s="2178"/>
      <c r="O1502" s="2178"/>
      <c r="P1502" s="2178"/>
      <c r="Q1502" s="2178"/>
      <c r="R1502" s="2178"/>
      <c r="S1502" s="2178"/>
      <c r="T1502" s="2178"/>
      <c r="U1502" s="2178"/>
      <c r="V1502" s="2178"/>
      <c r="W1502" s="2178"/>
      <c r="X1502" s="2178"/>
      <c r="Y1502" s="2178"/>
      <c r="Z1502" s="2178"/>
      <c r="AA1502" s="2178"/>
      <c r="AB1502" s="2178"/>
      <c r="AC1502" s="2178"/>
      <c r="AD1502" s="2178"/>
      <c r="AE1502" s="2178"/>
      <c r="AF1502" s="2178"/>
    </row>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6" ht="12" customHeight="1"/>
    <row r="1591" ht="12" customHeight="1"/>
    <row r="1593" ht="12" customHeight="1"/>
    <row r="1598" ht="12" customHeight="1"/>
    <row r="1604" spans="2:32" ht="15" customHeight="1">
      <c r="B1604" s="2178"/>
      <c r="C1604" s="2178"/>
      <c r="D1604" s="2178"/>
      <c r="E1604" s="2178"/>
      <c r="F1604" s="2178"/>
      <c r="G1604" s="2178"/>
      <c r="H1604" s="2178"/>
      <c r="I1604" s="2178"/>
      <c r="J1604" s="2178"/>
      <c r="K1604" s="2178"/>
      <c r="L1604" s="2178"/>
      <c r="M1604" s="2178"/>
      <c r="N1604" s="2178"/>
      <c r="O1604" s="2178"/>
      <c r="P1604" s="2178"/>
      <c r="Q1604" s="2178"/>
      <c r="R1604" s="2178"/>
      <c r="S1604" s="2178"/>
      <c r="T1604" s="2178"/>
      <c r="U1604" s="2178"/>
      <c r="V1604" s="2178"/>
      <c r="W1604" s="2178"/>
      <c r="X1604" s="2178"/>
      <c r="Y1604" s="2178"/>
      <c r="Z1604" s="2178"/>
      <c r="AA1604" s="2178"/>
      <c r="AB1604" s="2178"/>
      <c r="AC1604" s="2178"/>
      <c r="AD1604" s="2178"/>
      <c r="AE1604" s="2178"/>
      <c r="AF1604" s="2178"/>
    </row>
    <row r="1612" spans="2:32" ht="12" customHeight="1"/>
    <row r="1613" spans="2:32" ht="12" customHeight="1"/>
    <row r="1614" spans="2:32" ht="12" customHeight="1"/>
    <row r="1615" spans="2:32" ht="12" customHeight="1"/>
    <row r="1616" spans="2:32" ht="12" customHeight="1"/>
    <row r="1617" ht="12" customHeight="1"/>
    <row r="1618" ht="12" customHeight="1"/>
    <row r="1619" ht="12" customHeight="1"/>
    <row r="1620" ht="12" customHeight="1"/>
    <row r="1621" ht="12" customHeight="1"/>
    <row r="1622" ht="12" customHeight="1"/>
    <row r="1623" ht="12" customHeight="1"/>
    <row r="1624" ht="12" customHeight="1"/>
    <row r="1639" ht="12" customHeight="1"/>
    <row r="1665" ht="12" customHeight="1"/>
    <row r="1667" ht="12" customHeight="1"/>
    <row r="1668" ht="12" customHeight="1"/>
    <row r="1686" ht="12" customHeight="1"/>
    <row r="1688" ht="12" customHeight="1"/>
    <row r="1697" spans="2:32" ht="12" customHeight="1"/>
    <row r="1699" spans="2:32" ht="15" customHeight="1">
      <c r="B1699" s="2178"/>
      <c r="C1699" s="2178"/>
      <c r="D1699" s="2178"/>
      <c r="E1699" s="2178"/>
      <c r="F1699" s="2178"/>
      <c r="G1699" s="2178"/>
      <c r="H1699" s="2178"/>
      <c r="I1699" s="2178"/>
      <c r="J1699" s="2178"/>
      <c r="K1699" s="2178"/>
      <c r="L1699" s="2178"/>
      <c r="M1699" s="2178"/>
      <c r="N1699" s="2178"/>
      <c r="O1699" s="2178"/>
      <c r="P1699" s="2178"/>
      <c r="Q1699" s="2178"/>
      <c r="R1699" s="2178"/>
      <c r="S1699" s="2178"/>
      <c r="T1699" s="2178"/>
      <c r="U1699" s="2178"/>
      <c r="V1699" s="2178"/>
      <c r="W1699" s="2178"/>
      <c r="X1699" s="2178"/>
      <c r="Y1699" s="2178"/>
      <c r="Z1699" s="2178"/>
      <c r="AA1699" s="2178"/>
      <c r="AB1699" s="2178"/>
      <c r="AC1699" s="2178"/>
      <c r="AD1699" s="2178"/>
      <c r="AE1699" s="2178"/>
      <c r="AF1699" s="2178"/>
    </row>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60" ht="12" customHeight="1"/>
    <row r="1862" ht="12" customHeight="1"/>
    <row r="1866" ht="12" customHeight="1"/>
    <row r="1871" ht="12" customHeight="1"/>
    <row r="1877" ht="12" customHeight="1"/>
    <row r="1887" ht="12" customHeight="1"/>
    <row r="1892" ht="12" customHeight="1"/>
    <row r="1901" ht="12" customHeight="1"/>
    <row r="1902" ht="12" customHeight="1"/>
    <row r="1908" ht="12" customHeight="1"/>
    <row r="1914" ht="12" customHeight="1"/>
    <row r="1918" ht="12" customHeight="1"/>
    <row r="1923" ht="12" customHeight="1"/>
    <row r="1932" ht="12" customHeight="1"/>
    <row r="1936" ht="12" customHeight="1"/>
    <row r="1945" spans="2:32" ht="15" customHeight="1">
      <c r="B1945" s="2178"/>
      <c r="C1945" s="2178"/>
      <c r="D1945" s="2178"/>
      <c r="E1945" s="2178"/>
      <c r="F1945" s="2178"/>
      <c r="G1945" s="2178"/>
      <c r="H1945" s="2178"/>
      <c r="I1945" s="2178"/>
      <c r="J1945" s="2178"/>
      <c r="K1945" s="2178"/>
      <c r="L1945" s="2178"/>
      <c r="M1945" s="2178"/>
      <c r="N1945" s="2178"/>
      <c r="O1945" s="2178"/>
      <c r="P1945" s="2178"/>
      <c r="Q1945" s="2178"/>
      <c r="R1945" s="2178"/>
      <c r="S1945" s="2178"/>
      <c r="T1945" s="2178"/>
      <c r="U1945" s="2178"/>
      <c r="V1945" s="2178"/>
      <c r="W1945" s="2178"/>
      <c r="X1945" s="2178"/>
      <c r="Y1945" s="2178"/>
      <c r="Z1945" s="2178"/>
      <c r="AA1945" s="2178"/>
      <c r="AB1945" s="2178"/>
      <c r="AC1945" s="2178"/>
      <c r="AD1945" s="2178"/>
      <c r="AE1945" s="2178"/>
      <c r="AF1945" s="2178"/>
    </row>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83" ht="12" customHeight="1"/>
    <row r="1987" ht="12" customHeight="1"/>
    <row r="1989" ht="12" customHeight="1"/>
    <row r="2003" ht="12" customHeight="1"/>
    <row r="2005" ht="12" customHeight="1"/>
    <row r="2007" ht="12" customHeight="1"/>
    <row r="2010" ht="12" customHeight="1"/>
    <row r="2021" spans="2:32" ht="12" customHeight="1"/>
    <row r="2031" spans="2:32" ht="15" customHeight="1">
      <c r="B2031" s="2178"/>
      <c r="C2031" s="2178"/>
      <c r="D2031" s="2178"/>
      <c r="E2031" s="2178"/>
      <c r="F2031" s="2178"/>
      <c r="G2031" s="2178"/>
      <c r="H2031" s="2178"/>
      <c r="I2031" s="2178"/>
      <c r="J2031" s="2178"/>
      <c r="K2031" s="2178"/>
      <c r="L2031" s="2178"/>
      <c r="M2031" s="2178"/>
      <c r="N2031" s="2178"/>
      <c r="O2031" s="2178"/>
      <c r="P2031" s="2178"/>
      <c r="Q2031" s="2178"/>
      <c r="R2031" s="2178"/>
      <c r="S2031" s="2178"/>
      <c r="T2031" s="2178"/>
      <c r="U2031" s="2178"/>
      <c r="V2031" s="2178"/>
      <c r="W2031" s="2178"/>
      <c r="X2031" s="2178"/>
      <c r="Y2031" s="2178"/>
      <c r="Z2031" s="2178"/>
      <c r="AA2031" s="2178"/>
      <c r="AB2031" s="2178"/>
      <c r="AC2031" s="2178"/>
      <c r="AD2031" s="2178"/>
      <c r="AE2031" s="2178"/>
      <c r="AF2031" s="2178"/>
    </row>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6" ht="12" customHeight="1"/>
    <row r="2109" ht="12" customHeight="1"/>
    <row r="2123" ht="12" customHeight="1"/>
    <row r="2130" ht="12" customHeight="1"/>
    <row r="2132" ht="12" customHeight="1"/>
    <row r="2135" ht="12" customHeight="1"/>
    <row r="2147" spans="2:32" ht="12" customHeight="1"/>
    <row r="2149" spans="2:32" ht="12" customHeight="1"/>
    <row r="2150" spans="2:32" ht="12" customHeight="1"/>
    <row r="2153" spans="2:32" ht="15" customHeight="1">
      <c r="B2153" s="2178"/>
      <c r="C2153" s="2178"/>
      <c r="D2153" s="2178"/>
      <c r="E2153" s="2178"/>
      <c r="F2153" s="2178"/>
      <c r="G2153" s="2178"/>
      <c r="H2153" s="2178"/>
      <c r="I2153" s="2178"/>
      <c r="J2153" s="2178"/>
      <c r="K2153" s="2178"/>
      <c r="L2153" s="2178"/>
      <c r="M2153" s="2178"/>
      <c r="N2153" s="2178"/>
      <c r="O2153" s="2178"/>
      <c r="P2153" s="2178"/>
      <c r="Q2153" s="2178"/>
      <c r="R2153" s="2178"/>
      <c r="S2153" s="2178"/>
      <c r="T2153" s="2178"/>
      <c r="U2153" s="2178"/>
      <c r="V2153" s="2178"/>
      <c r="W2153" s="2178"/>
      <c r="X2153" s="2178"/>
      <c r="Y2153" s="2178"/>
      <c r="Z2153" s="2178"/>
      <c r="AA2153" s="2178"/>
      <c r="AB2153" s="2178"/>
      <c r="AC2153" s="2178"/>
      <c r="AD2153" s="2178"/>
      <c r="AE2153" s="2178"/>
      <c r="AF2153" s="2178"/>
    </row>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9" ht="12" customHeight="1"/>
    <row r="2263" ht="12" customHeight="1"/>
    <row r="2265" ht="12" customHeight="1"/>
    <row r="2270" ht="12" customHeight="1"/>
    <row r="2272" ht="12" customHeight="1"/>
    <row r="2281" ht="12" customHeight="1"/>
    <row r="2283" ht="12" customHeight="1"/>
    <row r="2287" ht="12" customHeight="1"/>
    <row r="2299" ht="12" customHeight="1"/>
    <row r="2300" ht="12" customHeight="1"/>
    <row r="2304" ht="12" customHeight="1"/>
    <row r="2317" spans="2:32" ht="15" customHeight="1">
      <c r="B2317" s="2178"/>
      <c r="C2317" s="2178"/>
      <c r="D2317" s="2178"/>
      <c r="E2317" s="2178"/>
      <c r="F2317" s="2178"/>
      <c r="G2317" s="2178"/>
      <c r="H2317" s="2178"/>
      <c r="I2317" s="2178"/>
      <c r="J2317" s="2178"/>
      <c r="K2317" s="2178"/>
      <c r="L2317" s="2178"/>
      <c r="M2317" s="2178"/>
      <c r="N2317" s="2178"/>
      <c r="O2317" s="2178"/>
      <c r="P2317" s="2178"/>
      <c r="Q2317" s="2178"/>
      <c r="R2317" s="2178"/>
      <c r="S2317" s="2178"/>
      <c r="T2317" s="2178"/>
      <c r="U2317" s="2178"/>
      <c r="V2317" s="2178"/>
      <c r="W2317" s="2178"/>
      <c r="X2317" s="2178"/>
      <c r="Y2317" s="2178"/>
      <c r="Z2317" s="2178"/>
      <c r="AA2317" s="2178"/>
      <c r="AB2317" s="2178"/>
      <c r="AC2317" s="2178"/>
      <c r="AD2317" s="2178"/>
      <c r="AE2317" s="2178"/>
      <c r="AF2317" s="2178"/>
    </row>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66" ht="12" customHeight="1"/>
    <row r="2379" ht="12" customHeight="1"/>
    <row r="2389" ht="12" customHeight="1"/>
    <row r="2398" ht="12" customHeight="1"/>
    <row r="2399" ht="12" customHeight="1"/>
    <row r="2409" ht="12" customHeight="1"/>
    <row r="2419" spans="2:32" ht="15" customHeight="1">
      <c r="B2419" s="2178"/>
      <c r="C2419" s="2178"/>
      <c r="D2419" s="2178"/>
      <c r="E2419" s="2178"/>
      <c r="F2419" s="2178"/>
      <c r="G2419" s="2178"/>
      <c r="H2419" s="2178"/>
      <c r="I2419" s="2178"/>
      <c r="J2419" s="2178"/>
      <c r="K2419" s="2178"/>
      <c r="L2419" s="2178"/>
      <c r="M2419" s="2178"/>
      <c r="N2419" s="2178"/>
      <c r="O2419" s="2178"/>
      <c r="P2419" s="2178"/>
      <c r="Q2419" s="2178"/>
      <c r="R2419" s="2178"/>
      <c r="S2419" s="2178"/>
      <c r="T2419" s="2178"/>
      <c r="U2419" s="2178"/>
      <c r="V2419" s="2178"/>
      <c r="W2419" s="2178"/>
      <c r="X2419" s="2178"/>
      <c r="Y2419" s="2178"/>
      <c r="Z2419" s="2178"/>
      <c r="AA2419" s="2178"/>
      <c r="AB2419" s="2178"/>
      <c r="AC2419" s="2178"/>
      <c r="AD2419" s="2178"/>
      <c r="AE2419" s="2178"/>
      <c r="AF2419" s="2178"/>
    </row>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6" ht="12" customHeight="1"/>
    <row r="2458" ht="12" customHeight="1"/>
    <row r="2460" ht="12" customHeight="1"/>
    <row r="2466" ht="12" customHeight="1"/>
    <row r="2474" ht="12" customHeight="1"/>
    <row r="2485" ht="12" customHeight="1"/>
    <row r="2487" ht="12" customHeight="1"/>
    <row r="2493" ht="12" customHeight="1"/>
    <row r="2494" ht="12" customHeight="1"/>
    <row r="2497" spans="2:32" ht="12" customHeight="1"/>
    <row r="2503" spans="2:32" ht="12" customHeight="1"/>
    <row r="2509" spans="2:32" ht="15" customHeight="1">
      <c r="B2509" s="2178"/>
      <c r="C2509" s="2178"/>
      <c r="D2509" s="2178"/>
      <c r="E2509" s="2178"/>
      <c r="F2509" s="2178"/>
      <c r="G2509" s="2178"/>
      <c r="H2509" s="2178"/>
      <c r="I2509" s="2178"/>
      <c r="J2509" s="2178"/>
      <c r="K2509" s="2178"/>
      <c r="L2509" s="2178"/>
      <c r="M2509" s="2178"/>
      <c r="N2509" s="2178"/>
      <c r="O2509" s="2178"/>
      <c r="P2509" s="2178"/>
      <c r="Q2509" s="2178"/>
      <c r="R2509" s="2178"/>
      <c r="S2509" s="2178"/>
      <c r="T2509" s="2178"/>
      <c r="U2509" s="2178"/>
      <c r="V2509" s="2178"/>
      <c r="W2509" s="2178"/>
      <c r="X2509" s="2178"/>
      <c r="Y2509" s="2178"/>
      <c r="Z2509" s="2178"/>
      <c r="AA2509" s="2178"/>
      <c r="AB2509" s="2178"/>
      <c r="AC2509" s="2178"/>
      <c r="AD2509" s="2178"/>
      <c r="AE2509" s="2178"/>
      <c r="AF2509" s="2178"/>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60" ht="12" customHeight="1"/>
    <row r="2567" ht="12" customHeight="1"/>
    <row r="2574" ht="12" customHeight="1"/>
    <row r="2580" ht="12" customHeight="1"/>
    <row r="2587" ht="12" customHeight="1"/>
    <row r="2594" spans="2:32" ht="12" customHeight="1"/>
    <row r="2598" spans="2:32" ht="15" customHeight="1">
      <c r="B2598" s="2178"/>
      <c r="C2598" s="2178"/>
      <c r="D2598" s="2178"/>
      <c r="E2598" s="2178"/>
      <c r="F2598" s="2178"/>
      <c r="G2598" s="2178"/>
      <c r="H2598" s="2178"/>
      <c r="I2598" s="2178"/>
      <c r="J2598" s="2178"/>
      <c r="K2598" s="2178"/>
      <c r="L2598" s="2178"/>
      <c r="M2598" s="2178"/>
      <c r="N2598" s="2178"/>
      <c r="O2598" s="2178"/>
      <c r="P2598" s="2178"/>
      <c r="Q2598" s="2178"/>
      <c r="R2598" s="2178"/>
      <c r="S2598" s="2178"/>
      <c r="T2598" s="2178"/>
      <c r="U2598" s="2178"/>
      <c r="V2598" s="2178"/>
      <c r="W2598" s="2178"/>
      <c r="X2598" s="2178"/>
      <c r="Y2598" s="2178"/>
      <c r="Z2598" s="2178"/>
      <c r="AA2598" s="2178"/>
      <c r="AB2598" s="2178"/>
      <c r="AC2598" s="2178"/>
      <c r="AD2598" s="2178"/>
      <c r="AE2598" s="2178"/>
      <c r="AF2598" s="2178"/>
    </row>
    <row r="2616" ht="12" customHeight="1"/>
    <row r="2617" ht="12" customHeight="1"/>
    <row r="2618" ht="12" customHeight="1"/>
    <row r="2619" ht="12" customHeight="1"/>
    <row r="2620" ht="12" customHeight="1"/>
    <row r="2621" ht="12" customHeight="1"/>
    <row r="2622" ht="12" customHeight="1"/>
    <row r="2623" ht="12" customHeight="1"/>
    <row r="2624" ht="12" customHeight="1"/>
    <row r="2647" ht="12" customHeight="1"/>
    <row r="2660" ht="12" customHeight="1"/>
    <row r="2661" ht="12" customHeight="1"/>
    <row r="2688" ht="12" customHeight="1"/>
    <row r="2705" spans="2:32" ht="12" customHeight="1"/>
    <row r="2706" spans="2:32" ht="12" customHeight="1"/>
    <row r="2719" spans="2:32" ht="15" customHeight="1">
      <c r="B2719" s="2178"/>
      <c r="C2719" s="2178"/>
      <c r="D2719" s="2178"/>
      <c r="E2719" s="2178"/>
      <c r="F2719" s="2178"/>
      <c r="G2719" s="2178"/>
      <c r="H2719" s="2178"/>
      <c r="I2719" s="2178"/>
      <c r="J2719" s="2178"/>
      <c r="K2719" s="2178"/>
      <c r="L2719" s="2178"/>
      <c r="M2719" s="2178"/>
      <c r="N2719" s="2178"/>
      <c r="O2719" s="2178"/>
      <c r="P2719" s="2178"/>
      <c r="Q2719" s="2178"/>
      <c r="R2719" s="2178"/>
      <c r="S2719" s="2178"/>
      <c r="T2719" s="2178"/>
      <c r="U2719" s="2178"/>
      <c r="V2719" s="2178"/>
      <c r="W2719" s="2178"/>
      <c r="X2719" s="2178"/>
      <c r="Y2719" s="2178"/>
      <c r="Z2719" s="2178"/>
      <c r="AA2719" s="2178"/>
      <c r="AB2719" s="2178"/>
      <c r="AC2719" s="2178"/>
      <c r="AD2719" s="2178"/>
      <c r="AE2719" s="2178"/>
      <c r="AF2719" s="2178"/>
    </row>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7" ht="12" customHeight="1"/>
    <row r="2792" ht="12" customHeight="1"/>
    <row r="2803" ht="12" customHeight="1"/>
    <row r="2808" ht="12" customHeight="1"/>
    <row r="2817" ht="12" customHeight="1"/>
    <row r="2824" ht="12" customHeight="1"/>
    <row r="2829" ht="12" customHeight="1"/>
    <row r="2830" ht="12" customHeight="1"/>
    <row r="2837" spans="2:32" ht="15" customHeight="1">
      <c r="B2837" s="2178"/>
      <c r="C2837" s="2178"/>
      <c r="D2837" s="2178"/>
      <c r="E2837" s="2178"/>
      <c r="F2837" s="2178"/>
      <c r="G2837" s="2178"/>
      <c r="H2837" s="2178"/>
      <c r="I2837" s="2178"/>
      <c r="J2837" s="2178"/>
      <c r="K2837" s="2178"/>
      <c r="L2837" s="2178"/>
      <c r="M2837" s="2178"/>
      <c r="N2837" s="2178"/>
      <c r="O2837" s="2178"/>
      <c r="P2837" s="2178"/>
      <c r="Q2837" s="2178"/>
      <c r="R2837" s="2178"/>
      <c r="S2837" s="2178"/>
      <c r="T2837" s="2178"/>
      <c r="U2837" s="2178"/>
      <c r="V2837" s="2178"/>
      <c r="W2837" s="2178"/>
      <c r="X2837" s="2178"/>
      <c r="Y2837" s="2178"/>
      <c r="Z2837" s="2178"/>
      <c r="AA2837" s="2178"/>
      <c r="AB2837" s="2178"/>
      <c r="AC2837" s="2178"/>
      <c r="AD2837" s="2178"/>
      <c r="AE2837" s="2178"/>
      <c r="AF2837" s="2178"/>
    </row>
  </sheetData>
  <mergeCells count="21">
    <mergeCell ref="B1229:AF1229"/>
    <mergeCell ref="B1390:AF1390"/>
    <mergeCell ref="B1502:AF1502"/>
    <mergeCell ref="B1604:AF1604"/>
    <mergeCell ref="B1699:AF1699"/>
    <mergeCell ref="B1101:AF1101"/>
    <mergeCell ref="B84:AG84"/>
    <mergeCell ref="B2719:AF2719"/>
    <mergeCell ref="B2837:AF2837"/>
    <mergeCell ref="B2031:AF2031"/>
    <mergeCell ref="B2153:AF2153"/>
    <mergeCell ref="B2317:AF2317"/>
    <mergeCell ref="B2419:AF2419"/>
    <mergeCell ref="B2509:AF2509"/>
    <mergeCell ref="B2598:AF2598"/>
    <mergeCell ref="B1945:AF1945"/>
    <mergeCell ref="B112:AF112"/>
    <mergeCell ref="B308:AF308"/>
    <mergeCell ref="B511:AF511"/>
    <mergeCell ref="B712:AF712"/>
    <mergeCell ref="B887:AF887"/>
  </mergeCells>
  <pageMargins left="0.75" right="0.75" top="1" bottom="1" header="0.5" footer="0.5"/>
  <pageSetup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FD19C-1051-406F-BFEE-555BAC521F13}">
  <sheetPr codeName="Sheet32"/>
  <dimension ref="A1:AH2837"/>
  <sheetViews>
    <sheetView workbookViewId="0">
      <pane xSplit="2" ySplit="1" topLeftCell="C2" activePane="bottomRight" state="frozen"/>
      <selection pane="topRight" activeCell="C1" sqref="C1"/>
      <selection pane="bottomLeft" activeCell="A2" sqref="A2"/>
      <selection pane="bottomRight" activeCell="C2" sqref="C2"/>
    </sheetView>
  </sheetViews>
  <sheetFormatPr baseColWidth="10" defaultColWidth="9.33203125" defaultRowHeight="15" customHeight="1"/>
  <cols>
    <col min="1" max="1" width="20.6640625" style="28" hidden="1" customWidth="1"/>
    <col min="2" max="2" width="45.6640625" style="28" customWidth="1"/>
    <col min="3" max="16384" width="9.33203125" style="28"/>
  </cols>
  <sheetData>
    <row r="1" spans="1:33" ht="15" customHeight="1" thickBot="1">
      <c r="B1" s="50" t="s">
        <v>2046</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2047</v>
      </c>
      <c r="D3" s="48" t="s">
        <v>311</v>
      </c>
      <c r="E3" s="47"/>
      <c r="F3" s="47"/>
      <c r="G3" s="47"/>
    </row>
    <row r="4" spans="1:33" ht="15" customHeight="1">
      <c r="C4" s="48" t="s">
        <v>2048</v>
      </c>
      <c r="D4" s="48" t="s">
        <v>2049</v>
      </c>
      <c r="E4" s="47"/>
      <c r="F4" s="47"/>
      <c r="G4" s="48" t="s">
        <v>207</v>
      </c>
    </row>
    <row r="5" spans="1:33" ht="15" customHeight="1">
      <c r="C5" s="48" t="s">
        <v>2050</v>
      </c>
      <c r="D5" s="48" t="s">
        <v>2051</v>
      </c>
      <c r="E5" s="47"/>
      <c r="F5" s="47"/>
      <c r="G5" s="47"/>
    </row>
    <row r="6" spans="1:33" ht="15" customHeight="1">
      <c r="C6" s="48" t="s">
        <v>2052</v>
      </c>
      <c r="D6" s="47"/>
      <c r="E6" s="48" t="s">
        <v>2053</v>
      </c>
      <c r="F6" s="47"/>
      <c r="G6" s="47"/>
    </row>
    <row r="7" spans="1:33" ht="12" customHeight="1"/>
    <row r="8" spans="1:33" ht="12" customHeight="1"/>
    <row r="9" spans="1:33" ht="12" customHeight="1">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row>
    <row r="10" spans="1:33" ht="15" customHeight="1">
      <c r="A10" s="34" t="s">
        <v>2587</v>
      </c>
      <c r="B10" s="46" t="s">
        <v>2588</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2056</v>
      </c>
      <c r="AG10" s="29"/>
    </row>
    <row r="11" spans="1:33" ht="15" customHeight="1">
      <c r="B11" s="45" t="s">
        <v>2589</v>
      </c>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2058</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2059</v>
      </c>
      <c r="AG12" s="29"/>
    </row>
    <row r="13" spans="1:33" ht="15" customHeight="1" thickBot="1">
      <c r="B13" s="42" t="s">
        <v>2590</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t="s">
        <v>2061</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B15" s="33" t="s">
        <v>2591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row>
    <row r="16" spans="1:33" ht="15" customHeight="1">
      <c r="B16" s="33" t="s">
        <v>2592</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A17" s="34" t="s">
        <v>2593</v>
      </c>
      <c r="B17" s="37" t="s">
        <v>2594</v>
      </c>
      <c r="C17" s="36">
        <v>79.223099000000005</v>
      </c>
      <c r="D17" s="36">
        <v>79.249893</v>
      </c>
      <c r="E17" s="36">
        <v>79.251686000000007</v>
      </c>
      <c r="F17" s="36">
        <v>79.249190999999996</v>
      </c>
      <c r="G17" s="36">
        <v>79.297454999999999</v>
      </c>
      <c r="H17" s="36">
        <v>79.341155999999998</v>
      </c>
      <c r="I17" s="36">
        <v>79.325355999999999</v>
      </c>
      <c r="J17" s="36">
        <v>79.325355999999999</v>
      </c>
      <c r="K17" s="36">
        <v>79.325355999999999</v>
      </c>
      <c r="L17" s="36">
        <v>79.325355999999999</v>
      </c>
      <c r="M17" s="36">
        <v>79.325355999999999</v>
      </c>
      <c r="N17" s="36">
        <v>79.325355999999999</v>
      </c>
      <c r="O17" s="36">
        <v>79.325355999999999</v>
      </c>
      <c r="P17" s="36">
        <v>79.334830999999994</v>
      </c>
      <c r="Q17" s="36">
        <v>79.344963000000007</v>
      </c>
      <c r="R17" s="36">
        <v>79.349357999999995</v>
      </c>
      <c r="S17" s="36">
        <v>79.349357999999995</v>
      </c>
      <c r="T17" s="36">
        <v>79.349357999999995</v>
      </c>
      <c r="U17" s="36">
        <v>79.349357999999995</v>
      </c>
      <c r="V17" s="36">
        <v>79.349357999999995</v>
      </c>
      <c r="W17" s="36">
        <v>79.349357999999995</v>
      </c>
      <c r="X17" s="36">
        <v>79.349357999999995</v>
      </c>
      <c r="Y17" s="36">
        <v>79.349357999999995</v>
      </c>
      <c r="Z17" s="36">
        <v>79.349357999999995</v>
      </c>
      <c r="AA17" s="36">
        <v>79.368256000000002</v>
      </c>
      <c r="AB17" s="36">
        <v>79.374954000000002</v>
      </c>
      <c r="AC17" s="36">
        <v>79.377990999999994</v>
      </c>
      <c r="AD17" s="36">
        <v>79.377990999999994</v>
      </c>
      <c r="AE17" s="36">
        <v>79.377990999999994</v>
      </c>
      <c r="AF17" s="35">
        <v>6.9999999999999994E-5</v>
      </c>
      <c r="AG17" s="29"/>
    </row>
    <row r="18" spans="1:33" ht="15" customHeight="1">
      <c r="A18" s="34" t="s">
        <v>2595</v>
      </c>
      <c r="B18" s="37" t="s">
        <v>2596</v>
      </c>
      <c r="C18" s="36">
        <v>2.5406</v>
      </c>
      <c r="D18" s="36">
        <v>2.5655999999999999</v>
      </c>
      <c r="E18" s="36">
        <v>2.5655999999999999</v>
      </c>
      <c r="F18" s="36">
        <v>2.5655999999999999</v>
      </c>
      <c r="G18" s="36">
        <v>2.6656</v>
      </c>
      <c r="H18" s="36">
        <v>2.7406000000000001</v>
      </c>
      <c r="I18" s="36">
        <v>2.8155999999999999</v>
      </c>
      <c r="J18" s="36">
        <v>2.9514200000000002</v>
      </c>
      <c r="K18" s="36">
        <v>3.0694240000000002</v>
      </c>
      <c r="L18" s="36">
        <v>3.1444239999999999</v>
      </c>
      <c r="M18" s="36">
        <v>3.2308699999999999</v>
      </c>
      <c r="N18" s="36">
        <v>3.269469</v>
      </c>
      <c r="O18" s="36">
        <v>3.3738039999999998</v>
      </c>
      <c r="P18" s="36">
        <v>3.4587150000000002</v>
      </c>
      <c r="Q18" s="36">
        <v>3.5931190000000002</v>
      </c>
      <c r="R18" s="36">
        <v>3.6987809999999999</v>
      </c>
      <c r="S18" s="36">
        <v>3.800297</v>
      </c>
      <c r="T18" s="36">
        <v>3.8563390000000002</v>
      </c>
      <c r="U18" s="36">
        <v>3.9092539999999998</v>
      </c>
      <c r="V18" s="36">
        <v>3.9950649999999999</v>
      </c>
      <c r="W18" s="36">
        <v>4.0833190000000004</v>
      </c>
      <c r="X18" s="36">
        <v>4.1444640000000001</v>
      </c>
      <c r="Y18" s="36">
        <v>4.2194640000000003</v>
      </c>
      <c r="Z18" s="36">
        <v>4.3431230000000003</v>
      </c>
      <c r="AA18" s="36">
        <v>4.5287829999999998</v>
      </c>
      <c r="AB18" s="36">
        <v>4.7173850000000002</v>
      </c>
      <c r="AC18" s="36">
        <v>4.8337770000000004</v>
      </c>
      <c r="AD18" s="36">
        <v>4.9653260000000001</v>
      </c>
      <c r="AE18" s="36">
        <v>5.0615990000000002</v>
      </c>
      <c r="AF18" s="35">
        <v>2.4923000000000001E-2</v>
      </c>
      <c r="AG18" s="29"/>
    </row>
    <row r="19" spans="1:33" ht="15" customHeight="1">
      <c r="A19" s="34" t="s">
        <v>2597</v>
      </c>
      <c r="B19" s="37" t="s">
        <v>2598</v>
      </c>
      <c r="C19" s="36">
        <v>3.2441</v>
      </c>
      <c r="D19" s="36">
        <v>3.3825910000000001</v>
      </c>
      <c r="E19" s="36">
        <v>3.4797400000000001</v>
      </c>
      <c r="F19" s="36">
        <v>3.5606239999999998</v>
      </c>
      <c r="G19" s="36">
        <v>3.6503619999999999</v>
      </c>
      <c r="H19" s="36">
        <v>3.7633830000000001</v>
      </c>
      <c r="I19" s="36">
        <v>3.8394210000000002</v>
      </c>
      <c r="J19" s="36">
        <v>3.957414</v>
      </c>
      <c r="K19" s="36">
        <v>4.0776560000000002</v>
      </c>
      <c r="L19" s="36">
        <v>4.1986109999999996</v>
      </c>
      <c r="M19" s="36">
        <v>4.322273</v>
      </c>
      <c r="N19" s="36">
        <v>4.4546000000000001</v>
      </c>
      <c r="O19" s="36">
        <v>4.5741690000000004</v>
      </c>
      <c r="P19" s="36">
        <v>4.7042299999999999</v>
      </c>
      <c r="Q19" s="36">
        <v>4.8401079999999999</v>
      </c>
      <c r="R19" s="36">
        <v>4.9782130000000002</v>
      </c>
      <c r="S19" s="36">
        <v>5.1212980000000003</v>
      </c>
      <c r="T19" s="36">
        <v>5.2702679999999997</v>
      </c>
      <c r="U19" s="36">
        <v>5.3859959999999996</v>
      </c>
      <c r="V19" s="36">
        <v>5.5042239999999998</v>
      </c>
      <c r="W19" s="36">
        <v>5.6280799999999997</v>
      </c>
      <c r="X19" s="36">
        <v>5.7525810000000002</v>
      </c>
      <c r="Y19" s="36">
        <v>5.8782430000000003</v>
      </c>
      <c r="Z19" s="36">
        <v>6.0065520000000001</v>
      </c>
      <c r="AA19" s="36">
        <v>6.0927720000000001</v>
      </c>
      <c r="AB19" s="36">
        <v>6.1795239999999998</v>
      </c>
      <c r="AC19" s="36">
        <v>6.2674269999999996</v>
      </c>
      <c r="AD19" s="36">
        <v>6.3569560000000003</v>
      </c>
      <c r="AE19" s="36">
        <v>6.4477570000000002</v>
      </c>
      <c r="AF19" s="35">
        <v>2.4834999999999999E-2</v>
      </c>
      <c r="AG19" s="29"/>
    </row>
    <row r="20" spans="1:33" ht="15" customHeight="1">
      <c r="A20" s="34" t="s">
        <v>2599</v>
      </c>
      <c r="B20" s="37" t="s">
        <v>2600</v>
      </c>
      <c r="C20" s="36">
        <v>2.6773009999999999</v>
      </c>
      <c r="D20" s="36">
        <v>2.6793010000000002</v>
      </c>
      <c r="E20" s="36">
        <v>2.6823009999999998</v>
      </c>
      <c r="F20" s="36">
        <v>2.6823009999999998</v>
      </c>
      <c r="G20" s="36">
        <v>2.6823009999999998</v>
      </c>
      <c r="H20" s="36">
        <v>2.6823009999999998</v>
      </c>
      <c r="I20" s="36">
        <v>2.5293009999999998</v>
      </c>
      <c r="J20" s="36">
        <v>2.5293009999999998</v>
      </c>
      <c r="K20" s="36">
        <v>2.5293009999999998</v>
      </c>
      <c r="L20" s="36">
        <v>2.5426389999999999</v>
      </c>
      <c r="M20" s="36">
        <v>2.5426389999999999</v>
      </c>
      <c r="N20" s="36">
        <v>2.5426389999999999</v>
      </c>
      <c r="O20" s="36">
        <v>2.5426389999999999</v>
      </c>
      <c r="P20" s="36">
        <v>2.5426389999999999</v>
      </c>
      <c r="Q20" s="36">
        <v>2.5426389999999999</v>
      </c>
      <c r="R20" s="36">
        <v>2.5426389999999999</v>
      </c>
      <c r="S20" s="36">
        <v>2.5426389999999999</v>
      </c>
      <c r="T20" s="36">
        <v>2.5426389999999999</v>
      </c>
      <c r="U20" s="36">
        <v>2.5426389999999999</v>
      </c>
      <c r="V20" s="36">
        <v>2.5426389999999999</v>
      </c>
      <c r="W20" s="36">
        <v>2.5426389999999999</v>
      </c>
      <c r="X20" s="36">
        <v>2.5426389999999999</v>
      </c>
      <c r="Y20" s="36">
        <v>2.5426389999999999</v>
      </c>
      <c r="Z20" s="36">
        <v>2.5426389999999999</v>
      </c>
      <c r="AA20" s="36">
        <v>2.61192</v>
      </c>
      <c r="AB20" s="36">
        <v>2.61192</v>
      </c>
      <c r="AC20" s="36">
        <v>2.61192</v>
      </c>
      <c r="AD20" s="36">
        <v>2.61192</v>
      </c>
      <c r="AE20" s="36">
        <v>2.61192</v>
      </c>
      <c r="AF20" s="35">
        <v>-8.83E-4</v>
      </c>
      <c r="AG20" s="29"/>
    </row>
    <row r="21" spans="1:33" ht="15" customHeight="1">
      <c r="A21" s="34" t="s">
        <v>2601</v>
      </c>
      <c r="B21" s="37" t="s">
        <v>2602</v>
      </c>
      <c r="C21" s="36">
        <v>1.48</v>
      </c>
      <c r="D21" s="36">
        <v>1.48</v>
      </c>
      <c r="E21" s="36">
        <v>1.48</v>
      </c>
      <c r="F21" s="36">
        <v>1.48</v>
      </c>
      <c r="G21" s="36">
        <v>1.48</v>
      </c>
      <c r="H21" s="36">
        <v>1.48</v>
      </c>
      <c r="I21" s="36">
        <v>1.48</v>
      </c>
      <c r="J21" s="36">
        <v>1.48</v>
      </c>
      <c r="K21" s="36">
        <v>1.48</v>
      </c>
      <c r="L21" s="36">
        <v>1.48</v>
      </c>
      <c r="M21" s="36">
        <v>1.48</v>
      </c>
      <c r="N21" s="36">
        <v>1.48</v>
      </c>
      <c r="O21" s="36">
        <v>1.48</v>
      </c>
      <c r="P21" s="36">
        <v>1.48</v>
      </c>
      <c r="Q21" s="36">
        <v>1.48</v>
      </c>
      <c r="R21" s="36">
        <v>1.48</v>
      </c>
      <c r="S21" s="36">
        <v>1.48</v>
      </c>
      <c r="T21" s="36">
        <v>1.48</v>
      </c>
      <c r="U21" s="36">
        <v>1.48</v>
      </c>
      <c r="V21" s="36">
        <v>1.48</v>
      </c>
      <c r="W21" s="36">
        <v>1.48</v>
      </c>
      <c r="X21" s="36">
        <v>1.48</v>
      </c>
      <c r="Y21" s="36">
        <v>1.48</v>
      </c>
      <c r="Z21" s="36">
        <v>1.48</v>
      </c>
      <c r="AA21" s="36">
        <v>1.48</v>
      </c>
      <c r="AB21" s="36">
        <v>1.48</v>
      </c>
      <c r="AC21" s="36">
        <v>1.48</v>
      </c>
      <c r="AD21" s="36">
        <v>1.48</v>
      </c>
      <c r="AE21" s="36">
        <v>1.48</v>
      </c>
      <c r="AF21" s="35">
        <v>0</v>
      </c>
      <c r="AG21" s="29"/>
    </row>
    <row r="22" spans="1:33" ht="15" customHeight="1">
      <c r="A22" s="34" t="s">
        <v>2603</v>
      </c>
      <c r="B22" s="37" t="s">
        <v>2604</v>
      </c>
      <c r="C22" s="36">
        <v>74.981223999999997</v>
      </c>
      <c r="D22" s="36">
        <v>103.123878</v>
      </c>
      <c r="E22" s="36">
        <v>138.30221599999999</v>
      </c>
      <c r="F22" s="36">
        <v>182.275116</v>
      </c>
      <c r="G22" s="36">
        <v>237.24121099999999</v>
      </c>
      <c r="H22" s="36">
        <v>282.65356400000002</v>
      </c>
      <c r="I22" s="36">
        <v>311.01702899999998</v>
      </c>
      <c r="J22" s="36">
        <v>326.301941</v>
      </c>
      <c r="K22" s="36">
        <v>338.26284800000002</v>
      </c>
      <c r="L22" s="36">
        <v>361.676605</v>
      </c>
      <c r="M22" s="36">
        <v>390.59314000000001</v>
      </c>
      <c r="N22" s="36">
        <v>406.69131499999997</v>
      </c>
      <c r="O22" s="36">
        <v>426.26513699999998</v>
      </c>
      <c r="P22" s="36">
        <v>434.81616200000002</v>
      </c>
      <c r="Q22" s="36">
        <v>455.44979899999998</v>
      </c>
      <c r="R22" s="36">
        <v>470.99609400000003</v>
      </c>
      <c r="S22" s="36">
        <v>490.54070999999999</v>
      </c>
      <c r="T22" s="36">
        <v>499.15396099999998</v>
      </c>
      <c r="U22" s="36">
        <v>515.31396500000005</v>
      </c>
      <c r="V22" s="36">
        <v>524.272156</v>
      </c>
      <c r="W22" s="36">
        <v>538.78186000000005</v>
      </c>
      <c r="X22" s="36">
        <v>555.56103499999995</v>
      </c>
      <c r="Y22" s="36">
        <v>576.53509499999996</v>
      </c>
      <c r="Z22" s="36">
        <v>602.75256300000001</v>
      </c>
      <c r="AA22" s="36">
        <v>626.41156000000001</v>
      </c>
      <c r="AB22" s="36">
        <v>642.50695800000005</v>
      </c>
      <c r="AC22" s="36">
        <v>656.51727300000005</v>
      </c>
      <c r="AD22" s="36">
        <v>676.015625</v>
      </c>
      <c r="AE22" s="36">
        <v>694.69079599999998</v>
      </c>
      <c r="AF22" s="35">
        <v>8.2753999999999994E-2</v>
      </c>
      <c r="AG22" s="29"/>
    </row>
    <row r="23" spans="1:33" ht="15" customHeight="1">
      <c r="A23" s="34" t="s">
        <v>2605</v>
      </c>
      <c r="B23" s="37" t="s">
        <v>2606</v>
      </c>
      <c r="C23" s="36">
        <v>143.965576</v>
      </c>
      <c r="D23" s="36">
        <v>148.12178</v>
      </c>
      <c r="E23" s="36">
        <v>152.03080700000001</v>
      </c>
      <c r="F23" s="36">
        <v>167.87979100000001</v>
      </c>
      <c r="G23" s="36">
        <v>187.582245</v>
      </c>
      <c r="H23" s="36">
        <v>212.30081200000001</v>
      </c>
      <c r="I23" s="36">
        <v>243.17420999999999</v>
      </c>
      <c r="J23" s="36">
        <v>270.364349</v>
      </c>
      <c r="K23" s="36">
        <v>290.14840700000002</v>
      </c>
      <c r="L23" s="36">
        <v>297.91906699999998</v>
      </c>
      <c r="M23" s="36">
        <v>302.55111699999998</v>
      </c>
      <c r="N23" s="36">
        <v>316.96234099999998</v>
      </c>
      <c r="O23" s="36">
        <v>319.26934799999998</v>
      </c>
      <c r="P23" s="36">
        <v>320.42147799999998</v>
      </c>
      <c r="Q23" s="36">
        <v>321.94921900000003</v>
      </c>
      <c r="R23" s="36">
        <v>322.94457999999997</v>
      </c>
      <c r="S23" s="36">
        <v>323.84524499999998</v>
      </c>
      <c r="T23" s="36">
        <v>324.78533900000002</v>
      </c>
      <c r="U23" s="36">
        <v>325.91403200000002</v>
      </c>
      <c r="V23" s="36">
        <v>326.25528000000003</v>
      </c>
      <c r="W23" s="36">
        <v>326.83532700000001</v>
      </c>
      <c r="X23" s="36">
        <v>329.05627399999997</v>
      </c>
      <c r="Y23" s="36">
        <v>331.08746300000001</v>
      </c>
      <c r="Z23" s="36">
        <v>333.72863799999999</v>
      </c>
      <c r="AA23" s="36">
        <v>336.44094799999999</v>
      </c>
      <c r="AB23" s="36">
        <v>340.44421399999999</v>
      </c>
      <c r="AC23" s="36">
        <v>344.55917399999998</v>
      </c>
      <c r="AD23" s="36">
        <v>346.66836499999999</v>
      </c>
      <c r="AE23" s="36">
        <v>349.99676499999998</v>
      </c>
      <c r="AF23" s="35">
        <v>3.2235E-2</v>
      </c>
      <c r="AG23" s="29"/>
    </row>
    <row r="24" spans="1:33" ht="15" customHeight="1">
      <c r="A24" s="34" t="s">
        <v>2607</v>
      </c>
      <c r="B24" s="37" t="s">
        <v>2608</v>
      </c>
      <c r="C24" s="36">
        <v>0.46200000000000002</v>
      </c>
      <c r="D24" s="36">
        <v>0.99199999999999999</v>
      </c>
      <c r="E24" s="36">
        <v>2.8919999999999999</v>
      </c>
      <c r="F24" s="36">
        <v>2.8919999999999999</v>
      </c>
      <c r="G24" s="36">
        <v>2.8919999999999999</v>
      </c>
      <c r="H24" s="36">
        <v>2.8919999999999999</v>
      </c>
      <c r="I24" s="36">
        <v>3.992</v>
      </c>
      <c r="J24" s="36">
        <v>3.992</v>
      </c>
      <c r="K24" s="36">
        <v>9.9920010000000001</v>
      </c>
      <c r="L24" s="36">
        <v>9.9920010000000001</v>
      </c>
      <c r="M24" s="36">
        <v>9.9920010000000001</v>
      </c>
      <c r="N24" s="36">
        <v>9.9920010000000001</v>
      </c>
      <c r="O24" s="36">
        <v>15.192000999999999</v>
      </c>
      <c r="P24" s="36">
        <v>23.391999999999999</v>
      </c>
      <c r="Q24" s="36">
        <v>23.391999999999999</v>
      </c>
      <c r="R24" s="36">
        <v>23.391999999999999</v>
      </c>
      <c r="S24" s="36">
        <v>23.391999999999999</v>
      </c>
      <c r="T24" s="36">
        <v>23.391999999999999</v>
      </c>
      <c r="U24" s="36">
        <v>23.391999999999999</v>
      </c>
      <c r="V24" s="36">
        <v>23.391999999999999</v>
      </c>
      <c r="W24" s="36">
        <v>23.391999999999999</v>
      </c>
      <c r="X24" s="36">
        <v>23.391999999999999</v>
      </c>
      <c r="Y24" s="36">
        <v>23.391999999999999</v>
      </c>
      <c r="Z24" s="36">
        <v>23.391999999999999</v>
      </c>
      <c r="AA24" s="36">
        <v>23.391999999999999</v>
      </c>
      <c r="AB24" s="36">
        <v>23.391999999999999</v>
      </c>
      <c r="AC24" s="36">
        <v>23.391999999999999</v>
      </c>
      <c r="AD24" s="36">
        <v>23.391999999999999</v>
      </c>
      <c r="AE24" s="36">
        <v>23.391999999999999</v>
      </c>
      <c r="AF24" s="35">
        <v>0.15046200000000001</v>
      </c>
      <c r="AG24" s="29"/>
    </row>
    <row r="25" spans="1:33" ht="15" customHeight="1">
      <c r="A25" s="34" t="s">
        <v>2609</v>
      </c>
      <c r="B25" s="33" t="s">
        <v>2610</v>
      </c>
      <c r="C25" s="32">
        <v>308.573914</v>
      </c>
      <c r="D25" s="32">
        <v>341.595032</v>
      </c>
      <c r="E25" s="32">
        <v>382.68435699999998</v>
      </c>
      <c r="F25" s="32">
        <v>442.58462500000002</v>
      </c>
      <c r="G25" s="32">
        <v>517.49121100000002</v>
      </c>
      <c r="H25" s="32">
        <v>587.85382100000004</v>
      </c>
      <c r="I25" s="32">
        <v>648.17291299999999</v>
      </c>
      <c r="J25" s="32">
        <v>690.901794</v>
      </c>
      <c r="K25" s="32">
        <v>728.88500999999997</v>
      </c>
      <c r="L25" s="32">
        <v>760.27874799999995</v>
      </c>
      <c r="M25" s="32">
        <v>794.03741500000001</v>
      </c>
      <c r="N25" s="32">
        <v>824.71771200000001</v>
      </c>
      <c r="O25" s="32">
        <v>852.02246100000002</v>
      </c>
      <c r="P25" s="32">
        <v>870.15008499999999</v>
      </c>
      <c r="Q25" s="32">
        <v>892.591858</v>
      </c>
      <c r="R25" s="32">
        <v>909.38171399999999</v>
      </c>
      <c r="S25" s="32">
        <v>930.071594</v>
      </c>
      <c r="T25" s="32">
        <v>939.82995600000004</v>
      </c>
      <c r="U25" s="32">
        <v>957.28729199999998</v>
      </c>
      <c r="V25" s="32">
        <v>966.79070999999999</v>
      </c>
      <c r="W25" s="32">
        <v>982.09258999999997</v>
      </c>
      <c r="X25" s="32">
        <v>1001.278381</v>
      </c>
      <c r="Y25" s="32">
        <v>1024.4842530000001</v>
      </c>
      <c r="Z25" s="32">
        <v>1053.5948490000001</v>
      </c>
      <c r="AA25" s="32">
        <v>1080.326172</v>
      </c>
      <c r="AB25" s="32">
        <v>1100.706909</v>
      </c>
      <c r="AC25" s="32">
        <v>1119.0395510000001</v>
      </c>
      <c r="AD25" s="32">
        <v>1140.868164</v>
      </c>
      <c r="AE25" s="32">
        <v>1163.058716</v>
      </c>
      <c r="AF25" s="31">
        <v>4.8528000000000002E-2</v>
      </c>
      <c r="AG25" s="29"/>
    </row>
    <row r="26" spans="1:33" ht="15" customHeight="1">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row>
    <row r="27" spans="1:33" ht="15" customHeight="1">
      <c r="B27" s="33" t="s">
        <v>2611</v>
      </c>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row>
    <row r="28" spans="1:33" ht="15" customHeight="1">
      <c r="A28" s="34" t="s">
        <v>2612</v>
      </c>
      <c r="B28" s="37" t="s">
        <v>2594</v>
      </c>
      <c r="C28" s="36">
        <v>275.04519699999997</v>
      </c>
      <c r="D28" s="36">
        <v>281.140717</v>
      </c>
      <c r="E28" s="36">
        <v>290.40853900000002</v>
      </c>
      <c r="F28" s="36">
        <v>298.40972900000003</v>
      </c>
      <c r="G28" s="36">
        <v>299.055969</v>
      </c>
      <c r="H28" s="36">
        <v>299.03814699999998</v>
      </c>
      <c r="I28" s="36">
        <v>296.80917399999998</v>
      </c>
      <c r="J28" s="36">
        <v>296.47808800000001</v>
      </c>
      <c r="K28" s="36">
        <v>294.95916699999998</v>
      </c>
      <c r="L28" s="36">
        <v>293.50882000000001</v>
      </c>
      <c r="M28" s="36">
        <v>291.11654700000003</v>
      </c>
      <c r="N28" s="36">
        <v>290.87875400000001</v>
      </c>
      <c r="O28" s="36">
        <v>290.53537</v>
      </c>
      <c r="P28" s="36">
        <v>290.48373400000003</v>
      </c>
      <c r="Q28" s="36">
        <v>290.69158900000002</v>
      </c>
      <c r="R28" s="36">
        <v>289.62484699999999</v>
      </c>
      <c r="S28" s="36">
        <v>289.07666</v>
      </c>
      <c r="T28" s="36">
        <v>288.04968300000002</v>
      </c>
      <c r="U28" s="36">
        <v>288.01379400000002</v>
      </c>
      <c r="V28" s="36">
        <v>287.35681199999999</v>
      </c>
      <c r="W28" s="36">
        <v>287.53436299999998</v>
      </c>
      <c r="X28" s="36">
        <v>287.05053700000002</v>
      </c>
      <c r="Y28" s="36">
        <v>286.97949199999999</v>
      </c>
      <c r="Z28" s="36">
        <v>286.809845</v>
      </c>
      <c r="AA28" s="36">
        <v>285.994843</v>
      </c>
      <c r="AB28" s="36">
        <v>285.74588</v>
      </c>
      <c r="AC28" s="36">
        <v>285.57867399999998</v>
      </c>
      <c r="AD28" s="36">
        <v>284.976044</v>
      </c>
      <c r="AE28" s="36">
        <v>283.59579500000001</v>
      </c>
      <c r="AF28" s="35">
        <v>1.0939999999999999E-3</v>
      </c>
      <c r="AG28" s="29"/>
    </row>
    <row r="29" spans="1:33" ht="15" customHeight="1">
      <c r="A29" s="34" t="s">
        <v>2613</v>
      </c>
      <c r="B29" s="37" t="s">
        <v>2596</v>
      </c>
      <c r="C29" s="36">
        <v>15.603486999999999</v>
      </c>
      <c r="D29" s="36">
        <v>15.400090000000001</v>
      </c>
      <c r="E29" s="36">
        <v>16.169508</v>
      </c>
      <c r="F29" s="36">
        <v>16.901814999999999</v>
      </c>
      <c r="G29" s="36">
        <v>17.687539999999998</v>
      </c>
      <c r="H29" s="36">
        <v>18.305524999999999</v>
      </c>
      <c r="I29" s="36">
        <v>18.91564</v>
      </c>
      <c r="J29" s="36">
        <v>19.998245000000001</v>
      </c>
      <c r="K29" s="36">
        <v>20.952908999999998</v>
      </c>
      <c r="L29" s="36">
        <v>21.559795000000001</v>
      </c>
      <c r="M29" s="36">
        <v>22.265426999999999</v>
      </c>
      <c r="N29" s="36">
        <v>22.577791000000001</v>
      </c>
      <c r="O29" s="36">
        <v>23.424448000000002</v>
      </c>
      <c r="P29" s="36">
        <v>24.103812999999999</v>
      </c>
      <c r="Q29" s="36">
        <v>25.194344000000001</v>
      </c>
      <c r="R29" s="36">
        <v>26.051259999999999</v>
      </c>
      <c r="S29" s="36">
        <v>26.877614999999999</v>
      </c>
      <c r="T29" s="36">
        <v>27.345572000000001</v>
      </c>
      <c r="U29" s="36">
        <v>27.789010999999999</v>
      </c>
      <c r="V29" s="36">
        <v>28.520941000000001</v>
      </c>
      <c r="W29" s="36">
        <v>29.272818000000001</v>
      </c>
      <c r="X29" s="36">
        <v>29.809297999999998</v>
      </c>
      <c r="Y29" s="36">
        <v>30.455145000000002</v>
      </c>
      <c r="Z29" s="36">
        <v>31.489103</v>
      </c>
      <c r="AA29" s="36">
        <v>32.962668999999998</v>
      </c>
      <c r="AB29" s="36">
        <v>34.46463</v>
      </c>
      <c r="AC29" s="36">
        <v>35.393120000000003</v>
      </c>
      <c r="AD29" s="36">
        <v>36.441025000000003</v>
      </c>
      <c r="AE29" s="36">
        <v>37.210799999999999</v>
      </c>
      <c r="AF29" s="35">
        <v>3.1525999999999998E-2</v>
      </c>
      <c r="AG29" s="29"/>
    </row>
    <row r="30" spans="1:33" ht="15" customHeight="1">
      <c r="A30" s="34" t="s">
        <v>2614</v>
      </c>
      <c r="B30" s="37" t="s">
        <v>2615</v>
      </c>
      <c r="C30" s="36">
        <v>13.805935</v>
      </c>
      <c r="D30" s="36">
        <v>14.899571</v>
      </c>
      <c r="E30" s="36">
        <v>15.605893</v>
      </c>
      <c r="F30" s="36">
        <v>16.225828</v>
      </c>
      <c r="G30" s="36">
        <v>16.851016999999999</v>
      </c>
      <c r="H30" s="36">
        <v>17.743953999999999</v>
      </c>
      <c r="I30" s="36">
        <v>18.423694999999999</v>
      </c>
      <c r="J30" s="36">
        <v>19.286975999999999</v>
      </c>
      <c r="K30" s="36">
        <v>20.221308000000001</v>
      </c>
      <c r="L30" s="36">
        <v>21.155408999999999</v>
      </c>
      <c r="M30" s="36">
        <v>22.039415000000002</v>
      </c>
      <c r="N30" s="36">
        <v>23.291702000000001</v>
      </c>
      <c r="O30" s="36">
        <v>24.096160999999999</v>
      </c>
      <c r="P30" s="36">
        <v>25.076035000000001</v>
      </c>
      <c r="Q30" s="36">
        <v>26.147053</v>
      </c>
      <c r="R30" s="36">
        <v>27.246407999999999</v>
      </c>
      <c r="S30" s="36">
        <v>28.549257000000001</v>
      </c>
      <c r="T30" s="36">
        <v>29.757148999999998</v>
      </c>
      <c r="U30" s="36">
        <v>30.679473999999999</v>
      </c>
      <c r="V30" s="36">
        <v>31.638666000000001</v>
      </c>
      <c r="W30" s="36">
        <v>32.641356999999999</v>
      </c>
      <c r="X30" s="36">
        <v>33.634708000000003</v>
      </c>
      <c r="Y30" s="36">
        <v>34.660572000000002</v>
      </c>
      <c r="Z30" s="36">
        <v>35.699699000000003</v>
      </c>
      <c r="AA30" s="36">
        <v>36.352913000000001</v>
      </c>
      <c r="AB30" s="36">
        <v>37.132987999999997</v>
      </c>
      <c r="AC30" s="36">
        <v>37.825786999999998</v>
      </c>
      <c r="AD30" s="36">
        <v>38.521191000000002</v>
      </c>
      <c r="AE30" s="36">
        <v>39.313254999999998</v>
      </c>
      <c r="AF30" s="35">
        <v>3.8080999999999997E-2</v>
      </c>
      <c r="AG30" s="29"/>
    </row>
    <row r="31" spans="1:33" ht="12" customHeight="1">
      <c r="A31" s="34" t="s">
        <v>2616</v>
      </c>
      <c r="B31" s="37" t="s">
        <v>2617</v>
      </c>
      <c r="C31" s="36">
        <v>11.055839000000001</v>
      </c>
      <c r="D31" s="36">
        <v>11.807308000000001</v>
      </c>
      <c r="E31" s="36">
        <v>11.074519</v>
      </c>
      <c r="F31" s="36">
        <v>11.159704</v>
      </c>
      <c r="G31" s="36">
        <v>10.911186000000001</v>
      </c>
      <c r="H31" s="36">
        <v>10.728312000000001</v>
      </c>
      <c r="I31" s="36">
        <v>10.135265</v>
      </c>
      <c r="J31" s="36">
        <v>9.8754550000000005</v>
      </c>
      <c r="K31" s="36">
        <v>9.8675139999999999</v>
      </c>
      <c r="L31" s="36">
        <v>9.9568359999999991</v>
      </c>
      <c r="M31" s="36">
        <v>9.9670489999999994</v>
      </c>
      <c r="N31" s="36">
        <v>10.047153</v>
      </c>
      <c r="O31" s="36">
        <v>10.055028999999999</v>
      </c>
      <c r="P31" s="36">
        <v>10.057014000000001</v>
      </c>
      <c r="Q31" s="36">
        <v>10.041478</v>
      </c>
      <c r="R31" s="36">
        <v>10.086542</v>
      </c>
      <c r="S31" s="36">
        <v>10.146076000000001</v>
      </c>
      <c r="T31" s="36">
        <v>10.147142000000001</v>
      </c>
      <c r="U31" s="36">
        <v>10.160966999999999</v>
      </c>
      <c r="V31" s="36">
        <v>10.162330000000001</v>
      </c>
      <c r="W31" s="36">
        <v>10.094955000000001</v>
      </c>
      <c r="X31" s="36">
        <v>10.095402999999999</v>
      </c>
      <c r="Y31" s="36">
        <v>10.080337999999999</v>
      </c>
      <c r="Z31" s="36">
        <v>10.087381000000001</v>
      </c>
      <c r="AA31" s="36">
        <v>10.516387999999999</v>
      </c>
      <c r="AB31" s="36">
        <v>10.538202999999999</v>
      </c>
      <c r="AC31" s="36">
        <v>10.566063</v>
      </c>
      <c r="AD31" s="36">
        <v>10.966352000000001</v>
      </c>
      <c r="AE31" s="36">
        <v>11.015466999999999</v>
      </c>
      <c r="AF31" s="35">
        <v>-1.3100000000000001E-4</v>
      </c>
      <c r="AG31" s="29"/>
    </row>
    <row r="32" spans="1:33" ht="12" customHeight="1">
      <c r="A32" s="34" t="s">
        <v>2618</v>
      </c>
      <c r="B32" s="37" t="s">
        <v>2619</v>
      </c>
      <c r="C32" s="36">
        <v>10.883259000000001</v>
      </c>
      <c r="D32" s="36">
        <v>11.64574</v>
      </c>
      <c r="E32" s="36">
        <v>10.969484</v>
      </c>
      <c r="F32" s="36">
        <v>11.04487</v>
      </c>
      <c r="G32" s="36">
        <v>10.800497</v>
      </c>
      <c r="H32" s="36">
        <v>10.617609</v>
      </c>
      <c r="I32" s="36">
        <v>10.035523</v>
      </c>
      <c r="J32" s="36">
        <v>9.7732399999999995</v>
      </c>
      <c r="K32" s="36">
        <v>9.7739860000000007</v>
      </c>
      <c r="L32" s="36">
        <v>9.8739109999999997</v>
      </c>
      <c r="M32" s="36">
        <v>9.8968319999999999</v>
      </c>
      <c r="N32" s="36">
        <v>9.9310019999999994</v>
      </c>
      <c r="O32" s="36">
        <v>9.9391409999999993</v>
      </c>
      <c r="P32" s="36">
        <v>9.9309619999999992</v>
      </c>
      <c r="Q32" s="36">
        <v>9.9160240000000002</v>
      </c>
      <c r="R32" s="36">
        <v>9.9610330000000005</v>
      </c>
      <c r="S32" s="36">
        <v>10.020925999999999</v>
      </c>
      <c r="T32" s="36">
        <v>10.021946</v>
      </c>
      <c r="U32" s="36">
        <v>10.038529</v>
      </c>
      <c r="V32" s="36">
        <v>10.037229999999999</v>
      </c>
      <c r="W32" s="36">
        <v>9.9725370000000009</v>
      </c>
      <c r="X32" s="36">
        <v>9.9703470000000003</v>
      </c>
      <c r="Y32" s="36">
        <v>9.9579419999999992</v>
      </c>
      <c r="Z32" s="36">
        <v>9.9649929999999998</v>
      </c>
      <c r="AA32" s="36">
        <v>10.394015</v>
      </c>
      <c r="AB32" s="36">
        <v>10.415835</v>
      </c>
      <c r="AC32" s="36">
        <v>10.443709999999999</v>
      </c>
      <c r="AD32" s="36">
        <v>10.843987</v>
      </c>
      <c r="AE32" s="36">
        <v>10.8931</v>
      </c>
      <c r="AF32" s="35">
        <v>3.1999999999999999E-5</v>
      </c>
      <c r="AG32" s="29"/>
    </row>
    <row r="33" spans="1:33" ht="12" customHeight="1">
      <c r="A33" s="34" t="s">
        <v>2620</v>
      </c>
      <c r="B33" s="37" t="s">
        <v>2621</v>
      </c>
      <c r="C33" s="36">
        <v>0.17258100000000001</v>
      </c>
      <c r="D33" s="36">
        <v>0.16156899999999999</v>
      </c>
      <c r="E33" s="36">
        <v>0.105035</v>
      </c>
      <c r="F33" s="36">
        <v>0.11483400000000001</v>
      </c>
      <c r="G33" s="36">
        <v>0.110689</v>
      </c>
      <c r="H33" s="36">
        <v>0.11070199999999999</v>
      </c>
      <c r="I33" s="36">
        <v>9.9741999999999997E-2</v>
      </c>
      <c r="J33" s="36">
        <v>0.102215</v>
      </c>
      <c r="K33" s="36">
        <v>9.3528E-2</v>
      </c>
      <c r="L33" s="36">
        <v>8.2923999999999998E-2</v>
      </c>
      <c r="M33" s="36">
        <v>7.0217000000000002E-2</v>
      </c>
      <c r="N33" s="36">
        <v>0.116151</v>
      </c>
      <c r="O33" s="36">
        <v>0.115888</v>
      </c>
      <c r="P33" s="36">
        <v>0.126053</v>
      </c>
      <c r="Q33" s="36">
        <v>0.12545400000000001</v>
      </c>
      <c r="R33" s="36">
        <v>0.12551000000000001</v>
      </c>
      <c r="S33" s="36">
        <v>0.12515000000000001</v>
      </c>
      <c r="T33" s="36">
        <v>0.125197</v>
      </c>
      <c r="U33" s="36">
        <v>0.122437</v>
      </c>
      <c r="V33" s="36">
        <v>0.12510099999999999</v>
      </c>
      <c r="W33" s="36">
        <v>0.122419</v>
      </c>
      <c r="X33" s="36">
        <v>0.125055</v>
      </c>
      <c r="Y33" s="36">
        <v>0.122396</v>
      </c>
      <c r="Z33" s="36">
        <v>0.122388</v>
      </c>
      <c r="AA33" s="36">
        <v>0.122373</v>
      </c>
      <c r="AB33" s="36">
        <v>0.122368</v>
      </c>
      <c r="AC33" s="36">
        <v>0.122352</v>
      </c>
      <c r="AD33" s="36">
        <v>0.122365</v>
      </c>
      <c r="AE33" s="36">
        <v>0.122367</v>
      </c>
      <c r="AF33" s="35">
        <v>-1.2205000000000001E-2</v>
      </c>
      <c r="AG33" s="29"/>
    </row>
    <row r="34" spans="1:33" ht="12" customHeight="1">
      <c r="A34" s="34" t="s">
        <v>2622</v>
      </c>
      <c r="B34" s="37" t="s">
        <v>2602</v>
      </c>
      <c r="C34" s="36">
        <v>2.9384960000000002</v>
      </c>
      <c r="D34" s="36">
        <v>3.0032049999999999</v>
      </c>
      <c r="E34" s="36">
        <v>2.9830839999999998</v>
      </c>
      <c r="F34" s="36">
        <v>2.9653209999999999</v>
      </c>
      <c r="G34" s="36">
        <v>2.9531580000000002</v>
      </c>
      <c r="H34" s="36">
        <v>2.9438149999999998</v>
      </c>
      <c r="I34" s="36">
        <v>2.9333079999999998</v>
      </c>
      <c r="J34" s="36">
        <v>2.9082370000000002</v>
      </c>
      <c r="K34" s="36">
        <v>2.898809</v>
      </c>
      <c r="L34" s="36">
        <v>2.8858389999999998</v>
      </c>
      <c r="M34" s="36">
        <v>2.660641</v>
      </c>
      <c r="N34" s="36">
        <v>2.6094900000000001</v>
      </c>
      <c r="O34" s="36">
        <v>2.4939239999999998</v>
      </c>
      <c r="P34" s="36">
        <v>2.4797009999999999</v>
      </c>
      <c r="Q34" s="36">
        <v>2.3734510000000002</v>
      </c>
      <c r="R34" s="36">
        <v>2.3879830000000002</v>
      </c>
      <c r="S34" s="36">
        <v>2.4326300000000001</v>
      </c>
      <c r="T34" s="36">
        <v>2.471641</v>
      </c>
      <c r="U34" s="36">
        <v>2.4241160000000002</v>
      </c>
      <c r="V34" s="36">
        <v>2.4039679999999999</v>
      </c>
      <c r="W34" s="36">
        <v>2.3193079999999999</v>
      </c>
      <c r="X34" s="36">
        <v>2.2081689999999998</v>
      </c>
      <c r="Y34" s="36">
        <v>2.1716530000000001</v>
      </c>
      <c r="Z34" s="36">
        <v>2.1219610000000002</v>
      </c>
      <c r="AA34" s="36">
        <v>2.0921129999999999</v>
      </c>
      <c r="AB34" s="36">
        <v>2.0622790000000002</v>
      </c>
      <c r="AC34" s="36">
        <v>2.0441159999999998</v>
      </c>
      <c r="AD34" s="36">
        <v>2.0311319999999999</v>
      </c>
      <c r="AE34" s="36">
        <v>2.0557210000000001</v>
      </c>
      <c r="AF34" s="35">
        <v>-1.2678999999999999E-2</v>
      </c>
      <c r="AG34" s="29"/>
    </row>
    <row r="35" spans="1:33" ht="12" customHeight="1">
      <c r="A35" s="34" t="s">
        <v>2623</v>
      </c>
      <c r="B35" s="37" t="s">
        <v>2604</v>
      </c>
      <c r="C35" s="36">
        <v>131.15595999999999</v>
      </c>
      <c r="D35" s="36">
        <v>172.76329000000001</v>
      </c>
      <c r="E35" s="36">
        <v>247.199219</v>
      </c>
      <c r="F35" s="36">
        <v>365.26718099999999</v>
      </c>
      <c r="G35" s="36">
        <v>500.001373</v>
      </c>
      <c r="H35" s="36">
        <v>623.34515399999998</v>
      </c>
      <c r="I35" s="36">
        <v>698.73767099999998</v>
      </c>
      <c r="J35" s="36">
        <v>742.27185099999997</v>
      </c>
      <c r="K35" s="36">
        <v>770.42407200000002</v>
      </c>
      <c r="L35" s="36">
        <v>814.31170699999996</v>
      </c>
      <c r="M35" s="36">
        <v>871.17681900000002</v>
      </c>
      <c r="N35" s="36">
        <v>910.75109899999995</v>
      </c>
      <c r="O35" s="36">
        <v>946.84906000000001</v>
      </c>
      <c r="P35" s="36">
        <v>968.15673800000002</v>
      </c>
      <c r="Q35" s="36">
        <v>1006.727173</v>
      </c>
      <c r="R35" s="36">
        <v>1046.265259</v>
      </c>
      <c r="S35" s="36">
        <v>1085.654297</v>
      </c>
      <c r="T35" s="36">
        <v>1111.996948</v>
      </c>
      <c r="U35" s="36">
        <v>1148.387817</v>
      </c>
      <c r="V35" s="36">
        <v>1168.288452</v>
      </c>
      <c r="W35" s="36">
        <v>1190.792236</v>
      </c>
      <c r="X35" s="36">
        <v>1218.3267820000001</v>
      </c>
      <c r="Y35" s="36">
        <v>1257.584961</v>
      </c>
      <c r="Z35" s="36">
        <v>1292.8793949999999</v>
      </c>
      <c r="AA35" s="36">
        <v>1344.51001</v>
      </c>
      <c r="AB35" s="36">
        <v>1378.814087</v>
      </c>
      <c r="AC35" s="36">
        <v>1410.084351</v>
      </c>
      <c r="AD35" s="36">
        <v>1448.612061</v>
      </c>
      <c r="AE35" s="36">
        <v>1490.419312</v>
      </c>
      <c r="AF35" s="35">
        <v>9.0679999999999997E-2</v>
      </c>
      <c r="AG35" s="29"/>
    </row>
    <row r="36" spans="1:33" ht="12" customHeight="1">
      <c r="A36" s="34" t="s">
        <v>2624</v>
      </c>
      <c r="B36" s="37" t="s">
        <v>2606</v>
      </c>
      <c r="C36" s="36">
        <v>437.39523300000002</v>
      </c>
      <c r="D36" s="36">
        <v>462.91168199999998</v>
      </c>
      <c r="E36" s="36">
        <v>466.08752399999997</v>
      </c>
      <c r="F36" s="36">
        <v>505.66629</v>
      </c>
      <c r="G36" s="36">
        <v>574.71758999999997</v>
      </c>
      <c r="H36" s="36">
        <v>662.78790300000003</v>
      </c>
      <c r="I36" s="36">
        <v>770.52130099999999</v>
      </c>
      <c r="J36" s="36">
        <v>864.82849099999999</v>
      </c>
      <c r="K36" s="36">
        <v>934.94457999999997</v>
      </c>
      <c r="L36" s="36">
        <v>969.95556599999998</v>
      </c>
      <c r="M36" s="36">
        <v>987.00103799999999</v>
      </c>
      <c r="N36" s="36">
        <v>1031.2264399999999</v>
      </c>
      <c r="O36" s="36">
        <v>1044.4293210000001</v>
      </c>
      <c r="P36" s="36">
        <v>1047.6561280000001</v>
      </c>
      <c r="Q36" s="36">
        <v>1050.8833010000001</v>
      </c>
      <c r="R36" s="36">
        <v>1052.100952</v>
      </c>
      <c r="S36" s="36">
        <v>1054.869385</v>
      </c>
      <c r="T36" s="36">
        <v>1062.0302730000001</v>
      </c>
      <c r="U36" s="36">
        <v>1063.203857</v>
      </c>
      <c r="V36" s="36">
        <v>1068.9022219999999</v>
      </c>
      <c r="W36" s="36">
        <v>1070.6289059999999</v>
      </c>
      <c r="X36" s="36">
        <v>1077.0375979999999</v>
      </c>
      <c r="Y36" s="36">
        <v>1086.549927</v>
      </c>
      <c r="Z36" s="36">
        <v>1094.3874510000001</v>
      </c>
      <c r="AA36" s="36">
        <v>1095.852905</v>
      </c>
      <c r="AB36" s="36">
        <v>1108.296143</v>
      </c>
      <c r="AC36" s="36">
        <v>1119.3710940000001</v>
      </c>
      <c r="AD36" s="36">
        <v>1123.5167240000001</v>
      </c>
      <c r="AE36" s="36">
        <v>1131.7962649999999</v>
      </c>
      <c r="AF36" s="35">
        <v>3.4536999999999998E-2</v>
      </c>
      <c r="AG36" s="29"/>
    </row>
    <row r="37" spans="1:33" ht="12" customHeight="1">
      <c r="A37" s="34" t="s">
        <v>2625</v>
      </c>
      <c r="B37" s="37" t="s">
        <v>2608</v>
      </c>
      <c r="C37" s="36">
        <v>1.4493499999999999</v>
      </c>
      <c r="D37" s="36">
        <v>3.1028720000000001</v>
      </c>
      <c r="E37" s="36">
        <v>5.5697780000000003</v>
      </c>
      <c r="F37" s="36">
        <v>6.0720989999999997</v>
      </c>
      <c r="G37" s="36">
        <v>6.8837390000000003</v>
      </c>
      <c r="H37" s="36">
        <v>6.8813440000000003</v>
      </c>
      <c r="I37" s="36">
        <v>10.334204</v>
      </c>
      <c r="J37" s="36">
        <v>11.201487999999999</v>
      </c>
      <c r="K37" s="36">
        <v>31.581454999999998</v>
      </c>
      <c r="L37" s="36">
        <v>36.692284000000001</v>
      </c>
      <c r="M37" s="36">
        <v>36.702038000000002</v>
      </c>
      <c r="N37" s="36">
        <v>36.703696999999998</v>
      </c>
      <c r="O37" s="36">
        <v>51.476036000000001</v>
      </c>
      <c r="P37" s="36">
        <v>78.224281000000005</v>
      </c>
      <c r="Q37" s="36">
        <v>87.579262</v>
      </c>
      <c r="R37" s="36">
        <v>88.660415999999998</v>
      </c>
      <c r="S37" s="36">
        <v>85.905799999999999</v>
      </c>
      <c r="T37" s="36">
        <v>86.996132000000003</v>
      </c>
      <c r="U37" s="36">
        <v>85.836945</v>
      </c>
      <c r="V37" s="36">
        <v>86.363045</v>
      </c>
      <c r="W37" s="36">
        <v>86.120711999999997</v>
      </c>
      <c r="X37" s="36">
        <v>85.928214999999994</v>
      </c>
      <c r="Y37" s="36">
        <v>86.357169999999996</v>
      </c>
      <c r="Z37" s="36">
        <v>86.520011999999994</v>
      </c>
      <c r="AA37" s="36">
        <v>86.317772000000005</v>
      </c>
      <c r="AB37" s="36">
        <v>85.648353999999998</v>
      </c>
      <c r="AC37" s="36">
        <v>85.811462000000006</v>
      </c>
      <c r="AD37" s="36">
        <v>84.903808999999995</v>
      </c>
      <c r="AE37" s="36">
        <v>84.986739999999998</v>
      </c>
      <c r="AF37" s="35">
        <v>0.15651000000000001</v>
      </c>
      <c r="AG37" s="29"/>
    </row>
    <row r="38" spans="1:33" ht="12" customHeight="1">
      <c r="A38" s="34" t="s">
        <v>2626</v>
      </c>
      <c r="B38" s="33" t="s">
        <v>2627</v>
      </c>
      <c r="C38" s="32">
        <v>888.44946300000004</v>
      </c>
      <c r="D38" s="32">
        <v>965.02868699999999</v>
      </c>
      <c r="E38" s="32">
        <v>1055.0980219999999</v>
      </c>
      <c r="F38" s="32">
        <v>1222.6679690000001</v>
      </c>
      <c r="G38" s="32">
        <v>1429.0616460000001</v>
      </c>
      <c r="H38" s="32">
        <v>1641.7741699999999</v>
      </c>
      <c r="I38" s="32">
        <v>1826.810303</v>
      </c>
      <c r="J38" s="32">
        <v>1966.8488769999999</v>
      </c>
      <c r="K38" s="32">
        <v>2085.8498540000001</v>
      </c>
      <c r="L38" s="32">
        <v>2170.0261230000001</v>
      </c>
      <c r="M38" s="32">
        <v>2242.9289549999999</v>
      </c>
      <c r="N38" s="32">
        <v>2328.086182</v>
      </c>
      <c r="O38" s="32">
        <v>2393.359375</v>
      </c>
      <c r="P38" s="32">
        <v>2446.2373050000001</v>
      </c>
      <c r="Q38" s="32">
        <v>2499.6376949999999</v>
      </c>
      <c r="R38" s="32">
        <v>2542.4235840000001</v>
      </c>
      <c r="S38" s="32">
        <v>2583.5117190000001</v>
      </c>
      <c r="T38" s="32">
        <v>2618.7946780000002</v>
      </c>
      <c r="U38" s="32">
        <v>2656.4958499999998</v>
      </c>
      <c r="V38" s="32">
        <v>2683.6364749999998</v>
      </c>
      <c r="W38" s="32">
        <v>2709.4045409999999</v>
      </c>
      <c r="X38" s="32">
        <v>2744.0905760000001</v>
      </c>
      <c r="Y38" s="32">
        <v>2794.8393550000001</v>
      </c>
      <c r="Z38" s="32">
        <v>2839.9946289999998</v>
      </c>
      <c r="AA38" s="32">
        <v>2894.5998540000001</v>
      </c>
      <c r="AB38" s="32">
        <v>2942.7026369999999</v>
      </c>
      <c r="AC38" s="32">
        <v>2986.6748050000001</v>
      </c>
      <c r="AD38" s="32">
        <v>3029.9682619999999</v>
      </c>
      <c r="AE38" s="32">
        <v>3080.3933109999998</v>
      </c>
      <c r="AF38" s="31">
        <v>4.5406000000000002E-2</v>
      </c>
      <c r="AG38" s="29"/>
    </row>
    <row r="39" spans="1:33" ht="12" customHeight="1">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row>
    <row r="40" spans="1:33" ht="12" customHeight="1">
      <c r="B40" s="33" t="s">
        <v>2628</v>
      </c>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row>
    <row r="41" spans="1:33" ht="12" customHeight="1">
      <c r="B41" s="33" t="s">
        <v>2592</v>
      </c>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row>
    <row r="42" spans="1:33" ht="12" customHeight="1">
      <c r="A42" s="34" t="s">
        <v>2629</v>
      </c>
      <c r="B42" s="37" t="s">
        <v>2594</v>
      </c>
      <c r="C42" s="36">
        <v>0.23033699999999999</v>
      </c>
      <c r="D42" s="36">
        <v>0.23033699999999999</v>
      </c>
      <c r="E42" s="36">
        <v>0.23033699999999999</v>
      </c>
      <c r="F42" s="36">
        <v>0.23033699999999999</v>
      </c>
      <c r="G42" s="36">
        <v>0.23033699999999999</v>
      </c>
      <c r="H42" s="36">
        <v>0.23033699999999999</v>
      </c>
      <c r="I42" s="36">
        <v>0.23033699999999999</v>
      </c>
      <c r="J42" s="36">
        <v>0.23033699999999999</v>
      </c>
      <c r="K42" s="36">
        <v>0.23033699999999999</v>
      </c>
      <c r="L42" s="36">
        <v>0.23033699999999999</v>
      </c>
      <c r="M42" s="36">
        <v>0.23033699999999999</v>
      </c>
      <c r="N42" s="36">
        <v>0.23033699999999999</v>
      </c>
      <c r="O42" s="36">
        <v>0.23033699999999999</v>
      </c>
      <c r="P42" s="36">
        <v>0.23033699999999999</v>
      </c>
      <c r="Q42" s="36">
        <v>0.23033699999999999</v>
      </c>
      <c r="R42" s="36">
        <v>0.23033699999999999</v>
      </c>
      <c r="S42" s="36">
        <v>0.23033699999999999</v>
      </c>
      <c r="T42" s="36">
        <v>0.23033699999999999</v>
      </c>
      <c r="U42" s="36">
        <v>0.23033699999999999</v>
      </c>
      <c r="V42" s="36">
        <v>0.23033699999999999</v>
      </c>
      <c r="W42" s="36">
        <v>0.23033699999999999</v>
      </c>
      <c r="X42" s="36">
        <v>0.23033699999999999</v>
      </c>
      <c r="Y42" s="36">
        <v>0.23033699999999999</v>
      </c>
      <c r="Z42" s="36">
        <v>0.23033699999999999</v>
      </c>
      <c r="AA42" s="36">
        <v>0.23033699999999999</v>
      </c>
      <c r="AB42" s="36">
        <v>0.23033699999999999</v>
      </c>
      <c r="AC42" s="36">
        <v>0.23033699999999999</v>
      </c>
      <c r="AD42" s="36">
        <v>0.23033699999999999</v>
      </c>
      <c r="AE42" s="36">
        <v>0.23033699999999999</v>
      </c>
      <c r="AF42" s="35">
        <v>0</v>
      </c>
      <c r="AG42" s="29"/>
    </row>
    <row r="43" spans="1:33" ht="12" customHeight="1">
      <c r="A43" s="34" t="s">
        <v>2630</v>
      </c>
      <c r="B43" s="37" t="s">
        <v>2631</v>
      </c>
      <c r="C43" s="36">
        <v>0</v>
      </c>
      <c r="D43" s="36">
        <v>0</v>
      </c>
      <c r="E43" s="36">
        <v>0</v>
      </c>
      <c r="F43" s="36">
        <v>0</v>
      </c>
      <c r="G43" s="36">
        <v>0</v>
      </c>
      <c r="H43" s="36">
        <v>0</v>
      </c>
      <c r="I43" s="36">
        <v>0</v>
      </c>
      <c r="J43" s="36">
        <v>0</v>
      </c>
      <c r="K43" s="36">
        <v>0</v>
      </c>
      <c r="L43" s="36">
        <v>0</v>
      </c>
      <c r="M43" s="36">
        <v>0</v>
      </c>
      <c r="N43" s="36">
        <v>0</v>
      </c>
      <c r="O43" s="36">
        <v>0</v>
      </c>
      <c r="P43" s="36">
        <v>0</v>
      </c>
      <c r="Q43" s="36">
        <v>0</v>
      </c>
      <c r="R43" s="36">
        <v>0</v>
      </c>
      <c r="S43" s="36">
        <v>0</v>
      </c>
      <c r="T43" s="36">
        <v>0</v>
      </c>
      <c r="U43" s="36">
        <v>0</v>
      </c>
      <c r="V43" s="36">
        <v>0</v>
      </c>
      <c r="W43" s="36">
        <v>0</v>
      </c>
      <c r="X43" s="36">
        <v>0</v>
      </c>
      <c r="Y43" s="36">
        <v>0</v>
      </c>
      <c r="Z43" s="36">
        <v>0</v>
      </c>
      <c r="AA43" s="36">
        <v>0</v>
      </c>
      <c r="AB43" s="36">
        <v>0</v>
      </c>
      <c r="AC43" s="36">
        <v>0</v>
      </c>
      <c r="AD43" s="36">
        <v>0</v>
      </c>
      <c r="AE43" s="36">
        <v>0</v>
      </c>
      <c r="AF43" s="35" t="s">
        <v>1278</v>
      </c>
      <c r="AG43" s="29"/>
    </row>
    <row r="44" spans="1:33" ht="12" customHeight="1">
      <c r="A44" s="34" t="s">
        <v>2632</v>
      </c>
      <c r="B44" s="37" t="s">
        <v>2598</v>
      </c>
      <c r="C44" s="36">
        <v>8.8717000000000004E-2</v>
      </c>
      <c r="D44" s="36">
        <v>8.8717000000000004E-2</v>
      </c>
      <c r="E44" s="36">
        <v>8.8717000000000004E-2</v>
      </c>
      <c r="F44" s="36">
        <v>8.8717000000000004E-2</v>
      </c>
      <c r="G44" s="36">
        <v>8.8717000000000004E-2</v>
      </c>
      <c r="H44" s="36">
        <v>8.8717000000000004E-2</v>
      </c>
      <c r="I44" s="36">
        <v>8.8717000000000004E-2</v>
      </c>
      <c r="J44" s="36">
        <v>8.8717000000000004E-2</v>
      </c>
      <c r="K44" s="36">
        <v>8.8717000000000004E-2</v>
      </c>
      <c r="L44" s="36">
        <v>8.8717000000000004E-2</v>
      </c>
      <c r="M44" s="36">
        <v>8.8717000000000004E-2</v>
      </c>
      <c r="N44" s="36">
        <v>8.8717000000000004E-2</v>
      </c>
      <c r="O44" s="36">
        <v>8.8717000000000004E-2</v>
      </c>
      <c r="P44" s="36">
        <v>8.8717000000000004E-2</v>
      </c>
      <c r="Q44" s="36">
        <v>8.8717000000000004E-2</v>
      </c>
      <c r="R44" s="36">
        <v>8.8717000000000004E-2</v>
      </c>
      <c r="S44" s="36">
        <v>8.8717000000000004E-2</v>
      </c>
      <c r="T44" s="36">
        <v>8.8717000000000004E-2</v>
      </c>
      <c r="U44" s="36">
        <v>8.8717000000000004E-2</v>
      </c>
      <c r="V44" s="36">
        <v>8.8717000000000004E-2</v>
      </c>
      <c r="W44" s="36">
        <v>8.8717000000000004E-2</v>
      </c>
      <c r="X44" s="36">
        <v>8.8717000000000004E-2</v>
      </c>
      <c r="Y44" s="36">
        <v>8.8717000000000004E-2</v>
      </c>
      <c r="Z44" s="36">
        <v>8.8717000000000004E-2</v>
      </c>
      <c r="AA44" s="36">
        <v>8.8717000000000004E-2</v>
      </c>
      <c r="AB44" s="36">
        <v>8.8717000000000004E-2</v>
      </c>
      <c r="AC44" s="36">
        <v>8.8717000000000004E-2</v>
      </c>
      <c r="AD44" s="36">
        <v>8.8717000000000004E-2</v>
      </c>
      <c r="AE44" s="36">
        <v>8.8717000000000004E-2</v>
      </c>
      <c r="AF44" s="35">
        <v>0</v>
      </c>
      <c r="AG44" s="29"/>
    </row>
    <row r="45" spans="1:33" ht="12" customHeight="1">
      <c r="A45" s="34" t="s">
        <v>2633</v>
      </c>
      <c r="B45" s="37" t="s">
        <v>2634</v>
      </c>
      <c r="C45" s="36">
        <v>5.560981</v>
      </c>
      <c r="D45" s="36">
        <v>5.4264260000000002</v>
      </c>
      <c r="E45" s="36">
        <v>5.3712920000000004</v>
      </c>
      <c r="F45" s="36">
        <v>5.4030240000000003</v>
      </c>
      <c r="G45" s="36">
        <v>5.4495579999999997</v>
      </c>
      <c r="H45" s="36">
        <v>5.4975399999999999</v>
      </c>
      <c r="I45" s="36">
        <v>5.5421500000000004</v>
      </c>
      <c r="J45" s="36">
        <v>5.5755270000000001</v>
      </c>
      <c r="K45" s="36">
        <v>5.6037309999999998</v>
      </c>
      <c r="L45" s="36">
        <v>5.6417760000000001</v>
      </c>
      <c r="M45" s="36">
        <v>5.6829099999999997</v>
      </c>
      <c r="N45" s="36">
        <v>5.7123609999999996</v>
      </c>
      <c r="O45" s="36">
        <v>5.743474</v>
      </c>
      <c r="P45" s="36">
        <v>5.7758839999999996</v>
      </c>
      <c r="Q45" s="36">
        <v>5.804773</v>
      </c>
      <c r="R45" s="36">
        <v>5.8352529999999998</v>
      </c>
      <c r="S45" s="36">
        <v>5.8525939999999999</v>
      </c>
      <c r="T45" s="36">
        <v>5.8890929999999999</v>
      </c>
      <c r="U45" s="36">
        <v>5.9106620000000003</v>
      </c>
      <c r="V45" s="36">
        <v>5.9351479999999999</v>
      </c>
      <c r="W45" s="36">
        <v>5.9685459999999999</v>
      </c>
      <c r="X45" s="36">
        <v>6.0061330000000002</v>
      </c>
      <c r="Y45" s="36">
        <v>6.0308609999999998</v>
      </c>
      <c r="Z45" s="36">
        <v>6.0467440000000003</v>
      </c>
      <c r="AA45" s="36">
        <v>6.0822050000000001</v>
      </c>
      <c r="AB45" s="36">
        <v>6.1261400000000004</v>
      </c>
      <c r="AC45" s="36">
        <v>6.1538149999999998</v>
      </c>
      <c r="AD45" s="36">
        <v>6.1877009999999997</v>
      </c>
      <c r="AE45" s="36">
        <v>6.2387480000000002</v>
      </c>
      <c r="AF45" s="35">
        <v>4.1159999999999999E-3</v>
      </c>
      <c r="AG45" s="29"/>
    </row>
    <row r="46" spans="1:33" ht="12" customHeight="1">
      <c r="A46" s="34" t="s">
        <v>2635</v>
      </c>
      <c r="B46" s="37" t="s">
        <v>2604</v>
      </c>
      <c r="C46" s="36">
        <v>48.590209999999999</v>
      </c>
      <c r="D46" s="36">
        <v>55.410254999999999</v>
      </c>
      <c r="E46" s="36">
        <v>61.739345999999998</v>
      </c>
      <c r="F46" s="36">
        <v>67.559341000000003</v>
      </c>
      <c r="G46" s="36">
        <v>72.055878000000007</v>
      </c>
      <c r="H46" s="36">
        <v>76.910126000000005</v>
      </c>
      <c r="I46" s="36">
        <v>81.622046999999995</v>
      </c>
      <c r="J46" s="36">
        <v>87.384331000000003</v>
      </c>
      <c r="K46" s="36">
        <v>92.508255000000005</v>
      </c>
      <c r="L46" s="36">
        <v>97.832854999999995</v>
      </c>
      <c r="M46" s="36">
        <v>103.219826</v>
      </c>
      <c r="N46" s="36">
        <v>109.389381</v>
      </c>
      <c r="O46" s="36">
        <v>115.895653</v>
      </c>
      <c r="P46" s="36">
        <v>120.79079400000001</v>
      </c>
      <c r="Q46" s="36">
        <v>127.13698599999999</v>
      </c>
      <c r="R46" s="36">
        <v>132.50151099999999</v>
      </c>
      <c r="S46" s="36">
        <v>138.85086100000001</v>
      </c>
      <c r="T46" s="36">
        <v>145.35202000000001</v>
      </c>
      <c r="U46" s="36">
        <v>151.89492799999999</v>
      </c>
      <c r="V46" s="36">
        <v>158.48007200000001</v>
      </c>
      <c r="W46" s="36">
        <v>165.06135599999999</v>
      </c>
      <c r="X46" s="36">
        <v>171.793091</v>
      </c>
      <c r="Y46" s="36">
        <v>178.63432299999999</v>
      </c>
      <c r="Z46" s="36">
        <v>185.797012</v>
      </c>
      <c r="AA46" s="36">
        <v>193.97541799999999</v>
      </c>
      <c r="AB46" s="36">
        <v>201.11308299999999</v>
      </c>
      <c r="AC46" s="36">
        <v>209.07811000000001</v>
      </c>
      <c r="AD46" s="36">
        <v>216.62588500000001</v>
      </c>
      <c r="AE46" s="36">
        <v>224.25889599999999</v>
      </c>
      <c r="AF46" s="35">
        <v>5.6140000000000002E-2</v>
      </c>
      <c r="AG46" s="29"/>
    </row>
    <row r="47" spans="1:33" ht="12" customHeight="1">
      <c r="A47" s="34" t="s">
        <v>2636</v>
      </c>
      <c r="B47" s="37" t="s">
        <v>2606</v>
      </c>
      <c r="C47" s="36">
        <v>0.61832900000000002</v>
      </c>
      <c r="D47" s="36">
        <v>0.62885000000000002</v>
      </c>
      <c r="E47" s="36">
        <v>0.636266</v>
      </c>
      <c r="F47" s="36">
        <v>0.64258800000000005</v>
      </c>
      <c r="G47" s="36">
        <v>0.64903500000000003</v>
      </c>
      <c r="H47" s="36">
        <v>0.655555</v>
      </c>
      <c r="I47" s="36">
        <v>0.66213900000000003</v>
      </c>
      <c r="J47" s="36">
        <v>0.66868300000000003</v>
      </c>
      <c r="K47" s="36">
        <v>0.67531200000000002</v>
      </c>
      <c r="L47" s="36">
        <v>0.68204699999999996</v>
      </c>
      <c r="M47" s="36">
        <v>0.68940199999999996</v>
      </c>
      <c r="N47" s="36">
        <v>0.69747099999999995</v>
      </c>
      <c r="O47" s="36">
        <v>0.69941799999999998</v>
      </c>
      <c r="P47" s="36">
        <v>0.69977699999999998</v>
      </c>
      <c r="Q47" s="36">
        <v>0.70143299999999997</v>
      </c>
      <c r="R47" s="36">
        <v>0.70174199999999998</v>
      </c>
      <c r="S47" s="36">
        <v>0.70319900000000002</v>
      </c>
      <c r="T47" s="36">
        <v>0.70506000000000002</v>
      </c>
      <c r="U47" s="36">
        <v>0.70536399999999999</v>
      </c>
      <c r="V47" s="36">
        <v>0.70613400000000004</v>
      </c>
      <c r="W47" s="36">
        <v>0.70666099999999998</v>
      </c>
      <c r="X47" s="36">
        <v>0.70744099999999999</v>
      </c>
      <c r="Y47" s="36">
        <v>0.70789999999999997</v>
      </c>
      <c r="Z47" s="36">
        <v>0.70827499999999999</v>
      </c>
      <c r="AA47" s="36">
        <v>0.70886499999999997</v>
      </c>
      <c r="AB47" s="36">
        <v>0.70913400000000004</v>
      </c>
      <c r="AC47" s="36">
        <v>0.70971600000000001</v>
      </c>
      <c r="AD47" s="36">
        <v>0.70998499999999998</v>
      </c>
      <c r="AE47" s="36">
        <v>0.71025499999999997</v>
      </c>
      <c r="AF47" s="35">
        <v>4.9620000000000003E-3</v>
      </c>
      <c r="AG47" s="29"/>
    </row>
    <row r="48" spans="1:33" ht="12" customHeight="1">
      <c r="A48" s="34" t="s">
        <v>2637</v>
      </c>
      <c r="B48" s="33" t="s">
        <v>2638</v>
      </c>
      <c r="C48" s="32">
        <v>55.088572999999997</v>
      </c>
      <c r="D48" s="32">
        <v>61.784584000000002</v>
      </c>
      <c r="E48" s="32">
        <v>68.065963999999994</v>
      </c>
      <c r="F48" s="32">
        <v>73.924003999999996</v>
      </c>
      <c r="G48" s="32">
        <v>78.473526000000007</v>
      </c>
      <c r="H48" s="32">
        <v>83.382277999999999</v>
      </c>
      <c r="I48" s="32">
        <v>88.145392999999999</v>
      </c>
      <c r="J48" s="32">
        <v>93.947601000000006</v>
      </c>
      <c r="K48" s="32">
        <v>99.106346000000002</v>
      </c>
      <c r="L48" s="32">
        <v>104.475731</v>
      </c>
      <c r="M48" s="32">
        <v>109.91119399999999</v>
      </c>
      <c r="N48" s="32">
        <v>116.11827099999999</v>
      </c>
      <c r="O48" s="32">
        <v>122.6576</v>
      </c>
      <c r="P48" s="32">
        <v>127.58551</v>
      </c>
      <c r="Q48" s="32">
        <v>133.96225000000001</v>
      </c>
      <c r="R48" s="32">
        <v>139.35755900000001</v>
      </c>
      <c r="S48" s="32">
        <v>145.725708</v>
      </c>
      <c r="T48" s="32">
        <v>152.26522800000001</v>
      </c>
      <c r="U48" s="32">
        <v>158.830017</v>
      </c>
      <c r="V48" s="32">
        <v>165.44039900000001</v>
      </c>
      <c r="W48" s="32">
        <v>172.05561800000001</v>
      </c>
      <c r="X48" s="32">
        <v>178.825714</v>
      </c>
      <c r="Y48" s="32">
        <v>185.692139</v>
      </c>
      <c r="Z48" s="32">
        <v>192.87107800000001</v>
      </c>
      <c r="AA48" s="32">
        <v>201.08554100000001</v>
      </c>
      <c r="AB48" s="32">
        <v>208.26741000000001</v>
      </c>
      <c r="AC48" s="32">
        <v>216.260696</v>
      </c>
      <c r="AD48" s="32">
        <v>223.842636</v>
      </c>
      <c r="AE48" s="32">
        <v>231.52694700000001</v>
      </c>
      <c r="AF48" s="31">
        <v>5.2614000000000001E-2</v>
      </c>
      <c r="AG48" s="29"/>
    </row>
    <row r="49" spans="1:33" ht="12" customHeight="1">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row>
    <row r="50" spans="1:33" ht="15" customHeight="1">
      <c r="B50" s="33" t="s">
        <v>2611</v>
      </c>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row>
    <row r="51" spans="1:33" ht="15" customHeight="1">
      <c r="A51" s="34" t="s">
        <v>2639</v>
      </c>
      <c r="B51" s="37" t="s">
        <v>2594</v>
      </c>
      <c r="C51" s="36">
        <v>1.1112690000000001</v>
      </c>
      <c r="D51" s="36">
        <v>1.1112690000000001</v>
      </c>
      <c r="E51" s="36">
        <v>1.1112690000000001</v>
      </c>
      <c r="F51" s="36">
        <v>1.1112690000000001</v>
      </c>
      <c r="G51" s="36">
        <v>1.1112690000000001</v>
      </c>
      <c r="H51" s="36">
        <v>1.1112690000000001</v>
      </c>
      <c r="I51" s="36">
        <v>1.1112690000000001</v>
      </c>
      <c r="J51" s="36">
        <v>1.1112690000000001</v>
      </c>
      <c r="K51" s="36">
        <v>1.1112690000000001</v>
      </c>
      <c r="L51" s="36">
        <v>1.1112690000000001</v>
      </c>
      <c r="M51" s="36">
        <v>1.1112690000000001</v>
      </c>
      <c r="N51" s="36">
        <v>1.1112690000000001</v>
      </c>
      <c r="O51" s="36">
        <v>1.1112690000000001</v>
      </c>
      <c r="P51" s="36">
        <v>1.1112690000000001</v>
      </c>
      <c r="Q51" s="36">
        <v>1.1112690000000001</v>
      </c>
      <c r="R51" s="36">
        <v>1.1112690000000001</v>
      </c>
      <c r="S51" s="36">
        <v>1.1112690000000001</v>
      </c>
      <c r="T51" s="36">
        <v>1.1112690000000001</v>
      </c>
      <c r="U51" s="36">
        <v>1.1112690000000001</v>
      </c>
      <c r="V51" s="36">
        <v>1.1112690000000001</v>
      </c>
      <c r="W51" s="36">
        <v>1.1112690000000001</v>
      </c>
      <c r="X51" s="36">
        <v>1.1112690000000001</v>
      </c>
      <c r="Y51" s="36">
        <v>1.1112690000000001</v>
      </c>
      <c r="Z51" s="36">
        <v>1.1112690000000001</v>
      </c>
      <c r="AA51" s="36">
        <v>1.1112690000000001</v>
      </c>
      <c r="AB51" s="36">
        <v>1.1112690000000001</v>
      </c>
      <c r="AC51" s="36">
        <v>1.1112690000000001</v>
      </c>
      <c r="AD51" s="36">
        <v>1.1112690000000001</v>
      </c>
      <c r="AE51" s="36">
        <v>1.1112690000000001</v>
      </c>
      <c r="AF51" s="35">
        <v>0</v>
      </c>
      <c r="AG51" s="29"/>
    </row>
    <row r="52" spans="1:33" ht="15" customHeight="1">
      <c r="A52" s="34" t="s">
        <v>2640</v>
      </c>
      <c r="B52" s="37" t="s">
        <v>2631</v>
      </c>
      <c r="C52" s="36">
        <v>0</v>
      </c>
      <c r="D52" s="36">
        <v>0</v>
      </c>
      <c r="E52" s="36">
        <v>0</v>
      </c>
      <c r="F52" s="36">
        <v>0</v>
      </c>
      <c r="G52" s="36">
        <v>0</v>
      </c>
      <c r="H52" s="36">
        <v>0</v>
      </c>
      <c r="I52" s="36">
        <v>0</v>
      </c>
      <c r="J52" s="36">
        <v>0</v>
      </c>
      <c r="K52" s="36">
        <v>0</v>
      </c>
      <c r="L52" s="36">
        <v>0</v>
      </c>
      <c r="M52" s="36">
        <v>0</v>
      </c>
      <c r="N52" s="36">
        <v>0</v>
      </c>
      <c r="O52" s="36">
        <v>0</v>
      </c>
      <c r="P52" s="36">
        <v>0</v>
      </c>
      <c r="Q52" s="36">
        <v>0</v>
      </c>
      <c r="R52" s="36">
        <v>0</v>
      </c>
      <c r="S52" s="36">
        <v>0</v>
      </c>
      <c r="T52" s="36">
        <v>0</v>
      </c>
      <c r="U52" s="36">
        <v>0</v>
      </c>
      <c r="V52" s="36">
        <v>0</v>
      </c>
      <c r="W52" s="36">
        <v>0</v>
      </c>
      <c r="X52" s="36">
        <v>0</v>
      </c>
      <c r="Y52" s="36">
        <v>0</v>
      </c>
      <c r="Z52" s="36">
        <v>0</v>
      </c>
      <c r="AA52" s="36">
        <v>0</v>
      </c>
      <c r="AB52" s="36">
        <v>0</v>
      </c>
      <c r="AC52" s="36">
        <v>0</v>
      </c>
      <c r="AD52" s="36">
        <v>0</v>
      </c>
      <c r="AE52" s="36">
        <v>0</v>
      </c>
      <c r="AF52" s="35" t="s">
        <v>1278</v>
      </c>
      <c r="AG52" s="29"/>
    </row>
    <row r="53" spans="1:33" ht="15" customHeight="1">
      <c r="A53" s="34" t="s">
        <v>2641</v>
      </c>
      <c r="B53" s="37" t="s">
        <v>2598</v>
      </c>
      <c r="C53" s="36">
        <v>0.53629000000000004</v>
      </c>
      <c r="D53" s="36">
        <v>0.53629000000000004</v>
      </c>
      <c r="E53" s="36">
        <v>0.53317999999999999</v>
      </c>
      <c r="F53" s="36">
        <v>0.53317999999999999</v>
      </c>
      <c r="G53" s="36">
        <v>0.53317999999999999</v>
      </c>
      <c r="H53" s="36">
        <v>0.53317999999999999</v>
      </c>
      <c r="I53" s="36">
        <v>0.53317999999999999</v>
      </c>
      <c r="J53" s="36">
        <v>0.53317999999999999</v>
      </c>
      <c r="K53" s="36">
        <v>0.53317999999999999</v>
      </c>
      <c r="L53" s="36">
        <v>0.53317999999999999</v>
      </c>
      <c r="M53" s="36">
        <v>0.53317999999999999</v>
      </c>
      <c r="N53" s="36">
        <v>0.53317999999999999</v>
      </c>
      <c r="O53" s="36">
        <v>0.53317999999999999</v>
      </c>
      <c r="P53" s="36">
        <v>0.53317999999999999</v>
      </c>
      <c r="Q53" s="36">
        <v>0.53317999999999999</v>
      </c>
      <c r="R53" s="36">
        <v>0.53317999999999999</v>
      </c>
      <c r="S53" s="36">
        <v>0.53317999999999999</v>
      </c>
      <c r="T53" s="36">
        <v>0.53317999999999999</v>
      </c>
      <c r="U53" s="36">
        <v>0.53317999999999999</v>
      </c>
      <c r="V53" s="36">
        <v>0.53317999999999999</v>
      </c>
      <c r="W53" s="36">
        <v>0.53317999999999999</v>
      </c>
      <c r="X53" s="36">
        <v>0.53317999999999999</v>
      </c>
      <c r="Y53" s="36">
        <v>0.53317999999999999</v>
      </c>
      <c r="Z53" s="36">
        <v>0.53317999999999999</v>
      </c>
      <c r="AA53" s="36">
        <v>0.53317999999999999</v>
      </c>
      <c r="AB53" s="36">
        <v>0.53317999999999999</v>
      </c>
      <c r="AC53" s="36">
        <v>0.53317999999999999</v>
      </c>
      <c r="AD53" s="36">
        <v>0.53317999999999999</v>
      </c>
      <c r="AE53" s="36">
        <v>0.53317999999999999</v>
      </c>
      <c r="AF53" s="35">
        <v>-2.0799999999999999E-4</v>
      </c>
      <c r="AG53" s="29"/>
    </row>
    <row r="54" spans="1:33" ht="15" customHeight="1">
      <c r="A54" s="34" t="s">
        <v>2642</v>
      </c>
      <c r="B54" s="37" t="s">
        <v>2634</v>
      </c>
      <c r="C54" s="36">
        <v>28.510584000000001</v>
      </c>
      <c r="D54" s="36">
        <v>27.816085999999999</v>
      </c>
      <c r="E54" s="36">
        <v>27.531518999999999</v>
      </c>
      <c r="F54" s="36">
        <v>27.688013000000002</v>
      </c>
      <c r="G54" s="36">
        <v>27.928190000000001</v>
      </c>
      <c r="H54" s="36">
        <v>28.175840000000001</v>
      </c>
      <c r="I54" s="36">
        <v>28.406088</v>
      </c>
      <c r="J54" s="36">
        <v>28.578368999999999</v>
      </c>
      <c r="K54" s="36">
        <v>28.723939999999999</v>
      </c>
      <c r="L54" s="36">
        <v>28.920300000000001</v>
      </c>
      <c r="M54" s="36">
        <v>29.132622000000001</v>
      </c>
      <c r="N54" s="36">
        <v>29.284617999999998</v>
      </c>
      <c r="O54" s="36">
        <v>29.445205999999999</v>
      </c>
      <c r="P54" s="36">
        <v>29.612487999999999</v>
      </c>
      <c r="Q54" s="36">
        <v>29.761599</v>
      </c>
      <c r="R54" s="36">
        <v>29.918914999999998</v>
      </c>
      <c r="S54" s="36">
        <v>30.008423000000001</v>
      </c>
      <c r="T54" s="36">
        <v>30.196809999999999</v>
      </c>
      <c r="U54" s="36">
        <v>30.308129999999998</v>
      </c>
      <c r="V54" s="36">
        <v>30.434519000000002</v>
      </c>
      <c r="W54" s="36">
        <v>30.606895000000002</v>
      </c>
      <c r="X54" s="36">
        <v>30.800896000000002</v>
      </c>
      <c r="Y54" s="36">
        <v>30.928529999999999</v>
      </c>
      <c r="Z54" s="36">
        <v>31.010505999999999</v>
      </c>
      <c r="AA54" s="36">
        <v>31.193532999999999</v>
      </c>
      <c r="AB54" s="36">
        <v>31.420303000000001</v>
      </c>
      <c r="AC54" s="36">
        <v>31.563147000000001</v>
      </c>
      <c r="AD54" s="36">
        <v>31.738039000000001</v>
      </c>
      <c r="AE54" s="36">
        <v>32.001517999999997</v>
      </c>
      <c r="AF54" s="35">
        <v>4.1339999999999997E-3</v>
      </c>
      <c r="AG54" s="29"/>
    </row>
    <row r="55" spans="1:33" ht="15" customHeight="1">
      <c r="A55" s="34" t="s">
        <v>2643</v>
      </c>
      <c r="B55" s="37" t="s">
        <v>2604</v>
      </c>
      <c r="C55" s="36">
        <v>70.941604999999996</v>
      </c>
      <c r="D55" s="36">
        <v>81.194145000000006</v>
      </c>
      <c r="E55" s="36">
        <v>90.790465999999995</v>
      </c>
      <c r="F55" s="36">
        <v>99.514129999999994</v>
      </c>
      <c r="G55" s="36">
        <v>106.50453899999999</v>
      </c>
      <c r="H55" s="36">
        <v>113.994957</v>
      </c>
      <c r="I55" s="36">
        <v>121.26711299999999</v>
      </c>
      <c r="J55" s="36">
        <v>129.954926</v>
      </c>
      <c r="K55" s="36">
        <v>137.83390800000001</v>
      </c>
      <c r="L55" s="36">
        <v>145.96397400000001</v>
      </c>
      <c r="M55" s="36">
        <v>154.17420999999999</v>
      </c>
      <c r="N55" s="36">
        <v>163.460556</v>
      </c>
      <c r="O55" s="36">
        <v>173.067657</v>
      </c>
      <c r="P55" s="36">
        <v>180.555466</v>
      </c>
      <c r="Q55" s="36">
        <v>189.921783</v>
      </c>
      <c r="R55" s="36">
        <v>198.06668099999999</v>
      </c>
      <c r="S55" s="36">
        <v>207.50912500000001</v>
      </c>
      <c r="T55" s="36">
        <v>217.15327500000001</v>
      </c>
      <c r="U55" s="36">
        <v>226.93319700000001</v>
      </c>
      <c r="V55" s="36">
        <v>236.791718</v>
      </c>
      <c r="W55" s="36">
        <v>246.70465100000001</v>
      </c>
      <c r="X55" s="36">
        <v>256.84515399999998</v>
      </c>
      <c r="Y55" s="36">
        <v>267.17913800000002</v>
      </c>
      <c r="Z55" s="36">
        <v>277.93576000000002</v>
      </c>
      <c r="AA55" s="36">
        <v>290.034943</v>
      </c>
      <c r="AB55" s="36">
        <v>300.82147200000003</v>
      </c>
      <c r="AC55" s="36">
        <v>312.66629</v>
      </c>
      <c r="AD55" s="36">
        <v>324.03720099999998</v>
      </c>
      <c r="AE55" s="36">
        <v>335.52792399999998</v>
      </c>
      <c r="AF55" s="35">
        <v>5.7063000000000003E-2</v>
      </c>
      <c r="AG55" s="29"/>
    </row>
    <row r="56" spans="1:33" ht="15" customHeight="1">
      <c r="A56" s="34" t="s">
        <v>2644</v>
      </c>
      <c r="B56" s="37" t="s">
        <v>2606</v>
      </c>
      <c r="C56" s="36">
        <v>0.82431500000000002</v>
      </c>
      <c r="D56" s="36">
        <v>0.838252</v>
      </c>
      <c r="E56" s="36">
        <v>0.84673299999999996</v>
      </c>
      <c r="F56" s="36">
        <v>0.85321199999999997</v>
      </c>
      <c r="G56" s="36">
        <v>0.85982000000000003</v>
      </c>
      <c r="H56" s="36">
        <v>0.86650300000000002</v>
      </c>
      <c r="I56" s="36">
        <v>0.87327699999999997</v>
      </c>
      <c r="J56" s="36">
        <v>0.87998500000000002</v>
      </c>
      <c r="K56" s="36">
        <v>0.88680099999999995</v>
      </c>
      <c r="L56" s="36">
        <v>0.89381299999999997</v>
      </c>
      <c r="M56" s="36">
        <v>0.90185000000000004</v>
      </c>
      <c r="N56" s="36">
        <v>0.91123500000000002</v>
      </c>
      <c r="O56" s="36">
        <v>0.91447900000000004</v>
      </c>
      <c r="P56" s="36">
        <v>0.91501900000000003</v>
      </c>
      <c r="Q56" s="36">
        <v>0.91776400000000002</v>
      </c>
      <c r="R56" s="36">
        <v>0.91824600000000001</v>
      </c>
      <c r="S56" s="36">
        <v>0.92063899999999999</v>
      </c>
      <c r="T56" s="36">
        <v>0.92374299999999998</v>
      </c>
      <c r="U56" s="36">
        <v>0.92416200000000004</v>
      </c>
      <c r="V56" s="36">
        <v>0.92526600000000003</v>
      </c>
      <c r="W56" s="36">
        <v>0.92594299999999996</v>
      </c>
      <c r="X56" s="36">
        <v>0.92698000000000003</v>
      </c>
      <c r="Y56" s="36">
        <v>0.92749400000000004</v>
      </c>
      <c r="Z56" s="36">
        <v>0.92790099999999998</v>
      </c>
      <c r="AA56" s="36">
        <v>0.92867500000000003</v>
      </c>
      <c r="AB56" s="36">
        <v>0.92895000000000005</v>
      </c>
      <c r="AC56" s="36">
        <v>0.92972500000000002</v>
      </c>
      <c r="AD56" s="36">
        <v>0.93</v>
      </c>
      <c r="AE56" s="36">
        <v>0.93027599999999999</v>
      </c>
      <c r="AF56" s="35">
        <v>4.3280000000000002E-3</v>
      </c>
      <c r="AG56" s="29"/>
    </row>
    <row r="57" spans="1:33" ht="15" customHeight="1">
      <c r="A57" s="34" t="s">
        <v>2645</v>
      </c>
      <c r="B57" s="33" t="s">
        <v>2646</v>
      </c>
      <c r="C57" s="32">
        <v>101.924065</v>
      </c>
      <c r="D57" s="32">
        <v>111.49603999999999</v>
      </c>
      <c r="E57" s="32">
        <v>120.813164</v>
      </c>
      <c r="F57" s="32">
        <v>129.69979900000001</v>
      </c>
      <c r="G57" s="32">
        <v>136.93699599999999</v>
      </c>
      <c r="H57" s="32">
        <v>144.681747</v>
      </c>
      <c r="I57" s="32">
        <v>152.190933</v>
      </c>
      <c r="J57" s="32">
        <v>161.05772400000001</v>
      </c>
      <c r="K57" s="32">
        <v>169.08909600000001</v>
      </c>
      <c r="L57" s="32">
        <v>177.42253099999999</v>
      </c>
      <c r="M57" s="32">
        <v>185.85313400000001</v>
      </c>
      <c r="N57" s="32">
        <v>195.30085800000001</v>
      </c>
      <c r="O57" s="32">
        <v>205.07179300000001</v>
      </c>
      <c r="P57" s="32">
        <v>212.72743199999999</v>
      </c>
      <c r="Q57" s="32">
        <v>222.24560500000001</v>
      </c>
      <c r="R57" s="32">
        <v>230.54827900000001</v>
      </c>
      <c r="S57" s="32">
        <v>240.082626</v>
      </c>
      <c r="T57" s="32">
        <v>249.918274</v>
      </c>
      <c r="U57" s="32">
        <v>259.80993699999999</v>
      </c>
      <c r="V57" s="32">
        <v>269.79595899999998</v>
      </c>
      <c r="W57" s="32">
        <v>279.88192700000002</v>
      </c>
      <c r="X57" s="32">
        <v>290.217468</v>
      </c>
      <c r="Y57" s="32">
        <v>300.679596</v>
      </c>
      <c r="Z57" s="32">
        <v>311.51858499999997</v>
      </c>
      <c r="AA57" s="32">
        <v>323.801605</v>
      </c>
      <c r="AB57" s="32">
        <v>334.81518599999998</v>
      </c>
      <c r="AC57" s="32">
        <v>346.80361900000003</v>
      </c>
      <c r="AD57" s="32">
        <v>358.34967</v>
      </c>
      <c r="AE57" s="32">
        <v>370.10415599999999</v>
      </c>
      <c r="AF57" s="31">
        <v>4.7133000000000001E-2</v>
      </c>
      <c r="AG57" s="29"/>
    </row>
    <row r="58" spans="1:33" ht="15" customHeight="1">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row>
    <row r="59" spans="1:33" ht="15" customHeigh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row>
    <row r="60" spans="1:33" ht="15" customHeight="1">
      <c r="B60" s="33" t="s">
        <v>2647</v>
      </c>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row>
    <row r="61" spans="1:33" ht="15" customHeight="1">
      <c r="B61" s="33" t="s">
        <v>2648</v>
      </c>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row>
    <row r="62" spans="1:33" ht="15" customHeight="1">
      <c r="A62" s="34" t="s">
        <v>2649</v>
      </c>
      <c r="B62" s="37" t="s">
        <v>2650</v>
      </c>
      <c r="C62" s="36">
        <v>79.453438000000006</v>
      </c>
      <c r="D62" s="36">
        <v>79.480232000000001</v>
      </c>
      <c r="E62" s="36">
        <v>79.482024999999993</v>
      </c>
      <c r="F62" s="36">
        <v>79.479529999999997</v>
      </c>
      <c r="G62" s="36">
        <v>79.527794</v>
      </c>
      <c r="H62" s="36">
        <v>79.571494999999999</v>
      </c>
      <c r="I62" s="36">
        <v>79.555695</v>
      </c>
      <c r="J62" s="36">
        <v>79.555695</v>
      </c>
      <c r="K62" s="36">
        <v>79.555695</v>
      </c>
      <c r="L62" s="36">
        <v>79.555695</v>
      </c>
      <c r="M62" s="36">
        <v>79.555695</v>
      </c>
      <c r="N62" s="36">
        <v>79.555695</v>
      </c>
      <c r="O62" s="36">
        <v>79.555695</v>
      </c>
      <c r="P62" s="36">
        <v>79.565169999999995</v>
      </c>
      <c r="Q62" s="36">
        <v>79.575301999999994</v>
      </c>
      <c r="R62" s="36">
        <v>79.579696999999996</v>
      </c>
      <c r="S62" s="36">
        <v>79.579696999999996</v>
      </c>
      <c r="T62" s="36">
        <v>79.579696999999996</v>
      </c>
      <c r="U62" s="36">
        <v>79.579696999999996</v>
      </c>
      <c r="V62" s="36">
        <v>79.579696999999996</v>
      </c>
      <c r="W62" s="36">
        <v>79.579696999999996</v>
      </c>
      <c r="X62" s="36">
        <v>79.579696999999996</v>
      </c>
      <c r="Y62" s="36">
        <v>79.579696999999996</v>
      </c>
      <c r="Z62" s="36">
        <v>79.579696999999996</v>
      </c>
      <c r="AA62" s="36">
        <v>79.598595000000003</v>
      </c>
      <c r="AB62" s="36">
        <v>79.605293000000003</v>
      </c>
      <c r="AC62" s="36">
        <v>79.608329999999995</v>
      </c>
      <c r="AD62" s="36">
        <v>79.608329999999995</v>
      </c>
      <c r="AE62" s="36">
        <v>79.608329999999995</v>
      </c>
      <c r="AF62" s="35">
        <v>6.8999999999999997E-5</v>
      </c>
      <c r="AG62" s="29"/>
    </row>
    <row r="63" spans="1:33" ht="15" customHeight="1">
      <c r="A63" s="34" t="s">
        <v>2651</v>
      </c>
      <c r="B63" s="37" t="s">
        <v>2652</v>
      </c>
      <c r="C63" s="36">
        <v>2.5406</v>
      </c>
      <c r="D63" s="36">
        <v>2.5655999999999999</v>
      </c>
      <c r="E63" s="36">
        <v>2.5655999999999999</v>
      </c>
      <c r="F63" s="36">
        <v>2.5655999999999999</v>
      </c>
      <c r="G63" s="36">
        <v>2.6656</v>
      </c>
      <c r="H63" s="36">
        <v>2.7406000000000001</v>
      </c>
      <c r="I63" s="36">
        <v>2.8155999999999999</v>
      </c>
      <c r="J63" s="36">
        <v>2.9514200000000002</v>
      </c>
      <c r="K63" s="36">
        <v>3.0694240000000002</v>
      </c>
      <c r="L63" s="36">
        <v>3.1444239999999999</v>
      </c>
      <c r="M63" s="36">
        <v>3.2308699999999999</v>
      </c>
      <c r="N63" s="36">
        <v>3.269469</v>
      </c>
      <c r="O63" s="36">
        <v>3.3738039999999998</v>
      </c>
      <c r="P63" s="36">
        <v>3.4587150000000002</v>
      </c>
      <c r="Q63" s="36">
        <v>3.5931190000000002</v>
      </c>
      <c r="R63" s="36">
        <v>3.6987809999999999</v>
      </c>
      <c r="S63" s="36">
        <v>3.800297</v>
      </c>
      <c r="T63" s="36">
        <v>3.8563390000000002</v>
      </c>
      <c r="U63" s="36">
        <v>3.9092539999999998</v>
      </c>
      <c r="V63" s="36">
        <v>3.9950649999999999</v>
      </c>
      <c r="W63" s="36">
        <v>4.0833190000000004</v>
      </c>
      <c r="X63" s="36">
        <v>4.1444640000000001</v>
      </c>
      <c r="Y63" s="36">
        <v>4.2194640000000003</v>
      </c>
      <c r="Z63" s="36">
        <v>4.3431230000000003</v>
      </c>
      <c r="AA63" s="36">
        <v>4.5287829999999998</v>
      </c>
      <c r="AB63" s="36">
        <v>4.7173850000000002</v>
      </c>
      <c r="AC63" s="36">
        <v>4.8337770000000004</v>
      </c>
      <c r="AD63" s="36">
        <v>4.9653260000000001</v>
      </c>
      <c r="AE63" s="36">
        <v>5.0615990000000002</v>
      </c>
      <c r="AF63" s="35">
        <v>2.4923000000000001E-2</v>
      </c>
      <c r="AG63" s="29"/>
    </row>
    <row r="64" spans="1:33" ht="15" customHeight="1">
      <c r="A64" s="34" t="s">
        <v>2653</v>
      </c>
      <c r="B64" s="37" t="s">
        <v>2654</v>
      </c>
      <c r="C64" s="36">
        <v>3.3328180000000001</v>
      </c>
      <c r="D64" s="36">
        <v>3.4713080000000001</v>
      </c>
      <c r="E64" s="36">
        <v>3.5684580000000001</v>
      </c>
      <c r="F64" s="36">
        <v>3.6493410000000002</v>
      </c>
      <c r="G64" s="36">
        <v>3.73908</v>
      </c>
      <c r="H64" s="36">
        <v>3.8521010000000002</v>
      </c>
      <c r="I64" s="36">
        <v>3.9281389999999998</v>
      </c>
      <c r="J64" s="36">
        <v>4.0461320000000001</v>
      </c>
      <c r="K64" s="36">
        <v>4.1663730000000001</v>
      </c>
      <c r="L64" s="36">
        <v>4.2873289999999997</v>
      </c>
      <c r="M64" s="36">
        <v>4.4109910000000001</v>
      </c>
      <c r="N64" s="36">
        <v>4.5433180000000002</v>
      </c>
      <c r="O64" s="36">
        <v>4.6628869999999996</v>
      </c>
      <c r="P64" s="36">
        <v>4.792948</v>
      </c>
      <c r="Q64" s="36">
        <v>4.9288249999999998</v>
      </c>
      <c r="R64" s="36">
        <v>5.0669310000000003</v>
      </c>
      <c r="S64" s="36">
        <v>5.2100150000000003</v>
      </c>
      <c r="T64" s="36">
        <v>5.3589859999999998</v>
      </c>
      <c r="U64" s="36">
        <v>5.4747130000000004</v>
      </c>
      <c r="V64" s="36">
        <v>5.5929409999999997</v>
      </c>
      <c r="W64" s="36">
        <v>5.7167979999999998</v>
      </c>
      <c r="X64" s="36">
        <v>5.8412980000000001</v>
      </c>
      <c r="Y64" s="36">
        <v>5.9669610000000004</v>
      </c>
      <c r="Z64" s="36">
        <v>6.095269</v>
      </c>
      <c r="AA64" s="36">
        <v>6.1814900000000002</v>
      </c>
      <c r="AB64" s="36">
        <v>6.2682419999999999</v>
      </c>
      <c r="AC64" s="36">
        <v>6.3561449999999997</v>
      </c>
      <c r="AD64" s="36">
        <v>6.4456730000000002</v>
      </c>
      <c r="AE64" s="36">
        <v>6.5364740000000001</v>
      </c>
      <c r="AF64" s="35">
        <v>2.4348000000000002E-2</v>
      </c>
      <c r="AG64" s="29"/>
    </row>
    <row r="65" spans="1:34" ht="15" customHeight="1">
      <c r="A65" s="34" t="s">
        <v>2655</v>
      </c>
      <c r="B65" s="37" t="s">
        <v>2656</v>
      </c>
      <c r="C65" s="36">
        <v>8.2382819999999999</v>
      </c>
      <c r="D65" s="36">
        <v>8.1057269999999999</v>
      </c>
      <c r="E65" s="36">
        <v>8.0535929999999993</v>
      </c>
      <c r="F65" s="36">
        <v>8.0853249999999992</v>
      </c>
      <c r="G65" s="36">
        <v>8.1318590000000004</v>
      </c>
      <c r="H65" s="36">
        <v>8.1798409999999997</v>
      </c>
      <c r="I65" s="36">
        <v>8.0714509999999997</v>
      </c>
      <c r="J65" s="36">
        <v>8.1048279999999995</v>
      </c>
      <c r="K65" s="36">
        <v>8.133032</v>
      </c>
      <c r="L65" s="36">
        <v>8.1844140000000003</v>
      </c>
      <c r="M65" s="36">
        <v>8.2255500000000001</v>
      </c>
      <c r="N65" s="36">
        <v>8.2550000000000008</v>
      </c>
      <c r="O65" s="36">
        <v>8.2861130000000003</v>
      </c>
      <c r="P65" s="36">
        <v>8.3185219999999997</v>
      </c>
      <c r="Q65" s="36">
        <v>8.3474120000000003</v>
      </c>
      <c r="R65" s="36">
        <v>8.3778919999999992</v>
      </c>
      <c r="S65" s="36">
        <v>8.3952329999999993</v>
      </c>
      <c r="T65" s="36">
        <v>8.4317320000000002</v>
      </c>
      <c r="U65" s="36">
        <v>8.4533000000000005</v>
      </c>
      <c r="V65" s="36">
        <v>8.4777869999999993</v>
      </c>
      <c r="W65" s="36">
        <v>8.5111849999999993</v>
      </c>
      <c r="X65" s="36">
        <v>8.5487710000000003</v>
      </c>
      <c r="Y65" s="36">
        <v>8.5734999999999992</v>
      </c>
      <c r="Z65" s="36">
        <v>8.5893820000000005</v>
      </c>
      <c r="AA65" s="36">
        <v>8.6941249999999997</v>
      </c>
      <c r="AB65" s="36">
        <v>8.7380600000000008</v>
      </c>
      <c r="AC65" s="36">
        <v>8.7657360000000004</v>
      </c>
      <c r="AD65" s="36">
        <v>8.7996210000000001</v>
      </c>
      <c r="AE65" s="36">
        <v>8.8506680000000006</v>
      </c>
      <c r="AF65" s="35">
        <v>2.5639999999999999E-3</v>
      </c>
      <c r="AG65" s="29"/>
    </row>
    <row r="66" spans="1:34" ht="12" customHeight="1">
      <c r="A66" s="34" t="s">
        <v>2657</v>
      </c>
      <c r="B66" s="37" t="s">
        <v>2658</v>
      </c>
      <c r="C66" s="36">
        <v>125.05143700000001</v>
      </c>
      <c r="D66" s="36">
        <v>160.01412999999999</v>
      </c>
      <c r="E66" s="36">
        <v>201.52156099999999</v>
      </c>
      <c r="F66" s="36">
        <v>251.31445299999999</v>
      </c>
      <c r="G66" s="36">
        <v>310.77710000000002</v>
      </c>
      <c r="H66" s="36">
        <v>361.043701</v>
      </c>
      <c r="I66" s="36">
        <v>394.11908</v>
      </c>
      <c r="J66" s="36">
        <v>415.16629</v>
      </c>
      <c r="K66" s="36">
        <v>432.25109900000001</v>
      </c>
      <c r="L66" s="36">
        <v>460.98947099999998</v>
      </c>
      <c r="M66" s="36">
        <v>495.29296900000003</v>
      </c>
      <c r="N66" s="36">
        <v>517.56073000000004</v>
      </c>
      <c r="O66" s="36">
        <v>543.64080799999999</v>
      </c>
      <c r="P66" s="36">
        <v>557.08697500000005</v>
      </c>
      <c r="Q66" s="36">
        <v>584.06677200000001</v>
      </c>
      <c r="R66" s="36">
        <v>604.97760000000005</v>
      </c>
      <c r="S66" s="36">
        <v>630.87158199999999</v>
      </c>
      <c r="T66" s="36">
        <v>645.98596199999997</v>
      </c>
      <c r="U66" s="36">
        <v>668.68884300000002</v>
      </c>
      <c r="V66" s="36">
        <v>684.23217799999998</v>
      </c>
      <c r="W66" s="36">
        <v>705.32318099999998</v>
      </c>
      <c r="X66" s="36">
        <v>728.83410600000002</v>
      </c>
      <c r="Y66" s="36">
        <v>756.64941399999998</v>
      </c>
      <c r="Z66" s="36">
        <v>790.02954099999999</v>
      </c>
      <c r="AA66" s="36">
        <v>821.86694299999999</v>
      </c>
      <c r="AB66" s="36">
        <v>845.10003700000004</v>
      </c>
      <c r="AC66" s="36">
        <v>867.075378</v>
      </c>
      <c r="AD66" s="36">
        <v>894.12145999999996</v>
      </c>
      <c r="AE66" s="36">
        <v>920.42968800000006</v>
      </c>
      <c r="AF66" s="35">
        <v>7.3891999999999999E-2</v>
      </c>
      <c r="AG66" s="29"/>
    </row>
    <row r="67" spans="1:34" ht="15" customHeight="1">
      <c r="A67" s="34" t="s">
        <v>2659</v>
      </c>
      <c r="B67" s="37" t="s">
        <v>2660</v>
      </c>
      <c r="C67" s="36">
        <v>145.04591400000001</v>
      </c>
      <c r="D67" s="36">
        <v>149.74262999999999</v>
      </c>
      <c r="E67" s="36">
        <v>155.559067</v>
      </c>
      <c r="F67" s="36">
        <v>171.41438299999999</v>
      </c>
      <c r="G67" s="36">
        <v>191.123276</v>
      </c>
      <c r="H67" s="36">
        <v>215.84835799999999</v>
      </c>
      <c r="I67" s="36">
        <v>247.82835399999999</v>
      </c>
      <c r="J67" s="36">
        <v>275.02502399999997</v>
      </c>
      <c r="K67" s="36">
        <v>300.81573500000002</v>
      </c>
      <c r="L67" s="36">
        <v>308.59310900000003</v>
      </c>
      <c r="M67" s="36">
        <v>313.23251299999998</v>
      </c>
      <c r="N67" s="36">
        <v>327.65182499999997</v>
      </c>
      <c r="O67" s="36">
        <v>335.160797</v>
      </c>
      <c r="P67" s="36">
        <v>344.51324499999998</v>
      </c>
      <c r="Q67" s="36">
        <v>346.042664</v>
      </c>
      <c r="R67" s="36">
        <v>347.03832999999997</v>
      </c>
      <c r="S67" s="36">
        <v>347.94042999999999</v>
      </c>
      <c r="T67" s="36">
        <v>348.882385</v>
      </c>
      <c r="U67" s="36">
        <v>350.01138300000002</v>
      </c>
      <c r="V67" s="36">
        <v>350.35342400000002</v>
      </c>
      <c r="W67" s="36">
        <v>350.93398999999999</v>
      </c>
      <c r="X67" s="36">
        <v>353.15570100000002</v>
      </c>
      <c r="Y67" s="36">
        <v>355.18734699999999</v>
      </c>
      <c r="Z67" s="36">
        <v>357.82891799999999</v>
      </c>
      <c r="AA67" s="36">
        <v>360.541809</v>
      </c>
      <c r="AB67" s="36">
        <v>364.54534899999999</v>
      </c>
      <c r="AC67" s="36">
        <v>368.660889</v>
      </c>
      <c r="AD67" s="36">
        <v>370.770355</v>
      </c>
      <c r="AE67" s="36">
        <v>374.09903000000003</v>
      </c>
      <c r="AF67" s="35">
        <v>3.4417000000000003E-2</v>
      </c>
      <c r="AG67" s="29"/>
    </row>
    <row r="68" spans="1:34" ht="15" customHeight="1">
      <c r="A68" s="34" t="s">
        <v>2661</v>
      </c>
      <c r="B68" s="33" t="s">
        <v>2662</v>
      </c>
      <c r="C68" s="32">
        <v>363.66247600000003</v>
      </c>
      <c r="D68" s="32">
        <v>403.379639</v>
      </c>
      <c r="E68" s="32">
        <v>450.75030500000003</v>
      </c>
      <c r="F68" s="32">
        <v>516.50860599999999</v>
      </c>
      <c r="G68" s="32">
        <v>595.96472200000005</v>
      </c>
      <c r="H68" s="32">
        <v>671.23608400000001</v>
      </c>
      <c r="I68" s="32">
        <v>736.31829800000003</v>
      </c>
      <c r="J68" s="32">
        <v>784.84936500000003</v>
      </c>
      <c r="K68" s="32">
        <v>827.99139400000001</v>
      </c>
      <c r="L68" s="32">
        <v>864.75439500000005</v>
      </c>
      <c r="M68" s="32">
        <v>903.94860800000004</v>
      </c>
      <c r="N68" s="32">
        <v>940.83605999999997</v>
      </c>
      <c r="O68" s="32">
        <v>974.68005400000004</v>
      </c>
      <c r="P68" s="32">
        <v>997.73559599999999</v>
      </c>
      <c r="Q68" s="32">
        <v>1026.554077</v>
      </c>
      <c r="R68" s="32">
        <v>1048.7392580000001</v>
      </c>
      <c r="S68" s="32">
        <v>1075.797241</v>
      </c>
      <c r="T68" s="32">
        <v>1092.0950929999999</v>
      </c>
      <c r="U68" s="32">
        <v>1116.1171879999999</v>
      </c>
      <c r="V68" s="32">
        <v>1132.2310789999999</v>
      </c>
      <c r="W68" s="32">
        <v>1154.148193</v>
      </c>
      <c r="X68" s="32">
        <v>1180.104004</v>
      </c>
      <c r="Y68" s="32">
        <v>1210.1763920000001</v>
      </c>
      <c r="Z68" s="32">
        <v>1246.465942</v>
      </c>
      <c r="AA68" s="32">
        <v>1281.4117429999999</v>
      </c>
      <c r="AB68" s="32">
        <v>1308.974365</v>
      </c>
      <c r="AC68" s="32">
        <v>1335.300293</v>
      </c>
      <c r="AD68" s="32">
        <v>1364.7108149999999</v>
      </c>
      <c r="AE68" s="32">
        <v>1394.5858149999999</v>
      </c>
      <c r="AF68" s="31">
        <v>4.9175000000000003E-2</v>
      </c>
      <c r="AG68" s="29"/>
    </row>
    <row r="69" spans="1:34" ht="15" customHeight="1">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row>
    <row r="70" spans="1:34" ht="15" customHeight="1">
      <c r="B70" s="33" t="s">
        <v>2461</v>
      </c>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row>
    <row r="71" spans="1:34" ht="15" customHeight="1">
      <c r="A71" s="34" t="s">
        <v>2663</v>
      </c>
      <c r="B71" s="37" t="s">
        <v>2650</v>
      </c>
      <c r="C71" s="36">
        <v>276.15646400000003</v>
      </c>
      <c r="D71" s="36">
        <v>282.25198399999999</v>
      </c>
      <c r="E71" s="36">
        <v>291.51980600000002</v>
      </c>
      <c r="F71" s="36">
        <v>299.52099600000003</v>
      </c>
      <c r="G71" s="36">
        <v>300.167236</v>
      </c>
      <c r="H71" s="36">
        <v>300.14941399999998</v>
      </c>
      <c r="I71" s="36">
        <v>297.92044099999998</v>
      </c>
      <c r="J71" s="36">
        <v>297.58935500000001</v>
      </c>
      <c r="K71" s="36">
        <v>296.07043499999997</v>
      </c>
      <c r="L71" s="36">
        <v>294.62008700000001</v>
      </c>
      <c r="M71" s="36">
        <v>292.22781400000002</v>
      </c>
      <c r="N71" s="36">
        <v>291.99002100000001</v>
      </c>
      <c r="O71" s="36">
        <v>291.646637</v>
      </c>
      <c r="P71" s="36">
        <v>291.59500100000002</v>
      </c>
      <c r="Q71" s="36">
        <v>291.80285600000002</v>
      </c>
      <c r="R71" s="36">
        <v>290.73611499999998</v>
      </c>
      <c r="S71" s="36">
        <v>290.187927</v>
      </c>
      <c r="T71" s="36">
        <v>289.16095000000001</v>
      </c>
      <c r="U71" s="36">
        <v>289.12506100000002</v>
      </c>
      <c r="V71" s="36">
        <v>288.46807899999999</v>
      </c>
      <c r="W71" s="36">
        <v>288.64562999999998</v>
      </c>
      <c r="X71" s="36">
        <v>288.16180400000002</v>
      </c>
      <c r="Y71" s="36">
        <v>288.09075899999999</v>
      </c>
      <c r="Z71" s="36">
        <v>287.92111199999999</v>
      </c>
      <c r="AA71" s="36">
        <v>287.10611</v>
      </c>
      <c r="AB71" s="36">
        <v>286.857147</v>
      </c>
      <c r="AC71" s="36">
        <v>286.68994099999998</v>
      </c>
      <c r="AD71" s="36">
        <v>286.087311</v>
      </c>
      <c r="AE71" s="36">
        <v>284.70706200000001</v>
      </c>
      <c r="AF71" s="35">
        <v>1.09E-3</v>
      </c>
      <c r="AG71" s="29"/>
    </row>
    <row r="72" spans="1:34" ht="15" customHeight="1">
      <c r="A72" s="34" t="s">
        <v>2664</v>
      </c>
      <c r="B72" s="37" t="s">
        <v>2652</v>
      </c>
      <c r="C72" s="36">
        <v>15.603486999999999</v>
      </c>
      <c r="D72" s="36">
        <v>15.400090000000001</v>
      </c>
      <c r="E72" s="36">
        <v>16.169508</v>
      </c>
      <c r="F72" s="36">
        <v>16.901814999999999</v>
      </c>
      <c r="G72" s="36">
        <v>17.687539999999998</v>
      </c>
      <c r="H72" s="36">
        <v>18.305524999999999</v>
      </c>
      <c r="I72" s="36">
        <v>18.91564</v>
      </c>
      <c r="J72" s="36">
        <v>19.998245000000001</v>
      </c>
      <c r="K72" s="36">
        <v>20.952908999999998</v>
      </c>
      <c r="L72" s="36">
        <v>21.559795000000001</v>
      </c>
      <c r="M72" s="36">
        <v>22.265426999999999</v>
      </c>
      <c r="N72" s="36">
        <v>22.577791000000001</v>
      </c>
      <c r="O72" s="36">
        <v>23.424448000000002</v>
      </c>
      <c r="P72" s="36">
        <v>24.103812999999999</v>
      </c>
      <c r="Q72" s="36">
        <v>25.194344000000001</v>
      </c>
      <c r="R72" s="36">
        <v>26.051259999999999</v>
      </c>
      <c r="S72" s="36">
        <v>26.877614999999999</v>
      </c>
      <c r="T72" s="36">
        <v>27.345572000000001</v>
      </c>
      <c r="U72" s="36">
        <v>27.789010999999999</v>
      </c>
      <c r="V72" s="36">
        <v>28.520941000000001</v>
      </c>
      <c r="W72" s="36">
        <v>29.272818000000001</v>
      </c>
      <c r="X72" s="36">
        <v>29.809297999999998</v>
      </c>
      <c r="Y72" s="36">
        <v>30.455145000000002</v>
      </c>
      <c r="Z72" s="36">
        <v>31.489103</v>
      </c>
      <c r="AA72" s="36">
        <v>32.962668999999998</v>
      </c>
      <c r="AB72" s="36">
        <v>34.46463</v>
      </c>
      <c r="AC72" s="36">
        <v>35.393120000000003</v>
      </c>
      <c r="AD72" s="36">
        <v>36.441025000000003</v>
      </c>
      <c r="AE72" s="36">
        <v>37.210799999999999</v>
      </c>
      <c r="AF72" s="35">
        <v>3.1525999999999998E-2</v>
      </c>
      <c r="AG72" s="29"/>
    </row>
    <row r="73" spans="1:34" ht="12" customHeight="1">
      <c r="A73" s="34" t="s">
        <v>2665</v>
      </c>
      <c r="B73" s="37" t="s">
        <v>2666</v>
      </c>
      <c r="C73" s="36">
        <v>14.342224999999999</v>
      </c>
      <c r="D73" s="36">
        <v>15.435862</v>
      </c>
      <c r="E73" s="36">
        <v>16.139071999999999</v>
      </c>
      <c r="F73" s="36">
        <v>16.759008000000001</v>
      </c>
      <c r="G73" s="36">
        <v>17.384197</v>
      </c>
      <c r="H73" s="36">
        <v>18.277134</v>
      </c>
      <c r="I73" s="36">
        <v>18.956875</v>
      </c>
      <c r="J73" s="36">
        <v>19.820156000000001</v>
      </c>
      <c r="K73" s="36">
        <v>20.754487999999998</v>
      </c>
      <c r="L73" s="36">
        <v>21.688589</v>
      </c>
      <c r="M73" s="36">
        <v>22.572596000000001</v>
      </c>
      <c r="N73" s="36">
        <v>23.824883</v>
      </c>
      <c r="O73" s="36">
        <v>24.629341</v>
      </c>
      <c r="P73" s="36">
        <v>25.609214999999999</v>
      </c>
      <c r="Q73" s="36">
        <v>26.680233000000001</v>
      </c>
      <c r="R73" s="36">
        <v>27.779589000000001</v>
      </c>
      <c r="S73" s="36">
        <v>29.082438</v>
      </c>
      <c r="T73" s="36">
        <v>30.290329</v>
      </c>
      <c r="U73" s="36">
        <v>31.212654000000001</v>
      </c>
      <c r="V73" s="36">
        <v>32.171844</v>
      </c>
      <c r="W73" s="36">
        <v>33.174537999999998</v>
      </c>
      <c r="X73" s="36">
        <v>34.167889000000002</v>
      </c>
      <c r="Y73" s="36">
        <v>35.193752000000003</v>
      </c>
      <c r="Z73" s="36">
        <v>36.232880000000002</v>
      </c>
      <c r="AA73" s="36">
        <v>36.886093000000002</v>
      </c>
      <c r="AB73" s="36">
        <v>37.666167999999999</v>
      </c>
      <c r="AC73" s="36">
        <v>38.358967</v>
      </c>
      <c r="AD73" s="36">
        <v>39.054371000000003</v>
      </c>
      <c r="AE73" s="36">
        <v>39.846435999999997</v>
      </c>
      <c r="AF73" s="35">
        <v>3.7168E-2</v>
      </c>
      <c r="AG73" s="29"/>
    </row>
    <row r="74" spans="1:34" ht="15" customHeight="1">
      <c r="A74" s="34" t="s">
        <v>2667</v>
      </c>
      <c r="B74" s="37" t="s">
        <v>2668</v>
      </c>
      <c r="C74" s="36">
        <v>39.566422000000003</v>
      </c>
      <c r="D74" s="36">
        <v>39.623393999999998</v>
      </c>
      <c r="E74" s="36">
        <v>38.606037000000001</v>
      </c>
      <c r="F74" s="36">
        <v>38.847717000000003</v>
      </c>
      <c r="G74" s="36">
        <v>38.839378000000004</v>
      </c>
      <c r="H74" s="36">
        <v>38.904152000000003</v>
      </c>
      <c r="I74" s="36">
        <v>38.541350999999999</v>
      </c>
      <c r="J74" s="36">
        <v>38.453823</v>
      </c>
      <c r="K74" s="36">
        <v>38.591453999999999</v>
      </c>
      <c r="L74" s="36">
        <v>38.877136</v>
      </c>
      <c r="M74" s="36">
        <v>39.099670000000003</v>
      </c>
      <c r="N74" s="36">
        <v>39.331772000000001</v>
      </c>
      <c r="O74" s="36">
        <v>39.500236999999998</v>
      </c>
      <c r="P74" s="36">
        <v>39.669502000000001</v>
      </c>
      <c r="Q74" s="36">
        <v>39.803077999999999</v>
      </c>
      <c r="R74" s="36">
        <v>40.005454999999998</v>
      </c>
      <c r="S74" s="36">
        <v>40.154499000000001</v>
      </c>
      <c r="T74" s="36">
        <v>40.343952000000002</v>
      </c>
      <c r="U74" s="36">
        <v>40.469096999999998</v>
      </c>
      <c r="V74" s="36">
        <v>40.596848000000001</v>
      </c>
      <c r="W74" s="36">
        <v>40.701850999999998</v>
      </c>
      <c r="X74" s="36">
        <v>40.896296999999997</v>
      </c>
      <c r="Y74" s="36">
        <v>41.008865</v>
      </c>
      <c r="Z74" s="36">
        <v>41.097884999999998</v>
      </c>
      <c r="AA74" s="36">
        <v>41.709923000000003</v>
      </c>
      <c r="AB74" s="36">
        <v>41.958508000000002</v>
      </c>
      <c r="AC74" s="36">
        <v>42.129210999999998</v>
      </c>
      <c r="AD74" s="36">
        <v>42.704391000000001</v>
      </c>
      <c r="AE74" s="36">
        <v>43.016983000000003</v>
      </c>
      <c r="AF74" s="35">
        <v>2.9910000000000002E-3</v>
      </c>
      <c r="AG74" s="29"/>
    </row>
    <row r="75" spans="1:34" ht="15" customHeight="1">
      <c r="A75" s="34" t="s">
        <v>2669</v>
      </c>
      <c r="B75" s="37" t="s">
        <v>2658</v>
      </c>
      <c r="C75" s="36">
        <v>205.036057</v>
      </c>
      <c r="D75" s="36">
        <v>256.96063199999998</v>
      </c>
      <c r="E75" s="36">
        <v>340.97277800000001</v>
      </c>
      <c r="F75" s="36">
        <v>467.74664300000001</v>
      </c>
      <c r="G75" s="36">
        <v>609.45904499999995</v>
      </c>
      <c r="H75" s="36">
        <v>740.28387499999997</v>
      </c>
      <c r="I75" s="36">
        <v>822.93804899999998</v>
      </c>
      <c r="J75" s="36">
        <v>875.13500999999997</v>
      </c>
      <c r="K75" s="36">
        <v>911.15679899999998</v>
      </c>
      <c r="L75" s="36">
        <v>963.16156000000001</v>
      </c>
      <c r="M75" s="36">
        <v>1028.0117190000001</v>
      </c>
      <c r="N75" s="36">
        <v>1076.8211670000001</v>
      </c>
      <c r="O75" s="36">
        <v>1122.4106449999999</v>
      </c>
      <c r="P75" s="36">
        <v>1151.1918949999999</v>
      </c>
      <c r="Q75" s="36">
        <v>1199.022461</v>
      </c>
      <c r="R75" s="36">
        <v>1246.7198490000001</v>
      </c>
      <c r="S75" s="36">
        <v>1295.5960689999999</v>
      </c>
      <c r="T75" s="36">
        <v>1331.621948</v>
      </c>
      <c r="U75" s="36">
        <v>1377.7451169999999</v>
      </c>
      <c r="V75" s="36">
        <v>1407.4841309999999</v>
      </c>
      <c r="W75" s="36">
        <v>1439.8161620000001</v>
      </c>
      <c r="X75" s="36">
        <v>1477.3801269999999</v>
      </c>
      <c r="Y75" s="36">
        <v>1526.9357910000001</v>
      </c>
      <c r="Z75" s="36">
        <v>1572.937134</v>
      </c>
      <c r="AA75" s="36">
        <v>1636.6370850000001</v>
      </c>
      <c r="AB75" s="36">
        <v>1681.697754</v>
      </c>
      <c r="AC75" s="36">
        <v>1724.794678</v>
      </c>
      <c r="AD75" s="36">
        <v>1774.6804199999999</v>
      </c>
      <c r="AE75" s="36">
        <v>1828.0029300000001</v>
      </c>
      <c r="AF75" s="35">
        <v>8.1268999999999994E-2</v>
      </c>
      <c r="AG75" s="29"/>
    </row>
    <row r="76" spans="1:34" ht="15" customHeight="1">
      <c r="A76" s="34" t="s">
        <v>2670</v>
      </c>
      <c r="B76" s="37" t="s">
        <v>2660</v>
      </c>
      <c r="C76" s="36">
        <v>439.66888399999999</v>
      </c>
      <c r="D76" s="36">
        <v>466.85281400000002</v>
      </c>
      <c r="E76" s="36">
        <v>472.50402800000001</v>
      </c>
      <c r="F76" s="36">
        <v>512.59161400000005</v>
      </c>
      <c r="G76" s="36">
        <v>582.46112100000005</v>
      </c>
      <c r="H76" s="36">
        <v>670.53576699999996</v>
      </c>
      <c r="I76" s="36">
        <v>781.72882100000004</v>
      </c>
      <c r="J76" s="36">
        <v>876.90997300000004</v>
      </c>
      <c r="K76" s="36">
        <v>967.41284199999996</v>
      </c>
      <c r="L76" s="36">
        <v>1007.541626</v>
      </c>
      <c r="M76" s="36">
        <v>1024.6048579999999</v>
      </c>
      <c r="N76" s="36">
        <v>1068.8414310000001</v>
      </c>
      <c r="O76" s="36">
        <v>1096.8198239999999</v>
      </c>
      <c r="P76" s="36">
        <v>1126.7954099999999</v>
      </c>
      <c r="Q76" s="36">
        <v>1139.380249</v>
      </c>
      <c r="R76" s="36">
        <v>1141.6795649999999</v>
      </c>
      <c r="S76" s="36">
        <v>1141.6958010000001</v>
      </c>
      <c r="T76" s="36">
        <v>1149.950073</v>
      </c>
      <c r="U76" s="36">
        <v>1149.964966</v>
      </c>
      <c r="V76" s="36">
        <v>1156.190552</v>
      </c>
      <c r="W76" s="36">
        <v>1157.6755370000001</v>
      </c>
      <c r="X76" s="36">
        <v>1163.892822</v>
      </c>
      <c r="Y76" s="36">
        <v>1173.834595</v>
      </c>
      <c r="Z76" s="36">
        <v>1181.835327</v>
      </c>
      <c r="AA76" s="36">
        <v>1183.099365</v>
      </c>
      <c r="AB76" s="36">
        <v>1194.873413</v>
      </c>
      <c r="AC76" s="36">
        <v>1206.1123050000001</v>
      </c>
      <c r="AD76" s="36">
        <v>1209.350586</v>
      </c>
      <c r="AE76" s="36">
        <v>1217.7132570000001</v>
      </c>
      <c r="AF76" s="35">
        <v>3.7052000000000002E-2</v>
      </c>
      <c r="AG76" s="29"/>
    </row>
    <row r="77" spans="1:34" ht="15" customHeight="1">
      <c r="A77" s="34" t="s">
        <v>2671</v>
      </c>
      <c r="B77" s="33" t="s">
        <v>2672</v>
      </c>
      <c r="C77" s="32">
        <v>990.37353499999995</v>
      </c>
      <c r="D77" s="32">
        <v>1076.52478</v>
      </c>
      <c r="E77" s="32">
        <v>1175.911255</v>
      </c>
      <c r="F77" s="32">
        <v>1352.367798</v>
      </c>
      <c r="G77" s="32">
        <v>1565.9985349999999</v>
      </c>
      <c r="H77" s="32">
        <v>1786.455811</v>
      </c>
      <c r="I77" s="32">
        <v>1979.001221</v>
      </c>
      <c r="J77" s="32">
        <v>2127.9064939999998</v>
      </c>
      <c r="K77" s="32">
        <v>2254.9389649999998</v>
      </c>
      <c r="L77" s="32">
        <v>2347.4487300000001</v>
      </c>
      <c r="M77" s="32">
        <v>2428.7822270000001</v>
      </c>
      <c r="N77" s="32">
        <v>2523.3872070000002</v>
      </c>
      <c r="O77" s="32">
        <v>2598.4311520000001</v>
      </c>
      <c r="P77" s="32">
        <v>2658.9648440000001</v>
      </c>
      <c r="Q77" s="32">
        <v>2721.8833009999998</v>
      </c>
      <c r="R77" s="32">
        <v>2772.9716800000001</v>
      </c>
      <c r="S77" s="32">
        <v>2823.5942380000001</v>
      </c>
      <c r="T77" s="32">
        <v>2868.7128910000001</v>
      </c>
      <c r="U77" s="32">
        <v>2916.3059079999998</v>
      </c>
      <c r="V77" s="32">
        <v>2953.4323730000001</v>
      </c>
      <c r="W77" s="32">
        <v>2989.2866210000002</v>
      </c>
      <c r="X77" s="32">
        <v>3034.3081050000001</v>
      </c>
      <c r="Y77" s="32">
        <v>3095.5190429999998</v>
      </c>
      <c r="Z77" s="32">
        <v>3151.5134280000002</v>
      </c>
      <c r="AA77" s="32">
        <v>3218.4013669999999</v>
      </c>
      <c r="AB77" s="32">
        <v>3277.517578</v>
      </c>
      <c r="AC77" s="32">
        <v>3333.4782709999999</v>
      </c>
      <c r="AD77" s="32">
        <v>3388.318115</v>
      </c>
      <c r="AE77" s="32">
        <v>3450.4975589999999</v>
      </c>
      <c r="AF77" s="31">
        <v>4.5587000000000003E-2</v>
      </c>
      <c r="AG77" s="29"/>
    </row>
    <row r="78" spans="1:34" ht="15" customHeight="1" thickBot="1">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1:34" ht="12" customHeight="1">
      <c r="B79" s="2179" t="s">
        <v>2673</v>
      </c>
      <c r="C79" s="2180"/>
      <c r="D79" s="2180"/>
      <c r="E79" s="2180"/>
      <c r="F79" s="2180"/>
      <c r="G79" s="2180"/>
      <c r="H79" s="2180"/>
      <c r="I79" s="2180"/>
      <c r="J79" s="2180"/>
      <c r="K79" s="2180"/>
      <c r="L79" s="2180"/>
      <c r="M79" s="2180"/>
      <c r="N79" s="2180"/>
      <c r="O79" s="2180"/>
      <c r="P79" s="2180"/>
      <c r="Q79" s="2180"/>
      <c r="R79" s="2180"/>
      <c r="S79" s="2180"/>
      <c r="T79" s="2180"/>
      <c r="U79" s="2180"/>
      <c r="V79" s="2180"/>
      <c r="W79" s="2180"/>
      <c r="X79" s="2180"/>
      <c r="Y79" s="2180"/>
      <c r="Z79" s="2180"/>
      <c r="AA79" s="2180"/>
      <c r="AB79" s="2180"/>
      <c r="AC79" s="2180"/>
      <c r="AD79" s="2180"/>
      <c r="AE79" s="2180"/>
      <c r="AF79" s="2180"/>
      <c r="AG79" s="2180"/>
      <c r="AH79" s="30"/>
    </row>
    <row r="80" spans="1:34" ht="15" customHeight="1">
      <c r="B80" s="29" t="s">
        <v>2674</v>
      </c>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row>
    <row r="81" spans="2:33" ht="12" customHeight="1">
      <c r="B81" s="29" t="s">
        <v>2675</v>
      </c>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row>
    <row r="82" spans="2:33" ht="15" customHeight="1">
      <c r="B82" s="29" t="s">
        <v>2676</v>
      </c>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2:33" ht="15" customHeight="1">
      <c r="B83" s="29" t="s">
        <v>2677</v>
      </c>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2:33" ht="15" customHeight="1">
      <c r="B84" s="29" t="s">
        <v>2678</v>
      </c>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row>
    <row r="85" spans="2:33" ht="15" customHeight="1">
      <c r="B85" s="29" t="s">
        <v>2679</v>
      </c>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row>
    <row r="86" spans="2:33" ht="15" customHeight="1">
      <c r="B86" s="29" t="s">
        <v>2680</v>
      </c>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row>
    <row r="87" spans="2:33" ht="15" customHeight="1">
      <c r="B87" s="29" t="s">
        <v>2681</v>
      </c>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row>
    <row r="88" spans="2:33" ht="15" customHeight="1">
      <c r="B88" s="29" t="s">
        <v>2682</v>
      </c>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row>
    <row r="89" spans="2:33" ht="15" customHeight="1">
      <c r="B89" s="29" t="s">
        <v>2683</v>
      </c>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row>
    <row r="90" spans="2:33" ht="15" customHeight="1">
      <c r="B90" s="29" t="s">
        <v>2579</v>
      </c>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row>
    <row r="91" spans="2:33" ht="15" customHeight="1">
      <c r="B91" s="29" t="s">
        <v>2684</v>
      </c>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row>
    <row r="92" spans="2:33" ht="12" customHeight="1">
      <c r="B92" s="29" t="s">
        <v>2685</v>
      </c>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row>
    <row r="93" spans="2:33" ht="15" customHeight="1">
      <c r="B93" s="29" t="s">
        <v>2686</v>
      </c>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row>
    <row r="94" spans="2:33" ht="15" customHeight="1">
      <c r="B94" s="29" t="s">
        <v>2687</v>
      </c>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2:33" ht="15" customHeight="1">
      <c r="B95" s="29" t="s">
        <v>2292</v>
      </c>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row>
    <row r="96" spans="2:33" ht="15" customHeight="1">
      <c r="B96" s="29" t="s">
        <v>2584</v>
      </c>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2:33" ht="15" customHeight="1">
      <c r="B97" s="29" t="s">
        <v>2585</v>
      </c>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2:33" ht="15" customHeight="1">
      <c r="B98" s="29" t="s">
        <v>2586</v>
      </c>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2:33" ht="15" customHeight="1">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2:33" ht="15" customHeight="1">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2:33" ht="12" customHeight="1">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2:33" ht="12" customHeight="1">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2:33" ht="15" customHeight="1">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2:33" ht="15" customHeigh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2:33" ht="15" customHeight="1">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2:33" ht="15" customHeight="1">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2:33" ht="15" customHeight="1">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2:33" ht="15" customHeight="1">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row>
    <row r="109" spans="2:33" ht="15" customHeight="1">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row>
    <row r="112" spans="2:33" ht="15" customHeight="1">
      <c r="B112" s="2178"/>
      <c r="C112" s="2178"/>
      <c r="D112" s="2178"/>
      <c r="E112" s="2178"/>
      <c r="F112" s="2178"/>
      <c r="G112" s="2178"/>
      <c r="H112" s="2178"/>
      <c r="I112" s="2178"/>
      <c r="J112" s="2178"/>
      <c r="K112" s="2178"/>
      <c r="L112" s="2178"/>
      <c r="M112" s="2178"/>
      <c r="N112" s="2178"/>
      <c r="O112" s="2178"/>
      <c r="P112" s="2178"/>
      <c r="Q112" s="2178"/>
      <c r="R112" s="2178"/>
      <c r="S112" s="2178"/>
      <c r="T112" s="2178"/>
      <c r="U112" s="2178"/>
      <c r="V112" s="2178"/>
      <c r="W112" s="2178"/>
      <c r="X112" s="2178"/>
      <c r="Y112" s="2178"/>
      <c r="Z112" s="2178"/>
      <c r="AA112" s="2178"/>
      <c r="AB112" s="2178"/>
      <c r="AC112" s="2178"/>
      <c r="AD112" s="2178"/>
      <c r="AE112" s="2178"/>
      <c r="AF112" s="2178"/>
    </row>
    <row r="141" ht="12" customHeight="1"/>
    <row r="142" ht="12" customHeight="1"/>
    <row r="143" ht="12" customHeight="1"/>
    <row r="144" ht="12" customHeight="1"/>
    <row r="145" ht="12" customHeight="1"/>
    <row r="146" ht="12" customHeight="1"/>
    <row r="147" ht="12" customHeight="1"/>
    <row r="148" ht="12" customHeight="1"/>
    <row r="149" ht="12" customHeight="1"/>
    <row r="165" ht="12" customHeight="1"/>
    <row r="180" ht="12" customHeight="1"/>
    <row r="204" ht="12" customHeight="1"/>
    <row r="205" ht="12" customHeight="1"/>
    <row r="223" ht="12" customHeight="1"/>
    <row r="226" ht="12" customHeight="1"/>
    <row r="256" ht="12" customHeight="1"/>
    <row r="257" ht="12" customHeight="1"/>
    <row r="269" ht="12" customHeight="1"/>
    <row r="299" ht="12" customHeight="1"/>
    <row r="308" spans="2:32" ht="15" customHeight="1">
      <c r="B308" s="2178"/>
      <c r="C308" s="2178"/>
      <c r="D308" s="2178"/>
      <c r="E308" s="2178"/>
      <c r="F308" s="2178"/>
      <c r="G308" s="2178"/>
      <c r="H308" s="2178"/>
      <c r="I308" s="2178"/>
      <c r="J308" s="2178"/>
      <c r="K308" s="2178"/>
      <c r="L308" s="2178"/>
      <c r="M308" s="2178"/>
      <c r="N308" s="2178"/>
      <c r="O308" s="2178"/>
      <c r="P308" s="2178"/>
      <c r="Q308" s="2178"/>
      <c r="R308" s="2178"/>
      <c r="S308" s="2178"/>
      <c r="T308" s="2178"/>
      <c r="U308" s="2178"/>
      <c r="V308" s="2178"/>
      <c r="W308" s="2178"/>
      <c r="X308" s="2178"/>
      <c r="Y308" s="2178"/>
      <c r="Z308" s="2178"/>
      <c r="AA308" s="2178"/>
      <c r="AB308" s="2178"/>
      <c r="AC308" s="2178"/>
      <c r="AD308" s="2178"/>
      <c r="AE308" s="2178"/>
      <c r="AF308" s="2178"/>
    </row>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85" ht="12" customHeight="1"/>
    <row r="392" ht="12" customHeight="1"/>
    <row r="402" ht="12" customHeight="1"/>
    <row r="412" ht="12" customHeight="1"/>
    <row r="419" ht="12" customHeight="1"/>
    <row r="420" ht="12" customHeight="1"/>
    <row r="433" ht="12" customHeight="1"/>
    <row r="443" ht="12" customHeight="1"/>
    <row r="444" ht="12" customHeight="1"/>
    <row r="451" ht="12" customHeight="1"/>
    <row r="458" ht="12" customHeight="1"/>
    <row r="468" ht="12" customHeight="1"/>
    <row r="469" ht="12" customHeight="1"/>
    <row r="479" ht="12" customHeight="1"/>
    <row r="486" ht="12" customHeight="1"/>
    <row r="499" spans="2:32" ht="12" customHeight="1"/>
    <row r="509" spans="2:32" ht="12" customHeight="1"/>
    <row r="511" spans="2:32" ht="15" customHeight="1">
      <c r="B511" s="2178"/>
      <c r="C511" s="2178"/>
      <c r="D511" s="2178"/>
      <c r="E511" s="2178"/>
      <c r="F511" s="2178"/>
      <c r="G511" s="2178"/>
      <c r="H511" s="2178"/>
      <c r="I511" s="2178"/>
      <c r="J511" s="2178"/>
      <c r="K511" s="2178"/>
      <c r="L511" s="2178"/>
      <c r="M511" s="2178"/>
      <c r="N511" s="2178"/>
      <c r="O511" s="2178"/>
      <c r="P511" s="2178"/>
      <c r="Q511" s="2178"/>
      <c r="R511" s="2178"/>
      <c r="S511" s="2178"/>
      <c r="T511" s="2178"/>
      <c r="U511" s="2178"/>
      <c r="V511" s="2178"/>
      <c r="W511" s="2178"/>
      <c r="X511" s="2178"/>
      <c r="Y511" s="2178"/>
      <c r="Z511" s="2178"/>
      <c r="AA511" s="2178"/>
      <c r="AB511" s="2178"/>
      <c r="AC511" s="2178"/>
      <c r="AD511" s="2178"/>
      <c r="AE511" s="2178"/>
      <c r="AF511" s="2178"/>
    </row>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86" ht="12" customHeight="1"/>
    <row r="588" ht="12" customHeight="1"/>
    <row r="596" ht="12" customHeight="1"/>
    <row r="616" ht="12" customHeight="1"/>
    <row r="625" ht="12" customHeight="1"/>
    <row r="631" ht="12" customHeight="1"/>
    <row r="638" ht="12" customHeight="1"/>
    <row r="640" ht="12" customHeight="1"/>
    <row r="659" ht="12" customHeight="1"/>
    <row r="661" ht="12" customHeight="1"/>
    <row r="680" ht="12" customHeight="1"/>
    <row r="687" ht="12" customHeight="1"/>
    <row r="699" ht="12" customHeight="1"/>
    <row r="712" spans="2:32" ht="15" customHeight="1">
      <c r="B712" s="2178"/>
      <c r="C712" s="2178"/>
      <c r="D712" s="2178"/>
      <c r="E712" s="2178"/>
      <c r="F712" s="2178"/>
      <c r="G712" s="2178"/>
      <c r="H712" s="2178"/>
      <c r="I712" s="2178"/>
      <c r="J712" s="2178"/>
      <c r="K712" s="2178"/>
      <c r="L712" s="2178"/>
      <c r="M712" s="2178"/>
      <c r="N712" s="2178"/>
      <c r="O712" s="2178"/>
      <c r="P712" s="2178"/>
      <c r="Q712" s="2178"/>
      <c r="R712" s="2178"/>
      <c r="S712" s="2178"/>
      <c r="T712" s="2178"/>
      <c r="U712" s="2178"/>
      <c r="V712" s="2178"/>
      <c r="W712" s="2178"/>
      <c r="X712" s="2178"/>
      <c r="Y712" s="2178"/>
      <c r="Z712" s="2178"/>
      <c r="AA712" s="2178"/>
      <c r="AB712" s="2178"/>
      <c r="AC712" s="2178"/>
      <c r="AD712" s="2178"/>
      <c r="AE712" s="2178"/>
      <c r="AF712" s="2178"/>
    </row>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81" ht="12" customHeight="1"/>
    <row r="786" ht="12" customHeight="1"/>
    <row r="791" ht="12" customHeight="1"/>
    <row r="807" ht="12" customHeight="1"/>
    <row r="815" ht="12" customHeight="1"/>
    <row r="821" ht="12" customHeight="1"/>
    <row r="824" ht="12" customHeight="1"/>
    <row r="839" ht="12" customHeight="1"/>
    <row r="841" ht="12" customHeight="1"/>
    <row r="856" ht="12" customHeight="1"/>
    <row r="862" ht="12" customHeight="1"/>
    <row r="874" ht="12" customHeight="1"/>
    <row r="887" spans="2:32" ht="15" customHeight="1">
      <c r="B887" s="2178"/>
      <c r="C887" s="2178"/>
      <c r="D887" s="2178"/>
      <c r="E887" s="2178"/>
      <c r="F887" s="2178"/>
      <c r="G887" s="2178"/>
      <c r="H887" s="2178"/>
      <c r="I887" s="2178"/>
      <c r="J887" s="2178"/>
      <c r="K887" s="2178"/>
      <c r="L887" s="2178"/>
      <c r="M887" s="2178"/>
      <c r="N887" s="2178"/>
      <c r="O887" s="2178"/>
      <c r="P887" s="2178"/>
      <c r="Q887" s="2178"/>
      <c r="R887" s="2178"/>
      <c r="S887" s="2178"/>
      <c r="T887" s="2178"/>
      <c r="U887" s="2178"/>
      <c r="V887" s="2178"/>
      <c r="W887" s="2178"/>
      <c r="X887" s="2178"/>
      <c r="Y887" s="2178"/>
      <c r="Z887" s="2178"/>
      <c r="AA887" s="2178"/>
      <c r="AB887" s="2178"/>
      <c r="AC887" s="2178"/>
      <c r="AD887" s="2178"/>
      <c r="AE887" s="2178"/>
      <c r="AF887" s="2178"/>
    </row>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60" ht="12" customHeight="1"/>
    <row r="986" ht="12" customHeight="1"/>
    <row r="987" ht="12" customHeight="1"/>
    <row r="1017" ht="12" customHeight="1"/>
    <row r="1018" ht="12" customHeight="1"/>
    <row r="1039" ht="12" customHeight="1"/>
    <row r="1067" ht="12" customHeight="1"/>
    <row r="1096" spans="2:32" ht="12" customHeight="1"/>
    <row r="1101" spans="2:32" ht="15" customHeight="1">
      <c r="B1101" s="2178"/>
      <c r="C1101" s="2178"/>
      <c r="D1101" s="2178"/>
      <c r="E1101" s="2178"/>
      <c r="F1101" s="2178"/>
      <c r="G1101" s="2178"/>
      <c r="H1101" s="2178"/>
      <c r="I1101" s="2178"/>
      <c r="J1101" s="2178"/>
      <c r="K1101" s="2178"/>
      <c r="L1101" s="2178"/>
      <c r="M1101" s="2178"/>
      <c r="N1101" s="2178"/>
      <c r="O1101" s="2178"/>
      <c r="P1101" s="2178"/>
      <c r="Q1101" s="2178"/>
      <c r="R1101" s="2178"/>
      <c r="S1101" s="2178"/>
      <c r="T1101" s="2178"/>
      <c r="U1101" s="2178"/>
      <c r="V1101" s="2178"/>
      <c r="W1101" s="2178"/>
      <c r="X1101" s="2178"/>
      <c r="Y1101" s="2178"/>
      <c r="Z1101" s="2178"/>
      <c r="AA1101" s="2178"/>
      <c r="AB1101" s="2178"/>
      <c r="AC1101" s="2178"/>
      <c r="AD1101" s="2178"/>
      <c r="AE1101" s="2178"/>
      <c r="AF1101" s="2178"/>
    </row>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69" ht="12" customHeight="1"/>
    <row r="1193" ht="12" customHeight="1"/>
    <row r="1211" ht="12" customHeight="1"/>
    <row r="1229" spans="2:32" ht="15" customHeight="1">
      <c r="B1229" s="2178"/>
      <c r="C1229" s="2178"/>
      <c r="D1229" s="2178"/>
      <c r="E1229" s="2178"/>
      <c r="F1229" s="2178"/>
      <c r="G1229" s="2178"/>
      <c r="H1229" s="2178"/>
      <c r="I1229" s="2178"/>
      <c r="J1229" s="2178"/>
      <c r="K1229" s="2178"/>
      <c r="L1229" s="2178"/>
      <c r="M1229" s="2178"/>
      <c r="N1229" s="2178"/>
      <c r="O1229" s="2178"/>
      <c r="P1229" s="2178"/>
      <c r="Q1229" s="2178"/>
      <c r="R1229" s="2178"/>
      <c r="S1229" s="2178"/>
      <c r="T1229" s="2178"/>
      <c r="U1229" s="2178"/>
      <c r="V1229" s="2178"/>
      <c r="W1229" s="2178"/>
      <c r="X1229" s="2178"/>
      <c r="Y1229" s="2178"/>
      <c r="Z1229" s="2178"/>
      <c r="AA1229" s="2178"/>
      <c r="AB1229" s="2178"/>
      <c r="AC1229" s="2178"/>
      <c r="AD1229" s="2178"/>
      <c r="AE1229" s="2178"/>
      <c r="AF1229" s="2178"/>
    </row>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6" ht="12" customHeight="1"/>
    <row r="1326" ht="12" customHeight="1"/>
    <row r="1328" ht="12" customHeight="1"/>
    <row r="1339" ht="12" customHeight="1"/>
    <row r="1349" ht="12" customHeight="1"/>
    <row r="1351" ht="12" customHeight="1"/>
    <row r="1360" ht="12" customHeight="1"/>
    <row r="1374" ht="12" customHeight="1"/>
    <row r="1384" spans="2:32" ht="12" customHeight="1"/>
    <row r="1390" spans="2:32" ht="15" customHeight="1">
      <c r="B1390" s="2178"/>
      <c r="C1390" s="2178"/>
      <c r="D1390" s="2178"/>
      <c r="E1390" s="2178"/>
      <c r="F1390" s="2178"/>
      <c r="G1390" s="2178"/>
      <c r="H1390" s="2178"/>
      <c r="I1390" s="2178"/>
      <c r="J1390" s="2178"/>
      <c r="K1390" s="2178"/>
      <c r="L1390" s="2178"/>
      <c r="M1390" s="2178"/>
      <c r="N1390" s="2178"/>
      <c r="O1390" s="2178"/>
      <c r="P1390" s="2178"/>
      <c r="Q1390" s="2178"/>
      <c r="R1390" s="2178"/>
      <c r="S1390" s="2178"/>
      <c r="T1390" s="2178"/>
      <c r="U1390" s="2178"/>
      <c r="V1390" s="2178"/>
      <c r="W1390" s="2178"/>
      <c r="X1390" s="2178"/>
      <c r="Y1390" s="2178"/>
      <c r="Z1390" s="2178"/>
      <c r="AA1390" s="2178"/>
      <c r="AB1390" s="2178"/>
      <c r="AC1390" s="2178"/>
      <c r="AD1390" s="2178"/>
      <c r="AE1390" s="2178"/>
      <c r="AF1390" s="2178"/>
    </row>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50" ht="12" customHeight="1"/>
    <row r="1476" ht="12" customHeight="1"/>
    <row r="1488" ht="12" customHeight="1"/>
    <row r="1490" spans="2:32" ht="12" customHeight="1"/>
    <row r="1499" spans="2:32" ht="12" customHeight="1"/>
    <row r="1502" spans="2:32" ht="15" customHeight="1">
      <c r="B1502" s="2178"/>
      <c r="C1502" s="2178"/>
      <c r="D1502" s="2178"/>
      <c r="E1502" s="2178"/>
      <c r="F1502" s="2178"/>
      <c r="G1502" s="2178"/>
      <c r="H1502" s="2178"/>
      <c r="I1502" s="2178"/>
      <c r="J1502" s="2178"/>
      <c r="K1502" s="2178"/>
      <c r="L1502" s="2178"/>
      <c r="M1502" s="2178"/>
      <c r="N1502" s="2178"/>
      <c r="O1502" s="2178"/>
      <c r="P1502" s="2178"/>
      <c r="Q1502" s="2178"/>
      <c r="R1502" s="2178"/>
      <c r="S1502" s="2178"/>
      <c r="T1502" s="2178"/>
      <c r="U1502" s="2178"/>
      <c r="V1502" s="2178"/>
      <c r="W1502" s="2178"/>
      <c r="X1502" s="2178"/>
      <c r="Y1502" s="2178"/>
      <c r="Z1502" s="2178"/>
      <c r="AA1502" s="2178"/>
      <c r="AB1502" s="2178"/>
      <c r="AC1502" s="2178"/>
      <c r="AD1502" s="2178"/>
      <c r="AE1502" s="2178"/>
      <c r="AF1502" s="2178"/>
    </row>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6" ht="12" customHeight="1"/>
    <row r="1591" ht="12" customHeight="1"/>
    <row r="1593" ht="12" customHeight="1"/>
    <row r="1598" ht="12" customHeight="1"/>
    <row r="1604" spans="2:32" ht="15" customHeight="1">
      <c r="B1604" s="2178"/>
      <c r="C1604" s="2178"/>
      <c r="D1604" s="2178"/>
      <c r="E1604" s="2178"/>
      <c r="F1604" s="2178"/>
      <c r="G1604" s="2178"/>
      <c r="H1604" s="2178"/>
      <c r="I1604" s="2178"/>
      <c r="J1604" s="2178"/>
      <c r="K1604" s="2178"/>
      <c r="L1604" s="2178"/>
      <c r="M1604" s="2178"/>
      <c r="N1604" s="2178"/>
      <c r="O1604" s="2178"/>
      <c r="P1604" s="2178"/>
      <c r="Q1604" s="2178"/>
      <c r="R1604" s="2178"/>
      <c r="S1604" s="2178"/>
      <c r="T1604" s="2178"/>
      <c r="U1604" s="2178"/>
      <c r="V1604" s="2178"/>
      <c r="W1604" s="2178"/>
      <c r="X1604" s="2178"/>
      <c r="Y1604" s="2178"/>
      <c r="Z1604" s="2178"/>
      <c r="AA1604" s="2178"/>
      <c r="AB1604" s="2178"/>
      <c r="AC1604" s="2178"/>
      <c r="AD1604" s="2178"/>
      <c r="AE1604" s="2178"/>
      <c r="AF1604" s="2178"/>
    </row>
    <row r="1612" spans="2:32" ht="12" customHeight="1"/>
    <row r="1613" spans="2:32" ht="12" customHeight="1"/>
    <row r="1614" spans="2:32" ht="12" customHeight="1"/>
    <row r="1615" spans="2:32" ht="12" customHeight="1"/>
    <row r="1616" spans="2:32" ht="12" customHeight="1"/>
    <row r="1617" ht="12" customHeight="1"/>
    <row r="1618" ht="12" customHeight="1"/>
    <row r="1619" ht="12" customHeight="1"/>
    <row r="1620" ht="12" customHeight="1"/>
    <row r="1621" ht="12" customHeight="1"/>
    <row r="1622" ht="12" customHeight="1"/>
    <row r="1623" ht="12" customHeight="1"/>
    <row r="1624" ht="12" customHeight="1"/>
    <row r="1639" ht="12" customHeight="1"/>
    <row r="1665" ht="12" customHeight="1"/>
    <row r="1667" ht="12" customHeight="1"/>
    <row r="1668" ht="12" customHeight="1"/>
    <row r="1686" ht="12" customHeight="1"/>
    <row r="1688" ht="12" customHeight="1"/>
    <row r="1697" spans="2:32" ht="12" customHeight="1"/>
    <row r="1699" spans="2:32" ht="15" customHeight="1">
      <c r="B1699" s="2178"/>
      <c r="C1699" s="2178"/>
      <c r="D1699" s="2178"/>
      <c r="E1699" s="2178"/>
      <c r="F1699" s="2178"/>
      <c r="G1699" s="2178"/>
      <c r="H1699" s="2178"/>
      <c r="I1699" s="2178"/>
      <c r="J1699" s="2178"/>
      <c r="K1699" s="2178"/>
      <c r="L1699" s="2178"/>
      <c r="M1699" s="2178"/>
      <c r="N1699" s="2178"/>
      <c r="O1699" s="2178"/>
      <c r="P1699" s="2178"/>
      <c r="Q1699" s="2178"/>
      <c r="R1699" s="2178"/>
      <c r="S1699" s="2178"/>
      <c r="T1699" s="2178"/>
      <c r="U1699" s="2178"/>
      <c r="V1699" s="2178"/>
      <c r="W1699" s="2178"/>
      <c r="X1699" s="2178"/>
      <c r="Y1699" s="2178"/>
      <c r="Z1699" s="2178"/>
      <c r="AA1699" s="2178"/>
      <c r="AB1699" s="2178"/>
      <c r="AC1699" s="2178"/>
      <c r="AD1699" s="2178"/>
      <c r="AE1699" s="2178"/>
      <c r="AF1699" s="2178"/>
    </row>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60" ht="12" customHeight="1"/>
    <row r="1862" ht="12" customHeight="1"/>
    <row r="1866" ht="12" customHeight="1"/>
    <row r="1871" ht="12" customHeight="1"/>
    <row r="1877" ht="12" customHeight="1"/>
    <row r="1887" ht="12" customHeight="1"/>
    <row r="1892" ht="12" customHeight="1"/>
    <row r="1901" ht="12" customHeight="1"/>
    <row r="1902" ht="12" customHeight="1"/>
    <row r="1908" ht="12" customHeight="1"/>
    <row r="1914" ht="12" customHeight="1"/>
    <row r="1918" ht="12" customHeight="1"/>
    <row r="1923" ht="12" customHeight="1"/>
    <row r="1932" ht="12" customHeight="1"/>
    <row r="1936" ht="12" customHeight="1"/>
    <row r="1945" spans="2:32" ht="15" customHeight="1">
      <c r="B1945" s="2178"/>
      <c r="C1945" s="2178"/>
      <c r="D1945" s="2178"/>
      <c r="E1945" s="2178"/>
      <c r="F1945" s="2178"/>
      <c r="G1945" s="2178"/>
      <c r="H1945" s="2178"/>
      <c r="I1945" s="2178"/>
      <c r="J1945" s="2178"/>
      <c r="K1945" s="2178"/>
      <c r="L1945" s="2178"/>
      <c r="M1945" s="2178"/>
      <c r="N1945" s="2178"/>
      <c r="O1945" s="2178"/>
      <c r="P1945" s="2178"/>
      <c r="Q1945" s="2178"/>
      <c r="R1945" s="2178"/>
      <c r="S1945" s="2178"/>
      <c r="T1945" s="2178"/>
      <c r="U1945" s="2178"/>
      <c r="V1945" s="2178"/>
      <c r="W1945" s="2178"/>
      <c r="X1945" s="2178"/>
      <c r="Y1945" s="2178"/>
      <c r="Z1945" s="2178"/>
      <c r="AA1945" s="2178"/>
      <c r="AB1945" s="2178"/>
      <c r="AC1945" s="2178"/>
      <c r="AD1945" s="2178"/>
      <c r="AE1945" s="2178"/>
      <c r="AF1945" s="2178"/>
    </row>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83" ht="12" customHeight="1"/>
    <row r="1987" ht="12" customHeight="1"/>
    <row r="1989" ht="12" customHeight="1"/>
    <row r="2003" ht="12" customHeight="1"/>
    <row r="2005" ht="12" customHeight="1"/>
    <row r="2007" ht="12" customHeight="1"/>
    <row r="2010" ht="12" customHeight="1"/>
    <row r="2021" spans="2:32" ht="12" customHeight="1"/>
    <row r="2031" spans="2:32" ht="15" customHeight="1">
      <c r="B2031" s="2178"/>
      <c r="C2031" s="2178"/>
      <c r="D2031" s="2178"/>
      <c r="E2031" s="2178"/>
      <c r="F2031" s="2178"/>
      <c r="G2031" s="2178"/>
      <c r="H2031" s="2178"/>
      <c r="I2031" s="2178"/>
      <c r="J2031" s="2178"/>
      <c r="K2031" s="2178"/>
      <c r="L2031" s="2178"/>
      <c r="M2031" s="2178"/>
      <c r="N2031" s="2178"/>
      <c r="O2031" s="2178"/>
      <c r="P2031" s="2178"/>
      <c r="Q2031" s="2178"/>
      <c r="R2031" s="2178"/>
      <c r="S2031" s="2178"/>
      <c r="T2031" s="2178"/>
      <c r="U2031" s="2178"/>
      <c r="V2031" s="2178"/>
      <c r="W2031" s="2178"/>
      <c r="X2031" s="2178"/>
      <c r="Y2031" s="2178"/>
      <c r="Z2031" s="2178"/>
      <c r="AA2031" s="2178"/>
      <c r="AB2031" s="2178"/>
      <c r="AC2031" s="2178"/>
      <c r="AD2031" s="2178"/>
      <c r="AE2031" s="2178"/>
      <c r="AF2031" s="2178"/>
    </row>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6" ht="12" customHeight="1"/>
    <row r="2109" ht="12" customHeight="1"/>
    <row r="2123" ht="12" customHeight="1"/>
    <row r="2130" ht="12" customHeight="1"/>
    <row r="2132" ht="12" customHeight="1"/>
    <row r="2135" ht="12" customHeight="1"/>
    <row r="2147" spans="2:32" ht="12" customHeight="1"/>
    <row r="2149" spans="2:32" ht="12" customHeight="1"/>
    <row r="2150" spans="2:32" ht="12" customHeight="1"/>
    <row r="2153" spans="2:32" ht="15" customHeight="1">
      <c r="B2153" s="2178"/>
      <c r="C2153" s="2178"/>
      <c r="D2153" s="2178"/>
      <c r="E2153" s="2178"/>
      <c r="F2153" s="2178"/>
      <c r="G2153" s="2178"/>
      <c r="H2153" s="2178"/>
      <c r="I2153" s="2178"/>
      <c r="J2153" s="2178"/>
      <c r="K2153" s="2178"/>
      <c r="L2153" s="2178"/>
      <c r="M2153" s="2178"/>
      <c r="N2153" s="2178"/>
      <c r="O2153" s="2178"/>
      <c r="P2153" s="2178"/>
      <c r="Q2153" s="2178"/>
      <c r="R2153" s="2178"/>
      <c r="S2153" s="2178"/>
      <c r="T2153" s="2178"/>
      <c r="U2153" s="2178"/>
      <c r="V2153" s="2178"/>
      <c r="W2153" s="2178"/>
      <c r="X2153" s="2178"/>
      <c r="Y2153" s="2178"/>
      <c r="Z2153" s="2178"/>
      <c r="AA2153" s="2178"/>
      <c r="AB2153" s="2178"/>
      <c r="AC2153" s="2178"/>
      <c r="AD2153" s="2178"/>
      <c r="AE2153" s="2178"/>
      <c r="AF2153" s="2178"/>
    </row>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9" ht="12" customHeight="1"/>
    <row r="2263" ht="12" customHeight="1"/>
    <row r="2265" ht="12" customHeight="1"/>
    <row r="2270" ht="12" customHeight="1"/>
    <row r="2272" ht="12" customHeight="1"/>
    <row r="2281" ht="12" customHeight="1"/>
    <row r="2283" ht="12" customHeight="1"/>
    <row r="2287" ht="12" customHeight="1"/>
    <row r="2299" ht="12" customHeight="1"/>
    <row r="2300" ht="12" customHeight="1"/>
    <row r="2304" ht="12" customHeight="1"/>
    <row r="2317" spans="2:32" ht="15" customHeight="1">
      <c r="B2317" s="2178"/>
      <c r="C2317" s="2178"/>
      <c r="D2317" s="2178"/>
      <c r="E2317" s="2178"/>
      <c r="F2317" s="2178"/>
      <c r="G2317" s="2178"/>
      <c r="H2317" s="2178"/>
      <c r="I2317" s="2178"/>
      <c r="J2317" s="2178"/>
      <c r="K2317" s="2178"/>
      <c r="L2317" s="2178"/>
      <c r="M2317" s="2178"/>
      <c r="N2317" s="2178"/>
      <c r="O2317" s="2178"/>
      <c r="P2317" s="2178"/>
      <c r="Q2317" s="2178"/>
      <c r="R2317" s="2178"/>
      <c r="S2317" s="2178"/>
      <c r="T2317" s="2178"/>
      <c r="U2317" s="2178"/>
      <c r="V2317" s="2178"/>
      <c r="W2317" s="2178"/>
      <c r="X2317" s="2178"/>
      <c r="Y2317" s="2178"/>
      <c r="Z2317" s="2178"/>
      <c r="AA2317" s="2178"/>
      <c r="AB2317" s="2178"/>
      <c r="AC2317" s="2178"/>
      <c r="AD2317" s="2178"/>
      <c r="AE2317" s="2178"/>
      <c r="AF2317" s="2178"/>
    </row>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66" ht="12" customHeight="1"/>
    <row r="2379" ht="12" customHeight="1"/>
    <row r="2389" ht="12" customHeight="1"/>
    <row r="2398" ht="12" customHeight="1"/>
    <row r="2399" ht="12" customHeight="1"/>
    <row r="2409" ht="12" customHeight="1"/>
    <row r="2419" spans="2:32" ht="15" customHeight="1">
      <c r="B2419" s="2178"/>
      <c r="C2419" s="2178"/>
      <c r="D2419" s="2178"/>
      <c r="E2419" s="2178"/>
      <c r="F2419" s="2178"/>
      <c r="G2419" s="2178"/>
      <c r="H2419" s="2178"/>
      <c r="I2419" s="2178"/>
      <c r="J2419" s="2178"/>
      <c r="K2419" s="2178"/>
      <c r="L2419" s="2178"/>
      <c r="M2419" s="2178"/>
      <c r="N2419" s="2178"/>
      <c r="O2419" s="2178"/>
      <c r="P2419" s="2178"/>
      <c r="Q2419" s="2178"/>
      <c r="R2419" s="2178"/>
      <c r="S2419" s="2178"/>
      <c r="T2419" s="2178"/>
      <c r="U2419" s="2178"/>
      <c r="V2419" s="2178"/>
      <c r="W2419" s="2178"/>
      <c r="X2419" s="2178"/>
      <c r="Y2419" s="2178"/>
      <c r="Z2419" s="2178"/>
      <c r="AA2419" s="2178"/>
      <c r="AB2419" s="2178"/>
      <c r="AC2419" s="2178"/>
      <c r="AD2419" s="2178"/>
      <c r="AE2419" s="2178"/>
      <c r="AF2419" s="2178"/>
    </row>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6" ht="12" customHeight="1"/>
    <row r="2458" ht="12" customHeight="1"/>
    <row r="2460" ht="12" customHeight="1"/>
    <row r="2466" ht="12" customHeight="1"/>
    <row r="2474" ht="12" customHeight="1"/>
    <row r="2485" ht="12" customHeight="1"/>
    <row r="2487" ht="12" customHeight="1"/>
    <row r="2493" ht="12" customHeight="1"/>
    <row r="2494" ht="12" customHeight="1"/>
    <row r="2497" spans="2:32" ht="12" customHeight="1"/>
    <row r="2503" spans="2:32" ht="12" customHeight="1"/>
    <row r="2509" spans="2:32" ht="15" customHeight="1">
      <c r="B2509" s="2178"/>
      <c r="C2509" s="2178"/>
      <c r="D2509" s="2178"/>
      <c r="E2509" s="2178"/>
      <c r="F2509" s="2178"/>
      <c r="G2509" s="2178"/>
      <c r="H2509" s="2178"/>
      <c r="I2509" s="2178"/>
      <c r="J2509" s="2178"/>
      <c r="K2509" s="2178"/>
      <c r="L2509" s="2178"/>
      <c r="M2509" s="2178"/>
      <c r="N2509" s="2178"/>
      <c r="O2509" s="2178"/>
      <c r="P2509" s="2178"/>
      <c r="Q2509" s="2178"/>
      <c r="R2509" s="2178"/>
      <c r="S2509" s="2178"/>
      <c r="T2509" s="2178"/>
      <c r="U2509" s="2178"/>
      <c r="V2509" s="2178"/>
      <c r="W2509" s="2178"/>
      <c r="X2509" s="2178"/>
      <c r="Y2509" s="2178"/>
      <c r="Z2509" s="2178"/>
      <c r="AA2509" s="2178"/>
      <c r="AB2509" s="2178"/>
      <c r="AC2509" s="2178"/>
      <c r="AD2509" s="2178"/>
      <c r="AE2509" s="2178"/>
      <c r="AF2509" s="2178"/>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60" ht="12" customHeight="1"/>
    <row r="2567" ht="12" customHeight="1"/>
    <row r="2574" ht="12" customHeight="1"/>
    <row r="2580" ht="12" customHeight="1"/>
    <row r="2587" ht="12" customHeight="1"/>
    <row r="2594" spans="2:32" ht="12" customHeight="1"/>
    <row r="2598" spans="2:32" ht="15" customHeight="1">
      <c r="B2598" s="2178"/>
      <c r="C2598" s="2178"/>
      <c r="D2598" s="2178"/>
      <c r="E2598" s="2178"/>
      <c r="F2598" s="2178"/>
      <c r="G2598" s="2178"/>
      <c r="H2598" s="2178"/>
      <c r="I2598" s="2178"/>
      <c r="J2598" s="2178"/>
      <c r="K2598" s="2178"/>
      <c r="L2598" s="2178"/>
      <c r="M2598" s="2178"/>
      <c r="N2598" s="2178"/>
      <c r="O2598" s="2178"/>
      <c r="P2598" s="2178"/>
      <c r="Q2598" s="2178"/>
      <c r="R2598" s="2178"/>
      <c r="S2598" s="2178"/>
      <c r="T2598" s="2178"/>
      <c r="U2598" s="2178"/>
      <c r="V2598" s="2178"/>
      <c r="W2598" s="2178"/>
      <c r="X2598" s="2178"/>
      <c r="Y2598" s="2178"/>
      <c r="Z2598" s="2178"/>
      <c r="AA2598" s="2178"/>
      <c r="AB2598" s="2178"/>
      <c r="AC2598" s="2178"/>
      <c r="AD2598" s="2178"/>
      <c r="AE2598" s="2178"/>
      <c r="AF2598" s="2178"/>
    </row>
    <row r="2616" ht="12" customHeight="1"/>
    <row r="2617" ht="12" customHeight="1"/>
    <row r="2618" ht="12" customHeight="1"/>
    <row r="2619" ht="12" customHeight="1"/>
    <row r="2620" ht="12" customHeight="1"/>
    <row r="2621" ht="12" customHeight="1"/>
    <row r="2622" ht="12" customHeight="1"/>
    <row r="2623" ht="12" customHeight="1"/>
    <row r="2624" ht="12" customHeight="1"/>
    <row r="2647" ht="12" customHeight="1"/>
    <row r="2660" ht="12" customHeight="1"/>
    <row r="2661" ht="12" customHeight="1"/>
    <row r="2688" ht="12" customHeight="1"/>
    <row r="2705" spans="2:32" ht="12" customHeight="1"/>
    <row r="2706" spans="2:32" ht="12" customHeight="1"/>
    <row r="2719" spans="2:32" ht="15" customHeight="1">
      <c r="B2719" s="2178"/>
      <c r="C2719" s="2178"/>
      <c r="D2719" s="2178"/>
      <c r="E2719" s="2178"/>
      <c r="F2719" s="2178"/>
      <c r="G2719" s="2178"/>
      <c r="H2719" s="2178"/>
      <c r="I2719" s="2178"/>
      <c r="J2719" s="2178"/>
      <c r="K2719" s="2178"/>
      <c r="L2719" s="2178"/>
      <c r="M2719" s="2178"/>
      <c r="N2719" s="2178"/>
      <c r="O2719" s="2178"/>
      <c r="P2719" s="2178"/>
      <c r="Q2719" s="2178"/>
      <c r="R2719" s="2178"/>
      <c r="S2719" s="2178"/>
      <c r="T2719" s="2178"/>
      <c r="U2719" s="2178"/>
      <c r="V2719" s="2178"/>
      <c r="W2719" s="2178"/>
      <c r="X2719" s="2178"/>
      <c r="Y2719" s="2178"/>
      <c r="Z2719" s="2178"/>
      <c r="AA2719" s="2178"/>
      <c r="AB2719" s="2178"/>
      <c r="AC2719" s="2178"/>
      <c r="AD2719" s="2178"/>
      <c r="AE2719" s="2178"/>
      <c r="AF2719" s="2178"/>
    </row>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7" ht="12" customHeight="1"/>
    <row r="2792" ht="12" customHeight="1"/>
    <row r="2803" ht="12" customHeight="1"/>
    <row r="2808" ht="12" customHeight="1"/>
    <row r="2817" ht="12" customHeight="1"/>
    <row r="2824" ht="12" customHeight="1"/>
    <row r="2829" ht="12" customHeight="1"/>
    <row r="2830" ht="12" customHeight="1"/>
    <row r="2837" spans="2:32" ht="15" customHeight="1">
      <c r="B2837" s="2178"/>
      <c r="C2837" s="2178"/>
      <c r="D2837" s="2178"/>
      <c r="E2837" s="2178"/>
      <c r="F2837" s="2178"/>
      <c r="G2837" s="2178"/>
      <c r="H2837" s="2178"/>
      <c r="I2837" s="2178"/>
      <c r="J2837" s="2178"/>
      <c r="K2837" s="2178"/>
      <c r="L2837" s="2178"/>
      <c r="M2837" s="2178"/>
      <c r="N2837" s="2178"/>
      <c r="O2837" s="2178"/>
      <c r="P2837" s="2178"/>
      <c r="Q2837" s="2178"/>
      <c r="R2837" s="2178"/>
      <c r="S2837" s="2178"/>
      <c r="T2837" s="2178"/>
      <c r="U2837" s="2178"/>
      <c r="V2837" s="2178"/>
      <c r="W2837" s="2178"/>
      <c r="X2837" s="2178"/>
      <c r="Y2837" s="2178"/>
      <c r="Z2837" s="2178"/>
      <c r="AA2837" s="2178"/>
      <c r="AB2837" s="2178"/>
      <c r="AC2837" s="2178"/>
      <c r="AD2837" s="2178"/>
      <c r="AE2837" s="2178"/>
      <c r="AF2837" s="2178"/>
    </row>
  </sheetData>
  <mergeCells count="21">
    <mergeCell ref="B1101:AF1101"/>
    <mergeCell ref="B79:AG79"/>
    <mergeCell ref="B2719:AF2719"/>
    <mergeCell ref="B2837:AF2837"/>
    <mergeCell ref="B2031:AF2031"/>
    <mergeCell ref="B2153:AF2153"/>
    <mergeCell ref="B2317:AF2317"/>
    <mergeCell ref="B2419:AF2419"/>
    <mergeCell ref="B2509:AF2509"/>
    <mergeCell ref="B2598:AF2598"/>
    <mergeCell ref="B1945:AF1945"/>
    <mergeCell ref="B112:AF112"/>
    <mergeCell ref="B308:AF308"/>
    <mergeCell ref="B511:AF511"/>
    <mergeCell ref="B712:AF712"/>
    <mergeCell ref="B887:AF887"/>
    <mergeCell ref="B1229:AF1229"/>
    <mergeCell ref="B1390:AF1390"/>
    <mergeCell ref="B1502:AF1502"/>
    <mergeCell ref="B1604:AF1604"/>
    <mergeCell ref="B1699:AF1699"/>
  </mergeCells>
  <pageMargins left="0.75" right="0.75" top="1" bottom="1" header="0.5" footer="0.5"/>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23214-5342-40CC-8D90-5082A38339F4}">
  <sheetPr codeName="Sheet33"/>
  <dimension ref="A1:AG2828"/>
  <sheetViews>
    <sheetView workbookViewId="0">
      <pane xSplit="2" ySplit="1" topLeftCell="C2" activePane="bottomRight" state="frozen"/>
      <selection pane="topRight" activeCell="C1" sqref="C1"/>
      <selection pane="bottomLeft" activeCell="A2" sqref="A2"/>
      <selection pane="bottomRight" activeCell="F50" sqref="F50"/>
    </sheetView>
  </sheetViews>
  <sheetFormatPr baseColWidth="10" defaultColWidth="9.33203125" defaultRowHeight="15" customHeight="1"/>
  <cols>
    <col min="1" max="1" width="20.6640625" style="28" hidden="1" customWidth="1"/>
    <col min="2" max="2" width="45.6640625" style="28" customWidth="1"/>
    <col min="3" max="16384" width="9.33203125" style="28"/>
  </cols>
  <sheetData>
    <row r="1" spans="1:33" ht="15" customHeight="1" thickBot="1">
      <c r="B1" s="50" t="s">
        <v>2046</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2047</v>
      </c>
      <c r="D3" s="48" t="s">
        <v>311</v>
      </c>
      <c r="E3" s="47"/>
      <c r="F3" s="47"/>
      <c r="G3" s="47"/>
    </row>
    <row r="4" spans="1:33" ht="15" customHeight="1">
      <c r="C4" s="48" t="s">
        <v>2048</v>
      </c>
      <c r="D4" s="48" t="s">
        <v>2049</v>
      </c>
      <c r="E4" s="47"/>
      <c r="F4" s="47"/>
      <c r="G4" s="48" t="s">
        <v>207</v>
      </c>
    </row>
    <row r="5" spans="1:33" ht="15" customHeight="1">
      <c r="C5" s="48" t="s">
        <v>2050</v>
      </c>
      <c r="D5" s="48" t="s">
        <v>2051</v>
      </c>
      <c r="E5" s="47"/>
      <c r="F5" s="47"/>
      <c r="G5" s="47"/>
    </row>
    <row r="6" spans="1:33" ht="15" customHeight="1">
      <c r="C6" s="48" t="s">
        <v>2052</v>
      </c>
      <c r="D6" s="47"/>
      <c r="E6" s="48" t="s">
        <v>2053</v>
      </c>
      <c r="F6" s="47"/>
      <c r="G6" s="47"/>
    </row>
    <row r="7" spans="1:33" ht="12" customHeight="1"/>
    <row r="8" spans="1:33" ht="12" customHeight="1"/>
    <row r="9" spans="1:33" ht="12" customHeight="1"/>
    <row r="10" spans="1:33" ht="15" customHeight="1">
      <c r="A10" s="34" t="s">
        <v>2688</v>
      </c>
      <c r="B10" s="46" t="s">
        <v>2689</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2058</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2059</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2061</v>
      </c>
      <c r="AG12" s="29"/>
    </row>
    <row r="13" spans="1:33" ht="15" customHeight="1" thickBot="1">
      <c r="B13" s="42" t="s">
        <v>2690</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A15" s="34" t="s">
        <v>2691</v>
      </c>
      <c r="B15" s="33" t="s">
        <v>2692</v>
      </c>
      <c r="C15" s="40">
        <v>19750.261718999998</v>
      </c>
      <c r="D15" s="40">
        <v>19903.289062</v>
      </c>
      <c r="E15" s="40">
        <v>20095.435547000001</v>
      </c>
      <c r="F15" s="40">
        <v>20409.421875</v>
      </c>
      <c r="G15" s="40">
        <v>20840.714843999998</v>
      </c>
      <c r="H15" s="40">
        <v>21273.421875</v>
      </c>
      <c r="I15" s="40">
        <v>21681.255859000001</v>
      </c>
      <c r="J15" s="40">
        <v>22051.705077999999</v>
      </c>
      <c r="K15" s="40">
        <v>22391.814452999999</v>
      </c>
      <c r="L15" s="40">
        <v>22742.044922000001</v>
      </c>
      <c r="M15" s="40">
        <v>23153.001952999999</v>
      </c>
      <c r="N15" s="40">
        <v>23603.867188</v>
      </c>
      <c r="O15" s="40">
        <v>24055.123047000001</v>
      </c>
      <c r="P15" s="40">
        <v>24510.957031000002</v>
      </c>
      <c r="Q15" s="40">
        <v>24995.804688</v>
      </c>
      <c r="R15" s="40">
        <v>25506.921875</v>
      </c>
      <c r="S15" s="40">
        <v>26032.332031000002</v>
      </c>
      <c r="T15" s="40">
        <v>26566.107422000001</v>
      </c>
      <c r="U15" s="40">
        <v>27148.945312</v>
      </c>
      <c r="V15" s="40">
        <v>27734.087890999999</v>
      </c>
      <c r="W15" s="40">
        <v>28324.492188</v>
      </c>
      <c r="X15" s="40">
        <v>28926.738281000002</v>
      </c>
      <c r="Y15" s="40">
        <v>29527.414062</v>
      </c>
      <c r="Z15" s="40">
        <v>30130</v>
      </c>
      <c r="AA15" s="40">
        <v>30747.568359000001</v>
      </c>
      <c r="AB15" s="40">
        <v>31389.150390999999</v>
      </c>
      <c r="AC15" s="40">
        <v>32039.970702999999</v>
      </c>
      <c r="AD15" s="40">
        <v>32698.533202999999</v>
      </c>
      <c r="AE15" s="40">
        <v>33404.984375</v>
      </c>
      <c r="AF15" s="31">
        <v>1.8946999999999999E-2</v>
      </c>
      <c r="AG15" s="29"/>
    </row>
    <row r="16" spans="1:33" ht="15" customHeight="1">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A17" s="34" t="s">
        <v>2693</v>
      </c>
      <c r="B17" s="33" t="s">
        <v>2694</v>
      </c>
      <c r="C17" s="40">
        <v>152.78814700000001</v>
      </c>
      <c r="D17" s="40">
        <v>154.27262899999999</v>
      </c>
      <c r="E17" s="40">
        <v>153.35226399999999</v>
      </c>
      <c r="F17" s="40">
        <v>153.08639500000001</v>
      </c>
      <c r="G17" s="40">
        <v>153.72100800000001</v>
      </c>
      <c r="H17" s="40">
        <v>154.673157</v>
      </c>
      <c r="I17" s="40">
        <v>155.57711800000001</v>
      </c>
      <c r="J17" s="40">
        <v>156.19120799999999</v>
      </c>
      <c r="K17" s="40">
        <v>156.51728800000001</v>
      </c>
      <c r="L17" s="40">
        <v>156.684235</v>
      </c>
      <c r="M17" s="40">
        <v>157.135178</v>
      </c>
      <c r="N17" s="40">
        <v>157.837189</v>
      </c>
      <c r="O17" s="40">
        <v>158.855164</v>
      </c>
      <c r="P17" s="40">
        <v>159.68490600000001</v>
      </c>
      <c r="Q17" s="40">
        <v>160.172775</v>
      </c>
      <c r="R17" s="40">
        <v>160.75791899999999</v>
      </c>
      <c r="S17" s="40">
        <v>161.401276</v>
      </c>
      <c r="T17" s="40">
        <v>161.96965</v>
      </c>
      <c r="U17" s="40">
        <v>162.69512900000001</v>
      </c>
      <c r="V17" s="40">
        <v>163.29686000000001</v>
      </c>
      <c r="W17" s="40">
        <v>163.906769</v>
      </c>
      <c r="X17" s="40">
        <v>164.36605800000001</v>
      </c>
      <c r="Y17" s="40">
        <v>164.78913900000001</v>
      </c>
      <c r="Z17" s="40">
        <v>165.28933699999999</v>
      </c>
      <c r="AA17" s="40">
        <v>165.87802099999999</v>
      </c>
      <c r="AB17" s="40">
        <v>166.58303799999999</v>
      </c>
      <c r="AC17" s="40">
        <v>167.254898</v>
      </c>
      <c r="AD17" s="40">
        <v>167.88226299999999</v>
      </c>
      <c r="AE17" s="40">
        <v>168.61378500000001</v>
      </c>
      <c r="AF17" s="31">
        <v>3.5260000000000001E-3</v>
      </c>
      <c r="AG17" s="29"/>
    </row>
    <row r="18" spans="1:33" ht="15" customHeight="1">
      <c r="B18" s="29"/>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row>
    <row r="19" spans="1:33" ht="15" customHeight="1">
      <c r="B19" s="33" t="s">
        <v>2695</v>
      </c>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row>
    <row r="20" spans="1:33" ht="15" customHeight="1">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row>
    <row r="21" spans="1:33" ht="15" customHeight="1">
      <c r="B21" s="33" t="s">
        <v>2696</v>
      </c>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row>
    <row r="22" spans="1:33" ht="15" customHeight="1">
      <c r="A22" s="34" t="s">
        <v>2697</v>
      </c>
      <c r="B22" s="37" t="s">
        <v>2698</v>
      </c>
      <c r="C22" s="53">
        <v>545.77941899999996</v>
      </c>
      <c r="D22" s="53">
        <v>545.04199200000005</v>
      </c>
      <c r="E22" s="53">
        <v>550.01971400000002</v>
      </c>
      <c r="F22" s="53">
        <v>557.38793899999996</v>
      </c>
      <c r="G22" s="53">
        <v>565.90930200000003</v>
      </c>
      <c r="H22" s="53">
        <v>573.49780299999998</v>
      </c>
      <c r="I22" s="53">
        <v>580.22204599999998</v>
      </c>
      <c r="J22" s="53">
        <v>586.10894800000005</v>
      </c>
      <c r="K22" s="53">
        <v>591.38091999999995</v>
      </c>
      <c r="L22" s="53">
        <v>596.96917699999995</v>
      </c>
      <c r="M22" s="53">
        <v>602.595642</v>
      </c>
      <c r="N22" s="53">
        <v>607.97412099999997</v>
      </c>
      <c r="O22" s="53">
        <v>612.47906499999999</v>
      </c>
      <c r="P22" s="53">
        <v>616.59069799999997</v>
      </c>
      <c r="Q22" s="53">
        <v>620.11560099999997</v>
      </c>
      <c r="R22" s="53">
        <v>624.81359899999995</v>
      </c>
      <c r="S22" s="53">
        <v>629.28332499999999</v>
      </c>
      <c r="T22" s="53">
        <v>633.78015100000005</v>
      </c>
      <c r="U22" s="53">
        <v>638.52819799999997</v>
      </c>
      <c r="V22" s="53">
        <v>643.14386000000002</v>
      </c>
      <c r="W22" s="53">
        <v>647.884277</v>
      </c>
      <c r="X22" s="53">
        <v>652.48028599999998</v>
      </c>
      <c r="Y22" s="53">
        <v>656.705017</v>
      </c>
      <c r="Z22" s="53">
        <v>661.02770999999996</v>
      </c>
      <c r="AA22" s="53">
        <v>665.25878899999998</v>
      </c>
      <c r="AB22" s="53">
        <v>669.47393799999998</v>
      </c>
      <c r="AC22" s="53">
        <v>673.57128899999998</v>
      </c>
      <c r="AD22" s="53">
        <v>677.73211700000002</v>
      </c>
      <c r="AE22" s="53">
        <v>681.94012499999997</v>
      </c>
      <c r="AF22" s="35">
        <v>7.986E-3</v>
      </c>
      <c r="AG22" s="29"/>
    </row>
    <row r="23" spans="1:33" ht="15" customHeight="1">
      <c r="A23" s="34" t="s">
        <v>2699</v>
      </c>
      <c r="B23" s="37" t="s">
        <v>2700</v>
      </c>
      <c r="C23" s="53">
        <v>722.17889400000001</v>
      </c>
      <c r="D23" s="53">
        <v>701.53491199999996</v>
      </c>
      <c r="E23" s="53">
        <v>702.08783000000005</v>
      </c>
      <c r="F23" s="53">
        <v>704.14086899999995</v>
      </c>
      <c r="G23" s="53">
        <v>709.14672900000005</v>
      </c>
      <c r="H23" s="53">
        <v>706.46862799999997</v>
      </c>
      <c r="I23" s="53">
        <v>708.540527</v>
      </c>
      <c r="J23" s="53">
        <v>706.82507299999997</v>
      </c>
      <c r="K23" s="53">
        <v>708.71057099999996</v>
      </c>
      <c r="L23" s="53">
        <v>711.20165999999995</v>
      </c>
      <c r="M23" s="53">
        <v>717.27392599999996</v>
      </c>
      <c r="N23" s="53">
        <v>723.07965100000001</v>
      </c>
      <c r="O23" s="53">
        <v>726.81701699999996</v>
      </c>
      <c r="P23" s="53">
        <v>728.95288100000005</v>
      </c>
      <c r="Q23" s="53">
        <v>731.61682099999996</v>
      </c>
      <c r="R23" s="53">
        <v>734.78875700000003</v>
      </c>
      <c r="S23" s="53">
        <v>736.19036900000003</v>
      </c>
      <c r="T23" s="53">
        <v>739.040527</v>
      </c>
      <c r="U23" s="53">
        <v>738.38262899999995</v>
      </c>
      <c r="V23" s="53">
        <v>738.59167500000001</v>
      </c>
      <c r="W23" s="53">
        <v>740.92687999999998</v>
      </c>
      <c r="X23" s="53">
        <v>745.11071800000002</v>
      </c>
      <c r="Y23" s="53">
        <v>749.238159</v>
      </c>
      <c r="Z23" s="53">
        <v>749.89691200000004</v>
      </c>
      <c r="AA23" s="53">
        <v>752.70733600000005</v>
      </c>
      <c r="AB23" s="53">
        <v>752.01501499999995</v>
      </c>
      <c r="AC23" s="53">
        <v>755.05639599999995</v>
      </c>
      <c r="AD23" s="53">
        <v>759.27368200000001</v>
      </c>
      <c r="AE23" s="53">
        <v>763.39056400000004</v>
      </c>
      <c r="AF23" s="35">
        <v>1.9840000000000001E-3</v>
      </c>
      <c r="AG23" s="29"/>
    </row>
    <row r="24" spans="1:33" ht="15" customHeight="1">
      <c r="A24" s="34" t="s">
        <v>2701</v>
      </c>
      <c r="B24" s="37" t="s">
        <v>2702</v>
      </c>
      <c r="C24" s="53">
        <v>1413.121948</v>
      </c>
      <c r="D24" s="53">
        <v>1382.275513</v>
      </c>
      <c r="E24" s="53">
        <v>1372.0482179999999</v>
      </c>
      <c r="F24" s="53">
        <v>1393.881226</v>
      </c>
      <c r="G24" s="53">
        <v>1407.64624</v>
      </c>
      <c r="H24" s="53">
        <v>1408.921509</v>
      </c>
      <c r="I24" s="53">
        <v>1419.6782229999999</v>
      </c>
      <c r="J24" s="53">
        <v>1453.1917719999999</v>
      </c>
      <c r="K24" s="53">
        <v>1475.315308</v>
      </c>
      <c r="L24" s="53">
        <v>1477.5269780000001</v>
      </c>
      <c r="M24" s="53">
        <v>1475.791504</v>
      </c>
      <c r="N24" s="53">
        <v>1478.003052</v>
      </c>
      <c r="O24" s="53">
        <v>1479.7020259999999</v>
      </c>
      <c r="P24" s="53">
        <v>1486.9007570000001</v>
      </c>
      <c r="Q24" s="53">
        <v>1499.7144780000001</v>
      </c>
      <c r="R24" s="53">
        <v>1518.9849850000001</v>
      </c>
      <c r="S24" s="53">
        <v>1541.0629879999999</v>
      </c>
      <c r="T24" s="53">
        <v>1559.6639399999999</v>
      </c>
      <c r="U24" s="53">
        <v>1581.4187010000001</v>
      </c>
      <c r="V24" s="53">
        <v>1606.935547</v>
      </c>
      <c r="W24" s="53">
        <v>1626.979736</v>
      </c>
      <c r="X24" s="53">
        <v>1644.369751</v>
      </c>
      <c r="Y24" s="53">
        <v>1661.7089840000001</v>
      </c>
      <c r="Z24" s="53">
        <v>1681.636475</v>
      </c>
      <c r="AA24" s="53">
        <v>1702.3267820000001</v>
      </c>
      <c r="AB24" s="53">
        <v>1722.484741</v>
      </c>
      <c r="AC24" s="53">
        <v>1739.528442</v>
      </c>
      <c r="AD24" s="53">
        <v>1754.6632079999999</v>
      </c>
      <c r="AE24" s="53">
        <v>1777.8819579999999</v>
      </c>
      <c r="AF24" s="35">
        <v>8.2349999999999993E-3</v>
      </c>
      <c r="AG24" s="29"/>
    </row>
    <row r="25" spans="1:33" ht="15" customHeight="1">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row>
    <row r="26" spans="1:33" ht="15" customHeight="1">
      <c r="B26" s="33" t="s">
        <v>2703</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row>
    <row r="27" spans="1:33" ht="15" customHeight="1">
      <c r="A27" s="34" t="s">
        <v>2704</v>
      </c>
      <c r="B27" s="37" t="s">
        <v>2705</v>
      </c>
      <c r="C27" s="53">
        <v>939.78387499999997</v>
      </c>
      <c r="D27" s="53">
        <v>954.44519000000003</v>
      </c>
      <c r="E27" s="53">
        <v>964.02374299999997</v>
      </c>
      <c r="F27" s="53">
        <v>972.91009499999996</v>
      </c>
      <c r="G27" s="53">
        <v>985.45941200000004</v>
      </c>
      <c r="H27" s="53">
        <v>999.40277100000003</v>
      </c>
      <c r="I27" s="53">
        <v>1013.4375</v>
      </c>
      <c r="J27" s="53">
        <v>1025.6085210000001</v>
      </c>
      <c r="K27" s="53">
        <v>1037.6695560000001</v>
      </c>
      <c r="L27" s="53">
        <v>1051.089966</v>
      </c>
      <c r="M27" s="53">
        <v>1062.798462</v>
      </c>
      <c r="N27" s="53">
        <v>1072.3557129999999</v>
      </c>
      <c r="O27" s="53">
        <v>1082.509033</v>
      </c>
      <c r="P27" s="53">
        <v>1093.737793</v>
      </c>
      <c r="Q27" s="53">
        <v>1105.5932620000001</v>
      </c>
      <c r="R27" s="53">
        <v>1117.116211</v>
      </c>
      <c r="S27" s="53">
        <v>1128.8039550000001</v>
      </c>
      <c r="T27" s="53">
        <v>1140.907471</v>
      </c>
      <c r="U27" s="53">
        <v>1153.0014650000001</v>
      </c>
      <c r="V27" s="53">
        <v>1164.758057</v>
      </c>
      <c r="W27" s="53">
        <v>1177.14978</v>
      </c>
      <c r="X27" s="53">
        <v>1189.2757570000001</v>
      </c>
      <c r="Y27" s="53">
        <v>1201.2060550000001</v>
      </c>
      <c r="Z27" s="53">
        <v>1213.053711</v>
      </c>
      <c r="AA27" s="53">
        <v>1224.394043</v>
      </c>
      <c r="AB27" s="53">
        <v>1235.898193</v>
      </c>
      <c r="AC27" s="53">
        <v>1247.526245</v>
      </c>
      <c r="AD27" s="53">
        <v>1259.219482</v>
      </c>
      <c r="AE27" s="53">
        <v>1270.886475</v>
      </c>
      <c r="AF27" s="35">
        <v>1.0838E-2</v>
      </c>
      <c r="AG27" s="29"/>
    </row>
    <row r="28" spans="1:33" ht="15" customHeight="1">
      <c r="A28" s="34" t="s">
        <v>2706</v>
      </c>
      <c r="B28" s="37" t="s">
        <v>1473</v>
      </c>
      <c r="C28" s="53">
        <v>147.62364199999999</v>
      </c>
      <c r="D28" s="53">
        <v>145.36935399999999</v>
      </c>
      <c r="E28" s="53">
        <v>143.50830099999999</v>
      </c>
      <c r="F28" s="53">
        <v>142.09101899999999</v>
      </c>
      <c r="G28" s="53">
        <v>141.56497200000001</v>
      </c>
      <c r="H28" s="53">
        <v>141.63072199999999</v>
      </c>
      <c r="I28" s="53">
        <v>142.03497300000001</v>
      </c>
      <c r="J28" s="53">
        <v>142.217545</v>
      </c>
      <c r="K28" s="53">
        <v>142.01887500000001</v>
      </c>
      <c r="L28" s="53">
        <v>141.65545700000001</v>
      </c>
      <c r="M28" s="53">
        <v>141.51817299999999</v>
      </c>
      <c r="N28" s="53">
        <v>141.28598</v>
      </c>
      <c r="O28" s="53">
        <v>140.65535</v>
      </c>
      <c r="P28" s="53">
        <v>139.87832599999999</v>
      </c>
      <c r="Q28" s="53">
        <v>139.17752100000001</v>
      </c>
      <c r="R28" s="53">
        <v>138.62692300000001</v>
      </c>
      <c r="S28" s="53">
        <v>138.15780599999999</v>
      </c>
      <c r="T28" s="53">
        <v>137.73245199999999</v>
      </c>
      <c r="U28" s="53">
        <v>137.43272400000001</v>
      </c>
      <c r="V28" s="53">
        <v>137.28285199999999</v>
      </c>
      <c r="W28" s="53">
        <v>137.25122099999999</v>
      </c>
      <c r="X28" s="53">
        <v>137.283051</v>
      </c>
      <c r="Y28" s="53">
        <v>137.33689899999999</v>
      </c>
      <c r="Z28" s="53">
        <v>137.38871800000001</v>
      </c>
      <c r="AA28" s="53">
        <v>137.49482699999999</v>
      </c>
      <c r="AB28" s="53">
        <v>137.73367300000001</v>
      </c>
      <c r="AC28" s="53">
        <v>138.528595</v>
      </c>
      <c r="AD28" s="53">
        <v>139.42343099999999</v>
      </c>
      <c r="AE28" s="53">
        <v>140.31994599999999</v>
      </c>
      <c r="AF28" s="35">
        <v>-1.8109999999999999E-3</v>
      </c>
      <c r="AG28" s="29"/>
    </row>
    <row r="29" spans="1:33" ht="15" customHeight="1">
      <c r="A29" s="34" t="s">
        <v>2707</v>
      </c>
      <c r="B29" s="37" t="s">
        <v>2708</v>
      </c>
      <c r="C29" s="53">
        <v>66.688927000000007</v>
      </c>
      <c r="D29" s="53">
        <v>65.669135999999995</v>
      </c>
      <c r="E29" s="53">
        <v>65.001823000000002</v>
      </c>
      <c r="F29" s="53">
        <v>65.029869000000005</v>
      </c>
      <c r="G29" s="53">
        <v>66.256409000000005</v>
      </c>
      <c r="H29" s="53">
        <v>67.770675999999995</v>
      </c>
      <c r="I29" s="53">
        <v>68.830185</v>
      </c>
      <c r="J29" s="53">
        <v>69.285483999999997</v>
      </c>
      <c r="K29" s="53">
        <v>69.392448000000002</v>
      </c>
      <c r="L29" s="53">
        <v>69.699669</v>
      </c>
      <c r="M29" s="53">
        <v>70.340232999999998</v>
      </c>
      <c r="N29" s="53">
        <v>70.872390999999993</v>
      </c>
      <c r="O29" s="53">
        <v>71.188072000000005</v>
      </c>
      <c r="P29" s="53">
        <v>71.296379000000002</v>
      </c>
      <c r="Q29" s="53">
        <v>71.216956999999994</v>
      </c>
      <c r="R29" s="53">
        <v>70.944419999999994</v>
      </c>
      <c r="S29" s="53">
        <v>70.524756999999994</v>
      </c>
      <c r="T29" s="53">
        <v>69.963654000000005</v>
      </c>
      <c r="U29" s="53">
        <v>69.602867000000003</v>
      </c>
      <c r="V29" s="53">
        <v>69.247803000000005</v>
      </c>
      <c r="W29" s="53">
        <v>68.801804000000004</v>
      </c>
      <c r="X29" s="53">
        <v>68.352920999999995</v>
      </c>
      <c r="Y29" s="53">
        <v>67.758598000000006</v>
      </c>
      <c r="Z29" s="53">
        <v>67.122649999999993</v>
      </c>
      <c r="AA29" s="53">
        <v>66.564980000000006</v>
      </c>
      <c r="AB29" s="53">
        <v>66.076331999999994</v>
      </c>
      <c r="AC29" s="53">
        <v>65.540405000000007</v>
      </c>
      <c r="AD29" s="53">
        <v>64.960021999999995</v>
      </c>
      <c r="AE29" s="53">
        <v>64.499519000000006</v>
      </c>
      <c r="AF29" s="35">
        <v>-1.191E-3</v>
      </c>
      <c r="AG29" s="29"/>
    </row>
    <row r="30" spans="1:33" ht="15" customHeight="1">
      <c r="A30" s="34" t="s">
        <v>2709</v>
      </c>
      <c r="B30" s="37" t="s">
        <v>2710</v>
      </c>
      <c r="C30" s="53">
        <v>109.157951</v>
      </c>
      <c r="D30" s="53">
        <v>99.189582999999999</v>
      </c>
      <c r="E30" s="53">
        <v>96.542572000000007</v>
      </c>
      <c r="F30" s="53">
        <v>98.351212000000004</v>
      </c>
      <c r="G30" s="53">
        <v>97.092917999999997</v>
      </c>
      <c r="H30" s="53">
        <v>96.657241999999997</v>
      </c>
      <c r="I30" s="53">
        <v>97.914101000000002</v>
      </c>
      <c r="J30" s="53">
        <v>99.570167999999995</v>
      </c>
      <c r="K30" s="53">
        <v>100.326973</v>
      </c>
      <c r="L30" s="53">
        <v>100.708099</v>
      </c>
      <c r="M30" s="53">
        <v>101.90055099999999</v>
      </c>
      <c r="N30" s="53">
        <v>103.34674800000001</v>
      </c>
      <c r="O30" s="53">
        <v>105.10797100000001</v>
      </c>
      <c r="P30" s="53">
        <v>106.07505</v>
      </c>
      <c r="Q30" s="53">
        <v>105.740578</v>
      </c>
      <c r="R30" s="53">
        <v>106.268326</v>
      </c>
      <c r="S30" s="53">
        <v>106.630623</v>
      </c>
      <c r="T30" s="53">
        <v>107.17532300000001</v>
      </c>
      <c r="U30" s="53">
        <v>108.014572</v>
      </c>
      <c r="V30" s="53">
        <v>109.217476</v>
      </c>
      <c r="W30" s="53">
        <v>110.19882200000001</v>
      </c>
      <c r="X30" s="53">
        <v>110.84369700000001</v>
      </c>
      <c r="Y30" s="53">
        <v>110.92272199999999</v>
      </c>
      <c r="Z30" s="53">
        <v>110.26979799999999</v>
      </c>
      <c r="AA30" s="53">
        <v>109.84787799999999</v>
      </c>
      <c r="AB30" s="53">
        <v>109.98687700000001</v>
      </c>
      <c r="AC30" s="53">
        <v>109.763977</v>
      </c>
      <c r="AD30" s="53">
        <v>109.85477400000001</v>
      </c>
      <c r="AE30" s="53">
        <v>111.003975</v>
      </c>
      <c r="AF30" s="35">
        <v>5.9900000000000003E-4</v>
      </c>
      <c r="AG30" s="29"/>
    </row>
    <row r="31" spans="1:33" ht="15" customHeight="1">
      <c r="A31" s="34" t="s">
        <v>2711</v>
      </c>
      <c r="B31" s="37" t="s">
        <v>2712</v>
      </c>
      <c r="C31" s="53">
        <v>72.960655000000003</v>
      </c>
      <c r="D31" s="53">
        <v>71.932334999999995</v>
      </c>
      <c r="E31" s="53">
        <v>72.082061999999993</v>
      </c>
      <c r="F31" s="53">
        <v>72.483345</v>
      </c>
      <c r="G31" s="53">
        <v>74.282700000000006</v>
      </c>
      <c r="H31" s="53">
        <v>76.275893999999994</v>
      </c>
      <c r="I31" s="53">
        <v>77.129929000000004</v>
      </c>
      <c r="J31" s="53">
        <v>78.025360000000006</v>
      </c>
      <c r="K31" s="53">
        <v>78.801345999999995</v>
      </c>
      <c r="L31" s="53">
        <v>79.521880999999993</v>
      </c>
      <c r="M31" s="53">
        <v>81.378906000000001</v>
      </c>
      <c r="N31" s="53">
        <v>82.303070000000005</v>
      </c>
      <c r="O31" s="53">
        <v>83.111808999999994</v>
      </c>
      <c r="P31" s="53">
        <v>84.547447000000005</v>
      </c>
      <c r="Q31" s="53">
        <v>85.969620000000006</v>
      </c>
      <c r="R31" s="53">
        <v>87.383292999999995</v>
      </c>
      <c r="S31" s="53">
        <v>88.995215999999999</v>
      </c>
      <c r="T31" s="53">
        <v>90.363410999999999</v>
      </c>
      <c r="U31" s="53">
        <v>91.695564000000005</v>
      </c>
      <c r="V31" s="53">
        <v>93.597793999999993</v>
      </c>
      <c r="W31" s="53">
        <v>95.362144000000001</v>
      </c>
      <c r="X31" s="53">
        <v>96.735100000000003</v>
      </c>
      <c r="Y31" s="53">
        <v>97.684455999999997</v>
      </c>
      <c r="Z31" s="53">
        <v>98.192345000000003</v>
      </c>
      <c r="AA31" s="53">
        <v>99.417762999999994</v>
      </c>
      <c r="AB31" s="53">
        <v>100.898827</v>
      </c>
      <c r="AC31" s="53">
        <v>101.979828</v>
      </c>
      <c r="AD31" s="53">
        <v>102.474953</v>
      </c>
      <c r="AE31" s="53">
        <v>105.480751</v>
      </c>
      <c r="AF31" s="35">
        <v>1.3252E-2</v>
      </c>
      <c r="AG31" s="29"/>
    </row>
    <row r="32" spans="1:33" ht="15" customHeight="1">
      <c r="A32" s="34" t="s">
        <v>2713</v>
      </c>
      <c r="B32" s="37" t="s">
        <v>2714</v>
      </c>
      <c r="C32" s="53">
        <v>178.25112899999999</v>
      </c>
      <c r="D32" s="53">
        <v>174.161621</v>
      </c>
      <c r="E32" s="53">
        <v>170.28919999999999</v>
      </c>
      <c r="F32" s="53">
        <v>170.04310599999999</v>
      </c>
      <c r="G32" s="53">
        <v>170.917877</v>
      </c>
      <c r="H32" s="53">
        <v>171.976822</v>
      </c>
      <c r="I32" s="53">
        <v>173.003601</v>
      </c>
      <c r="J32" s="53">
        <v>173.91674800000001</v>
      </c>
      <c r="K32" s="53">
        <v>174.72404499999999</v>
      </c>
      <c r="L32" s="53">
        <v>175.94982899999999</v>
      </c>
      <c r="M32" s="53">
        <v>177.36140399999999</v>
      </c>
      <c r="N32" s="53">
        <v>178.536407</v>
      </c>
      <c r="O32" s="53">
        <v>179.796448</v>
      </c>
      <c r="P32" s="53">
        <v>181.13580300000001</v>
      </c>
      <c r="Q32" s="53">
        <v>182.15789799999999</v>
      </c>
      <c r="R32" s="53">
        <v>183.319031</v>
      </c>
      <c r="S32" s="53">
        <v>184.29617300000001</v>
      </c>
      <c r="T32" s="53">
        <v>185.34754899999999</v>
      </c>
      <c r="U32" s="53">
        <v>186.470169</v>
      </c>
      <c r="V32" s="53">
        <v>187.50720200000001</v>
      </c>
      <c r="W32" s="53">
        <v>188.64054899999999</v>
      </c>
      <c r="X32" s="53">
        <v>189.59530599999999</v>
      </c>
      <c r="Y32" s="53">
        <v>190.21421799999999</v>
      </c>
      <c r="Z32" s="53">
        <v>190.60817</v>
      </c>
      <c r="AA32" s="53">
        <v>191.395081</v>
      </c>
      <c r="AB32" s="53">
        <v>192.590057</v>
      </c>
      <c r="AC32" s="53">
        <v>193.086319</v>
      </c>
      <c r="AD32" s="53">
        <v>193.76010099999999</v>
      </c>
      <c r="AE32" s="53">
        <v>195.152557</v>
      </c>
      <c r="AF32" s="35">
        <v>3.241E-3</v>
      </c>
      <c r="AG32" s="29"/>
    </row>
    <row r="33" spans="1:33" ht="15" customHeight="1">
      <c r="A33" s="34" t="s">
        <v>2715</v>
      </c>
      <c r="B33" s="37" t="s">
        <v>2716</v>
      </c>
      <c r="C33" s="53">
        <v>81.002419000000003</v>
      </c>
      <c r="D33" s="53">
        <v>79.589354999999998</v>
      </c>
      <c r="E33" s="53">
        <v>78.600464000000002</v>
      </c>
      <c r="F33" s="53">
        <v>78.227867000000003</v>
      </c>
      <c r="G33" s="53">
        <v>78.011382999999995</v>
      </c>
      <c r="H33" s="53">
        <v>77.748795000000001</v>
      </c>
      <c r="I33" s="53">
        <v>77.972755000000006</v>
      </c>
      <c r="J33" s="53">
        <v>78.272659000000004</v>
      </c>
      <c r="K33" s="53">
        <v>78.806258999999997</v>
      </c>
      <c r="L33" s="53">
        <v>79.487358</v>
      </c>
      <c r="M33" s="53">
        <v>79.360268000000005</v>
      </c>
      <c r="N33" s="53">
        <v>78.681563999999995</v>
      </c>
      <c r="O33" s="53">
        <v>78.107155000000006</v>
      </c>
      <c r="P33" s="53">
        <v>77.655876000000006</v>
      </c>
      <c r="Q33" s="53">
        <v>77.289139000000006</v>
      </c>
      <c r="R33" s="53">
        <v>77.003219999999999</v>
      </c>
      <c r="S33" s="53">
        <v>76.774658000000002</v>
      </c>
      <c r="T33" s="53">
        <v>76.536818999999994</v>
      </c>
      <c r="U33" s="53">
        <v>76.742324999999994</v>
      </c>
      <c r="V33" s="53">
        <v>76.605957000000004</v>
      </c>
      <c r="W33" s="53">
        <v>76.091614000000007</v>
      </c>
      <c r="X33" s="53">
        <v>75.878410000000002</v>
      </c>
      <c r="Y33" s="53">
        <v>75.894767999999999</v>
      </c>
      <c r="Z33" s="53">
        <v>76.632271000000003</v>
      </c>
      <c r="AA33" s="53">
        <v>77.276047000000005</v>
      </c>
      <c r="AB33" s="53">
        <v>77.723999000000006</v>
      </c>
      <c r="AC33" s="53">
        <v>77.961830000000006</v>
      </c>
      <c r="AD33" s="53">
        <v>78.920258000000004</v>
      </c>
      <c r="AE33" s="53">
        <v>79.631630000000001</v>
      </c>
      <c r="AF33" s="35">
        <v>-6.0899999999999995E-4</v>
      </c>
      <c r="AG33" s="29"/>
    </row>
    <row r="34" spans="1:33" ht="12" customHeight="1">
      <c r="A34" s="34" t="s">
        <v>2717</v>
      </c>
      <c r="B34" s="37" t="s">
        <v>2718</v>
      </c>
      <c r="C34" s="53">
        <v>967.66296399999999</v>
      </c>
      <c r="D34" s="53">
        <v>946.27154499999995</v>
      </c>
      <c r="E34" s="53">
        <v>935.03002900000001</v>
      </c>
      <c r="F34" s="53">
        <v>950.27484100000004</v>
      </c>
      <c r="G34" s="53">
        <v>972.21118200000001</v>
      </c>
      <c r="H34" s="53">
        <v>994.82507299999997</v>
      </c>
      <c r="I34" s="53">
        <v>1014.735352</v>
      </c>
      <c r="J34" s="53">
        <v>1030.525879</v>
      </c>
      <c r="K34" s="53">
        <v>1043.5344239999999</v>
      </c>
      <c r="L34" s="53">
        <v>1058.1083980000001</v>
      </c>
      <c r="M34" s="53">
        <v>1076.729004</v>
      </c>
      <c r="N34" s="53">
        <v>1095.6530760000001</v>
      </c>
      <c r="O34" s="53">
        <v>1117.4677730000001</v>
      </c>
      <c r="P34" s="53">
        <v>1139.945068</v>
      </c>
      <c r="Q34" s="53">
        <v>1160.9132079999999</v>
      </c>
      <c r="R34" s="53">
        <v>1183.179443</v>
      </c>
      <c r="S34" s="53">
        <v>1205.022461</v>
      </c>
      <c r="T34" s="53">
        <v>1229.1611330000001</v>
      </c>
      <c r="U34" s="53">
        <v>1256.4189449999999</v>
      </c>
      <c r="V34" s="53">
        <v>1284.9853519999999</v>
      </c>
      <c r="W34" s="53">
        <v>1315.005615</v>
      </c>
      <c r="X34" s="53">
        <v>1345.715332</v>
      </c>
      <c r="Y34" s="53">
        <v>1374.6400149999999</v>
      </c>
      <c r="Z34" s="53">
        <v>1401.1206050000001</v>
      </c>
      <c r="AA34" s="53">
        <v>1430.0170900000001</v>
      </c>
      <c r="AB34" s="53">
        <v>1461.922607</v>
      </c>
      <c r="AC34" s="53">
        <v>1489.793091</v>
      </c>
      <c r="AD34" s="53">
        <v>1517.4370120000001</v>
      </c>
      <c r="AE34" s="53">
        <v>1552.1362300000001</v>
      </c>
      <c r="AF34" s="35">
        <v>1.7017999999999998E-2</v>
      </c>
      <c r="AG34" s="29"/>
    </row>
    <row r="35" spans="1:33" ht="12" customHeight="1">
      <c r="A35" s="34" t="s">
        <v>2719</v>
      </c>
      <c r="B35" s="37" t="s">
        <v>1467</v>
      </c>
      <c r="C35" s="53">
        <v>474.04568499999999</v>
      </c>
      <c r="D35" s="53">
        <v>452.66241500000001</v>
      </c>
      <c r="E35" s="53">
        <v>441.20394900000002</v>
      </c>
      <c r="F35" s="53">
        <v>453.24295000000001</v>
      </c>
      <c r="G35" s="53">
        <v>468.34979199999998</v>
      </c>
      <c r="H35" s="53">
        <v>480.999664</v>
      </c>
      <c r="I35" s="53">
        <v>490.772919</v>
      </c>
      <c r="J35" s="53">
        <v>497.28476000000001</v>
      </c>
      <c r="K35" s="53">
        <v>503.20382699999999</v>
      </c>
      <c r="L35" s="53">
        <v>511.00143400000002</v>
      </c>
      <c r="M35" s="53">
        <v>519.99523899999997</v>
      </c>
      <c r="N35" s="53">
        <v>527.93658400000004</v>
      </c>
      <c r="O35" s="53">
        <v>537.20996100000002</v>
      </c>
      <c r="P35" s="53">
        <v>545.92431599999998</v>
      </c>
      <c r="Q35" s="53">
        <v>552.74749799999995</v>
      </c>
      <c r="R35" s="53">
        <v>560.28912400000002</v>
      </c>
      <c r="S35" s="53">
        <v>566.19134499999996</v>
      </c>
      <c r="T35" s="53">
        <v>573.65039100000001</v>
      </c>
      <c r="U35" s="53">
        <v>582.99743699999999</v>
      </c>
      <c r="V35" s="53">
        <v>591.118652</v>
      </c>
      <c r="W35" s="53">
        <v>598.44317599999999</v>
      </c>
      <c r="X35" s="53">
        <v>605.70812999999998</v>
      </c>
      <c r="Y35" s="53">
        <v>611.42059300000005</v>
      </c>
      <c r="Z35" s="53">
        <v>616.42040999999995</v>
      </c>
      <c r="AA35" s="53">
        <v>624.27166699999998</v>
      </c>
      <c r="AB35" s="53">
        <v>633.372253</v>
      </c>
      <c r="AC35" s="53">
        <v>638.37658699999997</v>
      </c>
      <c r="AD35" s="53">
        <v>645.89202899999998</v>
      </c>
      <c r="AE35" s="53">
        <v>658.58074999999997</v>
      </c>
      <c r="AF35" s="35">
        <v>1.1811E-2</v>
      </c>
      <c r="AG35" s="29"/>
    </row>
    <row r="36" spans="1:33" ht="12" customHeight="1">
      <c r="A36" s="34" t="s">
        <v>2720</v>
      </c>
      <c r="B36" s="37" t="s">
        <v>1484</v>
      </c>
      <c r="C36" s="53">
        <v>53.798808999999999</v>
      </c>
      <c r="D36" s="53">
        <v>54.111629000000001</v>
      </c>
      <c r="E36" s="53">
        <v>53.713580999999998</v>
      </c>
      <c r="F36" s="53">
        <v>54.911659</v>
      </c>
      <c r="G36" s="53">
        <v>56.147316000000004</v>
      </c>
      <c r="H36" s="53">
        <v>56.867516000000002</v>
      </c>
      <c r="I36" s="53">
        <v>57.306702000000001</v>
      </c>
      <c r="J36" s="53">
        <v>57.473934</v>
      </c>
      <c r="K36" s="53">
        <v>57.516285000000003</v>
      </c>
      <c r="L36" s="53">
        <v>57.632683</v>
      </c>
      <c r="M36" s="53">
        <v>57.847565000000003</v>
      </c>
      <c r="N36" s="53">
        <v>58.079574999999998</v>
      </c>
      <c r="O36" s="53">
        <v>58.482449000000003</v>
      </c>
      <c r="P36" s="53">
        <v>58.852043000000002</v>
      </c>
      <c r="Q36" s="53">
        <v>59.066029</v>
      </c>
      <c r="R36" s="53">
        <v>59.383343000000004</v>
      </c>
      <c r="S36" s="53">
        <v>59.432822999999999</v>
      </c>
      <c r="T36" s="53">
        <v>59.717860999999999</v>
      </c>
      <c r="U36" s="53">
        <v>60.181441999999997</v>
      </c>
      <c r="V36" s="53">
        <v>60.545665999999997</v>
      </c>
      <c r="W36" s="53">
        <v>60.773445000000002</v>
      </c>
      <c r="X36" s="53">
        <v>60.956927999999998</v>
      </c>
      <c r="Y36" s="53">
        <v>61.076262999999997</v>
      </c>
      <c r="Z36" s="53">
        <v>60.964103999999999</v>
      </c>
      <c r="AA36" s="53">
        <v>61.165000999999997</v>
      </c>
      <c r="AB36" s="53">
        <v>61.487887999999998</v>
      </c>
      <c r="AC36" s="53">
        <v>61.390053000000002</v>
      </c>
      <c r="AD36" s="53">
        <v>61.481032999999996</v>
      </c>
      <c r="AE36" s="53">
        <v>62.171908999999999</v>
      </c>
      <c r="AF36" s="35">
        <v>5.1799999999999997E-3</v>
      </c>
      <c r="AG36" s="29"/>
    </row>
    <row r="37" spans="1:33" ht="12" customHeight="1">
      <c r="A37" s="34" t="s">
        <v>2721</v>
      </c>
      <c r="B37" s="37" t="s">
        <v>2722</v>
      </c>
      <c r="C37" s="53">
        <v>248.33982800000001</v>
      </c>
      <c r="D37" s="53">
        <v>230.08815000000001</v>
      </c>
      <c r="E37" s="53">
        <v>219.43699599999999</v>
      </c>
      <c r="F37" s="53">
        <v>227.44752500000001</v>
      </c>
      <c r="G37" s="53">
        <v>235.278549</v>
      </c>
      <c r="H37" s="53">
        <v>241.427628</v>
      </c>
      <c r="I37" s="53">
        <v>246.63137800000001</v>
      </c>
      <c r="J37" s="53">
        <v>250.203293</v>
      </c>
      <c r="K37" s="53">
        <v>253.86630199999999</v>
      </c>
      <c r="L37" s="53">
        <v>258.56909200000001</v>
      </c>
      <c r="M37" s="53">
        <v>263.46579000000003</v>
      </c>
      <c r="N37" s="53">
        <v>267.666473</v>
      </c>
      <c r="O37" s="53">
        <v>272.58535799999999</v>
      </c>
      <c r="P37" s="53">
        <v>277.16125499999998</v>
      </c>
      <c r="Q37" s="53">
        <v>280.81646699999999</v>
      </c>
      <c r="R37" s="53">
        <v>284.986176</v>
      </c>
      <c r="S37" s="53">
        <v>288.07333399999999</v>
      </c>
      <c r="T37" s="53">
        <v>292.60125699999998</v>
      </c>
      <c r="U37" s="53">
        <v>298.18258700000001</v>
      </c>
      <c r="V37" s="53">
        <v>302.85238600000002</v>
      </c>
      <c r="W37" s="53">
        <v>307.34738199999998</v>
      </c>
      <c r="X37" s="53">
        <v>311.99383499999999</v>
      </c>
      <c r="Y37" s="53">
        <v>315.715485</v>
      </c>
      <c r="Z37" s="53">
        <v>319.06912199999999</v>
      </c>
      <c r="AA37" s="53">
        <v>324.114777</v>
      </c>
      <c r="AB37" s="53">
        <v>329.666901</v>
      </c>
      <c r="AC37" s="53">
        <v>332.79183999999998</v>
      </c>
      <c r="AD37" s="53">
        <v>337.666718</v>
      </c>
      <c r="AE37" s="53">
        <v>345.46246300000001</v>
      </c>
      <c r="AF37" s="35">
        <v>1.1859E-2</v>
      </c>
      <c r="AG37" s="29"/>
    </row>
    <row r="38" spans="1:33" ht="12" customHeight="1">
      <c r="A38" s="34" t="s">
        <v>2723</v>
      </c>
      <c r="B38" s="37" t="s">
        <v>2724</v>
      </c>
      <c r="C38" s="53">
        <v>125.433899</v>
      </c>
      <c r="D38" s="53">
        <v>122.11889600000001</v>
      </c>
      <c r="E38" s="53">
        <v>120.862724</v>
      </c>
      <c r="F38" s="53">
        <v>122.112274</v>
      </c>
      <c r="G38" s="53">
        <v>126.20547500000001</v>
      </c>
      <c r="H38" s="53">
        <v>130.359543</v>
      </c>
      <c r="I38" s="53">
        <v>133.31703200000001</v>
      </c>
      <c r="J38" s="53">
        <v>135.152771</v>
      </c>
      <c r="K38" s="53">
        <v>136.57359299999999</v>
      </c>
      <c r="L38" s="53">
        <v>138.55740399999999</v>
      </c>
      <c r="M38" s="53">
        <v>141.15957599999999</v>
      </c>
      <c r="N38" s="53">
        <v>143.60412600000001</v>
      </c>
      <c r="O38" s="53">
        <v>146.3638</v>
      </c>
      <c r="P38" s="53">
        <v>148.97583</v>
      </c>
      <c r="Q38" s="53">
        <v>151.11196899999999</v>
      </c>
      <c r="R38" s="53">
        <v>153.40373199999999</v>
      </c>
      <c r="S38" s="53">
        <v>155.45434599999999</v>
      </c>
      <c r="T38" s="53">
        <v>157.85867300000001</v>
      </c>
      <c r="U38" s="53">
        <v>160.786148</v>
      </c>
      <c r="V38" s="53">
        <v>163.26277200000001</v>
      </c>
      <c r="W38" s="53">
        <v>165.623672</v>
      </c>
      <c r="X38" s="53">
        <v>168.16381799999999</v>
      </c>
      <c r="Y38" s="53">
        <v>170.367401</v>
      </c>
      <c r="Z38" s="53">
        <v>172.53684999999999</v>
      </c>
      <c r="AA38" s="53">
        <v>175.234329</v>
      </c>
      <c r="AB38" s="53">
        <v>178.26676900000001</v>
      </c>
      <c r="AC38" s="53">
        <v>180.39846800000001</v>
      </c>
      <c r="AD38" s="53">
        <v>182.98765599999999</v>
      </c>
      <c r="AE38" s="53">
        <v>186.81578099999999</v>
      </c>
      <c r="AF38" s="35">
        <v>1.4328E-2</v>
      </c>
      <c r="AG38" s="29"/>
    </row>
    <row r="39" spans="1:33" ht="12" customHeight="1">
      <c r="A39" s="34" t="s">
        <v>2725</v>
      </c>
      <c r="B39" s="37" t="s">
        <v>1469</v>
      </c>
      <c r="C39" s="53">
        <v>46.473137000000001</v>
      </c>
      <c r="D39" s="53">
        <v>46.343746000000003</v>
      </c>
      <c r="E39" s="53">
        <v>47.190632000000001</v>
      </c>
      <c r="F39" s="53">
        <v>48.771492000000002</v>
      </c>
      <c r="G39" s="53">
        <v>50.718432999999997</v>
      </c>
      <c r="H39" s="53">
        <v>52.345001000000003</v>
      </c>
      <c r="I39" s="53">
        <v>53.517792</v>
      </c>
      <c r="J39" s="53">
        <v>54.454768999999999</v>
      </c>
      <c r="K39" s="53">
        <v>55.247646000000003</v>
      </c>
      <c r="L39" s="53">
        <v>56.242249000000001</v>
      </c>
      <c r="M39" s="53">
        <v>57.522289000000001</v>
      </c>
      <c r="N39" s="53">
        <v>58.586426000000003</v>
      </c>
      <c r="O39" s="53">
        <v>59.778351000000001</v>
      </c>
      <c r="P39" s="53">
        <v>60.93515</v>
      </c>
      <c r="Q39" s="53">
        <v>61.753002000000002</v>
      </c>
      <c r="R39" s="53">
        <v>62.515858000000001</v>
      </c>
      <c r="S39" s="53">
        <v>63.230846</v>
      </c>
      <c r="T39" s="53">
        <v>63.472591000000001</v>
      </c>
      <c r="U39" s="53">
        <v>63.847293999999998</v>
      </c>
      <c r="V39" s="53">
        <v>64.457808999999997</v>
      </c>
      <c r="W39" s="53">
        <v>64.698668999999995</v>
      </c>
      <c r="X39" s="53">
        <v>64.593536</v>
      </c>
      <c r="Y39" s="53">
        <v>64.261429000000007</v>
      </c>
      <c r="Z39" s="53">
        <v>63.850341999999998</v>
      </c>
      <c r="AA39" s="53">
        <v>63.757587000000001</v>
      </c>
      <c r="AB39" s="53">
        <v>63.950690999999999</v>
      </c>
      <c r="AC39" s="53">
        <v>63.796267999999998</v>
      </c>
      <c r="AD39" s="53">
        <v>63.756602999999998</v>
      </c>
      <c r="AE39" s="53">
        <v>64.130591999999993</v>
      </c>
      <c r="AF39" s="35">
        <v>1.1568E-2</v>
      </c>
      <c r="AG39" s="29"/>
    </row>
    <row r="40" spans="1:33" ht="12" customHeight="1">
      <c r="A40" s="34" t="s">
        <v>2726</v>
      </c>
      <c r="B40" s="37" t="s">
        <v>2727</v>
      </c>
      <c r="C40" s="53">
        <v>493.617279</v>
      </c>
      <c r="D40" s="53">
        <v>493.60913099999999</v>
      </c>
      <c r="E40" s="53">
        <v>493.82607999999999</v>
      </c>
      <c r="F40" s="53">
        <v>497.03189099999997</v>
      </c>
      <c r="G40" s="53">
        <v>503.86138899999997</v>
      </c>
      <c r="H40" s="53">
        <v>513.825378</v>
      </c>
      <c r="I40" s="53">
        <v>523.962402</v>
      </c>
      <c r="J40" s="53">
        <v>533.24114999999995</v>
      </c>
      <c r="K40" s="53">
        <v>540.33056599999998</v>
      </c>
      <c r="L40" s="53">
        <v>547.10693400000002</v>
      </c>
      <c r="M40" s="53">
        <v>556.73370399999999</v>
      </c>
      <c r="N40" s="53">
        <v>567.71655299999998</v>
      </c>
      <c r="O40" s="53">
        <v>580.25775099999998</v>
      </c>
      <c r="P40" s="53">
        <v>594.02081299999998</v>
      </c>
      <c r="Q40" s="53">
        <v>608.16570999999999</v>
      </c>
      <c r="R40" s="53">
        <v>622.89031999999997</v>
      </c>
      <c r="S40" s="53">
        <v>638.83111599999995</v>
      </c>
      <c r="T40" s="53">
        <v>655.51068099999998</v>
      </c>
      <c r="U40" s="53">
        <v>673.42156999999997</v>
      </c>
      <c r="V40" s="53">
        <v>693.86669900000004</v>
      </c>
      <c r="W40" s="53">
        <v>716.56243900000004</v>
      </c>
      <c r="X40" s="53">
        <v>740.00720200000001</v>
      </c>
      <c r="Y40" s="53">
        <v>763.21942100000001</v>
      </c>
      <c r="Z40" s="53">
        <v>784.70019500000001</v>
      </c>
      <c r="AA40" s="53">
        <v>805.74548300000004</v>
      </c>
      <c r="AB40" s="53">
        <v>828.55041500000004</v>
      </c>
      <c r="AC40" s="53">
        <v>851.41650400000003</v>
      </c>
      <c r="AD40" s="53">
        <v>871.54504399999996</v>
      </c>
      <c r="AE40" s="53">
        <v>893.55548099999999</v>
      </c>
      <c r="AF40" s="35">
        <v>2.1420999999999999E-2</v>
      </c>
      <c r="AG40" s="29"/>
    </row>
    <row r="41" spans="1:33" ht="12" customHeight="1">
      <c r="A41" s="34" t="s">
        <v>2728</v>
      </c>
      <c r="B41" s="37" t="s">
        <v>2729</v>
      </c>
      <c r="C41" s="53">
        <v>817.11468500000001</v>
      </c>
      <c r="D41" s="53">
        <v>886.91461200000003</v>
      </c>
      <c r="E41" s="53">
        <v>884.32818599999996</v>
      </c>
      <c r="F41" s="53">
        <v>881.06311000000005</v>
      </c>
      <c r="G41" s="53">
        <v>877.14593500000001</v>
      </c>
      <c r="H41" s="53">
        <v>874.703979</v>
      </c>
      <c r="I41" s="53">
        <v>872.06469700000002</v>
      </c>
      <c r="J41" s="53">
        <v>868.17156999999997</v>
      </c>
      <c r="K41" s="53">
        <v>862.20849599999997</v>
      </c>
      <c r="L41" s="53">
        <v>856.569885</v>
      </c>
      <c r="M41" s="53">
        <v>853.14038100000005</v>
      </c>
      <c r="N41" s="53">
        <v>850.25524900000005</v>
      </c>
      <c r="O41" s="53">
        <v>848.71527100000003</v>
      </c>
      <c r="P41" s="53">
        <v>846.04516599999999</v>
      </c>
      <c r="Q41" s="53">
        <v>843.56927499999995</v>
      </c>
      <c r="R41" s="53">
        <v>841.93682899999999</v>
      </c>
      <c r="S41" s="53">
        <v>840.54669200000001</v>
      </c>
      <c r="T41" s="53">
        <v>840.634094</v>
      </c>
      <c r="U41" s="53">
        <v>841.84570299999996</v>
      </c>
      <c r="V41" s="53">
        <v>843.08703600000001</v>
      </c>
      <c r="W41" s="53">
        <v>845.15832499999999</v>
      </c>
      <c r="X41" s="53">
        <v>847.45727499999998</v>
      </c>
      <c r="Y41" s="53">
        <v>850.05902100000003</v>
      </c>
      <c r="Z41" s="53">
        <v>851.92218000000003</v>
      </c>
      <c r="AA41" s="53">
        <v>856.05602999999996</v>
      </c>
      <c r="AB41" s="53">
        <v>860.54693599999996</v>
      </c>
      <c r="AC41" s="53">
        <v>862.95355199999995</v>
      </c>
      <c r="AD41" s="53">
        <v>867.26434300000005</v>
      </c>
      <c r="AE41" s="53">
        <v>875.41479500000003</v>
      </c>
      <c r="AF41" s="35">
        <v>2.464E-3</v>
      </c>
      <c r="AG41" s="29"/>
    </row>
    <row r="42" spans="1:33" ht="12" customHeight="1">
      <c r="A42" s="34" t="s">
        <v>2730</v>
      </c>
      <c r="B42" s="37" t="s">
        <v>2731</v>
      </c>
      <c r="C42" s="53">
        <v>772.46887200000003</v>
      </c>
      <c r="D42" s="53">
        <v>839.67993200000001</v>
      </c>
      <c r="E42" s="53">
        <v>835.56805399999996</v>
      </c>
      <c r="F42" s="53">
        <v>832.39215100000001</v>
      </c>
      <c r="G42" s="53">
        <v>829.06683299999997</v>
      </c>
      <c r="H42" s="53">
        <v>826.93988000000002</v>
      </c>
      <c r="I42" s="53">
        <v>824.657104</v>
      </c>
      <c r="J42" s="53">
        <v>821.24591099999998</v>
      </c>
      <c r="K42" s="53">
        <v>815.68444799999997</v>
      </c>
      <c r="L42" s="53">
        <v>810.43554700000004</v>
      </c>
      <c r="M42" s="53">
        <v>807.50134300000002</v>
      </c>
      <c r="N42" s="53">
        <v>805.01220699999999</v>
      </c>
      <c r="O42" s="53">
        <v>803.82550000000003</v>
      </c>
      <c r="P42" s="53">
        <v>801.60705600000006</v>
      </c>
      <c r="Q42" s="53">
        <v>799.54010000000005</v>
      </c>
      <c r="R42" s="53">
        <v>798.39446999999996</v>
      </c>
      <c r="S42" s="53">
        <v>797.60571300000004</v>
      </c>
      <c r="T42" s="53">
        <v>798.13757299999997</v>
      </c>
      <c r="U42" s="53">
        <v>799.69812000000002</v>
      </c>
      <c r="V42" s="53">
        <v>801.39166299999999</v>
      </c>
      <c r="W42" s="53">
        <v>803.83239700000001</v>
      </c>
      <c r="X42" s="53">
        <v>806.45361300000002</v>
      </c>
      <c r="Y42" s="53">
        <v>809.37402299999997</v>
      </c>
      <c r="Z42" s="53">
        <v>811.54797399999995</v>
      </c>
      <c r="AA42" s="53">
        <v>815.90722700000003</v>
      </c>
      <c r="AB42" s="53">
        <v>820.65881300000001</v>
      </c>
      <c r="AC42" s="53">
        <v>823.51312299999995</v>
      </c>
      <c r="AD42" s="53">
        <v>828.04888900000003</v>
      </c>
      <c r="AE42" s="53">
        <v>836.25622599999997</v>
      </c>
      <c r="AF42" s="35">
        <v>2.8379999999999998E-3</v>
      </c>
      <c r="AG42" s="29"/>
    </row>
    <row r="43" spans="1:33" ht="12" customHeight="1">
      <c r="A43" s="34" t="s">
        <v>2732</v>
      </c>
      <c r="B43" s="37" t="s">
        <v>2733</v>
      </c>
      <c r="C43" s="53">
        <v>44.645794000000002</v>
      </c>
      <c r="D43" s="53">
        <v>47.234665</v>
      </c>
      <c r="E43" s="53">
        <v>48.760154999999997</v>
      </c>
      <c r="F43" s="53">
        <v>48.670940000000002</v>
      </c>
      <c r="G43" s="53">
        <v>48.079116999999997</v>
      </c>
      <c r="H43" s="53">
        <v>47.764068999999999</v>
      </c>
      <c r="I43" s="53">
        <v>47.407600000000002</v>
      </c>
      <c r="J43" s="53">
        <v>46.925643999999998</v>
      </c>
      <c r="K43" s="53">
        <v>46.524067000000002</v>
      </c>
      <c r="L43" s="53">
        <v>46.134365000000003</v>
      </c>
      <c r="M43" s="53">
        <v>45.639007999999997</v>
      </c>
      <c r="N43" s="53">
        <v>45.243049999999997</v>
      </c>
      <c r="O43" s="53">
        <v>44.889744</v>
      </c>
      <c r="P43" s="53">
        <v>44.438141000000002</v>
      </c>
      <c r="Q43" s="53">
        <v>44.029170999999998</v>
      </c>
      <c r="R43" s="53">
        <v>43.542369999999998</v>
      </c>
      <c r="S43" s="53">
        <v>42.940994000000003</v>
      </c>
      <c r="T43" s="53">
        <v>42.496524999999998</v>
      </c>
      <c r="U43" s="53">
        <v>42.147571999999997</v>
      </c>
      <c r="V43" s="53">
        <v>41.695380999999998</v>
      </c>
      <c r="W43" s="53">
        <v>41.325927999999998</v>
      </c>
      <c r="X43" s="53">
        <v>41.003650999999998</v>
      </c>
      <c r="Y43" s="53">
        <v>40.685012999999998</v>
      </c>
      <c r="Z43" s="53">
        <v>40.374209999999998</v>
      </c>
      <c r="AA43" s="53">
        <v>40.148823</v>
      </c>
      <c r="AB43" s="53">
        <v>39.888148999999999</v>
      </c>
      <c r="AC43" s="53">
        <v>39.440418000000001</v>
      </c>
      <c r="AD43" s="53">
        <v>39.215480999999997</v>
      </c>
      <c r="AE43" s="53">
        <v>39.158562000000003</v>
      </c>
      <c r="AF43" s="35">
        <v>-4.6730000000000001E-3</v>
      </c>
      <c r="AG43" s="29"/>
    </row>
    <row r="44" spans="1:33" ht="12" customHeight="1">
      <c r="A44" s="34" t="s">
        <v>2734</v>
      </c>
      <c r="B44" s="37" t="s">
        <v>2735</v>
      </c>
      <c r="C44" s="53">
        <v>254.56864899999999</v>
      </c>
      <c r="D44" s="53">
        <v>249.40261799999999</v>
      </c>
      <c r="E44" s="53">
        <v>247.59620699999999</v>
      </c>
      <c r="F44" s="53">
        <v>251.19984400000001</v>
      </c>
      <c r="G44" s="53">
        <v>257.79541</v>
      </c>
      <c r="H44" s="53">
        <v>263.61346400000002</v>
      </c>
      <c r="I44" s="53">
        <v>268.53961199999998</v>
      </c>
      <c r="J44" s="53">
        <v>273.15313700000002</v>
      </c>
      <c r="K44" s="53">
        <v>277.04922499999998</v>
      </c>
      <c r="L44" s="53">
        <v>281.63604700000002</v>
      </c>
      <c r="M44" s="53">
        <v>287.50537100000003</v>
      </c>
      <c r="N44" s="53">
        <v>292.88174400000003</v>
      </c>
      <c r="O44" s="53">
        <v>297.91622899999999</v>
      </c>
      <c r="P44" s="53">
        <v>303.86456299999998</v>
      </c>
      <c r="Q44" s="53">
        <v>309.03872699999999</v>
      </c>
      <c r="R44" s="53">
        <v>314.230591</v>
      </c>
      <c r="S44" s="53">
        <v>319.516479</v>
      </c>
      <c r="T44" s="53">
        <v>324.26388500000002</v>
      </c>
      <c r="U44" s="53">
        <v>329.411224</v>
      </c>
      <c r="V44" s="53">
        <v>335.37335200000001</v>
      </c>
      <c r="W44" s="53">
        <v>341.05621300000001</v>
      </c>
      <c r="X44" s="53">
        <v>347.279449</v>
      </c>
      <c r="Y44" s="53">
        <v>352.69454999999999</v>
      </c>
      <c r="Z44" s="53">
        <v>357.66485599999999</v>
      </c>
      <c r="AA44" s="53">
        <v>363.25119000000001</v>
      </c>
      <c r="AB44" s="53">
        <v>369.17843599999998</v>
      </c>
      <c r="AC44" s="53">
        <v>374.38232399999998</v>
      </c>
      <c r="AD44" s="53">
        <v>379.796875</v>
      </c>
      <c r="AE44" s="53">
        <v>387.68673699999999</v>
      </c>
      <c r="AF44" s="35">
        <v>1.5136E-2</v>
      </c>
      <c r="AG44" s="29"/>
    </row>
    <row r="45" spans="1:33" ht="12" customHeight="1">
      <c r="A45" s="34" t="s">
        <v>2736</v>
      </c>
      <c r="B45" s="37" t="s">
        <v>1479</v>
      </c>
      <c r="C45" s="53">
        <v>119.730042</v>
      </c>
      <c r="D45" s="53">
        <v>114.438492</v>
      </c>
      <c r="E45" s="53">
        <v>113.30817399999999</v>
      </c>
      <c r="F45" s="53">
        <v>115.066971</v>
      </c>
      <c r="G45" s="53">
        <v>117.809082</v>
      </c>
      <c r="H45" s="53">
        <v>119.958473</v>
      </c>
      <c r="I45" s="53">
        <v>121.758652</v>
      </c>
      <c r="J45" s="53">
        <v>123.304001</v>
      </c>
      <c r="K45" s="53">
        <v>124.484306</v>
      </c>
      <c r="L45" s="53">
        <v>125.740257</v>
      </c>
      <c r="M45" s="53">
        <v>127.29342699999999</v>
      </c>
      <c r="N45" s="53">
        <v>128.58807400000001</v>
      </c>
      <c r="O45" s="53">
        <v>129.51486199999999</v>
      </c>
      <c r="P45" s="53">
        <v>131.14477500000001</v>
      </c>
      <c r="Q45" s="53">
        <v>132.32974200000001</v>
      </c>
      <c r="R45" s="53">
        <v>133.82093800000001</v>
      </c>
      <c r="S45" s="53">
        <v>135.45262099999999</v>
      </c>
      <c r="T45" s="53">
        <v>137.08142100000001</v>
      </c>
      <c r="U45" s="53">
        <v>138.79272499999999</v>
      </c>
      <c r="V45" s="53">
        <v>140.514984</v>
      </c>
      <c r="W45" s="53">
        <v>141.874741</v>
      </c>
      <c r="X45" s="53">
        <v>142.38699299999999</v>
      </c>
      <c r="Y45" s="53">
        <v>143.677246</v>
      </c>
      <c r="Z45" s="53">
        <v>145.33727999999999</v>
      </c>
      <c r="AA45" s="53">
        <v>146.83904999999999</v>
      </c>
      <c r="AB45" s="53">
        <v>148.28321800000001</v>
      </c>
      <c r="AC45" s="53">
        <v>149.31997699999999</v>
      </c>
      <c r="AD45" s="53">
        <v>150.348434</v>
      </c>
      <c r="AE45" s="53">
        <v>151.64003</v>
      </c>
      <c r="AF45" s="35">
        <v>8.4740000000000006E-3</v>
      </c>
      <c r="AG45" s="29"/>
    </row>
    <row r="46" spans="1:33" ht="12" customHeight="1">
      <c r="A46" s="34" t="s">
        <v>2737</v>
      </c>
      <c r="B46" s="37" t="s">
        <v>1477</v>
      </c>
      <c r="C46" s="53">
        <v>23.835207</v>
      </c>
      <c r="D46" s="53">
        <v>22.431635</v>
      </c>
      <c r="E46" s="53">
        <v>22.050007000000001</v>
      </c>
      <c r="F46" s="53">
        <v>22.057528999999999</v>
      </c>
      <c r="G46" s="53">
        <v>22.68103</v>
      </c>
      <c r="H46" s="53">
        <v>23.030569</v>
      </c>
      <c r="I46" s="53">
        <v>23.301846999999999</v>
      </c>
      <c r="J46" s="53">
        <v>23.512806000000001</v>
      </c>
      <c r="K46" s="53">
        <v>23.634198999999999</v>
      </c>
      <c r="L46" s="53">
        <v>23.801591999999999</v>
      </c>
      <c r="M46" s="53">
        <v>24.003617999999999</v>
      </c>
      <c r="N46" s="53">
        <v>24.275005</v>
      </c>
      <c r="O46" s="53">
        <v>24.565556000000001</v>
      </c>
      <c r="P46" s="53">
        <v>24.908245000000001</v>
      </c>
      <c r="Q46" s="53">
        <v>25.079616999999999</v>
      </c>
      <c r="R46" s="53">
        <v>25.316305</v>
      </c>
      <c r="S46" s="53">
        <v>25.550051</v>
      </c>
      <c r="T46" s="53">
        <v>25.968063000000001</v>
      </c>
      <c r="U46" s="53">
        <v>26.382377999999999</v>
      </c>
      <c r="V46" s="53">
        <v>26.675877</v>
      </c>
      <c r="W46" s="53">
        <v>27.04561</v>
      </c>
      <c r="X46" s="53">
        <v>27.182400000000001</v>
      </c>
      <c r="Y46" s="53">
        <v>27.408552</v>
      </c>
      <c r="Z46" s="53">
        <v>27.686163000000001</v>
      </c>
      <c r="AA46" s="53">
        <v>28.096257999999999</v>
      </c>
      <c r="AB46" s="53">
        <v>28.340467</v>
      </c>
      <c r="AC46" s="53">
        <v>28.420309</v>
      </c>
      <c r="AD46" s="53">
        <v>28.615231000000001</v>
      </c>
      <c r="AE46" s="53">
        <v>28.898367</v>
      </c>
      <c r="AF46" s="35">
        <v>6.9030000000000003E-3</v>
      </c>
      <c r="AG46" s="29"/>
    </row>
    <row r="47" spans="1:33" ht="12" customHeight="1">
      <c r="A47" s="34" t="s">
        <v>2738</v>
      </c>
      <c r="B47" s="37" t="s">
        <v>1465</v>
      </c>
      <c r="C47" s="53">
        <v>16.081751000000001</v>
      </c>
      <c r="D47" s="53">
        <v>15.364241</v>
      </c>
      <c r="E47" s="53">
        <v>15.174519</v>
      </c>
      <c r="F47" s="53">
        <v>15.420743999999999</v>
      </c>
      <c r="G47" s="53">
        <v>15.655219000000001</v>
      </c>
      <c r="H47" s="53">
        <v>15.807650000000001</v>
      </c>
      <c r="I47" s="53">
        <v>15.951729</v>
      </c>
      <c r="J47" s="53">
        <v>16.142638999999999</v>
      </c>
      <c r="K47" s="53">
        <v>16.343665999999999</v>
      </c>
      <c r="L47" s="53">
        <v>16.538471000000001</v>
      </c>
      <c r="M47" s="53">
        <v>16.67625</v>
      </c>
      <c r="N47" s="53">
        <v>16.739432999999998</v>
      </c>
      <c r="O47" s="53">
        <v>16.852367000000001</v>
      </c>
      <c r="P47" s="53">
        <v>17.106045000000002</v>
      </c>
      <c r="Q47" s="53">
        <v>17.312027</v>
      </c>
      <c r="R47" s="53">
        <v>17.484805999999999</v>
      </c>
      <c r="S47" s="53">
        <v>17.670828</v>
      </c>
      <c r="T47" s="53">
        <v>17.814067999999999</v>
      </c>
      <c r="U47" s="53">
        <v>18.006584</v>
      </c>
      <c r="V47" s="53">
        <v>18.220645999999999</v>
      </c>
      <c r="W47" s="53">
        <v>18.389344999999999</v>
      </c>
      <c r="X47" s="53">
        <v>18.476151000000002</v>
      </c>
      <c r="Y47" s="53">
        <v>18.683886999999999</v>
      </c>
      <c r="Z47" s="53">
        <v>18.925754999999999</v>
      </c>
      <c r="AA47" s="53">
        <v>19.120739</v>
      </c>
      <c r="AB47" s="53">
        <v>19.317871</v>
      </c>
      <c r="AC47" s="53">
        <v>19.466255</v>
      </c>
      <c r="AD47" s="53">
        <v>19.601412</v>
      </c>
      <c r="AE47" s="53">
        <v>19.775444</v>
      </c>
      <c r="AF47" s="35">
        <v>7.4110000000000001E-3</v>
      </c>
      <c r="AG47" s="29"/>
    </row>
    <row r="48" spans="1:33" ht="12" customHeight="1">
      <c r="A48" s="34" t="s">
        <v>2739</v>
      </c>
      <c r="B48" s="37" t="s">
        <v>2740</v>
      </c>
      <c r="C48" s="53">
        <v>79.813086999999996</v>
      </c>
      <c r="D48" s="53">
        <v>76.642616000000004</v>
      </c>
      <c r="E48" s="53">
        <v>76.083648999999994</v>
      </c>
      <c r="F48" s="53">
        <v>77.588699000000005</v>
      </c>
      <c r="G48" s="53">
        <v>79.472831999999997</v>
      </c>
      <c r="H48" s="53">
        <v>81.120255</v>
      </c>
      <c r="I48" s="53">
        <v>82.505073999999993</v>
      </c>
      <c r="J48" s="53">
        <v>83.648551999999995</v>
      </c>
      <c r="K48" s="53">
        <v>84.506439</v>
      </c>
      <c r="L48" s="53">
        <v>85.400192000000004</v>
      </c>
      <c r="M48" s="53">
        <v>86.613556000000003</v>
      </c>
      <c r="N48" s="53">
        <v>87.573631000000006</v>
      </c>
      <c r="O48" s="53">
        <v>88.096947</v>
      </c>
      <c r="P48" s="53">
        <v>89.130486000000005</v>
      </c>
      <c r="Q48" s="53">
        <v>89.938095000000004</v>
      </c>
      <c r="R48" s="53">
        <v>91.019829000000001</v>
      </c>
      <c r="S48" s="53">
        <v>92.231742999999994</v>
      </c>
      <c r="T48" s="53">
        <v>93.299285999999995</v>
      </c>
      <c r="U48" s="53">
        <v>94.403755000000004</v>
      </c>
      <c r="V48" s="53">
        <v>95.618454</v>
      </c>
      <c r="W48" s="53">
        <v>96.439789000000005</v>
      </c>
      <c r="X48" s="53">
        <v>96.728447000000003</v>
      </c>
      <c r="Y48" s="53">
        <v>97.584800999999999</v>
      </c>
      <c r="Z48" s="53">
        <v>98.725357000000002</v>
      </c>
      <c r="AA48" s="53">
        <v>99.622055000000003</v>
      </c>
      <c r="AB48" s="53">
        <v>100.624878</v>
      </c>
      <c r="AC48" s="53">
        <v>101.433403</v>
      </c>
      <c r="AD48" s="53">
        <v>102.131798</v>
      </c>
      <c r="AE48" s="53">
        <v>102.96622499999999</v>
      </c>
      <c r="AF48" s="35">
        <v>9.1380000000000003E-3</v>
      </c>
      <c r="AG48" s="29"/>
    </row>
    <row r="49" spans="1:33" ht="12" customHeight="1">
      <c r="A49" s="34" t="s">
        <v>2741</v>
      </c>
      <c r="B49" s="37" t="s">
        <v>2742</v>
      </c>
      <c r="C49" s="53">
        <v>244.92063899999999</v>
      </c>
      <c r="D49" s="53">
        <v>242.71447800000001</v>
      </c>
      <c r="E49" s="53">
        <v>242.907928</v>
      </c>
      <c r="F49" s="53">
        <v>250.14743000000001</v>
      </c>
      <c r="G49" s="53">
        <v>260.91778599999998</v>
      </c>
      <c r="H49" s="53">
        <v>267.47143599999998</v>
      </c>
      <c r="I49" s="53">
        <v>270.68414300000001</v>
      </c>
      <c r="J49" s="53">
        <v>273.12374899999998</v>
      </c>
      <c r="K49" s="53">
        <v>273.69506799999999</v>
      </c>
      <c r="L49" s="53">
        <v>274.63815299999999</v>
      </c>
      <c r="M49" s="53">
        <v>277.50683600000002</v>
      </c>
      <c r="N49" s="53">
        <v>278.695221</v>
      </c>
      <c r="O49" s="53">
        <v>280.69860799999998</v>
      </c>
      <c r="P49" s="53">
        <v>283.362976</v>
      </c>
      <c r="Q49" s="53">
        <v>285.98867799999999</v>
      </c>
      <c r="R49" s="53">
        <v>290.064911</v>
      </c>
      <c r="S49" s="53">
        <v>293.63897700000001</v>
      </c>
      <c r="T49" s="53">
        <v>296.83245799999997</v>
      </c>
      <c r="U49" s="53">
        <v>300.254639</v>
      </c>
      <c r="V49" s="53">
        <v>304.25341800000001</v>
      </c>
      <c r="W49" s="53">
        <v>308.32467700000001</v>
      </c>
      <c r="X49" s="53">
        <v>311.60855099999998</v>
      </c>
      <c r="Y49" s="53">
        <v>314.53909299999998</v>
      </c>
      <c r="Z49" s="53">
        <v>317.61679099999998</v>
      </c>
      <c r="AA49" s="53">
        <v>321.32205199999999</v>
      </c>
      <c r="AB49" s="53">
        <v>325.11303700000002</v>
      </c>
      <c r="AC49" s="53">
        <v>327.84747299999998</v>
      </c>
      <c r="AD49" s="53">
        <v>330.89224200000001</v>
      </c>
      <c r="AE49" s="53">
        <v>335.55999800000001</v>
      </c>
      <c r="AF49" s="35">
        <v>1.1309E-2</v>
      </c>
      <c r="AG49" s="29"/>
    </row>
    <row r="50" spans="1:33" ht="15" customHeight="1">
      <c r="A50" s="34" t="s">
        <v>2743</v>
      </c>
      <c r="B50" s="37" t="s">
        <v>1464</v>
      </c>
      <c r="C50" s="53">
        <v>126.85520200000001</v>
      </c>
      <c r="D50" s="53">
        <v>124.78827699999999</v>
      </c>
      <c r="E50" s="53">
        <v>122.861504</v>
      </c>
      <c r="F50" s="53">
        <v>125.647324</v>
      </c>
      <c r="G50" s="53">
        <v>131.64794900000001</v>
      </c>
      <c r="H50" s="53">
        <v>134.760132</v>
      </c>
      <c r="I50" s="53">
        <v>135.50010700000001</v>
      </c>
      <c r="J50" s="53">
        <v>136.16549699999999</v>
      </c>
      <c r="K50" s="53">
        <v>135.42817700000001</v>
      </c>
      <c r="L50" s="53">
        <v>135.13987700000001</v>
      </c>
      <c r="M50" s="53">
        <v>136.50102200000001</v>
      </c>
      <c r="N50" s="53">
        <v>136.045624</v>
      </c>
      <c r="O50" s="53">
        <v>135.96459999999999</v>
      </c>
      <c r="P50" s="53">
        <v>136.36445599999999</v>
      </c>
      <c r="Q50" s="53">
        <v>136.71965</v>
      </c>
      <c r="R50" s="53">
        <v>138.30264299999999</v>
      </c>
      <c r="S50" s="53">
        <v>139.27752699999999</v>
      </c>
      <c r="T50" s="53">
        <v>139.56672699999999</v>
      </c>
      <c r="U50" s="53">
        <v>140.15815699999999</v>
      </c>
      <c r="V50" s="53">
        <v>141.206772</v>
      </c>
      <c r="W50" s="53">
        <v>142.31332399999999</v>
      </c>
      <c r="X50" s="53">
        <v>142.74842799999999</v>
      </c>
      <c r="Y50" s="53">
        <v>142.771469</v>
      </c>
      <c r="Z50" s="53">
        <v>142.45120199999999</v>
      </c>
      <c r="AA50" s="53">
        <v>142.66772499999999</v>
      </c>
      <c r="AB50" s="53">
        <v>143.319153</v>
      </c>
      <c r="AC50" s="53">
        <v>143.41282699999999</v>
      </c>
      <c r="AD50" s="53">
        <v>143.60940600000001</v>
      </c>
      <c r="AE50" s="53">
        <v>145.06587200000001</v>
      </c>
      <c r="AF50" s="35">
        <v>4.8019999999999998E-3</v>
      </c>
      <c r="AG50" s="29"/>
    </row>
    <row r="51" spans="1:33" ht="15" customHeight="1">
      <c r="A51" s="34" t="s">
        <v>2744</v>
      </c>
      <c r="B51" s="37" t="s">
        <v>1482</v>
      </c>
      <c r="C51" s="53">
        <v>39.489657999999999</v>
      </c>
      <c r="D51" s="53">
        <v>39.006199000000002</v>
      </c>
      <c r="E51" s="53">
        <v>39.241928000000001</v>
      </c>
      <c r="F51" s="53">
        <v>40.383499</v>
      </c>
      <c r="G51" s="53">
        <v>41.714424000000001</v>
      </c>
      <c r="H51" s="53">
        <v>42.604626000000003</v>
      </c>
      <c r="I51" s="53">
        <v>43.222197999999999</v>
      </c>
      <c r="J51" s="53">
        <v>43.558788</v>
      </c>
      <c r="K51" s="53">
        <v>43.667107000000001</v>
      </c>
      <c r="L51" s="53">
        <v>43.847262999999998</v>
      </c>
      <c r="M51" s="53">
        <v>44.095450999999997</v>
      </c>
      <c r="N51" s="53">
        <v>44.485649000000002</v>
      </c>
      <c r="O51" s="53">
        <v>45.056721000000003</v>
      </c>
      <c r="P51" s="53">
        <v>45.648440999999998</v>
      </c>
      <c r="Q51" s="53">
        <v>46.072398999999997</v>
      </c>
      <c r="R51" s="53">
        <v>46.591617999999997</v>
      </c>
      <c r="S51" s="53">
        <v>47.106681999999999</v>
      </c>
      <c r="T51" s="53">
        <v>47.672859000000003</v>
      </c>
      <c r="U51" s="53">
        <v>48.027209999999997</v>
      </c>
      <c r="V51" s="53">
        <v>48.631011999999998</v>
      </c>
      <c r="W51" s="53">
        <v>49.402282999999997</v>
      </c>
      <c r="X51" s="53">
        <v>49.964900999999998</v>
      </c>
      <c r="Y51" s="53">
        <v>50.329197000000001</v>
      </c>
      <c r="Z51" s="53">
        <v>50.972748000000003</v>
      </c>
      <c r="AA51" s="53">
        <v>51.743003999999999</v>
      </c>
      <c r="AB51" s="53">
        <v>52.397064</v>
      </c>
      <c r="AC51" s="53">
        <v>52.615349000000002</v>
      </c>
      <c r="AD51" s="53">
        <v>53.016792000000002</v>
      </c>
      <c r="AE51" s="53">
        <v>53.815617000000003</v>
      </c>
      <c r="AF51" s="35">
        <v>1.1115999999999999E-2</v>
      </c>
      <c r="AG51" s="29"/>
    </row>
    <row r="52" spans="1:33" ht="15" customHeight="1">
      <c r="A52" s="34" t="s">
        <v>2745</v>
      </c>
      <c r="B52" s="37" t="s">
        <v>1486</v>
      </c>
      <c r="C52" s="53">
        <v>78.575774999999993</v>
      </c>
      <c r="D52" s="53">
        <v>78.919990999999996</v>
      </c>
      <c r="E52" s="53">
        <v>80.804496999999998</v>
      </c>
      <c r="F52" s="53">
        <v>84.116607999999999</v>
      </c>
      <c r="G52" s="53">
        <v>87.555404999999993</v>
      </c>
      <c r="H52" s="53">
        <v>90.106673999999998</v>
      </c>
      <c r="I52" s="53">
        <v>91.961853000000005</v>
      </c>
      <c r="J52" s="53">
        <v>93.399451999999997</v>
      </c>
      <c r="K52" s="53">
        <v>94.599777000000003</v>
      </c>
      <c r="L52" s="53">
        <v>95.651015999999998</v>
      </c>
      <c r="M52" s="53">
        <v>96.91037</v>
      </c>
      <c r="N52" s="53">
        <v>98.163939999999997</v>
      </c>
      <c r="O52" s="53">
        <v>99.677277000000004</v>
      </c>
      <c r="P52" s="53">
        <v>101.350098</v>
      </c>
      <c r="Q52" s="53">
        <v>103.196625</v>
      </c>
      <c r="R52" s="53">
        <v>105.170647</v>
      </c>
      <c r="S52" s="53">
        <v>107.25477600000001</v>
      </c>
      <c r="T52" s="53">
        <v>109.59285</v>
      </c>
      <c r="U52" s="53">
        <v>112.069275</v>
      </c>
      <c r="V52" s="53">
        <v>114.415649</v>
      </c>
      <c r="W52" s="53">
        <v>116.609077</v>
      </c>
      <c r="X52" s="53">
        <v>118.89522599999999</v>
      </c>
      <c r="Y52" s="53">
        <v>121.438423</v>
      </c>
      <c r="Z52" s="53">
        <v>124.192848</v>
      </c>
      <c r="AA52" s="53">
        <v>126.91132399999999</v>
      </c>
      <c r="AB52" s="53">
        <v>129.39681999999999</v>
      </c>
      <c r="AC52" s="53">
        <v>131.819321</v>
      </c>
      <c r="AD52" s="53">
        <v>134.266052</v>
      </c>
      <c r="AE52" s="53">
        <v>136.678528</v>
      </c>
      <c r="AF52" s="35">
        <v>1.9966999999999999E-2</v>
      </c>
      <c r="AG52" s="29"/>
    </row>
    <row r="53" spans="1:33" ht="15" customHeight="1">
      <c r="A53" s="34" t="s">
        <v>2746</v>
      </c>
      <c r="B53" s="37" t="s">
        <v>2747</v>
      </c>
      <c r="C53" s="53">
        <v>361.08462500000002</v>
      </c>
      <c r="D53" s="53">
        <v>354.09451300000001</v>
      </c>
      <c r="E53" s="53">
        <v>351.484802</v>
      </c>
      <c r="F53" s="53">
        <v>357.95004299999999</v>
      </c>
      <c r="G53" s="53">
        <v>369.75707999999997</v>
      </c>
      <c r="H53" s="53">
        <v>379.725708</v>
      </c>
      <c r="I53" s="53">
        <v>385.55938700000002</v>
      </c>
      <c r="J53" s="53">
        <v>390.02487200000002</v>
      </c>
      <c r="K53" s="53">
        <v>392.792755</v>
      </c>
      <c r="L53" s="53">
        <v>396.91482500000001</v>
      </c>
      <c r="M53" s="53">
        <v>405.37014799999997</v>
      </c>
      <c r="N53" s="53">
        <v>412.59906000000001</v>
      </c>
      <c r="O53" s="53">
        <v>418.59823599999999</v>
      </c>
      <c r="P53" s="53">
        <v>426.64352400000001</v>
      </c>
      <c r="Q53" s="53">
        <v>435.44189499999999</v>
      </c>
      <c r="R53" s="53">
        <v>445.069458</v>
      </c>
      <c r="S53" s="53">
        <v>454.907623</v>
      </c>
      <c r="T53" s="53">
        <v>462.154358</v>
      </c>
      <c r="U53" s="53">
        <v>469.06369000000001</v>
      </c>
      <c r="V53" s="53">
        <v>478.09390300000001</v>
      </c>
      <c r="W53" s="53">
        <v>485.71447799999999</v>
      </c>
      <c r="X53" s="53">
        <v>492.09628300000003</v>
      </c>
      <c r="Y53" s="53">
        <v>496.24026500000002</v>
      </c>
      <c r="Z53" s="53">
        <v>498.41033900000002</v>
      </c>
      <c r="AA53" s="53">
        <v>500.96777300000002</v>
      </c>
      <c r="AB53" s="53">
        <v>505.22824100000003</v>
      </c>
      <c r="AC53" s="53">
        <v>507.26754799999998</v>
      </c>
      <c r="AD53" s="53">
        <v>507.686127</v>
      </c>
      <c r="AE53" s="53">
        <v>514.91851799999995</v>
      </c>
      <c r="AF53" s="35">
        <v>1.2756E-2</v>
      </c>
      <c r="AG53" s="29"/>
    </row>
    <row r="54" spans="1:33" ht="15" customHeight="1">
      <c r="A54" s="34" t="s">
        <v>2748</v>
      </c>
      <c r="B54" s="37" t="s">
        <v>2749</v>
      </c>
      <c r="C54" s="53">
        <v>399.61200000000002</v>
      </c>
      <c r="D54" s="53">
        <v>393.56274400000001</v>
      </c>
      <c r="E54" s="53">
        <v>393.80505399999998</v>
      </c>
      <c r="F54" s="53">
        <v>398.59121699999997</v>
      </c>
      <c r="G54" s="53">
        <v>413.20257600000002</v>
      </c>
      <c r="H54" s="53">
        <v>426.06222500000001</v>
      </c>
      <c r="I54" s="53">
        <v>431.62191799999999</v>
      </c>
      <c r="J54" s="53">
        <v>436.47894300000002</v>
      </c>
      <c r="K54" s="53">
        <v>441.38394199999999</v>
      </c>
      <c r="L54" s="53">
        <v>448.80239899999998</v>
      </c>
      <c r="M54" s="53">
        <v>460.85583500000001</v>
      </c>
      <c r="N54" s="53">
        <v>470.08538800000002</v>
      </c>
      <c r="O54" s="53">
        <v>477.91143799999998</v>
      </c>
      <c r="P54" s="53">
        <v>487.04830900000002</v>
      </c>
      <c r="Q54" s="53">
        <v>495.56310999999999</v>
      </c>
      <c r="R54" s="53">
        <v>503.838593</v>
      </c>
      <c r="S54" s="53">
        <v>512.09667999999999</v>
      </c>
      <c r="T54" s="53">
        <v>518.91455099999996</v>
      </c>
      <c r="U54" s="53">
        <v>525.78979500000003</v>
      </c>
      <c r="V54" s="53">
        <v>533.87219200000004</v>
      </c>
      <c r="W54" s="53">
        <v>541.03369099999998</v>
      </c>
      <c r="X54" s="53">
        <v>546.68652299999997</v>
      </c>
      <c r="Y54" s="53">
        <v>551.02954099999999</v>
      </c>
      <c r="Z54" s="53">
        <v>554.63653599999998</v>
      </c>
      <c r="AA54" s="53">
        <v>560.65307600000006</v>
      </c>
      <c r="AB54" s="53">
        <v>567.37158199999999</v>
      </c>
      <c r="AC54" s="53">
        <v>573.516479</v>
      </c>
      <c r="AD54" s="53">
        <v>577.69525099999998</v>
      </c>
      <c r="AE54" s="53">
        <v>585.69397000000004</v>
      </c>
      <c r="AF54" s="35">
        <v>1.3747000000000001E-2</v>
      </c>
      <c r="AG54" s="29"/>
    </row>
    <row r="55" spans="1:33" ht="15" customHeight="1">
      <c r="A55" s="34" t="s">
        <v>2750</v>
      </c>
      <c r="B55" s="37" t="s">
        <v>2751</v>
      </c>
      <c r="C55" s="53">
        <v>506.49093599999998</v>
      </c>
      <c r="D55" s="53">
        <v>516.42877199999998</v>
      </c>
      <c r="E55" s="53">
        <v>532.86395300000004</v>
      </c>
      <c r="F55" s="53">
        <v>553.77117899999996</v>
      </c>
      <c r="G55" s="53">
        <v>577.25573699999995</v>
      </c>
      <c r="H55" s="53">
        <v>597.36413600000003</v>
      </c>
      <c r="I55" s="53">
        <v>614.67828399999996</v>
      </c>
      <c r="J55" s="53">
        <v>627.72113000000002</v>
      </c>
      <c r="K55" s="53">
        <v>637.34918200000004</v>
      </c>
      <c r="L55" s="53">
        <v>648.73742700000003</v>
      </c>
      <c r="M55" s="53">
        <v>662.29174799999998</v>
      </c>
      <c r="N55" s="53">
        <v>675.88458300000002</v>
      </c>
      <c r="O55" s="53">
        <v>690.44891399999995</v>
      </c>
      <c r="P55" s="53">
        <v>704.77856399999996</v>
      </c>
      <c r="Q55" s="53">
        <v>720.01513699999998</v>
      </c>
      <c r="R55" s="53">
        <v>736.80139199999996</v>
      </c>
      <c r="S55" s="53">
        <v>754.86901899999998</v>
      </c>
      <c r="T55" s="53">
        <v>773.49487299999998</v>
      </c>
      <c r="U55" s="53">
        <v>794.91992200000004</v>
      </c>
      <c r="V55" s="53">
        <v>816.08807400000001</v>
      </c>
      <c r="W55" s="53">
        <v>835.03979500000003</v>
      </c>
      <c r="X55" s="53">
        <v>855.20025599999997</v>
      </c>
      <c r="Y55" s="53">
        <v>874.60534700000005</v>
      </c>
      <c r="Z55" s="53">
        <v>893.03076199999998</v>
      </c>
      <c r="AA55" s="53">
        <v>911.92706299999998</v>
      </c>
      <c r="AB55" s="53">
        <v>931.363831</v>
      </c>
      <c r="AC55" s="53">
        <v>950.155396</v>
      </c>
      <c r="AD55" s="53">
        <v>970.80560300000002</v>
      </c>
      <c r="AE55" s="53">
        <v>994.11694299999999</v>
      </c>
      <c r="AF55" s="35">
        <v>2.4375999999999998E-2</v>
      </c>
      <c r="AG55" s="29"/>
    </row>
    <row r="56" spans="1:33" ht="15" customHeight="1">
      <c r="A56" s="34" t="s">
        <v>2752</v>
      </c>
      <c r="B56" s="37" t="s">
        <v>2753</v>
      </c>
      <c r="C56" s="53">
        <v>1128.2124020000001</v>
      </c>
      <c r="D56" s="53">
        <v>1163.3079829999999</v>
      </c>
      <c r="E56" s="53">
        <v>1177.901245</v>
      </c>
      <c r="F56" s="53">
        <v>1174.456543</v>
      </c>
      <c r="G56" s="53">
        <v>1180.570557</v>
      </c>
      <c r="H56" s="53">
        <v>1202.499268</v>
      </c>
      <c r="I56" s="53">
        <v>1218.9282229999999</v>
      </c>
      <c r="J56" s="53">
        <v>1226.8570560000001</v>
      </c>
      <c r="K56" s="53">
        <v>1237.553711</v>
      </c>
      <c r="L56" s="53">
        <v>1256.5177000000001</v>
      </c>
      <c r="M56" s="53">
        <v>1288.404053</v>
      </c>
      <c r="N56" s="53">
        <v>1316.197754</v>
      </c>
      <c r="O56" s="53">
        <v>1337.4107670000001</v>
      </c>
      <c r="P56" s="53">
        <v>1360.609009</v>
      </c>
      <c r="Q56" s="53">
        <v>1382.859741</v>
      </c>
      <c r="R56" s="53">
        <v>1398.0405270000001</v>
      </c>
      <c r="S56" s="53">
        <v>1415.6757809999999</v>
      </c>
      <c r="T56" s="53">
        <v>1429.8842770000001</v>
      </c>
      <c r="U56" s="53">
        <v>1450.1400149999999</v>
      </c>
      <c r="V56" s="53">
        <v>1475.5817870000001</v>
      </c>
      <c r="W56" s="53">
        <v>1500.8208010000001</v>
      </c>
      <c r="X56" s="53">
        <v>1522.6357419999999</v>
      </c>
      <c r="Y56" s="53">
        <v>1540.6464840000001</v>
      </c>
      <c r="Z56" s="53">
        <v>1558.831543</v>
      </c>
      <c r="AA56" s="53">
        <v>1582.472534</v>
      </c>
      <c r="AB56" s="53">
        <v>1608.056274</v>
      </c>
      <c r="AC56" s="53">
        <v>1631.1317140000001</v>
      </c>
      <c r="AD56" s="53">
        <v>1653.2062989999999</v>
      </c>
      <c r="AE56" s="53">
        <v>1681.0548100000001</v>
      </c>
      <c r="AF56" s="35">
        <v>1.4344000000000001E-2</v>
      </c>
      <c r="AG56" s="29"/>
    </row>
    <row r="57" spans="1:33" ht="15" customHeight="1">
      <c r="A57" s="34" t="s">
        <v>2754</v>
      </c>
      <c r="B57" s="37" t="s">
        <v>2755</v>
      </c>
      <c r="C57" s="53">
        <v>136.71812399999999</v>
      </c>
      <c r="D57" s="53">
        <v>136.660156</v>
      </c>
      <c r="E57" s="53">
        <v>138.18132</v>
      </c>
      <c r="F57" s="53">
        <v>141.502182</v>
      </c>
      <c r="G57" s="53">
        <v>144.87214700000001</v>
      </c>
      <c r="H57" s="53">
        <v>147.97396900000001</v>
      </c>
      <c r="I57" s="53">
        <v>150.72811899999999</v>
      </c>
      <c r="J57" s="53">
        <v>153.04495199999999</v>
      </c>
      <c r="K57" s="53">
        <v>154.97905</v>
      </c>
      <c r="L57" s="53">
        <v>156.095932</v>
      </c>
      <c r="M57" s="53">
        <v>159.33145099999999</v>
      </c>
      <c r="N57" s="53">
        <v>163.81352200000001</v>
      </c>
      <c r="O57" s="53">
        <v>168.14465300000001</v>
      </c>
      <c r="P57" s="53">
        <v>172.72576900000001</v>
      </c>
      <c r="Q57" s="53">
        <v>177.38597100000001</v>
      </c>
      <c r="R57" s="53">
        <v>182.320007</v>
      </c>
      <c r="S57" s="53">
        <v>187.67952</v>
      </c>
      <c r="T57" s="53">
        <v>192.963043</v>
      </c>
      <c r="U57" s="53">
        <v>198.58502200000001</v>
      </c>
      <c r="V57" s="53">
        <v>204.38623000000001</v>
      </c>
      <c r="W57" s="53">
        <v>209.77015700000001</v>
      </c>
      <c r="X57" s="53">
        <v>215.49572800000001</v>
      </c>
      <c r="Y57" s="53">
        <v>221.13317900000001</v>
      </c>
      <c r="Z57" s="53">
        <v>226.601257</v>
      </c>
      <c r="AA57" s="53">
        <v>232.24366800000001</v>
      </c>
      <c r="AB57" s="53">
        <v>238.18220500000001</v>
      </c>
      <c r="AC57" s="53">
        <v>244.16102599999999</v>
      </c>
      <c r="AD57" s="53">
        <v>250.01297</v>
      </c>
      <c r="AE57" s="53">
        <v>257.04513500000002</v>
      </c>
      <c r="AF57" s="35">
        <v>2.2804000000000001E-2</v>
      </c>
      <c r="AG57" s="29"/>
    </row>
    <row r="58" spans="1:33" ht="15" customHeight="1">
      <c r="A58" s="34" t="s">
        <v>2756</v>
      </c>
      <c r="B58" s="37" t="s">
        <v>1475</v>
      </c>
      <c r="C58" s="53">
        <v>166.3022</v>
      </c>
      <c r="D58" s="53">
        <v>164.43682899999999</v>
      </c>
      <c r="E58" s="53">
        <v>164.33727999999999</v>
      </c>
      <c r="F58" s="53">
        <v>160.20967099999999</v>
      </c>
      <c r="G58" s="53">
        <v>158.97865300000001</v>
      </c>
      <c r="H58" s="53">
        <v>159.30349699999999</v>
      </c>
      <c r="I58" s="53">
        <v>160.67364499999999</v>
      </c>
      <c r="J58" s="53">
        <v>162.23002600000001</v>
      </c>
      <c r="K58" s="53">
        <v>163.81959499999999</v>
      </c>
      <c r="L58" s="53">
        <v>165.476868</v>
      </c>
      <c r="M58" s="53">
        <v>168.42875699999999</v>
      </c>
      <c r="N58" s="53">
        <v>171.31210300000001</v>
      </c>
      <c r="O58" s="53">
        <v>174.08282500000001</v>
      </c>
      <c r="P58" s="53">
        <v>176.28294399999999</v>
      </c>
      <c r="Q58" s="53">
        <v>178.13244599999999</v>
      </c>
      <c r="R58" s="53">
        <v>180.56085200000001</v>
      </c>
      <c r="S58" s="53">
        <v>183.43232699999999</v>
      </c>
      <c r="T58" s="53">
        <v>185.949173</v>
      </c>
      <c r="U58" s="53">
        <v>188.78362999999999</v>
      </c>
      <c r="V58" s="53">
        <v>191.34272799999999</v>
      </c>
      <c r="W58" s="53">
        <v>193.95433</v>
      </c>
      <c r="X58" s="53">
        <v>196.60256999999999</v>
      </c>
      <c r="Y58" s="53">
        <v>198.85200499999999</v>
      </c>
      <c r="Z58" s="53">
        <v>201.250595</v>
      </c>
      <c r="AA58" s="53">
        <v>203.854996</v>
      </c>
      <c r="AB58" s="53">
        <v>206.75022899999999</v>
      </c>
      <c r="AC58" s="53">
        <v>209.363876</v>
      </c>
      <c r="AD58" s="53">
        <v>211.71012899999999</v>
      </c>
      <c r="AE58" s="53">
        <v>215.37609900000001</v>
      </c>
      <c r="AF58" s="35">
        <v>9.2779999999999998E-3</v>
      </c>
      <c r="AG58" s="29"/>
    </row>
    <row r="59" spans="1:33" ht="15" customHeigh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row>
    <row r="60" spans="1:33" ht="15" customHeight="1">
      <c r="A60" s="34" t="s">
        <v>2757</v>
      </c>
      <c r="B60" s="33" t="s">
        <v>2758</v>
      </c>
      <c r="C60" s="40">
        <v>9378.9648440000001</v>
      </c>
      <c r="D60" s="40">
        <v>9387.4414059999999</v>
      </c>
      <c r="E60" s="40">
        <v>9395.9472659999992</v>
      </c>
      <c r="F60" s="40">
        <v>9488.7802730000003</v>
      </c>
      <c r="G60" s="40">
        <v>9626.8046880000002</v>
      </c>
      <c r="H60" s="40">
        <v>9753.8515619999998</v>
      </c>
      <c r="I60" s="40">
        <v>9868.7363280000009</v>
      </c>
      <c r="J60" s="40">
        <v>9977.6572269999997</v>
      </c>
      <c r="K60" s="40">
        <v>10065.997069999999</v>
      </c>
      <c r="L60" s="40">
        <v>10153.047852</v>
      </c>
      <c r="M60" s="40">
        <v>10277.175781</v>
      </c>
      <c r="N60" s="40">
        <v>10392.405273</v>
      </c>
      <c r="O60" s="40">
        <v>10500.383789</v>
      </c>
      <c r="P60" s="40">
        <v>10619.221680000001</v>
      </c>
      <c r="Q60" s="40">
        <v>10739.829102</v>
      </c>
      <c r="R60" s="40">
        <v>10869.113281</v>
      </c>
      <c r="S60" s="40">
        <v>11003.559569999999</v>
      </c>
      <c r="T60" s="40">
        <v>11131.84375</v>
      </c>
      <c r="U60" s="40">
        <v>11275.293944999999</v>
      </c>
      <c r="V60" s="40">
        <v>11434.467773</v>
      </c>
      <c r="W60" s="40">
        <v>11587.041015999999</v>
      </c>
      <c r="X60" s="40">
        <v>11733.089844</v>
      </c>
      <c r="Y60" s="40">
        <v>11866.786133</v>
      </c>
      <c r="Z60" s="40">
        <v>11992.252930000001</v>
      </c>
      <c r="AA60" s="40">
        <v>12136.289062</v>
      </c>
      <c r="AB60" s="40">
        <v>12286.878906</v>
      </c>
      <c r="AC60" s="40">
        <v>12422.4375</v>
      </c>
      <c r="AD60" s="40">
        <v>12557.137694999999</v>
      </c>
      <c r="AE60" s="40">
        <v>12740.831055000001</v>
      </c>
      <c r="AF60" s="31">
        <v>1.1001E-2</v>
      </c>
      <c r="AG60" s="29"/>
    </row>
    <row r="61" spans="1:33" ht="15" customHeight="1">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row>
    <row r="62" spans="1:33" ht="15" customHeight="1" thickBot="1">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row>
    <row r="63" spans="1:33" ht="15" customHeight="1">
      <c r="B63" s="54" t="s">
        <v>2584</v>
      </c>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29"/>
    </row>
    <row r="64" spans="1:33" ht="15" customHeight="1">
      <c r="B64" s="29" t="s">
        <v>2759</v>
      </c>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row>
    <row r="65" spans="2:33" ht="15" customHeight="1">
      <c r="B65" s="29" t="s">
        <v>2760</v>
      </c>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row>
    <row r="66" spans="2:33" ht="15" customHeight="1">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row>
    <row r="67" spans="2:33" ht="12" customHeight="1">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row>
    <row r="68" spans="2:33" ht="15" customHeight="1">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row>
    <row r="69" spans="2:33" ht="15" customHeight="1">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row>
    <row r="70" spans="2:33" ht="15" customHeight="1">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row>
    <row r="71" spans="2:33" ht="15" customHeight="1">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row>
    <row r="72" spans="2:33" ht="15" customHeight="1">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row>
    <row r="73" spans="2:33" ht="15" customHeight="1">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2:33" ht="15" customHeight="1">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row>
    <row r="75" spans="2:33" ht="12" customHeight="1">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2:33" ht="15" customHeight="1">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2:33" ht="15" customHeight="1">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2:33" ht="15" customHeight="1">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2:33" ht="15" customHeight="1">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row>
    <row r="80" spans="2:33" ht="15" customHeight="1">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row>
    <row r="81" spans="2:33" ht="15" customHeight="1">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row>
    <row r="82" spans="2:33" ht="15" customHeight="1">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2:33" ht="12" customHeight="1">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2:33" ht="15" customHeight="1">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row>
    <row r="85" spans="2:33" ht="15" customHeight="1">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row>
    <row r="86" spans="2:33" ht="15" customHeight="1">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row>
    <row r="87" spans="2:33" ht="15" customHeight="1">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row>
    <row r="88" spans="2:33" ht="15" customHeight="1">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row>
    <row r="89" spans="2:33" ht="12" customHeight="1">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row>
    <row r="90" spans="2:33" ht="15" customHeight="1">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row>
    <row r="91" spans="2:33" ht="15" customHeight="1">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row>
    <row r="92" spans="2:33" ht="15" customHeight="1">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row>
    <row r="93" spans="2:33" ht="15" customHeight="1">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row>
    <row r="94" spans="2:33" ht="12" customHeight="1">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2:33" ht="15" customHeight="1">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row>
    <row r="96" spans="2:33" ht="15" customHeight="1">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2:33" ht="15" customHeight="1">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2:33" ht="12" customHeight="1">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2:33" ht="15" customHeight="1">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2:33" ht="15" customHeight="1">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2:33" ht="15" customHeight="1">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2:33" ht="15" customHeight="1">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2:33" ht="15" customHeight="1">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2:33" ht="15" customHeigh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2:33" ht="15" customHeight="1">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2:33" ht="12" customHeight="1">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2:33" ht="15" customHeight="1">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2:33" ht="15" customHeight="1">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row>
    <row r="109" spans="2:33" ht="15" customHeight="1">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row>
    <row r="110" spans="2:33" ht="15" customHeight="1">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row>
    <row r="111" spans="2:33" ht="15" customHeight="1">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row>
    <row r="112" spans="2:33" ht="15" customHeight="1">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row>
    <row r="113" spans="2:33" ht="12" customHeight="1">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row>
    <row r="114" spans="2:33" ht="15" customHeight="1">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row>
    <row r="115" spans="2:33" ht="15" customHeight="1">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row>
    <row r="116" spans="2:33" ht="15" customHeight="1">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row>
    <row r="117" spans="2:33" ht="15" customHeight="1">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row>
    <row r="118" spans="2:33" ht="15" customHeight="1">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row>
    <row r="119" spans="2:33" ht="12" customHeight="1">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row>
    <row r="120" spans="2:33" ht="15" customHeight="1">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row>
    <row r="121" spans="2:33" ht="15" customHeight="1">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row>
    <row r="122" spans="2:33" ht="15" customHeight="1">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row>
    <row r="123" spans="2:33" ht="12" customHeight="1">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row>
    <row r="124" spans="2:33" ht="15" customHeight="1">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row>
    <row r="125" spans="2:33" ht="15" customHeight="1">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row>
    <row r="126" spans="2:33" ht="15" customHeight="1">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row>
    <row r="127" spans="2:33" ht="15" customHeight="1">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row>
    <row r="128" spans="2:33" ht="15" customHeight="1">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row>
    <row r="129" spans="2:33" ht="12" customHeight="1">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row>
    <row r="130" spans="2:33" ht="15" customHeight="1">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row>
    <row r="131" spans="2:33" ht="15" customHeight="1">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row>
    <row r="132" spans="2:33" ht="15" customHeight="1">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row>
    <row r="133" spans="2:33" ht="15" customHeight="1">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row>
    <row r="134" spans="2:33" ht="12" customHeight="1">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row>
    <row r="135" spans="2:33" ht="15" customHeight="1">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row>
    <row r="136" spans="2:33" ht="15" customHeight="1">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row>
    <row r="137" spans="2:33" ht="15" customHeight="1">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row>
    <row r="138" spans="2:33" ht="15" customHeight="1">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row>
    <row r="139" spans="2:33" ht="15" customHeight="1">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row>
    <row r="140" spans="2:33" ht="15" customHeight="1">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row>
    <row r="141" spans="2:33" ht="15" customHeight="1">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row>
    <row r="142" spans="2:33" ht="15" customHeight="1">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row>
    <row r="143" spans="2:33" ht="15" customHeight="1">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row>
    <row r="144" spans="2:33" ht="15" customHeight="1">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row>
    <row r="145" spans="2:33" ht="15" customHeight="1">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row>
    <row r="146" spans="2:33" ht="15" customHeight="1">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row>
    <row r="147" spans="2:33" ht="15" customHeight="1">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row>
    <row r="148" spans="2:33" ht="15" customHeight="1">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row>
    <row r="149" spans="2:33" ht="15" customHeight="1">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row>
    <row r="150" spans="2:33" ht="15" customHeight="1">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row>
    <row r="151" spans="2:33" ht="15" customHeight="1">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row>
    <row r="152" spans="2:33" ht="15" customHeight="1">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row>
    <row r="153" spans="2:33" ht="15" customHeight="1">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row>
    <row r="154" spans="2:33" ht="15" customHeight="1">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row>
    <row r="155" spans="2:33" ht="15" customHeight="1">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row>
    <row r="156" spans="2:33" ht="15" customHeight="1">
      <c r="B156" s="2185"/>
      <c r="C156" s="2185"/>
      <c r="D156" s="2185"/>
      <c r="E156" s="2185"/>
      <c r="F156" s="2185"/>
      <c r="G156" s="2185"/>
      <c r="H156" s="2185"/>
      <c r="I156" s="2185"/>
      <c r="J156" s="2185"/>
      <c r="K156" s="2185"/>
      <c r="L156" s="2185"/>
      <c r="M156" s="2185"/>
      <c r="N156" s="2185"/>
      <c r="O156" s="2185"/>
      <c r="P156" s="2185"/>
      <c r="Q156" s="2185"/>
      <c r="R156" s="2185"/>
      <c r="S156" s="2185"/>
      <c r="T156" s="2185"/>
      <c r="U156" s="2185"/>
      <c r="V156" s="2185"/>
      <c r="W156" s="2185"/>
      <c r="X156" s="2185"/>
      <c r="Y156" s="2185"/>
      <c r="Z156" s="2185"/>
      <c r="AA156" s="2185"/>
      <c r="AB156" s="2185"/>
      <c r="AC156" s="2185"/>
      <c r="AD156" s="2185"/>
      <c r="AE156" s="2185"/>
      <c r="AF156" s="2185"/>
      <c r="AG156" s="29"/>
    </row>
    <row r="157" spans="2:33" ht="15" customHeight="1">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row>
    <row r="158" spans="2:33" ht="15" customHeight="1">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row>
    <row r="159" spans="2:33" ht="15" customHeight="1">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t="s">
        <v>2056</v>
      </c>
      <c r="AG159" s="29"/>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2178"/>
      <c r="C292" s="2178"/>
      <c r="D292" s="2178"/>
      <c r="E292" s="2178"/>
      <c r="F292" s="2178"/>
      <c r="G292" s="2178"/>
      <c r="H292" s="2178"/>
      <c r="I292" s="2178"/>
      <c r="J292" s="2178"/>
      <c r="K292" s="2178"/>
      <c r="L292" s="2178"/>
      <c r="M292" s="2178"/>
      <c r="N292" s="2178"/>
      <c r="O292" s="2178"/>
      <c r="P292" s="2178"/>
      <c r="Q292" s="2178"/>
      <c r="R292" s="2178"/>
      <c r="S292" s="2178"/>
      <c r="T292" s="2178"/>
      <c r="U292" s="2178"/>
      <c r="V292" s="2178"/>
      <c r="W292" s="2178"/>
      <c r="X292" s="2178"/>
      <c r="Y292" s="2178"/>
      <c r="Z292" s="2178"/>
      <c r="AA292" s="2178"/>
      <c r="AB292" s="2178"/>
      <c r="AC292" s="2178"/>
      <c r="AD292" s="2178"/>
      <c r="AE292" s="2178"/>
      <c r="AF292" s="2178"/>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2178"/>
      <c r="C378" s="2178"/>
      <c r="D378" s="2178"/>
      <c r="E378" s="2178"/>
      <c r="F378" s="2178"/>
      <c r="G378" s="2178"/>
      <c r="H378" s="2178"/>
      <c r="I378" s="2178"/>
      <c r="J378" s="2178"/>
      <c r="K378" s="2178"/>
      <c r="L378" s="2178"/>
      <c r="M378" s="2178"/>
      <c r="N378" s="2178"/>
      <c r="O378" s="2178"/>
      <c r="P378" s="2178"/>
      <c r="Q378" s="2178"/>
      <c r="R378" s="2178"/>
      <c r="S378" s="2178"/>
      <c r="T378" s="2178"/>
      <c r="U378" s="2178"/>
      <c r="V378" s="2178"/>
      <c r="W378" s="2178"/>
      <c r="X378" s="2178"/>
      <c r="Y378" s="2178"/>
      <c r="Z378" s="2178"/>
      <c r="AA378" s="2178"/>
      <c r="AB378" s="2178"/>
      <c r="AC378" s="2178"/>
      <c r="AD378" s="2178"/>
      <c r="AE378" s="2178"/>
      <c r="AF378" s="2178"/>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spans="2:33" ht="12" customHeight="1">
      <c r="B500" s="2185"/>
      <c r="C500" s="2178"/>
      <c r="D500" s="2178"/>
      <c r="E500" s="2178"/>
      <c r="F500" s="2178"/>
      <c r="G500" s="2178"/>
      <c r="H500" s="2178"/>
      <c r="I500" s="2178"/>
      <c r="J500" s="2178"/>
      <c r="K500" s="2178"/>
      <c r="L500" s="2178"/>
      <c r="M500" s="2178"/>
      <c r="N500" s="2178"/>
      <c r="O500" s="2178"/>
      <c r="P500" s="2178"/>
      <c r="Q500" s="2178"/>
      <c r="R500" s="2178"/>
      <c r="S500" s="2178"/>
      <c r="T500" s="2178"/>
      <c r="U500" s="2178"/>
      <c r="V500" s="2178"/>
      <c r="W500" s="2178"/>
      <c r="X500" s="2178"/>
      <c r="Y500" s="2178"/>
      <c r="Z500" s="2178"/>
      <c r="AA500" s="2178"/>
      <c r="AB500" s="2178"/>
      <c r="AC500" s="2178"/>
      <c r="AD500" s="2178"/>
      <c r="AE500" s="2178"/>
      <c r="AF500" s="2178"/>
      <c r="AG500" s="2178"/>
    </row>
    <row r="503" spans="2:33" ht="12" customHeight="1"/>
    <row r="517" ht="12" customHeight="1"/>
    <row r="520" ht="12" customHeight="1"/>
    <row r="521" ht="12" customHeight="1"/>
    <row r="535" ht="12" customHeight="1"/>
    <row r="552" spans="2:32" ht="12" customHeight="1"/>
    <row r="560" spans="2:32" ht="15" customHeight="1">
      <c r="B560" s="2178"/>
      <c r="C560" s="2178"/>
      <c r="D560" s="2178"/>
      <c r="E560" s="2178"/>
      <c r="F560" s="2178"/>
      <c r="G560" s="2178"/>
      <c r="H560" s="2178"/>
      <c r="I560" s="2178"/>
      <c r="J560" s="2178"/>
      <c r="K560" s="2178"/>
      <c r="L560" s="2178"/>
      <c r="M560" s="2178"/>
      <c r="N560" s="2178"/>
      <c r="O560" s="2178"/>
      <c r="P560" s="2178"/>
      <c r="Q560" s="2178"/>
      <c r="R560" s="2178"/>
      <c r="S560" s="2178"/>
      <c r="T560" s="2178"/>
      <c r="U560" s="2178"/>
      <c r="V560" s="2178"/>
      <c r="W560" s="2178"/>
      <c r="X560" s="2178"/>
      <c r="Y560" s="2178"/>
      <c r="Z560" s="2178"/>
      <c r="AA560" s="2178"/>
      <c r="AB560" s="2178"/>
      <c r="AC560" s="2178"/>
      <c r="AD560" s="2178"/>
      <c r="AE560" s="2178"/>
      <c r="AF560" s="2178"/>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2178"/>
      <c r="C652" s="2178"/>
      <c r="D652" s="2178"/>
      <c r="E652" s="2178"/>
      <c r="F652" s="2178"/>
      <c r="G652" s="2178"/>
      <c r="H652" s="2178"/>
      <c r="I652" s="2178"/>
      <c r="J652" s="2178"/>
      <c r="K652" s="2178"/>
      <c r="L652" s="2178"/>
      <c r="M652" s="2178"/>
      <c r="N652" s="2178"/>
      <c r="O652" s="2178"/>
      <c r="P652" s="2178"/>
      <c r="Q652" s="2178"/>
      <c r="R652" s="2178"/>
      <c r="S652" s="2178"/>
      <c r="T652" s="2178"/>
      <c r="U652" s="2178"/>
      <c r="V652" s="2178"/>
      <c r="W652" s="2178"/>
      <c r="X652" s="2178"/>
      <c r="Y652" s="2178"/>
      <c r="Z652" s="2178"/>
      <c r="AA652" s="2178"/>
      <c r="AB652" s="2178"/>
      <c r="AC652" s="2178"/>
      <c r="AD652" s="2178"/>
      <c r="AE652" s="2178"/>
      <c r="AF652" s="2178"/>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2178"/>
      <c r="C728" s="2178"/>
      <c r="D728" s="2178"/>
      <c r="E728" s="2178"/>
      <c r="F728" s="2178"/>
      <c r="G728" s="2178"/>
      <c r="H728" s="2178"/>
      <c r="I728" s="2178"/>
      <c r="J728" s="2178"/>
      <c r="K728" s="2178"/>
      <c r="L728" s="2178"/>
      <c r="M728" s="2178"/>
      <c r="N728" s="2178"/>
      <c r="O728" s="2178"/>
      <c r="P728" s="2178"/>
      <c r="Q728" s="2178"/>
      <c r="R728" s="2178"/>
      <c r="S728" s="2178"/>
      <c r="T728" s="2178"/>
      <c r="U728" s="2178"/>
      <c r="V728" s="2178"/>
      <c r="W728" s="2178"/>
      <c r="X728" s="2178"/>
      <c r="Y728" s="2178"/>
      <c r="Z728" s="2178"/>
      <c r="AA728" s="2178"/>
      <c r="AB728" s="2178"/>
      <c r="AC728" s="2178"/>
      <c r="AD728" s="2178"/>
      <c r="AE728" s="2178"/>
      <c r="AF728" s="2178"/>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2178"/>
      <c r="C819" s="2178"/>
      <c r="D819" s="2178"/>
      <c r="E819" s="2178"/>
      <c r="F819" s="2178"/>
      <c r="G819" s="2178"/>
      <c r="H819" s="2178"/>
      <c r="I819" s="2178"/>
      <c r="J819" s="2178"/>
      <c r="K819" s="2178"/>
      <c r="L819" s="2178"/>
      <c r="M819" s="2178"/>
      <c r="N819" s="2178"/>
      <c r="O819" s="2178"/>
      <c r="P819" s="2178"/>
      <c r="Q819" s="2178"/>
      <c r="R819" s="2178"/>
      <c r="S819" s="2178"/>
      <c r="T819" s="2178"/>
      <c r="U819" s="2178"/>
      <c r="V819" s="2178"/>
      <c r="W819" s="2178"/>
      <c r="X819" s="2178"/>
      <c r="Y819" s="2178"/>
      <c r="Z819" s="2178"/>
      <c r="AA819" s="2178"/>
      <c r="AB819" s="2178"/>
      <c r="AC819" s="2178"/>
      <c r="AD819" s="2178"/>
      <c r="AE819" s="2178"/>
      <c r="AF819" s="2178"/>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2178"/>
      <c r="C897" s="2178"/>
      <c r="D897" s="2178"/>
      <c r="E897" s="2178"/>
      <c r="F897" s="2178"/>
      <c r="G897" s="2178"/>
      <c r="H897" s="2178"/>
      <c r="I897" s="2178"/>
      <c r="J897" s="2178"/>
      <c r="K897" s="2178"/>
      <c r="L897" s="2178"/>
      <c r="M897" s="2178"/>
      <c r="N897" s="2178"/>
      <c r="O897" s="2178"/>
      <c r="P897" s="2178"/>
      <c r="Q897" s="2178"/>
      <c r="R897" s="2178"/>
      <c r="S897" s="2178"/>
      <c r="T897" s="2178"/>
      <c r="U897" s="2178"/>
      <c r="V897" s="2178"/>
      <c r="W897" s="2178"/>
      <c r="X897" s="2178"/>
      <c r="Y897" s="2178"/>
      <c r="Z897" s="2178"/>
      <c r="AA897" s="2178"/>
      <c r="AB897" s="2178"/>
      <c r="AC897" s="2178"/>
      <c r="AD897" s="2178"/>
      <c r="AE897" s="2178"/>
      <c r="AF897" s="2178"/>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2178"/>
      <c r="C983" s="2178"/>
      <c r="D983" s="2178"/>
      <c r="E983" s="2178"/>
      <c r="F983" s="2178"/>
      <c r="G983" s="2178"/>
      <c r="H983" s="2178"/>
      <c r="I983" s="2178"/>
      <c r="J983" s="2178"/>
      <c r="K983" s="2178"/>
      <c r="L983" s="2178"/>
      <c r="M983" s="2178"/>
      <c r="N983" s="2178"/>
      <c r="O983" s="2178"/>
      <c r="P983" s="2178"/>
      <c r="Q983" s="2178"/>
      <c r="R983" s="2178"/>
      <c r="S983" s="2178"/>
      <c r="T983" s="2178"/>
      <c r="U983" s="2178"/>
      <c r="V983" s="2178"/>
      <c r="W983" s="2178"/>
      <c r="X983" s="2178"/>
      <c r="Y983" s="2178"/>
      <c r="Z983" s="2178"/>
      <c r="AA983" s="2178"/>
      <c r="AB983" s="2178"/>
      <c r="AC983" s="2178"/>
      <c r="AD983" s="2178"/>
      <c r="AE983" s="2178"/>
      <c r="AF983" s="2178"/>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2178"/>
      <c r="C1082" s="2178"/>
      <c r="D1082" s="2178"/>
      <c r="E1082" s="2178"/>
      <c r="F1082" s="2178"/>
      <c r="G1082" s="2178"/>
      <c r="H1082" s="2178"/>
      <c r="I1082" s="2178"/>
      <c r="J1082" s="2178"/>
      <c r="K1082" s="2178"/>
      <c r="L1082" s="2178"/>
      <c r="M1082" s="2178"/>
      <c r="N1082" s="2178"/>
      <c r="O1082" s="2178"/>
      <c r="P1082" s="2178"/>
      <c r="Q1082" s="2178"/>
      <c r="R1082" s="2178"/>
      <c r="S1082" s="2178"/>
      <c r="T1082" s="2178"/>
      <c r="U1082" s="2178"/>
      <c r="V1082" s="2178"/>
      <c r="W1082" s="2178"/>
      <c r="X1082" s="2178"/>
      <c r="Y1082" s="2178"/>
      <c r="Z1082" s="2178"/>
      <c r="AA1082" s="2178"/>
      <c r="AB1082" s="2178"/>
      <c r="AC1082" s="2178"/>
      <c r="AD1082" s="2178"/>
      <c r="AE1082" s="2178"/>
      <c r="AF1082" s="2178"/>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2178"/>
      <c r="C1179" s="2178"/>
      <c r="D1179" s="2178"/>
      <c r="E1179" s="2178"/>
      <c r="F1179" s="2178"/>
      <c r="G1179" s="2178"/>
      <c r="H1179" s="2178"/>
      <c r="I1179" s="2178"/>
      <c r="J1179" s="2178"/>
      <c r="K1179" s="2178"/>
      <c r="L1179" s="2178"/>
      <c r="M1179" s="2178"/>
      <c r="N1179" s="2178"/>
      <c r="O1179" s="2178"/>
      <c r="P1179" s="2178"/>
      <c r="Q1179" s="2178"/>
      <c r="R1179" s="2178"/>
      <c r="S1179" s="2178"/>
      <c r="T1179" s="2178"/>
      <c r="U1179" s="2178"/>
      <c r="V1179" s="2178"/>
      <c r="W1179" s="2178"/>
      <c r="X1179" s="2178"/>
      <c r="Y1179" s="2178"/>
      <c r="Z1179" s="2178"/>
      <c r="AA1179" s="2178"/>
      <c r="AB1179" s="2178"/>
      <c r="AC1179" s="2178"/>
      <c r="AD1179" s="2178"/>
      <c r="AE1179" s="2178"/>
      <c r="AF1179" s="2178"/>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2178"/>
      <c r="C1313" s="2178"/>
      <c r="D1313" s="2178"/>
      <c r="E1313" s="2178"/>
      <c r="F1313" s="2178"/>
      <c r="G1313" s="2178"/>
      <c r="H1313" s="2178"/>
      <c r="I1313" s="2178"/>
      <c r="J1313" s="2178"/>
      <c r="K1313" s="2178"/>
      <c r="L1313" s="2178"/>
      <c r="M1313" s="2178"/>
      <c r="N1313" s="2178"/>
      <c r="O1313" s="2178"/>
      <c r="P1313" s="2178"/>
      <c r="Q1313" s="2178"/>
      <c r="R1313" s="2178"/>
      <c r="S1313" s="2178"/>
      <c r="T1313" s="2178"/>
      <c r="U1313" s="2178"/>
      <c r="V1313" s="2178"/>
      <c r="W1313" s="2178"/>
      <c r="X1313" s="2178"/>
      <c r="Y1313" s="2178"/>
      <c r="Z1313" s="2178"/>
      <c r="AA1313" s="2178"/>
      <c r="AB1313" s="2178"/>
      <c r="AC1313" s="2178"/>
      <c r="AD1313" s="2178"/>
      <c r="AE1313" s="2178"/>
      <c r="AF1313" s="2178"/>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2178"/>
      <c r="C1431" s="2178"/>
      <c r="D1431" s="2178"/>
      <c r="E1431" s="2178"/>
      <c r="F1431" s="2178"/>
      <c r="G1431" s="2178"/>
      <c r="H1431" s="2178"/>
      <c r="I1431" s="2178"/>
      <c r="J1431" s="2178"/>
      <c r="K1431" s="2178"/>
      <c r="L1431" s="2178"/>
      <c r="M1431" s="2178"/>
      <c r="N1431" s="2178"/>
      <c r="O1431" s="2178"/>
      <c r="P1431" s="2178"/>
      <c r="Q1431" s="2178"/>
      <c r="R1431" s="2178"/>
      <c r="S1431" s="2178"/>
      <c r="T1431" s="2178"/>
      <c r="U1431" s="2178"/>
      <c r="V1431" s="2178"/>
      <c r="W1431" s="2178"/>
      <c r="X1431" s="2178"/>
      <c r="Y1431" s="2178"/>
      <c r="Z1431" s="2178"/>
      <c r="AA1431" s="2178"/>
      <c r="AB1431" s="2178"/>
      <c r="AC1431" s="2178"/>
      <c r="AD1431" s="2178"/>
      <c r="AE1431" s="2178"/>
      <c r="AF1431" s="2178"/>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2178"/>
      <c r="C1535" s="2178"/>
      <c r="D1535" s="2178"/>
      <c r="E1535" s="2178"/>
      <c r="F1535" s="2178"/>
      <c r="G1535" s="2178"/>
      <c r="H1535" s="2178"/>
      <c r="I1535" s="2178"/>
      <c r="J1535" s="2178"/>
      <c r="K1535" s="2178"/>
      <c r="L1535" s="2178"/>
      <c r="M1535" s="2178"/>
      <c r="N1535" s="2178"/>
      <c r="O1535" s="2178"/>
      <c r="P1535" s="2178"/>
      <c r="Q1535" s="2178"/>
      <c r="R1535" s="2178"/>
      <c r="S1535" s="2178"/>
      <c r="T1535" s="2178"/>
      <c r="U1535" s="2178"/>
      <c r="V1535" s="2178"/>
      <c r="W1535" s="2178"/>
      <c r="X1535" s="2178"/>
      <c r="Y1535" s="2178"/>
      <c r="Z1535" s="2178"/>
      <c r="AA1535" s="2178"/>
      <c r="AB1535" s="2178"/>
      <c r="AC1535" s="2178"/>
      <c r="AD1535" s="2178"/>
      <c r="AE1535" s="2178"/>
      <c r="AF1535" s="2178"/>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2178"/>
      <c r="C1628" s="2178"/>
      <c r="D1628" s="2178"/>
      <c r="E1628" s="2178"/>
      <c r="F1628" s="2178"/>
      <c r="G1628" s="2178"/>
      <c r="H1628" s="2178"/>
      <c r="I1628" s="2178"/>
      <c r="J1628" s="2178"/>
      <c r="K1628" s="2178"/>
      <c r="L1628" s="2178"/>
      <c r="M1628" s="2178"/>
      <c r="N1628" s="2178"/>
      <c r="O1628" s="2178"/>
      <c r="P1628" s="2178"/>
      <c r="Q1628" s="2178"/>
      <c r="R1628" s="2178"/>
      <c r="S1628" s="2178"/>
      <c r="T1628" s="2178"/>
      <c r="U1628" s="2178"/>
      <c r="V1628" s="2178"/>
      <c r="W1628" s="2178"/>
      <c r="X1628" s="2178"/>
      <c r="Y1628" s="2178"/>
      <c r="Z1628" s="2178"/>
      <c r="AA1628" s="2178"/>
      <c r="AB1628" s="2178"/>
      <c r="AC1628" s="2178"/>
      <c r="AD1628" s="2178"/>
      <c r="AE1628" s="2178"/>
      <c r="AF1628" s="2178"/>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2178"/>
      <c r="C1778" s="2178"/>
      <c r="D1778" s="2178"/>
      <c r="E1778" s="2178"/>
      <c r="F1778" s="2178"/>
      <c r="G1778" s="2178"/>
      <c r="H1778" s="2178"/>
      <c r="I1778" s="2178"/>
      <c r="J1778" s="2178"/>
      <c r="K1778" s="2178"/>
      <c r="L1778" s="2178"/>
      <c r="M1778" s="2178"/>
      <c r="N1778" s="2178"/>
      <c r="O1778" s="2178"/>
      <c r="P1778" s="2178"/>
      <c r="Q1778" s="2178"/>
      <c r="R1778" s="2178"/>
      <c r="S1778" s="2178"/>
      <c r="T1778" s="2178"/>
      <c r="U1778" s="2178"/>
      <c r="V1778" s="2178"/>
      <c r="W1778" s="2178"/>
      <c r="X1778" s="2178"/>
      <c r="Y1778" s="2178"/>
      <c r="Z1778" s="2178"/>
      <c r="AA1778" s="2178"/>
      <c r="AB1778" s="2178"/>
      <c r="AC1778" s="2178"/>
      <c r="AD1778" s="2178"/>
      <c r="AE1778" s="2178"/>
      <c r="AF1778" s="2178"/>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2178"/>
      <c r="C1928" s="2178"/>
      <c r="D1928" s="2178"/>
      <c r="E1928" s="2178"/>
      <c r="F1928" s="2178"/>
      <c r="G1928" s="2178"/>
      <c r="H1928" s="2178"/>
      <c r="I1928" s="2178"/>
      <c r="J1928" s="2178"/>
      <c r="K1928" s="2178"/>
      <c r="L1928" s="2178"/>
      <c r="M1928" s="2178"/>
      <c r="N1928" s="2178"/>
      <c r="O1928" s="2178"/>
      <c r="P1928" s="2178"/>
      <c r="Q1928" s="2178"/>
      <c r="R1928" s="2178"/>
      <c r="S1928" s="2178"/>
      <c r="T1928" s="2178"/>
      <c r="U1928" s="2178"/>
      <c r="V1928" s="2178"/>
      <c r="W1928" s="2178"/>
      <c r="X1928" s="2178"/>
      <c r="Y1928" s="2178"/>
      <c r="Z1928" s="2178"/>
      <c r="AA1928" s="2178"/>
      <c r="AB1928" s="2178"/>
      <c r="AC1928" s="2178"/>
      <c r="AD1928" s="2178"/>
      <c r="AE1928" s="2178"/>
      <c r="AF1928" s="2178"/>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2178"/>
      <c r="C2078" s="2178"/>
      <c r="D2078" s="2178"/>
      <c r="E2078" s="2178"/>
      <c r="F2078" s="2178"/>
      <c r="G2078" s="2178"/>
      <c r="H2078" s="2178"/>
      <c r="I2078" s="2178"/>
      <c r="J2078" s="2178"/>
      <c r="K2078" s="2178"/>
      <c r="L2078" s="2178"/>
      <c r="M2078" s="2178"/>
      <c r="N2078" s="2178"/>
      <c r="O2078" s="2178"/>
      <c r="P2078" s="2178"/>
      <c r="Q2078" s="2178"/>
      <c r="R2078" s="2178"/>
      <c r="S2078" s="2178"/>
      <c r="T2078" s="2178"/>
      <c r="U2078" s="2178"/>
      <c r="V2078" s="2178"/>
      <c r="W2078" s="2178"/>
      <c r="X2078" s="2178"/>
      <c r="Y2078" s="2178"/>
      <c r="Z2078" s="2178"/>
      <c r="AA2078" s="2178"/>
      <c r="AB2078" s="2178"/>
      <c r="AC2078" s="2178"/>
      <c r="AD2078" s="2178"/>
      <c r="AE2078" s="2178"/>
      <c r="AF2078" s="2178"/>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2178"/>
      <c r="C2228" s="2178"/>
      <c r="D2228" s="2178"/>
      <c r="E2228" s="2178"/>
      <c r="F2228" s="2178"/>
      <c r="G2228" s="2178"/>
      <c r="H2228" s="2178"/>
      <c r="I2228" s="2178"/>
      <c r="J2228" s="2178"/>
      <c r="K2228" s="2178"/>
      <c r="L2228" s="2178"/>
      <c r="M2228" s="2178"/>
      <c r="N2228" s="2178"/>
      <c r="O2228" s="2178"/>
      <c r="P2228" s="2178"/>
      <c r="Q2228" s="2178"/>
      <c r="R2228" s="2178"/>
      <c r="S2228" s="2178"/>
      <c r="T2228" s="2178"/>
      <c r="U2228" s="2178"/>
      <c r="V2228" s="2178"/>
      <c r="W2228" s="2178"/>
      <c r="X2228" s="2178"/>
      <c r="Y2228" s="2178"/>
      <c r="Z2228" s="2178"/>
      <c r="AA2228" s="2178"/>
      <c r="AB2228" s="2178"/>
      <c r="AC2228" s="2178"/>
      <c r="AD2228" s="2178"/>
      <c r="AE2228" s="2178"/>
      <c r="AF2228" s="2178"/>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2178"/>
      <c r="C2378" s="2178"/>
      <c r="D2378" s="2178"/>
      <c r="E2378" s="2178"/>
      <c r="F2378" s="2178"/>
      <c r="G2378" s="2178"/>
      <c r="H2378" s="2178"/>
      <c r="I2378" s="2178"/>
      <c r="J2378" s="2178"/>
      <c r="K2378" s="2178"/>
      <c r="L2378" s="2178"/>
      <c r="M2378" s="2178"/>
      <c r="N2378" s="2178"/>
      <c r="O2378" s="2178"/>
      <c r="P2378" s="2178"/>
      <c r="Q2378" s="2178"/>
      <c r="R2378" s="2178"/>
      <c r="S2378" s="2178"/>
      <c r="T2378" s="2178"/>
      <c r="U2378" s="2178"/>
      <c r="V2378" s="2178"/>
      <c r="W2378" s="2178"/>
      <c r="X2378" s="2178"/>
      <c r="Y2378" s="2178"/>
      <c r="Z2378" s="2178"/>
      <c r="AA2378" s="2178"/>
      <c r="AB2378" s="2178"/>
      <c r="AC2378" s="2178"/>
      <c r="AD2378" s="2178"/>
      <c r="AE2378" s="2178"/>
      <c r="AF2378" s="2178"/>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2178"/>
      <c r="C2528" s="2178"/>
      <c r="D2528" s="2178"/>
      <c r="E2528" s="2178"/>
      <c r="F2528" s="2178"/>
      <c r="G2528" s="2178"/>
      <c r="H2528" s="2178"/>
      <c r="I2528" s="2178"/>
      <c r="J2528" s="2178"/>
      <c r="K2528" s="2178"/>
      <c r="L2528" s="2178"/>
      <c r="M2528" s="2178"/>
      <c r="N2528" s="2178"/>
      <c r="O2528" s="2178"/>
      <c r="P2528" s="2178"/>
      <c r="Q2528" s="2178"/>
      <c r="R2528" s="2178"/>
      <c r="S2528" s="2178"/>
      <c r="T2528" s="2178"/>
      <c r="U2528" s="2178"/>
      <c r="V2528" s="2178"/>
      <c r="W2528" s="2178"/>
      <c r="X2528" s="2178"/>
      <c r="Y2528" s="2178"/>
      <c r="Z2528" s="2178"/>
      <c r="AA2528" s="2178"/>
      <c r="AB2528" s="2178"/>
      <c r="AC2528" s="2178"/>
      <c r="AD2528" s="2178"/>
      <c r="AE2528" s="2178"/>
      <c r="AF2528" s="2178"/>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2178"/>
      <c r="C2678" s="2178"/>
      <c r="D2678" s="2178"/>
      <c r="E2678" s="2178"/>
      <c r="F2678" s="2178"/>
      <c r="G2678" s="2178"/>
      <c r="H2678" s="2178"/>
      <c r="I2678" s="2178"/>
      <c r="J2678" s="2178"/>
      <c r="K2678" s="2178"/>
      <c r="L2678" s="2178"/>
      <c r="M2678" s="2178"/>
      <c r="N2678" s="2178"/>
      <c r="O2678" s="2178"/>
      <c r="P2678" s="2178"/>
      <c r="Q2678" s="2178"/>
      <c r="R2678" s="2178"/>
      <c r="S2678" s="2178"/>
      <c r="T2678" s="2178"/>
      <c r="U2678" s="2178"/>
      <c r="V2678" s="2178"/>
      <c r="W2678" s="2178"/>
      <c r="X2678" s="2178"/>
      <c r="Y2678" s="2178"/>
      <c r="Z2678" s="2178"/>
      <c r="AA2678" s="2178"/>
      <c r="AB2678" s="2178"/>
      <c r="AC2678" s="2178"/>
      <c r="AD2678" s="2178"/>
      <c r="AE2678" s="2178"/>
      <c r="AF2678" s="2178"/>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2178"/>
      <c r="C2828" s="2178"/>
      <c r="D2828" s="2178"/>
      <c r="E2828" s="2178"/>
      <c r="F2828" s="2178"/>
      <c r="G2828" s="2178"/>
      <c r="H2828" s="2178"/>
      <c r="I2828" s="2178"/>
      <c r="J2828" s="2178"/>
      <c r="K2828" s="2178"/>
      <c r="L2828" s="2178"/>
      <c r="M2828" s="2178"/>
      <c r="N2828" s="2178"/>
      <c r="O2828" s="2178"/>
      <c r="P2828" s="2178"/>
      <c r="Q2828" s="2178"/>
      <c r="R2828" s="2178"/>
      <c r="S2828" s="2178"/>
      <c r="T2828" s="2178"/>
      <c r="U2828" s="2178"/>
      <c r="V2828" s="2178"/>
      <c r="W2828" s="2178"/>
      <c r="X2828" s="2178"/>
      <c r="Y2828" s="2178"/>
      <c r="Z2828" s="2178"/>
      <c r="AA2828" s="2178"/>
      <c r="AB2828" s="2178"/>
      <c r="AC2828" s="2178"/>
      <c r="AD2828" s="2178"/>
      <c r="AE2828" s="2178"/>
      <c r="AF2828" s="2178"/>
    </row>
  </sheetData>
  <mergeCells count="24">
    <mergeCell ref="B2678:AF2678"/>
    <mergeCell ref="B2828:AF2828"/>
    <mergeCell ref="B2078:AF2078"/>
    <mergeCell ref="B1179:AF1179"/>
    <mergeCell ref="B1313:AF1313"/>
    <mergeCell ref="B2228:AF2228"/>
    <mergeCell ref="B2378:AF2378"/>
    <mergeCell ref="B2528:AF2528"/>
    <mergeCell ref="B1431:AF1431"/>
    <mergeCell ref="B1535:AF1535"/>
    <mergeCell ref="B1628:AF1628"/>
    <mergeCell ref="B1778:AF1778"/>
    <mergeCell ref="B1928:AF1928"/>
    <mergeCell ref="B728:AF728"/>
    <mergeCell ref="B819:AF819"/>
    <mergeCell ref="B897:AF897"/>
    <mergeCell ref="B983:AF983"/>
    <mergeCell ref="B1082:AF1082"/>
    <mergeCell ref="B156:AF156"/>
    <mergeCell ref="B292:AF292"/>
    <mergeCell ref="B378:AF378"/>
    <mergeCell ref="B560:AF560"/>
    <mergeCell ref="B652:AF652"/>
    <mergeCell ref="B500:AG500"/>
  </mergeCells>
  <pageMargins left="0.75" right="0.75" top="1" bottom="1" header="0.5" footer="0.5"/>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33CE4-2F99-446B-9D67-6D99782A4362}">
  <sheetPr codeName="Sheet34"/>
  <dimension ref="A1:AH282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baseColWidth="10" defaultColWidth="9.33203125" defaultRowHeight="15" customHeight="1"/>
  <cols>
    <col min="1" max="1" width="20.6640625" style="28" hidden="1" customWidth="1"/>
    <col min="2" max="2" width="45.6640625" style="28" customWidth="1"/>
    <col min="3" max="16384" width="9.33203125" style="28"/>
  </cols>
  <sheetData>
    <row r="1" spans="1:33" ht="15" customHeight="1" thickBot="1">
      <c r="B1" s="50" t="s">
        <v>2046</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2047</v>
      </c>
      <c r="D3" s="48" t="s">
        <v>311</v>
      </c>
      <c r="E3" s="47"/>
      <c r="F3" s="47"/>
      <c r="G3" s="47"/>
    </row>
    <row r="4" spans="1:33" ht="15" customHeight="1">
      <c r="C4" s="48" t="s">
        <v>2048</v>
      </c>
      <c r="D4" s="48" t="s">
        <v>2049</v>
      </c>
      <c r="E4" s="47"/>
      <c r="F4" s="47"/>
      <c r="G4" s="48" t="s">
        <v>207</v>
      </c>
    </row>
    <row r="5" spans="1:33" ht="15" customHeight="1">
      <c r="C5" s="48" t="s">
        <v>2050</v>
      </c>
      <c r="D5" s="48" t="s">
        <v>2051</v>
      </c>
      <c r="E5" s="47"/>
      <c r="F5" s="47"/>
      <c r="G5" s="47"/>
    </row>
    <row r="6" spans="1:33" ht="15" customHeight="1">
      <c r="C6" s="48" t="s">
        <v>2052</v>
      </c>
      <c r="D6" s="47"/>
      <c r="E6" s="48" t="s">
        <v>2053</v>
      </c>
      <c r="F6" s="47"/>
      <c r="G6" s="47"/>
    </row>
    <row r="7" spans="1:33" ht="12" customHeight="1"/>
    <row r="8" spans="1:33" ht="12" customHeight="1"/>
    <row r="9" spans="1:33" ht="12" customHeight="1"/>
    <row r="10" spans="1:33" ht="15" customHeight="1">
      <c r="A10" s="34" t="s">
        <v>2761</v>
      </c>
      <c r="B10" s="46" t="s">
        <v>2762</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2058</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2059</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2061</v>
      </c>
      <c r="AG12" s="29"/>
    </row>
    <row r="13" spans="1:33" ht="15" customHeight="1" thickBot="1">
      <c r="B13" s="42" t="s">
        <v>2763</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A15" s="34" t="s">
        <v>2764</v>
      </c>
      <c r="B15" s="33" t="s">
        <v>2695</v>
      </c>
      <c r="C15" s="40">
        <v>772.46887200000003</v>
      </c>
      <c r="D15" s="40">
        <v>839.67993200000001</v>
      </c>
      <c r="E15" s="40">
        <v>835.56805399999996</v>
      </c>
      <c r="F15" s="40">
        <v>832.39215100000001</v>
      </c>
      <c r="G15" s="40">
        <v>829.06683299999997</v>
      </c>
      <c r="H15" s="40">
        <v>826.93988000000002</v>
      </c>
      <c r="I15" s="40">
        <v>824.657104</v>
      </c>
      <c r="J15" s="40">
        <v>821.24591099999998</v>
      </c>
      <c r="K15" s="40">
        <v>815.68444799999997</v>
      </c>
      <c r="L15" s="40">
        <v>810.43554700000004</v>
      </c>
      <c r="M15" s="40">
        <v>807.50134300000002</v>
      </c>
      <c r="N15" s="40">
        <v>805.01220699999999</v>
      </c>
      <c r="O15" s="40">
        <v>803.82550000000003</v>
      </c>
      <c r="P15" s="40">
        <v>801.60705600000006</v>
      </c>
      <c r="Q15" s="40">
        <v>799.54010000000005</v>
      </c>
      <c r="R15" s="40">
        <v>798.39446999999996</v>
      </c>
      <c r="S15" s="40">
        <v>797.60571300000004</v>
      </c>
      <c r="T15" s="40">
        <v>798.13757299999997</v>
      </c>
      <c r="U15" s="40">
        <v>799.69812000000002</v>
      </c>
      <c r="V15" s="40">
        <v>801.39166299999999</v>
      </c>
      <c r="W15" s="40">
        <v>803.83239700000001</v>
      </c>
      <c r="X15" s="40">
        <v>806.45361300000002</v>
      </c>
      <c r="Y15" s="40">
        <v>809.37402299999997</v>
      </c>
      <c r="Z15" s="40">
        <v>811.54797399999995</v>
      </c>
      <c r="AA15" s="40">
        <v>815.90722700000003</v>
      </c>
      <c r="AB15" s="40">
        <v>820.65881300000001</v>
      </c>
      <c r="AC15" s="40">
        <v>823.51312299999995</v>
      </c>
      <c r="AD15" s="40">
        <v>828.04888900000003</v>
      </c>
      <c r="AE15" s="40">
        <v>836.25622599999997</v>
      </c>
      <c r="AF15" s="31">
        <v>2.8379999999999998E-3</v>
      </c>
      <c r="AG15" s="29"/>
    </row>
    <row r="16" spans="1:33" ht="15" customHeight="1">
      <c r="B16" s="33" t="s">
        <v>2765</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A17" s="34" t="s">
        <v>2766</v>
      </c>
      <c r="B17" s="33" t="s">
        <v>2767</v>
      </c>
      <c r="C17" s="32">
        <v>15.926788</v>
      </c>
      <c r="D17" s="32">
        <v>16.784769000000001</v>
      </c>
      <c r="E17" s="32">
        <v>17.210778999999999</v>
      </c>
      <c r="F17" s="32">
        <v>17.274854999999999</v>
      </c>
      <c r="G17" s="32">
        <v>17.315328999999998</v>
      </c>
      <c r="H17" s="32">
        <v>17.467621000000001</v>
      </c>
      <c r="I17" s="32">
        <v>17.533518000000001</v>
      </c>
      <c r="J17" s="32">
        <v>17.590001999999998</v>
      </c>
      <c r="K17" s="32">
        <v>17.596128</v>
      </c>
      <c r="L17" s="32">
        <v>17.576703999999999</v>
      </c>
      <c r="M17" s="32">
        <v>17.564167000000001</v>
      </c>
      <c r="N17" s="32">
        <v>17.542175</v>
      </c>
      <c r="O17" s="32">
        <v>17.559013</v>
      </c>
      <c r="P17" s="32">
        <v>17.573502999999999</v>
      </c>
      <c r="Q17" s="32">
        <v>17.553329000000002</v>
      </c>
      <c r="R17" s="32">
        <v>17.525976</v>
      </c>
      <c r="S17" s="32">
        <v>17.551762</v>
      </c>
      <c r="T17" s="32">
        <v>17.553747000000001</v>
      </c>
      <c r="U17" s="32">
        <v>17.559426999999999</v>
      </c>
      <c r="V17" s="32">
        <v>17.572374</v>
      </c>
      <c r="W17" s="32">
        <v>17.584109999999999</v>
      </c>
      <c r="X17" s="32">
        <v>17.555267000000001</v>
      </c>
      <c r="Y17" s="32">
        <v>17.595018</v>
      </c>
      <c r="Z17" s="32">
        <v>17.568553999999999</v>
      </c>
      <c r="AA17" s="32">
        <v>17.604202000000001</v>
      </c>
      <c r="AB17" s="32">
        <v>17.551660999999999</v>
      </c>
      <c r="AC17" s="32">
        <v>17.533842</v>
      </c>
      <c r="AD17" s="32">
        <v>17.552762999999999</v>
      </c>
      <c r="AE17" s="32">
        <v>17.49287</v>
      </c>
      <c r="AF17" s="31">
        <v>3.3549999999999999E-3</v>
      </c>
      <c r="AG17" s="29"/>
    </row>
    <row r="18" spans="1:33" ht="15" customHeight="1">
      <c r="B18" s="29"/>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row>
    <row r="19" spans="1:33" ht="15" customHeight="1">
      <c r="B19" s="33" t="s">
        <v>2768</v>
      </c>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row>
    <row r="20" spans="1:33" ht="15" customHeight="1">
      <c r="A20" s="34" t="s">
        <v>2769</v>
      </c>
      <c r="B20" s="37" t="s">
        <v>2770</v>
      </c>
      <c r="C20" s="36">
        <v>0.214</v>
      </c>
      <c r="D20" s="36">
        <v>0.20100000000000001</v>
      </c>
      <c r="E20" s="36">
        <v>0</v>
      </c>
      <c r="F20" s="36">
        <v>0</v>
      </c>
      <c r="G20" s="36">
        <v>0</v>
      </c>
      <c r="H20" s="36">
        <v>0</v>
      </c>
      <c r="I20" s="36">
        <v>0</v>
      </c>
      <c r="J20" s="36">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6">
        <v>0</v>
      </c>
      <c r="AC20" s="36">
        <v>0</v>
      </c>
      <c r="AD20" s="36">
        <v>0</v>
      </c>
      <c r="AE20" s="36">
        <v>0</v>
      </c>
      <c r="AF20" s="35" t="s">
        <v>1278</v>
      </c>
      <c r="AG20" s="29"/>
    </row>
    <row r="21" spans="1:33" ht="15" customHeight="1">
      <c r="A21" s="34" t="s">
        <v>2771</v>
      </c>
      <c r="B21" s="37" t="s">
        <v>2772</v>
      </c>
      <c r="C21" s="36">
        <v>1.625</v>
      </c>
      <c r="D21" s="36">
        <v>1.4039999999999999</v>
      </c>
      <c r="E21" s="36">
        <v>0</v>
      </c>
      <c r="F21" s="36">
        <v>0</v>
      </c>
      <c r="G21" s="36">
        <v>0</v>
      </c>
      <c r="H21" s="36">
        <v>0</v>
      </c>
      <c r="I21" s="36">
        <v>0</v>
      </c>
      <c r="J21" s="36">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6">
        <v>0</v>
      </c>
      <c r="AC21" s="36">
        <v>0</v>
      </c>
      <c r="AD21" s="36">
        <v>0</v>
      </c>
      <c r="AE21" s="36">
        <v>0</v>
      </c>
      <c r="AF21" s="35" t="s">
        <v>1278</v>
      </c>
      <c r="AG21" s="29"/>
    </row>
    <row r="22" spans="1:33" ht="15" customHeight="1">
      <c r="A22" s="34" t="s">
        <v>2773</v>
      </c>
      <c r="B22" s="37" t="s">
        <v>2774</v>
      </c>
      <c r="C22" s="36">
        <v>6.8129999999999997</v>
      </c>
      <c r="D22" s="36">
        <v>4.7629999999999999</v>
      </c>
      <c r="E22" s="36">
        <v>0</v>
      </c>
      <c r="F22" s="36">
        <v>0</v>
      </c>
      <c r="G22" s="36">
        <v>0</v>
      </c>
      <c r="H22" s="36">
        <v>0</v>
      </c>
      <c r="I22" s="36">
        <v>0</v>
      </c>
      <c r="J22" s="36">
        <v>0</v>
      </c>
      <c r="K22" s="36">
        <v>0</v>
      </c>
      <c r="L22" s="36">
        <v>0</v>
      </c>
      <c r="M22" s="36">
        <v>0</v>
      </c>
      <c r="N22" s="36">
        <v>0</v>
      </c>
      <c r="O22" s="36">
        <v>0</v>
      </c>
      <c r="P22" s="36">
        <v>0</v>
      </c>
      <c r="Q22" s="36">
        <v>0</v>
      </c>
      <c r="R22" s="36">
        <v>0</v>
      </c>
      <c r="S22" s="36">
        <v>0</v>
      </c>
      <c r="T22" s="36">
        <v>0</v>
      </c>
      <c r="U22" s="36">
        <v>0</v>
      </c>
      <c r="V22" s="36">
        <v>0</v>
      </c>
      <c r="W22" s="36">
        <v>0</v>
      </c>
      <c r="X22" s="36">
        <v>0</v>
      </c>
      <c r="Y22" s="36">
        <v>0</v>
      </c>
      <c r="Z22" s="36">
        <v>0</v>
      </c>
      <c r="AA22" s="36">
        <v>0</v>
      </c>
      <c r="AB22" s="36">
        <v>0</v>
      </c>
      <c r="AC22" s="36">
        <v>0</v>
      </c>
      <c r="AD22" s="36">
        <v>0</v>
      </c>
      <c r="AE22" s="36">
        <v>0</v>
      </c>
      <c r="AF22" s="35" t="s">
        <v>1278</v>
      </c>
      <c r="AG22" s="29"/>
    </row>
    <row r="23" spans="1:33" ht="15" customHeight="1">
      <c r="A23" s="34" t="s">
        <v>2775</v>
      </c>
      <c r="B23" s="37" t="s">
        <v>2776</v>
      </c>
      <c r="C23" s="36">
        <v>432.87603799999999</v>
      </c>
      <c r="D23" s="36">
        <v>452.36099200000001</v>
      </c>
      <c r="E23" s="36">
        <v>505.33966099999998</v>
      </c>
      <c r="F23" s="36">
        <v>506.29278599999998</v>
      </c>
      <c r="G23" s="36">
        <v>502.45135499999998</v>
      </c>
      <c r="H23" s="36">
        <v>501.34359699999999</v>
      </c>
      <c r="I23" s="36">
        <v>502.26086400000003</v>
      </c>
      <c r="J23" s="36">
        <v>503.232574</v>
      </c>
      <c r="K23" s="36">
        <v>500.15142800000001</v>
      </c>
      <c r="L23" s="36">
        <v>497.76004</v>
      </c>
      <c r="M23" s="36">
        <v>497.44576999999998</v>
      </c>
      <c r="N23" s="36">
        <v>495.41232300000001</v>
      </c>
      <c r="O23" s="36">
        <v>494.57861300000002</v>
      </c>
      <c r="P23" s="36">
        <v>494.388214</v>
      </c>
      <c r="Q23" s="36">
        <v>495.086975</v>
      </c>
      <c r="R23" s="36">
        <v>492.07275399999997</v>
      </c>
      <c r="S23" s="36">
        <v>492.381439</v>
      </c>
      <c r="T23" s="36">
        <v>493.467896</v>
      </c>
      <c r="U23" s="36">
        <v>494.66592400000002</v>
      </c>
      <c r="V23" s="36">
        <v>492.77990699999998</v>
      </c>
      <c r="W23" s="36">
        <v>493.91744999999997</v>
      </c>
      <c r="X23" s="36">
        <v>490.07128899999998</v>
      </c>
      <c r="Y23" s="36">
        <v>489.88024899999999</v>
      </c>
      <c r="Z23" s="36">
        <v>489.72421300000002</v>
      </c>
      <c r="AA23" s="36">
        <v>491.003693</v>
      </c>
      <c r="AB23" s="36">
        <v>490.62988300000001</v>
      </c>
      <c r="AC23" s="36">
        <v>494.089539</v>
      </c>
      <c r="AD23" s="36">
        <v>496.65966800000001</v>
      </c>
      <c r="AE23" s="36">
        <v>494.59353599999997</v>
      </c>
      <c r="AF23" s="35">
        <v>4.7710000000000001E-3</v>
      </c>
      <c r="AG23" s="29"/>
    </row>
    <row r="24" spans="1:33" ht="15" customHeight="1">
      <c r="A24" s="34" t="s">
        <v>2777</v>
      </c>
      <c r="B24" s="37" t="s">
        <v>2778</v>
      </c>
      <c r="C24" s="36">
        <v>1307.035034</v>
      </c>
      <c r="D24" s="36">
        <v>1364.159058</v>
      </c>
      <c r="E24" s="36">
        <v>1315.4326169999999</v>
      </c>
      <c r="F24" s="36">
        <v>1310.8500979999999</v>
      </c>
      <c r="G24" s="36">
        <v>1334.8823239999999</v>
      </c>
      <c r="H24" s="36">
        <v>1340.1994629999999</v>
      </c>
      <c r="I24" s="36">
        <v>1367.390625</v>
      </c>
      <c r="J24" s="36">
        <v>1371.9335940000001</v>
      </c>
      <c r="K24" s="36">
        <v>1380.356689</v>
      </c>
      <c r="L24" s="36">
        <v>1381.6195070000001</v>
      </c>
      <c r="M24" s="36">
        <v>1393.3657229999999</v>
      </c>
      <c r="N24" s="36">
        <v>1388.874634</v>
      </c>
      <c r="O24" s="36">
        <v>1409.7974850000001</v>
      </c>
      <c r="P24" s="36">
        <v>1413.0198969999999</v>
      </c>
      <c r="Q24" s="36">
        <v>1410.4488530000001</v>
      </c>
      <c r="R24" s="36">
        <v>1422.0357670000001</v>
      </c>
      <c r="S24" s="36">
        <v>1424.1060789999999</v>
      </c>
      <c r="T24" s="36">
        <v>1433.722168</v>
      </c>
      <c r="U24" s="36">
        <v>1437.4185789999999</v>
      </c>
      <c r="V24" s="36">
        <v>1441.903442</v>
      </c>
      <c r="W24" s="36">
        <v>1444.0473629999999</v>
      </c>
      <c r="X24" s="36">
        <v>1446.997437</v>
      </c>
      <c r="Y24" s="36">
        <v>1446.597168</v>
      </c>
      <c r="Z24" s="36">
        <v>1446.1514890000001</v>
      </c>
      <c r="AA24" s="36">
        <v>1433.907837</v>
      </c>
      <c r="AB24" s="36">
        <v>1432.0045170000001</v>
      </c>
      <c r="AC24" s="36">
        <v>1426.540894</v>
      </c>
      <c r="AD24" s="36">
        <v>1423.6448969999999</v>
      </c>
      <c r="AE24" s="36">
        <v>1412.465942</v>
      </c>
      <c r="AF24" s="35">
        <v>2.774E-3</v>
      </c>
      <c r="AG24" s="29"/>
    </row>
    <row r="25" spans="1:33" ht="15" customHeight="1">
      <c r="A25" s="34" t="s">
        <v>2779</v>
      </c>
      <c r="B25" s="37" t="s">
        <v>2780</v>
      </c>
      <c r="C25" s="36">
        <v>2.9580000000000002</v>
      </c>
      <c r="D25" s="36">
        <v>4.9889999999999999</v>
      </c>
      <c r="E25" s="36">
        <v>17.796140999999999</v>
      </c>
      <c r="F25" s="36">
        <v>14.548406</v>
      </c>
      <c r="G25" s="36">
        <v>3.0253429999999999</v>
      </c>
      <c r="H25" s="36">
        <v>4.9991099999999999</v>
      </c>
      <c r="I25" s="36">
        <v>4.8970000000000003E-3</v>
      </c>
      <c r="J25" s="36">
        <v>3.2530999999999997E-2</v>
      </c>
      <c r="K25" s="36">
        <v>1.8245000000000001E-2</v>
      </c>
      <c r="L25" s="36">
        <v>0</v>
      </c>
      <c r="M25" s="36">
        <v>2.7577999999999998E-2</v>
      </c>
      <c r="N25" s="36">
        <v>0</v>
      </c>
      <c r="O25" s="36">
        <v>0</v>
      </c>
      <c r="P25" s="36">
        <v>1.4940000000000001E-3</v>
      </c>
      <c r="Q25" s="36">
        <v>1.0083999999999999E-2</v>
      </c>
      <c r="R25" s="36">
        <v>0</v>
      </c>
      <c r="S25" s="36">
        <v>0</v>
      </c>
      <c r="T25" s="36">
        <v>0</v>
      </c>
      <c r="U25" s="36">
        <v>0</v>
      </c>
      <c r="V25" s="36">
        <v>3.1607599999999998</v>
      </c>
      <c r="W25" s="36">
        <v>5.9757980000000002</v>
      </c>
      <c r="X25" s="36">
        <v>10.116630000000001</v>
      </c>
      <c r="Y25" s="36">
        <v>13.934748000000001</v>
      </c>
      <c r="Z25" s="36">
        <v>17.016748</v>
      </c>
      <c r="AA25" s="36">
        <v>21.303995</v>
      </c>
      <c r="AB25" s="36">
        <v>21.332820999999999</v>
      </c>
      <c r="AC25" s="36">
        <v>19.626259000000001</v>
      </c>
      <c r="AD25" s="36">
        <v>17.717950999999999</v>
      </c>
      <c r="AE25" s="36">
        <v>18.740538000000001</v>
      </c>
      <c r="AF25" s="35">
        <v>6.8156999999999995E-2</v>
      </c>
      <c r="AG25" s="29"/>
    </row>
    <row r="26" spans="1:33" ht="15" customHeight="1">
      <c r="A26" s="34" t="s">
        <v>2781</v>
      </c>
      <c r="B26" s="37" t="s">
        <v>2782</v>
      </c>
      <c r="C26" s="36">
        <v>1751.5211179999999</v>
      </c>
      <c r="D26" s="36">
        <v>1827.8770750000001</v>
      </c>
      <c r="E26" s="36">
        <v>1838.5683590000001</v>
      </c>
      <c r="F26" s="36">
        <v>1831.691284</v>
      </c>
      <c r="G26" s="36">
        <v>1840.3591309999999</v>
      </c>
      <c r="H26" s="36">
        <v>1846.542236</v>
      </c>
      <c r="I26" s="36">
        <v>1869.6563719999999</v>
      </c>
      <c r="J26" s="36">
        <v>1875.1986079999999</v>
      </c>
      <c r="K26" s="36">
        <v>1880.526245</v>
      </c>
      <c r="L26" s="36">
        <v>1879.3795170000001</v>
      </c>
      <c r="M26" s="36">
        <v>1890.839111</v>
      </c>
      <c r="N26" s="36">
        <v>1884.286987</v>
      </c>
      <c r="O26" s="36">
        <v>1904.3760990000001</v>
      </c>
      <c r="P26" s="36">
        <v>1907.4095460000001</v>
      </c>
      <c r="Q26" s="36">
        <v>1905.5460210000001</v>
      </c>
      <c r="R26" s="36">
        <v>1914.1085210000001</v>
      </c>
      <c r="S26" s="36">
        <v>1916.4875489999999</v>
      </c>
      <c r="T26" s="36">
        <v>1927.190063</v>
      </c>
      <c r="U26" s="36">
        <v>1932.0844729999999</v>
      </c>
      <c r="V26" s="36">
        <v>1937.844116</v>
      </c>
      <c r="W26" s="36">
        <v>1943.9406739999999</v>
      </c>
      <c r="X26" s="36">
        <v>1947.185303</v>
      </c>
      <c r="Y26" s="36">
        <v>1950.4121090000001</v>
      </c>
      <c r="Z26" s="36">
        <v>1952.892456</v>
      </c>
      <c r="AA26" s="36">
        <v>1946.2154539999999</v>
      </c>
      <c r="AB26" s="36">
        <v>1943.967163</v>
      </c>
      <c r="AC26" s="36">
        <v>1940.256592</v>
      </c>
      <c r="AD26" s="36">
        <v>1938.022461</v>
      </c>
      <c r="AE26" s="36">
        <v>1925.799927</v>
      </c>
      <c r="AF26" s="35">
        <v>3.3939999999999999E-3</v>
      </c>
      <c r="AG26" s="29"/>
    </row>
    <row r="27" spans="1:33" ht="15" customHeight="1">
      <c r="A27" s="34" t="s">
        <v>2783</v>
      </c>
      <c r="B27" s="37" t="s">
        <v>2784</v>
      </c>
      <c r="C27" s="36">
        <v>1576.263062</v>
      </c>
      <c r="D27" s="36">
        <v>1595.1920170000001</v>
      </c>
      <c r="E27" s="36">
        <v>1426.872803</v>
      </c>
      <c r="F27" s="36">
        <v>1429.5588379999999</v>
      </c>
      <c r="G27" s="36">
        <v>1442.969482</v>
      </c>
      <c r="H27" s="36">
        <v>1441.673706</v>
      </c>
      <c r="I27" s="36">
        <v>1465.907471</v>
      </c>
      <c r="J27" s="36">
        <v>1498.069092</v>
      </c>
      <c r="K27" s="36">
        <v>1527.9750979999999</v>
      </c>
      <c r="L27" s="36">
        <v>1522.352905</v>
      </c>
      <c r="M27" s="36">
        <v>1516.010986</v>
      </c>
      <c r="N27" s="36">
        <v>1512.6563719999999</v>
      </c>
      <c r="O27" s="36">
        <v>1520.307495</v>
      </c>
      <c r="P27" s="36">
        <v>1514.240967</v>
      </c>
      <c r="Q27" s="36">
        <v>1515.0432129999999</v>
      </c>
      <c r="R27" s="36">
        <v>1507.7219239999999</v>
      </c>
      <c r="S27" s="36">
        <v>1517.048828</v>
      </c>
      <c r="T27" s="36">
        <v>1515.5435789999999</v>
      </c>
      <c r="U27" s="36">
        <v>1514.9886469999999</v>
      </c>
      <c r="V27" s="36">
        <v>1521.8039550000001</v>
      </c>
      <c r="W27" s="36">
        <v>1518.25</v>
      </c>
      <c r="X27" s="36">
        <v>1516.436768</v>
      </c>
      <c r="Y27" s="36">
        <v>1519.063721</v>
      </c>
      <c r="Z27" s="36">
        <v>1526.4544679999999</v>
      </c>
      <c r="AA27" s="36">
        <v>1477.1683350000001</v>
      </c>
      <c r="AB27" s="36">
        <v>1480.7432859999999</v>
      </c>
      <c r="AC27" s="36">
        <v>1513.161621</v>
      </c>
      <c r="AD27" s="36">
        <v>1525.7508539999999</v>
      </c>
      <c r="AE27" s="36">
        <v>1534.9720460000001</v>
      </c>
      <c r="AF27" s="35">
        <v>-9.4799999999999995E-4</v>
      </c>
      <c r="AG27" s="29"/>
    </row>
    <row r="28" spans="1:33" ht="15" customHeight="1">
      <c r="A28" s="34" t="s">
        <v>2785</v>
      </c>
      <c r="B28" s="37" t="s">
        <v>2786</v>
      </c>
      <c r="C28" s="36">
        <v>1376.263062</v>
      </c>
      <c r="D28" s="36">
        <v>1395.1920170000001</v>
      </c>
      <c r="E28" s="36">
        <v>1214.3210449999999</v>
      </c>
      <c r="F28" s="36">
        <v>1222.0584719999999</v>
      </c>
      <c r="G28" s="36">
        <v>1233.186279</v>
      </c>
      <c r="H28" s="36">
        <v>1234.931885</v>
      </c>
      <c r="I28" s="36">
        <v>1250.3548579999999</v>
      </c>
      <c r="J28" s="36">
        <v>1273.9506839999999</v>
      </c>
      <c r="K28" s="36">
        <v>1292.790894</v>
      </c>
      <c r="L28" s="36">
        <v>1287.0607910000001</v>
      </c>
      <c r="M28" s="36">
        <v>1280.538086</v>
      </c>
      <c r="N28" s="36">
        <v>1280.928467</v>
      </c>
      <c r="O28" s="36">
        <v>1281.2741699999999</v>
      </c>
      <c r="P28" s="36">
        <v>1279.9929199999999</v>
      </c>
      <c r="Q28" s="36">
        <v>1283.7066649999999</v>
      </c>
      <c r="R28" s="36">
        <v>1277.7777100000001</v>
      </c>
      <c r="S28" s="36">
        <v>1287.3043210000001</v>
      </c>
      <c r="T28" s="36">
        <v>1286.1804199999999</v>
      </c>
      <c r="U28" s="36">
        <v>1289.3298339999999</v>
      </c>
      <c r="V28" s="36">
        <v>1294.4785159999999</v>
      </c>
      <c r="W28" s="36">
        <v>1292.6429439999999</v>
      </c>
      <c r="X28" s="36">
        <v>1291.1010739999999</v>
      </c>
      <c r="Y28" s="36">
        <v>1292.558716</v>
      </c>
      <c r="Z28" s="36">
        <v>1298.8572999999999</v>
      </c>
      <c r="AA28" s="36">
        <v>1274.201294</v>
      </c>
      <c r="AB28" s="36">
        <v>1278.081909</v>
      </c>
      <c r="AC28" s="36">
        <v>1304.226318</v>
      </c>
      <c r="AD28" s="36">
        <v>1315.982788</v>
      </c>
      <c r="AE28" s="36">
        <v>1326.4458010000001</v>
      </c>
      <c r="AF28" s="35">
        <v>-1.3159999999999999E-3</v>
      </c>
      <c r="AG28" s="29"/>
    </row>
    <row r="29" spans="1:33" ht="15" customHeight="1">
      <c r="A29" s="34" t="s">
        <v>2787</v>
      </c>
      <c r="B29" s="37" t="s">
        <v>2788</v>
      </c>
      <c r="C29" s="36">
        <v>200</v>
      </c>
      <c r="D29" s="36">
        <v>200</v>
      </c>
      <c r="E29" s="36">
        <v>212.55174299999999</v>
      </c>
      <c r="F29" s="36">
        <v>207.50041200000001</v>
      </c>
      <c r="G29" s="36">
        <v>209.78320299999999</v>
      </c>
      <c r="H29" s="36">
        <v>206.74182099999999</v>
      </c>
      <c r="I29" s="36">
        <v>215.55256700000001</v>
      </c>
      <c r="J29" s="36">
        <v>224.11836199999999</v>
      </c>
      <c r="K29" s="36">
        <v>235.18417400000001</v>
      </c>
      <c r="L29" s="36">
        <v>235.29217499999999</v>
      </c>
      <c r="M29" s="36">
        <v>235.47283899999999</v>
      </c>
      <c r="N29" s="36">
        <v>231.72792100000001</v>
      </c>
      <c r="O29" s="36">
        <v>239.03337099999999</v>
      </c>
      <c r="P29" s="36">
        <v>234.247986</v>
      </c>
      <c r="Q29" s="36">
        <v>231.33659399999999</v>
      </c>
      <c r="R29" s="36">
        <v>229.944244</v>
      </c>
      <c r="S29" s="36">
        <v>229.744507</v>
      </c>
      <c r="T29" s="36">
        <v>229.36312899999999</v>
      </c>
      <c r="U29" s="36">
        <v>225.65879799999999</v>
      </c>
      <c r="V29" s="36">
        <v>227.32548499999999</v>
      </c>
      <c r="W29" s="36">
        <v>225.60704000000001</v>
      </c>
      <c r="X29" s="36">
        <v>225.335724</v>
      </c>
      <c r="Y29" s="36">
        <v>226.50502</v>
      </c>
      <c r="Z29" s="36">
        <v>227.59715299999999</v>
      </c>
      <c r="AA29" s="36">
        <v>202.967072</v>
      </c>
      <c r="AB29" s="36">
        <v>202.661362</v>
      </c>
      <c r="AC29" s="36">
        <v>208.93536399999999</v>
      </c>
      <c r="AD29" s="36">
        <v>209.76808199999999</v>
      </c>
      <c r="AE29" s="36">
        <v>208.52621500000001</v>
      </c>
      <c r="AF29" s="35">
        <v>1.4920000000000001E-3</v>
      </c>
      <c r="AG29" s="29"/>
    </row>
    <row r="30" spans="1:33" ht="15" customHeight="1">
      <c r="A30" s="34" t="s">
        <v>2789</v>
      </c>
      <c r="B30" s="37" t="s">
        <v>2790</v>
      </c>
      <c r="C30" s="36">
        <v>0</v>
      </c>
      <c r="D30" s="36">
        <v>0</v>
      </c>
      <c r="E30" s="36">
        <v>0</v>
      </c>
      <c r="F30" s="36">
        <v>0</v>
      </c>
      <c r="G30" s="36">
        <v>0</v>
      </c>
      <c r="H30" s="36">
        <v>0</v>
      </c>
      <c r="I30" s="36">
        <v>0</v>
      </c>
      <c r="J30" s="36">
        <v>0</v>
      </c>
      <c r="K30" s="36">
        <v>0</v>
      </c>
      <c r="L30" s="36">
        <v>0</v>
      </c>
      <c r="M30" s="36">
        <v>0</v>
      </c>
      <c r="N30" s="36">
        <v>0</v>
      </c>
      <c r="O30" s="36">
        <v>0</v>
      </c>
      <c r="P30" s="36">
        <v>0</v>
      </c>
      <c r="Q30" s="36">
        <v>0</v>
      </c>
      <c r="R30" s="36">
        <v>0</v>
      </c>
      <c r="S30" s="36">
        <v>0</v>
      </c>
      <c r="T30" s="36">
        <v>0</v>
      </c>
      <c r="U30" s="36">
        <v>0</v>
      </c>
      <c r="V30" s="36">
        <v>0</v>
      </c>
      <c r="W30" s="36">
        <v>0</v>
      </c>
      <c r="X30" s="36">
        <v>0</v>
      </c>
      <c r="Y30" s="36">
        <v>0</v>
      </c>
      <c r="Z30" s="36">
        <v>0</v>
      </c>
      <c r="AA30" s="36">
        <v>0</v>
      </c>
      <c r="AB30" s="36">
        <v>0</v>
      </c>
      <c r="AC30" s="36">
        <v>0</v>
      </c>
      <c r="AD30" s="36">
        <v>0</v>
      </c>
      <c r="AE30" s="36">
        <v>0</v>
      </c>
      <c r="AF30" s="35" t="s">
        <v>1278</v>
      </c>
      <c r="AG30" s="29"/>
    </row>
    <row r="31" spans="1:33" ht="15" customHeight="1">
      <c r="A31" s="34" t="s">
        <v>2791</v>
      </c>
      <c r="B31" s="37" t="s">
        <v>2792</v>
      </c>
      <c r="C31" s="36">
        <v>24</v>
      </c>
      <c r="D31" s="36">
        <v>24</v>
      </c>
      <c r="E31" s="36">
        <v>0.17325399999999999</v>
      </c>
      <c r="F31" s="36">
        <v>0.17325399999999999</v>
      </c>
      <c r="G31" s="36">
        <v>0.17325399999999999</v>
      </c>
      <c r="H31" s="36">
        <v>0.17325399999999999</v>
      </c>
      <c r="I31" s="36">
        <v>0.17325399999999999</v>
      </c>
      <c r="J31" s="36">
        <v>0.17325399999999999</v>
      </c>
      <c r="K31" s="36">
        <v>0.17325399999999999</v>
      </c>
      <c r="L31" s="36">
        <v>0.17325399999999999</v>
      </c>
      <c r="M31" s="36">
        <v>0.17325399999999999</v>
      </c>
      <c r="N31" s="36">
        <v>0.17325399999999999</v>
      </c>
      <c r="O31" s="36">
        <v>0.17325399999999999</v>
      </c>
      <c r="P31" s="36">
        <v>0.17325399999999999</v>
      </c>
      <c r="Q31" s="36">
        <v>0.17325399999999999</v>
      </c>
      <c r="R31" s="36">
        <v>0.17325399999999999</v>
      </c>
      <c r="S31" s="36">
        <v>0.17325399999999999</v>
      </c>
      <c r="T31" s="36">
        <v>0.17325399999999999</v>
      </c>
      <c r="U31" s="36">
        <v>0.17325399999999999</v>
      </c>
      <c r="V31" s="36">
        <v>0.17325399999999999</v>
      </c>
      <c r="W31" s="36">
        <v>0.17325399999999999</v>
      </c>
      <c r="X31" s="36">
        <v>0.17325399999999999</v>
      </c>
      <c r="Y31" s="36">
        <v>0.17325399999999999</v>
      </c>
      <c r="Z31" s="36">
        <v>0.295844</v>
      </c>
      <c r="AA31" s="36">
        <v>6.9675310000000001</v>
      </c>
      <c r="AB31" s="36">
        <v>14.780908</v>
      </c>
      <c r="AC31" s="36">
        <v>26.588282</v>
      </c>
      <c r="AD31" s="36">
        <v>30.481363000000002</v>
      </c>
      <c r="AE31" s="36">
        <v>30.481363000000002</v>
      </c>
      <c r="AF31" s="35">
        <v>8.574E-3</v>
      </c>
      <c r="AG31" s="29"/>
    </row>
    <row r="32" spans="1:33" ht="15" customHeight="1">
      <c r="A32" s="34" t="s">
        <v>2793</v>
      </c>
      <c r="B32" s="37" t="s">
        <v>2794</v>
      </c>
      <c r="C32" s="36">
        <v>918.07605000000001</v>
      </c>
      <c r="D32" s="36">
        <v>984.57763699999998</v>
      </c>
      <c r="E32" s="36">
        <v>910.28918499999997</v>
      </c>
      <c r="F32" s="36">
        <v>906.57922399999995</v>
      </c>
      <c r="G32" s="36">
        <v>904.83148200000005</v>
      </c>
      <c r="H32" s="36">
        <v>903.74475099999995</v>
      </c>
      <c r="I32" s="36">
        <v>906.797729</v>
      </c>
      <c r="J32" s="36">
        <v>903.319885</v>
      </c>
      <c r="K32" s="36">
        <v>898.93817100000001</v>
      </c>
      <c r="L32" s="36">
        <v>895.09338400000001</v>
      </c>
      <c r="M32" s="36">
        <v>891.38726799999995</v>
      </c>
      <c r="N32" s="36">
        <v>890.19982900000002</v>
      </c>
      <c r="O32" s="36">
        <v>890.20636000000002</v>
      </c>
      <c r="P32" s="36">
        <v>897.28649900000005</v>
      </c>
      <c r="Q32" s="36">
        <v>896.68267800000001</v>
      </c>
      <c r="R32" s="36">
        <v>897.57128899999998</v>
      </c>
      <c r="S32" s="36">
        <v>899.26776099999995</v>
      </c>
      <c r="T32" s="36">
        <v>901.701233</v>
      </c>
      <c r="U32" s="36">
        <v>905.80725099999995</v>
      </c>
      <c r="V32" s="36">
        <v>918.53820800000005</v>
      </c>
      <c r="W32" s="36">
        <v>924.52062999999998</v>
      </c>
      <c r="X32" s="36">
        <v>931.19818099999998</v>
      </c>
      <c r="Y32" s="36">
        <v>931.96417199999996</v>
      </c>
      <c r="Z32" s="36">
        <v>938.61321999999996</v>
      </c>
      <c r="AA32" s="36">
        <v>948.81707800000004</v>
      </c>
      <c r="AB32" s="36">
        <v>960.478027</v>
      </c>
      <c r="AC32" s="36">
        <v>981.55676300000005</v>
      </c>
      <c r="AD32" s="36">
        <v>990.59375</v>
      </c>
      <c r="AE32" s="36">
        <v>996.86840800000004</v>
      </c>
      <c r="AF32" s="35">
        <v>2.9450000000000001E-3</v>
      </c>
      <c r="AG32" s="29"/>
    </row>
    <row r="33" spans="1:33" ht="15" customHeight="1">
      <c r="A33" s="34" t="s">
        <v>2795</v>
      </c>
      <c r="B33" s="37" t="s">
        <v>2796</v>
      </c>
      <c r="C33" s="36">
        <v>187.222992</v>
      </c>
      <c r="D33" s="36">
        <v>182.69000199999999</v>
      </c>
      <c r="E33" s="36">
        <v>186.03945899999999</v>
      </c>
      <c r="F33" s="36">
        <v>186.17257699999999</v>
      </c>
      <c r="G33" s="36">
        <v>186.98306299999999</v>
      </c>
      <c r="H33" s="36">
        <v>186.75769</v>
      </c>
      <c r="I33" s="36">
        <v>190.487122</v>
      </c>
      <c r="J33" s="36">
        <v>193.496567</v>
      </c>
      <c r="K33" s="36">
        <v>196.697586</v>
      </c>
      <c r="L33" s="36">
        <v>195.50337200000001</v>
      </c>
      <c r="M33" s="36">
        <v>195.907501</v>
      </c>
      <c r="N33" s="36">
        <v>194.88708500000001</v>
      </c>
      <c r="O33" s="36">
        <v>197.16154499999999</v>
      </c>
      <c r="P33" s="36">
        <v>196.623413</v>
      </c>
      <c r="Q33" s="36">
        <v>196.86821</v>
      </c>
      <c r="R33" s="36">
        <v>196.69577000000001</v>
      </c>
      <c r="S33" s="36">
        <v>197.56251499999999</v>
      </c>
      <c r="T33" s="36">
        <v>198.52815200000001</v>
      </c>
      <c r="U33" s="36">
        <v>198.72885099999999</v>
      </c>
      <c r="V33" s="36">
        <v>199.53295900000001</v>
      </c>
      <c r="W33" s="36">
        <v>199.800568</v>
      </c>
      <c r="X33" s="36">
        <v>199.406342</v>
      </c>
      <c r="Y33" s="36">
        <v>199.92147800000001</v>
      </c>
      <c r="Z33" s="36">
        <v>200.572937</v>
      </c>
      <c r="AA33" s="36">
        <v>202.92802399999999</v>
      </c>
      <c r="AB33" s="36">
        <v>203.57081600000001</v>
      </c>
      <c r="AC33" s="36">
        <v>205.254501</v>
      </c>
      <c r="AD33" s="36">
        <v>206.335815</v>
      </c>
      <c r="AE33" s="36">
        <v>206.82015999999999</v>
      </c>
      <c r="AF33" s="35">
        <v>3.5620000000000001E-3</v>
      </c>
      <c r="AG33" s="29"/>
    </row>
    <row r="34" spans="1:33" ht="12" customHeight="1">
      <c r="A34" s="34" t="s">
        <v>2797</v>
      </c>
      <c r="B34" s="33" t="s">
        <v>2798</v>
      </c>
      <c r="C34" s="32">
        <v>4457.0830079999996</v>
      </c>
      <c r="D34" s="32">
        <v>4614.3369140000004</v>
      </c>
      <c r="E34" s="32">
        <v>4361.9433589999999</v>
      </c>
      <c r="F34" s="32">
        <v>4354.1752930000002</v>
      </c>
      <c r="G34" s="32">
        <v>4375.3164059999999</v>
      </c>
      <c r="H34" s="32">
        <v>4378.8916019999997</v>
      </c>
      <c r="I34" s="32">
        <v>4433.0219729999999</v>
      </c>
      <c r="J34" s="32">
        <v>4470.2573240000002</v>
      </c>
      <c r="K34" s="32">
        <v>4504.310547</v>
      </c>
      <c r="L34" s="32">
        <v>4492.5024409999996</v>
      </c>
      <c r="M34" s="32">
        <v>4494.3183589999999</v>
      </c>
      <c r="N34" s="32">
        <v>4482.2036129999997</v>
      </c>
      <c r="O34" s="32">
        <v>4512.2250979999999</v>
      </c>
      <c r="P34" s="32">
        <v>4515.7338870000003</v>
      </c>
      <c r="Q34" s="32">
        <v>4514.3134769999997</v>
      </c>
      <c r="R34" s="32">
        <v>4516.2709960000002</v>
      </c>
      <c r="S34" s="32">
        <v>4530.5400390000004</v>
      </c>
      <c r="T34" s="32">
        <v>4543.1362300000001</v>
      </c>
      <c r="U34" s="32">
        <v>4551.7827150000003</v>
      </c>
      <c r="V34" s="32">
        <v>4577.892578</v>
      </c>
      <c r="W34" s="32">
        <v>4586.6850590000004</v>
      </c>
      <c r="X34" s="32">
        <v>4594.3999020000001</v>
      </c>
      <c r="Y34" s="32">
        <v>4601.5346680000002</v>
      </c>
      <c r="Z34" s="32">
        <v>4618.8291019999997</v>
      </c>
      <c r="AA34" s="32">
        <v>4582.0961909999996</v>
      </c>
      <c r="AB34" s="32">
        <v>4603.5400390000004</v>
      </c>
      <c r="AC34" s="32">
        <v>4666.8178710000002</v>
      </c>
      <c r="AD34" s="32">
        <v>4691.1845700000003</v>
      </c>
      <c r="AE34" s="32">
        <v>4694.9418949999999</v>
      </c>
      <c r="AF34" s="31">
        <v>1.859E-3</v>
      </c>
      <c r="AG34" s="29"/>
    </row>
    <row r="35" spans="1:33" ht="12" customHeight="1">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row>
    <row r="36" spans="1:33" ht="12" customHeight="1">
      <c r="B36" s="33" t="s">
        <v>2799</v>
      </c>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row>
    <row r="37" spans="1:33" ht="12" customHeight="1">
      <c r="A37" s="34" t="s">
        <v>2800</v>
      </c>
      <c r="B37" s="33" t="s">
        <v>2801</v>
      </c>
      <c r="C37" s="40">
        <v>238.203979</v>
      </c>
      <c r="D37" s="40">
        <v>243.10884100000001</v>
      </c>
      <c r="E37" s="40">
        <v>234.207764</v>
      </c>
      <c r="F37" s="40">
        <v>232.452698</v>
      </c>
      <c r="G37" s="40">
        <v>231.568375</v>
      </c>
      <c r="H37" s="40">
        <v>229.72383099999999</v>
      </c>
      <c r="I37" s="40">
        <v>231.07037399999999</v>
      </c>
      <c r="J37" s="40">
        <v>232.04489100000001</v>
      </c>
      <c r="K37" s="40">
        <v>233.06698600000001</v>
      </c>
      <c r="L37" s="40">
        <v>232.16023300000001</v>
      </c>
      <c r="M37" s="40">
        <v>232.31997699999999</v>
      </c>
      <c r="N37" s="40">
        <v>231.66319300000001</v>
      </c>
      <c r="O37" s="40">
        <v>233.25325000000001</v>
      </c>
      <c r="P37" s="40">
        <v>233.049026</v>
      </c>
      <c r="Q37" s="40">
        <v>232.97285500000001</v>
      </c>
      <c r="R37" s="40">
        <v>232.963852</v>
      </c>
      <c r="S37" s="40">
        <v>233.509827</v>
      </c>
      <c r="T37" s="40">
        <v>234.12796</v>
      </c>
      <c r="U37" s="40">
        <v>234.41609199999999</v>
      </c>
      <c r="V37" s="40">
        <v>235.10746800000001</v>
      </c>
      <c r="W37" s="40">
        <v>235.32934599999999</v>
      </c>
      <c r="X37" s="40">
        <v>235.156113</v>
      </c>
      <c r="Y37" s="40">
        <v>235.25003100000001</v>
      </c>
      <c r="Z37" s="40">
        <v>235.60557600000001</v>
      </c>
      <c r="AA37" s="40">
        <v>233.03233299999999</v>
      </c>
      <c r="AB37" s="40">
        <v>233.74041700000001</v>
      </c>
      <c r="AC37" s="40">
        <v>236.40860000000001</v>
      </c>
      <c r="AD37" s="40">
        <v>237.328598</v>
      </c>
      <c r="AE37" s="40">
        <v>236.76205400000001</v>
      </c>
      <c r="AF37" s="31">
        <v>-2.1699999999999999E-4</v>
      </c>
      <c r="AG37" s="29"/>
    </row>
    <row r="38" spans="1:33" ht="12" customHeight="1">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row>
    <row r="39" spans="1:33" ht="12" customHeight="1">
      <c r="B39" s="33" t="s">
        <v>2802</v>
      </c>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row>
    <row r="40" spans="1:33" ht="12" customHeight="1">
      <c r="B40" s="33" t="s">
        <v>2803</v>
      </c>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row>
    <row r="41" spans="1:33" ht="12" customHeight="1">
      <c r="A41" s="34" t="s">
        <v>2804</v>
      </c>
      <c r="B41" s="37" t="s">
        <v>2805</v>
      </c>
      <c r="C41" s="36">
        <v>0.214</v>
      </c>
      <c r="D41" s="36">
        <v>0.20100000000000001</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5" t="s">
        <v>1278</v>
      </c>
      <c r="AG41" s="29"/>
    </row>
    <row r="42" spans="1:33" ht="12" customHeight="1">
      <c r="A42" s="34" t="s">
        <v>2806</v>
      </c>
      <c r="B42" s="37" t="s">
        <v>2807</v>
      </c>
      <c r="C42" s="36">
        <v>1.625</v>
      </c>
      <c r="D42" s="36">
        <v>1.4039999999999999</v>
      </c>
      <c r="E42" s="36">
        <v>0</v>
      </c>
      <c r="F42" s="36">
        <v>0</v>
      </c>
      <c r="G42" s="36">
        <v>0</v>
      </c>
      <c r="H42" s="36">
        <v>0</v>
      </c>
      <c r="I42" s="36">
        <v>0</v>
      </c>
      <c r="J42" s="36">
        <v>0</v>
      </c>
      <c r="K42" s="36">
        <v>0</v>
      </c>
      <c r="L42" s="36">
        <v>0</v>
      </c>
      <c r="M42" s="36">
        <v>0</v>
      </c>
      <c r="N42" s="36">
        <v>0</v>
      </c>
      <c r="O42" s="36">
        <v>0</v>
      </c>
      <c r="P42" s="36">
        <v>0</v>
      </c>
      <c r="Q42" s="36">
        <v>0</v>
      </c>
      <c r="R42" s="36">
        <v>0</v>
      </c>
      <c r="S42" s="36">
        <v>0</v>
      </c>
      <c r="T42" s="36">
        <v>0</v>
      </c>
      <c r="U42" s="36">
        <v>0</v>
      </c>
      <c r="V42" s="36">
        <v>0</v>
      </c>
      <c r="W42" s="36">
        <v>0</v>
      </c>
      <c r="X42" s="36">
        <v>0</v>
      </c>
      <c r="Y42" s="36">
        <v>0</v>
      </c>
      <c r="Z42" s="36">
        <v>0</v>
      </c>
      <c r="AA42" s="36">
        <v>0</v>
      </c>
      <c r="AB42" s="36">
        <v>0</v>
      </c>
      <c r="AC42" s="36">
        <v>0</v>
      </c>
      <c r="AD42" s="36">
        <v>0</v>
      </c>
      <c r="AE42" s="36">
        <v>0</v>
      </c>
      <c r="AF42" s="35" t="s">
        <v>1278</v>
      </c>
      <c r="AG42" s="29"/>
    </row>
    <row r="43" spans="1:33" ht="12" customHeight="1">
      <c r="A43" s="34" t="s">
        <v>2808</v>
      </c>
      <c r="B43" s="37" t="s">
        <v>2809</v>
      </c>
      <c r="C43" s="36">
        <v>6.8129999999999997</v>
      </c>
      <c r="D43" s="36">
        <v>4.7629999999999999</v>
      </c>
      <c r="E43" s="36">
        <v>0</v>
      </c>
      <c r="F43" s="36">
        <v>0</v>
      </c>
      <c r="G43" s="36">
        <v>0</v>
      </c>
      <c r="H43" s="36">
        <v>0</v>
      </c>
      <c r="I43" s="36">
        <v>0</v>
      </c>
      <c r="J43" s="36">
        <v>0</v>
      </c>
      <c r="K43" s="36">
        <v>0</v>
      </c>
      <c r="L43" s="36">
        <v>0</v>
      </c>
      <c r="M43" s="36">
        <v>0</v>
      </c>
      <c r="N43" s="36">
        <v>0</v>
      </c>
      <c r="O43" s="36">
        <v>0</v>
      </c>
      <c r="P43" s="36">
        <v>0</v>
      </c>
      <c r="Q43" s="36">
        <v>0</v>
      </c>
      <c r="R43" s="36">
        <v>0</v>
      </c>
      <c r="S43" s="36">
        <v>0</v>
      </c>
      <c r="T43" s="36">
        <v>0</v>
      </c>
      <c r="U43" s="36">
        <v>0</v>
      </c>
      <c r="V43" s="36">
        <v>0</v>
      </c>
      <c r="W43" s="36">
        <v>0</v>
      </c>
      <c r="X43" s="36">
        <v>0</v>
      </c>
      <c r="Y43" s="36">
        <v>0</v>
      </c>
      <c r="Z43" s="36">
        <v>0</v>
      </c>
      <c r="AA43" s="36">
        <v>0</v>
      </c>
      <c r="AB43" s="36">
        <v>0</v>
      </c>
      <c r="AC43" s="36">
        <v>0</v>
      </c>
      <c r="AD43" s="36">
        <v>0</v>
      </c>
      <c r="AE43" s="36">
        <v>0</v>
      </c>
      <c r="AF43" s="35" t="s">
        <v>1278</v>
      </c>
      <c r="AG43" s="29"/>
    </row>
    <row r="44" spans="1:33" ht="12" customHeight="1">
      <c r="A44" s="34" t="s">
        <v>2810</v>
      </c>
      <c r="B44" s="37" t="s">
        <v>2811</v>
      </c>
      <c r="C44" s="36">
        <v>430.726044</v>
      </c>
      <c r="D44" s="36">
        <v>450.21099900000002</v>
      </c>
      <c r="E44" s="36">
        <v>505.33966099999998</v>
      </c>
      <c r="F44" s="36">
        <v>506.29278599999998</v>
      </c>
      <c r="G44" s="36">
        <v>502.45135499999998</v>
      </c>
      <c r="H44" s="36">
        <v>501.34359699999999</v>
      </c>
      <c r="I44" s="36">
        <v>502.26086400000003</v>
      </c>
      <c r="J44" s="36">
        <v>503.232574</v>
      </c>
      <c r="K44" s="36">
        <v>500.15142800000001</v>
      </c>
      <c r="L44" s="36">
        <v>497.76004</v>
      </c>
      <c r="M44" s="36">
        <v>497.44576999999998</v>
      </c>
      <c r="N44" s="36">
        <v>495.41232300000001</v>
      </c>
      <c r="O44" s="36">
        <v>494.57861300000002</v>
      </c>
      <c r="P44" s="36">
        <v>494.388214</v>
      </c>
      <c r="Q44" s="36">
        <v>495.086975</v>
      </c>
      <c r="R44" s="36">
        <v>492.07275399999997</v>
      </c>
      <c r="S44" s="36">
        <v>492.381439</v>
      </c>
      <c r="T44" s="36">
        <v>493.467896</v>
      </c>
      <c r="U44" s="36">
        <v>494.66592400000002</v>
      </c>
      <c r="V44" s="36">
        <v>492.77990699999998</v>
      </c>
      <c r="W44" s="36">
        <v>493.91744999999997</v>
      </c>
      <c r="X44" s="36">
        <v>490.07128899999998</v>
      </c>
      <c r="Y44" s="36">
        <v>489.88024899999999</v>
      </c>
      <c r="Z44" s="36">
        <v>489.72421300000002</v>
      </c>
      <c r="AA44" s="36">
        <v>491.003693</v>
      </c>
      <c r="AB44" s="36">
        <v>490.62988300000001</v>
      </c>
      <c r="AC44" s="36">
        <v>494.089539</v>
      </c>
      <c r="AD44" s="36">
        <v>496.65966800000001</v>
      </c>
      <c r="AE44" s="36">
        <v>494.59353599999997</v>
      </c>
      <c r="AF44" s="35">
        <v>4.9500000000000004E-3</v>
      </c>
      <c r="AG44" s="29"/>
    </row>
    <row r="45" spans="1:33" ht="12" customHeight="1">
      <c r="A45" s="34" t="s">
        <v>2812</v>
      </c>
      <c r="B45" s="37" t="s">
        <v>2813</v>
      </c>
      <c r="C45" s="36">
        <v>1277.525024</v>
      </c>
      <c r="D45" s="36">
        <v>1334.649048</v>
      </c>
      <c r="E45" s="36">
        <v>1262.2312010000001</v>
      </c>
      <c r="F45" s="36">
        <v>1257.648682</v>
      </c>
      <c r="G45" s="36">
        <v>1281.680908</v>
      </c>
      <c r="H45" s="36">
        <v>1286.998047</v>
      </c>
      <c r="I45" s="36">
        <v>1314.1892089999999</v>
      </c>
      <c r="J45" s="36">
        <v>1318.732178</v>
      </c>
      <c r="K45" s="36">
        <v>1327.1552730000001</v>
      </c>
      <c r="L45" s="36">
        <v>1328.418091</v>
      </c>
      <c r="M45" s="36">
        <v>1340.164307</v>
      </c>
      <c r="N45" s="36">
        <v>1335.6732179999999</v>
      </c>
      <c r="O45" s="36">
        <v>1356.5960689999999</v>
      </c>
      <c r="P45" s="36">
        <v>1359.818481</v>
      </c>
      <c r="Q45" s="36">
        <v>1357.247437</v>
      </c>
      <c r="R45" s="36">
        <v>1368.834351</v>
      </c>
      <c r="S45" s="36">
        <v>1370.904663</v>
      </c>
      <c r="T45" s="36">
        <v>1380.5207519999999</v>
      </c>
      <c r="U45" s="36">
        <v>1384.217163</v>
      </c>
      <c r="V45" s="36">
        <v>1388.7020259999999</v>
      </c>
      <c r="W45" s="36">
        <v>1390.845947</v>
      </c>
      <c r="X45" s="36">
        <v>1393.7960210000001</v>
      </c>
      <c r="Y45" s="36">
        <v>1393.3957519999999</v>
      </c>
      <c r="Z45" s="36">
        <v>1392.950073</v>
      </c>
      <c r="AA45" s="36">
        <v>1382.9052730000001</v>
      </c>
      <c r="AB45" s="36">
        <v>1381.2182620000001</v>
      </c>
      <c r="AC45" s="36">
        <v>1375.2182620000001</v>
      </c>
      <c r="AD45" s="36">
        <v>1372.4289550000001</v>
      </c>
      <c r="AE45" s="36">
        <v>1361.7227780000001</v>
      </c>
      <c r="AF45" s="35">
        <v>2.2820000000000002E-3</v>
      </c>
      <c r="AG45" s="29"/>
    </row>
    <row r="46" spans="1:33" ht="12" customHeight="1">
      <c r="A46" s="34" t="s">
        <v>2814</v>
      </c>
      <c r="B46" s="37" t="s">
        <v>2815</v>
      </c>
      <c r="C46" s="36">
        <v>2.9580000000000002</v>
      </c>
      <c r="D46" s="36">
        <v>4.9889999999999999</v>
      </c>
      <c r="E46" s="36">
        <v>17.796140999999999</v>
      </c>
      <c r="F46" s="36">
        <v>14.548406</v>
      </c>
      <c r="G46" s="36">
        <v>3.0253429999999999</v>
      </c>
      <c r="H46" s="36">
        <v>4.9991099999999999</v>
      </c>
      <c r="I46" s="36">
        <v>4.8970000000000003E-3</v>
      </c>
      <c r="J46" s="36">
        <v>3.2530999999999997E-2</v>
      </c>
      <c r="K46" s="36">
        <v>1.8245000000000001E-2</v>
      </c>
      <c r="L46" s="36">
        <v>0</v>
      </c>
      <c r="M46" s="36">
        <v>2.7577999999999998E-2</v>
      </c>
      <c r="N46" s="36">
        <v>0</v>
      </c>
      <c r="O46" s="36">
        <v>0</v>
      </c>
      <c r="P46" s="36">
        <v>1.4940000000000001E-3</v>
      </c>
      <c r="Q46" s="36">
        <v>1.0083999999999999E-2</v>
      </c>
      <c r="R46" s="36">
        <v>0</v>
      </c>
      <c r="S46" s="36">
        <v>0</v>
      </c>
      <c r="T46" s="36">
        <v>0</v>
      </c>
      <c r="U46" s="36">
        <v>0</v>
      </c>
      <c r="V46" s="36">
        <v>3.1607599999999998</v>
      </c>
      <c r="W46" s="36">
        <v>5.9757980000000002</v>
      </c>
      <c r="X46" s="36">
        <v>10.116630000000001</v>
      </c>
      <c r="Y46" s="36">
        <v>13.934748000000001</v>
      </c>
      <c r="Z46" s="36">
        <v>17.016748</v>
      </c>
      <c r="AA46" s="36">
        <v>21.303995</v>
      </c>
      <c r="AB46" s="36">
        <v>21.332820999999999</v>
      </c>
      <c r="AC46" s="36">
        <v>19.626259000000001</v>
      </c>
      <c r="AD46" s="36">
        <v>17.717950999999999</v>
      </c>
      <c r="AE46" s="36">
        <v>18.740538000000001</v>
      </c>
      <c r="AF46" s="35">
        <v>6.8156999999999995E-2</v>
      </c>
      <c r="AG46" s="29"/>
    </row>
    <row r="47" spans="1:33" ht="12" customHeight="1">
      <c r="A47" s="34" t="s">
        <v>2816</v>
      </c>
      <c r="B47" s="37" t="s">
        <v>2817</v>
      </c>
      <c r="C47" s="36">
        <v>1719.8610839999999</v>
      </c>
      <c r="D47" s="36">
        <v>1796.2170410000001</v>
      </c>
      <c r="E47" s="36">
        <v>1785.366943</v>
      </c>
      <c r="F47" s="36">
        <v>1778.4898679999999</v>
      </c>
      <c r="G47" s="36">
        <v>1787.1577150000001</v>
      </c>
      <c r="H47" s="36">
        <v>1793.3408199999999</v>
      </c>
      <c r="I47" s="36">
        <v>1816.454956</v>
      </c>
      <c r="J47" s="36">
        <v>1821.997192</v>
      </c>
      <c r="K47" s="36">
        <v>1827.3248289999999</v>
      </c>
      <c r="L47" s="36">
        <v>1826.178101</v>
      </c>
      <c r="M47" s="36">
        <v>1837.6376949999999</v>
      </c>
      <c r="N47" s="36">
        <v>1831.0855710000001</v>
      </c>
      <c r="O47" s="36">
        <v>1851.174683</v>
      </c>
      <c r="P47" s="36">
        <v>1854.20813</v>
      </c>
      <c r="Q47" s="36">
        <v>1852.3446039999999</v>
      </c>
      <c r="R47" s="36">
        <v>1860.9071039999999</v>
      </c>
      <c r="S47" s="36">
        <v>1863.2861330000001</v>
      </c>
      <c r="T47" s="36">
        <v>1873.9886469999999</v>
      </c>
      <c r="U47" s="36">
        <v>1878.883057</v>
      </c>
      <c r="V47" s="36">
        <v>1884.6427000000001</v>
      </c>
      <c r="W47" s="36">
        <v>1890.7392580000001</v>
      </c>
      <c r="X47" s="36">
        <v>1893.9838870000001</v>
      </c>
      <c r="Y47" s="36">
        <v>1897.210693</v>
      </c>
      <c r="Z47" s="36">
        <v>1899.6910399999999</v>
      </c>
      <c r="AA47" s="36">
        <v>1895.2128909999999</v>
      </c>
      <c r="AB47" s="36">
        <v>1893.180908</v>
      </c>
      <c r="AC47" s="36">
        <v>1888.934082</v>
      </c>
      <c r="AD47" s="36">
        <v>1886.806519</v>
      </c>
      <c r="AE47" s="36">
        <v>1875.056763</v>
      </c>
      <c r="AF47" s="35">
        <v>3.0899999999999999E-3</v>
      </c>
      <c r="AG47" s="29"/>
    </row>
    <row r="48" spans="1:33" ht="12" customHeight="1">
      <c r="A48" s="34" t="s">
        <v>2818</v>
      </c>
      <c r="B48" s="37" t="s">
        <v>2553</v>
      </c>
      <c r="C48" s="36">
        <v>863.21301300000005</v>
      </c>
      <c r="D48" s="36">
        <v>882.14196800000002</v>
      </c>
      <c r="E48" s="36">
        <v>567.99426300000005</v>
      </c>
      <c r="F48" s="36">
        <v>577.56213400000001</v>
      </c>
      <c r="G48" s="36">
        <v>589.64892599999996</v>
      </c>
      <c r="H48" s="36">
        <v>591.95666500000004</v>
      </c>
      <c r="I48" s="36">
        <v>605.81933600000002</v>
      </c>
      <c r="J48" s="36">
        <v>630.84515399999998</v>
      </c>
      <c r="K48" s="36">
        <v>652.10742200000004</v>
      </c>
      <c r="L48" s="36">
        <v>648.23126200000002</v>
      </c>
      <c r="M48" s="36">
        <v>643.46551499999998</v>
      </c>
      <c r="N48" s="36">
        <v>644.378784</v>
      </c>
      <c r="O48" s="36">
        <v>644.76178000000004</v>
      </c>
      <c r="P48" s="36">
        <v>640.267517</v>
      </c>
      <c r="Q48" s="36">
        <v>644.30950900000005</v>
      </c>
      <c r="R48" s="36">
        <v>638.00097700000003</v>
      </c>
      <c r="S48" s="36">
        <v>646.72289999999998</v>
      </c>
      <c r="T48" s="36">
        <v>644.48999000000003</v>
      </c>
      <c r="U48" s="36">
        <v>645.73303199999998</v>
      </c>
      <c r="V48" s="36">
        <v>644.86792000000003</v>
      </c>
      <c r="W48" s="36">
        <v>640.380493</v>
      </c>
      <c r="X48" s="36">
        <v>635.67334000000005</v>
      </c>
      <c r="Y48" s="36">
        <v>636.62115500000004</v>
      </c>
      <c r="Z48" s="36">
        <v>640.22082499999999</v>
      </c>
      <c r="AA48" s="36">
        <v>621.68872099999999</v>
      </c>
      <c r="AB48" s="36">
        <v>623.77770999999996</v>
      </c>
      <c r="AC48" s="36">
        <v>642.28430200000003</v>
      </c>
      <c r="AD48" s="36">
        <v>651.64355499999999</v>
      </c>
      <c r="AE48" s="36">
        <v>661.24328600000001</v>
      </c>
      <c r="AF48" s="35">
        <v>-9.4739999999999998E-3</v>
      </c>
      <c r="AG48" s="29"/>
    </row>
    <row r="49" spans="1:33" ht="12" customHeight="1">
      <c r="A49" s="34" t="s">
        <v>2819</v>
      </c>
      <c r="B49" s="37" t="s">
        <v>2820</v>
      </c>
      <c r="C49" s="36">
        <v>0</v>
      </c>
      <c r="D49" s="36">
        <v>0</v>
      </c>
      <c r="E49" s="36">
        <v>0</v>
      </c>
      <c r="F49" s="36">
        <v>0</v>
      </c>
      <c r="G49" s="36">
        <v>0</v>
      </c>
      <c r="H49" s="36">
        <v>0</v>
      </c>
      <c r="I49" s="36">
        <v>0</v>
      </c>
      <c r="J49" s="36">
        <v>0</v>
      </c>
      <c r="K49" s="36">
        <v>0</v>
      </c>
      <c r="L49" s="36">
        <v>0</v>
      </c>
      <c r="M49" s="36">
        <v>0</v>
      </c>
      <c r="N49" s="36">
        <v>0</v>
      </c>
      <c r="O49" s="36">
        <v>0</v>
      </c>
      <c r="P49" s="36">
        <v>0</v>
      </c>
      <c r="Q49" s="36">
        <v>0</v>
      </c>
      <c r="R49" s="36">
        <v>0</v>
      </c>
      <c r="S49" s="36">
        <v>0</v>
      </c>
      <c r="T49" s="36">
        <v>0</v>
      </c>
      <c r="U49" s="36">
        <v>0</v>
      </c>
      <c r="V49" s="36">
        <v>0</v>
      </c>
      <c r="W49" s="36">
        <v>0</v>
      </c>
      <c r="X49" s="36">
        <v>0</v>
      </c>
      <c r="Y49" s="36">
        <v>0</v>
      </c>
      <c r="Z49" s="36">
        <v>0</v>
      </c>
      <c r="AA49" s="36">
        <v>0</v>
      </c>
      <c r="AB49" s="36">
        <v>0</v>
      </c>
      <c r="AC49" s="36">
        <v>0</v>
      </c>
      <c r="AD49" s="36">
        <v>0</v>
      </c>
      <c r="AE49" s="36">
        <v>0</v>
      </c>
      <c r="AF49" s="35" t="s">
        <v>1278</v>
      </c>
      <c r="AG49" s="29"/>
    </row>
    <row r="50" spans="1:33" ht="15" customHeight="1">
      <c r="A50" s="34" t="s">
        <v>2821</v>
      </c>
      <c r="B50" s="37" t="s">
        <v>2822</v>
      </c>
      <c r="C50" s="36">
        <v>150.222992</v>
      </c>
      <c r="D50" s="36">
        <v>145.69000199999999</v>
      </c>
      <c r="E50" s="36">
        <v>144.39274599999999</v>
      </c>
      <c r="F50" s="36">
        <v>144.69915800000001</v>
      </c>
      <c r="G50" s="36">
        <v>145.60043300000001</v>
      </c>
      <c r="H50" s="36">
        <v>145.42828399999999</v>
      </c>
      <c r="I50" s="36">
        <v>149.00997899999999</v>
      </c>
      <c r="J50" s="36">
        <v>152.15481600000001</v>
      </c>
      <c r="K50" s="36">
        <v>155.585159</v>
      </c>
      <c r="L50" s="36">
        <v>154.56648300000001</v>
      </c>
      <c r="M50" s="36">
        <v>155.13694799999999</v>
      </c>
      <c r="N50" s="36">
        <v>154.166031</v>
      </c>
      <c r="O50" s="36">
        <v>156.444031</v>
      </c>
      <c r="P50" s="36">
        <v>155.601685</v>
      </c>
      <c r="Q50" s="36">
        <v>155.877579</v>
      </c>
      <c r="R50" s="36">
        <v>155.66918899999999</v>
      </c>
      <c r="S50" s="36">
        <v>156.45974699999999</v>
      </c>
      <c r="T50" s="36">
        <v>157.32038900000001</v>
      </c>
      <c r="U50" s="36">
        <v>157.34060700000001</v>
      </c>
      <c r="V50" s="36">
        <v>157.57534799999999</v>
      </c>
      <c r="W50" s="36">
        <v>157.59187299999999</v>
      </c>
      <c r="X50" s="36">
        <v>156.897964</v>
      </c>
      <c r="Y50" s="36">
        <v>157.36483799999999</v>
      </c>
      <c r="Z50" s="36">
        <v>157.70581100000001</v>
      </c>
      <c r="AA50" s="36">
        <v>159.54780600000001</v>
      </c>
      <c r="AB50" s="36">
        <v>159.643372</v>
      </c>
      <c r="AC50" s="36">
        <v>160.33225999999999</v>
      </c>
      <c r="AD50" s="36">
        <v>160.97045900000001</v>
      </c>
      <c r="AE50" s="36">
        <v>161.11134300000001</v>
      </c>
      <c r="AF50" s="35">
        <v>2.5019999999999999E-3</v>
      </c>
      <c r="AG50" s="29"/>
    </row>
    <row r="51" spans="1:33" ht="15" customHeight="1">
      <c r="A51" s="34" t="s">
        <v>2823</v>
      </c>
      <c r="B51" s="33" t="s">
        <v>2497</v>
      </c>
      <c r="C51" s="32">
        <v>2733.2971189999998</v>
      </c>
      <c r="D51" s="32">
        <v>2824.048828</v>
      </c>
      <c r="E51" s="32">
        <v>2497.7541500000002</v>
      </c>
      <c r="F51" s="32">
        <v>2500.751221</v>
      </c>
      <c r="G51" s="32">
        <v>2522.406982</v>
      </c>
      <c r="H51" s="32">
        <v>2530.725586</v>
      </c>
      <c r="I51" s="32">
        <v>2571.2844239999999</v>
      </c>
      <c r="J51" s="32">
        <v>2604.9970699999999</v>
      </c>
      <c r="K51" s="32">
        <v>2635.0173340000001</v>
      </c>
      <c r="L51" s="32">
        <v>2628.9758299999999</v>
      </c>
      <c r="M51" s="32">
        <v>2636.2402339999999</v>
      </c>
      <c r="N51" s="32">
        <v>2629.6303710000002</v>
      </c>
      <c r="O51" s="32">
        <v>2652.380615</v>
      </c>
      <c r="P51" s="32">
        <v>2650.0771479999999</v>
      </c>
      <c r="Q51" s="32">
        <v>2652.5317380000001</v>
      </c>
      <c r="R51" s="32">
        <v>2654.577393</v>
      </c>
      <c r="S51" s="32">
        <v>2666.46875</v>
      </c>
      <c r="T51" s="32">
        <v>2675.798828</v>
      </c>
      <c r="U51" s="32">
        <v>2681.9567870000001</v>
      </c>
      <c r="V51" s="32">
        <v>2687.086182</v>
      </c>
      <c r="W51" s="32">
        <v>2688.7114259999998</v>
      </c>
      <c r="X51" s="32">
        <v>2686.5551759999998</v>
      </c>
      <c r="Y51" s="32">
        <v>2691.1965329999998</v>
      </c>
      <c r="Z51" s="32">
        <v>2697.6176759999998</v>
      </c>
      <c r="AA51" s="32">
        <v>2676.4494629999999</v>
      </c>
      <c r="AB51" s="32">
        <v>2676.601807</v>
      </c>
      <c r="AC51" s="32">
        <v>2691.5505370000001</v>
      </c>
      <c r="AD51" s="32">
        <v>2699.420654</v>
      </c>
      <c r="AE51" s="32">
        <v>2697.4113769999999</v>
      </c>
      <c r="AF51" s="31">
        <v>-4.7199999999999998E-4</v>
      </c>
      <c r="AG51" s="29"/>
    </row>
    <row r="52" spans="1:33" ht="15" customHeight="1">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row>
    <row r="53" spans="1:33" ht="15" customHeight="1">
      <c r="B53" s="33" t="s">
        <v>2824</v>
      </c>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row>
    <row r="54" spans="1:33" ht="15" customHeight="1">
      <c r="A54" s="34" t="s">
        <v>2825</v>
      </c>
      <c r="B54" s="33" t="s">
        <v>2826</v>
      </c>
      <c r="C54" s="40">
        <v>190.94447299999999</v>
      </c>
      <c r="D54" s="40">
        <v>196.15536499999999</v>
      </c>
      <c r="E54" s="40">
        <v>180.38502500000001</v>
      </c>
      <c r="F54" s="40">
        <v>179.357147</v>
      </c>
      <c r="G54" s="40">
        <v>178.974197</v>
      </c>
      <c r="H54" s="40">
        <v>177.77162200000001</v>
      </c>
      <c r="I54" s="40">
        <v>178.99766500000001</v>
      </c>
      <c r="J54" s="40">
        <v>179.93147300000001</v>
      </c>
      <c r="K54" s="40">
        <v>180.766052</v>
      </c>
      <c r="L54" s="40">
        <v>180.037262</v>
      </c>
      <c r="M54" s="40">
        <v>180.33992000000001</v>
      </c>
      <c r="N54" s="40">
        <v>179.87760900000001</v>
      </c>
      <c r="O54" s="40">
        <v>181.14324999999999</v>
      </c>
      <c r="P54" s="40">
        <v>181.018372</v>
      </c>
      <c r="Q54" s="40">
        <v>181.11215200000001</v>
      </c>
      <c r="R54" s="40">
        <v>181.16729699999999</v>
      </c>
      <c r="S54" s="40">
        <v>181.716095</v>
      </c>
      <c r="T54" s="40">
        <v>182.31068400000001</v>
      </c>
      <c r="U54" s="40">
        <v>182.69042999999999</v>
      </c>
      <c r="V54" s="40">
        <v>182.93481399999999</v>
      </c>
      <c r="W54" s="40">
        <v>183.08959999999999</v>
      </c>
      <c r="X54" s="40">
        <v>182.77444499999999</v>
      </c>
      <c r="Y54" s="40">
        <v>182.81523100000001</v>
      </c>
      <c r="Z54" s="40">
        <v>182.99636799999999</v>
      </c>
      <c r="AA54" s="40">
        <v>181.58215300000001</v>
      </c>
      <c r="AB54" s="40">
        <v>181.47122200000001</v>
      </c>
      <c r="AC54" s="40">
        <v>182.22730999999999</v>
      </c>
      <c r="AD54" s="40">
        <v>182.62582399999999</v>
      </c>
      <c r="AE54" s="40">
        <v>182.14231899999999</v>
      </c>
      <c r="AF54" s="31">
        <v>-1.684E-3</v>
      </c>
      <c r="AG54" s="29"/>
    </row>
    <row r="55" spans="1:33" ht="15" customHeight="1">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row>
    <row r="56" spans="1:33" ht="15" customHeight="1">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row>
    <row r="57" spans="1:33" ht="15" customHeight="1">
      <c r="B57" s="33" t="s">
        <v>2827</v>
      </c>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row>
    <row r="58" spans="1:33" ht="15" customHeight="1">
      <c r="B58" s="33" t="s">
        <v>2828</v>
      </c>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row>
    <row r="59" spans="1:33" ht="15" customHeight="1">
      <c r="A59" s="34" t="s">
        <v>2829</v>
      </c>
      <c r="B59" s="37" t="s">
        <v>2805</v>
      </c>
      <c r="C59" s="36">
        <v>3.6811999999999998E-2</v>
      </c>
      <c r="D59" s="36">
        <v>3.2808999999999998E-2</v>
      </c>
      <c r="E59" s="36">
        <v>0</v>
      </c>
      <c r="F59" s="36">
        <v>0</v>
      </c>
      <c r="G59" s="36">
        <v>0</v>
      </c>
      <c r="H59" s="36">
        <v>0</v>
      </c>
      <c r="I59" s="36">
        <v>0</v>
      </c>
      <c r="J59" s="36">
        <v>0</v>
      </c>
      <c r="K59" s="36">
        <v>0</v>
      </c>
      <c r="L59" s="36">
        <v>0</v>
      </c>
      <c r="M59" s="36">
        <v>0</v>
      </c>
      <c r="N59" s="36">
        <v>0</v>
      </c>
      <c r="O59" s="36">
        <v>0</v>
      </c>
      <c r="P59" s="36">
        <v>0</v>
      </c>
      <c r="Q59" s="36">
        <v>0</v>
      </c>
      <c r="R59" s="36">
        <v>0</v>
      </c>
      <c r="S59" s="36">
        <v>0</v>
      </c>
      <c r="T59" s="36">
        <v>0</v>
      </c>
      <c r="U59" s="36">
        <v>0</v>
      </c>
      <c r="V59" s="36">
        <v>0</v>
      </c>
      <c r="W59" s="36">
        <v>0</v>
      </c>
      <c r="X59" s="36">
        <v>0</v>
      </c>
      <c r="Y59" s="36">
        <v>0</v>
      </c>
      <c r="Z59" s="36">
        <v>0</v>
      </c>
      <c r="AA59" s="36">
        <v>0</v>
      </c>
      <c r="AB59" s="36">
        <v>0</v>
      </c>
      <c r="AC59" s="36">
        <v>0</v>
      </c>
      <c r="AD59" s="36">
        <v>0</v>
      </c>
      <c r="AE59" s="36">
        <v>0</v>
      </c>
      <c r="AF59" s="35" t="s">
        <v>1278</v>
      </c>
      <c r="AG59" s="29"/>
    </row>
    <row r="60" spans="1:33" ht="15" customHeight="1">
      <c r="A60" s="34" t="s">
        <v>2830</v>
      </c>
      <c r="B60" s="37" t="s">
        <v>2807</v>
      </c>
      <c r="C60" s="36">
        <v>0.279532</v>
      </c>
      <c r="D60" s="36">
        <v>0.22917100000000001</v>
      </c>
      <c r="E60" s="36">
        <v>0</v>
      </c>
      <c r="F60" s="36">
        <v>0</v>
      </c>
      <c r="G60" s="36">
        <v>0</v>
      </c>
      <c r="H60" s="36">
        <v>0</v>
      </c>
      <c r="I60" s="36">
        <v>0</v>
      </c>
      <c r="J60" s="36">
        <v>0</v>
      </c>
      <c r="K60" s="36">
        <v>0</v>
      </c>
      <c r="L60" s="36">
        <v>0</v>
      </c>
      <c r="M60" s="36">
        <v>0</v>
      </c>
      <c r="N60" s="36">
        <v>0</v>
      </c>
      <c r="O60" s="36">
        <v>0</v>
      </c>
      <c r="P60" s="36">
        <v>0</v>
      </c>
      <c r="Q60" s="36">
        <v>0</v>
      </c>
      <c r="R60" s="36">
        <v>0</v>
      </c>
      <c r="S60" s="36">
        <v>0</v>
      </c>
      <c r="T60" s="36">
        <v>0</v>
      </c>
      <c r="U60" s="36">
        <v>0</v>
      </c>
      <c r="V60" s="36">
        <v>0</v>
      </c>
      <c r="W60" s="36">
        <v>0</v>
      </c>
      <c r="X60" s="36">
        <v>0</v>
      </c>
      <c r="Y60" s="36">
        <v>0</v>
      </c>
      <c r="Z60" s="36">
        <v>0</v>
      </c>
      <c r="AA60" s="36">
        <v>0</v>
      </c>
      <c r="AB60" s="36">
        <v>0</v>
      </c>
      <c r="AC60" s="36">
        <v>0</v>
      </c>
      <c r="AD60" s="36">
        <v>0</v>
      </c>
      <c r="AE60" s="36">
        <v>0</v>
      </c>
      <c r="AF60" s="35" t="s">
        <v>1278</v>
      </c>
      <c r="AG60" s="29"/>
    </row>
    <row r="61" spans="1:33" ht="15" customHeight="1">
      <c r="A61" s="34" t="s">
        <v>2831</v>
      </c>
      <c r="B61" s="37" t="s">
        <v>2809</v>
      </c>
      <c r="C61" s="36">
        <v>1.171972</v>
      </c>
      <c r="D61" s="36">
        <v>0.77744999999999997</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v>0</v>
      </c>
      <c r="AF61" s="35" t="s">
        <v>1278</v>
      </c>
      <c r="AG61" s="29"/>
    </row>
    <row r="62" spans="1:33" ht="15" customHeight="1">
      <c r="A62" s="34" t="s">
        <v>2832</v>
      </c>
      <c r="B62" s="37" t="s">
        <v>2811</v>
      </c>
      <c r="C62" s="36">
        <v>74.093491</v>
      </c>
      <c r="D62" s="36">
        <v>73.486548999999997</v>
      </c>
      <c r="E62" s="36">
        <v>80.443314000000001</v>
      </c>
      <c r="F62" s="36">
        <v>80.296104</v>
      </c>
      <c r="G62" s="36">
        <v>79.500609999999995</v>
      </c>
      <c r="H62" s="36">
        <v>78.633719999999997</v>
      </c>
      <c r="I62" s="36">
        <v>78.481521999999998</v>
      </c>
      <c r="J62" s="36">
        <v>78.380859000000001</v>
      </c>
      <c r="K62" s="36">
        <v>77.873824999999997</v>
      </c>
      <c r="L62" s="36">
        <v>77.587135000000004</v>
      </c>
      <c r="M62" s="36">
        <v>77.593491</v>
      </c>
      <c r="N62" s="36">
        <v>77.373192000000003</v>
      </c>
      <c r="O62" s="36">
        <v>77.168907000000004</v>
      </c>
      <c r="P62" s="36">
        <v>77.075599999999994</v>
      </c>
      <c r="Q62" s="36">
        <v>77.273239000000004</v>
      </c>
      <c r="R62" s="36">
        <v>76.922652999999997</v>
      </c>
      <c r="S62" s="36">
        <v>76.857826000000003</v>
      </c>
      <c r="T62" s="36">
        <v>77.018699999999995</v>
      </c>
      <c r="U62" s="36">
        <v>77.180710000000005</v>
      </c>
      <c r="V62" s="36">
        <v>76.829796000000002</v>
      </c>
      <c r="W62" s="36">
        <v>76.955757000000006</v>
      </c>
      <c r="X62" s="36">
        <v>76.481949</v>
      </c>
      <c r="Y62" s="36">
        <v>76.279410999999996</v>
      </c>
      <c r="Z62" s="36">
        <v>76.369986999999995</v>
      </c>
      <c r="AA62" s="36">
        <v>76.414458999999994</v>
      </c>
      <c r="AB62" s="36">
        <v>76.584862000000001</v>
      </c>
      <c r="AC62" s="36">
        <v>77.203270000000003</v>
      </c>
      <c r="AD62" s="36">
        <v>77.521209999999996</v>
      </c>
      <c r="AE62" s="36">
        <v>77.463036000000002</v>
      </c>
      <c r="AF62" s="35">
        <v>1.5900000000000001E-3</v>
      </c>
      <c r="AG62" s="29"/>
    </row>
    <row r="63" spans="1:33" ht="15" customHeight="1">
      <c r="A63" s="34" t="s">
        <v>2833</v>
      </c>
      <c r="B63" s="37" t="s">
        <v>2813</v>
      </c>
      <c r="C63" s="36">
        <v>219.75984199999999</v>
      </c>
      <c r="D63" s="36">
        <v>217.85063199999999</v>
      </c>
      <c r="E63" s="36">
        <v>200.930328</v>
      </c>
      <c r="F63" s="36">
        <v>199.458282</v>
      </c>
      <c r="G63" s="36">
        <v>202.79457099999999</v>
      </c>
      <c r="H63" s="36">
        <v>201.86045799999999</v>
      </c>
      <c r="I63" s="36">
        <v>205.35060100000001</v>
      </c>
      <c r="J63" s="36">
        <v>205.398788</v>
      </c>
      <c r="K63" s="36">
        <v>206.63874799999999</v>
      </c>
      <c r="L63" s="36">
        <v>207.06393399999999</v>
      </c>
      <c r="M63" s="36">
        <v>209.043961</v>
      </c>
      <c r="N63" s="36">
        <v>208.604614</v>
      </c>
      <c r="O63" s="36">
        <v>211.66915900000001</v>
      </c>
      <c r="P63" s="36">
        <v>211.99700899999999</v>
      </c>
      <c r="Q63" s="36">
        <v>211.83935500000001</v>
      </c>
      <c r="R63" s="36">
        <v>213.98129299999999</v>
      </c>
      <c r="S63" s="36">
        <v>213.99009699999999</v>
      </c>
      <c r="T63" s="36">
        <v>215.466736</v>
      </c>
      <c r="U63" s="36">
        <v>215.97377</v>
      </c>
      <c r="V63" s="36">
        <v>216.51388499999999</v>
      </c>
      <c r="W63" s="36">
        <v>216.70343</v>
      </c>
      <c r="X63" s="36">
        <v>217.519867</v>
      </c>
      <c r="Y63" s="36">
        <v>216.96610999999999</v>
      </c>
      <c r="Z63" s="36">
        <v>217.22345000000001</v>
      </c>
      <c r="AA63" s="36">
        <v>215.220291</v>
      </c>
      <c r="AB63" s="36">
        <v>215.60124200000001</v>
      </c>
      <c r="AC63" s="36">
        <v>214.88279700000001</v>
      </c>
      <c r="AD63" s="36">
        <v>214.21582000000001</v>
      </c>
      <c r="AE63" s="36">
        <v>213.27246099999999</v>
      </c>
      <c r="AF63" s="35">
        <v>-1.07E-3</v>
      </c>
      <c r="AG63" s="29"/>
    </row>
    <row r="64" spans="1:33" ht="15" customHeight="1">
      <c r="A64" s="34" t="s">
        <v>2834</v>
      </c>
      <c r="B64" s="37" t="s">
        <v>2815</v>
      </c>
      <c r="C64" s="36">
        <v>0.50883500000000004</v>
      </c>
      <c r="D64" s="36">
        <v>0.81433900000000004</v>
      </c>
      <c r="E64" s="36">
        <v>2.8329080000000002</v>
      </c>
      <c r="F64" s="36">
        <v>2.3073220000000001</v>
      </c>
      <c r="G64" s="36">
        <v>0.478686</v>
      </c>
      <c r="H64" s="36">
        <v>0.78408999999999995</v>
      </c>
      <c r="I64" s="36">
        <v>7.6499999999999995E-4</v>
      </c>
      <c r="J64" s="36">
        <v>5.0670000000000003E-3</v>
      </c>
      <c r="K64" s="36">
        <v>2.8410000000000002E-3</v>
      </c>
      <c r="L64" s="36">
        <v>0</v>
      </c>
      <c r="M64" s="36">
        <v>4.3020000000000003E-3</v>
      </c>
      <c r="N64" s="36">
        <v>0</v>
      </c>
      <c r="O64" s="36">
        <v>0</v>
      </c>
      <c r="P64" s="36">
        <v>2.33E-4</v>
      </c>
      <c r="Q64" s="36">
        <v>1.5740000000000001E-3</v>
      </c>
      <c r="R64" s="36">
        <v>0</v>
      </c>
      <c r="S64" s="36">
        <v>0</v>
      </c>
      <c r="T64" s="36">
        <v>0</v>
      </c>
      <c r="U64" s="36">
        <v>0</v>
      </c>
      <c r="V64" s="36">
        <v>0.49279699999999999</v>
      </c>
      <c r="W64" s="36">
        <v>0.93107099999999998</v>
      </c>
      <c r="X64" s="36">
        <v>1.5788310000000001</v>
      </c>
      <c r="Y64" s="36">
        <v>2.1697839999999999</v>
      </c>
      <c r="Z64" s="36">
        <v>2.6536749999999998</v>
      </c>
      <c r="AA64" s="36">
        <v>3.3155209999999999</v>
      </c>
      <c r="AB64" s="36">
        <v>3.3299460000000001</v>
      </c>
      <c r="AC64" s="36">
        <v>3.0666739999999999</v>
      </c>
      <c r="AD64" s="36">
        <v>2.7655090000000002</v>
      </c>
      <c r="AE64" s="36">
        <v>2.9351349999999998</v>
      </c>
      <c r="AF64" s="35">
        <v>6.4585000000000004E-2</v>
      </c>
      <c r="AG64" s="29"/>
    </row>
    <row r="65" spans="1:33" ht="15" customHeight="1">
      <c r="A65" s="34" t="s">
        <v>2835</v>
      </c>
      <c r="B65" s="37" t="s">
        <v>2817</v>
      </c>
      <c r="C65" s="36">
        <v>295.85049400000003</v>
      </c>
      <c r="D65" s="36">
        <v>293.19094799999999</v>
      </c>
      <c r="E65" s="36">
        <v>284.20657299999999</v>
      </c>
      <c r="F65" s="36">
        <v>282.06170700000001</v>
      </c>
      <c r="G65" s="36">
        <v>282.773865</v>
      </c>
      <c r="H65" s="36">
        <v>281.27825899999999</v>
      </c>
      <c r="I65" s="36">
        <v>283.83288599999997</v>
      </c>
      <c r="J65" s="36">
        <v>283.78472900000003</v>
      </c>
      <c r="K65" s="36">
        <v>284.51541099999997</v>
      </c>
      <c r="L65" s="36">
        <v>284.65106200000002</v>
      </c>
      <c r="M65" s="36">
        <v>286.64175399999999</v>
      </c>
      <c r="N65" s="36">
        <v>285.97781400000002</v>
      </c>
      <c r="O65" s="36">
        <v>288.83807400000001</v>
      </c>
      <c r="P65" s="36">
        <v>289.07284499999997</v>
      </c>
      <c r="Q65" s="36">
        <v>289.11419699999999</v>
      </c>
      <c r="R65" s="36">
        <v>290.903931</v>
      </c>
      <c r="S65" s="36">
        <v>290.84793100000002</v>
      </c>
      <c r="T65" s="36">
        <v>292.48544299999998</v>
      </c>
      <c r="U65" s="36">
        <v>293.15447999999998</v>
      </c>
      <c r="V65" s="36">
        <v>293.83648699999998</v>
      </c>
      <c r="W65" s="36">
        <v>294.59023999999999</v>
      </c>
      <c r="X65" s="36">
        <v>295.58065800000003</v>
      </c>
      <c r="Y65" s="36">
        <v>295.41528299999999</v>
      </c>
      <c r="Z65" s="36">
        <v>296.24713100000002</v>
      </c>
      <c r="AA65" s="36">
        <v>294.950287</v>
      </c>
      <c r="AB65" s="36">
        <v>295.516052</v>
      </c>
      <c r="AC65" s="36">
        <v>295.15273999999999</v>
      </c>
      <c r="AD65" s="36">
        <v>294.50253300000003</v>
      </c>
      <c r="AE65" s="36">
        <v>293.67065400000001</v>
      </c>
      <c r="AF65" s="35">
        <v>-2.6400000000000002E-4</v>
      </c>
      <c r="AG65" s="29"/>
    </row>
    <row r="66" spans="1:33" ht="15" customHeight="1">
      <c r="A66" s="34" t="s">
        <v>2836</v>
      </c>
      <c r="B66" s="37" t="s">
        <v>2553</v>
      </c>
      <c r="C66" s="36">
        <v>148.48989900000001</v>
      </c>
      <c r="D66" s="36">
        <v>143.989304</v>
      </c>
      <c r="E66" s="36">
        <v>90.417090999999999</v>
      </c>
      <c r="F66" s="36">
        <v>91.599152000000004</v>
      </c>
      <c r="G66" s="36">
        <v>93.297484999999995</v>
      </c>
      <c r="H66" s="36">
        <v>92.846016000000006</v>
      </c>
      <c r="I66" s="36">
        <v>94.663207999999997</v>
      </c>
      <c r="J66" s="36">
        <v>98.257118000000006</v>
      </c>
      <c r="K66" s="36">
        <v>101.533455</v>
      </c>
      <c r="L66" s="36">
        <v>101.041466</v>
      </c>
      <c r="M66" s="36">
        <v>100.370216</v>
      </c>
      <c r="N66" s="36">
        <v>100.63867999999999</v>
      </c>
      <c r="O66" s="36">
        <v>100.601929</v>
      </c>
      <c r="P66" s="36">
        <v>99.818320999999997</v>
      </c>
      <c r="Q66" s="36">
        <v>100.563911</v>
      </c>
      <c r="R66" s="36">
        <v>99.734695000000002</v>
      </c>
      <c r="S66" s="36">
        <v>100.94961499999999</v>
      </c>
      <c r="T66" s="36">
        <v>100.589691</v>
      </c>
      <c r="U66" s="36">
        <v>100.751099</v>
      </c>
      <c r="V66" s="36">
        <v>100.541985</v>
      </c>
      <c r="W66" s="36">
        <v>99.775711000000001</v>
      </c>
      <c r="X66" s="36">
        <v>99.205032000000003</v>
      </c>
      <c r="Y66" s="36">
        <v>99.128487000000007</v>
      </c>
      <c r="Z66" s="36">
        <v>99.839164999999994</v>
      </c>
      <c r="AA66" s="36">
        <v>96.752853000000002</v>
      </c>
      <c r="AB66" s="36">
        <v>97.368567999999996</v>
      </c>
      <c r="AC66" s="36">
        <v>100.35923</v>
      </c>
      <c r="AD66" s="36">
        <v>101.711899</v>
      </c>
      <c r="AE66" s="36">
        <v>103.563652</v>
      </c>
      <c r="AF66" s="35">
        <v>-1.2787E-2</v>
      </c>
      <c r="AG66" s="29"/>
    </row>
    <row r="67" spans="1:33" ht="12" customHeight="1">
      <c r="A67" s="34" t="s">
        <v>2837</v>
      </c>
      <c r="B67" s="37" t="s">
        <v>2820</v>
      </c>
      <c r="C67" s="36">
        <v>0</v>
      </c>
      <c r="D67" s="36">
        <v>0</v>
      </c>
      <c r="E67" s="36">
        <v>0</v>
      </c>
      <c r="F67" s="36">
        <v>0</v>
      </c>
      <c r="G67" s="36">
        <v>0</v>
      </c>
      <c r="H67" s="36">
        <v>0</v>
      </c>
      <c r="I67" s="36">
        <v>0</v>
      </c>
      <c r="J67" s="36">
        <v>0</v>
      </c>
      <c r="K67" s="36">
        <v>0</v>
      </c>
      <c r="L67" s="36">
        <v>0</v>
      </c>
      <c r="M67" s="36">
        <v>0</v>
      </c>
      <c r="N67" s="36">
        <v>0</v>
      </c>
      <c r="O67" s="36">
        <v>0</v>
      </c>
      <c r="P67" s="36">
        <v>0</v>
      </c>
      <c r="Q67" s="36">
        <v>0</v>
      </c>
      <c r="R67" s="36">
        <v>0</v>
      </c>
      <c r="S67" s="36">
        <v>0</v>
      </c>
      <c r="T67" s="36">
        <v>0</v>
      </c>
      <c r="U67" s="36">
        <v>0</v>
      </c>
      <c r="V67" s="36">
        <v>0</v>
      </c>
      <c r="W67" s="36">
        <v>0</v>
      </c>
      <c r="X67" s="36">
        <v>0</v>
      </c>
      <c r="Y67" s="36">
        <v>0</v>
      </c>
      <c r="Z67" s="36">
        <v>0</v>
      </c>
      <c r="AA67" s="36">
        <v>0</v>
      </c>
      <c r="AB67" s="36">
        <v>0</v>
      </c>
      <c r="AC67" s="36">
        <v>0</v>
      </c>
      <c r="AD67" s="36">
        <v>0</v>
      </c>
      <c r="AE67" s="36">
        <v>0</v>
      </c>
      <c r="AF67" s="35" t="s">
        <v>1278</v>
      </c>
      <c r="AG67" s="29"/>
    </row>
    <row r="68" spans="1:33" ht="15" customHeight="1">
      <c r="A68" s="34" t="s">
        <v>2838</v>
      </c>
      <c r="B68" s="37" t="s">
        <v>2822</v>
      </c>
      <c r="C68" s="36">
        <v>25.841358</v>
      </c>
      <c r="D68" s="36">
        <v>23.780529000000001</v>
      </c>
      <c r="E68" s="36">
        <v>22.985393999999999</v>
      </c>
      <c r="F68" s="36">
        <v>22.948734000000002</v>
      </c>
      <c r="G68" s="36">
        <v>23.037699</v>
      </c>
      <c r="H68" s="36">
        <v>22.809839</v>
      </c>
      <c r="I68" s="36">
        <v>23.283777000000001</v>
      </c>
      <c r="J68" s="36">
        <v>23.698833</v>
      </c>
      <c r="K68" s="36">
        <v>24.224688</v>
      </c>
      <c r="L68" s="36">
        <v>24.092673999999999</v>
      </c>
      <c r="M68" s="36">
        <v>24.198854000000001</v>
      </c>
      <c r="N68" s="36">
        <v>24.077555</v>
      </c>
      <c r="O68" s="36">
        <v>24.409901000000001</v>
      </c>
      <c r="P68" s="36">
        <v>24.258452999999999</v>
      </c>
      <c r="Q68" s="36">
        <v>24.329393</v>
      </c>
      <c r="R68" s="36">
        <v>24.334789000000001</v>
      </c>
      <c r="S68" s="36">
        <v>24.422440000000002</v>
      </c>
      <c r="T68" s="36">
        <v>24.554003000000002</v>
      </c>
      <c r="U68" s="36">
        <v>24.549213000000002</v>
      </c>
      <c r="V68" s="36">
        <v>24.567726</v>
      </c>
      <c r="W68" s="36">
        <v>24.553905</v>
      </c>
      <c r="X68" s="36">
        <v>24.485952000000001</v>
      </c>
      <c r="Y68" s="36">
        <v>24.503329999999998</v>
      </c>
      <c r="Z68" s="36">
        <v>24.593413999999999</v>
      </c>
      <c r="AA68" s="36">
        <v>24.830279999999998</v>
      </c>
      <c r="AB68" s="36">
        <v>24.919529000000001</v>
      </c>
      <c r="AC68" s="36">
        <v>25.052492000000001</v>
      </c>
      <c r="AD68" s="36">
        <v>25.125102999999999</v>
      </c>
      <c r="AE68" s="36">
        <v>25.233191999999999</v>
      </c>
      <c r="AF68" s="35">
        <v>-8.4999999999999995E-4</v>
      </c>
      <c r="AG68" s="29"/>
    </row>
    <row r="69" spans="1:33" ht="15" customHeight="1">
      <c r="A69" s="34" t="s">
        <v>2839</v>
      </c>
      <c r="B69" s="33" t="s">
        <v>2798</v>
      </c>
      <c r="C69" s="32">
        <v>470.18176299999999</v>
      </c>
      <c r="D69" s="32">
        <v>460.96075400000001</v>
      </c>
      <c r="E69" s="32">
        <v>397.609039</v>
      </c>
      <c r="F69" s="32">
        <v>396.60958900000003</v>
      </c>
      <c r="G69" s="32">
        <v>399.109039</v>
      </c>
      <c r="H69" s="32">
        <v>396.93411300000002</v>
      </c>
      <c r="I69" s="32">
        <v>401.779877</v>
      </c>
      <c r="J69" s="32">
        <v>405.74066199999999</v>
      </c>
      <c r="K69" s="32">
        <v>410.27355999999997</v>
      </c>
      <c r="L69" s="32">
        <v>409.78521699999999</v>
      </c>
      <c r="M69" s="32">
        <v>411.21081500000003</v>
      </c>
      <c r="N69" s="32">
        <v>410.694031</v>
      </c>
      <c r="O69" s="32">
        <v>413.84991500000001</v>
      </c>
      <c r="P69" s="32">
        <v>413.14962800000001</v>
      </c>
      <c r="Q69" s="32">
        <v>414.00750699999998</v>
      </c>
      <c r="R69" s="32">
        <v>414.973389</v>
      </c>
      <c r="S69" s="32">
        <v>416.21997099999999</v>
      </c>
      <c r="T69" s="32">
        <v>417.62914999999998</v>
      </c>
      <c r="U69" s="32">
        <v>418.45480300000003</v>
      </c>
      <c r="V69" s="32">
        <v>418.94619799999998</v>
      </c>
      <c r="W69" s="32">
        <v>418.91986100000003</v>
      </c>
      <c r="X69" s="32">
        <v>419.27166699999998</v>
      </c>
      <c r="Y69" s="32">
        <v>419.04708900000003</v>
      </c>
      <c r="Z69" s="32">
        <v>420.67971799999998</v>
      </c>
      <c r="AA69" s="32">
        <v>416.53341699999999</v>
      </c>
      <c r="AB69" s="32">
        <v>417.80413800000002</v>
      </c>
      <c r="AC69" s="32">
        <v>420.56445300000001</v>
      </c>
      <c r="AD69" s="32">
        <v>421.33950800000002</v>
      </c>
      <c r="AE69" s="32">
        <v>422.46749899999998</v>
      </c>
      <c r="AF69" s="31">
        <v>-3.8140000000000001E-3</v>
      </c>
      <c r="AG69" s="29"/>
    </row>
    <row r="70" spans="1:33" ht="15" customHeight="1">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row>
    <row r="71" spans="1:33" ht="15" customHeight="1">
      <c r="B71" s="33" t="s">
        <v>2840</v>
      </c>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row>
    <row r="72" spans="1:33" ht="15" customHeight="1">
      <c r="B72" s="33" t="s">
        <v>2841</v>
      </c>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row>
    <row r="73" spans="1:33" ht="15" customHeight="1">
      <c r="A73" s="34" t="s">
        <v>2842</v>
      </c>
      <c r="B73" s="37" t="s">
        <v>2551</v>
      </c>
      <c r="C73" s="38">
        <v>0.1237</v>
      </c>
      <c r="D73" s="38">
        <v>0.1237</v>
      </c>
      <c r="E73" s="38">
        <v>0.1237</v>
      </c>
      <c r="F73" s="38">
        <v>0.1237</v>
      </c>
      <c r="G73" s="38">
        <v>0.1237</v>
      </c>
      <c r="H73" s="38">
        <v>0.1237</v>
      </c>
      <c r="I73" s="38">
        <v>0.1237</v>
      </c>
      <c r="J73" s="38">
        <v>0.1237</v>
      </c>
      <c r="K73" s="38">
        <v>0.1237</v>
      </c>
      <c r="L73" s="38">
        <v>0.1237</v>
      </c>
      <c r="M73" s="38">
        <v>0.1237</v>
      </c>
      <c r="N73" s="38">
        <v>0.1237</v>
      </c>
      <c r="O73" s="38">
        <v>0.1237</v>
      </c>
      <c r="P73" s="38">
        <v>0.1237</v>
      </c>
      <c r="Q73" s="38">
        <v>0.1237</v>
      </c>
      <c r="R73" s="38">
        <v>0.1237</v>
      </c>
      <c r="S73" s="38">
        <v>0.1237</v>
      </c>
      <c r="T73" s="38">
        <v>0.1237</v>
      </c>
      <c r="U73" s="38">
        <v>0.1237</v>
      </c>
      <c r="V73" s="38">
        <v>0.1237</v>
      </c>
      <c r="W73" s="38">
        <v>0.1237</v>
      </c>
      <c r="X73" s="38">
        <v>0.1237</v>
      </c>
      <c r="Y73" s="38">
        <v>0.1237</v>
      </c>
      <c r="Z73" s="38">
        <v>0.1237</v>
      </c>
      <c r="AA73" s="38">
        <v>0.1237</v>
      </c>
      <c r="AB73" s="38">
        <v>0.1237</v>
      </c>
      <c r="AC73" s="38">
        <v>0.1237</v>
      </c>
      <c r="AD73" s="38">
        <v>0.1237</v>
      </c>
      <c r="AE73" s="38">
        <v>0.1237</v>
      </c>
      <c r="AF73" s="35">
        <v>0</v>
      </c>
      <c r="AG73" s="29"/>
    </row>
    <row r="74" spans="1:33" ht="15" customHeight="1">
      <c r="A74" s="34" t="s">
        <v>2843</v>
      </c>
      <c r="B74" s="37" t="s">
        <v>2553</v>
      </c>
      <c r="C74" s="38">
        <v>3.5505</v>
      </c>
      <c r="D74" s="38">
        <v>3.5505</v>
      </c>
      <c r="E74" s="38">
        <v>3.5505</v>
      </c>
      <c r="F74" s="38">
        <v>3.5505</v>
      </c>
      <c r="G74" s="38">
        <v>3.5505</v>
      </c>
      <c r="H74" s="38">
        <v>3.5505</v>
      </c>
      <c r="I74" s="38">
        <v>3.5505</v>
      </c>
      <c r="J74" s="38">
        <v>3.5505</v>
      </c>
      <c r="K74" s="38">
        <v>3.5505</v>
      </c>
      <c r="L74" s="38">
        <v>3.5505</v>
      </c>
      <c r="M74" s="38">
        <v>3.5505</v>
      </c>
      <c r="N74" s="38">
        <v>3.5505</v>
      </c>
      <c r="O74" s="38">
        <v>3.5505</v>
      </c>
      <c r="P74" s="38">
        <v>3.5505</v>
      </c>
      <c r="Q74" s="38">
        <v>3.5505</v>
      </c>
      <c r="R74" s="38">
        <v>3.5505</v>
      </c>
      <c r="S74" s="38">
        <v>3.5505</v>
      </c>
      <c r="T74" s="38">
        <v>3.5505</v>
      </c>
      <c r="U74" s="38">
        <v>3.5505</v>
      </c>
      <c r="V74" s="38">
        <v>3.5505</v>
      </c>
      <c r="W74" s="38">
        <v>3.5505</v>
      </c>
      <c r="X74" s="38">
        <v>3.5505</v>
      </c>
      <c r="Y74" s="38">
        <v>3.5505</v>
      </c>
      <c r="Z74" s="38">
        <v>3.5505</v>
      </c>
      <c r="AA74" s="38">
        <v>3.5505</v>
      </c>
      <c r="AB74" s="38">
        <v>3.5505</v>
      </c>
      <c r="AC74" s="38">
        <v>3.5505</v>
      </c>
      <c r="AD74" s="38">
        <v>3.5505</v>
      </c>
      <c r="AE74" s="38">
        <v>3.5505</v>
      </c>
      <c r="AF74" s="35">
        <v>0</v>
      </c>
      <c r="AG74" s="29"/>
    </row>
    <row r="75" spans="1:33" ht="12" customHeight="1">
      <c r="A75" s="34" t="s">
        <v>2844</v>
      </c>
      <c r="B75" s="37" t="s">
        <v>2500</v>
      </c>
      <c r="C75" s="38">
        <v>0</v>
      </c>
      <c r="D75" s="38">
        <v>0</v>
      </c>
      <c r="E75" s="38">
        <v>0</v>
      </c>
      <c r="F75" s="38">
        <v>0</v>
      </c>
      <c r="G75" s="38">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5" t="s">
        <v>1278</v>
      </c>
      <c r="AG75" s="29"/>
    </row>
    <row r="76" spans="1:33" ht="15" customHeight="1">
      <c r="A76" s="34" t="s">
        <v>2845</v>
      </c>
      <c r="B76" s="37" t="s">
        <v>2846</v>
      </c>
      <c r="C76" s="38">
        <v>0.85780000000000001</v>
      </c>
      <c r="D76" s="38">
        <v>0.85780000000000001</v>
      </c>
      <c r="E76" s="38">
        <v>0.85780000000000001</v>
      </c>
      <c r="F76" s="38">
        <v>0.85780000000000001</v>
      </c>
      <c r="G76" s="38">
        <v>0.85780000000000001</v>
      </c>
      <c r="H76" s="38">
        <v>0.85780000000000001</v>
      </c>
      <c r="I76" s="38">
        <v>0.85780000000000001</v>
      </c>
      <c r="J76" s="38">
        <v>0.85780000000000001</v>
      </c>
      <c r="K76" s="38">
        <v>0.85780000000000001</v>
      </c>
      <c r="L76" s="38">
        <v>0.85780000000000001</v>
      </c>
      <c r="M76" s="38">
        <v>0.85780000000000001</v>
      </c>
      <c r="N76" s="38">
        <v>0.85780000000000001</v>
      </c>
      <c r="O76" s="38">
        <v>0.85780000000000001</v>
      </c>
      <c r="P76" s="38">
        <v>0.85780000000000001</v>
      </c>
      <c r="Q76" s="38">
        <v>0.85780000000000001</v>
      </c>
      <c r="R76" s="38">
        <v>0.85780000000000001</v>
      </c>
      <c r="S76" s="38">
        <v>0.85780000000000001</v>
      </c>
      <c r="T76" s="38">
        <v>0.85780000000000001</v>
      </c>
      <c r="U76" s="38">
        <v>0.85780000000000001</v>
      </c>
      <c r="V76" s="38">
        <v>0.85780000000000001</v>
      </c>
      <c r="W76" s="38">
        <v>0.85780000000000001</v>
      </c>
      <c r="X76" s="38">
        <v>0.85780000000000001</v>
      </c>
      <c r="Y76" s="38">
        <v>0.85780000000000001</v>
      </c>
      <c r="Z76" s="38">
        <v>0.85780000000000001</v>
      </c>
      <c r="AA76" s="38">
        <v>0.85780000000000001</v>
      </c>
      <c r="AB76" s="38">
        <v>0.85780000000000001</v>
      </c>
      <c r="AC76" s="38">
        <v>0.85780000000000001</v>
      </c>
      <c r="AD76" s="38">
        <v>0.85780000000000001</v>
      </c>
      <c r="AE76" s="38">
        <v>0.85780000000000001</v>
      </c>
      <c r="AF76" s="35">
        <v>0</v>
      </c>
      <c r="AG76" s="29"/>
    </row>
    <row r="77" spans="1:33" ht="15" customHeight="1">
      <c r="A77" s="34" t="s">
        <v>2847</v>
      </c>
      <c r="B77" s="33" t="s">
        <v>2497</v>
      </c>
      <c r="C77" s="39">
        <v>4.532</v>
      </c>
      <c r="D77" s="39">
        <v>4.532</v>
      </c>
      <c r="E77" s="39">
        <v>4.532</v>
      </c>
      <c r="F77" s="39">
        <v>4.532</v>
      </c>
      <c r="G77" s="39">
        <v>4.532</v>
      </c>
      <c r="H77" s="39">
        <v>4.532</v>
      </c>
      <c r="I77" s="39">
        <v>4.532</v>
      </c>
      <c r="J77" s="39">
        <v>4.532</v>
      </c>
      <c r="K77" s="39">
        <v>4.532</v>
      </c>
      <c r="L77" s="39">
        <v>4.532</v>
      </c>
      <c r="M77" s="39">
        <v>4.532</v>
      </c>
      <c r="N77" s="39">
        <v>4.532</v>
      </c>
      <c r="O77" s="39">
        <v>4.532</v>
      </c>
      <c r="P77" s="39">
        <v>4.532</v>
      </c>
      <c r="Q77" s="39">
        <v>4.532</v>
      </c>
      <c r="R77" s="39">
        <v>4.532</v>
      </c>
      <c r="S77" s="39">
        <v>4.532</v>
      </c>
      <c r="T77" s="39">
        <v>4.532</v>
      </c>
      <c r="U77" s="39">
        <v>4.532</v>
      </c>
      <c r="V77" s="39">
        <v>4.532</v>
      </c>
      <c r="W77" s="39">
        <v>4.532</v>
      </c>
      <c r="X77" s="39">
        <v>4.532</v>
      </c>
      <c r="Y77" s="39">
        <v>4.532</v>
      </c>
      <c r="Z77" s="39">
        <v>4.532</v>
      </c>
      <c r="AA77" s="39">
        <v>4.532</v>
      </c>
      <c r="AB77" s="39">
        <v>4.532</v>
      </c>
      <c r="AC77" s="39">
        <v>4.532</v>
      </c>
      <c r="AD77" s="39">
        <v>4.532</v>
      </c>
      <c r="AE77" s="39">
        <v>4.532</v>
      </c>
      <c r="AF77" s="31">
        <v>0</v>
      </c>
      <c r="AG77" s="29"/>
    </row>
    <row r="78" spans="1:33" ht="15" customHeight="1">
      <c r="B78" s="33" t="s">
        <v>2848</v>
      </c>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1:33" ht="15" customHeight="1">
      <c r="A79" s="34" t="s">
        <v>2849</v>
      </c>
      <c r="B79" s="37" t="s">
        <v>2551</v>
      </c>
      <c r="C79" s="38">
        <v>0.28312999999999999</v>
      </c>
      <c r="D79" s="38">
        <v>0.28312999999999999</v>
      </c>
      <c r="E79" s="38">
        <v>0</v>
      </c>
      <c r="F79" s="38">
        <v>0</v>
      </c>
      <c r="G79" s="38">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5" t="s">
        <v>1278</v>
      </c>
      <c r="AG79" s="29"/>
    </row>
    <row r="80" spans="1:33" ht="15" customHeight="1">
      <c r="A80" s="34" t="s">
        <v>2850</v>
      </c>
      <c r="B80" s="37" t="s">
        <v>2553</v>
      </c>
      <c r="C80" s="38">
        <v>22.292501000000001</v>
      </c>
      <c r="D80" s="38">
        <v>22.292501000000001</v>
      </c>
      <c r="E80" s="38">
        <v>24.438649999999999</v>
      </c>
      <c r="F80" s="38">
        <v>24.438649999999999</v>
      </c>
      <c r="G80" s="38">
        <v>24.438649999999999</v>
      </c>
      <c r="H80" s="38">
        <v>24.438649999999999</v>
      </c>
      <c r="I80" s="38">
        <v>24.438649999999999</v>
      </c>
      <c r="J80" s="38">
        <v>24.438649999999999</v>
      </c>
      <c r="K80" s="38">
        <v>24.438649999999999</v>
      </c>
      <c r="L80" s="38">
        <v>24.438649999999999</v>
      </c>
      <c r="M80" s="38">
        <v>24.438649999999999</v>
      </c>
      <c r="N80" s="38">
        <v>24.438649999999999</v>
      </c>
      <c r="O80" s="38">
        <v>24.438649999999999</v>
      </c>
      <c r="P80" s="38">
        <v>24.438649999999999</v>
      </c>
      <c r="Q80" s="38">
        <v>24.438649999999999</v>
      </c>
      <c r="R80" s="38">
        <v>24.438649999999999</v>
      </c>
      <c r="S80" s="38">
        <v>24.438649999999999</v>
      </c>
      <c r="T80" s="38">
        <v>24.438649999999999</v>
      </c>
      <c r="U80" s="38">
        <v>24.438649999999999</v>
      </c>
      <c r="V80" s="38">
        <v>24.438649999999999</v>
      </c>
      <c r="W80" s="38">
        <v>24.438649999999999</v>
      </c>
      <c r="X80" s="38">
        <v>24.438649999999999</v>
      </c>
      <c r="Y80" s="38">
        <v>24.438649999999999</v>
      </c>
      <c r="Z80" s="38">
        <v>24.438649999999999</v>
      </c>
      <c r="AA80" s="38">
        <v>23.428539000000001</v>
      </c>
      <c r="AB80" s="38">
        <v>23.329193</v>
      </c>
      <c r="AC80" s="38">
        <v>23.575586000000001</v>
      </c>
      <c r="AD80" s="38">
        <v>23.526589999999999</v>
      </c>
      <c r="AE80" s="38">
        <v>23.309422999999999</v>
      </c>
      <c r="AF80" s="35">
        <v>1.5939999999999999E-3</v>
      </c>
      <c r="AG80" s="29"/>
    </row>
    <row r="81" spans="1:34" ht="15" customHeight="1">
      <c r="A81" s="34" t="s">
        <v>2851</v>
      </c>
      <c r="B81" s="37" t="s">
        <v>2500</v>
      </c>
      <c r="C81" s="38">
        <v>0</v>
      </c>
      <c r="D81" s="38">
        <v>0</v>
      </c>
      <c r="E81" s="38">
        <v>0</v>
      </c>
      <c r="F81" s="38">
        <v>0</v>
      </c>
      <c r="G81" s="38">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5" t="s">
        <v>1278</v>
      </c>
      <c r="AG81" s="29"/>
    </row>
    <row r="82" spans="1:34" ht="15" customHeight="1">
      <c r="A82" s="34" t="s">
        <v>2852</v>
      </c>
      <c r="B82" s="37" t="s">
        <v>2846</v>
      </c>
      <c r="C82" s="38">
        <v>4.5923910000000001</v>
      </c>
      <c r="D82" s="38">
        <v>4.5923910000000001</v>
      </c>
      <c r="E82" s="38">
        <v>6.1096630000000003</v>
      </c>
      <c r="F82" s="38">
        <v>6.1096630000000003</v>
      </c>
      <c r="G82" s="38">
        <v>6.1096630000000003</v>
      </c>
      <c r="H82" s="38">
        <v>6.1096630000000003</v>
      </c>
      <c r="I82" s="38">
        <v>6.1096630000000003</v>
      </c>
      <c r="J82" s="38">
        <v>6.1096630000000003</v>
      </c>
      <c r="K82" s="38">
        <v>6.1096630000000003</v>
      </c>
      <c r="L82" s="38">
        <v>6.1096630000000003</v>
      </c>
      <c r="M82" s="38">
        <v>6.1096630000000003</v>
      </c>
      <c r="N82" s="38">
        <v>6.1096630000000003</v>
      </c>
      <c r="O82" s="38">
        <v>6.1096630000000003</v>
      </c>
      <c r="P82" s="38">
        <v>6.1096630000000003</v>
      </c>
      <c r="Q82" s="38">
        <v>6.1096630000000003</v>
      </c>
      <c r="R82" s="38">
        <v>6.1096630000000003</v>
      </c>
      <c r="S82" s="38">
        <v>6.1096630000000003</v>
      </c>
      <c r="T82" s="38">
        <v>6.1096630000000003</v>
      </c>
      <c r="U82" s="38">
        <v>6.1096630000000003</v>
      </c>
      <c r="V82" s="38">
        <v>6.1096630000000003</v>
      </c>
      <c r="W82" s="38">
        <v>6.1096630000000003</v>
      </c>
      <c r="X82" s="38">
        <v>6.1096630000000003</v>
      </c>
      <c r="Y82" s="38">
        <v>6.1096630000000003</v>
      </c>
      <c r="Z82" s="38">
        <v>6.1096630000000003</v>
      </c>
      <c r="AA82" s="38">
        <v>5.8571350000000004</v>
      </c>
      <c r="AB82" s="38">
        <v>5.8322979999999998</v>
      </c>
      <c r="AC82" s="38">
        <v>5.8938969999999999</v>
      </c>
      <c r="AD82" s="38">
        <v>5.8816480000000002</v>
      </c>
      <c r="AE82" s="38">
        <v>5.827356</v>
      </c>
      <c r="AF82" s="35">
        <v>8.5419999999999992E-3</v>
      </c>
      <c r="AG82" s="29"/>
    </row>
    <row r="83" spans="1:34" ht="12" customHeight="1">
      <c r="A83" s="34" t="s">
        <v>2853</v>
      </c>
      <c r="B83" s="33" t="s">
        <v>2497</v>
      </c>
      <c r="C83" s="39">
        <v>27.168022000000001</v>
      </c>
      <c r="D83" s="39">
        <v>27.168022000000001</v>
      </c>
      <c r="E83" s="39">
        <v>30.548313</v>
      </c>
      <c r="F83" s="39">
        <v>30.548313</v>
      </c>
      <c r="G83" s="39">
        <v>30.548313</v>
      </c>
      <c r="H83" s="39">
        <v>30.548313</v>
      </c>
      <c r="I83" s="39">
        <v>30.548313</v>
      </c>
      <c r="J83" s="39">
        <v>30.548313</v>
      </c>
      <c r="K83" s="39">
        <v>30.548313</v>
      </c>
      <c r="L83" s="39">
        <v>30.548313</v>
      </c>
      <c r="M83" s="39">
        <v>30.548313</v>
      </c>
      <c r="N83" s="39">
        <v>30.548313</v>
      </c>
      <c r="O83" s="39">
        <v>30.548313</v>
      </c>
      <c r="P83" s="39">
        <v>30.548313</v>
      </c>
      <c r="Q83" s="39">
        <v>30.548313</v>
      </c>
      <c r="R83" s="39">
        <v>30.548313</v>
      </c>
      <c r="S83" s="39">
        <v>30.548313</v>
      </c>
      <c r="T83" s="39">
        <v>30.548313</v>
      </c>
      <c r="U83" s="39">
        <v>30.548313</v>
      </c>
      <c r="V83" s="39">
        <v>30.548313</v>
      </c>
      <c r="W83" s="39">
        <v>30.548313</v>
      </c>
      <c r="X83" s="39">
        <v>30.548313</v>
      </c>
      <c r="Y83" s="39">
        <v>30.548313</v>
      </c>
      <c r="Z83" s="39">
        <v>30.548313</v>
      </c>
      <c r="AA83" s="39">
        <v>29.285675000000001</v>
      </c>
      <c r="AB83" s="39">
        <v>29.161491000000002</v>
      </c>
      <c r="AC83" s="39">
        <v>29.469481999999999</v>
      </c>
      <c r="AD83" s="39">
        <v>29.408237</v>
      </c>
      <c r="AE83" s="39">
        <v>29.136780000000002</v>
      </c>
      <c r="AF83" s="31">
        <v>2.5019999999999999E-3</v>
      </c>
      <c r="AG83" s="29"/>
    </row>
    <row r="84" spans="1:34" ht="15" customHeight="1">
      <c r="B84" s="33" t="s">
        <v>2854</v>
      </c>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row>
    <row r="85" spans="1:34" ht="15" customHeight="1">
      <c r="A85" s="34" t="s">
        <v>2855</v>
      </c>
      <c r="B85" s="37" t="s">
        <v>2856</v>
      </c>
      <c r="C85" s="38">
        <v>7.8814200000000003</v>
      </c>
      <c r="D85" s="38">
        <v>7.8814200000000003</v>
      </c>
      <c r="E85" s="38">
        <v>0</v>
      </c>
      <c r="F85" s="38">
        <v>0</v>
      </c>
      <c r="G85" s="38">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2.1021999999999999E-2</v>
      </c>
      <c r="Z85" s="38">
        <v>0</v>
      </c>
      <c r="AA85" s="38">
        <v>0.45107000000000003</v>
      </c>
      <c r="AB85" s="38">
        <v>0.36777799999999999</v>
      </c>
      <c r="AC85" s="38">
        <v>0.26255400000000001</v>
      </c>
      <c r="AD85" s="38">
        <v>0.163331</v>
      </c>
      <c r="AE85" s="38">
        <v>4.2835999999999999E-2</v>
      </c>
      <c r="AF85" s="35">
        <v>-0.16993</v>
      </c>
      <c r="AG85" s="29"/>
    </row>
    <row r="86" spans="1:34" ht="15" customHeight="1">
      <c r="A86" s="34" t="s">
        <v>2857</v>
      </c>
      <c r="B86" s="37" t="s">
        <v>2858</v>
      </c>
      <c r="C86" s="38">
        <v>19.286601999999998</v>
      </c>
      <c r="D86" s="38">
        <v>19.286601999999998</v>
      </c>
      <c r="E86" s="38">
        <v>30.548311000000002</v>
      </c>
      <c r="F86" s="38">
        <v>30.548311000000002</v>
      </c>
      <c r="G86" s="38">
        <v>30.548311000000002</v>
      </c>
      <c r="H86" s="38">
        <v>30.548311000000002</v>
      </c>
      <c r="I86" s="38">
        <v>30.548311000000002</v>
      </c>
      <c r="J86" s="38">
        <v>30.548311000000002</v>
      </c>
      <c r="K86" s="38">
        <v>30.548311000000002</v>
      </c>
      <c r="L86" s="38">
        <v>30.548311000000002</v>
      </c>
      <c r="M86" s="38">
        <v>30.548311000000002</v>
      </c>
      <c r="N86" s="38">
        <v>30.548311000000002</v>
      </c>
      <c r="O86" s="38">
        <v>30.548311000000002</v>
      </c>
      <c r="P86" s="38">
        <v>30.548311000000002</v>
      </c>
      <c r="Q86" s="38">
        <v>30.548311000000002</v>
      </c>
      <c r="R86" s="38">
        <v>30.548311000000002</v>
      </c>
      <c r="S86" s="38">
        <v>30.548311000000002</v>
      </c>
      <c r="T86" s="38">
        <v>30.548311000000002</v>
      </c>
      <c r="U86" s="38">
        <v>30.548311000000002</v>
      </c>
      <c r="V86" s="38">
        <v>30.548311000000002</v>
      </c>
      <c r="W86" s="38">
        <v>30.548311000000002</v>
      </c>
      <c r="X86" s="38">
        <v>30.548311000000002</v>
      </c>
      <c r="Y86" s="38">
        <v>30.527287999999999</v>
      </c>
      <c r="Z86" s="38">
        <v>30.548311000000002</v>
      </c>
      <c r="AA86" s="38">
        <v>28.834606000000001</v>
      </c>
      <c r="AB86" s="38">
        <v>28.793713</v>
      </c>
      <c r="AC86" s="38">
        <v>29.20693</v>
      </c>
      <c r="AD86" s="38">
        <v>29.244907000000001</v>
      </c>
      <c r="AE86" s="38">
        <v>29.093942999999999</v>
      </c>
      <c r="AF86" s="35">
        <v>1.4791E-2</v>
      </c>
      <c r="AG86" s="29"/>
    </row>
    <row r="87" spans="1:34" ht="15" customHeight="1">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row>
    <row r="88" spans="1:34" ht="15" customHeight="1">
      <c r="B88" s="33" t="s">
        <v>2859</v>
      </c>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row>
    <row r="89" spans="1:34" ht="12" customHeight="1">
      <c r="B89" s="33" t="s">
        <v>2860</v>
      </c>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row>
    <row r="90" spans="1:34" ht="15" customHeight="1">
      <c r="A90" s="34" t="s">
        <v>2861</v>
      </c>
      <c r="B90" s="37" t="s">
        <v>2862</v>
      </c>
      <c r="C90" s="36">
        <v>368</v>
      </c>
      <c r="D90" s="36">
        <v>368</v>
      </c>
      <c r="E90" s="36">
        <v>433.52096599999999</v>
      </c>
      <c r="F90" s="36">
        <v>431.69049100000001</v>
      </c>
      <c r="G90" s="36">
        <v>430.73156699999998</v>
      </c>
      <c r="H90" s="36">
        <v>430.16940299999999</v>
      </c>
      <c r="I90" s="36">
        <v>431.72979700000002</v>
      </c>
      <c r="J90" s="36">
        <v>430.29980499999999</v>
      </c>
      <c r="K90" s="36">
        <v>427.877747</v>
      </c>
      <c r="L90" s="36">
        <v>426.02368200000001</v>
      </c>
      <c r="M90" s="36">
        <v>424.26681500000001</v>
      </c>
      <c r="N90" s="36">
        <v>423.74392699999999</v>
      </c>
      <c r="O90" s="36">
        <v>423.70657299999999</v>
      </c>
      <c r="P90" s="36">
        <v>426.91970800000001</v>
      </c>
      <c r="Q90" s="36">
        <v>426.59130900000002</v>
      </c>
      <c r="R90" s="36">
        <v>426.97091699999999</v>
      </c>
      <c r="S90" s="36">
        <v>427.77563500000002</v>
      </c>
      <c r="T90" s="36">
        <v>428.884613</v>
      </c>
      <c r="U90" s="36">
        <v>430.79101600000001</v>
      </c>
      <c r="V90" s="36">
        <v>436.80474900000002</v>
      </c>
      <c r="W90" s="36">
        <v>439.45669600000002</v>
      </c>
      <c r="X90" s="36">
        <v>442.62188700000002</v>
      </c>
      <c r="Y90" s="36">
        <v>443.131775</v>
      </c>
      <c r="Z90" s="36">
        <v>445.83071899999999</v>
      </c>
      <c r="AA90" s="36">
        <v>448.50259399999999</v>
      </c>
      <c r="AB90" s="36">
        <v>451.15933200000001</v>
      </c>
      <c r="AC90" s="36">
        <v>456.65142800000001</v>
      </c>
      <c r="AD90" s="36">
        <v>459.47546399999999</v>
      </c>
      <c r="AE90" s="36">
        <v>462.22970600000002</v>
      </c>
      <c r="AF90" s="35">
        <v>8.175E-3</v>
      </c>
      <c r="AG90" s="29"/>
    </row>
    <row r="91" spans="1:34" ht="15" customHeight="1">
      <c r="A91" s="34" t="s">
        <v>2863</v>
      </c>
      <c r="B91" s="37" t="s">
        <v>2864</v>
      </c>
      <c r="C91" s="36">
        <v>24</v>
      </c>
      <c r="D91" s="36">
        <v>24</v>
      </c>
      <c r="E91" s="36">
        <v>0.17325399999999999</v>
      </c>
      <c r="F91" s="36">
        <v>0.17325399999999999</v>
      </c>
      <c r="G91" s="36">
        <v>0.17325399999999999</v>
      </c>
      <c r="H91" s="36">
        <v>0.17325399999999999</v>
      </c>
      <c r="I91" s="36">
        <v>0.17325399999999999</v>
      </c>
      <c r="J91" s="36">
        <v>0.17325399999999999</v>
      </c>
      <c r="K91" s="36">
        <v>0.17325399999999999</v>
      </c>
      <c r="L91" s="36">
        <v>0.17325399999999999</v>
      </c>
      <c r="M91" s="36">
        <v>0.17325399999999999</v>
      </c>
      <c r="N91" s="36">
        <v>0.17325399999999999</v>
      </c>
      <c r="O91" s="36">
        <v>0.17325399999999999</v>
      </c>
      <c r="P91" s="36">
        <v>0.17325399999999999</v>
      </c>
      <c r="Q91" s="36">
        <v>0.17325399999999999</v>
      </c>
      <c r="R91" s="36">
        <v>0.17325399999999999</v>
      </c>
      <c r="S91" s="36">
        <v>0.17325399999999999</v>
      </c>
      <c r="T91" s="36">
        <v>0.17325399999999999</v>
      </c>
      <c r="U91" s="36">
        <v>0.17325399999999999</v>
      </c>
      <c r="V91" s="36">
        <v>0.17325399999999999</v>
      </c>
      <c r="W91" s="36">
        <v>0.17325399999999999</v>
      </c>
      <c r="X91" s="36">
        <v>0.17325399999999999</v>
      </c>
      <c r="Y91" s="36">
        <v>0.17325399999999999</v>
      </c>
      <c r="Z91" s="36">
        <v>0.295844</v>
      </c>
      <c r="AA91" s="36">
        <v>6.9675310000000001</v>
      </c>
      <c r="AB91" s="36">
        <v>14.780908</v>
      </c>
      <c r="AC91" s="36">
        <v>26.588282</v>
      </c>
      <c r="AD91" s="36">
        <v>30.481363000000002</v>
      </c>
      <c r="AE91" s="36">
        <v>30.481363000000002</v>
      </c>
      <c r="AF91" s="35">
        <v>8.574E-3</v>
      </c>
      <c r="AG91" s="29"/>
    </row>
    <row r="92" spans="1:34" ht="15" customHeight="1">
      <c r="A92" s="34" t="s">
        <v>2865</v>
      </c>
      <c r="B92" s="37" t="s">
        <v>2866</v>
      </c>
      <c r="C92" s="36">
        <v>37</v>
      </c>
      <c r="D92" s="36">
        <v>37</v>
      </c>
      <c r="E92" s="36">
        <v>41.646717000000002</v>
      </c>
      <c r="F92" s="36">
        <v>41.473412000000003</v>
      </c>
      <c r="G92" s="36">
        <v>41.382626000000002</v>
      </c>
      <c r="H92" s="36">
        <v>41.329399000000002</v>
      </c>
      <c r="I92" s="36">
        <v>41.477134999999997</v>
      </c>
      <c r="J92" s="36">
        <v>41.341746999999998</v>
      </c>
      <c r="K92" s="36">
        <v>41.112431000000001</v>
      </c>
      <c r="L92" s="36">
        <v>40.936892999999998</v>
      </c>
      <c r="M92" s="36">
        <v>40.770556999999997</v>
      </c>
      <c r="N92" s="36">
        <v>40.721049999999998</v>
      </c>
      <c r="O92" s="36">
        <v>40.717514000000001</v>
      </c>
      <c r="P92" s="36">
        <v>41.021725000000004</v>
      </c>
      <c r="Q92" s="36">
        <v>40.990634999999997</v>
      </c>
      <c r="R92" s="36">
        <v>41.026572999999999</v>
      </c>
      <c r="S92" s="36">
        <v>41.102764000000001</v>
      </c>
      <c r="T92" s="36">
        <v>41.20776</v>
      </c>
      <c r="U92" s="36">
        <v>41.388252000000001</v>
      </c>
      <c r="V92" s="36">
        <v>41.957619000000001</v>
      </c>
      <c r="W92" s="36">
        <v>42.208697999999998</v>
      </c>
      <c r="X92" s="36">
        <v>42.508372999999999</v>
      </c>
      <c r="Y92" s="36">
        <v>42.556643999999999</v>
      </c>
      <c r="Z92" s="36">
        <v>42.867134</v>
      </c>
      <c r="AA92" s="36">
        <v>43.380222000000003</v>
      </c>
      <c r="AB92" s="36">
        <v>43.927444000000001</v>
      </c>
      <c r="AC92" s="36">
        <v>44.922237000000003</v>
      </c>
      <c r="AD92" s="36">
        <v>45.365349000000002</v>
      </c>
      <c r="AE92" s="36">
        <v>45.708817000000003</v>
      </c>
      <c r="AF92" s="35">
        <v>7.5779999999999997E-3</v>
      </c>
      <c r="AG92" s="29"/>
    </row>
    <row r="93" spans="1:34" ht="15" customHeight="1">
      <c r="A93" s="34" t="s">
        <v>2867</v>
      </c>
      <c r="B93" s="33" t="s">
        <v>2868</v>
      </c>
      <c r="C93" s="32">
        <v>429</v>
      </c>
      <c r="D93" s="32">
        <v>429</v>
      </c>
      <c r="E93" s="32">
        <v>475.34094199999998</v>
      </c>
      <c r="F93" s="32">
        <v>473.33715799999999</v>
      </c>
      <c r="G93" s="32">
        <v>472.28744499999999</v>
      </c>
      <c r="H93" s="32">
        <v>471.67205799999999</v>
      </c>
      <c r="I93" s="32">
        <v>473.38018799999998</v>
      </c>
      <c r="J93" s="32">
        <v>471.81478900000002</v>
      </c>
      <c r="K93" s="32">
        <v>469.16342200000003</v>
      </c>
      <c r="L93" s="32">
        <v>467.13382000000001</v>
      </c>
      <c r="M93" s="32">
        <v>465.21063199999998</v>
      </c>
      <c r="N93" s="32">
        <v>464.638214</v>
      </c>
      <c r="O93" s="32">
        <v>464.597351</v>
      </c>
      <c r="P93" s="32">
        <v>468.11468500000001</v>
      </c>
      <c r="Q93" s="32">
        <v>467.75518799999998</v>
      </c>
      <c r="R93" s="32">
        <v>468.17074600000001</v>
      </c>
      <c r="S93" s="32">
        <v>469.05163599999997</v>
      </c>
      <c r="T93" s="32">
        <v>470.265625</v>
      </c>
      <c r="U93" s="32">
        <v>472.352509</v>
      </c>
      <c r="V93" s="32">
        <v>478.935608</v>
      </c>
      <c r="W93" s="32">
        <v>481.83865400000002</v>
      </c>
      <c r="X93" s="32">
        <v>485.30349699999999</v>
      </c>
      <c r="Y93" s="32">
        <v>485.86166400000002</v>
      </c>
      <c r="Z93" s="32">
        <v>488.99368299999998</v>
      </c>
      <c r="AA93" s="32">
        <v>498.85034200000001</v>
      </c>
      <c r="AB93" s="32">
        <v>509.86767600000002</v>
      </c>
      <c r="AC93" s="32">
        <v>528.16192599999999</v>
      </c>
      <c r="AD93" s="32">
        <v>535.32214399999998</v>
      </c>
      <c r="AE93" s="32">
        <v>538.41986099999997</v>
      </c>
      <c r="AF93" s="31">
        <v>8.1469999999999997E-3</v>
      </c>
      <c r="AG93" s="29"/>
    </row>
    <row r="94" spans="1:34" ht="12" customHeight="1" thickBot="1">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1:34" ht="15" customHeight="1">
      <c r="B95" s="2179" t="s">
        <v>2869</v>
      </c>
      <c r="C95" s="2180"/>
      <c r="D95" s="2180"/>
      <c r="E95" s="2180"/>
      <c r="F95" s="2180"/>
      <c r="G95" s="2180"/>
      <c r="H95" s="2180"/>
      <c r="I95" s="2180"/>
      <c r="J95" s="2180"/>
      <c r="K95" s="2180"/>
      <c r="L95" s="2180"/>
      <c r="M95" s="2180"/>
      <c r="N95" s="2180"/>
      <c r="O95" s="2180"/>
      <c r="P95" s="2180"/>
      <c r="Q95" s="2180"/>
      <c r="R95" s="2180"/>
      <c r="S95" s="2180"/>
      <c r="T95" s="2180"/>
      <c r="U95" s="2180"/>
      <c r="V95" s="2180"/>
      <c r="W95" s="2180"/>
      <c r="X95" s="2180"/>
      <c r="Y95" s="2180"/>
      <c r="Z95" s="2180"/>
      <c r="AA95" s="2180"/>
      <c r="AB95" s="2180"/>
      <c r="AC95" s="2180"/>
      <c r="AD95" s="2180"/>
      <c r="AE95" s="2180"/>
      <c r="AF95" s="2180"/>
      <c r="AG95" s="2180"/>
      <c r="AH95" s="30"/>
    </row>
    <row r="96" spans="1:34" ht="15" customHeight="1">
      <c r="B96" s="29" t="s">
        <v>2870</v>
      </c>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2:33" ht="15" customHeight="1">
      <c r="B97" s="29" t="s">
        <v>2871</v>
      </c>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2:33" ht="12" customHeight="1">
      <c r="B98" s="29" t="s">
        <v>2872</v>
      </c>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2:33" ht="15" customHeight="1">
      <c r="B99" s="29" t="s">
        <v>2873</v>
      </c>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2:33" ht="15" customHeight="1">
      <c r="B100" s="29" t="s">
        <v>2874</v>
      </c>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2:33" ht="15" customHeight="1">
      <c r="B101" s="29" t="s">
        <v>2875</v>
      </c>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2:33" ht="15" customHeight="1">
      <c r="B102" s="29" t="s">
        <v>2876</v>
      </c>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2:33" ht="15" customHeight="1">
      <c r="B103" s="29" t="s">
        <v>2877</v>
      </c>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2:33" ht="15" customHeight="1">
      <c r="B104" s="29" t="s">
        <v>2878</v>
      </c>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2:33" ht="15" customHeight="1">
      <c r="B105" s="29" t="s">
        <v>2879</v>
      </c>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2:33" ht="12" customHeight="1">
      <c r="B106" s="29" t="s">
        <v>2880</v>
      </c>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2:33" ht="15" customHeight="1">
      <c r="B107" s="29" t="s">
        <v>2291</v>
      </c>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2:33" ht="15" customHeight="1">
      <c r="B108" s="29" t="s">
        <v>2292</v>
      </c>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row>
    <row r="109" spans="2:33" ht="15" customHeight="1">
      <c r="B109" s="29" t="s">
        <v>2293</v>
      </c>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row>
    <row r="110" spans="2:33" ht="15" customHeight="1">
      <c r="B110" s="29" t="s">
        <v>2881</v>
      </c>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row>
    <row r="111" spans="2:33" ht="15" customHeight="1">
      <c r="B111" s="29" t="s">
        <v>2882</v>
      </c>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row>
    <row r="112" spans="2:33" ht="15" customHeight="1">
      <c r="B112" s="29" t="s">
        <v>2883</v>
      </c>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row>
    <row r="113" spans="2:33" ht="12" customHeight="1">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row>
    <row r="114" spans="2:33" ht="15" customHeight="1">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row>
    <row r="115" spans="2:33" ht="15" customHeight="1">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row>
    <row r="116" spans="2:33" ht="15" customHeight="1">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row>
    <row r="117" spans="2:33" ht="15" customHeight="1">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row>
    <row r="118" spans="2:33" ht="15" customHeight="1">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row>
    <row r="119" spans="2:33" ht="12" customHeight="1">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row>
    <row r="120" spans="2:33" ht="15" customHeight="1">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row>
    <row r="121" spans="2:33" ht="15" customHeight="1">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row>
    <row r="122" spans="2:33" ht="15" customHeight="1">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row>
    <row r="123" spans="2:33" ht="12" customHeight="1">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row>
    <row r="124" spans="2:33" ht="15" customHeight="1">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row>
    <row r="125" spans="2:33" ht="15" customHeight="1">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row>
    <row r="126" spans="2:33" ht="15" customHeight="1">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row>
    <row r="127" spans="2:33" ht="15" customHeight="1">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row>
    <row r="128" spans="2:33" ht="15" customHeight="1">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row>
    <row r="129" spans="2:33" ht="12" customHeight="1">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row>
    <row r="130" spans="2:33" ht="15" customHeight="1">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row>
    <row r="131" spans="2:33" ht="15" customHeight="1">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row>
    <row r="132" spans="2:33" ht="15" customHeight="1">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row>
    <row r="133" spans="2:33" ht="15" customHeight="1">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row>
    <row r="134" spans="2:33" ht="12" customHeight="1">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t="s">
        <v>2056</v>
      </c>
      <c r="AG134" s="29"/>
    </row>
    <row r="156" spans="2:32" ht="15" customHeight="1">
      <c r="B156" s="2178"/>
      <c r="C156" s="2178"/>
      <c r="D156" s="2178"/>
      <c r="E156" s="2178"/>
      <c r="F156" s="2178"/>
      <c r="G156" s="2178"/>
      <c r="H156" s="2178"/>
      <c r="I156" s="2178"/>
      <c r="J156" s="2178"/>
      <c r="K156" s="2178"/>
      <c r="L156" s="2178"/>
      <c r="M156" s="2178"/>
      <c r="N156" s="2178"/>
      <c r="O156" s="2178"/>
      <c r="P156" s="2178"/>
      <c r="Q156" s="2178"/>
      <c r="R156" s="2178"/>
      <c r="S156" s="2178"/>
      <c r="T156" s="2178"/>
      <c r="U156" s="2178"/>
      <c r="V156" s="2178"/>
      <c r="W156" s="2178"/>
      <c r="X156" s="2178"/>
      <c r="Y156" s="2178"/>
      <c r="Z156" s="2178"/>
      <c r="AA156" s="2178"/>
      <c r="AB156" s="2178"/>
      <c r="AC156" s="2178"/>
      <c r="AD156" s="2178"/>
      <c r="AE156" s="2178"/>
      <c r="AF156" s="2178"/>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2178"/>
      <c r="C292" s="2178"/>
      <c r="D292" s="2178"/>
      <c r="E292" s="2178"/>
      <c r="F292" s="2178"/>
      <c r="G292" s="2178"/>
      <c r="H292" s="2178"/>
      <c r="I292" s="2178"/>
      <c r="J292" s="2178"/>
      <c r="K292" s="2178"/>
      <c r="L292" s="2178"/>
      <c r="M292" s="2178"/>
      <c r="N292" s="2178"/>
      <c r="O292" s="2178"/>
      <c r="P292" s="2178"/>
      <c r="Q292" s="2178"/>
      <c r="R292" s="2178"/>
      <c r="S292" s="2178"/>
      <c r="T292" s="2178"/>
      <c r="U292" s="2178"/>
      <c r="V292" s="2178"/>
      <c r="W292" s="2178"/>
      <c r="X292" s="2178"/>
      <c r="Y292" s="2178"/>
      <c r="Z292" s="2178"/>
      <c r="AA292" s="2178"/>
      <c r="AB292" s="2178"/>
      <c r="AC292" s="2178"/>
      <c r="AD292" s="2178"/>
      <c r="AE292" s="2178"/>
      <c r="AF292" s="2178"/>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2178"/>
      <c r="C378" s="2178"/>
      <c r="D378" s="2178"/>
      <c r="E378" s="2178"/>
      <c r="F378" s="2178"/>
      <c r="G378" s="2178"/>
      <c r="H378" s="2178"/>
      <c r="I378" s="2178"/>
      <c r="J378" s="2178"/>
      <c r="K378" s="2178"/>
      <c r="L378" s="2178"/>
      <c r="M378" s="2178"/>
      <c r="N378" s="2178"/>
      <c r="O378" s="2178"/>
      <c r="P378" s="2178"/>
      <c r="Q378" s="2178"/>
      <c r="R378" s="2178"/>
      <c r="S378" s="2178"/>
      <c r="T378" s="2178"/>
      <c r="U378" s="2178"/>
      <c r="V378" s="2178"/>
      <c r="W378" s="2178"/>
      <c r="X378" s="2178"/>
      <c r="Y378" s="2178"/>
      <c r="Z378" s="2178"/>
      <c r="AA378" s="2178"/>
      <c r="AB378" s="2178"/>
      <c r="AC378" s="2178"/>
      <c r="AD378" s="2178"/>
      <c r="AE378" s="2178"/>
      <c r="AF378" s="2178"/>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2178"/>
      <c r="C560" s="2178"/>
      <c r="D560" s="2178"/>
      <c r="E560" s="2178"/>
      <c r="F560" s="2178"/>
      <c r="G560" s="2178"/>
      <c r="H560" s="2178"/>
      <c r="I560" s="2178"/>
      <c r="J560" s="2178"/>
      <c r="K560" s="2178"/>
      <c r="L560" s="2178"/>
      <c r="M560" s="2178"/>
      <c r="N560" s="2178"/>
      <c r="O560" s="2178"/>
      <c r="P560" s="2178"/>
      <c r="Q560" s="2178"/>
      <c r="R560" s="2178"/>
      <c r="S560" s="2178"/>
      <c r="T560" s="2178"/>
      <c r="U560" s="2178"/>
      <c r="V560" s="2178"/>
      <c r="W560" s="2178"/>
      <c r="X560" s="2178"/>
      <c r="Y560" s="2178"/>
      <c r="Z560" s="2178"/>
      <c r="AA560" s="2178"/>
      <c r="AB560" s="2178"/>
      <c r="AC560" s="2178"/>
      <c r="AD560" s="2178"/>
      <c r="AE560" s="2178"/>
      <c r="AF560" s="2178"/>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2178"/>
      <c r="C652" s="2178"/>
      <c r="D652" s="2178"/>
      <c r="E652" s="2178"/>
      <c r="F652" s="2178"/>
      <c r="G652" s="2178"/>
      <c r="H652" s="2178"/>
      <c r="I652" s="2178"/>
      <c r="J652" s="2178"/>
      <c r="K652" s="2178"/>
      <c r="L652" s="2178"/>
      <c r="M652" s="2178"/>
      <c r="N652" s="2178"/>
      <c r="O652" s="2178"/>
      <c r="P652" s="2178"/>
      <c r="Q652" s="2178"/>
      <c r="R652" s="2178"/>
      <c r="S652" s="2178"/>
      <c r="T652" s="2178"/>
      <c r="U652" s="2178"/>
      <c r="V652" s="2178"/>
      <c r="W652" s="2178"/>
      <c r="X652" s="2178"/>
      <c r="Y652" s="2178"/>
      <c r="Z652" s="2178"/>
      <c r="AA652" s="2178"/>
      <c r="AB652" s="2178"/>
      <c r="AC652" s="2178"/>
      <c r="AD652" s="2178"/>
      <c r="AE652" s="2178"/>
      <c r="AF652" s="2178"/>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2178"/>
      <c r="C728" s="2178"/>
      <c r="D728" s="2178"/>
      <c r="E728" s="2178"/>
      <c r="F728" s="2178"/>
      <c r="G728" s="2178"/>
      <c r="H728" s="2178"/>
      <c r="I728" s="2178"/>
      <c r="J728" s="2178"/>
      <c r="K728" s="2178"/>
      <c r="L728" s="2178"/>
      <c r="M728" s="2178"/>
      <c r="N728" s="2178"/>
      <c r="O728" s="2178"/>
      <c r="P728" s="2178"/>
      <c r="Q728" s="2178"/>
      <c r="R728" s="2178"/>
      <c r="S728" s="2178"/>
      <c r="T728" s="2178"/>
      <c r="U728" s="2178"/>
      <c r="V728" s="2178"/>
      <c r="W728" s="2178"/>
      <c r="X728" s="2178"/>
      <c r="Y728" s="2178"/>
      <c r="Z728" s="2178"/>
      <c r="AA728" s="2178"/>
      <c r="AB728" s="2178"/>
      <c r="AC728" s="2178"/>
      <c r="AD728" s="2178"/>
      <c r="AE728" s="2178"/>
      <c r="AF728" s="2178"/>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2178"/>
      <c r="C819" s="2178"/>
      <c r="D819" s="2178"/>
      <c r="E819" s="2178"/>
      <c r="F819" s="2178"/>
      <c r="G819" s="2178"/>
      <c r="H819" s="2178"/>
      <c r="I819" s="2178"/>
      <c r="J819" s="2178"/>
      <c r="K819" s="2178"/>
      <c r="L819" s="2178"/>
      <c r="M819" s="2178"/>
      <c r="N819" s="2178"/>
      <c r="O819" s="2178"/>
      <c r="P819" s="2178"/>
      <c r="Q819" s="2178"/>
      <c r="R819" s="2178"/>
      <c r="S819" s="2178"/>
      <c r="T819" s="2178"/>
      <c r="U819" s="2178"/>
      <c r="V819" s="2178"/>
      <c r="W819" s="2178"/>
      <c r="X819" s="2178"/>
      <c r="Y819" s="2178"/>
      <c r="Z819" s="2178"/>
      <c r="AA819" s="2178"/>
      <c r="AB819" s="2178"/>
      <c r="AC819" s="2178"/>
      <c r="AD819" s="2178"/>
      <c r="AE819" s="2178"/>
      <c r="AF819" s="2178"/>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2178"/>
      <c r="C897" s="2178"/>
      <c r="D897" s="2178"/>
      <c r="E897" s="2178"/>
      <c r="F897" s="2178"/>
      <c r="G897" s="2178"/>
      <c r="H897" s="2178"/>
      <c r="I897" s="2178"/>
      <c r="J897" s="2178"/>
      <c r="K897" s="2178"/>
      <c r="L897" s="2178"/>
      <c r="M897" s="2178"/>
      <c r="N897" s="2178"/>
      <c r="O897" s="2178"/>
      <c r="P897" s="2178"/>
      <c r="Q897" s="2178"/>
      <c r="R897" s="2178"/>
      <c r="S897" s="2178"/>
      <c r="T897" s="2178"/>
      <c r="U897" s="2178"/>
      <c r="V897" s="2178"/>
      <c r="W897" s="2178"/>
      <c r="X897" s="2178"/>
      <c r="Y897" s="2178"/>
      <c r="Z897" s="2178"/>
      <c r="AA897" s="2178"/>
      <c r="AB897" s="2178"/>
      <c r="AC897" s="2178"/>
      <c r="AD897" s="2178"/>
      <c r="AE897" s="2178"/>
      <c r="AF897" s="2178"/>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2178"/>
      <c r="C983" s="2178"/>
      <c r="D983" s="2178"/>
      <c r="E983" s="2178"/>
      <c r="F983" s="2178"/>
      <c r="G983" s="2178"/>
      <c r="H983" s="2178"/>
      <c r="I983" s="2178"/>
      <c r="J983" s="2178"/>
      <c r="K983" s="2178"/>
      <c r="L983" s="2178"/>
      <c r="M983" s="2178"/>
      <c r="N983" s="2178"/>
      <c r="O983" s="2178"/>
      <c r="P983" s="2178"/>
      <c r="Q983" s="2178"/>
      <c r="R983" s="2178"/>
      <c r="S983" s="2178"/>
      <c r="T983" s="2178"/>
      <c r="U983" s="2178"/>
      <c r="V983" s="2178"/>
      <c r="W983" s="2178"/>
      <c r="X983" s="2178"/>
      <c r="Y983" s="2178"/>
      <c r="Z983" s="2178"/>
      <c r="AA983" s="2178"/>
      <c r="AB983" s="2178"/>
      <c r="AC983" s="2178"/>
      <c r="AD983" s="2178"/>
      <c r="AE983" s="2178"/>
      <c r="AF983" s="2178"/>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2178"/>
      <c r="C1082" s="2178"/>
      <c r="D1082" s="2178"/>
      <c r="E1082" s="2178"/>
      <c r="F1082" s="2178"/>
      <c r="G1082" s="2178"/>
      <c r="H1082" s="2178"/>
      <c r="I1082" s="2178"/>
      <c r="J1082" s="2178"/>
      <c r="K1082" s="2178"/>
      <c r="L1082" s="2178"/>
      <c r="M1082" s="2178"/>
      <c r="N1082" s="2178"/>
      <c r="O1082" s="2178"/>
      <c r="P1082" s="2178"/>
      <c r="Q1082" s="2178"/>
      <c r="R1082" s="2178"/>
      <c r="S1082" s="2178"/>
      <c r="T1082" s="2178"/>
      <c r="U1082" s="2178"/>
      <c r="V1082" s="2178"/>
      <c r="W1082" s="2178"/>
      <c r="X1082" s="2178"/>
      <c r="Y1082" s="2178"/>
      <c r="Z1082" s="2178"/>
      <c r="AA1082" s="2178"/>
      <c r="AB1082" s="2178"/>
      <c r="AC1082" s="2178"/>
      <c r="AD1082" s="2178"/>
      <c r="AE1082" s="2178"/>
      <c r="AF1082" s="2178"/>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2178"/>
      <c r="C1179" s="2178"/>
      <c r="D1179" s="2178"/>
      <c r="E1179" s="2178"/>
      <c r="F1179" s="2178"/>
      <c r="G1179" s="2178"/>
      <c r="H1179" s="2178"/>
      <c r="I1179" s="2178"/>
      <c r="J1179" s="2178"/>
      <c r="K1179" s="2178"/>
      <c r="L1179" s="2178"/>
      <c r="M1179" s="2178"/>
      <c r="N1179" s="2178"/>
      <c r="O1179" s="2178"/>
      <c r="P1179" s="2178"/>
      <c r="Q1179" s="2178"/>
      <c r="R1179" s="2178"/>
      <c r="S1179" s="2178"/>
      <c r="T1179" s="2178"/>
      <c r="U1179" s="2178"/>
      <c r="V1179" s="2178"/>
      <c r="W1179" s="2178"/>
      <c r="X1179" s="2178"/>
      <c r="Y1179" s="2178"/>
      <c r="Z1179" s="2178"/>
      <c r="AA1179" s="2178"/>
      <c r="AB1179" s="2178"/>
      <c r="AC1179" s="2178"/>
      <c r="AD1179" s="2178"/>
      <c r="AE1179" s="2178"/>
      <c r="AF1179" s="2178"/>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2178"/>
      <c r="C1313" s="2178"/>
      <c r="D1313" s="2178"/>
      <c r="E1313" s="2178"/>
      <c r="F1313" s="2178"/>
      <c r="G1313" s="2178"/>
      <c r="H1313" s="2178"/>
      <c r="I1313" s="2178"/>
      <c r="J1313" s="2178"/>
      <c r="K1313" s="2178"/>
      <c r="L1313" s="2178"/>
      <c r="M1313" s="2178"/>
      <c r="N1313" s="2178"/>
      <c r="O1313" s="2178"/>
      <c r="P1313" s="2178"/>
      <c r="Q1313" s="2178"/>
      <c r="R1313" s="2178"/>
      <c r="S1313" s="2178"/>
      <c r="T1313" s="2178"/>
      <c r="U1313" s="2178"/>
      <c r="V1313" s="2178"/>
      <c r="W1313" s="2178"/>
      <c r="X1313" s="2178"/>
      <c r="Y1313" s="2178"/>
      <c r="Z1313" s="2178"/>
      <c r="AA1313" s="2178"/>
      <c r="AB1313" s="2178"/>
      <c r="AC1313" s="2178"/>
      <c r="AD1313" s="2178"/>
      <c r="AE1313" s="2178"/>
      <c r="AF1313" s="2178"/>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2178"/>
      <c r="C1431" s="2178"/>
      <c r="D1431" s="2178"/>
      <c r="E1431" s="2178"/>
      <c r="F1431" s="2178"/>
      <c r="G1431" s="2178"/>
      <c r="H1431" s="2178"/>
      <c r="I1431" s="2178"/>
      <c r="J1431" s="2178"/>
      <c r="K1431" s="2178"/>
      <c r="L1431" s="2178"/>
      <c r="M1431" s="2178"/>
      <c r="N1431" s="2178"/>
      <c r="O1431" s="2178"/>
      <c r="P1431" s="2178"/>
      <c r="Q1431" s="2178"/>
      <c r="R1431" s="2178"/>
      <c r="S1431" s="2178"/>
      <c r="T1431" s="2178"/>
      <c r="U1431" s="2178"/>
      <c r="V1431" s="2178"/>
      <c r="W1431" s="2178"/>
      <c r="X1431" s="2178"/>
      <c r="Y1431" s="2178"/>
      <c r="Z1431" s="2178"/>
      <c r="AA1431" s="2178"/>
      <c r="AB1431" s="2178"/>
      <c r="AC1431" s="2178"/>
      <c r="AD1431" s="2178"/>
      <c r="AE1431" s="2178"/>
      <c r="AF1431" s="2178"/>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2178"/>
      <c r="C1535" s="2178"/>
      <c r="D1535" s="2178"/>
      <c r="E1535" s="2178"/>
      <c r="F1535" s="2178"/>
      <c r="G1535" s="2178"/>
      <c r="H1535" s="2178"/>
      <c r="I1535" s="2178"/>
      <c r="J1535" s="2178"/>
      <c r="K1535" s="2178"/>
      <c r="L1535" s="2178"/>
      <c r="M1535" s="2178"/>
      <c r="N1535" s="2178"/>
      <c r="O1535" s="2178"/>
      <c r="P1535" s="2178"/>
      <c r="Q1535" s="2178"/>
      <c r="R1535" s="2178"/>
      <c r="S1535" s="2178"/>
      <c r="T1535" s="2178"/>
      <c r="U1535" s="2178"/>
      <c r="V1535" s="2178"/>
      <c r="W1535" s="2178"/>
      <c r="X1535" s="2178"/>
      <c r="Y1535" s="2178"/>
      <c r="Z1535" s="2178"/>
      <c r="AA1535" s="2178"/>
      <c r="AB1535" s="2178"/>
      <c r="AC1535" s="2178"/>
      <c r="AD1535" s="2178"/>
      <c r="AE1535" s="2178"/>
      <c r="AF1535" s="2178"/>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2178"/>
      <c r="C1628" s="2178"/>
      <c r="D1628" s="2178"/>
      <c r="E1628" s="2178"/>
      <c r="F1628" s="2178"/>
      <c r="G1628" s="2178"/>
      <c r="H1628" s="2178"/>
      <c r="I1628" s="2178"/>
      <c r="J1628" s="2178"/>
      <c r="K1628" s="2178"/>
      <c r="L1628" s="2178"/>
      <c r="M1628" s="2178"/>
      <c r="N1628" s="2178"/>
      <c r="O1628" s="2178"/>
      <c r="P1628" s="2178"/>
      <c r="Q1628" s="2178"/>
      <c r="R1628" s="2178"/>
      <c r="S1628" s="2178"/>
      <c r="T1628" s="2178"/>
      <c r="U1628" s="2178"/>
      <c r="V1628" s="2178"/>
      <c r="W1628" s="2178"/>
      <c r="X1628" s="2178"/>
      <c r="Y1628" s="2178"/>
      <c r="Z1628" s="2178"/>
      <c r="AA1628" s="2178"/>
      <c r="AB1628" s="2178"/>
      <c r="AC1628" s="2178"/>
      <c r="AD1628" s="2178"/>
      <c r="AE1628" s="2178"/>
      <c r="AF1628" s="2178"/>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2178"/>
      <c r="C1778" s="2178"/>
      <c r="D1778" s="2178"/>
      <c r="E1778" s="2178"/>
      <c r="F1778" s="2178"/>
      <c r="G1778" s="2178"/>
      <c r="H1778" s="2178"/>
      <c r="I1778" s="2178"/>
      <c r="J1778" s="2178"/>
      <c r="K1778" s="2178"/>
      <c r="L1778" s="2178"/>
      <c r="M1778" s="2178"/>
      <c r="N1778" s="2178"/>
      <c r="O1778" s="2178"/>
      <c r="P1778" s="2178"/>
      <c r="Q1778" s="2178"/>
      <c r="R1778" s="2178"/>
      <c r="S1778" s="2178"/>
      <c r="T1778" s="2178"/>
      <c r="U1778" s="2178"/>
      <c r="V1778" s="2178"/>
      <c r="W1778" s="2178"/>
      <c r="X1778" s="2178"/>
      <c r="Y1778" s="2178"/>
      <c r="Z1778" s="2178"/>
      <c r="AA1778" s="2178"/>
      <c r="AB1778" s="2178"/>
      <c r="AC1778" s="2178"/>
      <c r="AD1778" s="2178"/>
      <c r="AE1778" s="2178"/>
      <c r="AF1778" s="2178"/>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2178"/>
      <c r="C1928" s="2178"/>
      <c r="D1928" s="2178"/>
      <c r="E1928" s="2178"/>
      <c r="F1928" s="2178"/>
      <c r="G1928" s="2178"/>
      <c r="H1928" s="2178"/>
      <c r="I1928" s="2178"/>
      <c r="J1928" s="2178"/>
      <c r="K1928" s="2178"/>
      <c r="L1928" s="2178"/>
      <c r="M1928" s="2178"/>
      <c r="N1928" s="2178"/>
      <c r="O1928" s="2178"/>
      <c r="P1928" s="2178"/>
      <c r="Q1928" s="2178"/>
      <c r="R1928" s="2178"/>
      <c r="S1928" s="2178"/>
      <c r="T1928" s="2178"/>
      <c r="U1928" s="2178"/>
      <c r="V1928" s="2178"/>
      <c r="W1928" s="2178"/>
      <c r="X1928" s="2178"/>
      <c r="Y1928" s="2178"/>
      <c r="Z1928" s="2178"/>
      <c r="AA1928" s="2178"/>
      <c r="AB1928" s="2178"/>
      <c r="AC1928" s="2178"/>
      <c r="AD1928" s="2178"/>
      <c r="AE1928" s="2178"/>
      <c r="AF1928" s="2178"/>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2178"/>
      <c r="C2078" s="2178"/>
      <c r="D2078" s="2178"/>
      <c r="E2078" s="2178"/>
      <c r="F2078" s="2178"/>
      <c r="G2078" s="2178"/>
      <c r="H2078" s="2178"/>
      <c r="I2078" s="2178"/>
      <c r="J2078" s="2178"/>
      <c r="K2078" s="2178"/>
      <c r="L2078" s="2178"/>
      <c r="M2078" s="2178"/>
      <c r="N2078" s="2178"/>
      <c r="O2078" s="2178"/>
      <c r="P2078" s="2178"/>
      <c r="Q2078" s="2178"/>
      <c r="R2078" s="2178"/>
      <c r="S2078" s="2178"/>
      <c r="T2078" s="2178"/>
      <c r="U2078" s="2178"/>
      <c r="V2078" s="2178"/>
      <c r="W2078" s="2178"/>
      <c r="X2078" s="2178"/>
      <c r="Y2078" s="2178"/>
      <c r="Z2078" s="2178"/>
      <c r="AA2078" s="2178"/>
      <c r="AB2078" s="2178"/>
      <c r="AC2078" s="2178"/>
      <c r="AD2078" s="2178"/>
      <c r="AE2078" s="2178"/>
      <c r="AF2078" s="2178"/>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2178"/>
      <c r="C2228" s="2178"/>
      <c r="D2228" s="2178"/>
      <c r="E2228" s="2178"/>
      <c r="F2228" s="2178"/>
      <c r="G2228" s="2178"/>
      <c r="H2228" s="2178"/>
      <c r="I2228" s="2178"/>
      <c r="J2228" s="2178"/>
      <c r="K2228" s="2178"/>
      <c r="L2228" s="2178"/>
      <c r="M2228" s="2178"/>
      <c r="N2228" s="2178"/>
      <c r="O2228" s="2178"/>
      <c r="P2228" s="2178"/>
      <c r="Q2228" s="2178"/>
      <c r="R2228" s="2178"/>
      <c r="S2228" s="2178"/>
      <c r="T2228" s="2178"/>
      <c r="U2228" s="2178"/>
      <c r="V2228" s="2178"/>
      <c r="W2228" s="2178"/>
      <c r="X2228" s="2178"/>
      <c r="Y2228" s="2178"/>
      <c r="Z2228" s="2178"/>
      <c r="AA2228" s="2178"/>
      <c r="AB2228" s="2178"/>
      <c r="AC2228" s="2178"/>
      <c r="AD2228" s="2178"/>
      <c r="AE2228" s="2178"/>
      <c r="AF2228" s="2178"/>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2178"/>
      <c r="C2378" s="2178"/>
      <c r="D2378" s="2178"/>
      <c r="E2378" s="2178"/>
      <c r="F2378" s="2178"/>
      <c r="G2378" s="2178"/>
      <c r="H2378" s="2178"/>
      <c r="I2378" s="2178"/>
      <c r="J2378" s="2178"/>
      <c r="K2378" s="2178"/>
      <c r="L2378" s="2178"/>
      <c r="M2378" s="2178"/>
      <c r="N2378" s="2178"/>
      <c r="O2378" s="2178"/>
      <c r="P2378" s="2178"/>
      <c r="Q2378" s="2178"/>
      <c r="R2378" s="2178"/>
      <c r="S2378" s="2178"/>
      <c r="T2378" s="2178"/>
      <c r="U2378" s="2178"/>
      <c r="V2378" s="2178"/>
      <c r="W2378" s="2178"/>
      <c r="X2378" s="2178"/>
      <c r="Y2378" s="2178"/>
      <c r="Z2378" s="2178"/>
      <c r="AA2378" s="2178"/>
      <c r="AB2378" s="2178"/>
      <c r="AC2378" s="2178"/>
      <c r="AD2378" s="2178"/>
      <c r="AE2378" s="2178"/>
      <c r="AF2378" s="2178"/>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2178"/>
      <c r="C2528" s="2178"/>
      <c r="D2528" s="2178"/>
      <c r="E2528" s="2178"/>
      <c r="F2528" s="2178"/>
      <c r="G2528" s="2178"/>
      <c r="H2528" s="2178"/>
      <c r="I2528" s="2178"/>
      <c r="J2528" s="2178"/>
      <c r="K2528" s="2178"/>
      <c r="L2528" s="2178"/>
      <c r="M2528" s="2178"/>
      <c r="N2528" s="2178"/>
      <c r="O2528" s="2178"/>
      <c r="P2528" s="2178"/>
      <c r="Q2528" s="2178"/>
      <c r="R2528" s="2178"/>
      <c r="S2528" s="2178"/>
      <c r="T2528" s="2178"/>
      <c r="U2528" s="2178"/>
      <c r="V2528" s="2178"/>
      <c r="W2528" s="2178"/>
      <c r="X2528" s="2178"/>
      <c r="Y2528" s="2178"/>
      <c r="Z2528" s="2178"/>
      <c r="AA2528" s="2178"/>
      <c r="AB2528" s="2178"/>
      <c r="AC2528" s="2178"/>
      <c r="AD2528" s="2178"/>
      <c r="AE2528" s="2178"/>
      <c r="AF2528" s="2178"/>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2178"/>
      <c r="C2678" s="2178"/>
      <c r="D2678" s="2178"/>
      <c r="E2678" s="2178"/>
      <c r="F2678" s="2178"/>
      <c r="G2678" s="2178"/>
      <c r="H2678" s="2178"/>
      <c r="I2678" s="2178"/>
      <c r="J2678" s="2178"/>
      <c r="K2678" s="2178"/>
      <c r="L2678" s="2178"/>
      <c r="M2678" s="2178"/>
      <c r="N2678" s="2178"/>
      <c r="O2678" s="2178"/>
      <c r="P2678" s="2178"/>
      <c r="Q2678" s="2178"/>
      <c r="R2678" s="2178"/>
      <c r="S2678" s="2178"/>
      <c r="T2678" s="2178"/>
      <c r="U2678" s="2178"/>
      <c r="V2678" s="2178"/>
      <c r="W2678" s="2178"/>
      <c r="X2678" s="2178"/>
      <c r="Y2678" s="2178"/>
      <c r="Z2678" s="2178"/>
      <c r="AA2678" s="2178"/>
      <c r="AB2678" s="2178"/>
      <c r="AC2678" s="2178"/>
      <c r="AD2678" s="2178"/>
      <c r="AE2678" s="2178"/>
      <c r="AF2678" s="2178"/>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2178"/>
      <c r="C2828" s="2178"/>
      <c r="D2828" s="2178"/>
      <c r="E2828" s="2178"/>
      <c r="F2828" s="2178"/>
      <c r="G2828" s="2178"/>
      <c r="H2828" s="2178"/>
      <c r="I2828" s="2178"/>
      <c r="J2828" s="2178"/>
      <c r="K2828" s="2178"/>
      <c r="L2828" s="2178"/>
      <c r="M2828" s="2178"/>
      <c r="N2828" s="2178"/>
      <c r="O2828" s="2178"/>
      <c r="P2828" s="2178"/>
      <c r="Q2828" s="2178"/>
      <c r="R2828" s="2178"/>
      <c r="S2828" s="2178"/>
      <c r="T2828" s="2178"/>
      <c r="U2828" s="2178"/>
      <c r="V2828" s="2178"/>
      <c r="W2828" s="2178"/>
      <c r="X2828" s="2178"/>
      <c r="Y2828" s="2178"/>
      <c r="Z2828" s="2178"/>
      <c r="AA2828" s="2178"/>
      <c r="AB2828" s="2178"/>
      <c r="AC2828" s="2178"/>
      <c r="AD2828" s="2178"/>
      <c r="AE2828" s="2178"/>
      <c r="AF2828" s="2178"/>
    </row>
  </sheetData>
  <mergeCells count="24">
    <mergeCell ref="B95:AG95"/>
    <mergeCell ref="B2228:AF2228"/>
    <mergeCell ref="B2378:AF2378"/>
    <mergeCell ref="B2528:AF2528"/>
    <mergeCell ref="B2678:AF2678"/>
    <mergeCell ref="B1778:AF1778"/>
    <mergeCell ref="B1928:AF1928"/>
    <mergeCell ref="B728:AF728"/>
    <mergeCell ref="B156:AF156"/>
    <mergeCell ref="B292:AF292"/>
    <mergeCell ref="B378:AF378"/>
    <mergeCell ref="B560:AF560"/>
    <mergeCell ref="B652:AF652"/>
    <mergeCell ref="B1082:AF1082"/>
    <mergeCell ref="B1179:AF1179"/>
    <mergeCell ref="B1313:AF1313"/>
    <mergeCell ref="B2828:AF2828"/>
    <mergeCell ref="B2078:AF2078"/>
    <mergeCell ref="B819:AF819"/>
    <mergeCell ref="B897:AF897"/>
    <mergeCell ref="B983:AF983"/>
    <mergeCell ref="B1431:AF1431"/>
    <mergeCell ref="B1535:AF1535"/>
    <mergeCell ref="B1628:AF1628"/>
  </mergeCells>
  <pageMargins left="0.75" right="0.75" top="1" bottom="1" header="0.5" footer="0.5"/>
  <pageSetup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3A5A8-15CD-407A-A9D2-2A6EEC81C364}">
  <sheetPr codeName="Sheet35"/>
  <dimension ref="A1:AH2828"/>
  <sheetViews>
    <sheetView workbookViewId="0">
      <pane xSplit="2" ySplit="1" topLeftCell="C17" activePane="bottomRight" state="frozen"/>
      <selection pane="topRight" activeCell="C1" sqref="C1"/>
      <selection pane="bottomLeft" activeCell="A2" sqref="A2"/>
      <selection pane="bottomRight" activeCell="AE25" sqref="AE25:AE26"/>
    </sheetView>
  </sheetViews>
  <sheetFormatPr baseColWidth="10" defaultColWidth="9.33203125" defaultRowHeight="15" customHeight="1"/>
  <cols>
    <col min="1" max="1" width="20.6640625" style="28" hidden="1" customWidth="1"/>
    <col min="2" max="2" width="45.6640625" style="28" customWidth="1"/>
    <col min="3" max="16384" width="9.33203125" style="28"/>
  </cols>
  <sheetData>
    <row r="1" spans="1:33" ht="15" customHeight="1" thickBot="1">
      <c r="B1" s="50" t="s">
        <v>2046</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2047</v>
      </c>
      <c r="D3" s="48" t="s">
        <v>311</v>
      </c>
      <c r="E3" s="47"/>
      <c r="F3" s="47"/>
      <c r="G3" s="47"/>
    </row>
    <row r="4" spans="1:33" ht="15" customHeight="1">
      <c r="C4" s="48" t="s">
        <v>2048</v>
      </c>
      <c r="D4" s="48" t="s">
        <v>2049</v>
      </c>
      <c r="E4" s="47"/>
      <c r="F4" s="47"/>
      <c r="G4" s="48" t="s">
        <v>207</v>
      </c>
    </row>
    <row r="5" spans="1:33" ht="15" customHeight="1">
      <c r="C5" s="48" t="s">
        <v>2050</v>
      </c>
      <c r="D5" s="48" t="s">
        <v>2051</v>
      </c>
      <c r="E5" s="47"/>
      <c r="F5" s="47"/>
      <c r="G5" s="47"/>
    </row>
    <row r="6" spans="1:33" ht="15" customHeight="1">
      <c r="C6" s="48" t="s">
        <v>2052</v>
      </c>
      <c r="D6" s="47"/>
      <c r="E6" s="48" t="s">
        <v>2053</v>
      </c>
      <c r="F6" s="47"/>
      <c r="G6" s="47"/>
    </row>
    <row r="7" spans="1:33" ht="12" customHeight="1"/>
    <row r="8" spans="1:33" ht="12" customHeight="1"/>
    <row r="9" spans="1:33" ht="12" customHeight="1"/>
    <row r="10" spans="1:33" ht="15" customHeight="1">
      <c r="A10" s="34" t="s">
        <v>2884</v>
      </c>
      <c r="B10" s="46" t="s">
        <v>2885</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2058</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2059</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2061</v>
      </c>
      <c r="AG12" s="29"/>
    </row>
    <row r="13" spans="1:33" ht="15" customHeight="1" thickBot="1">
      <c r="B13" s="42" t="s">
        <v>2886</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A15" s="34" t="s">
        <v>2887</v>
      </c>
      <c r="B15" s="33" t="s">
        <v>2695</v>
      </c>
      <c r="C15" s="40">
        <v>939.78387499999997</v>
      </c>
      <c r="D15" s="40">
        <v>954.44519000000003</v>
      </c>
      <c r="E15" s="40">
        <v>964.02374299999997</v>
      </c>
      <c r="F15" s="40">
        <v>972.91009499999996</v>
      </c>
      <c r="G15" s="40">
        <v>985.45941200000004</v>
      </c>
      <c r="H15" s="40">
        <v>999.40277100000003</v>
      </c>
      <c r="I15" s="40">
        <v>1013.4375</v>
      </c>
      <c r="J15" s="40">
        <v>1025.6085210000001</v>
      </c>
      <c r="K15" s="40">
        <v>1037.6695560000001</v>
      </c>
      <c r="L15" s="40">
        <v>1051.089966</v>
      </c>
      <c r="M15" s="40">
        <v>1062.798462</v>
      </c>
      <c r="N15" s="40">
        <v>1072.3557129999999</v>
      </c>
      <c r="O15" s="40">
        <v>1082.509033</v>
      </c>
      <c r="P15" s="40">
        <v>1093.737793</v>
      </c>
      <c r="Q15" s="40">
        <v>1105.5932620000001</v>
      </c>
      <c r="R15" s="40">
        <v>1117.116211</v>
      </c>
      <c r="S15" s="40">
        <v>1128.8039550000001</v>
      </c>
      <c r="T15" s="40">
        <v>1140.907471</v>
      </c>
      <c r="U15" s="40">
        <v>1153.0014650000001</v>
      </c>
      <c r="V15" s="40">
        <v>1164.758057</v>
      </c>
      <c r="W15" s="40">
        <v>1177.14978</v>
      </c>
      <c r="X15" s="40">
        <v>1189.2757570000001</v>
      </c>
      <c r="Y15" s="40">
        <v>1201.2060550000001</v>
      </c>
      <c r="Z15" s="40">
        <v>1213.053711</v>
      </c>
      <c r="AA15" s="40">
        <v>1224.394043</v>
      </c>
      <c r="AB15" s="40">
        <v>1235.898193</v>
      </c>
      <c r="AC15" s="40">
        <v>1247.526245</v>
      </c>
      <c r="AD15" s="40">
        <v>1259.219482</v>
      </c>
      <c r="AE15" s="40">
        <v>1270.886475</v>
      </c>
      <c r="AF15" s="31">
        <v>1.0838E-2</v>
      </c>
      <c r="AG15" s="29"/>
    </row>
    <row r="16" spans="1:33" ht="15" customHeight="1">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B17" s="33" t="s">
        <v>2888</v>
      </c>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row>
    <row r="18" spans="1:33" ht="15" customHeight="1">
      <c r="A18" s="34" t="s">
        <v>2889</v>
      </c>
      <c r="B18" s="37" t="s">
        <v>2770</v>
      </c>
      <c r="C18" s="36">
        <v>0</v>
      </c>
      <c r="D18" s="36">
        <v>0</v>
      </c>
      <c r="E18" s="36">
        <v>0</v>
      </c>
      <c r="F18" s="36">
        <v>0</v>
      </c>
      <c r="G18" s="36">
        <v>0</v>
      </c>
      <c r="H18" s="36">
        <v>0</v>
      </c>
      <c r="I18" s="36">
        <v>0</v>
      </c>
      <c r="J18" s="36">
        <v>0</v>
      </c>
      <c r="K18" s="36">
        <v>0</v>
      </c>
      <c r="L18" s="36">
        <v>0</v>
      </c>
      <c r="M18" s="36">
        <v>0</v>
      </c>
      <c r="N18" s="36">
        <v>0</v>
      </c>
      <c r="O18" s="36">
        <v>0</v>
      </c>
      <c r="P18" s="36">
        <v>0</v>
      </c>
      <c r="Q18" s="36">
        <v>0</v>
      </c>
      <c r="R18" s="36">
        <v>0</v>
      </c>
      <c r="S18" s="36">
        <v>0</v>
      </c>
      <c r="T18" s="36">
        <v>0</v>
      </c>
      <c r="U18" s="36">
        <v>0</v>
      </c>
      <c r="V18" s="36">
        <v>0</v>
      </c>
      <c r="W18" s="36">
        <v>0</v>
      </c>
      <c r="X18" s="36">
        <v>0</v>
      </c>
      <c r="Y18" s="36">
        <v>0</v>
      </c>
      <c r="Z18" s="36">
        <v>0</v>
      </c>
      <c r="AA18" s="36">
        <v>0</v>
      </c>
      <c r="AB18" s="36">
        <v>0</v>
      </c>
      <c r="AC18" s="36">
        <v>0</v>
      </c>
      <c r="AD18" s="36">
        <v>0</v>
      </c>
      <c r="AE18" s="36">
        <v>0</v>
      </c>
      <c r="AF18" s="35" t="s">
        <v>1278</v>
      </c>
      <c r="AG18" s="29"/>
    </row>
    <row r="19" spans="1:33" ht="15" customHeight="1">
      <c r="A19" s="34" t="s">
        <v>2890</v>
      </c>
      <c r="B19" s="37" t="s">
        <v>2772</v>
      </c>
      <c r="C19" s="36">
        <v>2.858336</v>
      </c>
      <c r="D19" s="36">
        <v>3.3307959999999999</v>
      </c>
      <c r="E19" s="36">
        <v>2.978618</v>
      </c>
      <c r="F19" s="36">
        <v>2.961678</v>
      </c>
      <c r="G19" s="36">
        <v>2.9378829999999998</v>
      </c>
      <c r="H19" s="36">
        <v>2.9623089999999999</v>
      </c>
      <c r="I19" s="36">
        <v>3.0087069999999998</v>
      </c>
      <c r="J19" s="36">
        <v>3.0043989999999998</v>
      </c>
      <c r="K19" s="36">
        <v>3.0124070000000001</v>
      </c>
      <c r="L19" s="36">
        <v>3.007466</v>
      </c>
      <c r="M19" s="36">
        <v>3.0034839999999998</v>
      </c>
      <c r="N19" s="36">
        <v>3.0098560000000001</v>
      </c>
      <c r="O19" s="36">
        <v>3.0331589999999999</v>
      </c>
      <c r="P19" s="36">
        <v>3.0567839999999999</v>
      </c>
      <c r="Q19" s="36">
        <v>3.0843509999999998</v>
      </c>
      <c r="R19" s="36">
        <v>3.106087</v>
      </c>
      <c r="S19" s="36">
        <v>3.1402070000000002</v>
      </c>
      <c r="T19" s="36">
        <v>3.1700170000000001</v>
      </c>
      <c r="U19" s="36">
        <v>3.200885</v>
      </c>
      <c r="V19" s="36">
        <v>3.2214969999999998</v>
      </c>
      <c r="W19" s="36">
        <v>3.255925</v>
      </c>
      <c r="X19" s="36">
        <v>3.2789450000000002</v>
      </c>
      <c r="Y19" s="36">
        <v>3.315871</v>
      </c>
      <c r="Z19" s="36">
        <v>3.3492109999999999</v>
      </c>
      <c r="AA19" s="36">
        <v>3.3689499999999999</v>
      </c>
      <c r="AB19" s="36">
        <v>3.3984220000000001</v>
      </c>
      <c r="AC19" s="36">
        <v>3.42767</v>
      </c>
      <c r="AD19" s="36">
        <v>3.4517120000000001</v>
      </c>
      <c r="AE19" s="36">
        <v>3.4731320000000001</v>
      </c>
      <c r="AF19" s="35">
        <v>6.9820000000000004E-3</v>
      </c>
      <c r="AG19" s="29"/>
    </row>
    <row r="20" spans="1:33" ht="15" customHeight="1">
      <c r="A20" s="34" t="s">
        <v>2891</v>
      </c>
      <c r="B20" s="37" t="s">
        <v>2892</v>
      </c>
      <c r="C20" s="36">
        <v>0.42099500000000001</v>
      </c>
      <c r="D20" s="36">
        <v>0.58683099999999999</v>
      </c>
      <c r="E20" s="36">
        <v>1.386903</v>
      </c>
      <c r="F20" s="36">
        <v>1.013682</v>
      </c>
      <c r="G20" s="36">
        <v>0.68931299999999995</v>
      </c>
      <c r="H20" s="36">
        <v>0.53263099999999997</v>
      </c>
      <c r="I20" s="36">
        <v>0.451797</v>
      </c>
      <c r="J20" s="36">
        <v>0.45071</v>
      </c>
      <c r="K20" s="36">
        <v>0.45927299999999999</v>
      </c>
      <c r="L20" s="36">
        <v>0.47414000000000001</v>
      </c>
      <c r="M20" s="36">
        <v>0.490865</v>
      </c>
      <c r="N20" s="36">
        <v>0.51405299999999998</v>
      </c>
      <c r="O20" s="36">
        <v>0.53057500000000002</v>
      </c>
      <c r="P20" s="36">
        <v>0.54387099999999999</v>
      </c>
      <c r="Q20" s="36">
        <v>0.54093800000000003</v>
      </c>
      <c r="R20" s="36">
        <v>0.54208500000000004</v>
      </c>
      <c r="S20" s="36">
        <v>0.557396</v>
      </c>
      <c r="T20" s="36">
        <v>0.54198599999999997</v>
      </c>
      <c r="U20" s="36">
        <v>0.559091</v>
      </c>
      <c r="V20" s="36">
        <v>0.565828</v>
      </c>
      <c r="W20" s="36">
        <v>0.56412700000000005</v>
      </c>
      <c r="X20" s="36">
        <v>0.550342</v>
      </c>
      <c r="Y20" s="36">
        <v>0.54405300000000001</v>
      </c>
      <c r="Z20" s="36">
        <v>0.54005199999999998</v>
      </c>
      <c r="AA20" s="36">
        <v>0.53115800000000002</v>
      </c>
      <c r="AB20" s="36">
        <v>0.52435200000000004</v>
      </c>
      <c r="AC20" s="36">
        <v>0.51600699999999999</v>
      </c>
      <c r="AD20" s="36">
        <v>0.50455399999999995</v>
      </c>
      <c r="AE20" s="36">
        <v>0.49973299999999998</v>
      </c>
      <c r="AF20" s="35">
        <v>6.1419999999999999E-3</v>
      </c>
      <c r="AG20" s="29"/>
    </row>
    <row r="21" spans="1:33" ht="15" customHeight="1">
      <c r="A21" s="34" t="s">
        <v>2893</v>
      </c>
      <c r="B21" s="37" t="s">
        <v>2894</v>
      </c>
      <c r="C21" s="36">
        <v>0</v>
      </c>
      <c r="D21" s="36">
        <v>0</v>
      </c>
      <c r="E21" s="36">
        <v>0</v>
      </c>
      <c r="F21" s="36">
        <v>0</v>
      </c>
      <c r="G21" s="36">
        <v>0</v>
      </c>
      <c r="H21" s="36">
        <v>0</v>
      </c>
      <c r="I21" s="36">
        <v>0</v>
      </c>
      <c r="J21" s="36">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6">
        <v>0</v>
      </c>
      <c r="AC21" s="36">
        <v>0</v>
      </c>
      <c r="AD21" s="36">
        <v>0</v>
      </c>
      <c r="AE21" s="36">
        <v>0</v>
      </c>
      <c r="AF21" s="35" t="s">
        <v>1278</v>
      </c>
      <c r="AG21" s="29"/>
    </row>
    <row r="22" spans="1:33" ht="15" customHeight="1">
      <c r="A22" s="34" t="s">
        <v>2895</v>
      </c>
      <c r="B22" s="37" t="s">
        <v>2782</v>
      </c>
      <c r="C22" s="36">
        <v>3.279331</v>
      </c>
      <c r="D22" s="36">
        <v>3.917627</v>
      </c>
      <c r="E22" s="36">
        <v>4.3655200000000001</v>
      </c>
      <c r="F22" s="36">
        <v>3.9753599999999998</v>
      </c>
      <c r="G22" s="36">
        <v>3.6271960000000001</v>
      </c>
      <c r="H22" s="36">
        <v>3.4949400000000002</v>
      </c>
      <c r="I22" s="36">
        <v>3.4605039999999998</v>
      </c>
      <c r="J22" s="36">
        <v>3.4551080000000001</v>
      </c>
      <c r="K22" s="36">
        <v>3.4716800000000001</v>
      </c>
      <c r="L22" s="36">
        <v>3.4816060000000002</v>
      </c>
      <c r="M22" s="36">
        <v>3.4943490000000001</v>
      </c>
      <c r="N22" s="36">
        <v>3.5239090000000002</v>
      </c>
      <c r="O22" s="36">
        <v>3.5637340000000002</v>
      </c>
      <c r="P22" s="36">
        <v>3.600654</v>
      </c>
      <c r="Q22" s="36">
        <v>3.625289</v>
      </c>
      <c r="R22" s="36">
        <v>3.6481729999999999</v>
      </c>
      <c r="S22" s="36">
        <v>3.697603</v>
      </c>
      <c r="T22" s="36">
        <v>3.7120030000000002</v>
      </c>
      <c r="U22" s="36">
        <v>3.759976</v>
      </c>
      <c r="V22" s="36">
        <v>3.7873250000000001</v>
      </c>
      <c r="W22" s="36">
        <v>3.8200530000000001</v>
      </c>
      <c r="X22" s="36">
        <v>3.8292869999999999</v>
      </c>
      <c r="Y22" s="36">
        <v>3.8599239999999999</v>
      </c>
      <c r="Z22" s="36">
        <v>3.8892630000000001</v>
      </c>
      <c r="AA22" s="36">
        <v>3.9001079999999999</v>
      </c>
      <c r="AB22" s="36">
        <v>3.922774</v>
      </c>
      <c r="AC22" s="36">
        <v>3.9436770000000001</v>
      </c>
      <c r="AD22" s="36">
        <v>3.9562659999999998</v>
      </c>
      <c r="AE22" s="36">
        <v>3.9728650000000001</v>
      </c>
      <c r="AF22" s="35">
        <v>6.875E-3</v>
      </c>
      <c r="AG22" s="29"/>
    </row>
    <row r="23" spans="1:33" ht="15" customHeight="1">
      <c r="A23" s="34" t="s">
        <v>2896</v>
      </c>
      <c r="B23" s="37" t="s">
        <v>2784</v>
      </c>
      <c r="C23" s="36">
        <v>649.66754200000003</v>
      </c>
      <c r="D23" s="36">
        <v>647.839111</v>
      </c>
      <c r="E23" s="36">
        <v>656.96215800000004</v>
      </c>
      <c r="F23" s="36">
        <v>660.04003899999998</v>
      </c>
      <c r="G23" s="36">
        <v>665.04174799999998</v>
      </c>
      <c r="H23" s="36">
        <v>667.27002000000005</v>
      </c>
      <c r="I23" s="36">
        <v>662.63159199999996</v>
      </c>
      <c r="J23" s="36">
        <v>656.61084000000005</v>
      </c>
      <c r="K23" s="36">
        <v>650.32995600000004</v>
      </c>
      <c r="L23" s="36">
        <v>644.57342500000004</v>
      </c>
      <c r="M23" s="36">
        <v>638.20324700000003</v>
      </c>
      <c r="N23" s="36">
        <v>631.74163799999997</v>
      </c>
      <c r="O23" s="36">
        <v>626.875854</v>
      </c>
      <c r="P23" s="36">
        <v>623.27368200000001</v>
      </c>
      <c r="Q23" s="36">
        <v>622.05505400000004</v>
      </c>
      <c r="R23" s="36">
        <v>620.49707000000001</v>
      </c>
      <c r="S23" s="36">
        <v>618.54553199999998</v>
      </c>
      <c r="T23" s="36">
        <v>619.504639</v>
      </c>
      <c r="U23" s="36">
        <v>617.93542500000001</v>
      </c>
      <c r="V23" s="36">
        <v>616.91149900000005</v>
      </c>
      <c r="W23" s="36">
        <v>617.88500999999997</v>
      </c>
      <c r="X23" s="36">
        <v>619.61096199999997</v>
      </c>
      <c r="Y23" s="36">
        <v>621.62170400000002</v>
      </c>
      <c r="Z23" s="36">
        <v>623.10931400000004</v>
      </c>
      <c r="AA23" s="36">
        <v>619.879639</v>
      </c>
      <c r="AB23" s="36">
        <v>621.39038100000005</v>
      </c>
      <c r="AC23" s="36">
        <v>623.31347700000003</v>
      </c>
      <c r="AD23" s="36">
        <v>625.67785600000002</v>
      </c>
      <c r="AE23" s="36">
        <v>627.27978499999995</v>
      </c>
      <c r="AF23" s="35">
        <v>-1.2520000000000001E-3</v>
      </c>
      <c r="AG23" s="29"/>
    </row>
    <row r="24" spans="1:33" ht="15" customHeight="1">
      <c r="A24" s="34" t="s">
        <v>2897</v>
      </c>
      <c r="B24" s="37" t="s">
        <v>2898</v>
      </c>
      <c r="C24" s="36">
        <v>128.75161700000001</v>
      </c>
      <c r="D24" s="36">
        <v>120.71828499999999</v>
      </c>
      <c r="E24" s="36">
        <v>122.32036600000001</v>
      </c>
      <c r="F24" s="36">
        <v>123.886696</v>
      </c>
      <c r="G24" s="36">
        <v>125.433914</v>
      </c>
      <c r="H24" s="36">
        <v>126.920937</v>
      </c>
      <c r="I24" s="36">
        <v>128.297256</v>
      </c>
      <c r="J24" s="36">
        <v>129.518158</v>
      </c>
      <c r="K24" s="36">
        <v>130.587311</v>
      </c>
      <c r="L24" s="36">
        <v>131.49572800000001</v>
      </c>
      <c r="M24" s="36">
        <v>132.18806499999999</v>
      </c>
      <c r="N24" s="36">
        <v>132.65519699999999</v>
      </c>
      <c r="O24" s="36">
        <v>132.90858499999999</v>
      </c>
      <c r="P24" s="36">
        <v>132.95799299999999</v>
      </c>
      <c r="Q24" s="36">
        <v>132.911484</v>
      </c>
      <c r="R24" s="36">
        <v>132.864105</v>
      </c>
      <c r="S24" s="36">
        <v>132.816574</v>
      </c>
      <c r="T24" s="36">
        <v>132.77065999999999</v>
      </c>
      <c r="U24" s="36">
        <v>132.72923299999999</v>
      </c>
      <c r="V24" s="36">
        <v>132.68691999999999</v>
      </c>
      <c r="W24" s="36">
        <v>132.653336</v>
      </c>
      <c r="X24" s="36">
        <v>132.62120100000001</v>
      </c>
      <c r="Y24" s="36">
        <v>132.59028599999999</v>
      </c>
      <c r="Z24" s="36">
        <v>132.55748</v>
      </c>
      <c r="AA24" s="36">
        <v>132.52143899999999</v>
      </c>
      <c r="AB24" s="36">
        <v>132.491806</v>
      </c>
      <c r="AC24" s="36">
        <v>132.46487400000001</v>
      </c>
      <c r="AD24" s="36">
        <v>132.43684400000001</v>
      </c>
      <c r="AE24" s="36">
        <v>132.408661</v>
      </c>
      <c r="AF24" s="35">
        <v>1.0009999999999999E-3</v>
      </c>
      <c r="AG24" s="29"/>
    </row>
    <row r="25" spans="1:33" ht="15" customHeight="1">
      <c r="A25" s="34" t="s">
        <v>2899</v>
      </c>
      <c r="B25" s="37" t="s">
        <v>2900</v>
      </c>
      <c r="C25" s="36">
        <v>43.634070999999999</v>
      </c>
      <c r="D25" s="36">
        <v>48.794701000000003</v>
      </c>
      <c r="E25" s="36">
        <v>49.513969000000003</v>
      </c>
      <c r="F25" s="36">
        <v>50.204571000000001</v>
      </c>
      <c r="G25" s="36">
        <v>51.170909999999999</v>
      </c>
      <c r="H25" s="36">
        <v>52.282660999999997</v>
      </c>
      <c r="I25" s="36">
        <v>53.353831999999997</v>
      </c>
      <c r="J25" s="36">
        <v>54.275565999999998</v>
      </c>
      <c r="K25" s="36">
        <v>55.206665000000001</v>
      </c>
      <c r="L25" s="36">
        <v>56.306725</v>
      </c>
      <c r="M25" s="36">
        <v>57.275993</v>
      </c>
      <c r="N25" s="36">
        <v>57.992294000000001</v>
      </c>
      <c r="O25" s="36">
        <v>58.699534999999997</v>
      </c>
      <c r="P25" s="36">
        <v>59.491688000000003</v>
      </c>
      <c r="Q25" s="36">
        <v>60.318905000000001</v>
      </c>
      <c r="R25" s="36">
        <v>61.096545999999996</v>
      </c>
      <c r="S25" s="36">
        <v>61.912235000000003</v>
      </c>
      <c r="T25" s="36">
        <v>62.768298999999999</v>
      </c>
      <c r="U25" s="36">
        <v>63.613627999999999</v>
      </c>
      <c r="V25" s="36">
        <v>64.443436000000005</v>
      </c>
      <c r="W25" s="36">
        <v>65.341453999999999</v>
      </c>
      <c r="X25" s="36">
        <v>66.232108999999994</v>
      </c>
      <c r="Y25" s="36">
        <v>67.122130999999996</v>
      </c>
      <c r="Z25" s="36">
        <v>68.000877000000003</v>
      </c>
      <c r="AA25" s="36">
        <v>68.842888000000002</v>
      </c>
      <c r="AB25" s="36">
        <v>69.720657000000003</v>
      </c>
      <c r="AC25" s="36">
        <v>70.616767999999993</v>
      </c>
      <c r="AD25" s="36">
        <v>71.501579000000007</v>
      </c>
      <c r="AE25" s="36">
        <v>72.382621999999998</v>
      </c>
      <c r="AF25" s="35">
        <v>1.8239999999999999E-2</v>
      </c>
      <c r="AG25" s="29"/>
    </row>
    <row r="26" spans="1:33" ht="15" customHeight="1">
      <c r="A26" s="34" t="s">
        <v>2901</v>
      </c>
      <c r="B26" s="37" t="s">
        <v>2796</v>
      </c>
      <c r="C26" s="36">
        <v>300.32415800000001</v>
      </c>
      <c r="D26" s="36">
        <v>305.58453400000002</v>
      </c>
      <c r="E26" s="36">
        <v>303.31555200000003</v>
      </c>
      <c r="F26" s="36">
        <v>303.50396699999999</v>
      </c>
      <c r="G26" s="36">
        <v>304.72256499999997</v>
      </c>
      <c r="H26" s="36">
        <v>306.86248799999998</v>
      </c>
      <c r="I26" s="36">
        <v>309.20617700000003</v>
      </c>
      <c r="J26" s="36">
        <v>311.447968</v>
      </c>
      <c r="K26" s="36">
        <v>313.470642</v>
      </c>
      <c r="L26" s="36">
        <v>315.85674999999998</v>
      </c>
      <c r="M26" s="36">
        <v>317.73846400000002</v>
      </c>
      <c r="N26" s="36">
        <v>318.69278000000003</v>
      </c>
      <c r="O26" s="36">
        <v>320.66375699999998</v>
      </c>
      <c r="P26" s="36">
        <v>323.33273300000002</v>
      </c>
      <c r="Q26" s="36">
        <v>325.03567500000003</v>
      </c>
      <c r="R26" s="36">
        <v>326.60510299999999</v>
      </c>
      <c r="S26" s="36">
        <v>328.55264299999999</v>
      </c>
      <c r="T26" s="36">
        <v>329.77374300000002</v>
      </c>
      <c r="U26" s="36">
        <v>331.99850500000002</v>
      </c>
      <c r="V26" s="36">
        <v>333.91580199999999</v>
      </c>
      <c r="W26" s="36">
        <v>336.062164</v>
      </c>
      <c r="X26" s="36">
        <v>338.02123999999998</v>
      </c>
      <c r="Y26" s="36">
        <v>339.84072900000001</v>
      </c>
      <c r="Z26" s="36">
        <v>342.33715799999999</v>
      </c>
      <c r="AA26" s="36">
        <v>347.72241200000002</v>
      </c>
      <c r="AB26" s="36">
        <v>349.89544699999999</v>
      </c>
      <c r="AC26" s="36">
        <v>352.04589800000002</v>
      </c>
      <c r="AD26" s="36">
        <v>354.31597900000003</v>
      </c>
      <c r="AE26" s="36">
        <v>356.77142300000003</v>
      </c>
      <c r="AF26" s="35">
        <v>6.1700000000000001E-3</v>
      </c>
      <c r="AG26" s="29"/>
    </row>
    <row r="27" spans="1:33" ht="15" customHeight="1">
      <c r="A27" s="34" t="s">
        <v>2902</v>
      </c>
      <c r="B27" s="33" t="s">
        <v>2798</v>
      </c>
      <c r="C27" s="32">
        <v>1125.6567379999999</v>
      </c>
      <c r="D27" s="32">
        <v>1126.8542480000001</v>
      </c>
      <c r="E27" s="32">
        <v>1136.477539</v>
      </c>
      <c r="F27" s="32">
        <v>1141.610596</v>
      </c>
      <c r="G27" s="32">
        <v>1149.9963379999999</v>
      </c>
      <c r="H27" s="32">
        <v>1156.8310550000001</v>
      </c>
      <c r="I27" s="32">
        <v>1156.949341</v>
      </c>
      <c r="J27" s="32">
        <v>1155.3076169999999</v>
      </c>
      <c r="K27" s="32">
        <v>1153.0661620000001</v>
      </c>
      <c r="L27" s="32">
        <v>1151.7142329999999</v>
      </c>
      <c r="M27" s="32">
        <v>1148.9001459999999</v>
      </c>
      <c r="N27" s="32">
        <v>1144.6058350000001</v>
      </c>
      <c r="O27" s="32">
        <v>1142.7114260000001</v>
      </c>
      <c r="P27" s="32">
        <v>1142.6567379999999</v>
      </c>
      <c r="Q27" s="32">
        <v>1143.9464109999999</v>
      </c>
      <c r="R27" s="32">
        <v>1144.7110600000001</v>
      </c>
      <c r="S27" s="32">
        <v>1145.524658</v>
      </c>
      <c r="T27" s="32">
        <v>1148.529297</v>
      </c>
      <c r="U27" s="32">
        <v>1150.0367429999999</v>
      </c>
      <c r="V27" s="32">
        <v>1151.744995</v>
      </c>
      <c r="W27" s="32">
        <v>1155.7619629999999</v>
      </c>
      <c r="X27" s="32">
        <v>1160.3148189999999</v>
      </c>
      <c r="Y27" s="32">
        <v>1165.0347899999999</v>
      </c>
      <c r="Z27" s="32">
        <v>1169.894043</v>
      </c>
      <c r="AA27" s="32">
        <v>1172.8664550000001</v>
      </c>
      <c r="AB27" s="32">
        <v>1177.421143</v>
      </c>
      <c r="AC27" s="32">
        <v>1182.3847659999999</v>
      </c>
      <c r="AD27" s="32">
        <v>1187.888428</v>
      </c>
      <c r="AE27" s="32">
        <v>1192.815308</v>
      </c>
      <c r="AF27" s="31">
        <v>2.0720000000000001E-3</v>
      </c>
      <c r="AG27" s="29"/>
    </row>
    <row r="28" spans="1:33" ht="15" customHeight="1">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row>
    <row r="29" spans="1:33" ht="15" customHeight="1">
      <c r="B29" s="33" t="s">
        <v>2903</v>
      </c>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row>
    <row r="30" spans="1:33" ht="15" customHeight="1">
      <c r="B30" s="33" t="s">
        <v>2904</v>
      </c>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row>
    <row r="31" spans="1:33" ht="15" customHeight="1">
      <c r="A31" s="34" t="s">
        <v>2905</v>
      </c>
      <c r="B31" s="37" t="s">
        <v>2770</v>
      </c>
      <c r="C31" s="38">
        <v>0</v>
      </c>
      <c r="D31" s="38">
        <v>0</v>
      </c>
      <c r="E31" s="38">
        <v>0</v>
      </c>
      <c r="F31" s="38">
        <v>0</v>
      </c>
      <c r="G31" s="38">
        <v>0</v>
      </c>
      <c r="H31" s="38">
        <v>0</v>
      </c>
      <c r="I31" s="38">
        <v>0</v>
      </c>
      <c r="J31" s="38">
        <v>0</v>
      </c>
      <c r="K31" s="38">
        <v>0</v>
      </c>
      <c r="L31" s="38">
        <v>0</v>
      </c>
      <c r="M31" s="38">
        <v>0</v>
      </c>
      <c r="N31" s="38">
        <v>0</v>
      </c>
      <c r="O31" s="38">
        <v>0</v>
      </c>
      <c r="P31" s="38">
        <v>0</v>
      </c>
      <c r="Q31" s="38">
        <v>0</v>
      </c>
      <c r="R31" s="38">
        <v>0</v>
      </c>
      <c r="S31" s="38">
        <v>0</v>
      </c>
      <c r="T31" s="38">
        <v>0</v>
      </c>
      <c r="U31" s="38">
        <v>0</v>
      </c>
      <c r="V31" s="38">
        <v>0</v>
      </c>
      <c r="W31" s="38">
        <v>0</v>
      </c>
      <c r="X31" s="38">
        <v>0</v>
      </c>
      <c r="Y31" s="38">
        <v>0</v>
      </c>
      <c r="Z31" s="38">
        <v>0</v>
      </c>
      <c r="AA31" s="38">
        <v>0</v>
      </c>
      <c r="AB31" s="38">
        <v>0</v>
      </c>
      <c r="AC31" s="38">
        <v>0</v>
      </c>
      <c r="AD31" s="38">
        <v>0</v>
      </c>
      <c r="AE31" s="38">
        <v>0</v>
      </c>
      <c r="AF31" s="35" t="s">
        <v>1278</v>
      </c>
      <c r="AG31" s="29"/>
    </row>
    <row r="32" spans="1:33" ht="15" customHeight="1">
      <c r="A32" s="34" t="s">
        <v>2906</v>
      </c>
      <c r="B32" s="37" t="s">
        <v>2772</v>
      </c>
      <c r="C32" s="38">
        <v>3.0409999999999999E-3</v>
      </c>
      <c r="D32" s="38">
        <v>3.49E-3</v>
      </c>
      <c r="E32" s="38">
        <v>3.0899999999999999E-3</v>
      </c>
      <c r="F32" s="38">
        <v>3.0439999999999998E-3</v>
      </c>
      <c r="G32" s="38">
        <v>2.9810000000000001E-3</v>
      </c>
      <c r="H32" s="38">
        <v>2.9640000000000001E-3</v>
      </c>
      <c r="I32" s="38">
        <v>2.9689999999999999E-3</v>
      </c>
      <c r="J32" s="38">
        <v>2.9290000000000002E-3</v>
      </c>
      <c r="K32" s="38">
        <v>2.9030000000000002E-3</v>
      </c>
      <c r="L32" s="38">
        <v>2.8609999999999998E-3</v>
      </c>
      <c r="M32" s="38">
        <v>2.826E-3</v>
      </c>
      <c r="N32" s="38">
        <v>2.807E-3</v>
      </c>
      <c r="O32" s="38">
        <v>2.8019999999999998E-3</v>
      </c>
      <c r="P32" s="38">
        <v>2.7950000000000002E-3</v>
      </c>
      <c r="Q32" s="38">
        <v>2.7899999999999999E-3</v>
      </c>
      <c r="R32" s="38">
        <v>2.7799999999999999E-3</v>
      </c>
      <c r="S32" s="38">
        <v>2.7820000000000002E-3</v>
      </c>
      <c r="T32" s="38">
        <v>2.7789999999999998E-3</v>
      </c>
      <c r="U32" s="38">
        <v>2.7759999999999998E-3</v>
      </c>
      <c r="V32" s="38">
        <v>2.7659999999999998E-3</v>
      </c>
      <c r="W32" s="38">
        <v>2.7659999999999998E-3</v>
      </c>
      <c r="X32" s="38">
        <v>2.7569999999999999E-3</v>
      </c>
      <c r="Y32" s="38">
        <v>2.7599999999999999E-3</v>
      </c>
      <c r="Z32" s="38">
        <v>2.761E-3</v>
      </c>
      <c r="AA32" s="38">
        <v>2.7520000000000001E-3</v>
      </c>
      <c r="AB32" s="38">
        <v>2.7499999999999998E-3</v>
      </c>
      <c r="AC32" s="38">
        <v>2.748E-3</v>
      </c>
      <c r="AD32" s="38">
        <v>2.7409999999999999E-3</v>
      </c>
      <c r="AE32" s="38">
        <v>2.7330000000000002E-3</v>
      </c>
      <c r="AF32" s="35">
        <v>-3.8140000000000001E-3</v>
      </c>
      <c r="AG32" s="29"/>
    </row>
    <row r="33" spans="1:33" ht="15" customHeight="1">
      <c r="A33" s="34" t="s">
        <v>2907</v>
      </c>
      <c r="B33" s="37" t="s">
        <v>2892</v>
      </c>
      <c r="C33" s="38">
        <v>4.4799999999999999E-4</v>
      </c>
      <c r="D33" s="38">
        <v>6.1499999999999999E-4</v>
      </c>
      <c r="E33" s="38">
        <v>1.439E-3</v>
      </c>
      <c r="F33" s="38">
        <v>1.042E-3</v>
      </c>
      <c r="G33" s="38">
        <v>6.9899999999999997E-4</v>
      </c>
      <c r="H33" s="38">
        <v>5.3300000000000005E-4</v>
      </c>
      <c r="I33" s="38">
        <v>4.46E-4</v>
      </c>
      <c r="J33" s="38">
        <v>4.3899999999999999E-4</v>
      </c>
      <c r="K33" s="38">
        <v>4.4299999999999998E-4</v>
      </c>
      <c r="L33" s="38">
        <v>4.5100000000000001E-4</v>
      </c>
      <c r="M33" s="38">
        <v>4.6200000000000001E-4</v>
      </c>
      <c r="N33" s="38">
        <v>4.7899999999999999E-4</v>
      </c>
      <c r="O33" s="38">
        <v>4.8999999999999998E-4</v>
      </c>
      <c r="P33" s="38">
        <v>4.9700000000000005E-4</v>
      </c>
      <c r="Q33" s="38">
        <v>4.8899999999999996E-4</v>
      </c>
      <c r="R33" s="38">
        <v>4.8500000000000003E-4</v>
      </c>
      <c r="S33" s="38">
        <v>4.9399999999999997E-4</v>
      </c>
      <c r="T33" s="38">
        <v>4.75E-4</v>
      </c>
      <c r="U33" s="38">
        <v>4.8500000000000003E-4</v>
      </c>
      <c r="V33" s="38">
        <v>4.86E-4</v>
      </c>
      <c r="W33" s="38">
        <v>4.7899999999999999E-4</v>
      </c>
      <c r="X33" s="38">
        <v>4.6299999999999998E-4</v>
      </c>
      <c r="Y33" s="38">
        <v>4.5300000000000001E-4</v>
      </c>
      <c r="Z33" s="38">
        <v>4.4499999999999997E-4</v>
      </c>
      <c r="AA33" s="38">
        <v>4.3399999999999998E-4</v>
      </c>
      <c r="AB33" s="38">
        <v>4.2400000000000001E-4</v>
      </c>
      <c r="AC33" s="38">
        <v>4.1399999999999998E-4</v>
      </c>
      <c r="AD33" s="38">
        <v>4.0099999999999999E-4</v>
      </c>
      <c r="AE33" s="38">
        <v>3.9300000000000001E-4</v>
      </c>
      <c r="AF33" s="35">
        <v>-4.6449999999999998E-3</v>
      </c>
      <c r="AG33" s="29"/>
    </row>
    <row r="34" spans="1:33" ht="12" customHeight="1">
      <c r="A34" s="34" t="s">
        <v>2908</v>
      </c>
      <c r="B34" s="37" t="s">
        <v>2894</v>
      </c>
      <c r="C34" s="38">
        <v>0</v>
      </c>
      <c r="D34" s="38">
        <v>0</v>
      </c>
      <c r="E34" s="38">
        <v>0</v>
      </c>
      <c r="F34" s="38">
        <v>0</v>
      </c>
      <c r="G34" s="38">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5" t="s">
        <v>1278</v>
      </c>
      <c r="AG34" s="29"/>
    </row>
    <row r="35" spans="1:33" ht="12" customHeight="1">
      <c r="A35" s="34" t="s">
        <v>2909</v>
      </c>
      <c r="B35" s="37" t="s">
        <v>2782</v>
      </c>
      <c r="C35" s="38">
        <v>3.4889999999999999E-3</v>
      </c>
      <c r="D35" s="38">
        <v>4.1050000000000001E-3</v>
      </c>
      <c r="E35" s="38">
        <v>4.5279999999999999E-3</v>
      </c>
      <c r="F35" s="38">
        <v>4.0860000000000002E-3</v>
      </c>
      <c r="G35" s="38">
        <v>3.6809999999999998E-3</v>
      </c>
      <c r="H35" s="38">
        <v>3.4970000000000001E-3</v>
      </c>
      <c r="I35" s="38">
        <v>3.4150000000000001E-3</v>
      </c>
      <c r="J35" s="38">
        <v>3.369E-3</v>
      </c>
      <c r="K35" s="38">
        <v>3.346E-3</v>
      </c>
      <c r="L35" s="38">
        <v>3.3119999999999998E-3</v>
      </c>
      <c r="M35" s="38">
        <v>3.2880000000000001E-3</v>
      </c>
      <c r="N35" s="38">
        <v>3.2859999999999999E-3</v>
      </c>
      <c r="O35" s="38">
        <v>3.2919999999999998E-3</v>
      </c>
      <c r="P35" s="38">
        <v>3.2919999999999998E-3</v>
      </c>
      <c r="Q35" s="38">
        <v>3.2789999999999998E-3</v>
      </c>
      <c r="R35" s="38">
        <v>3.2659999999999998E-3</v>
      </c>
      <c r="S35" s="38">
        <v>3.2759999999999998E-3</v>
      </c>
      <c r="T35" s="38">
        <v>3.2539999999999999E-3</v>
      </c>
      <c r="U35" s="38">
        <v>3.261E-3</v>
      </c>
      <c r="V35" s="38">
        <v>3.2520000000000001E-3</v>
      </c>
      <c r="W35" s="38">
        <v>3.2450000000000001E-3</v>
      </c>
      <c r="X35" s="38">
        <v>3.2200000000000002E-3</v>
      </c>
      <c r="Y35" s="38">
        <v>3.2130000000000001E-3</v>
      </c>
      <c r="Z35" s="38">
        <v>3.2060000000000001E-3</v>
      </c>
      <c r="AA35" s="38">
        <v>3.1849999999999999E-3</v>
      </c>
      <c r="AB35" s="38">
        <v>3.1740000000000002E-3</v>
      </c>
      <c r="AC35" s="38">
        <v>3.1610000000000002E-3</v>
      </c>
      <c r="AD35" s="38">
        <v>3.1419999999999998E-3</v>
      </c>
      <c r="AE35" s="38">
        <v>3.1259999999999999E-3</v>
      </c>
      <c r="AF35" s="35">
        <v>-3.9199999999999999E-3</v>
      </c>
      <c r="AG35" s="29"/>
    </row>
    <row r="36" spans="1:33" ht="12" customHeight="1">
      <c r="A36" s="34" t="s">
        <v>2910</v>
      </c>
      <c r="B36" s="37" t="s">
        <v>2784</v>
      </c>
      <c r="C36" s="38">
        <v>0.69129499999999999</v>
      </c>
      <c r="D36" s="38">
        <v>0.67876000000000003</v>
      </c>
      <c r="E36" s="38">
        <v>0.68147899999999995</v>
      </c>
      <c r="F36" s="38">
        <v>0.67841799999999997</v>
      </c>
      <c r="G36" s="38">
        <v>0.67485499999999998</v>
      </c>
      <c r="H36" s="38">
        <v>0.66766899999999996</v>
      </c>
      <c r="I36" s="38">
        <v>0.65384600000000004</v>
      </c>
      <c r="J36" s="38">
        <v>0.64021600000000001</v>
      </c>
      <c r="K36" s="38">
        <v>0.626722</v>
      </c>
      <c r="L36" s="38">
        <v>0.61324299999999998</v>
      </c>
      <c r="M36" s="38">
        <v>0.60049300000000005</v>
      </c>
      <c r="N36" s="38">
        <v>0.58911599999999997</v>
      </c>
      <c r="O36" s="38">
        <v>0.57909500000000003</v>
      </c>
      <c r="P36" s="38">
        <v>0.56985699999999995</v>
      </c>
      <c r="Q36" s="38">
        <v>0.56264400000000003</v>
      </c>
      <c r="R36" s="38">
        <v>0.55544499999999997</v>
      </c>
      <c r="S36" s="38">
        <v>0.54796500000000004</v>
      </c>
      <c r="T36" s="38">
        <v>0.54299299999999995</v>
      </c>
      <c r="U36" s="38">
        <v>0.53593599999999997</v>
      </c>
      <c r="V36" s="38">
        <v>0.52964800000000001</v>
      </c>
      <c r="W36" s="38">
        <v>0.524899</v>
      </c>
      <c r="X36" s="38">
        <v>0.52099899999999999</v>
      </c>
      <c r="Y36" s="38">
        <v>0.51749800000000001</v>
      </c>
      <c r="Z36" s="38">
        <v>0.51366999999999996</v>
      </c>
      <c r="AA36" s="38">
        <v>0.50627500000000003</v>
      </c>
      <c r="AB36" s="38">
        <v>0.50278400000000001</v>
      </c>
      <c r="AC36" s="38">
        <v>0.49963999999999997</v>
      </c>
      <c r="AD36" s="38">
        <v>0.49687799999999999</v>
      </c>
      <c r="AE36" s="38">
        <v>0.49357699999999999</v>
      </c>
      <c r="AF36" s="35">
        <v>-1.196E-2</v>
      </c>
      <c r="AG36" s="29"/>
    </row>
    <row r="37" spans="1:33" ht="12" customHeight="1">
      <c r="A37" s="34" t="s">
        <v>2911</v>
      </c>
      <c r="B37" s="37" t="s">
        <v>2898</v>
      </c>
      <c r="C37" s="38">
        <v>0.13700100000000001</v>
      </c>
      <c r="D37" s="38">
        <v>0.12648000000000001</v>
      </c>
      <c r="E37" s="38">
        <v>0.126885</v>
      </c>
      <c r="F37" s="38">
        <v>0.127336</v>
      </c>
      <c r="G37" s="38">
        <v>0.12728500000000001</v>
      </c>
      <c r="H37" s="38">
        <v>0.126997</v>
      </c>
      <c r="I37" s="38">
        <v>0.12659599999999999</v>
      </c>
      <c r="J37" s="38">
        <v>0.12628400000000001</v>
      </c>
      <c r="K37" s="38">
        <v>0.12584699999999999</v>
      </c>
      <c r="L37" s="38">
        <v>0.12510399999999999</v>
      </c>
      <c r="M37" s="38">
        <v>0.124377</v>
      </c>
      <c r="N37" s="38">
        <v>0.12370399999999999</v>
      </c>
      <c r="O37" s="38">
        <v>0.122778</v>
      </c>
      <c r="P37" s="38">
        <v>0.121563</v>
      </c>
      <c r="Q37" s="38">
        <v>0.120217</v>
      </c>
      <c r="R37" s="38">
        <v>0.118935</v>
      </c>
      <c r="S37" s="38">
        <v>0.117661</v>
      </c>
      <c r="T37" s="38">
        <v>0.116373</v>
      </c>
      <c r="U37" s="38">
        <v>0.115116</v>
      </c>
      <c r="V37" s="38">
        <v>0.11391800000000001</v>
      </c>
      <c r="W37" s="38">
        <v>0.11269</v>
      </c>
      <c r="X37" s="38">
        <v>0.111514</v>
      </c>
      <c r="Y37" s="38">
        <v>0.11038100000000001</v>
      </c>
      <c r="Z37" s="38">
        <v>0.109276</v>
      </c>
      <c r="AA37" s="38">
        <v>0.108234</v>
      </c>
      <c r="AB37" s="38">
        <v>0.10720300000000001</v>
      </c>
      <c r="AC37" s="38">
        <v>0.106182</v>
      </c>
      <c r="AD37" s="38">
        <v>0.105174</v>
      </c>
      <c r="AE37" s="38">
        <v>0.104186</v>
      </c>
      <c r="AF37" s="35">
        <v>-9.7310000000000001E-3</v>
      </c>
      <c r="AG37" s="29"/>
    </row>
    <row r="38" spans="1:33" ht="12" customHeight="1">
      <c r="A38" s="34" t="s">
        <v>2912</v>
      </c>
      <c r="B38" s="37" t="s">
        <v>2900</v>
      </c>
      <c r="C38" s="38">
        <v>4.6429999999999999E-2</v>
      </c>
      <c r="D38" s="38">
        <v>5.1124000000000003E-2</v>
      </c>
      <c r="E38" s="38">
        <v>5.1361999999999998E-2</v>
      </c>
      <c r="F38" s="38">
        <v>5.1602000000000002E-2</v>
      </c>
      <c r="G38" s="38">
        <v>5.1926E-2</v>
      </c>
      <c r="H38" s="38">
        <v>5.2313999999999999E-2</v>
      </c>
      <c r="I38" s="38">
        <v>5.2645999999999998E-2</v>
      </c>
      <c r="J38" s="38">
        <v>5.2920000000000002E-2</v>
      </c>
      <c r="K38" s="38">
        <v>5.3203E-2</v>
      </c>
      <c r="L38" s="38">
        <v>5.357E-2</v>
      </c>
      <c r="M38" s="38">
        <v>5.3892000000000002E-2</v>
      </c>
      <c r="N38" s="38">
        <v>5.4079000000000002E-2</v>
      </c>
      <c r="O38" s="38">
        <v>5.4225000000000002E-2</v>
      </c>
      <c r="P38" s="38">
        <v>5.4392999999999997E-2</v>
      </c>
      <c r="Q38" s="38">
        <v>5.4558000000000002E-2</v>
      </c>
      <c r="R38" s="38">
        <v>5.4690999999999997E-2</v>
      </c>
      <c r="S38" s="38">
        <v>5.4848000000000001E-2</v>
      </c>
      <c r="T38" s="38">
        <v>5.5016000000000002E-2</v>
      </c>
      <c r="U38" s="38">
        <v>5.5171999999999999E-2</v>
      </c>
      <c r="V38" s="38">
        <v>5.5328000000000002E-2</v>
      </c>
      <c r="W38" s="38">
        <v>5.5508000000000002E-2</v>
      </c>
      <c r="X38" s="38">
        <v>5.5690999999999997E-2</v>
      </c>
      <c r="Y38" s="38">
        <v>5.5878999999999998E-2</v>
      </c>
      <c r="Z38" s="38">
        <v>5.6057999999999997E-2</v>
      </c>
      <c r="AA38" s="38">
        <v>5.6225999999999998E-2</v>
      </c>
      <c r="AB38" s="38">
        <v>5.6412999999999998E-2</v>
      </c>
      <c r="AC38" s="38">
        <v>5.6605000000000003E-2</v>
      </c>
      <c r="AD38" s="38">
        <v>5.6781999999999999E-2</v>
      </c>
      <c r="AE38" s="38">
        <v>5.6953999999999998E-2</v>
      </c>
      <c r="AF38" s="35">
        <v>7.3229999999999996E-3</v>
      </c>
      <c r="AG38" s="29"/>
    </row>
    <row r="39" spans="1:33" ht="12" customHeight="1">
      <c r="A39" s="34" t="s">
        <v>2913</v>
      </c>
      <c r="B39" s="37" t="s">
        <v>2796</v>
      </c>
      <c r="C39" s="38">
        <v>0.31956699999999999</v>
      </c>
      <c r="D39" s="38">
        <v>0.32017000000000001</v>
      </c>
      <c r="E39" s="38">
        <v>0.314635</v>
      </c>
      <c r="F39" s="38">
        <v>0.31195499999999998</v>
      </c>
      <c r="G39" s="38">
        <v>0.30921900000000002</v>
      </c>
      <c r="H39" s="38">
        <v>0.30704599999999999</v>
      </c>
      <c r="I39" s="38">
        <v>0.30510599999999999</v>
      </c>
      <c r="J39" s="38">
        <v>0.30367100000000002</v>
      </c>
      <c r="K39" s="38">
        <v>0.302091</v>
      </c>
      <c r="L39" s="38">
        <v>0.30050399999999999</v>
      </c>
      <c r="M39" s="38">
        <v>0.29896400000000001</v>
      </c>
      <c r="N39" s="38">
        <v>0.29718899999999998</v>
      </c>
      <c r="O39" s="38">
        <v>0.29622300000000001</v>
      </c>
      <c r="P39" s="38">
        <v>0.295622</v>
      </c>
      <c r="Q39" s="38">
        <v>0.29399199999999998</v>
      </c>
      <c r="R39" s="38">
        <v>0.29236400000000001</v>
      </c>
      <c r="S39" s="38">
        <v>0.29106300000000002</v>
      </c>
      <c r="T39" s="38">
        <v>0.289045</v>
      </c>
      <c r="U39" s="38">
        <v>0.287943</v>
      </c>
      <c r="V39" s="38">
        <v>0.28668300000000002</v>
      </c>
      <c r="W39" s="38">
        <v>0.28548800000000002</v>
      </c>
      <c r="X39" s="38">
        <v>0.28422399999999998</v>
      </c>
      <c r="Y39" s="38">
        <v>0.282916</v>
      </c>
      <c r="Z39" s="38">
        <v>0.28221099999999999</v>
      </c>
      <c r="AA39" s="38">
        <v>0.28399600000000003</v>
      </c>
      <c r="AB39" s="38">
        <v>0.28310999999999997</v>
      </c>
      <c r="AC39" s="38">
        <v>0.28219499999999997</v>
      </c>
      <c r="AD39" s="38">
        <v>0.28137699999999999</v>
      </c>
      <c r="AE39" s="38">
        <v>0.28072599999999998</v>
      </c>
      <c r="AF39" s="35">
        <v>-4.6169999999999996E-3</v>
      </c>
      <c r="AG39" s="29"/>
    </row>
    <row r="40" spans="1:33" ht="12" customHeight="1">
      <c r="A40" s="34" t="s">
        <v>2914</v>
      </c>
      <c r="B40" s="33" t="s">
        <v>2798</v>
      </c>
      <c r="C40" s="39">
        <v>1.197783</v>
      </c>
      <c r="D40" s="39">
        <v>1.1806380000000001</v>
      </c>
      <c r="E40" s="39">
        <v>1.17889</v>
      </c>
      <c r="F40" s="39">
        <v>1.1733979999999999</v>
      </c>
      <c r="G40" s="39">
        <v>1.166965</v>
      </c>
      <c r="H40" s="39">
        <v>1.1575219999999999</v>
      </c>
      <c r="I40" s="39">
        <v>1.1416090000000001</v>
      </c>
      <c r="J40" s="39">
        <v>1.1264609999999999</v>
      </c>
      <c r="K40" s="39">
        <v>1.1112070000000001</v>
      </c>
      <c r="L40" s="39">
        <v>1.0957330000000001</v>
      </c>
      <c r="M40" s="39">
        <v>1.0810139999999999</v>
      </c>
      <c r="N40" s="39">
        <v>1.067375</v>
      </c>
      <c r="O40" s="39">
        <v>1.0556140000000001</v>
      </c>
      <c r="P40" s="39">
        <v>1.044726</v>
      </c>
      <c r="Q40" s="39">
        <v>1.0346900000000001</v>
      </c>
      <c r="R40" s="39">
        <v>1.024702</v>
      </c>
      <c r="S40" s="39">
        <v>1.014813</v>
      </c>
      <c r="T40" s="39">
        <v>1.0066809999999999</v>
      </c>
      <c r="U40" s="39">
        <v>0.99742900000000001</v>
      </c>
      <c r="V40" s="39">
        <v>0.98882800000000004</v>
      </c>
      <c r="W40" s="39">
        <v>0.98183100000000001</v>
      </c>
      <c r="X40" s="39">
        <v>0.97564799999999996</v>
      </c>
      <c r="Y40" s="39">
        <v>0.96988700000000005</v>
      </c>
      <c r="Z40" s="39">
        <v>0.96442099999999997</v>
      </c>
      <c r="AA40" s="39">
        <v>0.95791599999999999</v>
      </c>
      <c r="AB40" s="39">
        <v>0.95268399999999998</v>
      </c>
      <c r="AC40" s="39">
        <v>0.94778300000000004</v>
      </c>
      <c r="AD40" s="39">
        <v>0.943353</v>
      </c>
      <c r="AE40" s="39">
        <v>0.93857000000000002</v>
      </c>
      <c r="AF40" s="31">
        <v>-8.6719999999999992E-3</v>
      </c>
      <c r="AG40" s="29"/>
    </row>
    <row r="41" spans="1:33" ht="12" customHeight="1">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row>
    <row r="42" spans="1:33" ht="12" customHeight="1">
      <c r="B42" s="33" t="s">
        <v>2915</v>
      </c>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row>
    <row r="43" spans="1:33" ht="12" customHeight="1">
      <c r="A43" s="34" t="s">
        <v>2916</v>
      </c>
      <c r="B43" s="33" t="s">
        <v>2801</v>
      </c>
      <c r="C43" s="40">
        <v>82.079857000000004</v>
      </c>
      <c r="D43" s="40">
        <v>79.694130000000001</v>
      </c>
      <c r="E43" s="40">
        <v>79.627921999999998</v>
      </c>
      <c r="F43" s="40">
        <v>77.475448999999998</v>
      </c>
      <c r="G43" s="40">
        <v>74.478424000000004</v>
      </c>
      <c r="H43" s="40">
        <v>71.671111999999994</v>
      </c>
      <c r="I43" s="40">
        <v>68.795708000000005</v>
      </c>
      <c r="J43" s="40">
        <v>66.599258000000006</v>
      </c>
      <c r="K43" s="40">
        <v>64.883385000000004</v>
      </c>
      <c r="L43" s="40">
        <v>64.122603999999995</v>
      </c>
      <c r="M43" s="40">
        <v>63.495071000000003</v>
      </c>
      <c r="N43" s="40">
        <v>63.231822999999999</v>
      </c>
      <c r="O43" s="40">
        <v>62.714419999999997</v>
      </c>
      <c r="P43" s="40">
        <v>62.521931000000002</v>
      </c>
      <c r="Q43" s="40">
        <v>62.439281000000001</v>
      </c>
      <c r="R43" s="40">
        <v>62.220745000000001</v>
      </c>
      <c r="S43" s="40">
        <v>61.896693999999997</v>
      </c>
      <c r="T43" s="40">
        <v>61.820819999999998</v>
      </c>
      <c r="U43" s="40">
        <v>61.759295999999999</v>
      </c>
      <c r="V43" s="40">
        <v>61.841835000000003</v>
      </c>
      <c r="W43" s="40">
        <v>62.000670999999997</v>
      </c>
      <c r="X43" s="40">
        <v>62.018687999999997</v>
      </c>
      <c r="Y43" s="40">
        <v>61.912768999999997</v>
      </c>
      <c r="Z43" s="40">
        <v>61.807495000000003</v>
      </c>
      <c r="AA43" s="40">
        <v>61.467315999999997</v>
      </c>
      <c r="AB43" s="40">
        <v>61.481276999999999</v>
      </c>
      <c r="AC43" s="40">
        <v>61.436397999999997</v>
      </c>
      <c r="AD43" s="40">
        <v>61.487698000000002</v>
      </c>
      <c r="AE43" s="40">
        <v>61.375503999999999</v>
      </c>
      <c r="AF43" s="31">
        <v>-1.0328E-2</v>
      </c>
      <c r="AG43" s="29"/>
    </row>
    <row r="44" spans="1:33" ht="12" customHeight="1">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row>
    <row r="45" spans="1:33" ht="12" customHeight="1">
      <c r="B45" s="33" t="s">
        <v>2917</v>
      </c>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row>
    <row r="46" spans="1:33" ht="12" customHeight="1">
      <c r="B46" s="33" t="s">
        <v>2918</v>
      </c>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row>
    <row r="47" spans="1:33" ht="12" customHeight="1">
      <c r="A47" s="34" t="s">
        <v>2919</v>
      </c>
      <c r="B47" s="37" t="s">
        <v>2551</v>
      </c>
      <c r="C47" s="38">
        <v>0.1027</v>
      </c>
      <c r="D47" s="38">
        <v>0.1027</v>
      </c>
      <c r="E47" s="38">
        <v>0.1027</v>
      </c>
      <c r="F47" s="38">
        <v>0.1027</v>
      </c>
      <c r="G47" s="38">
        <v>0.1027</v>
      </c>
      <c r="H47" s="38">
        <v>0.1027</v>
      </c>
      <c r="I47" s="38">
        <v>0.1027</v>
      </c>
      <c r="J47" s="38">
        <v>0.1027</v>
      </c>
      <c r="K47" s="38">
        <v>0.1027</v>
      </c>
      <c r="L47" s="38">
        <v>0.1027</v>
      </c>
      <c r="M47" s="38">
        <v>0.1027</v>
      </c>
      <c r="N47" s="38">
        <v>0.1027</v>
      </c>
      <c r="O47" s="38">
        <v>0.1027</v>
      </c>
      <c r="P47" s="38">
        <v>0.1027</v>
      </c>
      <c r="Q47" s="38">
        <v>0.1027</v>
      </c>
      <c r="R47" s="38">
        <v>0.1027</v>
      </c>
      <c r="S47" s="38">
        <v>0.1027</v>
      </c>
      <c r="T47" s="38">
        <v>0.1027</v>
      </c>
      <c r="U47" s="38">
        <v>0.1027</v>
      </c>
      <c r="V47" s="38">
        <v>0.1027</v>
      </c>
      <c r="W47" s="38">
        <v>0.1027</v>
      </c>
      <c r="X47" s="38">
        <v>0.1027</v>
      </c>
      <c r="Y47" s="38">
        <v>0.1027</v>
      </c>
      <c r="Z47" s="38">
        <v>0.1027</v>
      </c>
      <c r="AA47" s="38">
        <v>0.1027</v>
      </c>
      <c r="AB47" s="38">
        <v>0.1027</v>
      </c>
      <c r="AC47" s="38">
        <v>0.1027</v>
      </c>
      <c r="AD47" s="38">
        <v>0.1027</v>
      </c>
      <c r="AE47" s="38">
        <v>0.1027</v>
      </c>
      <c r="AF47" s="35">
        <v>0</v>
      </c>
      <c r="AG47" s="29"/>
    </row>
    <row r="48" spans="1:33" ht="12" customHeight="1">
      <c r="A48" s="34" t="s">
        <v>2920</v>
      </c>
      <c r="B48" s="37" t="s">
        <v>2553</v>
      </c>
      <c r="C48" s="38">
        <v>0.73589899999999997</v>
      </c>
      <c r="D48" s="38">
        <v>0.74720399999999998</v>
      </c>
      <c r="E48" s="38">
        <v>0.75439699999999998</v>
      </c>
      <c r="F48" s="38">
        <v>0.75819899999999996</v>
      </c>
      <c r="G48" s="38">
        <v>0.76184600000000002</v>
      </c>
      <c r="H48" s="38">
        <v>0.76540799999999998</v>
      </c>
      <c r="I48" s="38">
        <v>0.76898100000000003</v>
      </c>
      <c r="J48" s="38">
        <v>0.77256999999999998</v>
      </c>
      <c r="K48" s="38">
        <v>0.77624499999999996</v>
      </c>
      <c r="L48" s="38">
        <v>0.78009200000000001</v>
      </c>
      <c r="M48" s="38">
        <v>0.78417300000000001</v>
      </c>
      <c r="N48" s="38">
        <v>0.78866999999999998</v>
      </c>
      <c r="O48" s="38">
        <v>0.79375799999999996</v>
      </c>
      <c r="P48" s="38">
        <v>0.79927099999999995</v>
      </c>
      <c r="Q48" s="38">
        <v>0.80532000000000004</v>
      </c>
      <c r="R48" s="38">
        <v>0.81180099999999999</v>
      </c>
      <c r="S48" s="38">
        <v>0.81875699999999996</v>
      </c>
      <c r="T48" s="38">
        <v>0.82612099999999999</v>
      </c>
      <c r="U48" s="38">
        <v>0.83400700000000005</v>
      </c>
      <c r="V48" s="38">
        <v>0.842395</v>
      </c>
      <c r="W48" s="38">
        <v>0.85120300000000004</v>
      </c>
      <c r="X48" s="38">
        <v>0.86041599999999996</v>
      </c>
      <c r="Y48" s="38">
        <v>0.870008</v>
      </c>
      <c r="Z48" s="38">
        <v>0.87971900000000003</v>
      </c>
      <c r="AA48" s="38">
        <v>0.88735600000000003</v>
      </c>
      <c r="AB48" s="38">
        <v>0.89529099999999995</v>
      </c>
      <c r="AC48" s="38">
        <v>0.90358400000000005</v>
      </c>
      <c r="AD48" s="38">
        <v>0.91225000000000001</v>
      </c>
      <c r="AE48" s="38">
        <v>0.92135400000000001</v>
      </c>
      <c r="AF48" s="35">
        <v>8.0590000000000002E-3</v>
      </c>
      <c r="AG48" s="29"/>
    </row>
    <row r="49" spans="1:34" ht="12" customHeight="1">
      <c r="A49" s="34" t="s">
        <v>2921</v>
      </c>
      <c r="B49" s="37" t="s">
        <v>2500</v>
      </c>
      <c r="C49" s="38">
        <v>0.91930000000000001</v>
      </c>
      <c r="D49" s="38">
        <v>0.91930000000000001</v>
      </c>
      <c r="E49" s="38">
        <v>0.91930000000000001</v>
      </c>
      <c r="F49" s="38">
        <v>0.91930000000000001</v>
      </c>
      <c r="G49" s="38">
        <v>0.91930000000000001</v>
      </c>
      <c r="H49" s="38">
        <v>0.91930000000000001</v>
      </c>
      <c r="I49" s="38">
        <v>0.91930000000000001</v>
      </c>
      <c r="J49" s="38">
        <v>0.91930000000000001</v>
      </c>
      <c r="K49" s="38">
        <v>0.91930000000000001</v>
      </c>
      <c r="L49" s="38">
        <v>0.91930000000000001</v>
      </c>
      <c r="M49" s="38">
        <v>0.91930000000000001</v>
      </c>
      <c r="N49" s="38">
        <v>0.91930000000000001</v>
      </c>
      <c r="O49" s="38">
        <v>0.91930000000000001</v>
      </c>
      <c r="P49" s="38">
        <v>0.91930000000000001</v>
      </c>
      <c r="Q49" s="38">
        <v>0.91930000000000001</v>
      </c>
      <c r="R49" s="38">
        <v>0.91930000000000001</v>
      </c>
      <c r="S49" s="38">
        <v>0.91930000000000001</v>
      </c>
      <c r="T49" s="38">
        <v>0.91930000000000001</v>
      </c>
      <c r="U49" s="38">
        <v>0.91930000000000001</v>
      </c>
      <c r="V49" s="38">
        <v>0.91930000000000001</v>
      </c>
      <c r="W49" s="38">
        <v>0.91930000000000001</v>
      </c>
      <c r="X49" s="38">
        <v>0.91930000000000001</v>
      </c>
      <c r="Y49" s="38">
        <v>0.91930000000000001</v>
      </c>
      <c r="Z49" s="38">
        <v>0.91930000000000001</v>
      </c>
      <c r="AA49" s="38">
        <v>0.91930000000000001</v>
      </c>
      <c r="AB49" s="38">
        <v>0.91930000000000001</v>
      </c>
      <c r="AC49" s="38">
        <v>0.91930000000000001</v>
      </c>
      <c r="AD49" s="38">
        <v>0.91930000000000001</v>
      </c>
      <c r="AE49" s="38">
        <v>0.91930000000000001</v>
      </c>
      <c r="AF49" s="35">
        <v>0</v>
      </c>
      <c r="AG49" s="29"/>
    </row>
    <row r="50" spans="1:34" ht="15" customHeight="1">
      <c r="A50" s="34" t="s">
        <v>2922</v>
      </c>
      <c r="B50" s="37" t="s">
        <v>2923</v>
      </c>
      <c r="C50" s="38">
        <v>6.3600000000000004E-2</v>
      </c>
      <c r="D50" s="38">
        <v>6.59E-2</v>
      </c>
      <c r="E50" s="38">
        <v>6.59E-2</v>
      </c>
      <c r="F50" s="38">
        <v>6.59E-2</v>
      </c>
      <c r="G50" s="38">
        <v>6.59E-2</v>
      </c>
      <c r="H50" s="38">
        <v>6.59E-2</v>
      </c>
      <c r="I50" s="38">
        <v>6.59E-2</v>
      </c>
      <c r="J50" s="38">
        <v>6.59E-2</v>
      </c>
      <c r="K50" s="38">
        <v>6.59E-2</v>
      </c>
      <c r="L50" s="38">
        <v>6.59E-2</v>
      </c>
      <c r="M50" s="38">
        <v>6.59E-2</v>
      </c>
      <c r="N50" s="38">
        <v>6.59E-2</v>
      </c>
      <c r="O50" s="38">
        <v>6.59E-2</v>
      </c>
      <c r="P50" s="38">
        <v>6.59E-2</v>
      </c>
      <c r="Q50" s="38">
        <v>6.59E-2</v>
      </c>
      <c r="R50" s="38">
        <v>6.59E-2</v>
      </c>
      <c r="S50" s="38">
        <v>6.59E-2</v>
      </c>
      <c r="T50" s="38">
        <v>6.59E-2</v>
      </c>
      <c r="U50" s="38">
        <v>6.59E-2</v>
      </c>
      <c r="V50" s="38">
        <v>6.59E-2</v>
      </c>
      <c r="W50" s="38">
        <v>6.59E-2</v>
      </c>
      <c r="X50" s="38">
        <v>6.59E-2</v>
      </c>
      <c r="Y50" s="38">
        <v>6.59E-2</v>
      </c>
      <c r="Z50" s="38">
        <v>6.59E-2</v>
      </c>
      <c r="AA50" s="38">
        <v>6.59E-2</v>
      </c>
      <c r="AB50" s="38">
        <v>6.59E-2</v>
      </c>
      <c r="AC50" s="38">
        <v>6.59E-2</v>
      </c>
      <c r="AD50" s="38">
        <v>6.59E-2</v>
      </c>
      <c r="AE50" s="38">
        <v>6.59E-2</v>
      </c>
      <c r="AF50" s="35">
        <v>1.2700000000000001E-3</v>
      </c>
      <c r="AG50" s="29"/>
    </row>
    <row r="51" spans="1:34" ht="15" customHeight="1">
      <c r="A51" s="34" t="s">
        <v>2924</v>
      </c>
      <c r="B51" s="33" t="s">
        <v>2497</v>
      </c>
      <c r="C51" s="39">
        <v>1.821499</v>
      </c>
      <c r="D51" s="39">
        <v>1.8351040000000001</v>
      </c>
      <c r="E51" s="39">
        <v>1.8422970000000001</v>
      </c>
      <c r="F51" s="39">
        <v>1.8460989999999999</v>
      </c>
      <c r="G51" s="39">
        <v>1.8497459999999999</v>
      </c>
      <c r="H51" s="39">
        <v>1.853308</v>
      </c>
      <c r="I51" s="39">
        <v>1.856881</v>
      </c>
      <c r="J51" s="39">
        <v>1.8604700000000001</v>
      </c>
      <c r="K51" s="39">
        <v>1.8641449999999999</v>
      </c>
      <c r="L51" s="39">
        <v>1.8679920000000001</v>
      </c>
      <c r="M51" s="39">
        <v>1.8720730000000001</v>
      </c>
      <c r="N51" s="39">
        <v>1.8765700000000001</v>
      </c>
      <c r="O51" s="39">
        <v>1.8816580000000001</v>
      </c>
      <c r="P51" s="39">
        <v>1.8871709999999999</v>
      </c>
      <c r="Q51" s="39">
        <v>1.893221</v>
      </c>
      <c r="R51" s="39">
        <v>1.8997010000000001</v>
      </c>
      <c r="S51" s="39">
        <v>1.906657</v>
      </c>
      <c r="T51" s="39">
        <v>1.914021</v>
      </c>
      <c r="U51" s="39">
        <v>1.921907</v>
      </c>
      <c r="V51" s="39">
        <v>1.9302950000000001</v>
      </c>
      <c r="W51" s="39">
        <v>1.939103</v>
      </c>
      <c r="X51" s="39">
        <v>1.9483159999999999</v>
      </c>
      <c r="Y51" s="39">
        <v>1.957908</v>
      </c>
      <c r="Z51" s="39">
        <v>1.967619</v>
      </c>
      <c r="AA51" s="39">
        <v>1.9752559999999999</v>
      </c>
      <c r="AB51" s="39">
        <v>1.9831909999999999</v>
      </c>
      <c r="AC51" s="39">
        <v>1.991484</v>
      </c>
      <c r="AD51" s="39">
        <v>2.0001500000000001</v>
      </c>
      <c r="AE51" s="39">
        <v>2.0092539999999999</v>
      </c>
      <c r="AF51" s="31">
        <v>3.5100000000000001E-3</v>
      </c>
      <c r="AG51" s="29"/>
    </row>
    <row r="52" spans="1:34" ht="15" customHeight="1">
      <c r="B52" s="33" t="s">
        <v>2848</v>
      </c>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row>
    <row r="53" spans="1:34" ht="15" customHeight="1">
      <c r="A53" s="34" t="s">
        <v>2925</v>
      </c>
      <c r="B53" s="37" t="s">
        <v>2551</v>
      </c>
      <c r="C53" s="38">
        <v>7.3100999999999999E-2</v>
      </c>
      <c r="D53" s="38">
        <v>7.3100999999999999E-2</v>
      </c>
      <c r="E53" s="38">
        <v>7.3100999999999999E-2</v>
      </c>
      <c r="F53" s="38">
        <v>7.3100999999999999E-2</v>
      </c>
      <c r="G53" s="38">
        <v>7.3100999999999999E-2</v>
      </c>
      <c r="H53" s="38">
        <v>7.3100999999999999E-2</v>
      </c>
      <c r="I53" s="38">
        <v>7.3100999999999999E-2</v>
      </c>
      <c r="J53" s="38">
        <v>7.3100999999999999E-2</v>
      </c>
      <c r="K53" s="38">
        <v>7.3100999999999999E-2</v>
      </c>
      <c r="L53" s="38">
        <v>7.3100999999999999E-2</v>
      </c>
      <c r="M53" s="38">
        <v>7.3100999999999999E-2</v>
      </c>
      <c r="N53" s="38">
        <v>7.3100999999999999E-2</v>
      </c>
      <c r="O53" s="38">
        <v>7.3100999999999999E-2</v>
      </c>
      <c r="P53" s="38">
        <v>7.3100999999999999E-2</v>
      </c>
      <c r="Q53" s="38">
        <v>7.3100999999999999E-2</v>
      </c>
      <c r="R53" s="38">
        <v>7.3100999999999999E-2</v>
      </c>
      <c r="S53" s="38">
        <v>7.3100999999999999E-2</v>
      </c>
      <c r="T53" s="38">
        <v>7.3100999999999999E-2</v>
      </c>
      <c r="U53" s="38">
        <v>7.3100999999999999E-2</v>
      </c>
      <c r="V53" s="38">
        <v>7.3100999999999999E-2</v>
      </c>
      <c r="W53" s="38">
        <v>7.3100999999999999E-2</v>
      </c>
      <c r="X53" s="38">
        <v>7.3100999999999999E-2</v>
      </c>
      <c r="Y53" s="38">
        <v>7.3100999999999999E-2</v>
      </c>
      <c r="Z53" s="38">
        <v>7.3100999999999999E-2</v>
      </c>
      <c r="AA53" s="38">
        <v>7.3100999999999999E-2</v>
      </c>
      <c r="AB53" s="38">
        <v>7.3100999999999999E-2</v>
      </c>
      <c r="AC53" s="38">
        <v>7.3100999999999999E-2</v>
      </c>
      <c r="AD53" s="38">
        <v>7.3100999999999999E-2</v>
      </c>
      <c r="AE53" s="38">
        <v>7.3100999999999999E-2</v>
      </c>
      <c r="AF53" s="35">
        <v>0</v>
      </c>
      <c r="AG53" s="29"/>
    </row>
    <row r="54" spans="1:34" ht="15" customHeight="1">
      <c r="A54" s="34" t="s">
        <v>2926</v>
      </c>
      <c r="B54" s="37" t="s">
        <v>2553</v>
      </c>
      <c r="C54" s="38">
        <v>2.7652999999999999</v>
      </c>
      <c r="D54" s="38">
        <v>2.8074110000000001</v>
      </c>
      <c r="E54" s="38">
        <v>2.834708</v>
      </c>
      <c r="F54" s="38">
        <v>2.8494030000000001</v>
      </c>
      <c r="G54" s="38">
        <v>2.8635449999999998</v>
      </c>
      <c r="H54" s="38">
        <v>2.877399</v>
      </c>
      <c r="I54" s="38">
        <v>2.8913139999999999</v>
      </c>
      <c r="J54" s="38">
        <v>2.9052899999999999</v>
      </c>
      <c r="K54" s="38">
        <v>2.919594</v>
      </c>
      <c r="L54" s="38">
        <v>2.934561</v>
      </c>
      <c r="M54" s="38">
        <v>2.9504039999999998</v>
      </c>
      <c r="N54" s="38">
        <v>2.9678089999999999</v>
      </c>
      <c r="O54" s="38">
        <v>2.9874350000000001</v>
      </c>
      <c r="P54" s="38">
        <v>3.0086590000000002</v>
      </c>
      <c r="Q54" s="38">
        <v>3.0319150000000001</v>
      </c>
      <c r="R54" s="38">
        <v>3.0568200000000001</v>
      </c>
      <c r="S54" s="38">
        <v>3.0835400000000002</v>
      </c>
      <c r="T54" s="38">
        <v>3.1118239999999999</v>
      </c>
      <c r="U54" s="38">
        <v>3.1420970000000001</v>
      </c>
      <c r="V54" s="38">
        <v>3.1742849999999998</v>
      </c>
      <c r="W54" s="38">
        <v>3.2080839999999999</v>
      </c>
      <c r="X54" s="38">
        <v>3.2434460000000001</v>
      </c>
      <c r="Y54" s="38">
        <v>3.2802690000000001</v>
      </c>
      <c r="Z54" s="38">
        <v>3.3175970000000001</v>
      </c>
      <c r="AA54" s="38">
        <v>3.3473480000000002</v>
      </c>
      <c r="AB54" s="38">
        <v>3.3782809999999999</v>
      </c>
      <c r="AC54" s="38">
        <v>3.410631</v>
      </c>
      <c r="AD54" s="38">
        <v>3.4444569999999999</v>
      </c>
      <c r="AE54" s="38">
        <v>3.4800239999999998</v>
      </c>
      <c r="AF54" s="35">
        <v>8.2439999999999996E-3</v>
      </c>
      <c r="AG54" s="29"/>
    </row>
    <row r="55" spans="1:34" ht="15" customHeight="1">
      <c r="A55" s="34" t="s">
        <v>2927</v>
      </c>
      <c r="B55" s="37" t="s">
        <v>2500</v>
      </c>
      <c r="C55" s="38">
        <v>3.284427</v>
      </c>
      <c r="D55" s="38">
        <v>3.284427</v>
      </c>
      <c r="E55" s="38">
        <v>3.284427</v>
      </c>
      <c r="F55" s="38">
        <v>3.284427</v>
      </c>
      <c r="G55" s="38">
        <v>3.284427</v>
      </c>
      <c r="H55" s="38">
        <v>3.284427</v>
      </c>
      <c r="I55" s="38">
        <v>3.284427</v>
      </c>
      <c r="J55" s="38">
        <v>3.284427</v>
      </c>
      <c r="K55" s="38">
        <v>3.284427</v>
      </c>
      <c r="L55" s="38">
        <v>3.284427</v>
      </c>
      <c r="M55" s="38">
        <v>3.284427</v>
      </c>
      <c r="N55" s="38">
        <v>3.284427</v>
      </c>
      <c r="O55" s="38">
        <v>3.284427</v>
      </c>
      <c r="P55" s="38">
        <v>3.284427</v>
      </c>
      <c r="Q55" s="38">
        <v>3.284427</v>
      </c>
      <c r="R55" s="38">
        <v>3.284427</v>
      </c>
      <c r="S55" s="38">
        <v>3.284427</v>
      </c>
      <c r="T55" s="38">
        <v>3.284427</v>
      </c>
      <c r="U55" s="38">
        <v>3.284427</v>
      </c>
      <c r="V55" s="38">
        <v>3.284427</v>
      </c>
      <c r="W55" s="38">
        <v>3.284427</v>
      </c>
      <c r="X55" s="38">
        <v>3.284427</v>
      </c>
      <c r="Y55" s="38">
        <v>3.284427</v>
      </c>
      <c r="Z55" s="38">
        <v>3.284427</v>
      </c>
      <c r="AA55" s="38">
        <v>3.284427</v>
      </c>
      <c r="AB55" s="38">
        <v>3.284427</v>
      </c>
      <c r="AC55" s="38">
        <v>3.284427</v>
      </c>
      <c r="AD55" s="38">
        <v>3.284427</v>
      </c>
      <c r="AE55" s="38">
        <v>3.284427</v>
      </c>
      <c r="AF55" s="35">
        <v>0</v>
      </c>
      <c r="AG55" s="29"/>
    </row>
    <row r="56" spans="1:34" ht="15" customHeight="1">
      <c r="A56" s="34" t="s">
        <v>2928</v>
      </c>
      <c r="B56" s="37" t="s">
        <v>2923</v>
      </c>
      <c r="C56" s="38">
        <v>0.17430499999999999</v>
      </c>
      <c r="D56" s="38">
        <v>0.17802799999999999</v>
      </c>
      <c r="E56" s="38">
        <v>0.17802799999999999</v>
      </c>
      <c r="F56" s="38">
        <v>0.17802799999999999</v>
      </c>
      <c r="G56" s="38">
        <v>0.17802799999999999</v>
      </c>
      <c r="H56" s="38">
        <v>0.17802799999999999</v>
      </c>
      <c r="I56" s="38">
        <v>0.17802799999999999</v>
      </c>
      <c r="J56" s="38">
        <v>0.17802799999999999</v>
      </c>
      <c r="K56" s="38">
        <v>0.17802799999999999</v>
      </c>
      <c r="L56" s="38">
        <v>0.17802799999999999</v>
      </c>
      <c r="M56" s="38">
        <v>0.17802799999999999</v>
      </c>
      <c r="N56" s="38">
        <v>0.17802799999999999</v>
      </c>
      <c r="O56" s="38">
        <v>0.17802799999999999</v>
      </c>
      <c r="P56" s="38">
        <v>0.17802799999999999</v>
      </c>
      <c r="Q56" s="38">
        <v>0.17802799999999999</v>
      </c>
      <c r="R56" s="38">
        <v>0.17802799999999999</v>
      </c>
      <c r="S56" s="38">
        <v>0.17802799999999999</v>
      </c>
      <c r="T56" s="38">
        <v>0.17802799999999999</v>
      </c>
      <c r="U56" s="38">
        <v>0.17802799999999999</v>
      </c>
      <c r="V56" s="38">
        <v>0.17802799999999999</v>
      </c>
      <c r="W56" s="38">
        <v>0.17802799999999999</v>
      </c>
      <c r="X56" s="38">
        <v>0.17802799999999999</v>
      </c>
      <c r="Y56" s="38">
        <v>0.17802799999999999</v>
      </c>
      <c r="Z56" s="38">
        <v>0.17802799999999999</v>
      </c>
      <c r="AA56" s="38">
        <v>0.17802799999999999</v>
      </c>
      <c r="AB56" s="38">
        <v>0.17802799999999999</v>
      </c>
      <c r="AC56" s="38">
        <v>0.17802799999999999</v>
      </c>
      <c r="AD56" s="38">
        <v>0.17802799999999999</v>
      </c>
      <c r="AE56" s="38">
        <v>0.17802799999999999</v>
      </c>
      <c r="AF56" s="35">
        <v>7.5500000000000003E-4</v>
      </c>
      <c r="AG56" s="29"/>
    </row>
    <row r="57" spans="1:34" ht="15" customHeight="1">
      <c r="A57" s="34" t="s">
        <v>2929</v>
      </c>
      <c r="B57" s="33" t="s">
        <v>2497</v>
      </c>
      <c r="C57" s="39">
        <v>6.2971329999999996</v>
      </c>
      <c r="D57" s="39">
        <v>6.3429669999999998</v>
      </c>
      <c r="E57" s="39">
        <v>6.3702639999999997</v>
      </c>
      <c r="F57" s="39">
        <v>6.3849580000000001</v>
      </c>
      <c r="G57" s="39">
        <v>6.3990989999999996</v>
      </c>
      <c r="H57" s="39">
        <v>6.412954</v>
      </c>
      <c r="I57" s="39">
        <v>6.4268689999999999</v>
      </c>
      <c r="J57" s="39">
        <v>6.4408450000000004</v>
      </c>
      <c r="K57" s="39">
        <v>6.4551499999999997</v>
      </c>
      <c r="L57" s="39">
        <v>6.4701170000000001</v>
      </c>
      <c r="M57" s="39">
        <v>6.4859590000000003</v>
      </c>
      <c r="N57" s="39">
        <v>6.5033649999999996</v>
      </c>
      <c r="O57" s="39">
        <v>6.5229910000000002</v>
      </c>
      <c r="P57" s="39">
        <v>6.5442140000000002</v>
      </c>
      <c r="Q57" s="39">
        <v>6.5674710000000003</v>
      </c>
      <c r="R57" s="39">
        <v>6.5923759999999998</v>
      </c>
      <c r="S57" s="39">
        <v>6.6190949999999997</v>
      </c>
      <c r="T57" s="39">
        <v>6.6473789999999999</v>
      </c>
      <c r="U57" s="39">
        <v>6.6776520000000001</v>
      </c>
      <c r="V57" s="39">
        <v>6.7098409999999999</v>
      </c>
      <c r="W57" s="39">
        <v>6.7436389999999999</v>
      </c>
      <c r="X57" s="39">
        <v>6.7790010000000001</v>
      </c>
      <c r="Y57" s="39">
        <v>6.8158250000000002</v>
      </c>
      <c r="Z57" s="39">
        <v>6.8531529999999998</v>
      </c>
      <c r="AA57" s="39">
        <v>6.8829039999999999</v>
      </c>
      <c r="AB57" s="39">
        <v>6.9138359999999999</v>
      </c>
      <c r="AC57" s="39">
        <v>6.9461870000000001</v>
      </c>
      <c r="AD57" s="39">
        <v>6.9800120000000003</v>
      </c>
      <c r="AE57" s="39">
        <v>7.0155799999999999</v>
      </c>
      <c r="AF57" s="31">
        <v>3.8660000000000001E-3</v>
      </c>
      <c r="AG57" s="29"/>
    </row>
    <row r="58" spans="1:34" ht="15" customHeight="1">
      <c r="B58" s="33" t="s">
        <v>2854</v>
      </c>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row>
    <row r="59" spans="1:34" ht="15" customHeight="1">
      <c r="A59" s="34" t="s">
        <v>2930</v>
      </c>
      <c r="B59" s="37" t="s">
        <v>2856</v>
      </c>
      <c r="C59" s="38">
        <v>0.18760599999999999</v>
      </c>
      <c r="D59" s="38">
        <v>0.189058</v>
      </c>
      <c r="E59" s="38">
        <v>0.18994800000000001</v>
      </c>
      <c r="F59" s="38">
        <v>0.19042700000000001</v>
      </c>
      <c r="G59" s="38">
        <v>0.190888</v>
      </c>
      <c r="H59" s="38">
        <v>0.19134000000000001</v>
      </c>
      <c r="I59" s="38">
        <v>0.19179399999999999</v>
      </c>
      <c r="J59" s="38">
        <v>0.192249</v>
      </c>
      <c r="K59" s="38">
        <v>0.192715</v>
      </c>
      <c r="L59" s="38">
        <v>0.19320300000000001</v>
      </c>
      <c r="M59" s="38">
        <v>0.19372</v>
      </c>
      <c r="N59" s="38">
        <v>0.19428699999999999</v>
      </c>
      <c r="O59" s="38">
        <v>0.19492699999999999</v>
      </c>
      <c r="P59" s="38">
        <v>0.19561899999999999</v>
      </c>
      <c r="Q59" s="38">
        <v>0.196377</v>
      </c>
      <c r="R59" s="38">
        <v>0.197189</v>
      </c>
      <c r="S59" s="38">
        <v>0.19806000000000001</v>
      </c>
      <c r="T59" s="38">
        <v>0.19898199999999999</v>
      </c>
      <c r="U59" s="38">
        <v>0.19996900000000001</v>
      </c>
      <c r="V59" s="38">
        <v>0.201018</v>
      </c>
      <c r="W59" s="38">
        <v>0.20211999999999999</v>
      </c>
      <c r="X59" s="38">
        <v>0.20327300000000001</v>
      </c>
      <c r="Y59" s="38">
        <v>0.20447399999999999</v>
      </c>
      <c r="Z59" s="38">
        <v>0.20569000000000001</v>
      </c>
      <c r="AA59" s="38">
        <v>0.20666000000000001</v>
      </c>
      <c r="AB59" s="38">
        <v>0.20766899999999999</v>
      </c>
      <c r="AC59" s="38">
        <v>0.20872299999999999</v>
      </c>
      <c r="AD59" s="38">
        <v>0.20982600000000001</v>
      </c>
      <c r="AE59" s="38">
        <v>0.21098500000000001</v>
      </c>
      <c r="AF59" s="35">
        <v>4.2030000000000001E-3</v>
      </c>
      <c r="AG59" s="29"/>
    </row>
    <row r="60" spans="1:34" ht="15" customHeight="1">
      <c r="A60" s="34" t="s">
        <v>2931</v>
      </c>
      <c r="B60" s="37" t="s">
        <v>2858</v>
      </c>
      <c r="C60" s="38">
        <v>6.1095269999999999</v>
      </c>
      <c r="D60" s="38">
        <v>6.1539080000000004</v>
      </c>
      <c r="E60" s="38">
        <v>6.1803150000000002</v>
      </c>
      <c r="F60" s="38">
        <v>6.1945309999999996</v>
      </c>
      <c r="G60" s="38">
        <v>6.2082110000000004</v>
      </c>
      <c r="H60" s="38">
        <v>6.2216139999999998</v>
      </c>
      <c r="I60" s="38">
        <v>6.2350750000000001</v>
      </c>
      <c r="J60" s="38">
        <v>6.248596</v>
      </c>
      <c r="K60" s="38">
        <v>6.2624339999999998</v>
      </c>
      <c r="L60" s="38">
        <v>6.2769130000000004</v>
      </c>
      <c r="M60" s="38">
        <v>6.2922390000000004</v>
      </c>
      <c r="N60" s="38">
        <v>6.3090770000000003</v>
      </c>
      <c r="O60" s="38">
        <v>6.3280640000000004</v>
      </c>
      <c r="P60" s="38">
        <v>6.3485950000000004</v>
      </c>
      <c r="Q60" s="38">
        <v>6.3710940000000003</v>
      </c>
      <c r="R60" s="38">
        <v>6.3951859999999998</v>
      </c>
      <c r="S60" s="38">
        <v>6.4210349999999998</v>
      </c>
      <c r="T60" s="38">
        <v>6.4483969999999999</v>
      </c>
      <c r="U60" s="38">
        <v>6.4776829999999999</v>
      </c>
      <c r="V60" s="38">
        <v>6.5088220000000003</v>
      </c>
      <c r="W60" s="38">
        <v>6.5415179999999999</v>
      </c>
      <c r="X60" s="38">
        <v>6.5757269999999997</v>
      </c>
      <c r="Y60" s="38">
        <v>6.611351</v>
      </c>
      <c r="Z60" s="38">
        <v>6.647462</v>
      </c>
      <c r="AA60" s="38">
        <v>6.6762439999999996</v>
      </c>
      <c r="AB60" s="38">
        <v>6.7061679999999999</v>
      </c>
      <c r="AC60" s="38">
        <v>6.7374640000000001</v>
      </c>
      <c r="AD60" s="38">
        <v>6.7701859999999998</v>
      </c>
      <c r="AE60" s="38">
        <v>6.8045949999999999</v>
      </c>
      <c r="AF60" s="35">
        <v>3.8560000000000001E-3</v>
      </c>
      <c r="AG60" s="29"/>
    </row>
    <row r="61" spans="1:34" ht="15" customHeight="1" thickBot="1">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row>
    <row r="62" spans="1:34" ht="15" customHeight="1">
      <c r="B62" s="2179" t="s">
        <v>2932</v>
      </c>
      <c r="C62" s="2180"/>
      <c r="D62" s="2180"/>
      <c r="E62" s="2180"/>
      <c r="F62" s="2180"/>
      <c r="G62" s="2180"/>
      <c r="H62" s="2180"/>
      <c r="I62" s="2180"/>
      <c r="J62" s="2180"/>
      <c r="K62" s="2180"/>
      <c r="L62" s="2180"/>
      <c r="M62" s="2180"/>
      <c r="N62" s="2180"/>
      <c r="O62" s="2180"/>
      <c r="P62" s="2180"/>
      <c r="Q62" s="2180"/>
      <c r="R62" s="2180"/>
      <c r="S62" s="2180"/>
      <c r="T62" s="2180"/>
      <c r="U62" s="2180"/>
      <c r="V62" s="2180"/>
      <c r="W62" s="2180"/>
      <c r="X62" s="2180"/>
      <c r="Y62" s="2180"/>
      <c r="Z62" s="2180"/>
      <c r="AA62" s="2180"/>
      <c r="AB62" s="2180"/>
      <c r="AC62" s="2180"/>
      <c r="AD62" s="2180"/>
      <c r="AE62" s="2180"/>
      <c r="AF62" s="2180"/>
      <c r="AG62" s="2180"/>
      <c r="AH62" s="30"/>
    </row>
    <row r="63" spans="1:34" ht="15" customHeight="1">
      <c r="B63" s="29" t="s">
        <v>2933</v>
      </c>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row>
    <row r="64" spans="1:34" ht="15" customHeight="1">
      <c r="B64" s="29" t="s">
        <v>2934</v>
      </c>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row>
    <row r="65" spans="2:33" ht="15" customHeight="1">
      <c r="B65" s="29" t="s">
        <v>2935</v>
      </c>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row>
    <row r="66" spans="2:33" ht="15" customHeight="1">
      <c r="B66" s="29" t="s">
        <v>2936</v>
      </c>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row>
    <row r="67" spans="2:33" ht="12" customHeight="1">
      <c r="B67" s="29" t="s">
        <v>2937</v>
      </c>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row>
    <row r="68" spans="2:33" ht="15" customHeight="1">
      <c r="B68" s="29" t="s">
        <v>2938</v>
      </c>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row>
    <row r="69" spans="2:33" ht="15" customHeight="1">
      <c r="B69" s="29" t="s">
        <v>2291</v>
      </c>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row>
    <row r="70" spans="2:33" ht="15" customHeight="1">
      <c r="B70" s="29" t="s">
        <v>2292</v>
      </c>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row>
    <row r="71" spans="2:33" ht="15" customHeight="1">
      <c r="B71" s="29" t="s">
        <v>2293</v>
      </c>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row>
    <row r="72" spans="2:33" ht="15" customHeight="1">
      <c r="B72" s="29" t="s">
        <v>2881</v>
      </c>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row>
    <row r="73" spans="2:33" ht="15" customHeight="1">
      <c r="B73" s="29" t="s">
        <v>2939</v>
      </c>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2:33" ht="15" customHeight="1">
      <c r="B74" s="29" t="s">
        <v>2940</v>
      </c>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row>
    <row r="75" spans="2:33" ht="12" customHeight="1">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2:33" ht="15" customHeight="1">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2:33" ht="15" customHeight="1">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2:33" ht="15" customHeight="1">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2:33" ht="15" customHeight="1">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row>
    <row r="80" spans="2:33" ht="15" customHeight="1">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row>
    <row r="81" spans="2:33" ht="15" customHeight="1">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row>
    <row r="82" spans="2:33" ht="15" customHeight="1">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2:33" ht="12" customHeight="1">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2:33" ht="15" customHeight="1">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t="s">
        <v>2056</v>
      </c>
      <c r="AG84" s="29"/>
    </row>
    <row r="89" spans="2:33" ht="12" customHeight="1"/>
    <row r="94" spans="2:33" ht="12" customHeight="1"/>
    <row r="98" ht="12" customHeight="1"/>
    <row r="106" ht="12" customHeight="1"/>
    <row r="113" ht="12" customHeight="1"/>
    <row r="119" ht="12" customHeight="1"/>
    <row r="123" ht="12" customHeight="1"/>
    <row r="129" ht="12" customHeight="1"/>
    <row r="134" ht="12" customHeight="1"/>
    <row r="156" spans="2:32" ht="15" customHeight="1">
      <c r="B156" s="2178"/>
      <c r="C156" s="2178"/>
      <c r="D156" s="2178"/>
      <c r="E156" s="2178"/>
      <c r="F156" s="2178"/>
      <c r="G156" s="2178"/>
      <c r="H156" s="2178"/>
      <c r="I156" s="2178"/>
      <c r="J156" s="2178"/>
      <c r="K156" s="2178"/>
      <c r="L156" s="2178"/>
      <c r="M156" s="2178"/>
      <c r="N156" s="2178"/>
      <c r="O156" s="2178"/>
      <c r="P156" s="2178"/>
      <c r="Q156" s="2178"/>
      <c r="R156" s="2178"/>
      <c r="S156" s="2178"/>
      <c r="T156" s="2178"/>
      <c r="U156" s="2178"/>
      <c r="V156" s="2178"/>
      <c r="W156" s="2178"/>
      <c r="X156" s="2178"/>
      <c r="Y156" s="2178"/>
      <c r="Z156" s="2178"/>
      <c r="AA156" s="2178"/>
      <c r="AB156" s="2178"/>
      <c r="AC156" s="2178"/>
      <c r="AD156" s="2178"/>
      <c r="AE156" s="2178"/>
      <c r="AF156" s="2178"/>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2178"/>
      <c r="C292" s="2178"/>
      <c r="D292" s="2178"/>
      <c r="E292" s="2178"/>
      <c r="F292" s="2178"/>
      <c r="G292" s="2178"/>
      <c r="H292" s="2178"/>
      <c r="I292" s="2178"/>
      <c r="J292" s="2178"/>
      <c r="K292" s="2178"/>
      <c r="L292" s="2178"/>
      <c r="M292" s="2178"/>
      <c r="N292" s="2178"/>
      <c r="O292" s="2178"/>
      <c r="P292" s="2178"/>
      <c r="Q292" s="2178"/>
      <c r="R292" s="2178"/>
      <c r="S292" s="2178"/>
      <c r="T292" s="2178"/>
      <c r="U292" s="2178"/>
      <c r="V292" s="2178"/>
      <c r="W292" s="2178"/>
      <c r="X292" s="2178"/>
      <c r="Y292" s="2178"/>
      <c r="Z292" s="2178"/>
      <c r="AA292" s="2178"/>
      <c r="AB292" s="2178"/>
      <c r="AC292" s="2178"/>
      <c r="AD292" s="2178"/>
      <c r="AE292" s="2178"/>
      <c r="AF292" s="2178"/>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2178"/>
      <c r="C378" s="2178"/>
      <c r="D378" s="2178"/>
      <c r="E378" s="2178"/>
      <c r="F378" s="2178"/>
      <c r="G378" s="2178"/>
      <c r="H378" s="2178"/>
      <c r="I378" s="2178"/>
      <c r="J378" s="2178"/>
      <c r="K378" s="2178"/>
      <c r="L378" s="2178"/>
      <c r="M378" s="2178"/>
      <c r="N378" s="2178"/>
      <c r="O378" s="2178"/>
      <c r="P378" s="2178"/>
      <c r="Q378" s="2178"/>
      <c r="R378" s="2178"/>
      <c r="S378" s="2178"/>
      <c r="T378" s="2178"/>
      <c r="U378" s="2178"/>
      <c r="V378" s="2178"/>
      <c r="W378" s="2178"/>
      <c r="X378" s="2178"/>
      <c r="Y378" s="2178"/>
      <c r="Z378" s="2178"/>
      <c r="AA378" s="2178"/>
      <c r="AB378" s="2178"/>
      <c r="AC378" s="2178"/>
      <c r="AD378" s="2178"/>
      <c r="AE378" s="2178"/>
      <c r="AF378" s="2178"/>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2178"/>
      <c r="C560" s="2178"/>
      <c r="D560" s="2178"/>
      <c r="E560" s="2178"/>
      <c r="F560" s="2178"/>
      <c r="G560" s="2178"/>
      <c r="H560" s="2178"/>
      <c r="I560" s="2178"/>
      <c r="J560" s="2178"/>
      <c r="K560" s="2178"/>
      <c r="L560" s="2178"/>
      <c r="M560" s="2178"/>
      <c r="N560" s="2178"/>
      <c r="O560" s="2178"/>
      <c r="P560" s="2178"/>
      <c r="Q560" s="2178"/>
      <c r="R560" s="2178"/>
      <c r="S560" s="2178"/>
      <c r="T560" s="2178"/>
      <c r="U560" s="2178"/>
      <c r="V560" s="2178"/>
      <c r="W560" s="2178"/>
      <c r="X560" s="2178"/>
      <c r="Y560" s="2178"/>
      <c r="Z560" s="2178"/>
      <c r="AA560" s="2178"/>
      <c r="AB560" s="2178"/>
      <c r="AC560" s="2178"/>
      <c r="AD560" s="2178"/>
      <c r="AE560" s="2178"/>
      <c r="AF560" s="2178"/>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2178"/>
      <c r="C652" s="2178"/>
      <c r="D652" s="2178"/>
      <c r="E652" s="2178"/>
      <c r="F652" s="2178"/>
      <c r="G652" s="2178"/>
      <c r="H652" s="2178"/>
      <c r="I652" s="2178"/>
      <c r="J652" s="2178"/>
      <c r="K652" s="2178"/>
      <c r="L652" s="2178"/>
      <c r="M652" s="2178"/>
      <c r="N652" s="2178"/>
      <c r="O652" s="2178"/>
      <c r="P652" s="2178"/>
      <c r="Q652" s="2178"/>
      <c r="R652" s="2178"/>
      <c r="S652" s="2178"/>
      <c r="T652" s="2178"/>
      <c r="U652" s="2178"/>
      <c r="V652" s="2178"/>
      <c r="W652" s="2178"/>
      <c r="X652" s="2178"/>
      <c r="Y652" s="2178"/>
      <c r="Z652" s="2178"/>
      <c r="AA652" s="2178"/>
      <c r="AB652" s="2178"/>
      <c r="AC652" s="2178"/>
      <c r="AD652" s="2178"/>
      <c r="AE652" s="2178"/>
      <c r="AF652" s="2178"/>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2178"/>
      <c r="C728" s="2178"/>
      <c r="D728" s="2178"/>
      <c r="E728" s="2178"/>
      <c r="F728" s="2178"/>
      <c r="G728" s="2178"/>
      <c r="H728" s="2178"/>
      <c r="I728" s="2178"/>
      <c r="J728" s="2178"/>
      <c r="K728" s="2178"/>
      <c r="L728" s="2178"/>
      <c r="M728" s="2178"/>
      <c r="N728" s="2178"/>
      <c r="O728" s="2178"/>
      <c r="P728" s="2178"/>
      <c r="Q728" s="2178"/>
      <c r="R728" s="2178"/>
      <c r="S728" s="2178"/>
      <c r="T728" s="2178"/>
      <c r="U728" s="2178"/>
      <c r="V728" s="2178"/>
      <c r="W728" s="2178"/>
      <c r="X728" s="2178"/>
      <c r="Y728" s="2178"/>
      <c r="Z728" s="2178"/>
      <c r="AA728" s="2178"/>
      <c r="AB728" s="2178"/>
      <c r="AC728" s="2178"/>
      <c r="AD728" s="2178"/>
      <c r="AE728" s="2178"/>
      <c r="AF728" s="2178"/>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2178"/>
      <c r="C819" s="2178"/>
      <c r="D819" s="2178"/>
      <c r="E819" s="2178"/>
      <c r="F819" s="2178"/>
      <c r="G819" s="2178"/>
      <c r="H819" s="2178"/>
      <c r="I819" s="2178"/>
      <c r="J819" s="2178"/>
      <c r="K819" s="2178"/>
      <c r="L819" s="2178"/>
      <c r="M819" s="2178"/>
      <c r="N819" s="2178"/>
      <c r="O819" s="2178"/>
      <c r="P819" s="2178"/>
      <c r="Q819" s="2178"/>
      <c r="R819" s="2178"/>
      <c r="S819" s="2178"/>
      <c r="T819" s="2178"/>
      <c r="U819" s="2178"/>
      <c r="V819" s="2178"/>
      <c r="W819" s="2178"/>
      <c r="X819" s="2178"/>
      <c r="Y819" s="2178"/>
      <c r="Z819" s="2178"/>
      <c r="AA819" s="2178"/>
      <c r="AB819" s="2178"/>
      <c r="AC819" s="2178"/>
      <c r="AD819" s="2178"/>
      <c r="AE819" s="2178"/>
      <c r="AF819" s="2178"/>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2178"/>
      <c r="C897" s="2178"/>
      <c r="D897" s="2178"/>
      <c r="E897" s="2178"/>
      <c r="F897" s="2178"/>
      <c r="G897" s="2178"/>
      <c r="H897" s="2178"/>
      <c r="I897" s="2178"/>
      <c r="J897" s="2178"/>
      <c r="K897" s="2178"/>
      <c r="L897" s="2178"/>
      <c r="M897" s="2178"/>
      <c r="N897" s="2178"/>
      <c r="O897" s="2178"/>
      <c r="P897" s="2178"/>
      <c r="Q897" s="2178"/>
      <c r="R897" s="2178"/>
      <c r="S897" s="2178"/>
      <c r="T897" s="2178"/>
      <c r="U897" s="2178"/>
      <c r="V897" s="2178"/>
      <c r="W897" s="2178"/>
      <c r="X897" s="2178"/>
      <c r="Y897" s="2178"/>
      <c r="Z897" s="2178"/>
      <c r="AA897" s="2178"/>
      <c r="AB897" s="2178"/>
      <c r="AC897" s="2178"/>
      <c r="AD897" s="2178"/>
      <c r="AE897" s="2178"/>
      <c r="AF897" s="2178"/>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2178"/>
      <c r="C983" s="2178"/>
      <c r="D983" s="2178"/>
      <c r="E983" s="2178"/>
      <c r="F983" s="2178"/>
      <c r="G983" s="2178"/>
      <c r="H983" s="2178"/>
      <c r="I983" s="2178"/>
      <c r="J983" s="2178"/>
      <c r="K983" s="2178"/>
      <c r="L983" s="2178"/>
      <c r="M983" s="2178"/>
      <c r="N983" s="2178"/>
      <c r="O983" s="2178"/>
      <c r="P983" s="2178"/>
      <c r="Q983" s="2178"/>
      <c r="R983" s="2178"/>
      <c r="S983" s="2178"/>
      <c r="T983" s="2178"/>
      <c r="U983" s="2178"/>
      <c r="V983" s="2178"/>
      <c r="W983" s="2178"/>
      <c r="X983" s="2178"/>
      <c r="Y983" s="2178"/>
      <c r="Z983" s="2178"/>
      <c r="AA983" s="2178"/>
      <c r="AB983" s="2178"/>
      <c r="AC983" s="2178"/>
      <c r="AD983" s="2178"/>
      <c r="AE983" s="2178"/>
      <c r="AF983" s="2178"/>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2178"/>
      <c r="C1082" s="2178"/>
      <c r="D1082" s="2178"/>
      <c r="E1082" s="2178"/>
      <c r="F1082" s="2178"/>
      <c r="G1082" s="2178"/>
      <c r="H1082" s="2178"/>
      <c r="I1082" s="2178"/>
      <c r="J1082" s="2178"/>
      <c r="K1082" s="2178"/>
      <c r="L1082" s="2178"/>
      <c r="M1082" s="2178"/>
      <c r="N1082" s="2178"/>
      <c r="O1082" s="2178"/>
      <c r="P1082" s="2178"/>
      <c r="Q1082" s="2178"/>
      <c r="R1082" s="2178"/>
      <c r="S1082" s="2178"/>
      <c r="T1082" s="2178"/>
      <c r="U1082" s="2178"/>
      <c r="V1082" s="2178"/>
      <c r="W1082" s="2178"/>
      <c r="X1082" s="2178"/>
      <c r="Y1082" s="2178"/>
      <c r="Z1082" s="2178"/>
      <c r="AA1082" s="2178"/>
      <c r="AB1082" s="2178"/>
      <c r="AC1082" s="2178"/>
      <c r="AD1082" s="2178"/>
      <c r="AE1082" s="2178"/>
      <c r="AF1082" s="2178"/>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2178"/>
      <c r="C1179" s="2178"/>
      <c r="D1179" s="2178"/>
      <c r="E1179" s="2178"/>
      <c r="F1179" s="2178"/>
      <c r="G1179" s="2178"/>
      <c r="H1179" s="2178"/>
      <c r="I1179" s="2178"/>
      <c r="J1179" s="2178"/>
      <c r="K1179" s="2178"/>
      <c r="L1179" s="2178"/>
      <c r="M1179" s="2178"/>
      <c r="N1179" s="2178"/>
      <c r="O1179" s="2178"/>
      <c r="P1179" s="2178"/>
      <c r="Q1179" s="2178"/>
      <c r="R1179" s="2178"/>
      <c r="S1179" s="2178"/>
      <c r="T1179" s="2178"/>
      <c r="U1179" s="2178"/>
      <c r="V1179" s="2178"/>
      <c r="W1179" s="2178"/>
      <c r="X1179" s="2178"/>
      <c r="Y1179" s="2178"/>
      <c r="Z1179" s="2178"/>
      <c r="AA1179" s="2178"/>
      <c r="AB1179" s="2178"/>
      <c r="AC1179" s="2178"/>
      <c r="AD1179" s="2178"/>
      <c r="AE1179" s="2178"/>
      <c r="AF1179" s="2178"/>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2178"/>
      <c r="C1313" s="2178"/>
      <c r="D1313" s="2178"/>
      <c r="E1313" s="2178"/>
      <c r="F1313" s="2178"/>
      <c r="G1313" s="2178"/>
      <c r="H1313" s="2178"/>
      <c r="I1313" s="2178"/>
      <c r="J1313" s="2178"/>
      <c r="K1313" s="2178"/>
      <c r="L1313" s="2178"/>
      <c r="M1313" s="2178"/>
      <c r="N1313" s="2178"/>
      <c r="O1313" s="2178"/>
      <c r="P1313" s="2178"/>
      <c r="Q1313" s="2178"/>
      <c r="R1313" s="2178"/>
      <c r="S1313" s="2178"/>
      <c r="T1313" s="2178"/>
      <c r="U1313" s="2178"/>
      <c r="V1313" s="2178"/>
      <c r="W1313" s="2178"/>
      <c r="X1313" s="2178"/>
      <c r="Y1313" s="2178"/>
      <c r="Z1313" s="2178"/>
      <c r="AA1313" s="2178"/>
      <c r="AB1313" s="2178"/>
      <c r="AC1313" s="2178"/>
      <c r="AD1313" s="2178"/>
      <c r="AE1313" s="2178"/>
      <c r="AF1313" s="2178"/>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2178"/>
      <c r="C1431" s="2178"/>
      <c r="D1431" s="2178"/>
      <c r="E1431" s="2178"/>
      <c r="F1431" s="2178"/>
      <c r="G1431" s="2178"/>
      <c r="H1431" s="2178"/>
      <c r="I1431" s="2178"/>
      <c r="J1431" s="2178"/>
      <c r="K1431" s="2178"/>
      <c r="L1431" s="2178"/>
      <c r="M1431" s="2178"/>
      <c r="N1431" s="2178"/>
      <c r="O1431" s="2178"/>
      <c r="P1431" s="2178"/>
      <c r="Q1431" s="2178"/>
      <c r="R1431" s="2178"/>
      <c r="S1431" s="2178"/>
      <c r="T1431" s="2178"/>
      <c r="U1431" s="2178"/>
      <c r="V1431" s="2178"/>
      <c r="W1431" s="2178"/>
      <c r="X1431" s="2178"/>
      <c r="Y1431" s="2178"/>
      <c r="Z1431" s="2178"/>
      <c r="AA1431" s="2178"/>
      <c r="AB1431" s="2178"/>
      <c r="AC1431" s="2178"/>
      <c r="AD1431" s="2178"/>
      <c r="AE1431" s="2178"/>
      <c r="AF1431" s="2178"/>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2178"/>
      <c r="C1535" s="2178"/>
      <c r="D1535" s="2178"/>
      <c r="E1535" s="2178"/>
      <c r="F1535" s="2178"/>
      <c r="G1535" s="2178"/>
      <c r="H1535" s="2178"/>
      <c r="I1535" s="2178"/>
      <c r="J1535" s="2178"/>
      <c r="K1535" s="2178"/>
      <c r="L1535" s="2178"/>
      <c r="M1535" s="2178"/>
      <c r="N1535" s="2178"/>
      <c r="O1535" s="2178"/>
      <c r="P1535" s="2178"/>
      <c r="Q1535" s="2178"/>
      <c r="R1535" s="2178"/>
      <c r="S1535" s="2178"/>
      <c r="T1535" s="2178"/>
      <c r="U1535" s="2178"/>
      <c r="V1535" s="2178"/>
      <c r="W1535" s="2178"/>
      <c r="X1535" s="2178"/>
      <c r="Y1535" s="2178"/>
      <c r="Z1535" s="2178"/>
      <c r="AA1535" s="2178"/>
      <c r="AB1535" s="2178"/>
      <c r="AC1535" s="2178"/>
      <c r="AD1535" s="2178"/>
      <c r="AE1535" s="2178"/>
      <c r="AF1535" s="2178"/>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2178"/>
      <c r="C1628" s="2178"/>
      <c r="D1628" s="2178"/>
      <c r="E1628" s="2178"/>
      <c r="F1628" s="2178"/>
      <c r="G1628" s="2178"/>
      <c r="H1628" s="2178"/>
      <c r="I1628" s="2178"/>
      <c r="J1628" s="2178"/>
      <c r="K1628" s="2178"/>
      <c r="L1628" s="2178"/>
      <c r="M1628" s="2178"/>
      <c r="N1628" s="2178"/>
      <c r="O1628" s="2178"/>
      <c r="P1628" s="2178"/>
      <c r="Q1628" s="2178"/>
      <c r="R1628" s="2178"/>
      <c r="S1628" s="2178"/>
      <c r="T1628" s="2178"/>
      <c r="U1628" s="2178"/>
      <c r="V1628" s="2178"/>
      <c r="W1628" s="2178"/>
      <c r="X1628" s="2178"/>
      <c r="Y1628" s="2178"/>
      <c r="Z1628" s="2178"/>
      <c r="AA1628" s="2178"/>
      <c r="AB1628" s="2178"/>
      <c r="AC1628" s="2178"/>
      <c r="AD1628" s="2178"/>
      <c r="AE1628" s="2178"/>
      <c r="AF1628" s="2178"/>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2178"/>
      <c r="C1778" s="2178"/>
      <c r="D1778" s="2178"/>
      <c r="E1778" s="2178"/>
      <c r="F1778" s="2178"/>
      <c r="G1778" s="2178"/>
      <c r="H1778" s="2178"/>
      <c r="I1778" s="2178"/>
      <c r="J1778" s="2178"/>
      <c r="K1778" s="2178"/>
      <c r="L1778" s="2178"/>
      <c r="M1778" s="2178"/>
      <c r="N1778" s="2178"/>
      <c r="O1778" s="2178"/>
      <c r="P1778" s="2178"/>
      <c r="Q1778" s="2178"/>
      <c r="R1778" s="2178"/>
      <c r="S1778" s="2178"/>
      <c r="T1778" s="2178"/>
      <c r="U1778" s="2178"/>
      <c r="V1778" s="2178"/>
      <c r="W1778" s="2178"/>
      <c r="X1778" s="2178"/>
      <c r="Y1778" s="2178"/>
      <c r="Z1778" s="2178"/>
      <c r="AA1778" s="2178"/>
      <c r="AB1778" s="2178"/>
      <c r="AC1778" s="2178"/>
      <c r="AD1778" s="2178"/>
      <c r="AE1778" s="2178"/>
      <c r="AF1778" s="2178"/>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2178"/>
      <c r="C1928" s="2178"/>
      <c r="D1928" s="2178"/>
      <c r="E1928" s="2178"/>
      <c r="F1928" s="2178"/>
      <c r="G1928" s="2178"/>
      <c r="H1928" s="2178"/>
      <c r="I1928" s="2178"/>
      <c r="J1928" s="2178"/>
      <c r="K1928" s="2178"/>
      <c r="L1928" s="2178"/>
      <c r="M1928" s="2178"/>
      <c r="N1928" s="2178"/>
      <c r="O1928" s="2178"/>
      <c r="P1928" s="2178"/>
      <c r="Q1928" s="2178"/>
      <c r="R1928" s="2178"/>
      <c r="S1928" s="2178"/>
      <c r="T1928" s="2178"/>
      <c r="U1928" s="2178"/>
      <c r="V1928" s="2178"/>
      <c r="W1928" s="2178"/>
      <c r="X1928" s="2178"/>
      <c r="Y1928" s="2178"/>
      <c r="Z1928" s="2178"/>
      <c r="AA1928" s="2178"/>
      <c r="AB1928" s="2178"/>
      <c r="AC1928" s="2178"/>
      <c r="AD1928" s="2178"/>
      <c r="AE1928" s="2178"/>
      <c r="AF1928" s="2178"/>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2178"/>
      <c r="C2078" s="2178"/>
      <c r="D2078" s="2178"/>
      <c r="E2078" s="2178"/>
      <c r="F2078" s="2178"/>
      <c r="G2078" s="2178"/>
      <c r="H2078" s="2178"/>
      <c r="I2078" s="2178"/>
      <c r="J2078" s="2178"/>
      <c r="K2078" s="2178"/>
      <c r="L2078" s="2178"/>
      <c r="M2078" s="2178"/>
      <c r="N2078" s="2178"/>
      <c r="O2078" s="2178"/>
      <c r="P2078" s="2178"/>
      <c r="Q2078" s="2178"/>
      <c r="R2078" s="2178"/>
      <c r="S2078" s="2178"/>
      <c r="T2078" s="2178"/>
      <c r="U2078" s="2178"/>
      <c r="V2078" s="2178"/>
      <c r="W2078" s="2178"/>
      <c r="X2078" s="2178"/>
      <c r="Y2078" s="2178"/>
      <c r="Z2078" s="2178"/>
      <c r="AA2078" s="2178"/>
      <c r="AB2078" s="2178"/>
      <c r="AC2078" s="2178"/>
      <c r="AD2078" s="2178"/>
      <c r="AE2078" s="2178"/>
      <c r="AF2078" s="2178"/>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2178"/>
      <c r="C2228" s="2178"/>
      <c r="D2228" s="2178"/>
      <c r="E2228" s="2178"/>
      <c r="F2228" s="2178"/>
      <c r="G2228" s="2178"/>
      <c r="H2228" s="2178"/>
      <c r="I2228" s="2178"/>
      <c r="J2228" s="2178"/>
      <c r="K2228" s="2178"/>
      <c r="L2228" s="2178"/>
      <c r="M2228" s="2178"/>
      <c r="N2228" s="2178"/>
      <c r="O2228" s="2178"/>
      <c r="P2228" s="2178"/>
      <c r="Q2228" s="2178"/>
      <c r="R2228" s="2178"/>
      <c r="S2228" s="2178"/>
      <c r="T2228" s="2178"/>
      <c r="U2228" s="2178"/>
      <c r="V2228" s="2178"/>
      <c r="W2228" s="2178"/>
      <c r="X2228" s="2178"/>
      <c r="Y2228" s="2178"/>
      <c r="Z2228" s="2178"/>
      <c r="AA2228" s="2178"/>
      <c r="AB2228" s="2178"/>
      <c r="AC2228" s="2178"/>
      <c r="AD2228" s="2178"/>
      <c r="AE2228" s="2178"/>
      <c r="AF2228" s="2178"/>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2178"/>
      <c r="C2378" s="2178"/>
      <c r="D2378" s="2178"/>
      <c r="E2378" s="2178"/>
      <c r="F2378" s="2178"/>
      <c r="G2378" s="2178"/>
      <c r="H2378" s="2178"/>
      <c r="I2378" s="2178"/>
      <c r="J2378" s="2178"/>
      <c r="K2378" s="2178"/>
      <c r="L2378" s="2178"/>
      <c r="M2378" s="2178"/>
      <c r="N2378" s="2178"/>
      <c r="O2378" s="2178"/>
      <c r="P2378" s="2178"/>
      <c r="Q2378" s="2178"/>
      <c r="R2378" s="2178"/>
      <c r="S2378" s="2178"/>
      <c r="T2378" s="2178"/>
      <c r="U2378" s="2178"/>
      <c r="V2378" s="2178"/>
      <c r="W2378" s="2178"/>
      <c r="X2378" s="2178"/>
      <c r="Y2378" s="2178"/>
      <c r="Z2378" s="2178"/>
      <c r="AA2378" s="2178"/>
      <c r="AB2378" s="2178"/>
      <c r="AC2378" s="2178"/>
      <c r="AD2378" s="2178"/>
      <c r="AE2378" s="2178"/>
      <c r="AF2378" s="2178"/>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2178"/>
      <c r="C2528" s="2178"/>
      <c r="D2528" s="2178"/>
      <c r="E2528" s="2178"/>
      <c r="F2528" s="2178"/>
      <c r="G2528" s="2178"/>
      <c r="H2528" s="2178"/>
      <c r="I2528" s="2178"/>
      <c r="J2528" s="2178"/>
      <c r="K2528" s="2178"/>
      <c r="L2528" s="2178"/>
      <c r="M2528" s="2178"/>
      <c r="N2528" s="2178"/>
      <c r="O2528" s="2178"/>
      <c r="P2528" s="2178"/>
      <c r="Q2528" s="2178"/>
      <c r="R2528" s="2178"/>
      <c r="S2528" s="2178"/>
      <c r="T2528" s="2178"/>
      <c r="U2528" s="2178"/>
      <c r="V2528" s="2178"/>
      <c r="W2528" s="2178"/>
      <c r="X2528" s="2178"/>
      <c r="Y2528" s="2178"/>
      <c r="Z2528" s="2178"/>
      <c r="AA2528" s="2178"/>
      <c r="AB2528" s="2178"/>
      <c r="AC2528" s="2178"/>
      <c r="AD2528" s="2178"/>
      <c r="AE2528" s="2178"/>
      <c r="AF2528" s="2178"/>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2178"/>
      <c r="C2678" s="2178"/>
      <c r="D2678" s="2178"/>
      <c r="E2678" s="2178"/>
      <c r="F2678" s="2178"/>
      <c r="G2678" s="2178"/>
      <c r="H2678" s="2178"/>
      <c r="I2678" s="2178"/>
      <c r="J2678" s="2178"/>
      <c r="K2678" s="2178"/>
      <c r="L2678" s="2178"/>
      <c r="M2678" s="2178"/>
      <c r="N2678" s="2178"/>
      <c r="O2678" s="2178"/>
      <c r="P2678" s="2178"/>
      <c r="Q2678" s="2178"/>
      <c r="R2678" s="2178"/>
      <c r="S2678" s="2178"/>
      <c r="T2678" s="2178"/>
      <c r="U2678" s="2178"/>
      <c r="V2678" s="2178"/>
      <c r="W2678" s="2178"/>
      <c r="X2678" s="2178"/>
      <c r="Y2678" s="2178"/>
      <c r="Z2678" s="2178"/>
      <c r="AA2678" s="2178"/>
      <c r="AB2678" s="2178"/>
      <c r="AC2678" s="2178"/>
      <c r="AD2678" s="2178"/>
      <c r="AE2678" s="2178"/>
      <c r="AF2678" s="2178"/>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2178"/>
      <c r="C2828" s="2178"/>
      <c r="D2828" s="2178"/>
      <c r="E2828" s="2178"/>
      <c r="F2828" s="2178"/>
      <c r="G2828" s="2178"/>
      <c r="H2828" s="2178"/>
      <c r="I2828" s="2178"/>
      <c r="J2828" s="2178"/>
      <c r="K2828" s="2178"/>
      <c r="L2828" s="2178"/>
      <c r="M2828" s="2178"/>
      <c r="N2828" s="2178"/>
      <c r="O2828" s="2178"/>
      <c r="P2828" s="2178"/>
      <c r="Q2828" s="2178"/>
      <c r="R2828" s="2178"/>
      <c r="S2828" s="2178"/>
      <c r="T2828" s="2178"/>
      <c r="U2828" s="2178"/>
      <c r="V2828" s="2178"/>
      <c r="W2828" s="2178"/>
      <c r="X2828" s="2178"/>
      <c r="Y2828" s="2178"/>
      <c r="Z2828" s="2178"/>
      <c r="AA2828" s="2178"/>
      <c r="AB2828" s="2178"/>
      <c r="AC2828" s="2178"/>
      <c r="AD2828" s="2178"/>
      <c r="AE2828" s="2178"/>
      <c r="AF2828" s="2178"/>
    </row>
  </sheetData>
  <mergeCells count="24">
    <mergeCell ref="B62:AG62"/>
    <mergeCell ref="B2228:AF2228"/>
    <mergeCell ref="B2378:AF2378"/>
    <mergeCell ref="B2528:AF2528"/>
    <mergeCell ref="B2678:AF2678"/>
    <mergeCell ref="B1778:AF1778"/>
    <mergeCell ref="B1928:AF1928"/>
    <mergeCell ref="B728:AF728"/>
    <mergeCell ref="B156:AF156"/>
    <mergeCell ref="B292:AF292"/>
    <mergeCell ref="B378:AF378"/>
    <mergeCell ref="B560:AF560"/>
    <mergeCell ref="B652:AF652"/>
    <mergeCell ref="B1082:AF1082"/>
    <mergeCell ref="B1179:AF1179"/>
    <mergeCell ref="B1313:AF1313"/>
    <mergeCell ref="B2828:AF2828"/>
    <mergeCell ref="B2078:AF2078"/>
    <mergeCell ref="B819:AF819"/>
    <mergeCell ref="B897:AF897"/>
    <mergeCell ref="B983:AF983"/>
    <mergeCell ref="B1431:AF1431"/>
    <mergeCell ref="B1535:AF1535"/>
    <mergeCell ref="B1628:AF1628"/>
  </mergeCells>
  <pageMargins left="0.75" right="0.75" top="1" bottom="1" header="0.5" footer="0.5"/>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83DBF-E0F8-424B-B345-3C549696F85A}">
  <sheetPr codeName="Sheet36"/>
  <dimension ref="A1:AH2828"/>
  <sheetViews>
    <sheetView workbookViewId="0">
      <pane xSplit="2" ySplit="1" topLeftCell="C2" activePane="bottomRight" state="frozen"/>
      <selection pane="topRight" activeCell="C1" sqref="C1"/>
      <selection pane="bottomLeft" activeCell="A2" sqref="A2"/>
      <selection pane="bottomRight" activeCell="AE26" sqref="AE26:AE27"/>
    </sheetView>
  </sheetViews>
  <sheetFormatPr baseColWidth="10" defaultColWidth="9.33203125" defaultRowHeight="15" customHeight="1"/>
  <cols>
    <col min="1" max="1" width="20.6640625" style="28" hidden="1" customWidth="1"/>
    <col min="2" max="2" width="45.6640625" style="28" customWidth="1"/>
    <col min="3" max="16384" width="9.33203125" style="28"/>
  </cols>
  <sheetData>
    <row r="1" spans="1:33" ht="15" customHeight="1" thickBot="1">
      <c r="B1" s="50" t="s">
        <v>2046</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2047</v>
      </c>
      <c r="D3" s="48" t="s">
        <v>311</v>
      </c>
      <c r="E3" s="47"/>
      <c r="F3" s="47"/>
      <c r="G3" s="47"/>
    </row>
    <row r="4" spans="1:33" ht="15" customHeight="1">
      <c r="C4" s="48" t="s">
        <v>2048</v>
      </c>
      <c r="D4" s="48" t="s">
        <v>2049</v>
      </c>
      <c r="E4" s="47"/>
      <c r="F4" s="47"/>
      <c r="G4" s="48" t="s">
        <v>207</v>
      </c>
    </row>
    <row r="5" spans="1:33" ht="15" customHeight="1">
      <c r="C5" s="48" t="s">
        <v>2050</v>
      </c>
      <c r="D5" s="48" t="s">
        <v>2051</v>
      </c>
      <c r="E5" s="47"/>
      <c r="F5" s="47"/>
      <c r="G5" s="47"/>
    </row>
    <row r="6" spans="1:33" ht="15" customHeight="1">
      <c r="C6" s="48" t="s">
        <v>2052</v>
      </c>
      <c r="D6" s="47"/>
      <c r="E6" s="48" t="s">
        <v>2053</v>
      </c>
      <c r="F6" s="47"/>
      <c r="G6" s="47"/>
    </row>
    <row r="7" spans="1:33" ht="12" customHeight="1"/>
    <row r="8" spans="1:33" ht="12" customHeight="1"/>
    <row r="9" spans="1:33" ht="12" customHeight="1"/>
    <row r="10" spans="1:33" ht="15" customHeight="1">
      <c r="A10" s="34" t="s">
        <v>2941</v>
      </c>
      <c r="B10" s="46" t="s">
        <v>2942</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2058</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2059</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2061</v>
      </c>
      <c r="AG12" s="29"/>
    </row>
    <row r="13" spans="1:33" ht="15" customHeight="1" thickBot="1">
      <c r="B13" s="42" t="s">
        <v>2763</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A15" s="34" t="s">
        <v>2943</v>
      </c>
      <c r="B15" s="33" t="s">
        <v>2695</v>
      </c>
      <c r="C15" s="40">
        <v>178.25112899999999</v>
      </c>
      <c r="D15" s="40">
        <v>174.161621</v>
      </c>
      <c r="E15" s="40">
        <v>170.28919999999999</v>
      </c>
      <c r="F15" s="40">
        <v>170.04310599999999</v>
      </c>
      <c r="G15" s="40">
        <v>170.917877</v>
      </c>
      <c r="H15" s="40">
        <v>171.976822</v>
      </c>
      <c r="I15" s="40">
        <v>173.003601</v>
      </c>
      <c r="J15" s="40">
        <v>173.91674800000001</v>
      </c>
      <c r="K15" s="40">
        <v>174.72404499999999</v>
      </c>
      <c r="L15" s="40">
        <v>175.94982899999999</v>
      </c>
      <c r="M15" s="40">
        <v>177.36140399999999</v>
      </c>
      <c r="N15" s="40">
        <v>178.536407</v>
      </c>
      <c r="O15" s="40">
        <v>179.796448</v>
      </c>
      <c r="P15" s="40">
        <v>181.13580300000001</v>
      </c>
      <c r="Q15" s="40">
        <v>182.15789799999999</v>
      </c>
      <c r="R15" s="40">
        <v>183.319031</v>
      </c>
      <c r="S15" s="40">
        <v>184.29617300000001</v>
      </c>
      <c r="T15" s="40">
        <v>185.34754899999999</v>
      </c>
      <c r="U15" s="40">
        <v>186.470169</v>
      </c>
      <c r="V15" s="40">
        <v>187.50720200000001</v>
      </c>
      <c r="W15" s="40">
        <v>188.64054899999999</v>
      </c>
      <c r="X15" s="40">
        <v>189.59530599999999</v>
      </c>
      <c r="Y15" s="40">
        <v>190.21421799999999</v>
      </c>
      <c r="Z15" s="40">
        <v>190.60817</v>
      </c>
      <c r="AA15" s="40">
        <v>191.395081</v>
      </c>
      <c r="AB15" s="40">
        <v>192.590057</v>
      </c>
      <c r="AC15" s="40">
        <v>193.086319</v>
      </c>
      <c r="AD15" s="40">
        <v>193.76010099999999</v>
      </c>
      <c r="AE15" s="40">
        <v>195.152557</v>
      </c>
      <c r="AF15" s="31">
        <v>3.241E-3</v>
      </c>
      <c r="AG15" s="29"/>
    </row>
    <row r="16" spans="1:33" ht="15" customHeight="1">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B17" s="33" t="s">
        <v>2888</v>
      </c>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row>
    <row r="18" spans="1:33" ht="15" customHeight="1">
      <c r="A18" s="34" t="s">
        <v>2944</v>
      </c>
      <c r="B18" s="37" t="s">
        <v>2770</v>
      </c>
      <c r="C18" s="36">
        <v>34.950839999999999</v>
      </c>
      <c r="D18" s="36">
        <v>40.572555999999999</v>
      </c>
      <c r="E18" s="36">
        <v>27.147631000000001</v>
      </c>
      <c r="F18" s="36">
        <v>23.272955</v>
      </c>
      <c r="G18" s="36">
        <v>21.742771000000001</v>
      </c>
      <c r="H18" s="36">
        <v>20.544149000000001</v>
      </c>
      <c r="I18" s="36">
        <v>19.559303</v>
      </c>
      <c r="J18" s="36">
        <v>19.004791000000001</v>
      </c>
      <c r="K18" s="36">
        <v>18.616489000000001</v>
      </c>
      <c r="L18" s="36">
        <v>18.476471</v>
      </c>
      <c r="M18" s="36">
        <v>18.547514</v>
      </c>
      <c r="N18" s="36">
        <v>18.888978999999999</v>
      </c>
      <c r="O18" s="36">
        <v>19.386892</v>
      </c>
      <c r="P18" s="36">
        <v>20.071380999999999</v>
      </c>
      <c r="Q18" s="36">
        <v>20.554195</v>
      </c>
      <c r="R18" s="36">
        <v>21.155733000000001</v>
      </c>
      <c r="S18" s="36">
        <v>22.047943</v>
      </c>
      <c r="T18" s="36">
        <v>22.271702000000001</v>
      </c>
      <c r="U18" s="36">
        <v>23.208603</v>
      </c>
      <c r="V18" s="36">
        <v>23.924320000000002</v>
      </c>
      <c r="W18" s="36">
        <v>24.421348999999999</v>
      </c>
      <c r="X18" s="36">
        <v>24.529907000000001</v>
      </c>
      <c r="Y18" s="36">
        <v>24.719733999999999</v>
      </c>
      <c r="Z18" s="36">
        <v>24.979818000000002</v>
      </c>
      <c r="AA18" s="36">
        <v>24.994133000000001</v>
      </c>
      <c r="AB18" s="36">
        <v>25.221240999999999</v>
      </c>
      <c r="AC18" s="36">
        <v>25.184864000000001</v>
      </c>
      <c r="AD18" s="36">
        <v>25.148603000000001</v>
      </c>
      <c r="AE18" s="36">
        <v>25.388667999999999</v>
      </c>
      <c r="AF18" s="35">
        <v>-1.1351E-2</v>
      </c>
      <c r="AG18" s="29"/>
    </row>
    <row r="19" spans="1:33" ht="15" customHeight="1">
      <c r="A19" s="34" t="s">
        <v>2945</v>
      </c>
      <c r="B19" s="37" t="s">
        <v>2772</v>
      </c>
      <c r="C19" s="36">
        <v>3.9407079999999999</v>
      </c>
      <c r="D19" s="36">
        <v>4.4438750000000002</v>
      </c>
      <c r="E19" s="36">
        <v>3.972874</v>
      </c>
      <c r="F19" s="36">
        <v>3.9216250000000001</v>
      </c>
      <c r="G19" s="36">
        <v>3.9430049999999999</v>
      </c>
      <c r="H19" s="36">
        <v>3.9924400000000002</v>
      </c>
      <c r="I19" s="36">
        <v>4.0465540000000004</v>
      </c>
      <c r="J19" s="36">
        <v>4.0177490000000002</v>
      </c>
      <c r="K19" s="36">
        <v>4.0026489999999999</v>
      </c>
      <c r="L19" s="36">
        <v>3.9804900000000001</v>
      </c>
      <c r="M19" s="36">
        <v>3.9728309999999998</v>
      </c>
      <c r="N19" s="36">
        <v>3.9834239999999999</v>
      </c>
      <c r="O19" s="36">
        <v>4.0164780000000002</v>
      </c>
      <c r="P19" s="36">
        <v>4.0544269999999996</v>
      </c>
      <c r="Q19" s="36">
        <v>4.0837849999999998</v>
      </c>
      <c r="R19" s="36">
        <v>4.1107589999999998</v>
      </c>
      <c r="S19" s="36">
        <v>4.1619029999999997</v>
      </c>
      <c r="T19" s="36">
        <v>4.1796670000000002</v>
      </c>
      <c r="U19" s="36">
        <v>4.227811</v>
      </c>
      <c r="V19" s="36">
        <v>4.2576450000000001</v>
      </c>
      <c r="W19" s="36">
        <v>4.2925750000000003</v>
      </c>
      <c r="X19" s="36">
        <v>4.2972830000000002</v>
      </c>
      <c r="Y19" s="36">
        <v>4.3152340000000002</v>
      </c>
      <c r="Z19" s="36">
        <v>4.3258640000000002</v>
      </c>
      <c r="AA19" s="36">
        <v>4.3129770000000001</v>
      </c>
      <c r="AB19" s="36">
        <v>4.3237800000000002</v>
      </c>
      <c r="AC19" s="36">
        <v>4.3171939999999998</v>
      </c>
      <c r="AD19" s="36">
        <v>4.3061889999999998</v>
      </c>
      <c r="AE19" s="36">
        <v>4.3138329999999998</v>
      </c>
      <c r="AF19" s="35">
        <v>3.2360000000000002E-3</v>
      </c>
      <c r="AG19" s="29"/>
    </row>
    <row r="20" spans="1:33" ht="15" customHeight="1">
      <c r="A20" s="34" t="s">
        <v>2946</v>
      </c>
      <c r="B20" s="37" t="s">
        <v>2892</v>
      </c>
      <c r="C20" s="36">
        <v>0.299655</v>
      </c>
      <c r="D20" s="36">
        <v>0.32201000000000002</v>
      </c>
      <c r="E20" s="36">
        <v>0.18301300000000001</v>
      </c>
      <c r="F20" s="36">
        <v>0.191529</v>
      </c>
      <c r="G20" s="36">
        <v>0.197103</v>
      </c>
      <c r="H20" s="36">
        <v>0.20072499999999999</v>
      </c>
      <c r="I20" s="36">
        <v>0.20125599999999999</v>
      </c>
      <c r="J20" s="36">
        <v>0.20036300000000001</v>
      </c>
      <c r="K20" s="36">
        <v>0.19803499999999999</v>
      </c>
      <c r="L20" s="36">
        <v>0.194933</v>
      </c>
      <c r="M20" s="36">
        <v>0.191057</v>
      </c>
      <c r="N20" s="36">
        <v>0.187749</v>
      </c>
      <c r="O20" s="36">
        <v>0.185864</v>
      </c>
      <c r="P20" s="36">
        <v>0.18539600000000001</v>
      </c>
      <c r="Q20" s="36">
        <v>0.18515899999999999</v>
      </c>
      <c r="R20" s="36">
        <v>0.184586</v>
      </c>
      <c r="S20" s="36">
        <v>0.18356500000000001</v>
      </c>
      <c r="T20" s="36">
        <v>0.18434600000000001</v>
      </c>
      <c r="U20" s="36">
        <v>0.18319099999999999</v>
      </c>
      <c r="V20" s="36">
        <v>0.18230099999999999</v>
      </c>
      <c r="W20" s="36">
        <v>0.18245700000000001</v>
      </c>
      <c r="X20" s="36">
        <v>0.18298600000000001</v>
      </c>
      <c r="Y20" s="36">
        <v>0.18359700000000001</v>
      </c>
      <c r="Z20" s="36">
        <v>0.18352599999999999</v>
      </c>
      <c r="AA20" s="36">
        <v>0.18363599999999999</v>
      </c>
      <c r="AB20" s="36">
        <v>0.18354599999999999</v>
      </c>
      <c r="AC20" s="36">
        <v>0.18293699999999999</v>
      </c>
      <c r="AD20" s="36">
        <v>0.18279799999999999</v>
      </c>
      <c r="AE20" s="36">
        <v>0.182703</v>
      </c>
      <c r="AF20" s="35">
        <v>-1.7514999999999999E-2</v>
      </c>
      <c r="AG20" s="29"/>
    </row>
    <row r="21" spans="1:33" ht="15" customHeight="1">
      <c r="A21" s="34" t="s">
        <v>2947</v>
      </c>
      <c r="B21" s="37" t="s">
        <v>2776</v>
      </c>
      <c r="C21" s="36">
        <v>0</v>
      </c>
      <c r="D21" s="36">
        <v>0</v>
      </c>
      <c r="E21" s="36">
        <v>0</v>
      </c>
      <c r="F21" s="36">
        <v>0</v>
      </c>
      <c r="G21" s="36">
        <v>0</v>
      </c>
      <c r="H21" s="36">
        <v>0</v>
      </c>
      <c r="I21" s="36">
        <v>0</v>
      </c>
      <c r="J21" s="36">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6">
        <v>0</v>
      </c>
      <c r="AC21" s="36">
        <v>0</v>
      </c>
      <c r="AD21" s="36">
        <v>0</v>
      </c>
      <c r="AE21" s="36">
        <v>0</v>
      </c>
      <c r="AF21" s="35" t="s">
        <v>1278</v>
      </c>
      <c r="AG21" s="29"/>
    </row>
    <row r="22" spans="1:33" ht="15" customHeight="1">
      <c r="A22" s="34" t="s">
        <v>2948</v>
      </c>
      <c r="B22" s="37" t="s">
        <v>2894</v>
      </c>
      <c r="C22" s="36">
        <v>0</v>
      </c>
      <c r="D22" s="36">
        <v>0</v>
      </c>
      <c r="E22" s="36">
        <v>0</v>
      </c>
      <c r="F22" s="36">
        <v>0</v>
      </c>
      <c r="G22" s="36">
        <v>0</v>
      </c>
      <c r="H22" s="36">
        <v>0</v>
      </c>
      <c r="I22" s="36">
        <v>0</v>
      </c>
      <c r="J22" s="36">
        <v>0</v>
      </c>
      <c r="K22" s="36">
        <v>0</v>
      </c>
      <c r="L22" s="36">
        <v>0</v>
      </c>
      <c r="M22" s="36">
        <v>0</v>
      </c>
      <c r="N22" s="36">
        <v>0</v>
      </c>
      <c r="O22" s="36">
        <v>0</v>
      </c>
      <c r="P22" s="36">
        <v>0</v>
      </c>
      <c r="Q22" s="36">
        <v>0</v>
      </c>
      <c r="R22" s="36">
        <v>0</v>
      </c>
      <c r="S22" s="36">
        <v>0</v>
      </c>
      <c r="T22" s="36">
        <v>0</v>
      </c>
      <c r="U22" s="36">
        <v>0</v>
      </c>
      <c r="V22" s="36">
        <v>0</v>
      </c>
      <c r="W22" s="36">
        <v>0</v>
      </c>
      <c r="X22" s="36">
        <v>0</v>
      </c>
      <c r="Y22" s="36">
        <v>0</v>
      </c>
      <c r="Z22" s="36">
        <v>0</v>
      </c>
      <c r="AA22" s="36">
        <v>0</v>
      </c>
      <c r="AB22" s="36">
        <v>0</v>
      </c>
      <c r="AC22" s="36">
        <v>0</v>
      </c>
      <c r="AD22" s="36">
        <v>0</v>
      </c>
      <c r="AE22" s="36">
        <v>0</v>
      </c>
      <c r="AF22" s="35" t="s">
        <v>1278</v>
      </c>
      <c r="AG22" s="29"/>
    </row>
    <row r="23" spans="1:33" ht="15" customHeight="1">
      <c r="A23" s="34" t="s">
        <v>2949</v>
      </c>
      <c r="B23" s="37" t="s">
        <v>2782</v>
      </c>
      <c r="C23" s="36">
        <v>39.191203999999999</v>
      </c>
      <c r="D23" s="36">
        <v>45.338439999999999</v>
      </c>
      <c r="E23" s="36">
        <v>31.303518</v>
      </c>
      <c r="F23" s="36">
        <v>27.386108</v>
      </c>
      <c r="G23" s="36">
        <v>25.882878999999999</v>
      </c>
      <c r="H23" s="36">
        <v>24.737314000000001</v>
      </c>
      <c r="I23" s="36">
        <v>23.807113999999999</v>
      </c>
      <c r="J23" s="36">
        <v>23.222904</v>
      </c>
      <c r="K23" s="36">
        <v>22.817173</v>
      </c>
      <c r="L23" s="36">
        <v>22.651893999999999</v>
      </c>
      <c r="M23" s="36">
        <v>22.711403000000001</v>
      </c>
      <c r="N23" s="36">
        <v>23.06015</v>
      </c>
      <c r="O23" s="36">
        <v>23.589233</v>
      </c>
      <c r="P23" s="36">
        <v>24.311202999999999</v>
      </c>
      <c r="Q23" s="36">
        <v>24.823141</v>
      </c>
      <c r="R23" s="36">
        <v>25.451077000000002</v>
      </c>
      <c r="S23" s="36">
        <v>26.393412000000001</v>
      </c>
      <c r="T23" s="36">
        <v>26.635715000000001</v>
      </c>
      <c r="U23" s="36">
        <v>27.619603999999999</v>
      </c>
      <c r="V23" s="36">
        <v>28.364265</v>
      </c>
      <c r="W23" s="36">
        <v>28.896381000000002</v>
      </c>
      <c r="X23" s="36">
        <v>29.010176000000001</v>
      </c>
      <c r="Y23" s="36">
        <v>29.218563</v>
      </c>
      <c r="Z23" s="36">
        <v>29.489208000000001</v>
      </c>
      <c r="AA23" s="36">
        <v>29.490746000000001</v>
      </c>
      <c r="AB23" s="36">
        <v>29.728567000000002</v>
      </c>
      <c r="AC23" s="36">
        <v>29.684996000000002</v>
      </c>
      <c r="AD23" s="36">
        <v>29.637589999999999</v>
      </c>
      <c r="AE23" s="36">
        <v>29.885204000000002</v>
      </c>
      <c r="AF23" s="35">
        <v>-9.6349999999999995E-3</v>
      </c>
      <c r="AG23" s="29"/>
    </row>
    <row r="24" spans="1:33" ht="15" customHeight="1">
      <c r="A24" s="34" t="s">
        <v>2950</v>
      </c>
      <c r="B24" s="37" t="s">
        <v>2784</v>
      </c>
      <c r="C24" s="36">
        <v>573.87976100000003</v>
      </c>
      <c r="D24" s="36">
        <v>545.15441899999996</v>
      </c>
      <c r="E24" s="36">
        <v>539.29144299999996</v>
      </c>
      <c r="F24" s="36">
        <v>527.48071300000004</v>
      </c>
      <c r="G24" s="36">
        <v>523.53930700000001</v>
      </c>
      <c r="H24" s="36">
        <v>518.51226799999995</v>
      </c>
      <c r="I24" s="36">
        <v>512.27349900000002</v>
      </c>
      <c r="J24" s="36">
        <v>504.78509500000001</v>
      </c>
      <c r="K24" s="36">
        <v>496.88464399999998</v>
      </c>
      <c r="L24" s="36">
        <v>489.97668499999997</v>
      </c>
      <c r="M24" s="36">
        <v>483.709656</v>
      </c>
      <c r="N24" s="36">
        <v>476.49285900000001</v>
      </c>
      <c r="O24" s="36">
        <v>470.36413599999997</v>
      </c>
      <c r="P24" s="36">
        <v>464.98642000000001</v>
      </c>
      <c r="Q24" s="36">
        <v>460.31521600000002</v>
      </c>
      <c r="R24" s="36">
        <v>455.80682400000001</v>
      </c>
      <c r="S24" s="36">
        <v>449.72418199999998</v>
      </c>
      <c r="T24" s="36">
        <v>446.86090100000001</v>
      </c>
      <c r="U24" s="36">
        <v>441.69592299999999</v>
      </c>
      <c r="V24" s="36">
        <v>437.25598100000002</v>
      </c>
      <c r="W24" s="36">
        <v>434.72305299999999</v>
      </c>
      <c r="X24" s="36">
        <v>432.90914900000001</v>
      </c>
      <c r="Y24" s="36">
        <v>430.39880399999998</v>
      </c>
      <c r="Z24" s="36">
        <v>427.007385</v>
      </c>
      <c r="AA24" s="36">
        <v>425.05633499999999</v>
      </c>
      <c r="AB24" s="36">
        <v>424.72814899999997</v>
      </c>
      <c r="AC24" s="36">
        <v>423.06310999999999</v>
      </c>
      <c r="AD24" s="36">
        <v>422.01126099999999</v>
      </c>
      <c r="AE24" s="36">
        <v>422.27420000000001</v>
      </c>
      <c r="AF24" s="35">
        <v>-1.0895999999999999E-2</v>
      </c>
      <c r="AG24" s="29"/>
    </row>
    <row r="25" spans="1:33" ht="15" customHeight="1">
      <c r="A25" s="34" t="s">
        <v>2951</v>
      </c>
      <c r="B25" s="37" t="s">
        <v>2898</v>
      </c>
      <c r="C25" s="36">
        <v>32.880004999999997</v>
      </c>
      <c r="D25" s="36">
        <v>28.894736999999999</v>
      </c>
      <c r="E25" s="36">
        <v>27.243216</v>
      </c>
      <c r="F25" s="36">
        <v>26.025777999999999</v>
      </c>
      <c r="G25" s="36">
        <v>25.376738</v>
      </c>
      <c r="H25" s="36">
        <v>24.782426999999998</v>
      </c>
      <c r="I25" s="36">
        <v>24.211957999999999</v>
      </c>
      <c r="J25" s="36">
        <v>23.661953</v>
      </c>
      <c r="K25" s="36">
        <v>23.118748</v>
      </c>
      <c r="L25" s="36">
        <v>22.652647000000002</v>
      </c>
      <c r="M25" s="36">
        <v>22.225349000000001</v>
      </c>
      <c r="N25" s="36">
        <v>21.810572000000001</v>
      </c>
      <c r="O25" s="36">
        <v>21.390429999999999</v>
      </c>
      <c r="P25" s="36">
        <v>20.979005999999998</v>
      </c>
      <c r="Q25" s="36">
        <v>20.426134000000001</v>
      </c>
      <c r="R25" s="36">
        <v>19.920385</v>
      </c>
      <c r="S25" s="36">
        <v>19.519939000000001</v>
      </c>
      <c r="T25" s="36">
        <v>18.896076000000001</v>
      </c>
      <c r="U25" s="36">
        <v>18.538605</v>
      </c>
      <c r="V25" s="36">
        <v>18.129128000000001</v>
      </c>
      <c r="W25" s="36">
        <v>17.623336999999999</v>
      </c>
      <c r="X25" s="36">
        <v>17.038668000000001</v>
      </c>
      <c r="Y25" s="36">
        <v>16.435141000000002</v>
      </c>
      <c r="Z25" s="36">
        <v>15.887081</v>
      </c>
      <c r="AA25" s="36">
        <v>15.345724000000001</v>
      </c>
      <c r="AB25" s="36">
        <v>14.819832999999999</v>
      </c>
      <c r="AC25" s="36">
        <v>14.249347999999999</v>
      </c>
      <c r="AD25" s="36">
        <v>13.704841</v>
      </c>
      <c r="AE25" s="36">
        <v>13.260479</v>
      </c>
      <c r="AF25" s="35">
        <v>-3.1911000000000002E-2</v>
      </c>
      <c r="AG25" s="29"/>
    </row>
    <row r="26" spans="1:33" ht="15" customHeight="1">
      <c r="A26" s="34" t="s">
        <v>2952</v>
      </c>
      <c r="B26" s="37" t="s">
        <v>2900</v>
      </c>
      <c r="C26" s="36">
        <v>908.72906499999999</v>
      </c>
      <c r="D26" s="36">
        <v>971.365723</v>
      </c>
      <c r="E26" s="36">
        <v>946.08654799999999</v>
      </c>
      <c r="F26" s="36">
        <v>943.42578100000003</v>
      </c>
      <c r="G26" s="36">
        <v>945.91430700000001</v>
      </c>
      <c r="H26" s="36">
        <v>949.74676499999998</v>
      </c>
      <c r="I26" s="36">
        <v>953.59387200000003</v>
      </c>
      <c r="J26" s="36">
        <v>956.45159899999999</v>
      </c>
      <c r="K26" s="36">
        <v>958.91522199999997</v>
      </c>
      <c r="L26" s="36">
        <v>964.25866699999995</v>
      </c>
      <c r="M26" s="36">
        <v>970.61932400000001</v>
      </c>
      <c r="N26" s="36">
        <v>976.09631300000001</v>
      </c>
      <c r="O26" s="36">
        <v>981.73999000000003</v>
      </c>
      <c r="P26" s="36">
        <v>987.38037099999997</v>
      </c>
      <c r="Q26" s="36">
        <v>991.21142599999996</v>
      </c>
      <c r="R26" s="36">
        <v>996.114868</v>
      </c>
      <c r="S26" s="36">
        <v>999.76086399999997</v>
      </c>
      <c r="T26" s="36">
        <v>1004.101135</v>
      </c>
      <c r="U26" s="36">
        <v>1009.4537350000001</v>
      </c>
      <c r="V26" s="36">
        <v>1014.199829</v>
      </c>
      <c r="W26" s="36">
        <v>1019.233521</v>
      </c>
      <c r="X26" s="36">
        <v>1023.329834</v>
      </c>
      <c r="Y26" s="36">
        <v>1025.608154</v>
      </c>
      <c r="Z26" s="36">
        <v>1026.8476559999999</v>
      </c>
      <c r="AA26" s="36">
        <v>1030.7080080000001</v>
      </c>
      <c r="AB26" s="36">
        <v>1037.2030030000001</v>
      </c>
      <c r="AC26" s="36">
        <v>1039.6096190000001</v>
      </c>
      <c r="AD26" s="36">
        <v>1043.1267089999999</v>
      </c>
      <c r="AE26" s="36">
        <v>1050.7769780000001</v>
      </c>
      <c r="AF26" s="35">
        <v>5.2009999999999999E-3</v>
      </c>
      <c r="AG26" s="29"/>
    </row>
    <row r="27" spans="1:33" ht="15" customHeight="1">
      <c r="A27" s="34" t="s">
        <v>2953</v>
      </c>
      <c r="B27" s="37" t="s">
        <v>2796</v>
      </c>
      <c r="C27" s="36">
        <v>196.46006800000001</v>
      </c>
      <c r="D27" s="36">
        <v>195.60232500000001</v>
      </c>
      <c r="E27" s="36">
        <v>190.451401</v>
      </c>
      <c r="F27" s="36">
        <v>190.66433699999999</v>
      </c>
      <c r="G27" s="36">
        <v>189.75685100000001</v>
      </c>
      <c r="H27" s="36">
        <v>188.86218299999999</v>
      </c>
      <c r="I27" s="36">
        <v>187.78447</v>
      </c>
      <c r="J27" s="36">
        <v>186.52993799999999</v>
      </c>
      <c r="K27" s="36">
        <v>185.172562</v>
      </c>
      <c r="L27" s="36">
        <v>184.35240200000001</v>
      </c>
      <c r="M27" s="36">
        <v>183.87545800000001</v>
      </c>
      <c r="N27" s="36">
        <v>183.08543399999999</v>
      </c>
      <c r="O27" s="36">
        <v>182.828384</v>
      </c>
      <c r="P27" s="36">
        <v>182.925049</v>
      </c>
      <c r="Q27" s="36">
        <v>182.671967</v>
      </c>
      <c r="R27" s="36">
        <v>182.56054700000001</v>
      </c>
      <c r="S27" s="36">
        <v>182.357788</v>
      </c>
      <c r="T27" s="36">
        <v>182.29714999999999</v>
      </c>
      <c r="U27" s="36">
        <v>182.395477</v>
      </c>
      <c r="V27" s="36">
        <v>182.50735499999999</v>
      </c>
      <c r="W27" s="36">
        <v>182.899857</v>
      </c>
      <c r="X27" s="36">
        <v>183.19813500000001</v>
      </c>
      <c r="Y27" s="36">
        <v>183.20198099999999</v>
      </c>
      <c r="Z27" s="36">
        <v>183.06118799999999</v>
      </c>
      <c r="AA27" s="36">
        <v>183.351562</v>
      </c>
      <c r="AB27" s="36">
        <v>184.03637699999999</v>
      </c>
      <c r="AC27" s="36">
        <v>184.09605400000001</v>
      </c>
      <c r="AD27" s="36">
        <v>184.361481</v>
      </c>
      <c r="AE27" s="36">
        <v>185.328171</v>
      </c>
      <c r="AF27" s="35">
        <v>-2.081E-3</v>
      </c>
      <c r="AG27" s="29"/>
    </row>
    <row r="28" spans="1:33" ht="15" customHeight="1">
      <c r="A28" s="34" t="s">
        <v>2954</v>
      </c>
      <c r="B28" s="33" t="s">
        <v>2798</v>
      </c>
      <c r="C28" s="32">
        <v>1751.1401370000001</v>
      </c>
      <c r="D28" s="32">
        <v>1786.355591</v>
      </c>
      <c r="E28" s="32">
        <v>1734.376221</v>
      </c>
      <c r="F28" s="32">
        <v>1714.9826660000001</v>
      </c>
      <c r="G28" s="32">
        <v>1710.469971</v>
      </c>
      <c r="H28" s="32">
        <v>1706.640991</v>
      </c>
      <c r="I28" s="32">
        <v>1701.6708980000001</v>
      </c>
      <c r="J28" s="32">
        <v>1694.6514890000001</v>
      </c>
      <c r="K28" s="32">
        <v>1686.908447</v>
      </c>
      <c r="L28" s="32">
        <v>1683.8923339999999</v>
      </c>
      <c r="M28" s="32">
        <v>1683.1412350000001</v>
      </c>
      <c r="N28" s="32">
        <v>1680.5454099999999</v>
      </c>
      <c r="O28" s="32">
        <v>1679.9121090000001</v>
      </c>
      <c r="P28" s="32">
        <v>1680.5820309999999</v>
      </c>
      <c r="Q28" s="32">
        <v>1679.447876</v>
      </c>
      <c r="R28" s="32">
        <v>1679.85376</v>
      </c>
      <c r="S28" s="32">
        <v>1677.756226</v>
      </c>
      <c r="T28" s="32">
        <v>1678.7910159999999</v>
      </c>
      <c r="U28" s="32">
        <v>1679.7033690000001</v>
      </c>
      <c r="V28" s="32">
        <v>1680.456543</v>
      </c>
      <c r="W28" s="32">
        <v>1683.376221</v>
      </c>
      <c r="X28" s="32">
        <v>1685.485962</v>
      </c>
      <c r="Y28" s="32">
        <v>1684.8626710000001</v>
      </c>
      <c r="Z28" s="32">
        <v>1682.2924800000001</v>
      </c>
      <c r="AA28" s="32">
        <v>1683.952393</v>
      </c>
      <c r="AB28" s="32">
        <v>1690.5158690000001</v>
      </c>
      <c r="AC28" s="32">
        <v>1690.703125</v>
      </c>
      <c r="AD28" s="32">
        <v>1692.841919</v>
      </c>
      <c r="AE28" s="32">
        <v>1701.5249020000001</v>
      </c>
      <c r="AF28" s="31">
        <v>-1.026E-3</v>
      </c>
      <c r="AG28" s="29"/>
    </row>
    <row r="29" spans="1:33" ht="15" customHeight="1">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row>
    <row r="30" spans="1:33" ht="15" customHeight="1">
      <c r="B30" s="33" t="s">
        <v>2903</v>
      </c>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row>
    <row r="31" spans="1:33" ht="15" customHeight="1">
      <c r="B31" s="33" t="s">
        <v>2904</v>
      </c>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row>
    <row r="32" spans="1:33" ht="15" customHeight="1">
      <c r="A32" s="34" t="s">
        <v>2955</v>
      </c>
      <c r="B32" s="37" t="s">
        <v>2770</v>
      </c>
      <c r="C32" s="38">
        <v>0.196076</v>
      </c>
      <c r="D32" s="38">
        <v>0.232959</v>
      </c>
      <c r="E32" s="38">
        <v>0.15942100000000001</v>
      </c>
      <c r="F32" s="38">
        <v>0.13686499999999999</v>
      </c>
      <c r="G32" s="38">
        <v>0.12721199999999999</v>
      </c>
      <c r="H32" s="38">
        <v>0.119459</v>
      </c>
      <c r="I32" s="38">
        <v>0.113057</v>
      </c>
      <c r="J32" s="38">
        <v>0.109275</v>
      </c>
      <c r="K32" s="38">
        <v>0.106548</v>
      </c>
      <c r="L32" s="38">
        <v>0.10501000000000001</v>
      </c>
      <c r="M32" s="38">
        <v>0.104575</v>
      </c>
      <c r="N32" s="38">
        <v>0.105799</v>
      </c>
      <c r="O32" s="38">
        <v>0.10782700000000001</v>
      </c>
      <c r="P32" s="38">
        <v>0.110808</v>
      </c>
      <c r="Q32" s="38">
        <v>0.11283700000000001</v>
      </c>
      <c r="R32" s="38">
        <v>0.11540400000000001</v>
      </c>
      <c r="S32" s="38">
        <v>0.119633</v>
      </c>
      <c r="T32" s="38">
        <v>0.120162</v>
      </c>
      <c r="U32" s="38">
        <v>0.124463</v>
      </c>
      <c r="V32" s="38">
        <v>0.12759100000000001</v>
      </c>
      <c r="W32" s="38">
        <v>0.12945999999999999</v>
      </c>
      <c r="X32" s="38">
        <v>0.12938</v>
      </c>
      <c r="Y32" s="38">
        <v>0.12995699999999999</v>
      </c>
      <c r="Z32" s="38">
        <v>0.131053</v>
      </c>
      <c r="AA32" s="38">
        <v>0.13058900000000001</v>
      </c>
      <c r="AB32" s="38">
        <v>0.13095799999999999</v>
      </c>
      <c r="AC32" s="38">
        <v>0.13043299999999999</v>
      </c>
      <c r="AD32" s="38">
        <v>0.12979199999999999</v>
      </c>
      <c r="AE32" s="38">
        <v>0.13009699999999999</v>
      </c>
      <c r="AF32" s="35">
        <v>-1.4544E-2</v>
      </c>
      <c r="AG32" s="29"/>
    </row>
    <row r="33" spans="1:33" ht="15" customHeight="1">
      <c r="A33" s="34" t="s">
        <v>2956</v>
      </c>
      <c r="B33" s="37" t="s">
        <v>2772</v>
      </c>
      <c r="C33" s="38">
        <v>2.2107999999999999E-2</v>
      </c>
      <c r="D33" s="38">
        <v>2.5516E-2</v>
      </c>
      <c r="E33" s="38">
        <v>2.333E-2</v>
      </c>
      <c r="F33" s="38">
        <v>2.3063E-2</v>
      </c>
      <c r="G33" s="38">
        <v>2.307E-2</v>
      </c>
      <c r="H33" s="38">
        <v>2.3215E-2</v>
      </c>
      <c r="I33" s="38">
        <v>2.3390000000000001E-2</v>
      </c>
      <c r="J33" s="38">
        <v>2.3102000000000001E-2</v>
      </c>
      <c r="K33" s="38">
        <v>2.2908000000000001E-2</v>
      </c>
      <c r="L33" s="38">
        <v>2.2623000000000001E-2</v>
      </c>
      <c r="M33" s="38">
        <v>2.24E-2</v>
      </c>
      <c r="N33" s="38">
        <v>2.2311999999999999E-2</v>
      </c>
      <c r="O33" s="38">
        <v>2.2339000000000001E-2</v>
      </c>
      <c r="P33" s="38">
        <v>2.2383E-2</v>
      </c>
      <c r="Q33" s="38">
        <v>2.2419000000000001E-2</v>
      </c>
      <c r="R33" s="38">
        <v>2.2423999999999999E-2</v>
      </c>
      <c r="S33" s="38">
        <v>2.2582999999999999E-2</v>
      </c>
      <c r="T33" s="38">
        <v>2.2550000000000001E-2</v>
      </c>
      <c r="U33" s="38">
        <v>2.2672999999999999E-2</v>
      </c>
      <c r="V33" s="38">
        <v>2.2707000000000001E-2</v>
      </c>
      <c r="W33" s="38">
        <v>2.2755000000000001E-2</v>
      </c>
      <c r="X33" s="38">
        <v>2.2665999999999999E-2</v>
      </c>
      <c r="Y33" s="38">
        <v>2.2686000000000001E-2</v>
      </c>
      <c r="Z33" s="38">
        <v>2.2695E-2</v>
      </c>
      <c r="AA33" s="38">
        <v>2.2533999999999998E-2</v>
      </c>
      <c r="AB33" s="38">
        <v>2.2450999999999999E-2</v>
      </c>
      <c r="AC33" s="38">
        <v>2.2359E-2</v>
      </c>
      <c r="AD33" s="38">
        <v>2.2224000000000001E-2</v>
      </c>
      <c r="AE33" s="38">
        <v>2.2105E-2</v>
      </c>
      <c r="AF33" s="35">
        <v>-3.9999999999999998E-6</v>
      </c>
      <c r="AG33" s="29"/>
    </row>
    <row r="34" spans="1:33" ht="12" customHeight="1">
      <c r="A34" s="34" t="s">
        <v>2957</v>
      </c>
      <c r="B34" s="37" t="s">
        <v>2892</v>
      </c>
      <c r="C34" s="38">
        <v>1.681E-3</v>
      </c>
      <c r="D34" s="38">
        <v>1.8489999999999999E-3</v>
      </c>
      <c r="E34" s="38">
        <v>1.075E-3</v>
      </c>
      <c r="F34" s="38">
        <v>1.126E-3</v>
      </c>
      <c r="G34" s="38">
        <v>1.1529999999999999E-3</v>
      </c>
      <c r="H34" s="38">
        <v>1.1670000000000001E-3</v>
      </c>
      <c r="I34" s="38">
        <v>1.163E-3</v>
      </c>
      <c r="J34" s="38">
        <v>1.152E-3</v>
      </c>
      <c r="K34" s="38">
        <v>1.1329999999999999E-3</v>
      </c>
      <c r="L34" s="38">
        <v>1.108E-3</v>
      </c>
      <c r="M34" s="38">
        <v>1.077E-3</v>
      </c>
      <c r="N34" s="38">
        <v>1.052E-3</v>
      </c>
      <c r="O34" s="38">
        <v>1.034E-3</v>
      </c>
      <c r="P34" s="38">
        <v>1.024E-3</v>
      </c>
      <c r="Q34" s="38">
        <v>1.016E-3</v>
      </c>
      <c r="R34" s="38">
        <v>1.0070000000000001E-3</v>
      </c>
      <c r="S34" s="38">
        <v>9.9599999999999992E-4</v>
      </c>
      <c r="T34" s="38">
        <v>9.9500000000000001E-4</v>
      </c>
      <c r="U34" s="38">
        <v>9.8200000000000002E-4</v>
      </c>
      <c r="V34" s="38">
        <v>9.7199999999999999E-4</v>
      </c>
      <c r="W34" s="38">
        <v>9.6699999999999998E-4</v>
      </c>
      <c r="X34" s="38">
        <v>9.6500000000000004E-4</v>
      </c>
      <c r="Y34" s="38">
        <v>9.6500000000000004E-4</v>
      </c>
      <c r="Z34" s="38">
        <v>9.6299999999999999E-4</v>
      </c>
      <c r="AA34" s="38">
        <v>9.59E-4</v>
      </c>
      <c r="AB34" s="38">
        <v>9.5299999999999996E-4</v>
      </c>
      <c r="AC34" s="38">
        <v>9.4700000000000003E-4</v>
      </c>
      <c r="AD34" s="38">
        <v>9.4300000000000004E-4</v>
      </c>
      <c r="AE34" s="38">
        <v>9.3599999999999998E-4</v>
      </c>
      <c r="AF34" s="35">
        <v>-2.0688999999999999E-2</v>
      </c>
      <c r="AG34" s="29"/>
    </row>
    <row r="35" spans="1:33" ht="12" customHeight="1">
      <c r="A35" s="34" t="s">
        <v>2958</v>
      </c>
      <c r="B35" s="37" t="s">
        <v>2776</v>
      </c>
      <c r="C35" s="38">
        <v>0</v>
      </c>
      <c r="D35" s="38">
        <v>0</v>
      </c>
      <c r="E35" s="38">
        <v>0</v>
      </c>
      <c r="F35" s="38">
        <v>0</v>
      </c>
      <c r="G35" s="38">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5" t="s">
        <v>1278</v>
      </c>
      <c r="AG35" s="29"/>
    </row>
    <row r="36" spans="1:33" ht="12" customHeight="1">
      <c r="A36" s="34" t="s">
        <v>2959</v>
      </c>
      <c r="B36" s="37" t="s">
        <v>2894</v>
      </c>
      <c r="C36" s="38">
        <v>0</v>
      </c>
      <c r="D36" s="38">
        <v>0</v>
      </c>
      <c r="E36" s="38">
        <v>0</v>
      </c>
      <c r="F36" s="38">
        <v>0</v>
      </c>
      <c r="G36" s="38">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5" t="s">
        <v>1278</v>
      </c>
      <c r="AG36" s="29"/>
    </row>
    <row r="37" spans="1:33" ht="12" customHeight="1">
      <c r="A37" s="34" t="s">
        <v>2960</v>
      </c>
      <c r="B37" s="37" t="s">
        <v>2782</v>
      </c>
      <c r="C37" s="38">
        <v>0.219865</v>
      </c>
      <c r="D37" s="38">
        <v>0.260324</v>
      </c>
      <c r="E37" s="38">
        <v>0.18382599999999999</v>
      </c>
      <c r="F37" s="38">
        <v>0.161054</v>
      </c>
      <c r="G37" s="38">
        <v>0.15143499999999999</v>
      </c>
      <c r="H37" s="38">
        <v>0.143841</v>
      </c>
      <c r="I37" s="38">
        <v>0.13761100000000001</v>
      </c>
      <c r="J37" s="38">
        <v>0.13352900000000001</v>
      </c>
      <c r="K37" s="38">
        <v>0.13059000000000001</v>
      </c>
      <c r="L37" s="38">
        <v>0.12874099999999999</v>
      </c>
      <c r="M37" s="38">
        <v>0.128052</v>
      </c>
      <c r="N37" s="38">
        <v>0.129162</v>
      </c>
      <c r="O37" s="38">
        <v>0.13120000000000001</v>
      </c>
      <c r="P37" s="38">
        <v>0.134215</v>
      </c>
      <c r="Q37" s="38">
        <v>0.13627300000000001</v>
      </c>
      <c r="R37" s="38">
        <v>0.13883499999999999</v>
      </c>
      <c r="S37" s="38">
        <v>0.14321200000000001</v>
      </c>
      <c r="T37" s="38">
        <v>0.143707</v>
      </c>
      <c r="U37" s="38">
        <v>0.148118</v>
      </c>
      <c r="V37" s="38">
        <v>0.15126999999999999</v>
      </c>
      <c r="W37" s="38">
        <v>0.15318200000000001</v>
      </c>
      <c r="X37" s="38">
        <v>0.15301100000000001</v>
      </c>
      <c r="Y37" s="38">
        <v>0.153609</v>
      </c>
      <c r="Z37" s="38">
        <v>0.15471099999999999</v>
      </c>
      <c r="AA37" s="38">
        <v>0.154083</v>
      </c>
      <c r="AB37" s="38">
        <v>0.154362</v>
      </c>
      <c r="AC37" s="38">
        <v>0.15373899999999999</v>
      </c>
      <c r="AD37" s="38">
        <v>0.15296000000000001</v>
      </c>
      <c r="AE37" s="38">
        <v>0.153138</v>
      </c>
      <c r="AF37" s="35">
        <v>-1.2834E-2</v>
      </c>
      <c r="AG37" s="29"/>
    </row>
    <row r="38" spans="1:33" ht="12" customHeight="1">
      <c r="A38" s="34" t="s">
        <v>2961</v>
      </c>
      <c r="B38" s="37" t="s">
        <v>2784</v>
      </c>
      <c r="C38" s="38">
        <v>3.2195010000000002</v>
      </c>
      <c r="D38" s="38">
        <v>3.1301640000000002</v>
      </c>
      <c r="E38" s="38">
        <v>3.1669149999999999</v>
      </c>
      <c r="F38" s="38">
        <v>3.1020409999999998</v>
      </c>
      <c r="G38" s="38">
        <v>3.063104</v>
      </c>
      <c r="H38" s="38">
        <v>3.0150130000000002</v>
      </c>
      <c r="I38" s="38">
        <v>2.9610569999999998</v>
      </c>
      <c r="J38" s="38">
        <v>2.9024519999999998</v>
      </c>
      <c r="K38" s="38">
        <v>2.8438249999999998</v>
      </c>
      <c r="L38" s="38">
        <v>2.7847520000000001</v>
      </c>
      <c r="M38" s="38">
        <v>2.7272539999999998</v>
      </c>
      <c r="N38" s="38">
        <v>2.6688830000000001</v>
      </c>
      <c r="O38" s="38">
        <v>2.6160920000000001</v>
      </c>
      <c r="P38" s="38">
        <v>2.5670600000000001</v>
      </c>
      <c r="Q38" s="38">
        <v>2.527012</v>
      </c>
      <c r="R38" s="38">
        <v>2.4864130000000002</v>
      </c>
      <c r="S38" s="38">
        <v>2.4402249999999999</v>
      </c>
      <c r="T38" s="38">
        <v>2.4109349999999998</v>
      </c>
      <c r="U38" s="38">
        <v>2.368722</v>
      </c>
      <c r="V38" s="38">
        <v>2.3319420000000002</v>
      </c>
      <c r="W38" s="38">
        <v>2.3045049999999998</v>
      </c>
      <c r="X38" s="38">
        <v>2.2833329999999998</v>
      </c>
      <c r="Y38" s="38">
        <v>2.2627060000000001</v>
      </c>
      <c r="Z38" s="38">
        <v>2.240237</v>
      </c>
      <c r="AA38" s="38">
        <v>2.2208320000000001</v>
      </c>
      <c r="AB38" s="38">
        <v>2.2053479999999999</v>
      </c>
      <c r="AC38" s="38">
        <v>2.1910569999999998</v>
      </c>
      <c r="AD38" s="38">
        <v>2.1780089999999999</v>
      </c>
      <c r="AE38" s="38">
        <v>2.1638160000000002</v>
      </c>
      <c r="AF38" s="35">
        <v>-1.4090999999999999E-2</v>
      </c>
      <c r="AG38" s="29"/>
    </row>
    <row r="39" spans="1:33" ht="12" customHeight="1">
      <c r="A39" s="34" t="s">
        <v>2962</v>
      </c>
      <c r="B39" s="37" t="s">
        <v>2898</v>
      </c>
      <c r="C39" s="38">
        <v>0.18445900000000001</v>
      </c>
      <c r="D39" s="38">
        <v>0.165908</v>
      </c>
      <c r="E39" s="38">
        <v>0.15998200000000001</v>
      </c>
      <c r="F39" s="38">
        <v>0.153054</v>
      </c>
      <c r="G39" s="38">
        <v>0.14847299999999999</v>
      </c>
      <c r="H39" s="38">
        <v>0.14410300000000001</v>
      </c>
      <c r="I39" s="38">
        <v>0.13995099999999999</v>
      </c>
      <c r="J39" s="38">
        <v>0.13605300000000001</v>
      </c>
      <c r="K39" s="38">
        <v>0.13231599999999999</v>
      </c>
      <c r="L39" s="38">
        <v>0.128745</v>
      </c>
      <c r="M39" s="38">
        <v>0.12531100000000001</v>
      </c>
      <c r="N39" s="38">
        <v>0.12216299999999999</v>
      </c>
      <c r="O39" s="38">
        <v>0.11897000000000001</v>
      </c>
      <c r="P39" s="38">
        <v>0.11581900000000001</v>
      </c>
      <c r="Q39" s="38">
        <v>0.112134</v>
      </c>
      <c r="R39" s="38">
        <v>0.108665</v>
      </c>
      <c r="S39" s="38">
        <v>0.105916</v>
      </c>
      <c r="T39" s="38">
        <v>0.101949</v>
      </c>
      <c r="U39" s="38">
        <v>9.9418999999999993E-2</v>
      </c>
      <c r="V39" s="38">
        <v>9.6684999999999993E-2</v>
      </c>
      <c r="W39" s="38">
        <v>9.3423000000000006E-2</v>
      </c>
      <c r="X39" s="38">
        <v>8.9869000000000004E-2</v>
      </c>
      <c r="Y39" s="38">
        <v>8.6402999999999994E-2</v>
      </c>
      <c r="Z39" s="38">
        <v>8.3349000000000006E-2</v>
      </c>
      <c r="AA39" s="38">
        <v>8.0177999999999999E-2</v>
      </c>
      <c r="AB39" s="38">
        <v>7.6950000000000005E-2</v>
      </c>
      <c r="AC39" s="38">
        <v>7.3798000000000002E-2</v>
      </c>
      <c r="AD39" s="38">
        <v>7.0731000000000002E-2</v>
      </c>
      <c r="AE39" s="38">
        <v>6.7948999999999996E-2</v>
      </c>
      <c r="AF39" s="35">
        <v>-3.5038E-2</v>
      </c>
      <c r="AG39" s="29"/>
    </row>
    <row r="40" spans="1:33" ht="12" customHeight="1">
      <c r="A40" s="34" t="s">
        <v>2963</v>
      </c>
      <c r="B40" s="37" t="s">
        <v>2900</v>
      </c>
      <c r="C40" s="38">
        <v>5.0980270000000001</v>
      </c>
      <c r="D40" s="38">
        <v>5.5773809999999999</v>
      </c>
      <c r="E40" s="38">
        <v>5.5557639999999999</v>
      </c>
      <c r="F40" s="38">
        <v>5.5481569999999998</v>
      </c>
      <c r="G40" s="38">
        <v>5.5343200000000001</v>
      </c>
      <c r="H40" s="38">
        <v>5.5225280000000003</v>
      </c>
      <c r="I40" s="38">
        <v>5.5119889999999998</v>
      </c>
      <c r="J40" s="38">
        <v>5.4994800000000001</v>
      </c>
      <c r="K40" s="38">
        <v>5.4881700000000002</v>
      </c>
      <c r="L40" s="38">
        <v>5.4803050000000004</v>
      </c>
      <c r="M40" s="38">
        <v>5.4725510000000002</v>
      </c>
      <c r="N40" s="38">
        <v>5.467212</v>
      </c>
      <c r="O40" s="38">
        <v>5.460286</v>
      </c>
      <c r="P40" s="38">
        <v>5.4510500000000004</v>
      </c>
      <c r="Q40" s="38">
        <v>5.4414959999999999</v>
      </c>
      <c r="R40" s="38">
        <v>5.4337780000000002</v>
      </c>
      <c r="S40" s="38">
        <v>5.4247509999999997</v>
      </c>
      <c r="T40" s="38">
        <v>5.4173970000000002</v>
      </c>
      <c r="U40" s="38">
        <v>5.4134859999999998</v>
      </c>
      <c r="V40" s="38">
        <v>5.4088580000000004</v>
      </c>
      <c r="W40" s="38">
        <v>5.4030459999999998</v>
      </c>
      <c r="X40" s="38">
        <v>5.397443</v>
      </c>
      <c r="Y40" s="38">
        <v>5.3918590000000002</v>
      </c>
      <c r="Z40" s="38">
        <v>5.3872179999999998</v>
      </c>
      <c r="AA40" s="38">
        <v>5.3852380000000002</v>
      </c>
      <c r="AB40" s="38">
        <v>5.385548</v>
      </c>
      <c r="AC40" s="38">
        <v>5.3841700000000001</v>
      </c>
      <c r="AD40" s="38">
        <v>5.3835990000000002</v>
      </c>
      <c r="AE40" s="38">
        <v>5.3843870000000003</v>
      </c>
      <c r="AF40" s="35">
        <v>1.954E-3</v>
      </c>
      <c r="AG40" s="29"/>
    </row>
    <row r="41" spans="1:33" ht="12" customHeight="1">
      <c r="A41" s="34" t="s">
        <v>2964</v>
      </c>
      <c r="B41" s="37" t="s">
        <v>2796</v>
      </c>
      <c r="C41" s="38">
        <v>1.1021529999999999</v>
      </c>
      <c r="D41" s="38">
        <v>1.123108</v>
      </c>
      <c r="E41" s="38">
        <v>1.1184000000000001</v>
      </c>
      <c r="F41" s="38">
        <v>1.1212709999999999</v>
      </c>
      <c r="G41" s="38">
        <v>1.110222</v>
      </c>
      <c r="H41" s="38">
        <v>1.098184</v>
      </c>
      <c r="I41" s="38">
        <v>1.085437</v>
      </c>
      <c r="J41" s="38">
        <v>1.072524</v>
      </c>
      <c r="K41" s="38">
        <v>1.0598000000000001</v>
      </c>
      <c r="L41" s="38">
        <v>1.047755</v>
      </c>
      <c r="M41" s="38">
        <v>1.0367280000000001</v>
      </c>
      <c r="N41" s="38">
        <v>1.0254799999999999</v>
      </c>
      <c r="O41" s="38">
        <v>1.0168630000000001</v>
      </c>
      <c r="P41" s="38">
        <v>1.0098780000000001</v>
      </c>
      <c r="Q41" s="38">
        <v>1.0028220000000001</v>
      </c>
      <c r="R41" s="38">
        <v>0.99586200000000002</v>
      </c>
      <c r="S41" s="38">
        <v>0.98948199999999997</v>
      </c>
      <c r="T41" s="38">
        <v>0.98354200000000003</v>
      </c>
      <c r="U41" s="38">
        <v>0.97814800000000002</v>
      </c>
      <c r="V41" s="38">
        <v>0.97333499999999995</v>
      </c>
      <c r="W41" s="38">
        <v>0.96956799999999999</v>
      </c>
      <c r="X41" s="38">
        <v>0.96625899999999998</v>
      </c>
      <c r="Y41" s="38">
        <v>0.96313499999999996</v>
      </c>
      <c r="Z41" s="38">
        <v>0.96040599999999998</v>
      </c>
      <c r="AA41" s="38">
        <v>0.95797399999999999</v>
      </c>
      <c r="AB41" s="38">
        <v>0.95558600000000005</v>
      </c>
      <c r="AC41" s="38">
        <v>0.95343900000000004</v>
      </c>
      <c r="AD41" s="38">
        <v>0.95149399999999995</v>
      </c>
      <c r="AE41" s="38">
        <v>0.949658</v>
      </c>
      <c r="AF41" s="35">
        <v>-5.3039999999999997E-3</v>
      </c>
      <c r="AG41" s="29"/>
    </row>
    <row r="42" spans="1:33" ht="12" customHeight="1">
      <c r="A42" s="34" t="s">
        <v>2965</v>
      </c>
      <c r="B42" s="33" t="s">
        <v>2798</v>
      </c>
      <c r="C42" s="39">
        <v>9.8240049999999997</v>
      </c>
      <c r="D42" s="39">
        <v>10.256885</v>
      </c>
      <c r="E42" s="39">
        <v>10.184886000000001</v>
      </c>
      <c r="F42" s="39">
        <v>10.085577000000001</v>
      </c>
      <c r="G42" s="39">
        <v>10.007555</v>
      </c>
      <c r="H42" s="39">
        <v>9.9236679999999993</v>
      </c>
      <c r="I42" s="39">
        <v>9.8360430000000001</v>
      </c>
      <c r="J42" s="39">
        <v>9.7440390000000008</v>
      </c>
      <c r="K42" s="39">
        <v>9.6547000000000001</v>
      </c>
      <c r="L42" s="39">
        <v>9.5702979999999993</v>
      </c>
      <c r="M42" s="39">
        <v>9.4898959999999999</v>
      </c>
      <c r="N42" s="39">
        <v>9.4129000000000005</v>
      </c>
      <c r="O42" s="39">
        <v>9.3434100000000004</v>
      </c>
      <c r="P42" s="39">
        <v>9.2780229999999992</v>
      </c>
      <c r="Q42" s="39">
        <v>9.2197370000000003</v>
      </c>
      <c r="R42" s="39">
        <v>9.1635530000000003</v>
      </c>
      <c r="S42" s="39">
        <v>9.1035869999999992</v>
      </c>
      <c r="T42" s="39">
        <v>9.0575299999999999</v>
      </c>
      <c r="U42" s="39">
        <v>9.0078940000000003</v>
      </c>
      <c r="V42" s="39">
        <v>8.9620899999999999</v>
      </c>
      <c r="W42" s="39">
        <v>8.923724</v>
      </c>
      <c r="X42" s="39">
        <v>8.8899139999999992</v>
      </c>
      <c r="Y42" s="39">
        <v>8.8577119999999994</v>
      </c>
      <c r="Z42" s="39">
        <v>8.82592</v>
      </c>
      <c r="AA42" s="39">
        <v>8.7983060000000002</v>
      </c>
      <c r="AB42" s="39">
        <v>8.7777949999999993</v>
      </c>
      <c r="AC42" s="39">
        <v>8.7562029999999993</v>
      </c>
      <c r="AD42" s="39">
        <v>8.7367930000000005</v>
      </c>
      <c r="AE42" s="39">
        <v>8.7189479999999993</v>
      </c>
      <c r="AF42" s="31">
        <v>-4.2529999999999998E-3</v>
      </c>
      <c r="AG42" s="29"/>
    </row>
    <row r="43" spans="1:33" ht="12" customHeight="1">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row>
    <row r="44" spans="1:33" ht="12" customHeight="1">
      <c r="B44" s="33" t="s">
        <v>2915</v>
      </c>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row>
    <row r="45" spans="1:33" ht="12" customHeight="1">
      <c r="A45" s="34" t="s">
        <v>2966</v>
      </c>
      <c r="B45" s="33" t="s">
        <v>2801</v>
      </c>
      <c r="C45" s="40">
        <v>59.413421999999997</v>
      </c>
      <c r="D45" s="40">
        <v>56.467345999999999</v>
      </c>
      <c r="E45" s="40">
        <v>54.139194000000003</v>
      </c>
      <c r="F45" s="40">
        <v>51.560164999999998</v>
      </c>
      <c r="G45" s="40">
        <v>48.904254999999999</v>
      </c>
      <c r="H45" s="40">
        <v>46.405768999999999</v>
      </c>
      <c r="I45" s="40">
        <v>44.123257000000002</v>
      </c>
      <c r="J45" s="40">
        <v>42.291046000000001</v>
      </c>
      <c r="K45" s="40">
        <v>40.788963000000003</v>
      </c>
      <c r="L45" s="40">
        <v>39.924156000000004</v>
      </c>
      <c r="M45" s="40">
        <v>39.257823999999999</v>
      </c>
      <c r="N45" s="40">
        <v>38.799937999999997</v>
      </c>
      <c r="O45" s="40">
        <v>38.231189999999998</v>
      </c>
      <c r="P45" s="40">
        <v>37.873508000000001</v>
      </c>
      <c r="Q45" s="40">
        <v>37.530014000000001</v>
      </c>
      <c r="R45" s="40">
        <v>37.171374999999998</v>
      </c>
      <c r="S45" s="40">
        <v>36.720821000000001</v>
      </c>
      <c r="T45" s="40">
        <v>36.430996</v>
      </c>
      <c r="U45" s="40">
        <v>36.151276000000003</v>
      </c>
      <c r="V45" s="40">
        <v>35.960022000000002</v>
      </c>
      <c r="W45" s="40">
        <v>35.836036999999997</v>
      </c>
      <c r="X45" s="40">
        <v>35.617508000000001</v>
      </c>
      <c r="Y45" s="40">
        <v>35.268695999999998</v>
      </c>
      <c r="Z45" s="40">
        <v>34.897331000000001</v>
      </c>
      <c r="AA45" s="40">
        <v>34.559654000000002</v>
      </c>
      <c r="AB45" s="40">
        <v>34.441696</v>
      </c>
      <c r="AC45" s="40">
        <v>34.163677</v>
      </c>
      <c r="AD45" s="40">
        <v>33.973067999999998</v>
      </c>
      <c r="AE45" s="40">
        <v>33.850788000000001</v>
      </c>
      <c r="AF45" s="31">
        <v>-1.9890999999999999E-2</v>
      </c>
      <c r="AG45" s="29"/>
    </row>
    <row r="46" spans="1:33" ht="12" customHeight="1">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row>
    <row r="47" spans="1:33" ht="12" customHeight="1">
      <c r="B47" s="33" t="s">
        <v>2917</v>
      </c>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row>
    <row r="48" spans="1:33" ht="12" customHeight="1">
      <c r="B48" s="33" t="s">
        <v>2918</v>
      </c>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row>
    <row r="49" spans="1:34" ht="12" customHeight="1">
      <c r="A49" s="34" t="s">
        <v>2967</v>
      </c>
      <c r="B49" s="37" t="s">
        <v>2551</v>
      </c>
      <c r="C49" s="38">
        <v>1.9612999999999998E-2</v>
      </c>
      <c r="D49" s="38">
        <v>1.9164E-2</v>
      </c>
      <c r="E49" s="38">
        <v>1.8603000000000001E-2</v>
      </c>
      <c r="F49" s="38">
        <v>1.821E-2</v>
      </c>
      <c r="G49" s="38">
        <v>1.8162999999999999E-2</v>
      </c>
      <c r="H49" s="38">
        <v>1.8121999999999999E-2</v>
      </c>
      <c r="I49" s="38">
        <v>1.8067E-2</v>
      </c>
      <c r="J49" s="38">
        <v>1.7996999999999999E-2</v>
      </c>
      <c r="K49" s="38">
        <v>1.7912999999999998E-2</v>
      </c>
      <c r="L49" s="38">
        <v>1.787E-2</v>
      </c>
      <c r="M49" s="38">
        <v>1.7846000000000001E-2</v>
      </c>
      <c r="N49" s="38">
        <v>1.7795999999999999E-2</v>
      </c>
      <c r="O49" s="38">
        <v>1.7760999999999999E-2</v>
      </c>
      <c r="P49" s="38">
        <v>1.7742999999999998E-2</v>
      </c>
      <c r="Q49" s="38">
        <v>1.7683999999999998E-2</v>
      </c>
      <c r="R49" s="38">
        <v>1.7645000000000001E-2</v>
      </c>
      <c r="S49" s="38">
        <v>1.7600999999999999E-2</v>
      </c>
      <c r="T49" s="38">
        <v>1.7548000000000001E-2</v>
      </c>
      <c r="U49" s="38">
        <v>1.7536E-2</v>
      </c>
      <c r="V49" s="38">
        <v>1.7517000000000001E-2</v>
      </c>
      <c r="W49" s="38">
        <v>1.7513999999999998E-2</v>
      </c>
      <c r="X49" s="38">
        <v>1.7492000000000001E-2</v>
      </c>
      <c r="Y49" s="38">
        <v>1.745E-2</v>
      </c>
      <c r="Z49" s="38">
        <v>1.7402999999999998E-2</v>
      </c>
      <c r="AA49" s="38">
        <v>1.7395000000000001E-2</v>
      </c>
      <c r="AB49" s="38">
        <v>1.7437999999999999E-2</v>
      </c>
      <c r="AC49" s="38">
        <v>1.7416000000000001E-2</v>
      </c>
      <c r="AD49" s="38">
        <v>1.7422E-2</v>
      </c>
      <c r="AE49" s="38">
        <v>1.7509E-2</v>
      </c>
      <c r="AF49" s="35">
        <v>-4.0439999999999999E-3</v>
      </c>
      <c r="AG49" s="29"/>
    </row>
    <row r="50" spans="1:34" ht="15" customHeight="1">
      <c r="A50" s="34" t="s">
        <v>2968</v>
      </c>
      <c r="B50" s="37" t="s">
        <v>2553</v>
      </c>
      <c r="C50" s="38">
        <v>2.277692</v>
      </c>
      <c r="D50" s="38">
        <v>2.2464979999999999</v>
      </c>
      <c r="E50" s="38">
        <v>2.2010329999999998</v>
      </c>
      <c r="F50" s="38">
        <v>2.1744430000000001</v>
      </c>
      <c r="G50" s="38">
        <v>2.1886489999999998</v>
      </c>
      <c r="H50" s="38">
        <v>2.2034699999999998</v>
      </c>
      <c r="I50" s="38">
        <v>2.2164199999999998</v>
      </c>
      <c r="J50" s="38">
        <v>2.227589</v>
      </c>
      <c r="K50" s="38">
        <v>2.236637</v>
      </c>
      <c r="L50" s="38">
        <v>2.2508149999999998</v>
      </c>
      <c r="M50" s="38">
        <v>2.267261</v>
      </c>
      <c r="N50" s="38">
        <v>2.2803230000000001</v>
      </c>
      <c r="O50" s="38">
        <v>2.2952539999999999</v>
      </c>
      <c r="P50" s="38">
        <v>2.3122720000000001</v>
      </c>
      <c r="Q50" s="38">
        <v>2.323931</v>
      </c>
      <c r="R50" s="38">
        <v>2.3380990000000001</v>
      </c>
      <c r="S50" s="38">
        <v>2.3514569999999999</v>
      </c>
      <c r="T50" s="38">
        <v>2.3634979999999999</v>
      </c>
      <c r="U50" s="38">
        <v>2.3809499999999999</v>
      </c>
      <c r="V50" s="38">
        <v>2.3975469999999999</v>
      </c>
      <c r="W50" s="38">
        <v>2.416188</v>
      </c>
      <c r="X50" s="38">
        <v>2.4322499999999998</v>
      </c>
      <c r="Y50" s="38">
        <v>2.4455499999999999</v>
      </c>
      <c r="Z50" s="38">
        <v>2.457964</v>
      </c>
      <c r="AA50" s="38">
        <v>2.4757549999999999</v>
      </c>
      <c r="AB50" s="38">
        <v>2.5009169999999998</v>
      </c>
      <c r="AC50" s="38">
        <v>2.5168170000000001</v>
      </c>
      <c r="AD50" s="38">
        <v>2.5365980000000001</v>
      </c>
      <c r="AE50" s="38">
        <v>2.5684930000000001</v>
      </c>
      <c r="AF50" s="35">
        <v>4.3E-3</v>
      </c>
      <c r="AG50" s="29"/>
    </row>
    <row r="51" spans="1:34" ht="15" customHeight="1">
      <c r="A51" s="34" t="s">
        <v>2969</v>
      </c>
      <c r="B51" s="37" t="s">
        <v>2500</v>
      </c>
      <c r="C51" s="38">
        <v>0.37301200000000001</v>
      </c>
      <c r="D51" s="38">
        <v>0.35619400000000001</v>
      </c>
      <c r="E51" s="38">
        <v>0.337725</v>
      </c>
      <c r="F51" s="38">
        <v>0.32272400000000001</v>
      </c>
      <c r="G51" s="38">
        <v>0.31403900000000001</v>
      </c>
      <c r="H51" s="38">
        <v>0.30549399999999999</v>
      </c>
      <c r="I51" s="38">
        <v>0.29674699999999998</v>
      </c>
      <c r="J51" s="38">
        <v>0.28783300000000001</v>
      </c>
      <c r="K51" s="38">
        <v>0.27873300000000001</v>
      </c>
      <c r="L51" s="38">
        <v>0.270345</v>
      </c>
      <c r="M51" s="38">
        <v>0.26226699999999997</v>
      </c>
      <c r="N51" s="38">
        <v>0.25383899999999998</v>
      </c>
      <c r="O51" s="38">
        <v>0.245666</v>
      </c>
      <c r="P51" s="38">
        <v>0.23774600000000001</v>
      </c>
      <c r="Q51" s="38">
        <v>0.22931599999999999</v>
      </c>
      <c r="R51" s="38">
        <v>0.22118699999999999</v>
      </c>
      <c r="S51" s="38">
        <v>0.21302499999999999</v>
      </c>
      <c r="T51" s="38">
        <v>0.20479600000000001</v>
      </c>
      <c r="U51" s="38">
        <v>0.19707</v>
      </c>
      <c r="V51" s="38">
        <v>0.18928900000000001</v>
      </c>
      <c r="W51" s="38">
        <v>0.18168200000000001</v>
      </c>
      <c r="X51" s="38">
        <v>0.17389299999999999</v>
      </c>
      <c r="Y51" s="38">
        <v>0.16594</v>
      </c>
      <c r="Z51" s="38">
        <v>0.157971</v>
      </c>
      <c r="AA51" s="38">
        <v>0.15037500000000001</v>
      </c>
      <c r="AB51" s="38">
        <v>0.14321</v>
      </c>
      <c r="AC51" s="38">
        <v>0.13550400000000001</v>
      </c>
      <c r="AD51" s="38">
        <v>0.12801499999999999</v>
      </c>
      <c r="AE51" s="38">
        <v>0.12109200000000001</v>
      </c>
      <c r="AF51" s="35">
        <v>-3.9384000000000002E-2</v>
      </c>
      <c r="AG51" s="29"/>
    </row>
    <row r="52" spans="1:34" ht="15" customHeight="1">
      <c r="A52" s="34" t="s">
        <v>2970</v>
      </c>
      <c r="B52" s="37" t="s">
        <v>2923</v>
      </c>
      <c r="C52" s="38">
        <v>5.3720939999999997</v>
      </c>
      <c r="D52" s="38">
        <v>5.2375389999999999</v>
      </c>
      <c r="E52" s="38">
        <v>5.1824050000000002</v>
      </c>
      <c r="F52" s="38">
        <v>5.1941369999999996</v>
      </c>
      <c r="G52" s="38">
        <v>5.2406709999999999</v>
      </c>
      <c r="H52" s="38">
        <v>5.2886519999999999</v>
      </c>
      <c r="I52" s="38">
        <v>5.3332620000000004</v>
      </c>
      <c r="J52" s="38">
        <v>5.3666400000000003</v>
      </c>
      <c r="K52" s="38">
        <v>5.394844</v>
      </c>
      <c r="L52" s="38">
        <v>5.4328890000000003</v>
      </c>
      <c r="M52" s="38">
        <v>5.4740229999999999</v>
      </c>
      <c r="N52" s="38">
        <v>5.5034739999999998</v>
      </c>
      <c r="O52" s="38">
        <v>5.5345870000000001</v>
      </c>
      <c r="P52" s="38">
        <v>5.5669959999999996</v>
      </c>
      <c r="Q52" s="38">
        <v>5.5958860000000001</v>
      </c>
      <c r="R52" s="38">
        <v>5.6263649999999998</v>
      </c>
      <c r="S52" s="38">
        <v>5.643707</v>
      </c>
      <c r="T52" s="38">
        <v>5.6802070000000002</v>
      </c>
      <c r="U52" s="38">
        <v>5.7017740000000003</v>
      </c>
      <c r="V52" s="38">
        <v>5.7262620000000002</v>
      </c>
      <c r="W52" s="38">
        <v>5.7596590000000001</v>
      </c>
      <c r="X52" s="38">
        <v>5.7972460000000003</v>
      </c>
      <c r="Y52" s="38">
        <v>5.821974</v>
      </c>
      <c r="Z52" s="38">
        <v>5.8378569999999996</v>
      </c>
      <c r="AA52" s="38">
        <v>5.8733180000000003</v>
      </c>
      <c r="AB52" s="38">
        <v>5.9172529999999997</v>
      </c>
      <c r="AC52" s="38">
        <v>5.944928</v>
      </c>
      <c r="AD52" s="38">
        <v>5.9788139999999999</v>
      </c>
      <c r="AE52" s="38">
        <v>6.0298610000000004</v>
      </c>
      <c r="AF52" s="35">
        <v>4.1339999999999997E-3</v>
      </c>
      <c r="AG52" s="29"/>
    </row>
    <row r="53" spans="1:34" ht="15" customHeight="1">
      <c r="A53" s="34" t="s">
        <v>2971</v>
      </c>
      <c r="B53" s="33" t="s">
        <v>2497</v>
      </c>
      <c r="C53" s="39">
        <v>8.0424109999999995</v>
      </c>
      <c r="D53" s="39">
        <v>7.8593950000000001</v>
      </c>
      <c r="E53" s="39">
        <v>7.7397660000000004</v>
      </c>
      <c r="F53" s="39">
        <v>7.7095149999999997</v>
      </c>
      <c r="G53" s="39">
        <v>7.7615230000000004</v>
      </c>
      <c r="H53" s="39">
        <v>7.8157389999999998</v>
      </c>
      <c r="I53" s="39">
        <v>7.8644959999999999</v>
      </c>
      <c r="J53" s="39">
        <v>7.9000599999999999</v>
      </c>
      <c r="K53" s="39">
        <v>7.9281259999999998</v>
      </c>
      <c r="L53" s="39">
        <v>7.9719199999999999</v>
      </c>
      <c r="M53" s="39">
        <v>8.0213990000000006</v>
      </c>
      <c r="N53" s="39">
        <v>8.0554319999999997</v>
      </c>
      <c r="O53" s="39">
        <v>8.0932689999999994</v>
      </c>
      <c r="P53" s="39">
        <v>8.1347570000000005</v>
      </c>
      <c r="Q53" s="39">
        <v>8.1668199999999995</v>
      </c>
      <c r="R53" s="39">
        <v>8.2032969999999992</v>
      </c>
      <c r="S53" s="39">
        <v>8.2257899999999999</v>
      </c>
      <c r="T53" s="39">
        <v>8.2660490000000006</v>
      </c>
      <c r="U53" s="39">
        <v>8.2973300000000005</v>
      </c>
      <c r="V53" s="39">
        <v>8.3306159999999991</v>
      </c>
      <c r="W53" s="39">
        <v>8.3750440000000008</v>
      </c>
      <c r="X53" s="39">
        <v>8.4208800000000004</v>
      </c>
      <c r="Y53" s="39">
        <v>8.4509139999999991</v>
      </c>
      <c r="Z53" s="39">
        <v>8.4711960000000008</v>
      </c>
      <c r="AA53" s="39">
        <v>8.5168429999999997</v>
      </c>
      <c r="AB53" s="39">
        <v>8.5788180000000001</v>
      </c>
      <c r="AC53" s="39">
        <v>8.6146659999999997</v>
      </c>
      <c r="AD53" s="39">
        <v>8.6608490000000007</v>
      </c>
      <c r="AE53" s="39">
        <v>8.7369559999999993</v>
      </c>
      <c r="AF53" s="31">
        <v>2.9629999999999999E-3</v>
      </c>
      <c r="AG53" s="29"/>
    </row>
    <row r="54" spans="1:34" ht="15" customHeight="1">
      <c r="B54" s="33" t="s">
        <v>2848</v>
      </c>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row>
    <row r="55" spans="1:34" ht="15" customHeight="1">
      <c r="A55" s="34" t="s">
        <v>2972</v>
      </c>
      <c r="B55" s="37" t="s">
        <v>2551</v>
      </c>
      <c r="C55" s="38">
        <v>0.117927</v>
      </c>
      <c r="D55" s="38">
        <v>0.115229</v>
      </c>
      <c r="E55" s="38">
        <v>0.111855</v>
      </c>
      <c r="F55" s="38">
        <v>0.10949399999999999</v>
      </c>
      <c r="G55" s="38">
        <v>0.109211</v>
      </c>
      <c r="H55" s="38">
        <v>0.10896400000000001</v>
      </c>
      <c r="I55" s="38">
        <v>0.108629</v>
      </c>
      <c r="J55" s="38">
        <v>0.108214</v>
      </c>
      <c r="K55" s="38">
        <v>0.10770299999999999</v>
      </c>
      <c r="L55" s="38">
        <v>0.107447</v>
      </c>
      <c r="M55" s="38">
        <v>0.10730199999999999</v>
      </c>
      <c r="N55" s="38">
        <v>0.107001</v>
      </c>
      <c r="O55" s="38">
        <v>0.106792</v>
      </c>
      <c r="P55" s="38">
        <v>0.106683</v>
      </c>
      <c r="Q55" s="38">
        <v>0.10632999999999999</v>
      </c>
      <c r="R55" s="38">
        <v>0.106097</v>
      </c>
      <c r="S55" s="38">
        <v>0.105832</v>
      </c>
      <c r="T55" s="38">
        <v>0.10551199999999999</v>
      </c>
      <c r="U55" s="38">
        <v>0.105436</v>
      </c>
      <c r="V55" s="38">
        <v>0.105325</v>
      </c>
      <c r="W55" s="38">
        <v>0.10530399999999999</v>
      </c>
      <c r="X55" s="38">
        <v>0.105172</v>
      </c>
      <c r="Y55" s="38">
        <v>0.104923</v>
      </c>
      <c r="Z55" s="38">
        <v>0.104641</v>
      </c>
      <c r="AA55" s="38">
        <v>0.10459</v>
      </c>
      <c r="AB55" s="38">
        <v>0.104849</v>
      </c>
      <c r="AC55" s="38">
        <v>0.10471900000000001</v>
      </c>
      <c r="AD55" s="38">
        <v>0.104751</v>
      </c>
      <c r="AE55" s="38">
        <v>0.105278</v>
      </c>
      <c r="AF55" s="35">
        <v>-4.0439999999999999E-3</v>
      </c>
      <c r="AG55" s="29"/>
    </row>
    <row r="56" spans="1:34" ht="15" customHeight="1">
      <c r="A56" s="34" t="s">
        <v>2973</v>
      </c>
      <c r="B56" s="37" t="s">
        <v>2553</v>
      </c>
      <c r="C56" s="38">
        <v>11.827665</v>
      </c>
      <c r="D56" s="38">
        <v>11.665675999999999</v>
      </c>
      <c r="E56" s="38">
        <v>11.429584</v>
      </c>
      <c r="F56" s="38">
        <v>11.291513</v>
      </c>
      <c r="G56" s="38">
        <v>11.365281</v>
      </c>
      <c r="H56" s="38">
        <v>11.442245</v>
      </c>
      <c r="I56" s="38">
        <v>11.50949</v>
      </c>
      <c r="J56" s="38">
        <v>11.567489</v>
      </c>
      <c r="K56" s="38">
        <v>11.614474</v>
      </c>
      <c r="L56" s="38">
        <v>11.688098999999999</v>
      </c>
      <c r="M56" s="38">
        <v>11.773498999999999</v>
      </c>
      <c r="N56" s="38">
        <v>11.841324999999999</v>
      </c>
      <c r="O56" s="38">
        <v>11.918858</v>
      </c>
      <c r="P56" s="38">
        <v>12.007232999999999</v>
      </c>
      <c r="Q56" s="38">
        <v>12.067780000000001</v>
      </c>
      <c r="R56" s="38">
        <v>12.141351999999999</v>
      </c>
      <c r="S56" s="38">
        <v>12.210711999999999</v>
      </c>
      <c r="T56" s="38">
        <v>12.273244</v>
      </c>
      <c r="U56" s="38">
        <v>12.363865000000001</v>
      </c>
      <c r="V56" s="38">
        <v>12.450054</v>
      </c>
      <c r="W56" s="38">
        <v>12.546855000000001</v>
      </c>
      <c r="X56" s="38">
        <v>12.630257</v>
      </c>
      <c r="Y56" s="38">
        <v>12.699317000000001</v>
      </c>
      <c r="Z56" s="38">
        <v>12.763788</v>
      </c>
      <c r="AA56" s="38">
        <v>12.856173</v>
      </c>
      <c r="AB56" s="38">
        <v>12.986834999999999</v>
      </c>
      <c r="AC56" s="38">
        <v>13.069399000000001</v>
      </c>
      <c r="AD56" s="38">
        <v>13.172124</v>
      </c>
      <c r="AE56" s="38">
        <v>13.337747</v>
      </c>
      <c r="AF56" s="35">
        <v>4.3E-3</v>
      </c>
      <c r="AG56" s="29"/>
    </row>
    <row r="57" spans="1:34" ht="15" customHeight="1">
      <c r="A57" s="34" t="s">
        <v>2974</v>
      </c>
      <c r="B57" s="37" t="s">
        <v>2500</v>
      </c>
      <c r="C57" s="38">
        <v>1.6214980000000001</v>
      </c>
      <c r="D57" s="38">
        <v>1.5483899999999999</v>
      </c>
      <c r="E57" s="38">
        <v>1.4681029999999999</v>
      </c>
      <c r="F57" s="38">
        <v>1.4028940000000001</v>
      </c>
      <c r="G57" s="38">
        <v>1.3651409999999999</v>
      </c>
      <c r="H57" s="38">
        <v>1.327996</v>
      </c>
      <c r="I57" s="38">
        <v>1.2899700000000001</v>
      </c>
      <c r="J57" s="38">
        <v>1.2512209999999999</v>
      </c>
      <c r="K57" s="38">
        <v>1.2116640000000001</v>
      </c>
      <c r="L57" s="38">
        <v>1.1752020000000001</v>
      </c>
      <c r="M57" s="38">
        <v>1.1400859999999999</v>
      </c>
      <c r="N57" s="38">
        <v>1.1034489999999999</v>
      </c>
      <c r="O57" s="38">
        <v>1.0679209999999999</v>
      </c>
      <c r="P57" s="38">
        <v>1.0334909999999999</v>
      </c>
      <c r="Q57" s="38">
        <v>0.99684700000000004</v>
      </c>
      <c r="R57" s="38">
        <v>0.961507</v>
      </c>
      <c r="S57" s="38">
        <v>0.92602700000000004</v>
      </c>
      <c r="T57" s="38">
        <v>0.89025500000000002</v>
      </c>
      <c r="U57" s="38">
        <v>0.85667000000000004</v>
      </c>
      <c r="V57" s="38">
        <v>0.82284900000000005</v>
      </c>
      <c r="W57" s="38">
        <v>0.78977900000000001</v>
      </c>
      <c r="X57" s="38">
        <v>0.75592199999999998</v>
      </c>
      <c r="Y57" s="38">
        <v>0.72134699999999996</v>
      </c>
      <c r="Z57" s="38">
        <v>0.68670600000000004</v>
      </c>
      <c r="AA57" s="38">
        <v>0.65368800000000005</v>
      </c>
      <c r="AB57" s="38">
        <v>0.62254100000000001</v>
      </c>
      <c r="AC57" s="38">
        <v>0.58904199999999995</v>
      </c>
      <c r="AD57" s="38">
        <v>0.55648699999999995</v>
      </c>
      <c r="AE57" s="38">
        <v>0.52639199999999997</v>
      </c>
      <c r="AF57" s="35">
        <v>-3.9384000000000002E-2</v>
      </c>
      <c r="AG57" s="29"/>
    </row>
    <row r="58" spans="1:34" ht="15" customHeight="1">
      <c r="A58" s="34" t="s">
        <v>2975</v>
      </c>
      <c r="B58" s="37" t="s">
        <v>2923</v>
      </c>
      <c r="C58" s="38">
        <v>27.86655</v>
      </c>
      <c r="D58" s="38">
        <v>27.172052000000001</v>
      </c>
      <c r="E58" s="38">
        <v>26.887487</v>
      </c>
      <c r="F58" s="38">
        <v>26.948039999999999</v>
      </c>
      <c r="G58" s="38">
        <v>27.188219</v>
      </c>
      <c r="H58" s="38">
        <v>27.435870999999999</v>
      </c>
      <c r="I58" s="38">
        <v>27.666118999999998</v>
      </c>
      <c r="J58" s="38">
        <v>27.8384</v>
      </c>
      <c r="K58" s="38">
        <v>27.983968999999998</v>
      </c>
      <c r="L58" s="38">
        <v>28.180327999999999</v>
      </c>
      <c r="M58" s="38">
        <v>28.392651000000001</v>
      </c>
      <c r="N58" s="38">
        <v>28.544651000000002</v>
      </c>
      <c r="O58" s="38">
        <v>28.705238000000001</v>
      </c>
      <c r="P58" s="38">
        <v>28.872516999999998</v>
      </c>
      <c r="Q58" s="38">
        <v>29.021630999999999</v>
      </c>
      <c r="R58" s="38">
        <v>29.178946</v>
      </c>
      <c r="S58" s="38">
        <v>29.268452</v>
      </c>
      <c r="T58" s="38">
        <v>29.456842000000002</v>
      </c>
      <c r="U58" s="38">
        <v>29.568156999999999</v>
      </c>
      <c r="V58" s="38">
        <v>29.69455</v>
      </c>
      <c r="W58" s="38">
        <v>29.866925999999999</v>
      </c>
      <c r="X58" s="38">
        <v>30.060925999999998</v>
      </c>
      <c r="Y58" s="38">
        <v>30.188555000000001</v>
      </c>
      <c r="Z58" s="38">
        <v>30.270536</v>
      </c>
      <c r="AA58" s="38">
        <v>30.453565999999999</v>
      </c>
      <c r="AB58" s="38">
        <v>30.680332</v>
      </c>
      <c r="AC58" s="38">
        <v>30.823174000000002</v>
      </c>
      <c r="AD58" s="38">
        <v>30.998069999999998</v>
      </c>
      <c r="AE58" s="38">
        <v>31.261547</v>
      </c>
      <c r="AF58" s="35">
        <v>4.1139999999999996E-3</v>
      </c>
      <c r="AG58" s="29"/>
    </row>
    <row r="59" spans="1:34" ht="15" customHeight="1">
      <c r="A59" s="34" t="s">
        <v>2976</v>
      </c>
      <c r="B59" s="33" t="s">
        <v>2497</v>
      </c>
      <c r="C59" s="39">
        <v>41.433643000000004</v>
      </c>
      <c r="D59" s="39">
        <v>40.501347000000003</v>
      </c>
      <c r="E59" s="39">
        <v>39.897033999999998</v>
      </c>
      <c r="F59" s="39">
        <v>39.751942</v>
      </c>
      <c r="G59" s="39">
        <v>40.027855000000002</v>
      </c>
      <c r="H59" s="39">
        <v>40.315075</v>
      </c>
      <c r="I59" s="39">
        <v>40.574202999999997</v>
      </c>
      <c r="J59" s="39">
        <v>40.765320000000003</v>
      </c>
      <c r="K59" s="39">
        <v>40.917816000000002</v>
      </c>
      <c r="L59" s="39">
        <v>41.151080999999998</v>
      </c>
      <c r="M59" s="39">
        <v>41.413536000000001</v>
      </c>
      <c r="N59" s="39">
        <v>41.596428000000003</v>
      </c>
      <c r="O59" s="39">
        <v>41.798805000000002</v>
      </c>
      <c r="P59" s="39">
        <v>42.019924000000003</v>
      </c>
      <c r="Q59" s="39">
        <v>42.192585000000001</v>
      </c>
      <c r="R59" s="39">
        <v>42.387900999999999</v>
      </c>
      <c r="S59" s="39">
        <v>42.511017000000002</v>
      </c>
      <c r="T59" s="39">
        <v>42.725848999999997</v>
      </c>
      <c r="U59" s="39">
        <v>42.894131000000002</v>
      </c>
      <c r="V59" s="39">
        <v>43.072777000000002</v>
      </c>
      <c r="W59" s="39">
        <v>43.308864999999997</v>
      </c>
      <c r="X59" s="39">
        <v>43.552273</v>
      </c>
      <c r="Y59" s="39">
        <v>43.714146</v>
      </c>
      <c r="Z59" s="39">
        <v>43.825668</v>
      </c>
      <c r="AA59" s="39">
        <v>44.068012000000003</v>
      </c>
      <c r="AB59" s="39">
        <v>44.394562000000001</v>
      </c>
      <c r="AC59" s="39">
        <v>44.586329999999997</v>
      </c>
      <c r="AD59" s="39">
        <v>44.831432</v>
      </c>
      <c r="AE59" s="39">
        <v>45.230964999999998</v>
      </c>
      <c r="AF59" s="31">
        <v>3.137E-3</v>
      </c>
      <c r="AG59" s="29"/>
    </row>
    <row r="60" spans="1:34" ht="15" customHeight="1">
      <c r="B60" s="33" t="s">
        <v>2854</v>
      </c>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row>
    <row r="61" spans="1:34" ht="15" customHeight="1">
      <c r="A61" s="34" t="s">
        <v>2977</v>
      </c>
      <c r="B61" s="37" t="s">
        <v>2856</v>
      </c>
      <c r="C61" s="38">
        <v>3.0225029999999999</v>
      </c>
      <c r="D61" s="38">
        <v>2.9599989999999998</v>
      </c>
      <c r="E61" s="38">
        <v>2.914466</v>
      </c>
      <c r="F61" s="38">
        <v>2.9006270000000001</v>
      </c>
      <c r="G61" s="38">
        <v>2.9206470000000002</v>
      </c>
      <c r="H61" s="38">
        <v>2.9414760000000002</v>
      </c>
      <c r="I61" s="38">
        <v>2.9602170000000001</v>
      </c>
      <c r="J61" s="38">
        <v>2.9744640000000002</v>
      </c>
      <c r="K61" s="38">
        <v>2.9859300000000002</v>
      </c>
      <c r="L61" s="38">
        <v>3.0033460000000001</v>
      </c>
      <c r="M61" s="38">
        <v>3.022996</v>
      </c>
      <c r="N61" s="38">
        <v>3.0371229999999998</v>
      </c>
      <c r="O61" s="38">
        <v>3.0528140000000001</v>
      </c>
      <c r="P61" s="38">
        <v>3.070071</v>
      </c>
      <c r="Q61" s="38">
        <v>3.0832839999999999</v>
      </c>
      <c r="R61" s="38">
        <v>3.0983860000000001</v>
      </c>
      <c r="S61" s="38">
        <v>3.1089380000000002</v>
      </c>
      <c r="T61" s="38">
        <v>3.1247829999999999</v>
      </c>
      <c r="U61" s="38">
        <v>3.138916</v>
      </c>
      <c r="V61" s="38">
        <v>3.1535030000000002</v>
      </c>
      <c r="W61" s="38">
        <v>3.171996</v>
      </c>
      <c r="X61" s="38">
        <v>3.190401</v>
      </c>
      <c r="Y61" s="38">
        <v>3.2032850000000002</v>
      </c>
      <c r="Z61" s="38">
        <v>3.2129300000000001</v>
      </c>
      <c r="AA61" s="38">
        <v>3.2316240000000001</v>
      </c>
      <c r="AB61" s="38">
        <v>3.256955</v>
      </c>
      <c r="AC61" s="38">
        <v>3.2721900000000002</v>
      </c>
      <c r="AD61" s="38">
        <v>3.2914639999999999</v>
      </c>
      <c r="AE61" s="38">
        <v>3.3226239999999998</v>
      </c>
      <c r="AF61" s="35">
        <v>3.3869999999999998E-3</v>
      </c>
      <c r="AG61" s="29"/>
    </row>
    <row r="62" spans="1:34" ht="15" customHeight="1" thickBot="1">
      <c r="A62" s="34" t="s">
        <v>2978</v>
      </c>
      <c r="B62" s="37" t="s">
        <v>2858</v>
      </c>
      <c r="C62" s="38">
        <v>38.411140000000003</v>
      </c>
      <c r="D62" s="38">
        <v>37.541347999999999</v>
      </c>
      <c r="E62" s="38">
        <v>36.982567000000003</v>
      </c>
      <c r="F62" s="38">
        <v>36.851315</v>
      </c>
      <c r="G62" s="38">
        <v>37.107208</v>
      </c>
      <c r="H62" s="38">
        <v>37.373600000000003</v>
      </c>
      <c r="I62" s="38">
        <v>37.613987000000002</v>
      </c>
      <c r="J62" s="38">
        <v>37.790855000000001</v>
      </c>
      <c r="K62" s="38">
        <v>37.931885000000001</v>
      </c>
      <c r="L62" s="38">
        <v>38.147736000000002</v>
      </c>
      <c r="M62" s="38">
        <v>38.390540999999999</v>
      </c>
      <c r="N62" s="38">
        <v>38.559306999999997</v>
      </c>
      <c r="O62" s="38">
        <v>38.745990999999997</v>
      </c>
      <c r="P62" s="38">
        <v>38.949852</v>
      </c>
      <c r="Q62" s="38">
        <v>39.109302999999997</v>
      </c>
      <c r="R62" s="38">
        <v>39.289515999999999</v>
      </c>
      <c r="S62" s="38">
        <v>39.402081000000003</v>
      </c>
      <c r="T62" s="38">
        <v>39.601067</v>
      </c>
      <c r="U62" s="38">
        <v>39.755215</v>
      </c>
      <c r="V62" s="38">
        <v>39.919272999999997</v>
      </c>
      <c r="W62" s="38">
        <v>40.136868</v>
      </c>
      <c r="X62" s="38">
        <v>40.361870000000003</v>
      </c>
      <c r="Y62" s="38">
        <v>40.510860000000001</v>
      </c>
      <c r="Z62" s="38">
        <v>40.612735999999998</v>
      </c>
      <c r="AA62" s="38">
        <v>40.836387999999999</v>
      </c>
      <c r="AB62" s="38">
        <v>41.137608</v>
      </c>
      <c r="AC62" s="38">
        <v>41.314140000000002</v>
      </c>
      <c r="AD62" s="38">
        <v>41.539966999999997</v>
      </c>
      <c r="AE62" s="38">
        <v>41.908340000000003</v>
      </c>
      <c r="AF62" s="35">
        <v>3.117E-3</v>
      </c>
      <c r="AG62" s="29"/>
    </row>
    <row r="63" spans="1:34" ht="15" customHeight="1">
      <c r="B63" s="2179" t="s">
        <v>2932</v>
      </c>
      <c r="C63" s="2180"/>
      <c r="D63" s="2180"/>
      <c r="E63" s="2180"/>
      <c r="F63" s="2180"/>
      <c r="G63" s="2180"/>
      <c r="H63" s="2180"/>
      <c r="I63" s="2180"/>
      <c r="J63" s="2180"/>
      <c r="K63" s="2180"/>
      <c r="L63" s="2180"/>
      <c r="M63" s="2180"/>
      <c r="N63" s="2180"/>
      <c r="O63" s="2180"/>
      <c r="P63" s="2180"/>
      <c r="Q63" s="2180"/>
      <c r="R63" s="2180"/>
      <c r="S63" s="2180"/>
      <c r="T63" s="2180"/>
      <c r="U63" s="2180"/>
      <c r="V63" s="2180"/>
      <c r="W63" s="2180"/>
      <c r="X63" s="2180"/>
      <c r="Y63" s="2180"/>
      <c r="Z63" s="2180"/>
      <c r="AA63" s="2180"/>
      <c r="AB63" s="2180"/>
      <c r="AC63" s="2180"/>
      <c r="AD63" s="2180"/>
      <c r="AE63" s="2180"/>
      <c r="AF63" s="2180"/>
      <c r="AG63" s="2180"/>
      <c r="AH63" s="30"/>
    </row>
    <row r="64" spans="1:34" ht="15" customHeight="1">
      <c r="B64" s="29" t="s">
        <v>2933</v>
      </c>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row>
    <row r="65" spans="2:33" ht="15" customHeight="1">
      <c r="B65" s="29" t="s">
        <v>2934</v>
      </c>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row>
    <row r="66" spans="2:33" ht="15" customHeight="1">
      <c r="B66" s="29" t="s">
        <v>2935</v>
      </c>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row>
    <row r="67" spans="2:33" ht="12" customHeight="1">
      <c r="B67" s="29" t="s">
        <v>2936</v>
      </c>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row>
    <row r="68" spans="2:33" ht="15" customHeight="1">
      <c r="B68" s="29" t="s">
        <v>2937</v>
      </c>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row>
    <row r="69" spans="2:33" ht="15" customHeight="1">
      <c r="B69" s="29" t="s">
        <v>2938</v>
      </c>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row>
    <row r="70" spans="2:33" ht="15" customHeight="1">
      <c r="B70" s="29" t="s">
        <v>2291</v>
      </c>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row>
    <row r="71" spans="2:33" ht="15" customHeight="1">
      <c r="B71" s="29" t="s">
        <v>2292</v>
      </c>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row>
    <row r="72" spans="2:33" ht="15" customHeight="1">
      <c r="B72" s="29" t="s">
        <v>2293</v>
      </c>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row>
    <row r="73" spans="2:33" ht="15" customHeight="1">
      <c r="B73" s="29" t="s">
        <v>2881</v>
      </c>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2:33" ht="15" customHeight="1">
      <c r="B74" s="29" t="s">
        <v>2939</v>
      </c>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row>
    <row r="75" spans="2:33" ht="12" customHeight="1">
      <c r="B75" s="29" t="s">
        <v>2940</v>
      </c>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2:33" ht="15" customHeight="1">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2:33" ht="15" customHeight="1">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2:33" ht="15" customHeight="1">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2:33" ht="15" customHeight="1">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row>
    <row r="80" spans="2:33" ht="15" customHeight="1">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row>
    <row r="81" spans="2:33" ht="15" customHeight="1">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row>
    <row r="82" spans="2:33" ht="15" customHeight="1">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2:33" ht="12" customHeight="1">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2:33" ht="15" customHeight="1">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t="s">
        <v>2056</v>
      </c>
      <c r="AG84" s="29"/>
    </row>
    <row r="89" spans="2:33" ht="12" customHeight="1"/>
    <row r="94" spans="2:33" ht="12" customHeight="1"/>
    <row r="98" ht="12" customHeight="1"/>
    <row r="106" ht="12" customHeight="1"/>
    <row r="113" ht="12" customHeight="1"/>
    <row r="119" ht="12" customHeight="1"/>
    <row r="123" ht="12" customHeight="1"/>
    <row r="129" ht="12" customHeight="1"/>
    <row r="134" ht="12" customHeight="1"/>
    <row r="156" spans="2:32" ht="15" customHeight="1">
      <c r="B156" s="2178"/>
      <c r="C156" s="2178"/>
      <c r="D156" s="2178"/>
      <c r="E156" s="2178"/>
      <c r="F156" s="2178"/>
      <c r="G156" s="2178"/>
      <c r="H156" s="2178"/>
      <c r="I156" s="2178"/>
      <c r="J156" s="2178"/>
      <c r="K156" s="2178"/>
      <c r="L156" s="2178"/>
      <c r="M156" s="2178"/>
      <c r="N156" s="2178"/>
      <c r="O156" s="2178"/>
      <c r="P156" s="2178"/>
      <c r="Q156" s="2178"/>
      <c r="R156" s="2178"/>
      <c r="S156" s="2178"/>
      <c r="T156" s="2178"/>
      <c r="U156" s="2178"/>
      <c r="V156" s="2178"/>
      <c r="W156" s="2178"/>
      <c r="X156" s="2178"/>
      <c r="Y156" s="2178"/>
      <c r="Z156" s="2178"/>
      <c r="AA156" s="2178"/>
      <c r="AB156" s="2178"/>
      <c r="AC156" s="2178"/>
      <c r="AD156" s="2178"/>
      <c r="AE156" s="2178"/>
      <c r="AF156" s="2178"/>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2178"/>
      <c r="C292" s="2178"/>
      <c r="D292" s="2178"/>
      <c r="E292" s="2178"/>
      <c r="F292" s="2178"/>
      <c r="G292" s="2178"/>
      <c r="H292" s="2178"/>
      <c r="I292" s="2178"/>
      <c r="J292" s="2178"/>
      <c r="K292" s="2178"/>
      <c r="L292" s="2178"/>
      <c r="M292" s="2178"/>
      <c r="N292" s="2178"/>
      <c r="O292" s="2178"/>
      <c r="P292" s="2178"/>
      <c r="Q292" s="2178"/>
      <c r="R292" s="2178"/>
      <c r="S292" s="2178"/>
      <c r="T292" s="2178"/>
      <c r="U292" s="2178"/>
      <c r="V292" s="2178"/>
      <c r="W292" s="2178"/>
      <c r="X292" s="2178"/>
      <c r="Y292" s="2178"/>
      <c r="Z292" s="2178"/>
      <c r="AA292" s="2178"/>
      <c r="AB292" s="2178"/>
      <c r="AC292" s="2178"/>
      <c r="AD292" s="2178"/>
      <c r="AE292" s="2178"/>
      <c r="AF292" s="2178"/>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2178"/>
      <c r="C378" s="2178"/>
      <c r="D378" s="2178"/>
      <c r="E378" s="2178"/>
      <c r="F378" s="2178"/>
      <c r="G378" s="2178"/>
      <c r="H378" s="2178"/>
      <c r="I378" s="2178"/>
      <c r="J378" s="2178"/>
      <c r="K378" s="2178"/>
      <c r="L378" s="2178"/>
      <c r="M378" s="2178"/>
      <c r="N378" s="2178"/>
      <c r="O378" s="2178"/>
      <c r="P378" s="2178"/>
      <c r="Q378" s="2178"/>
      <c r="R378" s="2178"/>
      <c r="S378" s="2178"/>
      <c r="T378" s="2178"/>
      <c r="U378" s="2178"/>
      <c r="V378" s="2178"/>
      <c r="W378" s="2178"/>
      <c r="X378" s="2178"/>
      <c r="Y378" s="2178"/>
      <c r="Z378" s="2178"/>
      <c r="AA378" s="2178"/>
      <c r="AB378" s="2178"/>
      <c r="AC378" s="2178"/>
      <c r="AD378" s="2178"/>
      <c r="AE378" s="2178"/>
      <c r="AF378" s="2178"/>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2178"/>
      <c r="C560" s="2178"/>
      <c r="D560" s="2178"/>
      <c r="E560" s="2178"/>
      <c r="F560" s="2178"/>
      <c r="G560" s="2178"/>
      <c r="H560" s="2178"/>
      <c r="I560" s="2178"/>
      <c r="J560" s="2178"/>
      <c r="K560" s="2178"/>
      <c r="L560" s="2178"/>
      <c r="M560" s="2178"/>
      <c r="N560" s="2178"/>
      <c r="O560" s="2178"/>
      <c r="P560" s="2178"/>
      <c r="Q560" s="2178"/>
      <c r="R560" s="2178"/>
      <c r="S560" s="2178"/>
      <c r="T560" s="2178"/>
      <c r="U560" s="2178"/>
      <c r="V560" s="2178"/>
      <c r="W560" s="2178"/>
      <c r="X560" s="2178"/>
      <c r="Y560" s="2178"/>
      <c r="Z560" s="2178"/>
      <c r="AA560" s="2178"/>
      <c r="AB560" s="2178"/>
      <c r="AC560" s="2178"/>
      <c r="AD560" s="2178"/>
      <c r="AE560" s="2178"/>
      <c r="AF560" s="2178"/>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2178"/>
      <c r="C652" s="2178"/>
      <c r="D652" s="2178"/>
      <c r="E652" s="2178"/>
      <c r="F652" s="2178"/>
      <c r="G652" s="2178"/>
      <c r="H652" s="2178"/>
      <c r="I652" s="2178"/>
      <c r="J652" s="2178"/>
      <c r="K652" s="2178"/>
      <c r="L652" s="2178"/>
      <c r="M652" s="2178"/>
      <c r="N652" s="2178"/>
      <c r="O652" s="2178"/>
      <c r="P652" s="2178"/>
      <c r="Q652" s="2178"/>
      <c r="R652" s="2178"/>
      <c r="S652" s="2178"/>
      <c r="T652" s="2178"/>
      <c r="U652" s="2178"/>
      <c r="V652" s="2178"/>
      <c r="W652" s="2178"/>
      <c r="X652" s="2178"/>
      <c r="Y652" s="2178"/>
      <c r="Z652" s="2178"/>
      <c r="AA652" s="2178"/>
      <c r="AB652" s="2178"/>
      <c r="AC652" s="2178"/>
      <c r="AD652" s="2178"/>
      <c r="AE652" s="2178"/>
      <c r="AF652" s="2178"/>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2178"/>
      <c r="C728" s="2178"/>
      <c r="D728" s="2178"/>
      <c r="E728" s="2178"/>
      <c r="F728" s="2178"/>
      <c r="G728" s="2178"/>
      <c r="H728" s="2178"/>
      <c r="I728" s="2178"/>
      <c r="J728" s="2178"/>
      <c r="K728" s="2178"/>
      <c r="L728" s="2178"/>
      <c r="M728" s="2178"/>
      <c r="N728" s="2178"/>
      <c r="O728" s="2178"/>
      <c r="P728" s="2178"/>
      <c r="Q728" s="2178"/>
      <c r="R728" s="2178"/>
      <c r="S728" s="2178"/>
      <c r="T728" s="2178"/>
      <c r="U728" s="2178"/>
      <c r="V728" s="2178"/>
      <c r="W728" s="2178"/>
      <c r="X728" s="2178"/>
      <c r="Y728" s="2178"/>
      <c r="Z728" s="2178"/>
      <c r="AA728" s="2178"/>
      <c r="AB728" s="2178"/>
      <c r="AC728" s="2178"/>
      <c r="AD728" s="2178"/>
      <c r="AE728" s="2178"/>
      <c r="AF728" s="2178"/>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2178"/>
      <c r="C819" s="2178"/>
      <c r="D819" s="2178"/>
      <c r="E819" s="2178"/>
      <c r="F819" s="2178"/>
      <c r="G819" s="2178"/>
      <c r="H819" s="2178"/>
      <c r="I819" s="2178"/>
      <c r="J819" s="2178"/>
      <c r="K819" s="2178"/>
      <c r="L819" s="2178"/>
      <c r="M819" s="2178"/>
      <c r="N819" s="2178"/>
      <c r="O819" s="2178"/>
      <c r="P819" s="2178"/>
      <c r="Q819" s="2178"/>
      <c r="R819" s="2178"/>
      <c r="S819" s="2178"/>
      <c r="T819" s="2178"/>
      <c r="U819" s="2178"/>
      <c r="V819" s="2178"/>
      <c r="W819" s="2178"/>
      <c r="X819" s="2178"/>
      <c r="Y819" s="2178"/>
      <c r="Z819" s="2178"/>
      <c r="AA819" s="2178"/>
      <c r="AB819" s="2178"/>
      <c r="AC819" s="2178"/>
      <c r="AD819" s="2178"/>
      <c r="AE819" s="2178"/>
      <c r="AF819" s="2178"/>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2178"/>
      <c r="C897" s="2178"/>
      <c r="D897" s="2178"/>
      <c r="E897" s="2178"/>
      <c r="F897" s="2178"/>
      <c r="G897" s="2178"/>
      <c r="H897" s="2178"/>
      <c r="I897" s="2178"/>
      <c r="J897" s="2178"/>
      <c r="K897" s="2178"/>
      <c r="L897" s="2178"/>
      <c r="M897" s="2178"/>
      <c r="N897" s="2178"/>
      <c r="O897" s="2178"/>
      <c r="P897" s="2178"/>
      <c r="Q897" s="2178"/>
      <c r="R897" s="2178"/>
      <c r="S897" s="2178"/>
      <c r="T897" s="2178"/>
      <c r="U897" s="2178"/>
      <c r="V897" s="2178"/>
      <c r="W897" s="2178"/>
      <c r="X897" s="2178"/>
      <c r="Y897" s="2178"/>
      <c r="Z897" s="2178"/>
      <c r="AA897" s="2178"/>
      <c r="AB897" s="2178"/>
      <c r="AC897" s="2178"/>
      <c r="AD897" s="2178"/>
      <c r="AE897" s="2178"/>
      <c r="AF897" s="2178"/>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2178"/>
      <c r="C983" s="2178"/>
      <c r="D983" s="2178"/>
      <c r="E983" s="2178"/>
      <c r="F983" s="2178"/>
      <c r="G983" s="2178"/>
      <c r="H983" s="2178"/>
      <c r="I983" s="2178"/>
      <c r="J983" s="2178"/>
      <c r="K983" s="2178"/>
      <c r="L983" s="2178"/>
      <c r="M983" s="2178"/>
      <c r="N983" s="2178"/>
      <c r="O983" s="2178"/>
      <c r="P983" s="2178"/>
      <c r="Q983" s="2178"/>
      <c r="R983" s="2178"/>
      <c r="S983" s="2178"/>
      <c r="T983" s="2178"/>
      <c r="U983" s="2178"/>
      <c r="V983" s="2178"/>
      <c r="W983" s="2178"/>
      <c r="X983" s="2178"/>
      <c r="Y983" s="2178"/>
      <c r="Z983" s="2178"/>
      <c r="AA983" s="2178"/>
      <c r="AB983" s="2178"/>
      <c r="AC983" s="2178"/>
      <c r="AD983" s="2178"/>
      <c r="AE983" s="2178"/>
      <c r="AF983" s="2178"/>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2178"/>
      <c r="C1082" s="2178"/>
      <c r="D1082" s="2178"/>
      <c r="E1082" s="2178"/>
      <c r="F1082" s="2178"/>
      <c r="G1082" s="2178"/>
      <c r="H1082" s="2178"/>
      <c r="I1082" s="2178"/>
      <c r="J1082" s="2178"/>
      <c r="K1082" s="2178"/>
      <c r="L1082" s="2178"/>
      <c r="M1082" s="2178"/>
      <c r="N1082" s="2178"/>
      <c r="O1082" s="2178"/>
      <c r="P1082" s="2178"/>
      <c r="Q1082" s="2178"/>
      <c r="R1082" s="2178"/>
      <c r="S1082" s="2178"/>
      <c r="T1082" s="2178"/>
      <c r="U1082" s="2178"/>
      <c r="V1082" s="2178"/>
      <c r="W1082" s="2178"/>
      <c r="X1082" s="2178"/>
      <c r="Y1082" s="2178"/>
      <c r="Z1082" s="2178"/>
      <c r="AA1082" s="2178"/>
      <c r="AB1082" s="2178"/>
      <c r="AC1082" s="2178"/>
      <c r="AD1082" s="2178"/>
      <c r="AE1082" s="2178"/>
      <c r="AF1082" s="2178"/>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2178"/>
      <c r="C1179" s="2178"/>
      <c r="D1179" s="2178"/>
      <c r="E1179" s="2178"/>
      <c r="F1179" s="2178"/>
      <c r="G1179" s="2178"/>
      <c r="H1179" s="2178"/>
      <c r="I1179" s="2178"/>
      <c r="J1179" s="2178"/>
      <c r="K1179" s="2178"/>
      <c r="L1179" s="2178"/>
      <c r="M1179" s="2178"/>
      <c r="N1179" s="2178"/>
      <c r="O1179" s="2178"/>
      <c r="P1179" s="2178"/>
      <c r="Q1179" s="2178"/>
      <c r="R1179" s="2178"/>
      <c r="S1179" s="2178"/>
      <c r="T1179" s="2178"/>
      <c r="U1179" s="2178"/>
      <c r="V1179" s="2178"/>
      <c r="W1179" s="2178"/>
      <c r="X1179" s="2178"/>
      <c r="Y1179" s="2178"/>
      <c r="Z1179" s="2178"/>
      <c r="AA1179" s="2178"/>
      <c r="AB1179" s="2178"/>
      <c r="AC1179" s="2178"/>
      <c r="AD1179" s="2178"/>
      <c r="AE1179" s="2178"/>
      <c r="AF1179" s="2178"/>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2178"/>
      <c r="C1313" s="2178"/>
      <c r="D1313" s="2178"/>
      <c r="E1313" s="2178"/>
      <c r="F1313" s="2178"/>
      <c r="G1313" s="2178"/>
      <c r="H1313" s="2178"/>
      <c r="I1313" s="2178"/>
      <c r="J1313" s="2178"/>
      <c r="K1313" s="2178"/>
      <c r="L1313" s="2178"/>
      <c r="M1313" s="2178"/>
      <c r="N1313" s="2178"/>
      <c r="O1313" s="2178"/>
      <c r="P1313" s="2178"/>
      <c r="Q1313" s="2178"/>
      <c r="R1313" s="2178"/>
      <c r="S1313" s="2178"/>
      <c r="T1313" s="2178"/>
      <c r="U1313" s="2178"/>
      <c r="V1313" s="2178"/>
      <c r="W1313" s="2178"/>
      <c r="X1313" s="2178"/>
      <c r="Y1313" s="2178"/>
      <c r="Z1313" s="2178"/>
      <c r="AA1313" s="2178"/>
      <c r="AB1313" s="2178"/>
      <c r="AC1313" s="2178"/>
      <c r="AD1313" s="2178"/>
      <c r="AE1313" s="2178"/>
      <c r="AF1313" s="2178"/>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2178"/>
      <c r="C1431" s="2178"/>
      <c r="D1431" s="2178"/>
      <c r="E1431" s="2178"/>
      <c r="F1431" s="2178"/>
      <c r="G1431" s="2178"/>
      <c r="H1431" s="2178"/>
      <c r="I1431" s="2178"/>
      <c r="J1431" s="2178"/>
      <c r="K1431" s="2178"/>
      <c r="L1431" s="2178"/>
      <c r="M1431" s="2178"/>
      <c r="N1431" s="2178"/>
      <c r="O1431" s="2178"/>
      <c r="P1431" s="2178"/>
      <c r="Q1431" s="2178"/>
      <c r="R1431" s="2178"/>
      <c r="S1431" s="2178"/>
      <c r="T1431" s="2178"/>
      <c r="U1431" s="2178"/>
      <c r="V1431" s="2178"/>
      <c r="W1431" s="2178"/>
      <c r="X1431" s="2178"/>
      <c r="Y1431" s="2178"/>
      <c r="Z1431" s="2178"/>
      <c r="AA1431" s="2178"/>
      <c r="AB1431" s="2178"/>
      <c r="AC1431" s="2178"/>
      <c r="AD1431" s="2178"/>
      <c r="AE1431" s="2178"/>
      <c r="AF1431" s="2178"/>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2178"/>
      <c r="C1535" s="2178"/>
      <c r="D1535" s="2178"/>
      <c r="E1535" s="2178"/>
      <c r="F1535" s="2178"/>
      <c r="G1535" s="2178"/>
      <c r="H1535" s="2178"/>
      <c r="I1535" s="2178"/>
      <c r="J1535" s="2178"/>
      <c r="K1535" s="2178"/>
      <c r="L1535" s="2178"/>
      <c r="M1535" s="2178"/>
      <c r="N1535" s="2178"/>
      <c r="O1535" s="2178"/>
      <c r="P1535" s="2178"/>
      <c r="Q1535" s="2178"/>
      <c r="R1535" s="2178"/>
      <c r="S1535" s="2178"/>
      <c r="T1535" s="2178"/>
      <c r="U1535" s="2178"/>
      <c r="V1535" s="2178"/>
      <c r="W1535" s="2178"/>
      <c r="X1535" s="2178"/>
      <c r="Y1535" s="2178"/>
      <c r="Z1535" s="2178"/>
      <c r="AA1535" s="2178"/>
      <c r="AB1535" s="2178"/>
      <c r="AC1535" s="2178"/>
      <c r="AD1535" s="2178"/>
      <c r="AE1535" s="2178"/>
      <c r="AF1535" s="2178"/>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2178"/>
      <c r="C1628" s="2178"/>
      <c r="D1628" s="2178"/>
      <c r="E1628" s="2178"/>
      <c r="F1628" s="2178"/>
      <c r="G1628" s="2178"/>
      <c r="H1628" s="2178"/>
      <c r="I1628" s="2178"/>
      <c r="J1628" s="2178"/>
      <c r="K1628" s="2178"/>
      <c r="L1628" s="2178"/>
      <c r="M1628" s="2178"/>
      <c r="N1628" s="2178"/>
      <c r="O1628" s="2178"/>
      <c r="P1628" s="2178"/>
      <c r="Q1628" s="2178"/>
      <c r="R1628" s="2178"/>
      <c r="S1628" s="2178"/>
      <c r="T1628" s="2178"/>
      <c r="U1628" s="2178"/>
      <c r="V1628" s="2178"/>
      <c r="W1628" s="2178"/>
      <c r="X1628" s="2178"/>
      <c r="Y1628" s="2178"/>
      <c r="Z1628" s="2178"/>
      <c r="AA1628" s="2178"/>
      <c r="AB1628" s="2178"/>
      <c r="AC1628" s="2178"/>
      <c r="AD1628" s="2178"/>
      <c r="AE1628" s="2178"/>
      <c r="AF1628" s="2178"/>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2178"/>
      <c r="C1778" s="2178"/>
      <c r="D1778" s="2178"/>
      <c r="E1778" s="2178"/>
      <c r="F1778" s="2178"/>
      <c r="G1778" s="2178"/>
      <c r="H1778" s="2178"/>
      <c r="I1778" s="2178"/>
      <c r="J1778" s="2178"/>
      <c r="K1778" s="2178"/>
      <c r="L1778" s="2178"/>
      <c r="M1778" s="2178"/>
      <c r="N1778" s="2178"/>
      <c r="O1778" s="2178"/>
      <c r="P1778" s="2178"/>
      <c r="Q1778" s="2178"/>
      <c r="R1778" s="2178"/>
      <c r="S1778" s="2178"/>
      <c r="T1778" s="2178"/>
      <c r="U1778" s="2178"/>
      <c r="V1778" s="2178"/>
      <c r="W1778" s="2178"/>
      <c r="X1778" s="2178"/>
      <c r="Y1778" s="2178"/>
      <c r="Z1778" s="2178"/>
      <c r="AA1778" s="2178"/>
      <c r="AB1778" s="2178"/>
      <c r="AC1778" s="2178"/>
      <c r="AD1778" s="2178"/>
      <c r="AE1778" s="2178"/>
      <c r="AF1778" s="2178"/>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2178"/>
      <c r="C1928" s="2178"/>
      <c r="D1928" s="2178"/>
      <c r="E1928" s="2178"/>
      <c r="F1928" s="2178"/>
      <c r="G1928" s="2178"/>
      <c r="H1928" s="2178"/>
      <c r="I1928" s="2178"/>
      <c r="J1928" s="2178"/>
      <c r="K1928" s="2178"/>
      <c r="L1928" s="2178"/>
      <c r="M1928" s="2178"/>
      <c r="N1928" s="2178"/>
      <c r="O1928" s="2178"/>
      <c r="P1928" s="2178"/>
      <c r="Q1928" s="2178"/>
      <c r="R1928" s="2178"/>
      <c r="S1928" s="2178"/>
      <c r="T1928" s="2178"/>
      <c r="U1928" s="2178"/>
      <c r="V1928" s="2178"/>
      <c r="W1928" s="2178"/>
      <c r="X1928" s="2178"/>
      <c r="Y1928" s="2178"/>
      <c r="Z1928" s="2178"/>
      <c r="AA1928" s="2178"/>
      <c r="AB1928" s="2178"/>
      <c r="AC1928" s="2178"/>
      <c r="AD1928" s="2178"/>
      <c r="AE1928" s="2178"/>
      <c r="AF1928" s="2178"/>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2178"/>
      <c r="C2078" s="2178"/>
      <c r="D2078" s="2178"/>
      <c r="E2078" s="2178"/>
      <c r="F2078" s="2178"/>
      <c r="G2078" s="2178"/>
      <c r="H2078" s="2178"/>
      <c r="I2078" s="2178"/>
      <c r="J2078" s="2178"/>
      <c r="K2078" s="2178"/>
      <c r="L2078" s="2178"/>
      <c r="M2078" s="2178"/>
      <c r="N2078" s="2178"/>
      <c r="O2078" s="2178"/>
      <c r="P2078" s="2178"/>
      <c r="Q2078" s="2178"/>
      <c r="R2078" s="2178"/>
      <c r="S2078" s="2178"/>
      <c r="T2078" s="2178"/>
      <c r="U2078" s="2178"/>
      <c r="V2078" s="2178"/>
      <c r="W2078" s="2178"/>
      <c r="X2078" s="2178"/>
      <c r="Y2078" s="2178"/>
      <c r="Z2078" s="2178"/>
      <c r="AA2078" s="2178"/>
      <c r="AB2078" s="2178"/>
      <c r="AC2078" s="2178"/>
      <c r="AD2078" s="2178"/>
      <c r="AE2078" s="2178"/>
      <c r="AF2078" s="2178"/>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2178"/>
      <c r="C2228" s="2178"/>
      <c r="D2228" s="2178"/>
      <c r="E2228" s="2178"/>
      <c r="F2228" s="2178"/>
      <c r="G2228" s="2178"/>
      <c r="H2228" s="2178"/>
      <c r="I2228" s="2178"/>
      <c r="J2228" s="2178"/>
      <c r="K2228" s="2178"/>
      <c r="L2228" s="2178"/>
      <c r="M2228" s="2178"/>
      <c r="N2228" s="2178"/>
      <c r="O2228" s="2178"/>
      <c r="P2228" s="2178"/>
      <c r="Q2228" s="2178"/>
      <c r="R2228" s="2178"/>
      <c r="S2228" s="2178"/>
      <c r="T2228" s="2178"/>
      <c r="U2228" s="2178"/>
      <c r="V2228" s="2178"/>
      <c r="W2228" s="2178"/>
      <c r="X2228" s="2178"/>
      <c r="Y2228" s="2178"/>
      <c r="Z2228" s="2178"/>
      <c r="AA2228" s="2178"/>
      <c r="AB2228" s="2178"/>
      <c r="AC2228" s="2178"/>
      <c r="AD2228" s="2178"/>
      <c r="AE2228" s="2178"/>
      <c r="AF2228" s="2178"/>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2178"/>
      <c r="C2378" s="2178"/>
      <c r="D2378" s="2178"/>
      <c r="E2378" s="2178"/>
      <c r="F2378" s="2178"/>
      <c r="G2378" s="2178"/>
      <c r="H2378" s="2178"/>
      <c r="I2378" s="2178"/>
      <c r="J2378" s="2178"/>
      <c r="K2378" s="2178"/>
      <c r="L2378" s="2178"/>
      <c r="M2378" s="2178"/>
      <c r="N2378" s="2178"/>
      <c r="O2378" s="2178"/>
      <c r="P2378" s="2178"/>
      <c r="Q2378" s="2178"/>
      <c r="R2378" s="2178"/>
      <c r="S2378" s="2178"/>
      <c r="T2378" s="2178"/>
      <c r="U2378" s="2178"/>
      <c r="V2378" s="2178"/>
      <c r="W2378" s="2178"/>
      <c r="X2378" s="2178"/>
      <c r="Y2378" s="2178"/>
      <c r="Z2378" s="2178"/>
      <c r="AA2378" s="2178"/>
      <c r="AB2378" s="2178"/>
      <c r="AC2378" s="2178"/>
      <c r="AD2378" s="2178"/>
      <c r="AE2378" s="2178"/>
      <c r="AF2378" s="2178"/>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2178"/>
      <c r="C2528" s="2178"/>
      <c r="D2528" s="2178"/>
      <c r="E2528" s="2178"/>
      <c r="F2528" s="2178"/>
      <c r="G2528" s="2178"/>
      <c r="H2528" s="2178"/>
      <c r="I2528" s="2178"/>
      <c r="J2528" s="2178"/>
      <c r="K2528" s="2178"/>
      <c r="L2528" s="2178"/>
      <c r="M2528" s="2178"/>
      <c r="N2528" s="2178"/>
      <c r="O2528" s="2178"/>
      <c r="P2528" s="2178"/>
      <c r="Q2528" s="2178"/>
      <c r="R2528" s="2178"/>
      <c r="S2528" s="2178"/>
      <c r="T2528" s="2178"/>
      <c r="U2528" s="2178"/>
      <c r="V2528" s="2178"/>
      <c r="W2528" s="2178"/>
      <c r="X2528" s="2178"/>
      <c r="Y2528" s="2178"/>
      <c r="Z2528" s="2178"/>
      <c r="AA2528" s="2178"/>
      <c r="AB2528" s="2178"/>
      <c r="AC2528" s="2178"/>
      <c r="AD2528" s="2178"/>
      <c r="AE2528" s="2178"/>
      <c r="AF2528" s="2178"/>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2178"/>
      <c r="C2678" s="2178"/>
      <c r="D2678" s="2178"/>
      <c r="E2678" s="2178"/>
      <c r="F2678" s="2178"/>
      <c r="G2678" s="2178"/>
      <c r="H2678" s="2178"/>
      <c r="I2678" s="2178"/>
      <c r="J2678" s="2178"/>
      <c r="K2678" s="2178"/>
      <c r="L2678" s="2178"/>
      <c r="M2678" s="2178"/>
      <c r="N2678" s="2178"/>
      <c r="O2678" s="2178"/>
      <c r="P2678" s="2178"/>
      <c r="Q2678" s="2178"/>
      <c r="R2678" s="2178"/>
      <c r="S2678" s="2178"/>
      <c r="T2678" s="2178"/>
      <c r="U2678" s="2178"/>
      <c r="V2678" s="2178"/>
      <c r="W2678" s="2178"/>
      <c r="X2678" s="2178"/>
      <c r="Y2678" s="2178"/>
      <c r="Z2678" s="2178"/>
      <c r="AA2678" s="2178"/>
      <c r="AB2678" s="2178"/>
      <c r="AC2678" s="2178"/>
      <c r="AD2678" s="2178"/>
      <c r="AE2678" s="2178"/>
      <c r="AF2678" s="2178"/>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2178"/>
      <c r="C2828" s="2178"/>
      <c r="D2828" s="2178"/>
      <c r="E2828" s="2178"/>
      <c r="F2828" s="2178"/>
      <c r="G2828" s="2178"/>
      <c r="H2828" s="2178"/>
      <c r="I2828" s="2178"/>
      <c r="J2828" s="2178"/>
      <c r="K2828" s="2178"/>
      <c r="L2828" s="2178"/>
      <c r="M2828" s="2178"/>
      <c r="N2828" s="2178"/>
      <c r="O2828" s="2178"/>
      <c r="P2828" s="2178"/>
      <c r="Q2828" s="2178"/>
      <c r="R2828" s="2178"/>
      <c r="S2828" s="2178"/>
      <c r="T2828" s="2178"/>
      <c r="U2828" s="2178"/>
      <c r="V2828" s="2178"/>
      <c r="W2828" s="2178"/>
      <c r="X2828" s="2178"/>
      <c r="Y2828" s="2178"/>
      <c r="Z2828" s="2178"/>
      <c r="AA2828" s="2178"/>
      <c r="AB2828" s="2178"/>
      <c r="AC2828" s="2178"/>
      <c r="AD2828" s="2178"/>
      <c r="AE2828" s="2178"/>
      <c r="AF2828" s="2178"/>
    </row>
  </sheetData>
  <mergeCells count="24">
    <mergeCell ref="B63:AG63"/>
    <mergeCell ref="B2228:AF2228"/>
    <mergeCell ref="B2378:AF2378"/>
    <mergeCell ref="B2528:AF2528"/>
    <mergeCell ref="B2678:AF2678"/>
    <mergeCell ref="B1778:AF1778"/>
    <mergeCell ref="B1928:AF1928"/>
    <mergeCell ref="B728:AF728"/>
    <mergeCell ref="B156:AF156"/>
    <mergeCell ref="B292:AF292"/>
    <mergeCell ref="B378:AF378"/>
    <mergeCell ref="B560:AF560"/>
    <mergeCell ref="B652:AF652"/>
    <mergeCell ref="B1082:AF1082"/>
    <mergeCell ref="B1179:AF1179"/>
    <mergeCell ref="B1313:AF1313"/>
    <mergeCell ref="B2828:AF2828"/>
    <mergeCell ref="B2078:AF2078"/>
    <mergeCell ref="B819:AF819"/>
    <mergeCell ref="B897:AF897"/>
    <mergeCell ref="B983:AF983"/>
    <mergeCell ref="B1431:AF1431"/>
    <mergeCell ref="B1535:AF1535"/>
    <mergeCell ref="B1628:AF1628"/>
  </mergeCells>
  <pageMargins left="0.75" right="0.75" top="1" bottom="1" header="0.5" footer="0.5"/>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BBBC3-9964-4822-B72E-BD7F0EE0FDB9}">
  <sheetPr>
    <tabColor rgb="FF92D050"/>
  </sheetPr>
  <dimension ref="A1:K476"/>
  <sheetViews>
    <sheetView zoomScale="115" zoomScaleNormal="115" workbookViewId="0"/>
  </sheetViews>
  <sheetFormatPr baseColWidth="10" defaultColWidth="8.83203125" defaultRowHeight="15"/>
  <cols>
    <col min="1" max="1" width="42.5" customWidth="1"/>
    <col min="2" max="8" width="20.6640625" style="15" customWidth="1"/>
    <col min="9" max="9" width="14.33203125" customWidth="1"/>
  </cols>
  <sheetData>
    <row r="1" spans="1:9">
      <c r="A1" s="24" t="s">
        <v>5571</v>
      </c>
      <c r="B1" s="26"/>
      <c r="C1" s="26"/>
      <c r="D1" s="26"/>
      <c r="E1" s="26"/>
      <c r="F1" s="26"/>
      <c r="G1" s="26"/>
      <c r="H1" s="26"/>
      <c r="I1" s="25"/>
    </row>
    <row r="2" spans="1:9" ht="32">
      <c r="A2" s="3" t="s">
        <v>39</v>
      </c>
      <c r="B2" s="14" t="s">
        <v>40</v>
      </c>
      <c r="C2" s="1989" t="s">
        <v>4750</v>
      </c>
      <c r="D2" s="1989" t="s">
        <v>5449</v>
      </c>
      <c r="E2" s="1989" t="s">
        <v>4751</v>
      </c>
      <c r="F2" s="1989" t="s">
        <v>4752</v>
      </c>
      <c r="G2" s="1989" t="s">
        <v>5643</v>
      </c>
      <c r="H2" s="1989" t="s">
        <v>5517</v>
      </c>
      <c r="I2" s="1989" t="s">
        <v>41</v>
      </c>
    </row>
    <row r="3" spans="1:9">
      <c r="A3" t="s">
        <v>42</v>
      </c>
      <c r="B3" s="1990">
        <f>Calculations!$B$5</f>
        <v>3.6496440259232461</v>
      </c>
      <c r="C3" s="1990">
        <f>Calculations!B$167</f>
        <v>13.53721385278452</v>
      </c>
      <c r="D3" s="1990">
        <f>Calculations!C$167</f>
        <v>6.2015340918730608</v>
      </c>
      <c r="E3" s="1990">
        <f>Calculations!D$167</f>
        <v>5.1369442888214465</v>
      </c>
      <c r="F3" s="1990">
        <f>Calculations!E$167</f>
        <v>5.8922221540555402</v>
      </c>
      <c r="G3" s="1990">
        <f>Calculations!F$167</f>
        <v>7.3689886927598698</v>
      </c>
      <c r="H3" s="1990">
        <f>Calculations!G$167</f>
        <v>3.6496440259232461</v>
      </c>
      <c r="I3" s="15" t="s">
        <v>43</v>
      </c>
    </row>
    <row r="4" spans="1:9">
      <c r="A4" t="s">
        <v>5522</v>
      </c>
      <c r="B4" s="1990">
        <v>0</v>
      </c>
      <c r="C4" s="1990">
        <f>Calculations!B$168</f>
        <v>0</v>
      </c>
      <c r="D4" s="1990">
        <f>Calculations!C$168</f>
        <v>11.841438473827356</v>
      </c>
      <c r="E4" s="1990">
        <f>Calculations!D$168</f>
        <v>0</v>
      </c>
      <c r="F4" s="1990">
        <f>Calculations!E$168</f>
        <v>0</v>
      </c>
      <c r="G4" s="1990">
        <f>Calculations!F$168</f>
        <v>3.6368757106353398</v>
      </c>
      <c r="H4" s="1990">
        <f>Calculations!G$168</f>
        <v>0</v>
      </c>
      <c r="I4" s="15" t="s">
        <v>43</v>
      </c>
    </row>
    <row r="5" spans="1:9">
      <c r="A5" t="s">
        <v>45</v>
      </c>
      <c r="B5" s="1990">
        <f>Calculations!$B$7</f>
        <v>1.2294838162586879</v>
      </c>
      <c r="C5" s="1990">
        <f>Calculations!B$169</f>
        <v>1.3583966402096561</v>
      </c>
      <c r="D5" s="1990">
        <f>Calculations!C$169</f>
        <v>1.6480182766661706</v>
      </c>
      <c r="E5" s="1990">
        <f>Calculations!D$169</f>
        <v>13.757535637371687</v>
      </c>
      <c r="F5" s="1990">
        <f>Calculations!E$169</f>
        <v>1.6480182766661706</v>
      </c>
      <c r="G5" s="1990">
        <f>Calculations!F$169</f>
        <v>5.030901812558195</v>
      </c>
      <c r="H5" s="1990">
        <f>Calculations!G$169</f>
        <v>1.2294838162586879</v>
      </c>
      <c r="I5" s="15" t="s">
        <v>43</v>
      </c>
    </row>
    <row r="6" spans="1:9">
      <c r="A6" t="s">
        <v>5521</v>
      </c>
      <c r="B6" s="1990">
        <f>Calculations!$B$8</f>
        <v>0</v>
      </c>
      <c r="C6" s="1990">
        <f>Calculations!B$170</f>
        <v>0</v>
      </c>
      <c r="D6" s="1990">
        <f>Calculations!C$170</f>
        <v>0</v>
      </c>
      <c r="E6" s="1990">
        <f>Calculations!D$170</f>
        <v>0</v>
      </c>
      <c r="F6" s="1990">
        <f>Calculations!E$170</f>
        <v>0</v>
      </c>
      <c r="G6" s="1990">
        <f>Calculations!F$170</f>
        <v>0</v>
      </c>
      <c r="H6" s="1990">
        <f>Calculations!G$170</f>
        <v>0</v>
      </c>
      <c r="I6" s="15" t="s">
        <v>43</v>
      </c>
    </row>
    <row r="7" spans="1:9">
      <c r="A7" t="s">
        <v>46</v>
      </c>
      <c r="B7" s="1990">
        <v>0</v>
      </c>
      <c r="C7" s="1990">
        <f>Calculations!B$171</f>
        <v>0</v>
      </c>
      <c r="D7" s="1990">
        <f>Calculations!C$171</f>
        <v>0</v>
      </c>
      <c r="E7" s="1990">
        <f>Calculations!D$171</f>
        <v>0</v>
      </c>
      <c r="F7" s="1990">
        <f>Calculations!E$171</f>
        <v>15.033662185335599</v>
      </c>
      <c r="G7" s="1990">
        <f>Calculations!F$171</f>
        <v>4.3642508527624075</v>
      </c>
      <c r="H7" s="1990">
        <f>Calculations!G$171</f>
        <v>0</v>
      </c>
      <c r="I7" s="15" t="s">
        <v>43</v>
      </c>
    </row>
    <row r="8" spans="1:9">
      <c r="A8" t="s">
        <v>47</v>
      </c>
      <c r="B8" s="1990">
        <f>Calculations!$B$6</f>
        <v>15.913442060430881</v>
      </c>
      <c r="C8" s="1990">
        <f>Calculations!B$172</f>
        <v>0</v>
      </c>
      <c r="D8" s="1990">
        <f>Calculations!C$172</f>
        <v>0</v>
      </c>
      <c r="E8" s="1990">
        <f>Calculations!D$172</f>
        <v>0</v>
      </c>
      <c r="F8" s="1990">
        <f>Calculations!E$172</f>
        <v>0</v>
      </c>
      <c r="G8" s="1990">
        <f>Calculations!F$172</f>
        <v>0</v>
      </c>
      <c r="H8" s="1990">
        <f>Calculations!G$172</f>
        <v>15.913442060430881</v>
      </c>
      <c r="I8" s="15" t="s">
        <v>43</v>
      </c>
    </row>
    <row r="9" spans="1:9">
      <c r="A9" s="1" t="s">
        <v>1265</v>
      </c>
      <c r="B9" s="1991">
        <f t="shared" ref="B9:H9" si="0">SUM(B3:B8)</f>
        <v>20.792569902612815</v>
      </c>
      <c r="C9" s="1991">
        <f t="shared" si="0"/>
        <v>14.895610492994177</v>
      </c>
      <c r="D9" s="1991">
        <f t="shared" si="0"/>
        <v>19.690990842366588</v>
      </c>
      <c r="E9" s="1991">
        <f t="shared" si="0"/>
        <v>18.894479926193135</v>
      </c>
      <c r="F9" s="1991">
        <f t="shared" si="0"/>
        <v>22.57390261605731</v>
      </c>
      <c r="G9" s="1991">
        <f t="shared" si="0"/>
        <v>20.401017068715813</v>
      </c>
      <c r="H9" s="1991">
        <f t="shared" si="0"/>
        <v>20.792569902612815</v>
      </c>
      <c r="I9" s="461" t="s">
        <v>43</v>
      </c>
    </row>
    <row r="45" spans="1:9">
      <c r="A45" s="24" t="s">
        <v>5570</v>
      </c>
      <c r="B45" s="26"/>
      <c r="C45" s="26"/>
      <c r="D45" s="26"/>
      <c r="E45" s="26"/>
      <c r="F45" s="26"/>
      <c r="G45" s="26"/>
      <c r="H45" s="26"/>
      <c r="I45" s="25"/>
    </row>
    <row r="46" spans="1:9" ht="32">
      <c r="A46" s="3" t="s">
        <v>39</v>
      </c>
      <c r="B46" s="14" t="s">
        <v>40</v>
      </c>
      <c r="C46" s="1989" t="s">
        <v>4750</v>
      </c>
      <c r="D46" s="1989" t="s">
        <v>5449</v>
      </c>
      <c r="E46" s="1989" t="s">
        <v>4751</v>
      </c>
      <c r="F46" s="1989" t="s">
        <v>4752</v>
      </c>
      <c r="G46" s="1989" t="s">
        <v>5643</v>
      </c>
      <c r="H46" s="1989" t="s">
        <v>5517</v>
      </c>
      <c r="I46" s="1989" t="s">
        <v>41</v>
      </c>
    </row>
    <row r="47" spans="1:9">
      <c r="A47" t="s">
        <v>5522</v>
      </c>
      <c r="B47" s="1990">
        <v>0</v>
      </c>
      <c r="C47" s="1990">
        <f>Calculations!B$177</f>
        <v>3.0748606290542</v>
      </c>
      <c r="D47" s="1990">
        <f>Calculations!C$177</f>
        <v>5.9633722119815555</v>
      </c>
      <c r="E47" s="1990">
        <f>Calculations!D$177</f>
        <v>0.29817321823368143</v>
      </c>
      <c r="F47" s="1990">
        <f>Calculations!E$177</f>
        <v>0</v>
      </c>
      <c r="G47" s="1990">
        <f>Calculations!F$177</f>
        <v>1.9716399951818344</v>
      </c>
      <c r="H47" s="1990">
        <f>Calculations!G$177</f>
        <v>0</v>
      </c>
      <c r="I47" s="15" t="s">
        <v>43</v>
      </c>
    </row>
    <row r="48" spans="1:9">
      <c r="A48" t="s">
        <v>5523</v>
      </c>
      <c r="B48" s="1990">
        <v>0</v>
      </c>
      <c r="C48" s="1990">
        <f>Calculations!B$178</f>
        <v>0</v>
      </c>
      <c r="D48" s="1990">
        <f>Calculations!C$178</f>
        <v>0</v>
      </c>
      <c r="E48" s="1990">
        <f>Calculations!D$178</f>
        <v>0</v>
      </c>
      <c r="F48" s="1990">
        <f>Calculations!E$178</f>
        <v>5.5906556891894539</v>
      </c>
      <c r="G48" s="1990">
        <f>Calculations!F$178</f>
        <v>1.8449163774325199</v>
      </c>
      <c r="H48" s="1990">
        <f>Calculations!G$178</f>
        <v>0</v>
      </c>
      <c r="I48" s="15" t="s">
        <v>43</v>
      </c>
    </row>
    <row r="49" spans="1:9">
      <c r="A49" t="s">
        <v>45</v>
      </c>
      <c r="B49" s="1990">
        <v>0</v>
      </c>
      <c r="C49" s="1990">
        <f>Calculations!B$176</f>
        <v>2.5157950601352543</v>
      </c>
      <c r="D49" s="1990">
        <f>Calculations!C$176</f>
        <v>0</v>
      </c>
      <c r="E49" s="1990">
        <f>Calculations!D$176</f>
        <v>5.5906556891894539</v>
      </c>
      <c r="F49" s="1990">
        <f>Calculations!E$176</f>
        <v>0</v>
      </c>
      <c r="G49" s="1990">
        <f>Calculations!F$176</f>
        <v>1.9008229343244145</v>
      </c>
      <c r="H49" s="1990">
        <f>Calculations!G$176</f>
        <v>0</v>
      </c>
      <c r="I49" s="15" t="s">
        <v>43</v>
      </c>
    </row>
    <row r="50" spans="1:9">
      <c r="A50" t="s">
        <v>46</v>
      </c>
      <c r="B50" s="1990">
        <v>0</v>
      </c>
      <c r="C50" s="1990">
        <f>Calculations!B$179</f>
        <v>0</v>
      </c>
      <c r="D50" s="1990">
        <f>Calculations!C$179</f>
        <v>0</v>
      </c>
      <c r="E50" s="1990">
        <f>Calculations!D$179</f>
        <v>0</v>
      </c>
      <c r="F50" s="1990">
        <f>Calculations!E$179</f>
        <v>0.49324674160546789</v>
      </c>
      <c r="G50" s="1990">
        <f>Calculations!F$179</f>
        <v>0</v>
      </c>
      <c r="H50" s="1990">
        <f>Calculations!G$179</f>
        <v>0</v>
      </c>
      <c r="I50" s="15" t="s">
        <v>43</v>
      </c>
    </row>
    <row r="51" spans="1:9">
      <c r="A51" t="s">
        <v>47</v>
      </c>
      <c r="B51" s="1990">
        <f>SUM(Calculations!$B$9:$B$10)</f>
        <v>6.0016946405273437</v>
      </c>
      <c r="C51" s="1990">
        <f>Calculations!B$180</f>
        <v>0</v>
      </c>
      <c r="D51" s="1990">
        <f>Calculations!C$180</f>
        <v>0</v>
      </c>
      <c r="E51" s="1990">
        <f>Calculations!D$180</f>
        <v>0</v>
      </c>
      <c r="F51" s="1990">
        <f>Calculations!E$180</f>
        <v>0</v>
      </c>
      <c r="G51" s="1990">
        <f>Calculations!F$180</f>
        <v>0</v>
      </c>
      <c r="H51" s="1990">
        <f>Calculations!G$180</f>
        <v>6.0016946405273437</v>
      </c>
      <c r="I51" s="15" t="s">
        <v>43</v>
      </c>
    </row>
    <row r="52" spans="1:9">
      <c r="A52" s="1" t="s">
        <v>1265</v>
      </c>
      <c r="B52" s="1991">
        <f t="shared" ref="B52:H52" si="1">SUM(B47:B51)</f>
        <v>6.0016946405273437</v>
      </c>
      <c r="C52" s="1991">
        <f t="shared" si="1"/>
        <v>5.5906556891894539</v>
      </c>
      <c r="D52" s="1991">
        <f t="shared" si="1"/>
        <v>5.9633722119815555</v>
      </c>
      <c r="E52" s="1991">
        <f t="shared" si="1"/>
        <v>5.888828907423135</v>
      </c>
      <c r="F52" s="1991">
        <f t="shared" si="1"/>
        <v>6.0839024307949217</v>
      </c>
      <c r="G52" s="1991">
        <f t="shared" si="1"/>
        <v>5.7173793069387688</v>
      </c>
      <c r="H52" s="1991">
        <f t="shared" si="1"/>
        <v>6.0016946405273437</v>
      </c>
      <c r="I52" s="461" t="s">
        <v>43</v>
      </c>
    </row>
    <row r="53" spans="1:9">
      <c r="B53" s="1990"/>
      <c r="C53" s="1990"/>
      <c r="D53" s="1990"/>
      <c r="E53" s="1990"/>
      <c r="F53" s="1990"/>
    </row>
    <row r="54" spans="1:9">
      <c r="A54" s="3" t="s">
        <v>48</v>
      </c>
      <c r="B54" s="1990"/>
      <c r="C54" s="1990"/>
      <c r="D54" s="1990"/>
      <c r="E54" s="1990"/>
      <c r="F54" s="1990"/>
    </row>
    <row r="55" spans="1:9">
      <c r="A55" t="s">
        <v>49</v>
      </c>
      <c r="C55" s="1990"/>
      <c r="D55" s="1990"/>
      <c r="E55" s="1990"/>
      <c r="F55" s="1990"/>
    </row>
    <row r="56" spans="1:9">
      <c r="A56" t="s">
        <v>50</v>
      </c>
      <c r="C56" s="1990"/>
      <c r="D56" s="1990"/>
      <c r="E56" s="1990"/>
      <c r="F56" s="1990"/>
    </row>
    <row r="57" spans="1:9">
      <c r="A57" t="s">
        <v>5943</v>
      </c>
      <c r="C57" s="1990"/>
      <c r="D57" s="1990"/>
      <c r="E57" s="1990"/>
      <c r="F57" s="1990"/>
    </row>
    <row r="58" spans="1:9">
      <c r="C58" s="1990"/>
      <c r="D58" s="1990"/>
      <c r="E58" s="1990"/>
      <c r="F58" s="1990"/>
    </row>
    <row r="93" spans="1:9">
      <c r="A93" s="24" t="s">
        <v>51</v>
      </c>
      <c r="B93" s="26"/>
      <c r="C93" s="26"/>
      <c r="D93" s="26"/>
      <c r="E93" s="26"/>
      <c r="F93" s="26"/>
      <c r="G93" s="26"/>
      <c r="H93" s="26"/>
      <c r="I93" s="25"/>
    </row>
    <row r="94" spans="1:9" ht="32">
      <c r="B94" s="14" t="s">
        <v>40</v>
      </c>
      <c r="C94" s="1989" t="s">
        <v>4750</v>
      </c>
      <c r="D94" s="1989" t="s">
        <v>5449</v>
      </c>
      <c r="E94" s="1989" t="s">
        <v>4751</v>
      </c>
      <c r="F94" s="1989" t="s">
        <v>4752</v>
      </c>
      <c r="G94" s="1989" t="s">
        <v>5643</v>
      </c>
      <c r="H94" s="1989" t="s">
        <v>5517</v>
      </c>
      <c r="I94" s="1989" t="s">
        <v>41</v>
      </c>
    </row>
    <row r="95" spans="1:9">
      <c r="A95" t="s">
        <v>5450</v>
      </c>
      <c r="B95" s="1990">
        <f>Calculations!B186/'Unit Conversions'!$E$13</f>
        <v>2.8723003796055107</v>
      </c>
      <c r="C95" s="1990">
        <f>Calculations!B186/'Unit Conversions'!$E$13</f>
        <v>2.8723003796055107</v>
      </c>
      <c r="D95" s="1990">
        <f>Calculations!C186/'Unit Conversions'!$E$13</f>
        <v>2.8723003796055107</v>
      </c>
      <c r="E95" s="1990">
        <f>Calculations!D186/'Unit Conversions'!$E$13</f>
        <v>2.8723003796055107</v>
      </c>
      <c r="F95" s="1990">
        <f>Calculations!E186/'Unit Conversions'!$E$13</f>
        <v>2.8723003796055107</v>
      </c>
      <c r="G95" s="1990">
        <f>Calculations!F186/'Unit Conversions'!$E$13</f>
        <v>2.8723003796055107</v>
      </c>
      <c r="H95" s="1990">
        <f>Calculations!G186/'Unit Conversions'!$E$13</f>
        <v>2.8723003796055107</v>
      </c>
      <c r="I95" s="15" t="s">
        <v>52</v>
      </c>
    </row>
    <row r="96" spans="1:9">
      <c r="A96" t="s">
        <v>53</v>
      </c>
      <c r="B96" s="1990">
        <f>Calculations!B5/'Unit Conversions'!$E$13</f>
        <v>1.0138181686652377</v>
      </c>
      <c r="C96" s="1990">
        <f>Calculations!B184/'Unit Conversions'!$E$13</f>
        <v>3.7604416374793908</v>
      </c>
      <c r="D96" s="1990">
        <f>Calculations!C184/'Unit Conversions'!$E$13</f>
        <v>1.7226962112687996</v>
      </c>
      <c r="E96" s="1990">
        <f>Calculations!D184/'Unit Conversions'!$E$13</f>
        <v>1.4269686069207441</v>
      </c>
      <c r="F96" s="1990">
        <f>Calculations!E184/'Unit Conversions'!$E$13</f>
        <v>1.6367738418220623</v>
      </c>
      <c r="G96" s="1990">
        <f>Calculations!F184/'Unit Conversions'!$E$13</f>
        <v>2.0469981642987145</v>
      </c>
      <c r="H96" s="1990">
        <f>Calculations!G184/'Unit Conversions'!$E$13</f>
        <v>1.0138181686652377</v>
      </c>
      <c r="I96" s="15" t="s">
        <v>52</v>
      </c>
    </row>
    <row r="97" spans="1:9">
      <c r="A97" t="s">
        <v>5524</v>
      </c>
      <c r="B97" s="1990">
        <v>0</v>
      </c>
      <c r="C97" s="1990">
        <f>Calculations!B185/'Unit Conversions'!$E$13</f>
        <v>1.2202166840328168</v>
      </c>
      <c r="D97" s="1990">
        <f>Calculations!C185/'Unit Conversions'!$E$13</f>
        <v>7.0655973313341525</v>
      </c>
      <c r="E97" s="1990">
        <f>Calculations!D185/'Unit Conversions'!$E$13</f>
        <v>0.11832599246373285</v>
      </c>
      <c r="F97" s="1990">
        <f>Calculations!E185/'Unit Conversions'!$E$13</f>
        <v>0</v>
      </c>
      <c r="G97" s="1990">
        <f>Calculations!F185/'Unit Conversions'!$E$13</f>
        <v>2.225663294210261</v>
      </c>
      <c r="H97" s="1990">
        <f>Calculations!G185/'Unit Conversions'!$E$13</f>
        <v>0</v>
      </c>
      <c r="I97" s="15" t="s">
        <v>52</v>
      </c>
    </row>
    <row r="98" spans="1:9">
      <c r="A98" s="1" t="s">
        <v>1265</v>
      </c>
      <c r="B98" s="1991">
        <f>SUM(B95:B97)</f>
        <v>3.8861185482707485</v>
      </c>
      <c r="C98" s="1991">
        <f t="shared" ref="C98:H98" si="2">SUM(C95:C97)</f>
        <v>7.8529587011177178</v>
      </c>
      <c r="D98" s="1991">
        <f t="shared" si="2"/>
        <v>11.660593922208463</v>
      </c>
      <c r="E98" s="1991">
        <f t="shared" si="2"/>
        <v>4.417594978989988</v>
      </c>
      <c r="F98" s="1991">
        <f t="shared" si="2"/>
        <v>4.5090742214275732</v>
      </c>
      <c r="G98" s="1991">
        <f t="shared" si="2"/>
        <v>7.1449618381144866</v>
      </c>
      <c r="H98" s="1991">
        <f t="shared" si="2"/>
        <v>3.8861185482707485</v>
      </c>
      <c r="I98" s="461" t="s">
        <v>52</v>
      </c>
    </row>
    <row r="99" spans="1:9">
      <c r="A99" s="1" t="s">
        <v>5727</v>
      </c>
      <c r="B99" s="451"/>
      <c r="C99" s="2047">
        <f>(C$98/$B$98)^(1/30)-1</f>
        <v>2.3726413851030248E-2</v>
      </c>
      <c r="D99" s="2047">
        <f t="shared" ref="D99:H99" si="3">(D$98/$B$98)^(1/30)-1</f>
        <v>3.7305835025561729E-2</v>
      </c>
      <c r="E99" s="2047">
        <f t="shared" si="3"/>
        <v>4.2819604598640648E-3</v>
      </c>
      <c r="F99" s="2047">
        <f t="shared" si="3"/>
        <v>4.9683348820892537E-3</v>
      </c>
      <c r="G99" s="2047">
        <f t="shared" si="3"/>
        <v>2.050733113777703E-2</v>
      </c>
      <c r="H99" s="2047">
        <f t="shared" si="3"/>
        <v>0</v>
      </c>
      <c r="I99" s="461" t="s">
        <v>5504</v>
      </c>
    </row>
    <row r="134" spans="1:9">
      <c r="A134" s="24" t="s">
        <v>5569</v>
      </c>
      <c r="B134" s="26"/>
      <c r="C134" s="26"/>
      <c r="D134" s="26"/>
      <c r="E134" s="26"/>
      <c r="F134" s="26"/>
      <c r="G134" s="26"/>
      <c r="H134" s="26"/>
      <c r="I134" s="25"/>
    </row>
    <row r="135" spans="1:9" ht="32">
      <c r="B135" s="14" t="s">
        <v>40</v>
      </c>
      <c r="C135" s="1989" t="s">
        <v>4750</v>
      </c>
      <c r="D135" s="1989" t="s">
        <v>5449</v>
      </c>
      <c r="E135" s="1989" t="s">
        <v>4751</v>
      </c>
      <c r="F135" s="1989" t="s">
        <v>4752</v>
      </c>
      <c r="G135" s="1989" t="s">
        <v>5643</v>
      </c>
      <c r="H135" s="1989" t="s">
        <v>5517</v>
      </c>
      <c r="I135" s="1989" t="s">
        <v>41</v>
      </c>
    </row>
    <row r="136" spans="1:9">
      <c r="A136" t="s">
        <v>5525</v>
      </c>
      <c r="B136" s="15">
        <f>Calculations!B196</f>
        <v>10</v>
      </c>
      <c r="C136" s="1990">
        <f>Calculations!B199</f>
        <v>0</v>
      </c>
      <c r="D136" s="1990">
        <f>Calculations!C199</f>
        <v>0</v>
      </c>
      <c r="E136" s="1990">
        <f>Calculations!D199</f>
        <v>0</v>
      </c>
      <c r="F136" s="1990">
        <f>Calculations!E199</f>
        <v>0</v>
      </c>
      <c r="G136" s="1990">
        <f>Calculations!F199</f>
        <v>0</v>
      </c>
      <c r="H136" s="1990">
        <f>Calculations!G199</f>
        <v>10</v>
      </c>
      <c r="I136" s="15" t="s">
        <v>55</v>
      </c>
    </row>
    <row r="137" spans="1:9">
      <c r="A137" t="s">
        <v>5522</v>
      </c>
      <c r="B137" s="15">
        <v>0</v>
      </c>
      <c r="C137" s="1990">
        <f>Calculations!B197</f>
        <v>25.772027734927502</v>
      </c>
      <c r="D137" s="1990">
        <f>Calculations!C197</f>
        <v>149.23150352702129</v>
      </c>
      <c r="E137" s="1990">
        <f>Calculations!D197</f>
        <v>2.4991469133658657</v>
      </c>
      <c r="F137" s="1990">
        <f>Calculations!E197</f>
        <v>0</v>
      </c>
      <c r="G137" s="1990">
        <f>Calculations!F197</f>
        <v>47.007926458948738</v>
      </c>
      <c r="H137" s="1990">
        <f>Calculations!G197</f>
        <v>0</v>
      </c>
      <c r="I137" s="15" t="s">
        <v>55</v>
      </c>
    </row>
    <row r="138" spans="1:9">
      <c r="A138" t="s">
        <v>5523</v>
      </c>
      <c r="B138" s="15">
        <v>0</v>
      </c>
      <c r="C138" s="1990">
        <f>Calculations!B198</f>
        <v>0</v>
      </c>
      <c r="D138" s="1990">
        <f>Calculations!C198</f>
        <v>0</v>
      </c>
      <c r="E138" s="1990">
        <f>Calculations!D198</f>
        <v>0</v>
      </c>
      <c r="F138" s="1990">
        <f>Calculations!E198</f>
        <v>46.858232245322725</v>
      </c>
      <c r="G138" s="1990">
        <f>Calculations!F198</f>
        <v>15.4632166409565</v>
      </c>
      <c r="H138" s="1990">
        <f>Calculations!G198</f>
        <v>0</v>
      </c>
      <c r="I138" s="15" t="s">
        <v>55</v>
      </c>
    </row>
    <row r="140" spans="1:9">
      <c r="A140" s="3" t="s">
        <v>48</v>
      </c>
    </row>
    <row r="141" spans="1:9">
      <c r="A141" t="s">
        <v>56</v>
      </c>
    </row>
    <row r="177" spans="1:9">
      <c r="A177" s="24" t="s">
        <v>57</v>
      </c>
      <c r="B177" s="26"/>
      <c r="C177" s="26"/>
      <c r="D177" s="26"/>
      <c r="E177" s="26"/>
      <c r="F177" s="26"/>
      <c r="G177" s="26"/>
      <c r="H177" s="26"/>
      <c r="I177" s="25"/>
    </row>
    <row r="178" spans="1:9" ht="32">
      <c r="B178" s="14" t="s">
        <v>40</v>
      </c>
      <c r="C178" s="1989" t="s">
        <v>4750</v>
      </c>
      <c r="D178" s="1989" t="s">
        <v>5449</v>
      </c>
      <c r="E178" s="1989" t="s">
        <v>4751</v>
      </c>
      <c r="F178" s="1989" t="s">
        <v>4752</v>
      </c>
      <c r="G178" s="1989" t="s">
        <v>5643</v>
      </c>
      <c r="H178" s="1989" t="s">
        <v>5517</v>
      </c>
      <c r="I178" s="1989" t="s">
        <v>41</v>
      </c>
    </row>
    <row r="179" spans="1:9">
      <c r="A179" t="s">
        <v>5632</v>
      </c>
      <c r="B179" s="1992">
        <f>'Region-Specific Data'!$M$36/10^3</f>
        <v>6.7080000000000001E-2</v>
      </c>
      <c r="C179" s="1969">
        <f>Calculations!B202</f>
        <v>278.58828402575728</v>
      </c>
      <c r="D179" s="1969">
        <f>Calculations!C202</f>
        <v>1613.1500756470668</v>
      </c>
      <c r="E179" s="1969">
        <f>Calculations!D202</f>
        <v>27.015066772541747</v>
      </c>
      <c r="F179" s="1969">
        <f>Calculations!E202</f>
        <v>0</v>
      </c>
      <c r="G179" s="1969">
        <f>Calculations!F202</f>
        <v>508.14230461421488</v>
      </c>
      <c r="H179" s="1969">
        <f>Calculations!G202</f>
        <v>0</v>
      </c>
      <c r="I179" s="15" t="s">
        <v>58</v>
      </c>
    </row>
    <row r="215" spans="1:9">
      <c r="A215" s="24" t="s">
        <v>5568</v>
      </c>
      <c r="B215" s="26"/>
      <c r="C215" s="26"/>
      <c r="D215" s="26"/>
      <c r="E215" s="26"/>
      <c r="F215" s="26"/>
      <c r="G215" s="26"/>
      <c r="H215" s="26"/>
      <c r="I215" s="25"/>
    </row>
    <row r="216" spans="1:9" ht="32">
      <c r="B216" s="14" t="s">
        <v>40</v>
      </c>
      <c r="C216" s="1989" t="s">
        <v>4750</v>
      </c>
      <c r="D216" s="1989" t="s">
        <v>5449</v>
      </c>
      <c r="E216" s="1989" t="s">
        <v>4751</v>
      </c>
      <c r="F216" s="1989" t="s">
        <v>4752</v>
      </c>
      <c r="G216" s="1989" t="s">
        <v>5643</v>
      </c>
      <c r="H216" s="1989" t="s">
        <v>5517</v>
      </c>
      <c r="I216" s="1989" t="s">
        <v>41</v>
      </c>
    </row>
    <row r="217" spans="1:9">
      <c r="A217" t="s">
        <v>5630</v>
      </c>
      <c r="B217" s="1990">
        <f>Calculations!$B$208</f>
        <v>12.429124994735524</v>
      </c>
      <c r="C217" s="1990">
        <f>Calculations!B$208</f>
        <v>12.429124994735524</v>
      </c>
      <c r="D217" s="1990">
        <f>Calculations!C$208</f>
        <v>12.429124994735524</v>
      </c>
      <c r="E217" s="1990">
        <f>Calculations!D$208</f>
        <v>12.429124994735524</v>
      </c>
      <c r="F217" s="1990">
        <f>Calculations!E$208</f>
        <v>12.429124994735524</v>
      </c>
      <c r="G217" s="1990">
        <f>Calculations!F$208</f>
        <v>12.429124994735524</v>
      </c>
      <c r="H217" s="1990">
        <f>Calculations!G$208</f>
        <v>12.429124994735524</v>
      </c>
      <c r="I217" s="15" t="s">
        <v>60</v>
      </c>
    </row>
    <row r="218" spans="1:9">
      <c r="A218" t="s">
        <v>5631</v>
      </c>
      <c r="B218" s="1990">
        <f>Calculations!$B$211</f>
        <v>4.7540040895335931</v>
      </c>
      <c r="C218" s="1990">
        <f>Calculations!B$214</f>
        <v>14.980207908000322</v>
      </c>
      <c r="D218" s="1990">
        <f>Calculations!C$214</f>
        <v>6.3723373364425262</v>
      </c>
      <c r="E218" s="1990">
        <f>Calculations!D$214</f>
        <v>74.813006462703086</v>
      </c>
      <c r="F218" s="1990">
        <f>Calculations!E$214</f>
        <v>6.3723373364425262</v>
      </c>
      <c r="G218" s="1990">
        <f>Calculations!F$214</f>
        <v>26.802669021279424</v>
      </c>
      <c r="H218" s="1990">
        <f>Calculations!G$214</f>
        <v>4.7540040895335931</v>
      </c>
      <c r="I218" s="15" t="s">
        <v>60</v>
      </c>
    </row>
    <row r="219" spans="1:9">
      <c r="B219" s="1990"/>
      <c r="C219" s="1990"/>
      <c r="D219" s="1990"/>
      <c r="E219" s="1990"/>
      <c r="F219" s="1990"/>
      <c r="G219" s="1990"/>
      <c r="H219" s="1990"/>
      <c r="I219" s="15"/>
    </row>
    <row r="220" spans="1:9">
      <c r="A220" t="s">
        <v>5630</v>
      </c>
      <c r="B220" s="1993">
        <f>Calculations!$B$209</f>
        <v>3.062791493205988E-2</v>
      </c>
      <c r="C220" s="1993">
        <f>Calculations!B$209</f>
        <v>3.062791493205988E-2</v>
      </c>
      <c r="D220" s="1993">
        <f>Calculations!C$209</f>
        <v>3.062791493205988E-2</v>
      </c>
      <c r="E220" s="1993">
        <f>Calculations!D$209</f>
        <v>3.062791493205988E-2</v>
      </c>
      <c r="F220" s="1993">
        <f>Calculations!E$209</f>
        <v>3.062791493205988E-2</v>
      </c>
      <c r="G220" s="1993">
        <f>Calculations!F$209</f>
        <v>3.062791493205988E-2</v>
      </c>
      <c r="H220" s="1993">
        <f>Calculations!G$209</f>
        <v>3.062791493205988E-2</v>
      </c>
      <c r="I220" s="15" t="s">
        <v>61</v>
      </c>
    </row>
    <row r="221" spans="1:9">
      <c r="A221" t="s">
        <v>5631</v>
      </c>
      <c r="B221" s="1993">
        <f>Calculations!$B$212</f>
        <v>1.1714841785127448E-2</v>
      </c>
      <c r="C221" s="1993">
        <f>Calculations!B$215</f>
        <v>3.6914306812839928E-2</v>
      </c>
      <c r="D221" s="1993">
        <f>Calculations!C$215</f>
        <v>1.5702747051109186E-2</v>
      </c>
      <c r="E221" s="1993">
        <f>Calculations!D$215</f>
        <v>0.18435460249388808</v>
      </c>
      <c r="F221" s="1993">
        <f>Calculations!E$215</f>
        <v>1.5702747051109186E-2</v>
      </c>
      <c r="G221" s="1993">
        <f>Calculations!F$215</f>
        <v>6.6047277429715057E-2</v>
      </c>
      <c r="H221" s="1993">
        <f>Calculations!G$215</f>
        <v>1.1714841785127448E-2</v>
      </c>
      <c r="I221" s="15" t="s">
        <v>61</v>
      </c>
    </row>
    <row r="222" spans="1:9">
      <c r="B222" s="1993"/>
      <c r="C222" s="1993"/>
    </row>
    <row r="223" spans="1:9">
      <c r="A223" s="3" t="s">
        <v>48</v>
      </c>
      <c r="B223" s="1993"/>
      <c r="C223" s="1993"/>
    </row>
    <row r="224" spans="1:9">
      <c r="A224" t="s">
        <v>5944</v>
      </c>
      <c r="B224" s="1993"/>
      <c r="C224" s="1993"/>
    </row>
    <row r="225" spans="1:1">
      <c r="A225" t="s">
        <v>5526</v>
      </c>
    </row>
    <row r="226" spans="1:1">
      <c r="A226" t="s">
        <v>5527</v>
      </c>
    </row>
    <row r="295" spans="1:9">
      <c r="A295" s="24" t="s">
        <v>5567</v>
      </c>
      <c r="B295" s="26"/>
      <c r="C295" s="26"/>
      <c r="D295" s="26"/>
      <c r="E295" s="26"/>
      <c r="F295" s="26"/>
      <c r="G295" s="26"/>
      <c r="H295" s="26"/>
      <c r="I295" s="25"/>
    </row>
    <row r="296" spans="1:9" ht="32">
      <c r="B296" s="14" t="s">
        <v>40</v>
      </c>
      <c r="C296" s="1989" t="s">
        <v>4750</v>
      </c>
      <c r="D296" s="1989" t="s">
        <v>5449</v>
      </c>
      <c r="E296" s="1989" t="s">
        <v>4751</v>
      </c>
      <c r="F296" s="1989" t="s">
        <v>4752</v>
      </c>
      <c r="G296" s="1989" t="s">
        <v>5643</v>
      </c>
      <c r="H296" s="1989" t="s">
        <v>5517</v>
      </c>
      <c r="I296" s="1989" t="s">
        <v>41</v>
      </c>
    </row>
    <row r="297" spans="1:9">
      <c r="A297" t="s">
        <v>5724</v>
      </c>
      <c r="B297" s="1969">
        <f>Calculations!$B$219</f>
        <v>775.6</v>
      </c>
      <c r="C297" s="1995">
        <f>Calculations!B222</f>
        <v>0</v>
      </c>
      <c r="D297" s="1995">
        <f>Calculations!C222</f>
        <v>0</v>
      </c>
      <c r="E297" s="1995">
        <f>Calculations!D222</f>
        <v>0</v>
      </c>
      <c r="F297" s="1995">
        <f>Calculations!E222</f>
        <v>73.272069905852732</v>
      </c>
      <c r="G297" s="1995">
        <f>Calculations!F222</f>
        <v>21.270778179531519</v>
      </c>
      <c r="H297" s="1995">
        <f>Calculations!G222</f>
        <v>775.6</v>
      </c>
      <c r="I297" s="15" t="s">
        <v>64</v>
      </c>
    </row>
    <row r="298" spans="1:9">
      <c r="A298" t="s">
        <v>5725</v>
      </c>
      <c r="B298" s="1969">
        <f>Calculations!$B$226</f>
        <v>120</v>
      </c>
      <c r="C298" s="1995">
        <f>SUM(Calculations!B227:B228)</f>
        <v>0</v>
      </c>
      <c r="D298" s="1995">
        <f>SUM(Calculations!C227:C228)</f>
        <v>0</v>
      </c>
      <c r="E298" s="1995">
        <f>SUM(Calculations!D227:D228)</f>
        <v>0</v>
      </c>
      <c r="F298" s="1995">
        <f>SUM(Calculations!E227:E228)</f>
        <v>56.229878694387253</v>
      </c>
      <c r="G298" s="1995">
        <f>SUM(Calculations!F227:F228)</f>
        <v>18.555859969147797</v>
      </c>
      <c r="H298" s="1995">
        <f>SUM(Calculations!G227:G228)</f>
        <v>120</v>
      </c>
      <c r="I298" s="15" t="s">
        <v>64</v>
      </c>
    </row>
    <row r="299" spans="1:9">
      <c r="A299" t="s">
        <v>5726</v>
      </c>
      <c r="B299" s="1969">
        <f>SUM(Calculations!$B$12:$B$14)</f>
        <v>167.32538354986394</v>
      </c>
      <c r="C299" s="1995">
        <f>Calculations!B161</f>
        <v>6.8413910865068104</v>
      </c>
      <c r="D299" s="1995">
        <f>Calculations!C161</f>
        <v>6.8413910865068104</v>
      </c>
      <c r="E299" s="1995">
        <f>Calculations!D161</f>
        <v>6.8413910865068104</v>
      </c>
      <c r="F299" s="1995">
        <f>Calculations!E161</f>
        <v>11.794125921474787</v>
      </c>
      <c r="G299" s="1995">
        <f>Calculations!F161</f>
        <v>6.8413910865068104</v>
      </c>
      <c r="H299" s="1995">
        <f>Calculations!G161</f>
        <v>167.32538354986394</v>
      </c>
      <c r="I299" s="15" t="s">
        <v>64</v>
      </c>
    </row>
    <row r="300" spans="1:9">
      <c r="B300" s="1969"/>
      <c r="C300" s="1995"/>
      <c r="D300" s="1995"/>
      <c r="E300" s="1995"/>
      <c r="F300" s="1995"/>
      <c r="G300" s="1995"/>
      <c r="H300" s="1995"/>
      <c r="I300" s="15"/>
    </row>
    <row r="301" spans="1:9">
      <c r="A301" s="3" t="s">
        <v>48</v>
      </c>
      <c r="B301" s="1969"/>
      <c r="C301" s="1995"/>
      <c r="D301" s="1995"/>
      <c r="E301" s="1995"/>
      <c r="F301" s="1995"/>
      <c r="G301" s="1995"/>
      <c r="H301" s="1995"/>
      <c r="I301" s="15"/>
    </row>
    <row r="302" spans="1:9">
      <c r="A302" t="s">
        <v>5572</v>
      </c>
      <c r="B302" s="1969"/>
      <c r="C302" s="1995"/>
      <c r="D302" s="1995"/>
      <c r="E302" s="1995"/>
      <c r="F302" s="1995"/>
      <c r="G302" s="1995"/>
      <c r="H302" s="1995"/>
      <c r="I302" s="15"/>
    </row>
    <row r="317" spans="11:11">
      <c r="K317" t="s">
        <v>1252</v>
      </c>
    </row>
    <row r="338" spans="1:9">
      <c r="A338" s="24" t="s">
        <v>5566</v>
      </c>
      <c r="B338" s="26"/>
      <c r="C338" s="26"/>
      <c r="D338" s="26"/>
      <c r="E338" s="26"/>
      <c r="F338" s="26"/>
      <c r="G338" s="26"/>
      <c r="H338" s="26"/>
      <c r="I338" s="25"/>
    </row>
    <row r="339" spans="1:9" ht="32">
      <c r="B339" s="14" t="s">
        <v>40</v>
      </c>
      <c r="C339" s="1989" t="s">
        <v>4750</v>
      </c>
      <c r="D339" s="1989" t="s">
        <v>5449</v>
      </c>
      <c r="E339" s="1989" t="s">
        <v>4751</v>
      </c>
      <c r="F339" s="1989" t="s">
        <v>4752</v>
      </c>
      <c r="G339" s="1989" t="s">
        <v>5643</v>
      </c>
      <c r="H339" s="1989" t="s">
        <v>5517</v>
      </c>
      <c r="I339" s="1989" t="s">
        <v>41</v>
      </c>
    </row>
    <row r="340" spans="1:9">
      <c r="A340" s="1" t="s">
        <v>4906</v>
      </c>
      <c r="B340" s="451"/>
      <c r="C340" s="451"/>
      <c r="D340" s="451"/>
      <c r="E340" s="461"/>
      <c r="F340" s="461"/>
      <c r="G340" s="461"/>
      <c r="H340" s="461"/>
      <c r="I340" s="2"/>
    </row>
    <row r="341" spans="1:9">
      <c r="A341" t="s">
        <v>5724</v>
      </c>
      <c r="B341" s="15">
        <v>0</v>
      </c>
      <c r="C341" s="1995">
        <f>Calculations!B232</f>
        <v>0</v>
      </c>
      <c r="D341" s="1995">
        <f>Calculations!C232</f>
        <v>0</v>
      </c>
      <c r="E341" s="1995">
        <f>Calculations!D232</f>
        <v>0</v>
      </c>
      <c r="F341" s="1995">
        <f>Calculations!E232</f>
        <v>659.44862915267481</v>
      </c>
      <c r="G341" s="1995">
        <f>Calculations!F232</f>
        <v>191.43700361578371</v>
      </c>
      <c r="H341" s="1995">
        <f>Calculations!G232</f>
        <v>0</v>
      </c>
      <c r="I341" s="15" t="s">
        <v>64</v>
      </c>
    </row>
    <row r="342" spans="1:9">
      <c r="A342" t="s">
        <v>5725</v>
      </c>
      <c r="B342" s="15">
        <v>0</v>
      </c>
      <c r="C342" s="1995">
        <f>Calculations!B235</f>
        <v>0</v>
      </c>
      <c r="D342" s="1995">
        <f>Calculations!C235</f>
        <v>0</v>
      </c>
      <c r="E342" s="1995">
        <f>Calculations!D235</f>
        <v>0</v>
      </c>
      <c r="F342" s="1995">
        <f>Calculations!E235</f>
        <v>506.0689082494855</v>
      </c>
      <c r="G342" s="1995">
        <f>Calculations!F235</f>
        <v>167.00273972233018</v>
      </c>
      <c r="H342" s="1995">
        <f>Calculations!G235</f>
        <v>0</v>
      </c>
      <c r="I342" s="15" t="s">
        <v>64</v>
      </c>
    </row>
    <row r="343" spans="1:9">
      <c r="A343" t="s">
        <v>5726</v>
      </c>
      <c r="B343" s="15">
        <v>0</v>
      </c>
      <c r="C343" s="1995">
        <f>Calculations!B238</f>
        <v>61.572519778561336</v>
      </c>
      <c r="D343" s="1995">
        <f>Calculations!C238</f>
        <v>61.572519778561336</v>
      </c>
      <c r="E343" s="1995">
        <f>Calculations!D238</f>
        <v>61.572519778561336</v>
      </c>
      <c r="F343" s="1995">
        <f>Calculations!E238</f>
        <v>106.14713329327313</v>
      </c>
      <c r="G343" s="1995">
        <f>Calculations!F238</f>
        <v>61.572519778561336</v>
      </c>
      <c r="H343" s="1995">
        <f>Calculations!G238</f>
        <v>0</v>
      </c>
      <c r="I343" s="15" t="s">
        <v>64</v>
      </c>
    </row>
    <row r="344" spans="1:9">
      <c r="A344" s="1" t="s">
        <v>4907</v>
      </c>
      <c r="B344" s="461"/>
      <c r="C344" s="1994"/>
      <c r="D344" s="461"/>
      <c r="E344" s="461"/>
      <c r="F344" s="461"/>
      <c r="G344" s="461"/>
      <c r="H344" s="461"/>
      <c r="I344" s="2"/>
    </row>
    <row r="345" spans="1:9">
      <c r="A345" t="s">
        <v>5724</v>
      </c>
      <c r="B345" s="15">
        <v>0</v>
      </c>
      <c r="C345" s="1985">
        <f>Calculations!B233</f>
        <v>0</v>
      </c>
      <c r="D345" s="1985">
        <f>Calculations!C233</f>
        <v>0</v>
      </c>
      <c r="E345" s="1985">
        <f>Calculations!D233</f>
        <v>0</v>
      </c>
      <c r="F345" s="1985">
        <f>Calculations!E233</f>
        <v>0.2156070371624349</v>
      </c>
      <c r="G345" s="1985">
        <f>Calculations!F233</f>
        <v>6.2590417703783693E-2</v>
      </c>
      <c r="H345" s="1985">
        <f>Calculations!G233</f>
        <v>0</v>
      </c>
      <c r="I345" s="15" t="s">
        <v>61</v>
      </c>
    </row>
    <row r="346" spans="1:9">
      <c r="A346" t="s">
        <v>5725</v>
      </c>
      <c r="B346" s="15">
        <v>0</v>
      </c>
      <c r="C346" s="1985">
        <f>Calculations!B236</f>
        <v>0</v>
      </c>
      <c r="D346" s="1985">
        <f>Calculations!C236</f>
        <v>0</v>
      </c>
      <c r="E346" s="1985">
        <f>Calculations!D236</f>
        <v>0</v>
      </c>
      <c r="F346" s="1985">
        <f>Calculations!E236</f>
        <v>0.16545946580842491</v>
      </c>
      <c r="G346" s="1985">
        <f>Calculations!F236</f>
        <v>5.4601623716780207E-2</v>
      </c>
      <c r="H346" s="1985">
        <f>Calculations!G236</f>
        <v>0</v>
      </c>
      <c r="I346" s="15" t="s">
        <v>61</v>
      </c>
    </row>
    <row r="347" spans="1:9">
      <c r="A347" t="s">
        <v>5726</v>
      </c>
      <c r="B347" s="15">
        <v>0</v>
      </c>
      <c r="C347" s="1985">
        <f>Calculations!B239</f>
        <v>2.0131164086486426E-2</v>
      </c>
      <c r="D347" s="1985">
        <f>Calculations!C239</f>
        <v>2.0131164086486426E-2</v>
      </c>
      <c r="E347" s="1985">
        <f>Calculations!D239</f>
        <v>2.0131164086486426E-2</v>
      </c>
      <c r="F347" s="1985">
        <f>Calculations!E239</f>
        <v>3.4704854784602356E-2</v>
      </c>
      <c r="G347" s="1985">
        <f>Calculations!F239</f>
        <v>2.0131164086486426E-2</v>
      </c>
      <c r="H347" s="1985">
        <f>Calculations!G239</f>
        <v>0</v>
      </c>
      <c r="I347" s="15" t="s">
        <v>61</v>
      </c>
    </row>
    <row r="348" spans="1:9">
      <c r="A348" t="s">
        <v>1265</v>
      </c>
      <c r="B348" s="15">
        <f>SUM(B345:B347)</f>
        <v>0</v>
      </c>
      <c r="C348" s="468">
        <f t="shared" ref="C348:H348" si="4">SUM(C345:C347)</f>
        <v>2.0131164086486426E-2</v>
      </c>
      <c r="D348" s="468">
        <f t="shared" si="4"/>
        <v>2.0131164086486426E-2</v>
      </c>
      <c r="E348" s="468">
        <f t="shared" si="4"/>
        <v>2.0131164086486426E-2</v>
      </c>
      <c r="F348" s="468">
        <f t="shared" si="4"/>
        <v>0.41577135775546215</v>
      </c>
      <c r="G348" s="468">
        <f t="shared" si="4"/>
        <v>0.13732320550705032</v>
      </c>
      <c r="H348" s="468">
        <f t="shared" si="4"/>
        <v>0</v>
      </c>
      <c r="I348" s="15" t="s">
        <v>61</v>
      </c>
    </row>
    <row r="349" spans="1:9">
      <c r="A349" t="s">
        <v>5530</v>
      </c>
      <c r="B349" s="1999">
        <v>0</v>
      </c>
      <c r="C349" s="1998">
        <f>SUM(C345:C347)*'Region-Independent Data'!$B$64</f>
        <v>0.16104931269189141</v>
      </c>
      <c r="D349" s="1998">
        <f>SUM(D345:D347)*'Region-Independent Data'!$B$64</f>
        <v>0.16104931269189141</v>
      </c>
      <c r="E349" s="1998">
        <f>SUM(E345:E347)*'Region-Independent Data'!$B$64</f>
        <v>0.16104931269189141</v>
      </c>
      <c r="F349" s="1998">
        <f>SUM(F345:F347)*'Region-Independent Data'!$B$64</f>
        <v>3.3261708620436972</v>
      </c>
      <c r="G349" s="1998">
        <f>SUM(G345:G347)*'Region-Independent Data'!$B$64</f>
        <v>1.0985856440564026</v>
      </c>
      <c r="H349" s="1998">
        <f>SUM(H345:H347)*'Region-Independent Data'!$B$64</f>
        <v>0</v>
      </c>
      <c r="I349" s="15" t="s">
        <v>5529</v>
      </c>
    </row>
    <row r="350" spans="1:9">
      <c r="C350" s="1985"/>
      <c r="D350" s="1985"/>
      <c r="E350" s="1985"/>
      <c r="F350" s="1985"/>
      <c r="G350" s="1985"/>
      <c r="H350" s="1985"/>
      <c r="I350" s="15"/>
    </row>
    <row r="351" spans="1:9">
      <c r="A351" s="3" t="s">
        <v>48</v>
      </c>
      <c r="C351" s="1985"/>
      <c r="D351" s="1985"/>
      <c r="E351" s="1985"/>
      <c r="F351" s="1985"/>
      <c r="G351" s="1985"/>
      <c r="H351" s="1985"/>
      <c r="I351" s="15"/>
    </row>
    <row r="352" spans="1:9">
      <c r="A352" t="s">
        <v>5531</v>
      </c>
      <c r="C352" s="1985"/>
      <c r="D352" s="1985"/>
      <c r="E352" s="1985"/>
      <c r="F352" s="1985"/>
      <c r="G352" s="1985"/>
      <c r="H352" s="1985"/>
      <c r="I352" s="15"/>
    </row>
    <row r="422" spans="1:9">
      <c r="A422" s="24" t="s">
        <v>5565</v>
      </c>
      <c r="B422" s="26"/>
      <c r="C422" s="26"/>
      <c r="D422" s="26"/>
      <c r="E422" s="26"/>
      <c r="F422" s="26"/>
      <c r="G422" s="26"/>
      <c r="H422" s="26"/>
      <c r="I422" s="25"/>
    </row>
    <row r="423" spans="1:9" ht="32">
      <c r="B423" s="14" t="s">
        <v>40</v>
      </c>
      <c r="C423" s="1989" t="s">
        <v>4750</v>
      </c>
      <c r="D423" s="1989" t="s">
        <v>5449</v>
      </c>
      <c r="E423" s="1989" t="s">
        <v>4751</v>
      </c>
      <c r="F423" s="1989" t="s">
        <v>4752</v>
      </c>
      <c r="G423" s="1989" t="s">
        <v>5643</v>
      </c>
      <c r="H423" s="1989" t="s">
        <v>5517</v>
      </c>
      <c r="I423" s="1989" t="s">
        <v>41</v>
      </c>
    </row>
    <row r="424" spans="1:9">
      <c r="A424" t="s">
        <v>5633</v>
      </c>
      <c r="B424" s="1969">
        <f>SUM('Region-Specific Data'!M42:M50)-SUM(Calculations!B245:B253)</f>
        <v>815.29742571569807</v>
      </c>
      <c r="C424" s="1969">
        <f>$B$424</f>
        <v>815.29742571569807</v>
      </c>
      <c r="D424" s="1969">
        <f t="shared" ref="D424:H424" si="5">$B$424</f>
        <v>815.29742571569807</v>
      </c>
      <c r="E424" s="1969">
        <f t="shared" si="5"/>
        <v>815.29742571569807</v>
      </c>
      <c r="F424" s="1969">
        <f t="shared" si="5"/>
        <v>815.29742571569807</v>
      </c>
      <c r="G424" s="1969">
        <f t="shared" si="5"/>
        <v>815.29742571569807</v>
      </c>
      <c r="H424" s="1969">
        <f t="shared" si="5"/>
        <v>815.29742571569807</v>
      </c>
      <c r="I424" s="15" t="s">
        <v>58</v>
      </c>
    </row>
    <row r="425" spans="1:9">
      <c r="A425" t="s">
        <v>5634</v>
      </c>
      <c r="B425" s="1969">
        <f>Calculations!B253</f>
        <v>183.3899702367371</v>
      </c>
      <c r="C425" s="1969">
        <f>Calculations!B273</f>
        <v>0</v>
      </c>
      <c r="D425" s="1969">
        <f>Calculations!C273</f>
        <v>0</v>
      </c>
      <c r="E425" s="1969">
        <f>Calculations!D273</f>
        <v>0</v>
      </c>
      <c r="F425" s="1969">
        <f>Calculations!E273</f>
        <v>0</v>
      </c>
      <c r="G425" s="1969">
        <f>Calculations!F273</f>
        <v>0</v>
      </c>
      <c r="H425" s="1969">
        <f>Calculations!G273</f>
        <v>0</v>
      </c>
      <c r="I425" s="15" t="s">
        <v>58</v>
      </c>
    </row>
    <row r="426" spans="1:9">
      <c r="A426" t="s">
        <v>46</v>
      </c>
      <c r="B426" s="1969">
        <f>Calculations!B252</f>
        <v>0</v>
      </c>
      <c r="C426" s="1969">
        <f>Calculations!B272</f>
        <v>100.44119902790851</v>
      </c>
      <c r="D426" s="1969">
        <f>Calculations!C272</f>
        <v>177.22692139224324</v>
      </c>
      <c r="E426" s="1969">
        <f>Calculations!D272</f>
        <v>31.162796641389328</v>
      </c>
      <c r="F426" s="1969">
        <f>Calculations!E272</f>
        <v>33.007589880248979</v>
      </c>
      <c r="G426" s="1969">
        <f>Calculations!F272</f>
        <v>86.163557552102191</v>
      </c>
      <c r="H426" s="1969">
        <f>Calculations!G272</f>
        <v>20.444910267624604</v>
      </c>
      <c r="I426" s="15" t="s">
        <v>58</v>
      </c>
    </row>
    <row r="427" spans="1:9">
      <c r="A427" t="s">
        <v>3961</v>
      </c>
      <c r="B427" s="1969">
        <f>Calculations!B251</f>
        <v>24.725506698470184</v>
      </c>
      <c r="C427" s="1969">
        <f>Calculations!B271</f>
        <v>70.22187724245552</v>
      </c>
      <c r="D427" s="1969">
        <f>Calculations!C271</f>
        <v>123.90540175258563</v>
      </c>
      <c r="E427" s="1969">
        <f>Calculations!D271</f>
        <v>21.78697687265964</v>
      </c>
      <c r="F427" s="1969">
        <f>Calculations!E271</f>
        <v>23.076734916277964</v>
      </c>
      <c r="G427" s="1969">
        <f>Calculations!F271</f>
        <v>60.23988980374245</v>
      </c>
      <c r="H427" s="1969">
        <f>Calculations!G271</f>
        <v>14.293735966326294</v>
      </c>
      <c r="I427" s="15" t="s">
        <v>58</v>
      </c>
    </row>
    <row r="428" spans="1:9">
      <c r="A428" t="s">
        <v>3867</v>
      </c>
      <c r="B428" s="1969">
        <f>Calculations!B250</f>
        <v>0.69845949449828848</v>
      </c>
      <c r="C428" s="1969">
        <f>Calculations!B270</f>
        <v>94.309614203530387</v>
      </c>
      <c r="D428" s="1969">
        <f>Calculations!C270</f>
        <v>166.40783607469353</v>
      </c>
      <c r="E428" s="1969">
        <f>Calculations!D270</f>
        <v>29.260416613862656</v>
      </c>
      <c r="F428" s="1969">
        <f>Calculations!E270</f>
        <v>30.992591660815179</v>
      </c>
      <c r="G428" s="1969">
        <f>Calculations!F270</f>
        <v>80.903572934095962</v>
      </c>
      <c r="H428" s="1969">
        <f>Calculations!G270</f>
        <v>19.196819815240545</v>
      </c>
      <c r="I428" s="15" t="s">
        <v>58</v>
      </c>
    </row>
    <row r="429" spans="1:9">
      <c r="A429" t="s">
        <v>5635</v>
      </c>
      <c r="B429" s="1969">
        <f>Calculations!B249</f>
        <v>20.667876223154536</v>
      </c>
      <c r="C429" s="1969">
        <f>Calculations!B269</f>
        <v>28.966524362512903</v>
      </c>
      <c r="D429" s="1969">
        <f>Calculations!C269</f>
        <v>51.110978222941576</v>
      </c>
      <c r="E429" s="1969">
        <f>Calculations!D269</f>
        <v>8.9871279599720992</v>
      </c>
      <c r="F429" s="1969">
        <f>Calculations!E269</f>
        <v>9.5191531529646625</v>
      </c>
      <c r="G429" s="1969">
        <f>Calculations!F269</f>
        <v>24.848954544043757</v>
      </c>
      <c r="H429" s="1969">
        <f>Calculations!G269</f>
        <v>5.896166086109595</v>
      </c>
      <c r="I429" s="15" t="s">
        <v>58</v>
      </c>
    </row>
    <row r="430" spans="1:9">
      <c r="A430" t="s">
        <v>3971</v>
      </c>
      <c r="B430" s="1969">
        <f>Calculations!B248</f>
        <v>0.66279667161904909</v>
      </c>
      <c r="C430" s="1969">
        <f>Calculations!B268</f>
        <v>25.612505752116672</v>
      </c>
      <c r="D430" s="1969">
        <f>Calculations!C268</f>
        <v>45.192864955022024</v>
      </c>
      <c r="E430" s="1969">
        <f>Calculations!D268</f>
        <v>7.9465131435542764</v>
      </c>
      <c r="F430" s="1969">
        <f>Calculations!E268</f>
        <v>8.4169354194634884</v>
      </c>
      <c r="G430" s="1969">
        <f>Calculations!F268</f>
        <v>21.971707175786058</v>
      </c>
      <c r="H430" s="1969">
        <f>Calculations!G268</f>
        <v>5.2134521182442723</v>
      </c>
      <c r="I430" s="15" t="s">
        <v>58</v>
      </c>
    </row>
    <row r="431" spans="1:9">
      <c r="A431" t="s">
        <v>5636</v>
      </c>
      <c r="B431" s="1969">
        <f>Calculations!B247</f>
        <v>19.947352898968177</v>
      </c>
      <c r="C431" s="1969">
        <f>Calculations!B267</f>
        <v>788.07710006512832</v>
      </c>
      <c r="D431" s="1969">
        <f>Calculations!C267</f>
        <v>1390.549690923755</v>
      </c>
      <c r="E431" s="1969">
        <f>Calculations!D267</f>
        <v>244.50809672474696</v>
      </c>
      <c r="F431" s="1969">
        <f>Calculations!E267</f>
        <v>258.98262829118426</v>
      </c>
      <c r="G431" s="1969">
        <f>Calculations!F267</f>
        <v>676.05252848572491</v>
      </c>
      <c r="H431" s="1969">
        <f>Calculations!G267</f>
        <v>160.41391133059304</v>
      </c>
      <c r="I431" s="15" t="s">
        <v>58</v>
      </c>
    </row>
    <row r="432" spans="1:9">
      <c r="A432" t="s">
        <v>5637</v>
      </c>
      <c r="B432" s="1969">
        <f>Calculations!B245</f>
        <v>37.558019601873276</v>
      </c>
      <c r="C432" s="1969">
        <f>Calculations!B265</f>
        <v>478.26792067834572</v>
      </c>
      <c r="D432" s="1969">
        <f>Calculations!C265</f>
        <v>843.89624977436722</v>
      </c>
      <c r="E432" s="1969">
        <f>Calculations!D265</f>
        <v>148.38697761919533</v>
      </c>
      <c r="F432" s="1969">
        <f>Calculations!E265</f>
        <v>157.17127564600128</v>
      </c>
      <c r="G432" s="1969">
        <f>Calculations!F265</f>
        <v>410.28249271738099</v>
      </c>
      <c r="H432" s="1969">
        <f>Calculations!G265</f>
        <v>97.351931446330426</v>
      </c>
      <c r="I432" s="15" t="s">
        <v>58</v>
      </c>
    </row>
    <row r="433" spans="1:9">
      <c r="A433" t="s">
        <v>5638</v>
      </c>
      <c r="B433" s="1969">
        <f>Calculations!B246</f>
        <v>0.12052745898134326</v>
      </c>
      <c r="C433" s="1969">
        <f>Calculations!B266</f>
        <v>64.498026413547606</v>
      </c>
      <c r="D433" s="1969">
        <f>Calculations!C266</f>
        <v>113.80575667931325</v>
      </c>
      <c r="E433" s="1969">
        <f>Calculations!D266</f>
        <v>20.011100030156566</v>
      </c>
      <c r="F433" s="1969">
        <f>Calculations!E266</f>
        <v>21.195728690497855</v>
      </c>
      <c r="G433" s="1969">
        <f>Calculations!F266</f>
        <v>55.329680098069602</v>
      </c>
      <c r="H433" s="1969">
        <f>Calculations!G266</f>
        <v>13.128640191735085</v>
      </c>
      <c r="I433" s="15" t="s">
        <v>58</v>
      </c>
    </row>
    <row r="476" spans="1:1">
      <c r="A476" t="s">
        <v>1252</v>
      </c>
    </row>
  </sheetData>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FAF76-033E-4551-B95C-3141EC741D3F}">
  <sheetPr codeName="Sheet37"/>
  <dimension ref="A1:AH2828"/>
  <sheetViews>
    <sheetView workbookViewId="0">
      <pane xSplit="2" ySplit="1" topLeftCell="C5" activePane="bottomRight" state="frozen"/>
      <selection pane="topRight" activeCell="C1" sqref="C1"/>
      <selection pane="bottomLeft" activeCell="A2" sqref="A2"/>
      <selection pane="bottomRight" activeCell="B23" sqref="B23"/>
    </sheetView>
  </sheetViews>
  <sheetFormatPr baseColWidth="10" defaultColWidth="9.33203125" defaultRowHeight="15" customHeight="1"/>
  <cols>
    <col min="1" max="1" width="20.6640625" style="28" hidden="1" customWidth="1"/>
    <col min="2" max="2" width="45.6640625" style="28" customWidth="1"/>
    <col min="3" max="16384" width="9.33203125" style="28"/>
  </cols>
  <sheetData>
    <row r="1" spans="1:33" ht="15" customHeight="1" thickBot="1">
      <c r="B1" s="50" t="s">
        <v>2046</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2047</v>
      </c>
      <c r="D3" s="48" t="s">
        <v>311</v>
      </c>
      <c r="E3" s="47"/>
      <c r="F3" s="47"/>
      <c r="G3" s="47"/>
    </row>
    <row r="4" spans="1:33" ht="15" customHeight="1">
      <c r="C4" s="48" t="s">
        <v>2048</v>
      </c>
      <c r="D4" s="48" t="s">
        <v>2049</v>
      </c>
      <c r="E4" s="47"/>
      <c r="F4" s="47"/>
      <c r="G4" s="48" t="s">
        <v>207</v>
      </c>
    </row>
    <row r="5" spans="1:33" ht="15" customHeight="1">
      <c r="C5" s="48" t="s">
        <v>2050</v>
      </c>
      <c r="D5" s="48" t="s">
        <v>2051</v>
      </c>
      <c r="E5" s="47"/>
      <c r="F5" s="47"/>
      <c r="G5" s="47"/>
    </row>
    <row r="6" spans="1:33" ht="15" customHeight="1">
      <c r="C6" s="48" t="s">
        <v>2052</v>
      </c>
      <c r="D6" s="47"/>
      <c r="E6" s="48" t="s">
        <v>2053</v>
      </c>
      <c r="F6" s="47"/>
      <c r="G6" s="47"/>
    </row>
    <row r="7" spans="1:33" ht="12" customHeight="1"/>
    <row r="8" spans="1:33" ht="12" customHeight="1"/>
    <row r="9" spans="1:33" ht="12" customHeight="1"/>
    <row r="10" spans="1:33" ht="15" customHeight="1">
      <c r="A10" s="34" t="s">
        <v>2979</v>
      </c>
      <c r="B10" s="46" t="s">
        <v>2980</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2058</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2059</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2061</v>
      </c>
      <c r="AG12" s="29"/>
    </row>
    <row r="13" spans="1:33" ht="15" customHeight="1" thickBot="1">
      <c r="B13" s="42" t="s">
        <v>2763</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A15" s="34" t="s">
        <v>2981</v>
      </c>
      <c r="B15" s="33" t="s">
        <v>2695</v>
      </c>
      <c r="C15" s="40">
        <v>474.04568499999999</v>
      </c>
      <c r="D15" s="40">
        <v>452.66241500000001</v>
      </c>
      <c r="E15" s="40">
        <v>441.20394900000002</v>
      </c>
      <c r="F15" s="40">
        <v>453.24295000000001</v>
      </c>
      <c r="G15" s="40">
        <v>468.34979199999998</v>
      </c>
      <c r="H15" s="40">
        <v>480.999664</v>
      </c>
      <c r="I15" s="40">
        <v>490.772919</v>
      </c>
      <c r="J15" s="40">
        <v>497.28476000000001</v>
      </c>
      <c r="K15" s="40">
        <v>503.20382699999999</v>
      </c>
      <c r="L15" s="40">
        <v>511.00143400000002</v>
      </c>
      <c r="M15" s="40">
        <v>519.99523899999997</v>
      </c>
      <c r="N15" s="40">
        <v>527.93658400000004</v>
      </c>
      <c r="O15" s="40">
        <v>537.20996100000002</v>
      </c>
      <c r="P15" s="40">
        <v>545.92431599999998</v>
      </c>
      <c r="Q15" s="40">
        <v>552.74749799999995</v>
      </c>
      <c r="R15" s="40">
        <v>560.28912400000002</v>
      </c>
      <c r="S15" s="40">
        <v>566.19134499999996</v>
      </c>
      <c r="T15" s="40">
        <v>573.65039100000001</v>
      </c>
      <c r="U15" s="40">
        <v>582.99743699999999</v>
      </c>
      <c r="V15" s="40">
        <v>591.118652</v>
      </c>
      <c r="W15" s="40">
        <v>598.44317599999999</v>
      </c>
      <c r="X15" s="40">
        <v>605.70812999999998</v>
      </c>
      <c r="Y15" s="40">
        <v>611.42059300000005</v>
      </c>
      <c r="Z15" s="40">
        <v>616.42040999999995</v>
      </c>
      <c r="AA15" s="40">
        <v>624.27166699999998</v>
      </c>
      <c r="AB15" s="40">
        <v>633.372253</v>
      </c>
      <c r="AC15" s="40">
        <v>638.37658699999997</v>
      </c>
      <c r="AD15" s="40">
        <v>645.89202899999998</v>
      </c>
      <c r="AE15" s="40">
        <v>658.58074999999997</v>
      </c>
      <c r="AF15" s="31">
        <v>1.1811E-2</v>
      </c>
      <c r="AG15" s="29"/>
    </row>
    <row r="16" spans="1:33" ht="15" customHeight="1">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B17" s="33" t="s">
        <v>2888</v>
      </c>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row>
    <row r="18" spans="1:33" ht="15" customHeight="1">
      <c r="B18" s="33" t="s">
        <v>2982</v>
      </c>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row>
    <row r="19" spans="1:33" ht="15" customHeight="1">
      <c r="A19" s="34" t="s">
        <v>2983</v>
      </c>
      <c r="B19" s="37" t="s">
        <v>2805</v>
      </c>
      <c r="C19" s="36">
        <v>5.1067619999999998</v>
      </c>
      <c r="D19" s="36">
        <v>5.163932</v>
      </c>
      <c r="E19" s="36">
        <v>3.6573579999999999</v>
      </c>
      <c r="F19" s="36">
        <v>3.1207549999999999</v>
      </c>
      <c r="G19" s="36">
        <v>2.4266040000000002</v>
      </c>
      <c r="H19" s="36">
        <v>1.9254389999999999</v>
      </c>
      <c r="I19" s="36">
        <v>1.593917</v>
      </c>
      <c r="J19" s="36">
        <v>1.5596749999999999</v>
      </c>
      <c r="K19" s="36">
        <v>1.5614950000000001</v>
      </c>
      <c r="L19" s="36">
        <v>1.597604</v>
      </c>
      <c r="M19" s="36">
        <v>1.6516010000000001</v>
      </c>
      <c r="N19" s="36">
        <v>1.730175</v>
      </c>
      <c r="O19" s="36">
        <v>1.799552</v>
      </c>
      <c r="P19" s="36">
        <v>1.8647929999999999</v>
      </c>
      <c r="Q19" s="36">
        <v>1.8806929999999999</v>
      </c>
      <c r="R19" s="36">
        <v>1.9133359999999999</v>
      </c>
      <c r="S19" s="36">
        <v>1.9796339999999999</v>
      </c>
      <c r="T19" s="36">
        <v>1.961152</v>
      </c>
      <c r="U19" s="36">
        <v>2.0492159999999999</v>
      </c>
      <c r="V19" s="36">
        <v>2.100333</v>
      </c>
      <c r="W19" s="36">
        <v>2.118754</v>
      </c>
      <c r="X19" s="36">
        <v>2.0999270000000001</v>
      </c>
      <c r="Y19" s="36">
        <v>2.0960700000000001</v>
      </c>
      <c r="Z19" s="36">
        <v>2.0976029999999999</v>
      </c>
      <c r="AA19" s="36">
        <v>2.0901360000000002</v>
      </c>
      <c r="AB19" s="36">
        <v>2.096568</v>
      </c>
      <c r="AC19" s="36">
        <v>2.075942</v>
      </c>
      <c r="AD19" s="36">
        <v>2.0520070000000001</v>
      </c>
      <c r="AE19" s="36">
        <v>2.0759300000000001</v>
      </c>
      <c r="AF19" s="35">
        <v>-3.1636999999999998E-2</v>
      </c>
      <c r="AG19" s="29"/>
    </row>
    <row r="20" spans="1:33" ht="15" customHeight="1">
      <c r="A20" s="34" t="s">
        <v>2984</v>
      </c>
      <c r="B20" s="37" t="s">
        <v>2807</v>
      </c>
      <c r="C20" s="36">
        <v>0.88726799999999995</v>
      </c>
      <c r="D20" s="36">
        <v>0.93139799999999995</v>
      </c>
      <c r="E20" s="36">
        <v>0.93392299999999995</v>
      </c>
      <c r="F20" s="36">
        <v>0.97021999999999997</v>
      </c>
      <c r="G20" s="36">
        <v>0.99783100000000002</v>
      </c>
      <c r="H20" s="36">
        <v>1.031747</v>
      </c>
      <c r="I20" s="36">
        <v>1.0653030000000001</v>
      </c>
      <c r="J20" s="36">
        <v>1.0564519999999999</v>
      </c>
      <c r="K20" s="36">
        <v>1.0496479999999999</v>
      </c>
      <c r="L20" s="36">
        <v>1.0368139999999999</v>
      </c>
      <c r="M20" s="36">
        <v>1.029012</v>
      </c>
      <c r="N20" s="36">
        <v>1.022403</v>
      </c>
      <c r="O20" s="36">
        <v>1.0193559999999999</v>
      </c>
      <c r="P20" s="36">
        <v>1.0151520000000001</v>
      </c>
      <c r="Q20" s="36">
        <v>1.012626</v>
      </c>
      <c r="R20" s="36">
        <v>1.0083800000000001</v>
      </c>
      <c r="S20" s="36">
        <v>1.003584</v>
      </c>
      <c r="T20" s="36">
        <v>0.99990900000000005</v>
      </c>
      <c r="U20" s="36">
        <v>0.99788100000000002</v>
      </c>
      <c r="V20" s="36">
        <v>0.99278299999999997</v>
      </c>
      <c r="W20" s="36">
        <v>0.99219599999999997</v>
      </c>
      <c r="X20" s="36">
        <v>0.98779899999999998</v>
      </c>
      <c r="Y20" s="36">
        <v>0.98656200000000005</v>
      </c>
      <c r="Z20" s="36">
        <v>0.981321</v>
      </c>
      <c r="AA20" s="36">
        <v>0.974688</v>
      </c>
      <c r="AB20" s="36">
        <v>0.97250899999999996</v>
      </c>
      <c r="AC20" s="36">
        <v>0.96750899999999995</v>
      </c>
      <c r="AD20" s="36">
        <v>0.962731</v>
      </c>
      <c r="AE20" s="36">
        <v>0.96286499999999997</v>
      </c>
      <c r="AF20" s="35">
        <v>2.9239999999999999E-3</v>
      </c>
      <c r="AG20" s="29"/>
    </row>
    <row r="21" spans="1:33" ht="15" customHeight="1">
      <c r="A21" s="34" t="s">
        <v>2985</v>
      </c>
      <c r="B21" s="37" t="s">
        <v>2986</v>
      </c>
      <c r="C21" s="36">
        <v>0</v>
      </c>
      <c r="D21" s="36">
        <v>0</v>
      </c>
      <c r="E21" s="36">
        <v>0</v>
      </c>
      <c r="F21" s="36">
        <v>0</v>
      </c>
      <c r="G21" s="36">
        <v>0</v>
      </c>
      <c r="H21" s="36">
        <v>0</v>
      </c>
      <c r="I21" s="36">
        <v>0</v>
      </c>
      <c r="J21" s="36">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6">
        <v>0</v>
      </c>
      <c r="AC21" s="36">
        <v>0</v>
      </c>
      <c r="AD21" s="36">
        <v>0</v>
      </c>
      <c r="AE21" s="36">
        <v>0</v>
      </c>
      <c r="AF21" s="35" t="s">
        <v>1278</v>
      </c>
      <c r="AG21" s="29"/>
    </row>
    <row r="22" spans="1:33" ht="15" customHeight="1">
      <c r="A22" s="34" t="s">
        <v>2987</v>
      </c>
      <c r="B22" s="37" t="s">
        <v>2811</v>
      </c>
      <c r="C22" s="36">
        <v>0</v>
      </c>
      <c r="D22" s="36">
        <v>0</v>
      </c>
      <c r="E22" s="36">
        <v>0</v>
      </c>
      <c r="F22" s="36">
        <v>0</v>
      </c>
      <c r="G22" s="36">
        <v>0</v>
      </c>
      <c r="H22" s="36">
        <v>0</v>
      </c>
      <c r="I22" s="36">
        <v>0</v>
      </c>
      <c r="J22" s="36">
        <v>0</v>
      </c>
      <c r="K22" s="36">
        <v>0</v>
      </c>
      <c r="L22" s="36">
        <v>0</v>
      </c>
      <c r="M22" s="36">
        <v>0</v>
      </c>
      <c r="N22" s="36">
        <v>0</v>
      </c>
      <c r="O22" s="36">
        <v>0</v>
      </c>
      <c r="P22" s="36">
        <v>0</v>
      </c>
      <c r="Q22" s="36">
        <v>0</v>
      </c>
      <c r="R22" s="36">
        <v>0</v>
      </c>
      <c r="S22" s="36">
        <v>0</v>
      </c>
      <c r="T22" s="36">
        <v>0</v>
      </c>
      <c r="U22" s="36">
        <v>0</v>
      </c>
      <c r="V22" s="36">
        <v>0</v>
      </c>
      <c r="W22" s="36">
        <v>0</v>
      </c>
      <c r="X22" s="36">
        <v>0</v>
      </c>
      <c r="Y22" s="36">
        <v>0</v>
      </c>
      <c r="Z22" s="36">
        <v>0</v>
      </c>
      <c r="AA22" s="36">
        <v>0</v>
      </c>
      <c r="AB22" s="36">
        <v>0</v>
      </c>
      <c r="AC22" s="36">
        <v>0</v>
      </c>
      <c r="AD22" s="36">
        <v>0</v>
      </c>
      <c r="AE22" s="36">
        <v>0</v>
      </c>
      <c r="AF22" s="35" t="s">
        <v>1278</v>
      </c>
      <c r="AG22" s="29"/>
    </row>
    <row r="23" spans="1:33" ht="15" customHeight="1">
      <c r="A23" s="34" t="s">
        <v>2988</v>
      </c>
      <c r="B23" s="37" t="s">
        <v>2989</v>
      </c>
      <c r="C23" s="36">
        <v>375.57421900000003</v>
      </c>
      <c r="D23" s="36">
        <v>245.963776</v>
      </c>
      <c r="E23" s="36">
        <v>194.81152299999999</v>
      </c>
      <c r="F23" s="36">
        <v>189.915131</v>
      </c>
      <c r="G23" s="36">
        <v>166.12382500000001</v>
      </c>
      <c r="H23" s="36">
        <v>146.87081900000001</v>
      </c>
      <c r="I23" s="36">
        <v>134.430679</v>
      </c>
      <c r="J23" s="36">
        <v>144.28454600000001</v>
      </c>
      <c r="K23" s="36">
        <v>156.25143399999999</v>
      </c>
      <c r="L23" s="36">
        <v>170.91301000000001</v>
      </c>
      <c r="M23" s="36">
        <v>186.019577</v>
      </c>
      <c r="N23" s="36">
        <v>202.60408000000001</v>
      </c>
      <c r="O23" s="36">
        <v>215.974121</v>
      </c>
      <c r="P23" s="36">
        <v>225.973724</v>
      </c>
      <c r="Q23" s="36">
        <v>228.27088900000001</v>
      </c>
      <c r="R23" s="36">
        <v>232.546616</v>
      </c>
      <c r="S23" s="36">
        <v>241.19052099999999</v>
      </c>
      <c r="T23" s="36">
        <v>239.09977699999999</v>
      </c>
      <c r="U23" s="36">
        <v>250.347183</v>
      </c>
      <c r="V23" s="36">
        <v>257.07043499999997</v>
      </c>
      <c r="W23" s="36">
        <v>259.77685500000001</v>
      </c>
      <c r="X23" s="36">
        <v>257.76187099999999</v>
      </c>
      <c r="Y23" s="36">
        <v>257.440247</v>
      </c>
      <c r="Z23" s="36">
        <v>258.26815800000003</v>
      </c>
      <c r="AA23" s="36">
        <v>261.687836</v>
      </c>
      <c r="AB23" s="36">
        <v>262.79589800000002</v>
      </c>
      <c r="AC23" s="36">
        <v>260.60632299999997</v>
      </c>
      <c r="AD23" s="36">
        <v>258.47976699999998</v>
      </c>
      <c r="AE23" s="36">
        <v>261.98779300000001</v>
      </c>
      <c r="AF23" s="35">
        <v>-1.278E-2</v>
      </c>
      <c r="AG23" s="29"/>
    </row>
    <row r="24" spans="1:33" ht="15" customHeight="1">
      <c r="A24" s="34" t="s">
        <v>2990</v>
      </c>
      <c r="B24" s="37" t="s">
        <v>2817</v>
      </c>
      <c r="C24" s="36">
        <v>381.56823700000001</v>
      </c>
      <c r="D24" s="36">
        <v>252.059113</v>
      </c>
      <c r="E24" s="36">
        <v>199.40280200000001</v>
      </c>
      <c r="F24" s="36">
        <v>194.00610399999999</v>
      </c>
      <c r="G24" s="36">
        <v>169.54826399999999</v>
      </c>
      <c r="H24" s="36">
        <v>149.828003</v>
      </c>
      <c r="I24" s="36">
        <v>137.08990499999999</v>
      </c>
      <c r="J24" s="36">
        <v>146.900665</v>
      </c>
      <c r="K24" s="36">
        <v>158.86257900000001</v>
      </c>
      <c r="L24" s="36">
        <v>173.54742400000001</v>
      </c>
      <c r="M24" s="36">
        <v>188.70019500000001</v>
      </c>
      <c r="N24" s="36">
        <v>205.35665900000001</v>
      </c>
      <c r="O24" s="36">
        <v>218.79302999999999</v>
      </c>
      <c r="P24" s="36">
        <v>228.853668</v>
      </c>
      <c r="Q24" s="36">
        <v>231.16421500000001</v>
      </c>
      <c r="R24" s="36">
        <v>235.46833799999999</v>
      </c>
      <c r="S24" s="36">
        <v>244.17373699999999</v>
      </c>
      <c r="T24" s="36">
        <v>242.06083699999999</v>
      </c>
      <c r="U24" s="36">
        <v>253.39428699999999</v>
      </c>
      <c r="V24" s="36">
        <v>260.163544</v>
      </c>
      <c r="W24" s="36">
        <v>262.88781699999998</v>
      </c>
      <c r="X24" s="36">
        <v>260.84960899999999</v>
      </c>
      <c r="Y24" s="36">
        <v>260.52288800000002</v>
      </c>
      <c r="Z24" s="36">
        <v>261.34707600000002</v>
      </c>
      <c r="AA24" s="36">
        <v>264.752655</v>
      </c>
      <c r="AB24" s="36">
        <v>265.86498999999998</v>
      </c>
      <c r="AC24" s="36">
        <v>263.64978000000002</v>
      </c>
      <c r="AD24" s="36">
        <v>261.494507</v>
      </c>
      <c r="AE24" s="36">
        <v>265.02658100000002</v>
      </c>
      <c r="AF24" s="35">
        <v>-1.2932000000000001E-2</v>
      </c>
      <c r="AG24" s="29"/>
    </row>
    <row r="25" spans="1:33" ht="15" customHeight="1">
      <c r="A25" s="34" t="s">
        <v>2991</v>
      </c>
      <c r="B25" s="37" t="s">
        <v>2553</v>
      </c>
      <c r="C25" s="36">
        <v>2203.9245609999998</v>
      </c>
      <c r="D25" s="36">
        <v>2037.0261230000001</v>
      </c>
      <c r="E25" s="36">
        <v>2073.6467290000001</v>
      </c>
      <c r="F25" s="36">
        <v>2153.4067380000001</v>
      </c>
      <c r="G25" s="36">
        <v>2267.3676759999998</v>
      </c>
      <c r="H25" s="36">
        <v>2353.3178710000002</v>
      </c>
      <c r="I25" s="36">
        <v>2415.0043949999999</v>
      </c>
      <c r="J25" s="36">
        <v>2437.7189939999998</v>
      </c>
      <c r="K25" s="36">
        <v>2454.9648440000001</v>
      </c>
      <c r="L25" s="36">
        <v>2477.9738769999999</v>
      </c>
      <c r="M25" s="36">
        <v>2506.5527339999999</v>
      </c>
      <c r="N25" s="36">
        <v>2531.5341800000001</v>
      </c>
      <c r="O25" s="36">
        <v>2566.404297</v>
      </c>
      <c r="P25" s="36">
        <v>2602.6323240000002</v>
      </c>
      <c r="Q25" s="36">
        <v>2638.7553710000002</v>
      </c>
      <c r="R25" s="36">
        <v>2676.2829590000001</v>
      </c>
      <c r="S25" s="36">
        <v>2703.0815429999998</v>
      </c>
      <c r="T25" s="36">
        <v>2747.9853520000001</v>
      </c>
      <c r="U25" s="36">
        <v>2788.7973630000001</v>
      </c>
      <c r="V25" s="36">
        <v>2829.8120119999999</v>
      </c>
      <c r="W25" s="36">
        <v>2870.7612300000001</v>
      </c>
      <c r="X25" s="36">
        <v>2915.9113769999999</v>
      </c>
      <c r="Y25" s="36">
        <v>2953.2954100000002</v>
      </c>
      <c r="Z25" s="36">
        <v>2986.6596679999998</v>
      </c>
      <c r="AA25" s="36">
        <v>3030.2485350000002</v>
      </c>
      <c r="AB25" s="36">
        <v>3081.850586</v>
      </c>
      <c r="AC25" s="36">
        <v>3118.5776369999999</v>
      </c>
      <c r="AD25" s="36">
        <v>3167.194336</v>
      </c>
      <c r="AE25" s="36">
        <v>3234.1987300000001</v>
      </c>
      <c r="AF25" s="35">
        <v>1.3792E-2</v>
      </c>
      <c r="AG25" s="29"/>
    </row>
    <row r="26" spans="1:33" ht="15" customHeight="1">
      <c r="A26" s="34" t="s">
        <v>2992</v>
      </c>
      <c r="B26" s="37" t="s">
        <v>2993</v>
      </c>
      <c r="C26" s="36">
        <v>61.002913999999997</v>
      </c>
      <c r="D26" s="36">
        <v>57.126334999999997</v>
      </c>
      <c r="E26" s="36">
        <v>57.823596999999999</v>
      </c>
      <c r="F26" s="36">
        <v>58.575522999999997</v>
      </c>
      <c r="G26" s="36">
        <v>59.305008000000001</v>
      </c>
      <c r="H26" s="36">
        <v>59.983699999999999</v>
      </c>
      <c r="I26" s="36">
        <v>60.600147</v>
      </c>
      <c r="J26" s="36">
        <v>61.144587999999999</v>
      </c>
      <c r="K26" s="36">
        <v>61.612639999999999</v>
      </c>
      <c r="L26" s="36">
        <v>62.002761999999997</v>
      </c>
      <c r="M26" s="36">
        <v>62.306702000000001</v>
      </c>
      <c r="N26" s="36">
        <v>62.515396000000003</v>
      </c>
      <c r="O26" s="36">
        <v>62.627643999999997</v>
      </c>
      <c r="P26" s="36">
        <v>62.638412000000002</v>
      </c>
      <c r="Q26" s="36">
        <v>62.590691</v>
      </c>
      <c r="R26" s="36">
        <v>62.543700999999999</v>
      </c>
      <c r="S26" s="36">
        <v>62.488742999999999</v>
      </c>
      <c r="T26" s="36">
        <v>62.439545000000003</v>
      </c>
      <c r="U26" s="36">
        <v>62.397644</v>
      </c>
      <c r="V26" s="36">
        <v>62.350693</v>
      </c>
      <c r="W26" s="36">
        <v>62.301833999999999</v>
      </c>
      <c r="X26" s="36">
        <v>62.251094999999999</v>
      </c>
      <c r="Y26" s="36">
        <v>62.197609</v>
      </c>
      <c r="Z26" s="36">
        <v>62.140053000000002</v>
      </c>
      <c r="AA26" s="36">
        <v>62.093299999999999</v>
      </c>
      <c r="AB26" s="36">
        <v>62.048648999999997</v>
      </c>
      <c r="AC26" s="36">
        <v>61.991211</v>
      </c>
      <c r="AD26" s="36">
        <v>61.942596000000002</v>
      </c>
      <c r="AE26" s="36">
        <v>61.909283000000002</v>
      </c>
      <c r="AF26" s="35">
        <v>5.2700000000000002E-4</v>
      </c>
      <c r="AG26" s="29"/>
    </row>
    <row r="27" spans="1:33" ht="15" customHeight="1">
      <c r="A27" s="34" t="s">
        <v>2994</v>
      </c>
      <c r="B27" s="37" t="s">
        <v>2995</v>
      </c>
      <c r="C27" s="36">
        <v>6.7099999999999998E-3</v>
      </c>
      <c r="D27" s="36">
        <v>6.7429999999999999E-3</v>
      </c>
      <c r="E27" s="36">
        <v>6.7520000000000002E-3</v>
      </c>
      <c r="F27" s="36">
        <v>6.7609999999999996E-3</v>
      </c>
      <c r="G27" s="36">
        <v>6.77E-3</v>
      </c>
      <c r="H27" s="36">
        <v>6.7780000000000002E-3</v>
      </c>
      <c r="I27" s="36">
        <v>6.7860000000000004E-3</v>
      </c>
      <c r="J27" s="36">
        <v>6.7930000000000004E-3</v>
      </c>
      <c r="K27" s="36">
        <v>6.7990000000000004E-3</v>
      </c>
      <c r="L27" s="36">
        <v>6.8040000000000002E-3</v>
      </c>
      <c r="M27" s="36">
        <v>6.8079999999999998E-3</v>
      </c>
      <c r="N27" s="36">
        <v>6.8110000000000002E-3</v>
      </c>
      <c r="O27" s="36">
        <v>6.8120000000000003E-3</v>
      </c>
      <c r="P27" s="36">
        <v>6.8129999999999996E-3</v>
      </c>
      <c r="Q27" s="36">
        <v>6.8129999999999996E-3</v>
      </c>
      <c r="R27" s="36">
        <v>6.8129999999999996E-3</v>
      </c>
      <c r="S27" s="36">
        <v>6.8129999999999996E-3</v>
      </c>
      <c r="T27" s="36">
        <v>6.8129999999999996E-3</v>
      </c>
      <c r="U27" s="36">
        <v>6.8129999999999996E-3</v>
      </c>
      <c r="V27" s="36">
        <v>6.8129999999999996E-3</v>
      </c>
      <c r="W27" s="36">
        <v>6.8129999999999996E-3</v>
      </c>
      <c r="X27" s="36">
        <v>6.8129999999999996E-3</v>
      </c>
      <c r="Y27" s="36">
        <v>6.8129999999999996E-3</v>
      </c>
      <c r="Z27" s="36">
        <v>6.8129999999999996E-3</v>
      </c>
      <c r="AA27" s="36">
        <v>6.8129999999999996E-3</v>
      </c>
      <c r="AB27" s="36">
        <v>6.8129999999999996E-3</v>
      </c>
      <c r="AC27" s="36">
        <v>6.8129999999999996E-3</v>
      </c>
      <c r="AD27" s="36">
        <v>6.8129999999999996E-3</v>
      </c>
      <c r="AE27" s="36">
        <v>6.8129999999999996E-3</v>
      </c>
      <c r="AF27" s="35">
        <v>5.44E-4</v>
      </c>
      <c r="AG27" s="29"/>
    </row>
    <row r="28" spans="1:33" ht="15" customHeight="1">
      <c r="A28" s="34" t="s">
        <v>2996</v>
      </c>
      <c r="B28" s="37" t="s">
        <v>2822</v>
      </c>
      <c r="C28" s="36">
        <v>393.10766599999999</v>
      </c>
      <c r="D28" s="36">
        <v>390.86587500000002</v>
      </c>
      <c r="E28" s="36">
        <v>383.44613600000002</v>
      </c>
      <c r="F28" s="36">
        <v>391.99514799999997</v>
      </c>
      <c r="G28" s="36">
        <v>401.93255599999998</v>
      </c>
      <c r="H28" s="36">
        <v>410.72827100000001</v>
      </c>
      <c r="I28" s="36">
        <v>416.316193</v>
      </c>
      <c r="J28" s="36">
        <v>418.005066</v>
      </c>
      <c r="K28" s="36">
        <v>418.565338</v>
      </c>
      <c r="L28" s="36">
        <v>420.921875</v>
      </c>
      <c r="M28" s="36">
        <v>424.32257099999998</v>
      </c>
      <c r="N28" s="36">
        <v>426.11901899999998</v>
      </c>
      <c r="O28" s="36">
        <v>429.632812</v>
      </c>
      <c r="P28" s="36">
        <v>432.64621</v>
      </c>
      <c r="Q28" s="36">
        <v>432.79571499999997</v>
      </c>
      <c r="R28" s="36">
        <v>433.55218500000001</v>
      </c>
      <c r="S28" s="36">
        <v>432.237549</v>
      </c>
      <c r="T28" s="36">
        <v>432.12271099999998</v>
      </c>
      <c r="U28" s="36">
        <v>434.29037499999998</v>
      </c>
      <c r="V28" s="36">
        <v>434.940247</v>
      </c>
      <c r="W28" s="36">
        <v>434.35607900000002</v>
      </c>
      <c r="X28" s="36">
        <v>433.51165800000001</v>
      </c>
      <c r="Y28" s="36">
        <v>430.947205</v>
      </c>
      <c r="Z28" s="36">
        <v>427.79113799999999</v>
      </c>
      <c r="AA28" s="36">
        <v>429.51791400000002</v>
      </c>
      <c r="AB28" s="36">
        <v>430.31677200000001</v>
      </c>
      <c r="AC28" s="36">
        <v>427.02047700000003</v>
      </c>
      <c r="AD28" s="36">
        <v>425.724243</v>
      </c>
      <c r="AE28" s="36">
        <v>429.52868699999999</v>
      </c>
      <c r="AF28" s="35">
        <v>3.1689999999999999E-3</v>
      </c>
      <c r="AG28" s="29"/>
    </row>
    <row r="29" spans="1:33" ht="15" customHeight="1">
      <c r="A29" s="34" t="s">
        <v>2997</v>
      </c>
      <c r="B29" s="37" t="s">
        <v>2998</v>
      </c>
      <c r="C29" s="36">
        <v>3039.6098630000001</v>
      </c>
      <c r="D29" s="36">
        <v>2737.0842290000001</v>
      </c>
      <c r="E29" s="36">
        <v>2714.3259280000002</v>
      </c>
      <c r="F29" s="36">
        <v>2797.9902339999999</v>
      </c>
      <c r="G29" s="36">
        <v>2898.1604000000002</v>
      </c>
      <c r="H29" s="36">
        <v>2973.8647460000002</v>
      </c>
      <c r="I29" s="36">
        <v>3029.0173340000001</v>
      </c>
      <c r="J29" s="36">
        <v>3063.7761230000001</v>
      </c>
      <c r="K29" s="36">
        <v>3094.0122070000002</v>
      </c>
      <c r="L29" s="36">
        <v>3134.4526369999999</v>
      </c>
      <c r="M29" s="36">
        <v>3181.8889159999999</v>
      </c>
      <c r="N29" s="36">
        <v>3225.5322270000001</v>
      </c>
      <c r="O29" s="36">
        <v>3277.4645999999998</v>
      </c>
      <c r="P29" s="36">
        <v>3326.7775879999999</v>
      </c>
      <c r="Q29" s="36">
        <v>3365.3127439999998</v>
      </c>
      <c r="R29" s="36">
        <v>3407.8540039999998</v>
      </c>
      <c r="S29" s="36">
        <v>3441.9885250000002</v>
      </c>
      <c r="T29" s="36">
        <v>3484.6152339999999</v>
      </c>
      <c r="U29" s="36">
        <v>3538.8864749999998</v>
      </c>
      <c r="V29" s="36">
        <v>3587.273193</v>
      </c>
      <c r="W29" s="36">
        <v>3630.3134770000001</v>
      </c>
      <c r="X29" s="36">
        <v>3672.530518</v>
      </c>
      <c r="Y29" s="36">
        <v>3706.969971</v>
      </c>
      <c r="Z29" s="36">
        <v>3737.9448240000002</v>
      </c>
      <c r="AA29" s="36">
        <v>3786.6191410000001</v>
      </c>
      <c r="AB29" s="36">
        <v>3840.0878910000001</v>
      </c>
      <c r="AC29" s="36">
        <v>3871.2460940000001</v>
      </c>
      <c r="AD29" s="36">
        <v>3916.3627929999998</v>
      </c>
      <c r="AE29" s="36">
        <v>3990.669922</v>
      </c>
      <c r="AF29" s="35">
        <v>9.7699999999999992E-3</v>
      </c>
      <c r="AG29" s="29"/>
    </row>
    <row r="30" spans="1:33" ht="15" customHeight="1">
      <c r="B30" s="33" t="s">
        <v>2999</v>
      </c>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row>
    <row r="31" spans="1:33" ht="15" customHeight="1">
      <c r="A31" s="34" t="s">
        <v>3000</v>
      </c>
      <c r="B31" s="37" t="s">
        <v>3001</v>
      </c>
      <c r="C31" s="36">
        <v>3668.5</v>
      </c>
      <c r="D31" s="36">
        <v>3780.6999510000001</v>
      </c>
      <c r="E31" s="36">
        <v>3672.1108399999998</v>
      </c>
      <c r="F31" s="36">
        <v>3758.908203</v>
      </c>
      <c r="G31" s="36">
        <v>3868.2783199999999</v>
      </c>
      <c r="H31" s="36">
        <v>3947.9487300000001</v>
      </c>
      <c r="I31" s="36">
        <v>4005.2937010000001</v>
      </c>
      <c r="J31" s="36">
        <v>4039.6442870000001</v>
      </c>
      <c r="K31" s="36">
        <v>4068.0852049999999</v>
      </c>
      <c r="L31" s="36">
        <v>4111.875</v>
      </c>
      <c r="M31" s="36">
        <v>4165.2734380000002</v>
      </c>
      <c r="N31" s="36">
        <v>4209.298828</v>
      </c>
      <c r="O31" s="36">
        <v>4261.8232420000004</v>
      </c>
      <c r="P31" s="36">
        <v>4304.4423829999996</v>
      </c>
      <c r="Q31" s="36">
        <v>4338.248047</v>
      </c>
      <c r="R31" s="36">
        <v>4378.0463870000003</v>
      </c>
      <c r="S31" s="36">
        <v>4403.6767579999996</v>
      </c>
      <c r="T31" s="36">
        <v>4449.1567379999997</v>
      </c>
      <c r="U31" s="36">
        <v>4505.361328</v>
      </c>
      <c r="V31" s="36">
        <v>4551.2895509999998</v>
      </c>
      <c r="W31" s="36">
        <v>4591.142578</v>
      </c>
      <c r="X31" s="36">
        <v>4637.8603519999997</v>
      </c>
      <c r="Y31" s="36">
        <v>4672.5170900000003</v>
      </c>
      <c r="Z31" s="36">
        <v>4702.5532229999999</v>
      </c>
      <c r="AA31" s="36">
        <v>4750.0283200000003</v>
      </c>
      <c r="AB31" s="36">
        <v>4809.6416019999997</v>
      </c>
      <c r="AC31" s="36">
        <v>4837.7431640000004</v>
      </c>
      <c r="AD31" s="36">
        <v>4880.7153319999998</v>
      </c>
      <c r="AE31" s="36">
        <v>4965.4433589999999</v>
      </c>
      <c r="AF31" s="35">
        <v>1.0869999999999999E-2</v>
      </c>
      <c r="AG31" s="29"/>
    </row>
    <row r="32" spans="1:33" ht="15" customHeight="1">
      <c r="A32" s="34" t="s">
        <v>3002</v>
      </c>
      <c r="B32" s="37" t="s">
        <v>2347</v>
      </c>
      <c r="C32" s="36">
        <v>410.5</v>
      </c>
      <c r="D32" s="36">
        <v>412.29998799999998</v>
      </c>
      <c r="E32" s="36">
        <v>422.73202500000002</v>
      </c>
      <c r="F32" s="36">
        <v>422.73202500000002</v>
      </c>
      <c r="G32" s="36">
        <v>422.73202500000002</v>
      </c>
      <c r="H32" s="36">
        <v>422.73202500000002</v>
      </c>
      <c r="I32" s="36">
        <v>422.73202500000002</v>
      </c>
      <c r="J32" s="36">
        <v>422.73202500000002</v>
      </c>
      <c r="K32" s="36">
        <v>422.73202500000002</v>
      </c>
      <c r="L32" s="36">
        <v>422.73202500000002</v>
      </c>
      <c r="M32" s="36">
        <v>422.73202500000002</v>
      </c>
      <c r="N32" s="36">
        <v>422.73202500000002</v>
      </c>
      <c r="O32" s="36">
        <v>422.73202500000002</v>
      </c>
      <c r="P32" s="36">
        <v>422.73202500000002</v>
      </c>
      <c r="Q32" s="36">
        <v>422.73202500000002</v>
      </c>
      <c r="R32" s="36">
        <v>422.73202500000002</v>
      </c>
      <c r="S32" s="36">
        <v>422.73202500000002</v>
      </c>
      <c r="T32" s="36">
        <v>422.73202500000002</v>
      </c>
      <c r="U32" s="36">
        <v>422.73202500000002</v>
      </c>
      <c r="V32" s="36">
        <v>422.73202500000002</v>
      </c>
      <c r="W32" s="36">
        <v>422.73202500000002</v>
      </c>
      <c r="X32" s="36">
        <v>422.73202500000002</v>
      </c>
      <c r="Y32" s="36">
        <v>422.73202500000002</v>
      </c>
      <c r="Z32" s="36">
        <v>422.73202500000002</v>
      </c>
      <c r="AA32" s="36">
        <v>422.73202500000002</v>
      </c>
      <c r="AB32" s="36">
        <v>422.73202500000002</v>
      </c>
      <c r="AC32" s="36">
        <v>422.73202500000002</v>
      </c>
      <c r="AD32" s="36">
        <v>422.73202500000002</v>
      </c>
      <c r="AE32" s="36">
        <v>422.73202500000002</v>
      </c>
      <c r="AF32" s="35">
        <v>1.049E-3</v>
      </c>
      <c r="AG32" s="29"/>
    </row>
    <row r="33" spans="1:33" ht="15" customHeight="1">
      <c r="A33" s="34" t="s">
        <v>3003</v>
      </c>
      <c r="B33" s="37" t="s">
        <v>3004</v>
      </c>
      <c r="C33" s="36">
        <v>524.29827899999998</v>
      </c>
      <c r="D33" s="36">
        <v>594.91705300000001</v>
      </c>
      <c r="E33" s="36">
        <v>550</v>
      </c>
      <c r="F33" s="36">
        <v>550</v>
      </c>
      <c r="G33" s="36">
        <v>550</v>
      </c>
      <c r="H33" s="36">
        <v>550</v>
      </c>
      <c r="I33" s="36">
        <v>550</v>
      </c>
      <c r="J33" s="36">
        <v>550</v>
      </c>
      <c r="K33" s="36">
        <v>550</v>
      </c>
      <c r="L33" s="36">
        <v>550</v>
      </c>
      <c r="M33" s="36">
        <v>550</v>
      </c>
      <c r="N33" s="36">
        <v>550</v>
      </c>
      <c r="O33" s="36">
        <v>550</v>
      </c>
      <c r="P33" s="36">
        <v>550</v>
      </c>
      <c r="Q33" s="36">
        <v>550</v>
      </c>
      <c r="R33" s="36">
        <v>550</v>
      </c>
      <c r="S33" s="36">
        <v>550</v>
      </c>
      <c r="T33" s="36">
        <v>550</v>
      </c>
      <c r="U33" s="36">
        <v>550</v>
      </c>
      <c r="V33" s="36">
        <v>550</v>
      </c>
      <c r="W33" s="36">
        <v>550</v>
      </c>
      <c r="X33" s="36">
        <v>550</v>
      </c>
      <c r="Y33" s="36">
        <v>550</v>
      </c>
      <c r="Z33" s="36">
        <v>550</v>
      </c>
      <c r="AA33" s="36">
        <v>550</v>
      </c>
      <c r="AB33" s="36">
        <v>550</v>
      </c>
      <c r="AC33" s="36">
        <v>550</v>
      </c>
      <c r="AD33" s="36">
        <v>550</v>
      </c>
      <c r="AE33" s="36">
        <v>550</v>
      </c>
      <c r="AF33" s="35">
        <v>1.7110000000000001E-3</v>
      </c>
      <c r="AG33" s="29"/>
    </row>
    <row r="34" spans="1:33" ht="12" customHeight="1">
      <c r="A34" s="34" t="s">
        <v>3005</v>
      </c>
      <c r="B34" s="37" t="s">
        <v>2553</v>
      </c>
      <c r="C34" s="36">
        <v>1106.1000979999999</v>
      </c>
      <c r="D34" s="36">
        <v>1105.099976</v>
      </c>
      <c r="E34" s="36">
        <v>1097.0505370000001</v>
      </c>
      <c r="F34" s="36">
        <v>1126.3320309999999</v>
      </c>
      <c r="G34" s="36">
        <v>1160.8107910000001</v>
      </c>
      <c r="H34" s="36">
        <v>1187.1539310000001</v>
      </c>
      <c r="I34" s="36">
        <v>1205.1839600000001</v>
      </c>
      <c r="J34" s="36">
        <v>1218.776001</v>
      </c>
      <c r="K34" s="36">
        <v>1229.8989260000001</v>
      </c>
      <c r="L34" s="36">
        <v>1244.7185059999999</v>
      </c>
      <c r="M34" s="36">
        <v>1268.9420170000001</v>
      </c>
      <c r="N34" s="36">
        <v>1283.1464840000001</v>
      </c>
      <c r="O34" s="36">
        <v>1301.1782229999999</v>
      </c>
      <c r="P34" s="36">
        <v>1317.505981</v>
      </c>
      <c r="Q34" s="36">
        <v>1330.8188479999999</v>
      </c>
      <c r="R34" s="36">
        <v>1344.2613530000001</v>
      </c>
      <c r="S34" s="36">
        <v>1356.202759</v>
      </c>
      <c r="T34" s="36">
        <v>1364.907471</v>
      </c>
      <c r="U34" s="36">
        <v>1375.977783</v>
      </c>
      <c r="V34" s="36">
        <v>1387.110107</v>
      </c>
      <c r="W34" s="36">
        <v>1393.8405760000001</v>
      </c>
      <c r="X34" s="36">
        <v>1397.1594239999999</v>
      </c>
      <c r="Y34" s="36">
        <v>1396.5073239999999</v>
      </c>
      <c r="Z34" s="36">
        <v>1393.98938</v>
      </c>
      <c r="AA34" s="36">
        <v>1398.0267329999999</v>
      </c>
      <c r="AB34" s="36">
        <v>1406.2957759999999</v>
      </c>
      <c r="AC34" s="36">
        <v>1406.5201420000001</v>
      </c>
      <c r="AD34" s="36">
        <v>1410.7044679999999</v>
      </c>
      <c r="AE34" s="36">
        <v>1425.208862</v>
      </c>
      <c r="AF34" s="35">
        <v>9.0939999999999997E-3</v>
      </c>
      <c r="AG34" s="29"/>
    </row>
    <row r="35" spans="1:33" ht="12" customHeight="1">
      <c r="A35" s="34" t="s">
        <v>3006</v>
      </c>
      <c r="B35" s="37" t="s">
        <v>3007</v>
      </c>
      <c r="C35" s="36">
        <v>5298.8984380000002</v>
      </c>
      <c r="D35" s="36">
        <v>5480.7172849999997</v>
      </c>
      <c r="E35" s="36">
        <v>5319.1611329999996</v>
      </c>
      <c r="F35" s="36">
        <v>5435.2402339999999</v>
      </c>
      <c r="G35" s="36">
        <v>5579.0888670000004</v>
      </c>
      <c r="H35" s="36">
        <v>5685.1025390000004</v>
      </c>
      <c r="I35" s="36">
        <v>5760.4780270000001</v>
      </c>
      <c r="J35" s="36">
        <v>5808.4204099999997</v>
      </c>
      <c r="K35" s="36">
        <v>5847.9838870000003</v>
      </c>
      <c r="L35" s="36">
        <v>5906.59375</v>
      </c>
      <c r="M35" s="36">
        <v>5984.2153319999998</v>
      </c>
      <c r="N35" s="36">
        <v>6042.4453119999998</v>
      </c>
      <c r="O35" s="36">
        <v>6113.0014650000003</v>
      </c>
      <c r="P35" s="36">
        <v>6171.9482420000004</v>
      </c>
      <c r="Q35" s="36">
        <v>6219.0668949999999</v>
      </c>
      <c r="R35" s="36">
        <v>6272.3076170000004</v>
      </c>
      <c r="S35" s="36">
        <v>6309.8793949999999</v>
      </c>
      <c r="T35" s="36">
        <v>6364.064453</v>
      </c>
      <c r="U35" s="36">
        <v>6431.3388670000004</v>
      </c>
      <c r="V35" s="36">
        <v>6488.3994140000004</v>
      </c>
      <c r="W35" s="36">
        <v>6534.9833980000003</v>
      </c>
      <c r="X35" s="36">
        <v>6585.0195309999999</v>
      </c>
      <c r="Y35" s="36">
        <v>6619.0244140000004</v>
      </c>
      <c r="Z35" s="36">
        <v>6646.5424800000001</v>
      </c>
      <c r="AA35" s="36">
        <v>6698.0551759999998</v>
      </c>
      <c r="AB35" s="36">
        <v>6765.9375</v>
      </c>
      <c r="AC35" s="36">
        <v>6794.2631840000004</v>
      </c>
      <c r="AD35" s="36">
        <v>6841.419922</v>
      </c>
      <c r="AE35" s="36">
        <v>6940.6523440000001</v>
      </c>
      <c r="AF35" s="35">
        <v>9.6860000000000002E-3</v>
      </c>
      <c r="AG35" s="29"/>
    </row>
    <row r="36" spans="1:33" ht="12" customHeight="1">
      <c r="A36" s="34" t="s">
        <v>3008</v>
      </c>
      <c r="B36" s="33" t="s">
        <v>3009</v>
      </c>
      <c r="C36" s="32">
        <v>8338.5078119999998</v>
      </c>
      <c r="D36" s="32">
        <v>8217.8017579999996</v>
      </c>
      <c r="E36" s="32">
        <v>8033.4873049999997</v>
      </c>
      <c r="F36" s="32">
        <v>8233.2304690000001</v>
      </c>
      <c r="G36" s="32">
        <v>8477.2490230000003</v>
      </c>
      <c r="H36" s="32">
        <v>8658.9667969999991</v>
      </c>
      <c r="I36" s="32">
        <v>8789.4951170000004</v>
      </c>
      <c r="J36" s="32">
        <v>8872.1962889999995</v>
      </c>
      <c r="K36" s="32">
        <v>8941.9960940000001</v>
      </c>
      <c r="L36" s="32">
        <v>9041.046875</v>
      </c>
      <c r="M36" s="32">
        <v>9166.1044920000004</v>
      </c>
      <c r="N36" s="32">
        <v>9267.9775389999995</v>
      </c>
      <c r="O36" s="32">
        <v>9390.4658199999994</v>
      </c>
      <c r="P36" s="32">
        <v>9498.7255860000005</v>
      </c>
      <c r="Q36" s="32">
        <v>9584.3798829999996</v>
      </c>
      <c r="R36" s="32">
        <v>9680.1621090000008</v>
      </c>
      <c r="S36" s="32">
        <v>9751.8681639999995</v>
      </c>
      <c r="T36" s="32">
        <v>9848.6796880000002</v>
      </c>
      <c r="U36" s="32">
        <v>9970.2255860000005</v>
      </c>
      <c r="V36" s="32">
        <v>10075.672852</v>
      </c>
      <c r="W36" s="32">
        <v>10165.296875</v>
      </c>
      <c r="X36" s="32">
        <v>10257.549805000001</v>
      </c>
      <c r="Y36" s="32">
        <v>10325.994140999999</v>
      </c>
      <c r="Z36" s="32">
        <v>10384.487305000001</v>
      </c>
      <c r="AA36" s="32">
        <v>10484.673828000001</v>
      </c>
      <c r="AB36" s="32">
        <v>10606.025390999999</v>
      </c>
      <c r="AC36" s="32">
        <v>10665.509765999999</v>
      </c>
      <c r="AD36" s="32">
        <v>10757.783203000001</v>
      </c>
      <c r="AE36" s="32">
        <v>10931.322265999999</v>
      </c>
      <c r="AF36" s="31">
        <v>9.7169999999999999E-3</v>
      </c>
      <c r="AG36" s="29"/>
    </row>
    <row r="37" spans="1:33" ht="12" customHeight="1">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row>
    <row r="38" spans="1:33" ht="12" customHeight="1">
      <c r="B38" s="33" t="s">
        <v>2903</v>
      </c>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row>
    <row r="39" spans="1:33" ht="12" customHeight="1">
      <c r="B39" s="33" t="s">
        <v>2904</v>
      </c>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row>
    <row r="40" spans="1:33" ht="12" customHeight="1">
      <c r="B40" s="33" t="s">
        <v>2982</v>
      </c>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row>
    <row r="41" spans="1:33" ht="12" customHeight="1">
      <c r="A41" s="34" t="s">
        <v>3010</v>
      </c>
      <c r="B41" s="37" t="s">
        <v>2805</v>
      </c>
      <c r="C41" s="38">
        <v>1.0773E-2</v>
      </c>
      <c r="D41" s="38">
        <v>1.1408E-2</v>
      </c>
      <c r="E41" s="38">
        <v>8.2889999999999995E-3</v>
      </c>
      <c r="F41" s="38">
        <v>6.8849999999999996E-3</v>
      </c>
      <c r="G41" s="38">
        <v>5.1809999999999998E-3</v>
      </c>
      <c r="H41" s="38">
        <v>4.0029999999999996E-3</v>
      </c>
      <c r="I41" s="38">
        <v>3.248E-3</v>
      </c>
      <c r="J41" s="38">
        <v>3.1359999999999999E-3</v>
      </c>
      <c r="K41" s="38">
        <v>3.1029999999999999E-3</v>
      </c>
      <c r="L41" s="38">
        <v>3.1259999999999999E-3</v>
      </c>
      <c r="M41" s="38">
        <v>3.176E-3</v>
      </c>
      <c r="N41" s="38">
        <v>3.277E-3</v>
      </c>
      <c r="O41" s="38">
        <v>3.3500000000000001E-3</v>
      </c>
      <c r="P41" s="38">
        <v>3.4160000000000002E-3</v>
      </c>
      <c r="Q41" s="38">
        <v>3.4020000000000001E-3</v>
      </c>
      <c r="R41" s="38">
        <v>3.4150000000000001E-3</v>
      </c>
      <c r="S41" s="38">
        <v>3.496E-3</v>
      </c>
      <c r="T41" s="38">
        <v>3.4190000000000002E-3</v>
      </c>
      <c r="U41" s="38">
        <v>3.5149999999999999E-3</v>
      </c>
      <c r="V41" s="38">
        <v>3.5530000000000002E-3</v>
      </c>
      <c r="W41" s="38">
        <v>3.5400000000000002E-3</v>
      </c>
      <c r="X41" s="38">
        <v>3.467E-3</v>
      </c>
      <c r="Y41" s="38">
        <v>3.4280000000000001E-3</v>
      </c>
      <c r="Z41" s="38">
        <v>3.4030000000000002E-3</v>
      </c>
      <c r="AA41" s="38">
        <v>3.3479999999999998E-3</v>
      </c>
      <c r="AB41" s="38">
        <v>3.31E-3</v>
      </c>
      <c r="AC41" s="38">
        <v>3.2520000000000001E-3</v>
      </c>
      <c r="AD41" s="38">
        <v>3.1770000000000001E-3</v>
      </c>
      <c r="AE41" s="38">
        <v>3.1519999999999999E-3</v>
      </c>
      <c r="AF41" s="35">
        <v>-4.2941E-2</v>
      </c>
      <c r="AG41" s="29"/>
    </row>
    <row r="42" spans="1:33" ht="12" customHeight="1">
      <c r="A42" s="34" t="s">
        <v>3011</v>
      </c>
      <c r="B42" s="37" t="s">
        <v>2807</v>
      </c>
      <c r="C42" s="38">
        <v>1.872E-3</v>
      </c>
      <c r="D42" s="38">
        <v>2.0579999999999999E-3</v>
      </c>
      <c r="E42" s="38">
        <v>2.117E-3</v>
      </c>
      <c r="F42" s="38">
        <v>2.1410000000000001E-3</v>
      </c>
      <c r="G42" s="38">
        <v>2.1310000000000001E-3</v>
      </c>
      <c r="H42" s="38">
        <v>2.1450000000000002E-3</v>
      </c>
      <c r="I42" s="38">
        <v>2.1710000000000002E-3</v>
      </c>
      <c r="J42" s="38">
        <v>2.124E-3</v>
      </c>
      <c r="K42" s="38">
        <v>2.0860000000000002E-3</v>
      </c>
      <c r="L42" s="38">
        <v>2.029E-3</v>
      </c>
      <c r="M42" s="38">
        <v>1.9789999999999999E-3</v>
      </c>
      <c r="N42" s="38">
        <v>1.9369999999999999E-3</v>
      </c>
      <c r="O42" s="38">
        <v>1.8979999999999999E-3</v>
      </c>
      <c r="P42" s="38">
        <v>1.8600000000000001E-3</v>
      </c>
      <c r="Q42" s="38">
        <v>1.8320000000000001E-3</v>
      </c>
      <c r="R42" s="38">
        <v>1.8E-3</v>
      </c>
      <c r="S42" s="38">
        <v>1.7730000000000001E-3</v>
      </c>
      <c r="T42" s="38">
        <v>1.743E-3</v>
      </c>
      <c r="U42" s="38">
        <v>1.712E-3</v>
      </c>
      <c r="V42" s="38">
        <v>1.6789999999999999E-3</v>
      </c>
      <c r="W42" s="38">
        <v>1.658E-3</v>
      </c>
      <c r="X42" s="38">
        <v>1.6310000000000001E-3</v>
      </c>
      <c r="Y42" s="38">
        <v>1.614E-3</v>
      </c>
      <c r="Z42" s="38">
        <v>1.5920000000000001E-3</v>
      </c>
      <c r="AA42" s="38">
        <v>1.5610000000000001E-3</v>
      </c>
      <c r="AB42" s="38">
        <v>1.5349999999999999E-3</v>
      </c>
      <c r="AC42" s="38">
        <v>1.516E-3</v>
      </c>
      <c r="AD42" s="38">
        <v>1.4909999999999999E-3</v>
      </c>
      <c r="AE42" s="38">
        <v>1.462E-3</v>
      </c>
      <c r="AF42" s="35">
        <v>-8.7829999999999991E-3</v>
      </c>
      <c r="AG42" s="29"/>
    </row>
    <row r="43" spans="1:33" ht="12" customHeight="1">
      <c r="A43" s="34" t="s">
        <v>3012</v>
      </c>
      <c r="B43" s="37" t="s">
        <v>2986</v>
      </c>
      <c r="C43" s="38">
        <v>0</v>
      </c>
      <c r="D43" s="38">
        <v>0</v>
      </c>
      <c r="E43" s="38">
        <v>0</v>
      </c>
      <c r="F43" s="38">
        <v>0</v>
      </c>
      <c r="G43" s="38">
        <v>0</v>
      </c>
      <c r="H43" s="38">
        <v>0</v>
      </c>
      <c r="I43" s="38">
        <v>0</v>
      </c>
      <c r="J43" s="38">
        <v>0</v>
      </c>
      <c r="K43" s="38">
        <v>0</v>
      </c>
      <c r="L43" s="38">
        <v>0</v>
      </c>
      <c r="M43" s="38">
        <v>0</v>
      </c>
      <c r="N43" s="38">
        <v>0</v>
      </c>
      <c r="O43" s="38">
        <v>0</v>
      </c>
      <c r="P43" s="38">
        <v>0</v>
      </c>
      <c r="Q43" s="38">
        <v>0</v>
      </c>
      <c r="R43" s="38">
        <v>0</v>
      </c>
      <c r="S43" s="38">
        <v>0</v>
      </c>
      <c r="T43" s="38">
        <v>0</v>
      </c>
      <c r="U43" s="38">
        <v>0</v>
      </c>
      <c r="V43" s="38">
        <v>0</v>
      </c>
      <c r="W43" s="38">
        <v>0</v>
      </c>
      <c r="X43" s="38">
        <v>0</v>
      </c>
      <c r="Y43" s="38">
        <v>0</v>
      </c>
      <c r="Z43" s="38">
        <v>0</v>
      </c>
      <c r="AA43" s="38">
        <v>0</v>
      </c>
      <c r="AB43" s="38">
        <v>0</v>
      </c>
      <c r="AC43" s="38">
        <v>0</v>
      </c>
      <c r="AD43" s="38">
        <v>0</v>
      </c>
      <c r="AE43" s="38">
        <v>0</v>
      </c>
      <c r="AF43" s="35" t="s">
        <v>1278</v>
      </c>
      <c r="AG43" s="29"/>
    </row>
    <row r="44" spans="1:33" ht="12" customHeight="1">
      <c r="A44" s="34" t="s">
        <v>3013</v>
      </c>
      <c r="B44" s="37" t="s">
        <v>2811</v>
      </c>
      <c r="C44" s="38">
        <v>0</v>
      </c>
      <c r="D44" s="38">
        <v>0</v>
      </c>
      <c r="E44" s="38">
        <v>0</v>
      </c>
      <c r="F44" s="38">
        <v>0</v>
      </c>
      <c r="G44" s="38">
        <v>0</v>
      </c>
      <c r="H44" s="38">
        <v>0</v>
      </c>
      <c r="I44" s="38">
        <v>0</v>
      </c>
      <c r="J44" s="38">
        <v>0</v>
      </c>
      <c r="K44" s="38">
        <v>0</v>
      </c>
      <c r="L44" s="38">
        <v>0</v>
      </c>
      <c r="M44" s="38">
        <v>0</v>
      </c>
      <c r="N44" s="38">
        <v>0</v>
      </c>
      <c r="O44" s="38">
        <v>0</v>
      </c>
      <c r="P44" s="38">
        <v>0</v>
      </c>
      <c r="Q44" s="38">
        <v>0</v>
      </c>
      <c r="R44" s="38">
        <v>0</v>
      </c>
      <c r="S44" s="38">
        <v>0</v>
      </c>
      <c r="T44" s="38">
        <v>0</v>
      </c>
      <c r="U44" s="38">
        <v>0</v>
      </c>
      <c r="V44" s="38">
        <v>0</v>
      </c>
      <c r="W44" s="38">
        <v>0</v>
      </c>
      <c r="X44" s="38">
        <v>0</v>
      </c>
      <c r="Y44" s="38">
        <v>0</v>
      </c>
      <c r="Z44" s="38">
        <v>0</v>
      </c>
      <c r="AA44" s="38">
        <v>0</v>
      </c>
      <c r="AB44" s="38">
        <v>0</v>
      </c>
      <c r="AC44" s="38">
        <v>0</v>
      </c>
      <c r="AD44" s="38">
        <v>0</v>
      </c>
      <c r="AE44" s="38">
        <v>0</v>
      </c>
      <c r="AF44" s="35" t="s">
        <v>1278</v>
      </c>
      <c r="AG44" s="29"/>
    </row>
    <row r="45" spans="1:33" ht="12" customHeight="1">
      <c r="A45" s="34" t="s">
        <v>3014</v>
      </c>
      <c r="B45" s="37" t="s">
        <v>2989</v>
      </c>
      <c r="C45" s="38">
        <v>0.79227400000000003</v>
      </c>
      <c r="D45" s="38">
        <v>0.54337100000000005</v>
      </c>
      <c r="E45" s="38">
        <v>0.44154500000000002</v>
      </c>
      <c r="F45" s="38">
        <v>0.419014</v>
      </c>
      <c r="G45" s="38">
        <v>0.35470000000000002</v>
      </c>
      <c r="H45" s="38">
        <v>0.30534499999999998</v>
      </c>
      <c r="I45" s="38">
        <v>0.27391599999999999</v>
      </c>
      <c r="J45" s="38">
        <v>0.29014499999999999</v>
      </c>
      <c r="K45" s="38">
        <v>0.31051299999999998</v>
      </c>
      <c r="L45" s="38">
        <v>0.33446700000000001</v>
      </c>
      <c r="M45" s="38">
        <v>0.35773300000000002</v>
      </c>
      <c r="N45" s="38">
        <v>0.383766</v>
      </c>
      <c r="O45" s="38">
        <v>0.40202900000000003</v>
      </c>
      <c r="P45" s="38">
        <v>0.41392899999999999</v>
      </c>
      <c r="Q45" s="38">
        <v>0.41297499999999998</v>
      </c>
      <c r="R45" s="38">
        <v>0.41504799999999997</v>
      </c>
      <c r="S45" s="38">
        <v>0.42598799999999998</v>
      </c>
      <c r="T45" s="38">
        <v>0.41680400000000001</v>
      </c>
      <c r="U45" s="38">
        <v>0.42941400000000002</v>
      </c>
      <c r="V45" s="38">
        <v>0.434888</v>
      </c>
      <c r="W45" s="38">
        <v>0.43408799999999997</v>
      </c>
      <c r="X45" s="38">
        <v>0.42555500000000002</v>
      </c>
      <c r="Y45" s="38">
        <v>0.42105300000000001</v>
      </c>
      <c r="Z45" s="38">
        <v>0.41898099999999999</v>
      </c>
      <c r="AA45" s="38">
        <v>0.41918899999999998</v>
      </c>
      <c r="AB45" s="38">
        <v>0.41491499999999998</v>
      </c>
      <c r="AC45" s="38">
        <v>0.40823300000000001</v>
      </c>
      <c r="AD45" s="38">
        <v>0.40018999999999999</v>
      </c>
      <c r="AE45" s="38">
        <v>0.39780700000000002</v>
      </c>
      <c r="AF45" s="35">
        <v>-2.4305E-2</v>
      </c>
      <c r="AG45" s="29"/>
    </row>
    <row r="46" spans="1:33" ht="12" customHeight="1">
      <c r="A46" s="34" t="s">
        <v>3015</v>
      </c>
      <c r="B46" s="37" t="s">
        <v>2817</v>
      </c>
      <c r="C46" s="38">
        <v>0.80491900000000005</v>
      </c>
      <c r="D46" s="38">
        <v>0.55683700000000003</v>
      </c>
      <c r="E46" s="38">
        <v>0.45195200000000002</v>
      </c>
      <c r="F46" s="38">
        <v>0.42803999999999998</v>
      </c>
      <c r="G46" s="38">
        <v>0.362012</v>
      </c>
      <c r="H46" s="38">
        <v>0.31149300000000002</v>
      </c>
      <c r="I46" s="38">
        <v>0.279335</v>
      </c>
      <c r="J46" s="38">
        <v>0.295406</v>
      </c>
      <c r="K46" s="38">
        <v>0.31570199999999998</v>
      </c>
      <c r="L46" s="38">
        <v>0.33962199999999998</v>
      </c>
      <c r="M46" s="38">
        <v>0.36288799999999999</v>
      </c>
      <c r="N46" s="38">
        <v>0.38897999999999999</v>
      </c>
      <c r="O46" s="38">
        <v>0.407277</v>
      </c>
      <c r="P46" s="38">
        <v>0.41920400000000002</v>
      </c>
      <c r="Q46" s="38">
        <v>0.418209</v>
      </c>
      <c r="R46" s="38">
        <v>0.42026200000000002</v>
      </c>
      <c r="S46" s="38">
        <v>0.431257</v>
      </c>
      <c r="T46" s="38">
        <v>0.42196600000000001</v>
      </c>
      <c r="U46" s="38">
        <v>0.43464000000000003</v>
      </c>
      <c r="V46" s="38">
        <v>0.44012099999999998</v>
      </c>
      <c r="W46" s="38">
        <v>0.43928600000000001</v>
      </c>
      <c r="X46" s="38">
        <v>0.43065199999999998</v>
      </c>
      <c r="Y46" s="38">
        <v>0.42609399999999997</v>
      </c>
      <c r="Z46" s="38">
        <v>0.42397499999999999</v>
      </c>
      <c r="AA46" s="38">
        <v>0.42409799999999997</v>
      </c>
      <c r="AB46" s="38">
        <v>0.419761</v>
      </c>
      <c r="AC46" s="38">
        <v>0.41299999999999998</v>
      </c>
      <c r="AD46" s="38">
        <v>0.404858</v>
      </c>
      <c r="AE46" s="38">
        <v>0.40242099999999997</v>
      </c>
      <c r="AF46" s="35">
        <v>-2.4455000000000001E-2</v>
      </c>
      <c r="AG46" s="29"/>
    </row>
    <row r="47" spans="1:33" ht="12" customHeight="1">
      <c r="A47" s="34" t="s">
        <v>3016</v>
      </c>
      <c r="B47" s="37" t="s">
        <v>2553</v>
      </c>
      <c r="C47" s="38">
        <v>4.6491819999999997</v>
      </c>
      <c r="D47" s="38">
        <v>4.5000999999999998</v>
      </c>
      <c r="E47" s="38">
        <v>4.699973</v>
      </c>
      <c r="F47" s="38">
        <v>4.7511089999999996</v>
      </c>
      <c r="G47" s="38">
        <v>4.8411840000000002</v>
      </c>
      <c r="H47" s="38">
        <v>4.8925559999999999</v>
      </c>
      <c r="I47" s="38">
        <v>4.9208179999999997</v>
      </c>
      <c r="J47" s="38">
        <v>4.9020590000000004</v>
      </c>
      <c r="K47" s="38">
        <v>4.8786690000000004</v>
      </c>
      <c r="L47" s="38">
        <v>4.8492499999999996</v>
      </c>
      <c r="M47" s="38">
        <v>4.8203379999999996</v>
      </c>
      <c r="N47" s="38">
        <v>4.7951480000000002</v>
      </c>
      <c r="O47" s="38">
        <v>4.7772839999999999</v>
      </c>
      <c r="P47" s="38">
        <v>4.7673870000000003</v>
      </c>
      <c r="Q47" s="38">
        <v>4.7738899999999997</v>
      </c>
      <c r="R47" s="38">
        <v>4.7766099999999998</v>
      </c>
      <c r="S47" s="38">
        <v>4.7741480000000003</v>
      </c>
      <c r="T47" s="38">
        <v>4.790349</v>
      </c>
      <c r="U47" s="38">
        <v>4.78355</v>
      </c>
      <c r="V47" s="38">
        <v>4.7872149999999998</v>
      </c>
      <c r="W47" s="38">
        <v>4.7970490000000003</v>
      </c>
      <c r="X47" s="38">
        <v>4.8140539999999996</v>
      </c>
      <c r="Y47" s="38">
        <v>4.8302189999999996</v>
      </c>
      <c r="Z47" s="38">
        <v>4.845167</v>
      </c>
      <c r="AA47" s="38">
        <v>4.8540539999999996</v>
      </c>
      <c r="AB47" s="38">
        <v>4.8657810000000001</v>
      </c>
      <c r="AC47" s="38">
        <v>4.8851690000000003</v>
      </c>
      <c r="AD47" s="38">
        <v>4.9035970000000004</v>
      </c>
      <c r="AE47" s="38">
        <v>4.9108609999999997</v>
      </c>
      <c r="AF47" s="35">
        <v>1.9580000000000001E-3</v>
      </c>
      <c r="AG47" s="29"/>
    </row>
    <row r="48" spans="1:33" ht="12" customHeight="1">
      <c r="A48" s="34" t="s">
        <v>3017</v>
      </c>
      <c r="B48" s="37" t="s">
        <v>2993</v>
      </c>
      <c r="C48" s="38">
        <v>0.12868599999999999</v>
      </c>
      <c r="D48" s="38">
        <v>0.12620100000000001</v>
      </c>
      <c r="E48" s="38">
        <v>0.13105900000000001</v>
      </c>
      <c r="F48" s="38">
        <v>0.12923599999999999</v>
      </c>
      <c r="G48" s="38">
        <v>0.12662499999999999</v>
      </c>
      <c r="H48" s="38">
        <v>0.124706</v>
      </c>
      <c r="I48" s="38">
        <v>0.12347900000000001</v>
      </c>
      <c r="J48" s="38">
        <v>0.122957</v>
      </c>
      <c r="K48" s="38">
        <v>0.12244099999999999</v>
      </c>
      <c r="L48" s="38">
        <v>0.121336</v>
      </c>
      <c r="M48" s="38">
        <v>0.119822</v>
      </c>
      <c r="N48" s="38">
        <v>0.11841500000000001</v>
      </c>
      <c r="O48" s="38">
        <v>0.116579</v>
      </c>
      <c r="P48" s="38">
        <v>0.11473800000000001</v>
      </c>
      <c r="Q48" s="38">
        <v>0.113236</v>
      </c>
      <c r="R48" s="38">
        <v>0.111628</v>
      </c>
      <c r="S48" s="38">
        <v>0.11036700000000001</v>
      </c>
      <c r="T48" s="38">
        <v>0.108846</v>
      </c>
      <c r="U48" s="38">
        <v>0.107029</v>
      </c>
      <c r="V48" s="38">
        <v>0.105479</v>
      </c>
      <c r="W48" s="38">
        <v>0.10410700000000001</v>
      </c>
      <c r="X48" s="38">
        <v>0.102774</v>
      </c>
      <c r="Y48" s="38">
        <v>0.101726</v>
      </c>
      <c r="Z48" s="38">
        <v>0.10080799999999999</v>
      </c>
      <c r="AA48" s="38">
        <v>9.9464999999999998E-2</v>
      </c>
      <c r="AB48" s="38">
        <v>9.7965999999999998E-2</v>
      </c>
      <c r="AC48" s="38">
        <v>9.7108E-2</v>
      </c>
      <c r="AD48" s="38">
        <v>9.5902000000000001E-2</v>
      </c>
      <c r="AE48" s="38">
        <v>9.4004000000000004E-2</v>
      </c>
      <c r="AF48" s="35">
        <v>-1.1153E-2</v>
      </c>
      <c r="AG48" s="29"/>
    </row>
    <row r="49" spans="1:33" ht="12" customHeight="1">
      <c r="A49" s="34" t="s">
        <v>3018</v>
      </c>
      <c r="B49" s="37" t="s">
        <v>2995</v>
      </c>
      <c r="C49" s="38">
        <v>1.4E-5</v>
      </c>
      <c r="D49" s="38">
        <v>1.5E-5</v>
      </c>
      <c r="E49" s="38">
        <v>1.5E-5</v>
      </c>
      <c r="F49" s="38">
        <v>1.5E-5</v>
      </c>
      <c r="G49" s="38">
        <v>1.4E-5</v>
      </c>
      <c r="H49" s="38">
        <v>1.4E-5</v>
      </c>
      <c r="I49" s="38">
        <v>1.4E-5</v>
      </c>
      <c r="J49" s="38">
        <v>1.4E-5</v>
      </c>
      <c r="K49" s="38">
        <v>1.4E-5</v>
      </c>
      <c r="L49" s="38">
        <v>1.2999999999999999E-5</v>
      </c>
      <c r="M49" s="38">
        <v>1.2999999999999999E-5</v>
      </c>
      <c r="N49" s="38">
        <v>1.2999999999999999E-5</v>
      </c>
      <c r="O49" s="38">
        <v>1.2999999999999999E-5</v>
      </c>
      <c r="P49" s="38">
        <v>1.2E-5</v>
      </c>
      <c r="Q49" s="38">
        <v>1.2E-5</v>
      </c>
      <c r="R49" s="38">
        <v>1.2E-5</v>
      </c>
      <c r="S49" s="38">
        <v>1.2E-5</v>
      </c>
      <c r="T49" s="38">
        <v>1.2E-5</v>
      </c>
      <c r="U49" s="38">
        <v>1.2E-5</v>
      </c>
      <c r="V49" s="38">
        <v>1.2E-5</v>
      </c>
      <c r="W49" s="38">
        <v>1.1E-5</v>
      </c>
      <c r="X49" s="38">
        <v>1.1E-5</v>
      </c>
      <c r="Y49" s="38">
        <v>1.1E-5</v>
      </c>
      <c r="Z49" s="38">
        <v>1.1E-5</v>
      </c>
      <c r="AA49" s="38">
        <v>1.1E-5</v>
      </c>
      <c r="AB49" s="38">
        <v>1.1E-5</v>
      </c>
      <c r="AC49" s="38">
        <v>1.1E-5</v>
      </c>
      <c r="AD49" s="38">
        <v>1.1E-5</v>
      </c>
      <c r="AE49" s="38">
        <v>1.0000000000000001E-5</v>
      </c>
      <c r="AF49" s="35">
        <v>-1.1136E-2</v>
      </c>
      <c r="AG49" s="29"/>
    </row>
    <row r="50" spans="1:33" ht="15" customHeight="1">
      <c r="A50" s="34" t="s">
        <v>3019</v>
      </c>
      <c r="B50" s="37" t="s">
        <v>2822</v>
      </c>
      <c r="C50" s="38">
        <v>0.82926100000000003</v>
      </c>
      <c r="D50" s="38">
        <v>0.86348199999999997</v>
      </c>
      <c r="E50" s="38">
        <v>0.86909000000000003</v>
      </c>
      <c r="F50" s="38">
        <v>0.86486799999999997</v>
      </c>
      <c r="G50" s="38">
        <v>0.85818899999999998</v>
      </c>
      <c r="H50" s="38">
        <v>0.85390500000000003</v>
      </c>
      <c r="I50" s="38">
        <v>0.84828700000000001</v>
      </c>
      <c r="J50" s="38">
        <v>0.84057499999999996</v>
      </c>
      <c r="K50" s="38">
        <v>0.83180100000000001</v>
      </c>
      <c r="L50" s="38">
        <v>0.82372000000000001</v>
      </c>
      <c r="M50" s="38">
        <v>0.81601199999999996</v>
      </c>
      <c r="N50" s="38">
        <v>0.807141</v>
      </c>
      <c r="O50" s="38">
        <v>0.79974800000000001</v>
      </c>
      <c r="P50" s="38">
        <v>0.79250200000000004</v>
      </c>
      <c r="Q50" s="38">
        <v>0.78298999999999996</v>
      </c>
      <c r="R50" s="38">
        <v>0.77380099999999996</v>
      </c>
      <c r="S50" s="38">
        <v>0.76341199999999998</v>
      </c>
      <c r="T50" s="38">
        <v>0.75328600000000001</v>
      </c>
      <c r="U50" s="38">
        <v>0.74492700000000001</v>
      </c>
      <c r="V50" s="38">
        <v>0.735792</v>
      </c>
      <c r="W50" s="38">
        <v>0.72580999999999996</v>
      </c>
      <c r="X50" s="38">
        <v>0.71570999999999996</v>
      </c>
      <c r="Y50" s="38">
        <v>0.70482900000000004</v>
      </c>
      <c r="Z50" s="38">
        <v>0.69399200000000005</v>
      </c>
      <c r="AA50" s="38">
        <v>0.68803000000000003</v>
      </c>
      <c r="AB50" s="38">
        <v>0.67940599999999995</v>
      </c>
      <c r="AC50" s="38">
        <v>0.66891599999999996</v>
      </c>
      <c r="AD50" s="38">
        <v>0.65912599999999999</v>
      </c>
      <c r="AE50" s="38">
        <v>0.65220400000000001</v>
      </c>
      <c r="AF50" s="35">
        <v>-8.541E-3</v>
      </c>
      <c r="AG50" s="29"/>
    </row>
    <row r="51" spans="1:33" ht="15" customHeight="1">
      <c r="A51" s="34" t="s">
        <v>3020</v>
      </c>
      <c r="B51" s="37" t="s">
        <v>2998</v>
      </c>
      <c r="C51" s="38">
        <v>6.4120619999999997</v>
      </c>
      <c r="D51" s="38">
        <v>6.0466350000000002</v>
      </c>
      <c r="E51" s="38">
        <v>6.1520890000000001</v>
      </c>
      <c r="F51" s="38">
        <v>6.1732680000000002</v>
      </c>
      <c r="G51" s="38">
        <v>6.1880249999999997</v>
      </c>
      <c r="H51" s="38">
        <v>6.1826749999999997</v>
      </c>
      <c r="I51" s="38">
        <v>6.171932</v>
      </c>
      <c r="J51" s="38">
        <v>6.161009</v>
      </c>
      <c r="K51" s="38">
        <v>6.1486260000000001</v>
      </c>
      <c r="L51" s="38">
        <v>6.1339410000000001</v>
      </c>
      <c r="M51" s="38">
        <v>6.1190730000000002</v>
      </c>
      <c r="N51" s="38">
        <v>6.1096959999999996</v>
      </c>
      <c r="O51" s="38">
        <v>6.1009010000000004</v>
      </c>
      <c r="P51" s="38">
        <v>6.0938439999999998</v>
      </c>
      <c r="Q51" s="38">
        <v>6.0883370000000001</v>
      </c>
      <c r="R51" s="38">
        <v>6.0823140000000002</v>
      </c>
      <c r="S51" s="38">
        <v>6.0791959999999996</v>
      </c>
      <c r="T51" s="38">
        <v>6.0744579999999999</v>
      </c>
      <c r="U51" s="38">
        <v>6.0701580000000002</v>
      </c>
      <c r="V51" s="38">
        <v>6.0686179999999998</v>
      </c>
      <c r="W51" s="38">
        <v>6.0662630000000002</v>
      </c>
      <c r="X51" s="38">
        <v>6.0632020000000004</v>
      </c>
      <c r="Y51" s="38">
        <v>6.062881</v>
      </c>
      <c r="Z51" s="38">
        <v>6.0639539999999998</v>
      </c>
      <c r="AA51" s="38">
        <v>6.0656600000000003</v>
      </c>
      <c r="AB51" s="38">
        <v>6.0629239999999998</v>
      </c>
      <c r="AC51" s="38">
        <v>6.0642040000000001</v>
      </c>
      <c r="AD51" s="38">
        <v>6.0634949999999996</v>
      </c>
      <c r="AE51" s="38">
        <v>6.059501</v>
      </c>
      <c r="AF51" s="35">
        <v>-2.0179999999999998E-3</v>
      </c>
      <c r="AG51" s="29"/>
    </row>
    <row r="52" spans="1:33" ht="15" customHeight="1">
      <c r="B52" s="33" t="s">
        <v>2999</v>
      </c>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row>
    <row r="53" spans="1:33" ht="15" customHeight="1">
      <c r="A53" s="34" t="s">
        <v>3021</v>
      </c>
      <c r="B53" s="37" t="s">
        <v>3001</v>
      </c>
      <c r="C53" s="38">
        <v>7.7387059999999996</v>
      </c>
      <c r="D53" s="38">
        <v>8.3521400000000003</v>
      </c>
      <c r="E53" s="38">
        <v>8.3229330000000008</v>
      </c>
      <c r="F53" s="38">
        <v>8.2933629999999994</v>
      </c>
      <c r="G53" s="38">
        <v>8.2593779999999999</v>
      </c>
      <c r="H53" s="38">
        <v>8.2077989999999996</v>
      </c>
      <c r="I53" s="38">
        <v>8.1611960000000003</v>
      </c>
      <c r="J53" s="38">
        <v>8.1234029999999997</v>
      </c>
      <c r="K53" s="38">
        <v>8.0843690000000006</v>
      </c>
      <c r="L53" s="38">
        <v>8.0466999999999995</v>
      </c>
      <c r="M53" s="38">
        <v>8.0102150000000005</v>
      </c>
      <c r="N53" s="38">
        <v>7.9731139999999998</v>
      </c>
      <c r="O53" s="38">
        <v>7.9332539999999998</v>
      </c>
      <c r="P53" s="38">
        <v>7.8846869999999996</v>
      </c>
      <c r="Q53" s="38">
        <v>7.8485170000000002</v>
      </c>
      <c r="R53" s="38">
        <v>7.8139060000000002</v>
      </c>
      <c r="S53" s="38">
        <v>7.7777180000000001</v>
      </c>
      <c r="T53" s="38">
        <v>7.7558680000000004</v>
      </c>
      <c r="U53" s="38">
        <v>7.7279260000000001</v>
      </c>
      <c r="V53" s="38">
        <v>7.699452</v>
      </c>
      <c r="W53" s="38">
        <v>7.6718109999999999</v>
      </c>
      <c r="X53" s="38">
        <v>7.6569229999999999</v>
      </c>
      <c r="Y53" s="38">
        <v>7.6420669999999999</v>
      </c>
      <c r="Z53" s="38">
        <v>7.6288080000000003</v>
      </c>
      <c r="AA53" s="38">
        <v>7.6089120000000001</v>
      </c>
      <c r="AB53" s="38">
        <v>7.5937039999999998</v>
      </c>
      <c r="AC53" s="38">
        <v>7.5781970000000003</v>
      </c>
      <c r="AD53" s="38">
        <v>7.5565499999999997</v>
      </c>
      <c r="AE53" s="38">
        <v>7.539612</v>
      </c>
      <c r="AF53" s="35">
        <v>-9.3000000000000005E-4</v>
      </c>
      <c r="AG53" s="29"/>
    </row>
    <row r="54" spans="1:33" ht="15" customHeight="1">
      <c r="A54" s="34" t="s">
        <v>3022</v>
      </c>
      <c r="B54" s="37" t="s">
        <v>3004</v>
      </c>
      <c r="C54" s="38">
        <v>1.1060080000000001</v>
      </c>
      <c r="D54" s="38">
        <v>1.314262</v>
      </c>
      <c r="E54" s="38">
        <v>1.2465889999999999</v>
      </c>
      <c r="F54" s="38">
        <v>1.2134769999999999</v>
      </c>
      <c r="G54" s="38">
        <v>1.174336</v>
      </c>
      <c r="H54" s="38">
        <v>1.1434519999999999</v>
      </c>
      <c r="I54" s="38">
        <v>1.120681</v>
      </c>
      <c r="J54" s="38">
        <v>1.106006</v>
      </c>
      <c r="K54" s="38">
        <v>1.0929960000000001</v>
      </c>
      <c r="L54" s="38">
        <v>1.0763180000000001</v>
      </c>
      <c r="M54" s="38">
        <v>1.0577019999999999</v>
      </c>
      <c r="N54" s="38">
        <v>1.0417920000000001</v>
      </c>
      <c r="O54" s="38">
        <v>1.0238080000000001</v>
      </c>
      <c r="P54" s="38">
        <v>1.007466</v>
      </c>
      <c r="Q54" s="38">
        <v>0.99502900000000005</v>
      </c>
      <c r="R54" s="38">
        <v>0.98163599999999995</v>
      </c>
      <c r="S54" s="38">
        <v>0.97140300000000002</v>
      </c>
      <c r="T54" s="38">
        <v>0.95877199999999996</v>
      </c>
      <c r="U54" s="38">
        <v>0.94340000000000002</v>
      </c>
      <c r="V54" s="38">
        <v>0.93043900000000002</v>
      </c>
      <c r="W54" s="38">
        <v>0.91905099999999995</v>
      </c>
      <c r="X54" s="38">
        <v>0.90802799999999995</v>
      </c>
      <c r="Y54" s="38">
        <v>0.89954400000000001</v>
      </c>
      <c r="Z54" s="38">
        <v>0.89224800000000004</v>
      </c>
      <c r="AA54" s="38">
        <v>0.881027</v>
      </c>
      <c r="AB54" s="38">
        <v>0.86836800000000003</v>
      </c>
      <c r="AC54" s="38">
        <v>0.86155999999999999</v>
      </c>
      <c r="AD54" s="38">
        <v>0.85153500000000004</v>
      </c>
      <c r="AE54" s="38">
        <v>0.83512900000000001</v>
      </c>
      <c r="AF54" s="35">
        <v>-9.9830000000000006E-3</v>
      </c>
      <c r="AG54" s="29"/>
    </row>
    <row r="55" spans="1:33" ht="15" customHeight="1">
      <c r="A55" s="34" t="s">
        <v>3023</v>
      </c>
      <c r="B55" s="37" t="s">
        <v>2553</v>
      </c>
      <c r="C55" s="38">
        <v>2.3333200000000001</v>
      </c>
      <c r="D55" s="38">
        <v>2.4413339999999999</v>
      </c>
      <c r="E55" s="38">
        <v>2.4864929999999998</v>
      </c>
      <c r="F55" s="38">
        <v>2.4850509999999999</v>
      </c>
      <c r="G55" s="38">
        <v>2.478513</v>
      </c>
      <c r="H55" s="38">
        <v>2.4680970000000002</v>
      </c>
      <c r="I55" s="38">
        <v>2.455686</v>
      </c>
      <c r="J55" s="38">
        <v>2.4508610000000002</v>
      </c>
      <c r="K55" s="38">
        <v>2.444137</v>
      </c>
      <c r="L55" s="38">
        <v>2.4358420000000001</v>
      </c>
      <c r="M55" s="38">
        <v>2.4402949999999999</v>
      </c>
      <c r="N55" s="38">
        <v>2.4304939999999999</v>
      </c>
      <c r="O55" s="38">
        <v>2.422104</v>
      </c>
      <c r="P55" s="38">
        <v>2.4133490000000002</v>
      </c>
      <c r="Q55" s="38">
        <v>2.4076430000000002</v>
      </c>
      <c r="R55" s="38">
        <v>2.3992279999999999</v>
      </c>
      <c r="S55" s="38">
        <v>2.395308</v>
      </c>
      <c r="T55" s="38">
        <v>2.379337</v>
      </c>
      <c r="U55" s="38">
        <v>2.3601779999999999</v>
      </c>
      <c r="V55" s="38">
        <v>2.3465850000000001</v>
      </c>
      <c r="W55" s="38">
        <v>2.3291110000000002</v>
      </c>
      <c r="X55" s="38">
        <v>2.306654</v>
      </c>
      <c r="Y55" s="38">
        <v>2.2840370000000001</v>
      </c>
      <c r="Z55" s="38">
        <v>2.2614260000000002</v>
      </c>
      <c r="AA55" s="38">
        <v>2.239452</v>
      </c>
      <c r="AB55" s="38">
        <v>2.2203300000000001</v>
      </c>
      <c r="AC55" s="38">
        <v>2.2032759999999998</v>
      </c>
      <c r="AD55" s="38">
        <v>2.1841179999999998</v>
      </c>
      <c r="AE55" s="38">
        <v>2.1640609999999998</v>
      </c>
      <c r="AF55" s="35">
        <v>-2.686E-3</v>
      </c>
      <c r="AG55" s="29"/>
    </row>
    <row r="56" spans="1:33" ht="15" customHeight="1">
      <c r="A56" s="34" t="s">
        <v>3024</v>
      </c>
      <c r="B56" s="37" t="s">
        <v>3007</v>
      </c>
      <c r="C56" s="38">
        <v>11.178032999999999</v>
      </c>
      <c r="D56" s="38">
        <v>12.107737</v>
      </c>
      <c r="E56" s="38">
        <v>12.056015</v>
      </c>
      <c r="F56" s="38">
        <v>11.991891000000001</v>
      </c>
      <c r="G56" s="38">
        <v>11.912227</v>
      </c>
      <c r="H56" s="38">
        <v>11.819347</v>
      </c>
      <c r="I56" s="38">
        <v>11.737563</v>
      </c>
      <c r="J56" s="38">
        <v>11.680268999999999</v>
      </c>
      <c r="K56" s="38">
        <v>11.621502</v>
      </c>
      <c r="L56" s="38">
        <v>11.558859</v>
      </c>
      <c r="M56" s="38">
        <v>11.508212</v>
      </c>
      <c r="N56" s="38">
        <v>11.445399</v>
      </c>
      <c r="O56" s="38">
        <v>11.379167000000001</v>
      </c>
      <c r="P56" s="38">
        <v>11.305502000000001</v>
      </c>
      <c r="Q56" s="38">
        <v>11.251189</v>
      </c>
      <c r="R56" s="38">
        <v>11.19477</v>
      </c>
      <c r="S56" s="38">
        <v>11.144429000000001</v>
      </c>
      <c r="T56" s="38">
        <v>11.093977000000001</v>
      </c>
      <c r="U56" s="38">
        <v>11.031504999999999</v>
      </c>
      <c r="V56" s="38">
        <v>10.976476999999999</v>
      </c>
      <c r="W56" s="38">
        <v>10.919973000000001</v>
      </c>
      <c r="X56" s="38">
        <v>10.871605000000001</v>
      </c>
      <c r="Y56" s="38">
        <v>10.825649</v>
      </c>
      <c r="Z56" s="38">
        <v>10.782484</v>
      </c>
      <c r="AA56" s="38">
        <v>10.729391</v>
      </c>
      <c r="AB56" s="38">
        <v>10.682403000000001</v>
      </c>
      <c r="AC56" s="38">
        <v>10.643034</v>
      </c>
      <c r="AD56" s="38">
        <v>10.592204000000001</v>
      </c>
      <c r="AE56" s="38">
        <v>10.538802</v>
      </c>
      <c r="AF56" s="35">
        <v>-2.101E-3</v>
      </c>
      <c r="AG56" s="29"/>
    </row>
    <row r="57" spans="1:33" ht="15" customHeight="1">
      <c r="A57" s="34" t="s">
        <v>3025</v>
      </c>
      <c r="B57" s="33" t="s">
        <v>3009</v>
      </c>
      <c r="C57" s="39">
        <v>17.590095999999999</v>
      </c>
      <c r="D57" s="39">
        <v>18.154371000000001</v>
      </c>
      <c r="E57" s="39">
        <v>18.208103000000001</v>
      </c>
      <c r="F57" s="39">
        <v>18.165158999999999</v>
      </c>
      <c r="G57" s="39">
        <v>18.100249999999999</v>
      </c>
      <c r="H57" s="39">
        <v>18.002022</v>
      </c>
      <c r="I57" s="39">
        <v>17.909496000000001</v>
      </c>
      <c r="J57" s="39">
        <v>17.841277999999999</v>
      </c>
      <c r="K57" s="39">
        <v>17.770128</v>
      </c>
      <c r="L57" s="39">
        <v>17.692800999999999</v>
      </c>
      <c r="M57" s="39">
        <v>17.627285000000001</v>
      </c>
      <c r="N57" s="39">
        <v>17.555095999999999</v>
      </c>
      <c r="O57" s="39">
        <v>17.480067999999999</v>
      </c>
      <c r="P57" s="39">
        <v>17.399345</v>
      </c>
      <c r="Q57" s="39">
        <v>17.339527</v>
      </c>
      <c r="R57" s="39">
        <v>17.277083999999999</v>
      </c>
      <c r="S57" s="39">
        <v>17.223624999999998</v>
      </c>
      <c r="T57" s="39">
        <v>17.168434000000001</v>
      </c>
      <c r="U57" s="39">
        <v>17.101662000000001</v>
      </c>
      <c r="V57" s="39">
        <v>17.045093999999999</v>
      </c>
      <c r="W57" s="39">
        <v>16.986236999999999</v>
      </c>
      <c r="X57" s="39">
        <v>16.934806999999999</v>
      </c>
      <c r="Y57" s="39">
        <v>16.888531</v>
      </c>
      <c r="Z57" s="39">
        <v>16.846437000000002</v>
      </c>
      <c r="AA57" s="39">
        <v>16.795051999999998</v>
      </c>
      <c r="AB57" s="39">
        <v>16.745327</v>
      </c>
      <c r="AC57" s="39">
        <v>16.707236999999999</v>
      </c>
      <c r="AD57" s="39">
        <v>16.655698999999998</v>
      </c>
      <c r="AE57" s="39">
        <v>16.598303000000001</v>
      </c>
      <c r="AF57" s="31">
        <v>-2.0709999999999999E-3</v>
      </c>
      <c r="AG57" s="29"/>
    </row>
    <row r="58" spans="1:33" ht="15" customHeight="1">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row>
    <row r="59" spans="1:33" ht="15" customHeight="1">
      <c r="B59" s="33" t="s">
        <v>3026</v>
      </c>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row>
    <row r="60" spans="1:33" ht="15" customHeight="1">
      <c r="A60" s="34" t="s">
        <v>3027</v>
      </c>
      <c r="B60" s="33" t="s">
        <v>2801</v>
      </c>
      <c r="C60" s="40">
        <v>275.049622</v>
      </c>
      <c r="D60" s="40">
        <v>259.91110200000003</v>
      </c>
      <c r="E60" s="40">
        <v>255.09707599999999</v>
      </c>
      <c r="F60" s="40">
        <v>258.60723899999999</v>
      </c>
      <c r="G60" s="40">
        <v>261.93515000000002</v>
      </c>
      <c r="H60" s="40">
        <v>263.57397500000002</v>
      </c>
      <c r="I60" s="40">
        <v>263.88476600000001</v>
      </c>
      <c r="J60" s="40">
        <v>263.59893799999998</v>
      </c>
      <c r="K60" s="40">
        <v>263.64227299999999</v>
      </c>
      <c r="L60" s="40">
        <v>265.76580799999999</v>
      </c>
      <c r="M60" s="40">
        <v>268.868652</v>
      </c>
      <c r="N60" s="40">
        <v>272.02340700000002</v>
      </c>
      <c r="O60" s="40">
        <v>275.25650000000002</v>
      </c>
      <c r="P60" s="40">
        <v>278.54202299999997</v>
      </c>
      <c r="Q60" s="40">
        <v>281.17938199999998</v>
      </c>
      <c r="R60" s="40">
        <v>283.96948200000003</v>
      </c>
      <c r="S60" s="40">
        <v>285.96252399999997</v>
      </c>
      <c r="T60" s="40">
        <v>288.76400799999999</v>
      </c>
      <c r="U60" s="40">
        <v>292.41830399999998</v>
      </c>
      <c r="V60" s="40">
        <v>295.83108499999997</v>
      </c>
      <c r="W60" s="40">
        <v>298.749664</v>
      </c>
      <c r="X60" s="40">
        <v>301.41570999999999</v>
      </c>
      <c r="Y60" s="40">
        <v>303.24932899999999</v>
      </c>
      <c r="Z60" s="40">
        <v>304.80865499999999</v>
      </c>
      <c r="AA60" s="40">
        <v>307.52786300000002</v>
      </c>
      <c r="AB60" s="40">
        <v>311.04901100000001</v>
      </c>
      <c r="AC60" s="40">
        <v>312.75692700000002</v>
      </c>
      <c r="AD60" s="40">
        <v>315.54788200000002</v>
      </c>
      <c r="AE60" s="40">
        <v>320.43817100000001</v>
      </c>
      <c r="AF60" s="31">
        <v>5.47E-3</v>
      </c>
      <c r="AG60" s="29"/>
    </row>
    <row r="61" spans="1:33" ht="15" customHeight="1">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row>
    <row r="62" spans="1:33" ht="15" customHeight="1">
      <c r="B62" s="33" t="s">
        <v>3028</v>
      </c>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row>
    <row r="63" spans="1:33" ht="15" customHeight="1">
      <c r="B63" s="33" t="s">
        <v>2841</v>
      </c>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row>
    <row r="64" spans="1:33" ht="15" customHeight="1">
      <c r="A64" s="34" t="s">
        <v>3029</v>
      </c>
      <c r="B64" s="37" t="s">
        <v>2551</v>
      </c>
      <c r="C64" s="38">
        <v>2.5100000000000001E-2</v>
      </c>
      <c r="D64" s="38">
        <v>2.5100000000000001E-2</v>
      </c>
      <c r="E64" s="38">
        <v>2.5100000000000001E-2</v>
      </c>
      <c r="F64" s="38">
        <v>2.5100000000000001E-2</v>
      </c>
      <c r="G64" s="38">
        <v>2.5100000000000001E-2</v>
      </c>
      <c r="H64" s="38">
        <v>2.5100000000000001E-2</v>
      </c>
      <c r="I64" s="38">
        <v>2.5100000000000001E-2</v>
      </c>
      <c r="J64" s="38">
        <v>2.5100000000000001E-2</v>
      </c>
      <c r="K64" s="38">
        <v>2.5100000000000001E-2</v>
      </c>
      <c r="L64" s="38">
        <v>2.5100000000000001E-2</v>
      </c>
      <c r="M64" s="38">
        <v>2.5100000000000001E-2</v>
      </c>
      <c r="N64" s="38">
        <v>2.5100000000000001E-2</v>
      </c>
      <c r="O64" s="38">
        <v>2.5100000000000001E-2</v>
      </c>
      <c r="P64" s="38">
        <v>2.5100000000000001E-2</v>
      </c>
      <c r="Q64" s="38">
        <v>2.5100000000000001E-2</v>
      </c>
      <c r="R64" s="38">
        <v>2.5100000000000001E-2</v>
      </c>
      <c r="S64" s="38">
        <v>2.5100000000000001E-2</v>
      </c>
      <c r="T64" s="38">
        <v>2.5100000000000001E-2</v>
      </c>
      <c r="U64" s="38">
        <v>2.5100000000000001E-2</v>
      </c>
      <c r="V64" s="38">
        <v>2.5100000000000001E-2</v>
      </c>
      <c r="W64" s="38">
        <v>2.5100000000000001E-2</v>
      </c>
      <c r="X64" s="38">
        <v>2.5100000000000001E-2</v>
      </c>
      <c r="Y64" s="38">
        <v>2.5100000000000001E-2</v>
      </c>
      <c r="Z64" s="38">
        <v>2.5100000000000001E-2</v>
      </c>
      <c r="AA64" s="38">
        <v>2.5100000000000001E-2</v>
      </c>
      <c r="AB64" s="38">
        <v>2.5100000000000001E-2</v>
      </c>
      <c r="AC64" s="38">
        <v>2.5100000000000001E-2</v>
      </c>
      <c r="AD64" s="38">
        <v>2.5100000000000001E-2</v>
      </c>
      <c r="AE64" s="38">
        <v>2.5100000000000001E-2</v>
      </c>
      <c r="AF64" s="35">
        <v>0</v>
      </c>
      <c r="AG64" s="29"/>
    </row>
    <row r="65" spans="1:34" ht="15" customHeight="1">
      <c r="A65" s="34" t="s">
        <v>3030</v>
      </c>
      <c r="B65" s="37" t="s">
        <v>2553</v>
      </c>
      <c r="C65" s="38">
        <v>9.2624340000000007</v>
      </c>
      <c r="D65" s="38">
        <v>9.4699460000000002</v>
      </c>
      <c r="E65" s="38">
        <v>9.6338760000000008</v>
      </c>
      <c r="F65" s="38">
        <v>9.7591669999999997</v>
      </c>
      <c r="G65" s="38">
        <v>9.9534490000000009</v>
      </c>
      <c r="H65" s="38">
        <v>10.082336</v>
      </c>
      <c r="I65" s="38">
        <v>10.214668</v>
      </c>
      <c r="J65" s="38">
        <v>10.350142999999999</v>
      </c>
      <c r="K65" s="38">
        <v>10.489678</v>
      </c>
      <c r="L65" s="38">
        <v>10.635315</v>
      </c>
      <c r="M65" s="38">
        <v>10.789342</v>
      </c>
      <c r="N65" s="38">
        <v>10.955030000000001</v>
      </c>
      <c r="O65" s="38">
        <v>11.134840000000001</v>
      </c>
      <c r="P65" s="38">
        <v>11.326506</v>
      </c>
      <c r="Q65" s="38">
        <v>11.5313</v>
      </c>
      <c r="R65" s="38">
        <v>11.748602</v>
      </c>
      <c r="S65" s="38">
        <v>11.978249999999999</v>
      </c>
      <c r="T65" s="38">
        <v>12.220848</v>
      </c>
      <c r="U65" s="38">
        <v>12.477651</v>
      </c>
      <c r="V65" s="38">
        <v>12.747342</v>
      </c>
      <c r="W65" s="38">
        <v>13.028176999999999</v>
      </c>
      <c r="X65" s="38">
        <v>13.320328</v>
      </c>
      <c r="Y65" s="38">
        <v>13.622496999999999</v>
      </c>
      <c r="Z65" s="38">
        <v>13.930263999999999</v>
      </c>
      <c r="AA65" s="38">
        <v>14.207323000000001</v>
      </c>
      <c r="AB65" s="38">
        <v>14.494267000000001</v>
      </c>
      <c r="AC65" s="38">
        <v>14.790022</v>
      </c>
      <c r="AD65" s="38">
        <v>15.096121999999999</v>
      </c>
      <c r="AE65" s="38">
        <v>15.417707</v>
      </c>
      <c r="AF65" s="35">
        <v>1.8364999999999999E-2</v>
      </c>
      <c r="AG65" s="29"/>
    </row>
    <row r="66" spans="1:34" ht="15" customHeight="1">
      <c r="A66" s="34" t="s">
        <v>3031</v>
      </c>
      <c r="B66" s="37" t="s">
        <v>2500</v>
      </c>
      <c r="C66" s="38">
        <v>0.21829999999999999</v>
      </c>
      <c r="D66" s="38">
        <v>0.21829999999999999</v>
      </c>
      <c r="E66" s="38">
        <v>0.21829999999999999</v>
      </c>
      <c r="F66" s="38">
        <v>0.21829999999999999</v>
      </c>
      <c r="G66" s="38">
        <v>0.21829999999999999</v>
      </c>
      <c r="H66" s="38">
        <v>0.21829999999999999</v>
      </c>
      <c r="I66" s="38">
        <v>0.21829999999999999</v>
      </c>
      <c r="J66" s="38">
        <v>0.21829999999999999</v>
      </c>
      <c r="K66" s="38">
        <v>0.21829999999999999</v>
      </c>
      <c r="L66" s="38">
        <v>0.21829999999999999</v>
      </c>
      <c r="M66" s="38">
        <v>0.21829999999999999</v>
      </c>
      <c r="N66" s="38">
        <v>0.21829999999999999</v>
      </c>
      <c r="O66" s="38">
        <v>0.21829999999999999</v>
      </c>
      <c r="P66" s="38">
        <v>0.21829999999999999</v>
      </c>
      <c r="Q66" s="38">
        <v>0.21829999999999999</v>
      </c>
      <c r="R66" s="38">
        <v>0.21829999999999999</v>
      </c>
      <c r="S66" s="38">
        <v>0.21829999999999999</v>
      </c>
      <c r="T66" s="38">
        <v>0.21829999999999999</v>
      </c>
      <c r="U66" s="38">
        <v>0.21829999999999999</v>
      </c>
      <c r="V66" s="38">
        <v>0.21829999999999999</v>
      </c>
      <c r="W66" s="38">
        <v>0.21829999999999999</v>
      </c>
      <c r="X66" s="38">
        <v>0.21829999999999999</v>
      </c>
      <c r="Y66" s="38">
        <v>0.21829999999999999</v>
      </c>
      <c r="Z66" s="38">
        <v>0.21829999999999999</v>
      </c>
      <c r="AA66" s="38">
        <v>0.21829999999999999</v>
      </c>
      <c r="AB66" s="38">
        <v>0.21829999999999999</v>
      </c>
      <c r="AC66" s="38">
        <v>0.21829999999999999</v>
      </c>
      <c r="AD66" s="38">
        <v>0.21829999999999999</v>
      </c>
      <c r="AE66" s="38">
        <v>0.21829999999999999</v>
      </c>
      <c r="AF66" s="35">
        <v>0</v>
      </c>
      <c r="AG66" s="29"/>
    </row>
    <row r="67" spans="1:34" ht="12" customHeight="1">
      <c r="A67" s="34" t="s">
        <v>3032</v>
      </c>
      <c r="B67" s="37" t="s">
        <v>2846</v>
      </c>
      <c r="C67" s="38">
        <v>0.82330000000000003</v>
      </c>
      <c r="D67" s="38">
        <v>0.84919999999999995</v>
      </c>
      <c r="E67" s="38">
        <v>0.84919999999999995</v>
      </c>
      <c r="F67" s="38">
        <v>0.84919999999999995</v>
      </c>
      <c r="G67" s="38">
        <v>0.8992</v>
      </c>
      <c r="H67" s="38">
        <v>0.8992</v>
      </c>
      <c r="I67" s="38">
        <v>0.8992</v>
      </c>
      <c r="J67" s="38">
        <v>0.8992</v>
      </c>
      <c r="K67" s="38">
        <v>0.8992</v>
      </c>
      <c r="L67" s="38">
        <v>0.8992</v>
      </c>
      <c r="M67" s="38">
        <v>0.8992</v>
      </c>
      <c r="N67" s="38">
        <v>0.8992</v>
      </c>
      <c r="O67" s="38">
        <v>0.8992</v>
      </c>
      <c r="P67" s="38">
        <v>0.8992</v>
      </c>
      <c r="Q67" s="38">
        <v>0.8992</v>
      </c>
      <c r="R67" s="38">
        <v>0.8992</v>
      </c>
      <c r="S67" s="38">
        <v>0.8992</v>
      </c>
      <c r="T67" s="38">
        <v>0.8992</v>
      </c>
      <c r="U67" s="38">
        <v>0.8992</v>
      </c>
      <c r="V67" s="38">
        <v>0.8992</v>
      </c>
      <c r="W67" s="38">
        <v>0.8992</v>
      </c>
      <c r="X67" s="38">
        <v>0.8992</v>
      </c>
      <c r="Y67" s="38">
        <v>0.8992</v>
      </c>
      <c r="Z67" s="38">
        <v>0.8992</v>
      </c>
      <c r="AA67" s="38">
        <v>0.8992</v>
      </c>
      <c r="AB67" s="38">
        <v>0.8992</v>
      </c>
      <c r="AC67" s="38">
        <v>0.8992</v>
      </c>
      <c r="AD67" s="38">
        <v>0.8992</v>
      </c>
      <c r="AE67" s="38">
        <v>0.8992</v>
      </c>
      <c r="AF67" s="35">
        <v>3.1540000000000001E-3</v>
      </c>
      <c r="AG67" s="29"/>
    </row>
    <row r="68" spans="1:34" ht="15" customHeight="1">
      <c r="A68" s="34" t="s">
        <v>3033</v>
      </c>
      <c r="B68" s="33" t="s">
        <v>2497</v>
      </c>
      <c r="C68" s="39">
        <v>10.329133000000001</v>
      </c>
      <c r="D68" s="39">
        <v>10.562548</v>
      </c>
      <c r="E68" s="39">
        <v>10.726475000000001</v>
      </c>
      <c r="F68" s="39">
        <v>10.851768</v>
      </c>
      <c r="G68" s="39">
        <v>11.096049000000001</v>
      </c>
      <c r="H68" s="39">
        <v>11.224937000000001</v>
      </c>
      <c r="I68" s="39">
        <v>11.357267</v>
      </c>
      <c r="J68" s="39">
        <v>11.492742</v>
      </c>
      <c r="K68" s="39">
        <v>11.632277</v>
      </c>
      <c r="L68" s="39">
        <v>11.777915</v>
      </c>
      <c r="M68" s="39">
        <v>11.931941999999999</v>
      </c>
      <c r="N68" s="39">
        <v>12.097630000000001</v>
      </c>
      <c r="O68" s="39">
        <v>12.277441</v>
      </c>
      <c r="P68" s="39">
        <v>12.469104</v>
      </c>
      <c r="Q68" s="39">
        <v>12.673899</v>
      </c>
      <c r="R68" s="39">
        <v>12.891202</v>
      </c>
      <c r="S68" s="39">
        <v>13.120849</v>
      </c>
      <c r="T68" s="39">
        <v>13.363448</v>
      </c>
      <c r="U68" s="39">
        <v>13.620253</v>
      </c>
      <c r="V68" s="39">
        <v>13.889941</v>
      </c>
      <c r="W68" s="39">
        <v>14.170778</v>
      </c>
      <c r="X68" s="39">
        <v>14.462927000000001</v>
      </c>
      <c r="Y68" s="39">
        <v>14.765097000000001</v>
      </c>
      <c r="Z68" s="39">
        <v>15.072863999999999</v>
      </c>
      <c r="AA68" s="39">
        <v>15.349921999999999</v>
      </c>
      <c r="AB68" s="39">
        <v>15.636865999999999</v>
      </c>
      <c r="AC68" s="39">
        <v>15.932622</v>
      </c>
      <c r="AD68" s="39">
        <v>16.238721999999999</v>
      </c>
      <c r="AE68" s="39">
        <v>16.560305</v>
      </c>
      <c r="AF68" s="31">
        <v>1.7002E-2</v>
      </c>
      <c r="AG68" s="29"/>
    </row>
    <row r="69" spans="1:34" ht="15" customHeight="1">
      <c r="B69" s="33" t="s">
        <v>2848</v>
      </c>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row>
    <row r="70" spans="1:34" ht="15" customHeight="1">
      <c r="A70" s="34" t="s">
        <v>3034</v>
      </c>
      <c r="B70" s="37" t="s">
        <v>2551</v>
      </c>
      <c r="C70" s="38">
        <v>8.2030000000000002E-3</v>
      </c>
      <c r="D70" s="38">
        <v>8.2030000000000002E-3</v>
      </c>
      <c r="E70" s="38">
        <v>8.2030000000000002E-3</v>
      </c>
      <c r="F70" s="38">
        <v>8.2030000000000002E-3</v>
      </c>
      <c r="G70" s="38">
        <v>8.2030000000000002E-3</v>
      </c>
      <c r="H70" s="38">
        <v>8.2030000000000002E-3</v>
      </c>
      <c r="I70" s="38">
        <v>8.2030000000000002E-3</v>
      </c>
      <c r="J70" s="38">
        <v>8.2030000000000002E-3</v>
      </c>
      <c r="K70" s="38">
        <v>8.2030000000000002E-3</v>
      </c>
      <c r="L70" s="38">
        <v>8.2030000000000002E-3</v>
      </c>
      <c r="M70" s="38">
        <v>8.2030000000000002E-3</v>
      </c>
      <c r="N70" s="38">
        <v>8.2030000000000002E-3</v>
      </c>
      <c r="O70" s="38">
        <v>8.2030000000000002E-3</v>
      </c>
      <c r="P70" s="38">
        <v>8.2030000000000002E-3</v>
      </c>
      <c r="Q70" s="38">
        <v>8.2030000000000002E-3</v>
      </c>
      <c r="R70" s="38">
        <v>8.2030000000000002E-3</v>
      </c>
      <c r="S70" s="38">
        <v>8.2030000000000002E-3</v>
      </c>
      <c r="T70" s="38">
        <v>8.2030000000000002E-3</v>
      </c>
      <c r="U70" s="38">
        <v>8.2030000000000002E-3</v>
      </c>
      <c r="V70" s="38">
        <v>8.2030000000000002E-3</v>
      </c>
      <c r="W70" s="38">
        <v>8.2030000000000002E-3</v>
      </c>
      <c r="X70" s="38">
        <v>8.2030000000000002E-3</v>
      </c>
      <c r="Y70" s="38">
        <v>8.2030000000000002E-3</v>
      </c>
      <c r="Z70" s="38">
        <v>8.2030000000000002E-3</v>
      </c>
      <c r="AA70" s="38">
        <v>8.2030000000000002E-3</v>
      </c>
      <c r="AB70" s="38">
        <v>8.2030000000000002E-3</v>
      </c>
      <c r="AC70" s="38">
        <v>8.2030000000000002E-3</v>
      </c>
      <c r="AD70" s="38">
        <v>8.2030000000000002E-3</v>
      </c>
      <c r="AE70" s="38">
        <v>8.2030000000000002E-3</v>
      </c>
      <c r="AF70" s="35">
        <v>0</v>
      </c>
      <c r="AG70" s="29"/>
    </row>
    <row r="71" spans="1:34" ht="15" customHeight="1">
      <c r="A71" s="34" t="s">
        <v>3035</v>
      </c>
      <c r="B71" s="37" t="s">
        <v>2553</v>
      </c>
      <c r="C71" s="38">
        <v>52.744202000000001</v>
      </c>
      <c r="D71" s="38">
        <v>53.769900999999997</v>
      </c>
      <c r="E71" s="38">
        <v>54.586342000000002</v>
      </c>
      <c r="F71" s="38">
        <v>55.212851999999998</v>
      </c>
      <c r="G71" s="38">
        <v>56.233822000000004</v>
      </c>
      <c r="H71" s="38">
        <v>56.881141999999997</v>
      </c>
      <c r="I71" s="38">
        <v>57.547604</v>
      </c>
      <c r="J71" s="38">
        <v>58.233142999999998</v>
      </c>
      <c r="K71" s="38">
        <v>58.942722000000003</v>
      </c>
      <c r="L71" s="38">
        <v>59.687064999999997</v>
      </c>
      <c r="M71" s="38">
        <v>60.479033999999999</v>
      </c>
      <c r="N71" s="38">
        <v>61.336536000000002</v>
      </c>
      <c r="O71" s="38">
        <v>62.270947</v>
      </c>
      <c r="P71" s="38">
        <v>63.270668000000001</v>
      </c>
      <c r="Q71" s="38">
        <v>64.341781999999995</v>
      </c>
      <c r="R71" s="38">
        <v>65.481857000000005</v>
      </c>
      <c r="S71" s="38">
        <v>66.690346000000005</v>
      </c>
      <c r="T71" s="38">
        <v>67.971526999999995</v>
      </c>
      <c r="U71" s="38">
        <v>69.331856000000002</v>
      </c>
      <c r="V71" s="38">
        <v>70.764824000000004</v>
      </c>
      <c r="W71" s="38">
        <v>72.261520000000004</v>
      </c>
      <c r="X71" s="38">
        <v>73.822631999999999</v>
      </c>
      <c r="Y71" s="38">
        <v>75.441993999999994</v>
      </c>
      <c r="Z71" s="38">
        <v>77.097290000000001</v>
      </c>
      <c r="AA71" s="38">
        <v>78.616446999999994</v>
      </c>
      <c r="AB71" s="38">
        <v>80.195571999999999</v>
      </c>
      <c r="AC71" s="38">
        <v>81.828063999999998</v>
      </c>
      <c r="AD71" s="38">
        <v>83.523444999999995</v>
      </c>
      <c r="AE71" s="38">
        <v>85.309119999999993</v>
      </c>
      <c r="AF71" s="35">
        <v>1.7321E-2</v>
      </c>
      <c r="AG71" s="29"/>
    </row>
    <row r="72" spans="1:34" ht="15" customHeight="1">
      <c r="A72" s="34" t="s">
        <v>3036</v>
      </c>
      <c r="B72" s="37" t="s">
        <v>2500</v>
      </c>
      <c r="C72" s="38">
        <v>0.870699</v>
      </c>
      <c r="D72" s="38">
        <v>0.870699</v>
      </c>
      <c r="E72" s="38">
        <v>0.870699</v>
      </c>
      <c r="F72" s="38">
        <v>0.870699</v>
      </c>
      <c r="G72" s="38">
        <v>0.870699</v>
      </c>
      <c r="H72" s="38">
        <v>0.870699</v>
      </c>
      <c r="I72" s="38">
        <v>0.870699</v>
      </c>
      <c r="J72" s="38">
        <v>0.870699</v>
      </c>
      <c r="K72" s="38">
        <v>0.870699</v>
      </c>
      <c r="L72" s="38">
        <v>0.870699</v>
      </c>
      <c r="M72" s="38">
        <v>0.870699</v>
      </c>
      <c r="N72" s="38">
        <v>0.870699</v>
      </c>
      <c r="O72" s="38">
        <v>0.870699</v>
      </c>
      <c r="P72" s="38">
        <v>0.870699</v>
      </c>
      <c r="Q72" s="38">
        <v>0.870699</v>
      </c>
      <c r="R72" s="38">
        <v>0.870699</v>
      </c>
      <c r="S72" s="38">
        <v>0.870699</v>
      </c>
      <c r="T72" s="38">
        <v>0.870699</v>
      </c>
      <c r="U72" s="38">
        <v>0.870699</v>
      </c>
      <c r="V72" s="38">
        <v>0.870699</v>
      </c>
      <c r="W72" s="38">
        <v>0.870699</v>
      </c>
      <c r="X72" s="38">
        <v>0.870699</v>
      </c>
      <c r="Y72" s="38">
        <v>0.870699</v>
      </c>
      <c r="Z72" s="38">
        <v>0.870699</v>
      </c>
      <c r="AA72" s="38">
        <v>0.870699</v>
      </c>
      <c r="AB72" s="38">
        <v>0.870699</v>
      </c>
      <c r="AC72" s="38">
        <v>0.870699</v>
      </c>
      <c r="AD72" s="38">
        <v>0.870699</v>
      </c>
      <c r="AE72" s="38">
        <v>0.870699</v>
      </c>
      <c r="AF72" s="35">
        <v>0</v>
      </c>
      <c r="AG72" s="29"/>
    </row>
    <row r="73" spans="1:34" ht="15" customHeight="1">
      <c r="A73" s="34" t="s">
        <v>3037</v>
      </c>
      <c r="B73" s="37" t="s">
        <v>2846</v>
      </c>
      <c r="C73" s="38">
        <v>3.0337450000000001</v>
      </c>
      <c r="D73" s="38">
        <v>3.170839</v>
      </c>
      <c r="E73" s="38">
        <v>3.170839</v>
      </c>
      <c r="F73" s="38">
        <v>3.170839</v>
      </c>
      <c r="G73" s="38">
        <v>3.4599190000000002</v>
      </c>
      <c r="H73" s="38">
        <v>3.4599190000000002</v>
      </c>
      <c r="I73" s="38">
        <v>3.4599190000000002</v>
      </c>
      <c r="J73" s="38">
        <v>3.4599190000000002</v>
      </c>
      <c r="K73" s="38">
        <v>3.4599190000000002</v>
      </c>
      <c r="L73" s="38">
        <v>3.4599190000000002</v>
      </c>
      <c r="M73" s="38">
        <v>3.4599190000000002</v>
      </c>
      <c r="N73" s="38">
        <v>3.4599190000000002</v>
      </c>
      <c r="O73" s="38">
        <v>3.4599190000000002</v>
      </c>
      <c r="P73" s="38">
        <v>3.4599190000000002</v>
      </c>
      <c r="Q73" s="38">
        <v>3.4599190000000002</v>
      </c>
      <c r="R73" s="38">
        <v>3.4599190000000002</v>
      </c>
      <c r="S73" s="38">
        <v>3.4599190000000002</v>
      </c>
      <c r="T73" s="38">
        <v>3.4599190000000002</v>
      </c>
      <c r="U73" s="38">
        <v>3.4599190000000002</v>
      </c>
      <c r="V73" s="38">
        <v>3.4599190000000002</v>
      </c>
      <c r="W73" s="38">
        <v>3.4599190000000002</v>
      </c>
      <c r="X73" s="38">
        <v>3.4599190000000002</v>
      </c>
      <c r="Y73" s="38">
        <v>3.4599190000000002</v>
      </c>
      <c r="Z73" s="38">
        <v>3.4599190000000002</v>
      </c>
      <c r="AA73" s="38">
        <v>3.4599190000000002</v>
      </c>
      <c r="AB73" s="38">
        <v>3.4599190000000002</v>
      </c>
      <c r="AC73" s="38">
        <v>3.4599190000000002</v>
      </c>
      <c r="AD73" s="38">
        <v>3.4599190000000002</v>
      </c>
      <c r="AE73" s="38">
        <v>3.4599190000000002</v>
      </c>
      <c r="AF73" s="35">
        <v>4.7060000000000001E-3</v>
      </c>
      <c r="AG73" s="29"/>
    </row>
    <row r="74" spans="1:34" ht="15" customHeight="1">
      <c r="A74" s="34" t="s">
        <v>3038</v>
      </c>
      <c r="B74" s="33" t="s">
        <v>2497</v>
      </c>
      <c r="C74" s="39">
        <v>56.656844999999997</v>
      </c>
      <c r="D74" s="39">
        <v>57.819640999999997</v>
      </c>
      <c r="E74" s="39">
        <v>58.636082000000002</v>
      </c>
      <c r="F74" s="39">
        <v>59.262596000000002</v>
      </c>
      <c r="G74" s="39">
        <v>60.572642999999999</v>
      </c>
      <c r="H74" s="39">
        <v>61.219963</v>
      </c>
      <c r="I74" s="39">
        <v>61.886425000000003</v>
      </c>
      <c r="J74" s="39">
        <v>62.571964000000001</v>
      </c>
      <c r="K74" s="39">
        <v>63.281543999999997</v>
      </c>
      <c r="L74" s="39">
        <v>64.025886999999997</v>
      </c>
      <c r="M74" s="39">
        <v>64.817856000000006</v>
      </c>
      <c r="N74" s="39">
        <v>65.675362000000007</v>
      </c>
      <c r="O74" s="39">
        <v>66.609772000000007</v>
      </c>
      <c r="P74" s="39">
        <v>67.609482</v>
      </c>
      <c r="Q74" s="39">
        <v>68.680603000000005</v>
      </c>
      <c r="R74" s="39">
        <v>69.820678999999998</v>
      </c>
      <c r="S74" s="39">
        <v>71.029174999999995</v>
      </c>
      <c r="T74" s="39">
        <v>72.310349000000002</v>
      </c>
      <c r="U74" s="39">
        <v>73.670676999999998</v>
      </c>
      <c r="V74" s="39">
        <v>75.103629999999995</v>
      </c>
      <c r="W74" s="39">
        <v>76.600348999999994</v>
      </c>
      <c r="X74" s="39">
        <v>78.161452999999995</v>
      </c>
      <c r="Y74" s="39">
        <v>79.780822999999998</v>
      </c>
      <c r="Z74" s="39">
        <v>81.436104</v>
      </c>
      <c r="AA74" s="39">
        <v>82.955260999999993</v>
      </c>
      <c r="AB74" s="39">
        <v>84.534385999999998</v>
      </c>
      <c r="AC74" s="39">
        <v>86.166877999999997</v>
      </c>
      <c r="AD74" s="39">
        <v>87.862251000000001</v>
      </c>
      <c r="AE74" s="39">
        <v>89.647948999999997</v>
      </c>
      <c r="AF74" s="31">
        <v>1.6522999999999999E-2</v>
      </c>
      <c r="AG74" s="29"/>
    </row>
    <row r="75" spans="1:34" ht="12" customHeight="1">
      <c r="B75" s="33" t="s">
        <v>2854</v>
      </c>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1:34" ht="15" customHeight="1">
      <c r="A76" s="34" t="s">
        <v>3039</v>
      </c>
      <c r="B76" s="37" t="s">
        <v>2856</v>
      </c>
      <c r="C76" s="38">
        <v>18.449078</v>
      </c>
      <c r="D76" s="38">
        <v>18.768723999999999</v>
      </c>
      <c r="E76" s="38">
        <v>18.985325</v>
      </c>
      <c r="F76" s="38">
        <v>19.151543</v>
      </c>
      <c r="G76" s="38">
        <v>19.454740999999999</v>
      </c>
      <c r="H76" s="38">
        <v>19.626470999999999</v>
      </c>
      <c r="I76" s="38">
        <v>19.803287999999998</v>
      </c>
      <c r="J76" s="38">
        <v>19.985161000000002</v>
      </c>
      <c r="K76" s="38">
        <v>20.173411999999999</v>
      </c>
      <c r="L76" s="38">
        <v>20.370884</v>
      </c>
      <c r="M76" s="38">
        <v>20.580995999999999</v>
      </c>
      <c r="N76" s="38">
        <v>20.808489000000002</v>
      </c>
      <c r="O76" s="38">
        <v>21.056391000000001</v>
      </c>
      <c r="P76" s="38">
        <v>21.321615000000001</v>
      </c>
      <c r="Q76" s="38">
        <v>21.605779999999999</v>
      </c>
      <c r="R76" s="38">
        <v>21.908238999999998</v>
      </c>
      <c r="S76" s="38">
        <v>22.228857000000001</v>
      </c>
      <c r="T76" s="38">
        <v>22.568750000000001</v>
      </c>
      <c r="U76" s="38">
        <v>22.929646999999999</v>
      </c>
      <c r="V76" s="38">
        <v>23.309813999999999</v>
      </c>
      <c r="W76" s="38">
        <v>23.706892</v>
      </c>
      <c r="X76" s="38">
        <v>24.121046</v>
      </c>
      <c r="Y76" s="38">
        <v>24.550667000000001</v>
      </c>
      <c r="Z76" s="38">
        <v>24.989819000000001</v>
      </c>
      <c r="AA76" s="38">
        <v>25.392848999999998</v>
      </c>
      <c r="AB76" s="38">
        <v>25.811792000000001</v>
      </c>
      <c r="AC76" s="38">
        <v>26.244890000000002</v>
      </c>
      <c r="AD76" s="38">
        <v>26.694672000000001</v>
      </c>
      <c r="AE76" s="38">
        <v>27.168413000000001</v>
      </c>
      <c r="AF76" s="35">
        <v>1.3919000000000001E-2</v>
      </c>
      <c r="AG76" s="29"/>
    </row>
    <row r="77" spans="1:34" ht="15" customHeight="1">
      <c r="A77" s="34" t="s">
        <v>3040</v>
      </c>
      <c r="B77" s="37" t="s">
        <v>2858</v>
      </c>
      <c r="C77" s="38">
        <v>38.207766999999997</v>
      </c>
      <c r="D77" s="38">
        <v>39.050919</v>
      </c>
      <c r="E77" s="38">
        <v>39.650753000000002</v>
      </c>
      <c r="F77" s="38">
        <v>40.111052999999998</v>
      </c>
      <c r="G77" s="38">
        <v>41.117901000000003</v>
      </c>
      <c r="H77" s="38">
        <v>41.593491</v>
      </c>
      <c r="I77" s="38">
        <v>42.083137999999998</v>
      </c>
      <c r="J77" s="38">
        <v>42.586803000000003</v>
      </c>
      <c r="K77" s="38">
        <v>43.108128000000001</v>
      </c>
      <c r="L77" s="38">
        <v>43.655003000000001</v>
      </c>
      <c r="M77" s="38">
        <v>44.236857999999998</v>
      </c>
      <c r="N77" s="38">
        <v>44.866871000000003</v>
      </c>
      <c r="O77" s="38">
        <v>45.553382999999997</v>
      </c>
      <c r="P77" s="38">
        <v>46.287868000000003</v>
      </c>
      <c r="Q77" s="38">
        <v>47.074824999999997</v>
      </c>
      <c r="R77" s="38">
        <v>47.912441000000001</v>
      </c>
      <c r="S77" s="38">
        <v>48.800319999999999</v>
      </c>
      <c r="T77" s="38">
        <v>49.741596000000001</v>
      </c>
      <c r="U77" s="38">
        <v>50.741031999999997</v>
      </c>
      <c r="V77" s="38">
        <v>51.793816</v>
      </c>
      <c r="W77" s="38">
        <v>52.893456</v>
      </c>
      <c r="X77" s="38">
        <v>54.040405</v>
      </c>
      <c r="Y77" s="38">
        <v>55.230159999999998</v>
      </c>
      <c r="Z77" s="38">
        <v>56.446285000000003</v>
      </c>
      <c r="AA77" s="38">
        <v>57.562412000000002</v>
      </c>
      <c r="AB77" s="38">
        <v>58.722591000000001</v>
      </c>
      <c r="AC77" s="38">
        <v>59.921989000000004</v>
      </c>
      <c r="AD77" s="38">
        <v>61.167580000000001</v>
      </c>
      <c r="AE77" s="38">
        <v>62.479534000000001</v>
      </c>
      <c r="AF77" s="35">
        <v>1.772E-2</v>
      </c>
      <c r="AG77" s="29"/>
    </row>
    <row r="78" spans="1:34" ht="15" customHeight="1" thickBot="1">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1:34" ht="15" customHeight="1">
      <c r="B79" s="2179" t="s">
        <v>2932</v>
      </c>
      <c r="C79" s="2180"/>
      <c r="D79" s="2180"/>
      <c r="E79" s="2180"/>
      <c r="F79" s="2180"/>
      <c r="G79" s="2180"/>
      <c r="H79" s="2180"/>
      <c r="I79" s="2180"/>
      <c r="J79" s="2180"/>
      <c r="K79" s="2180"/>
      <c r="L79" s="2180"/>
      <c r="M79" s="2180"/>
      <c r="N79" s="2180"/>
      <c r="O79" s="2180"/>
      <c r="P79" s="2180"/>
      <c r="Q79" s="2180"/>
      <c r="R79" s="2180"/>
      <c r="S79" s="2180"/>
      <c r="T79" s="2180"/>
      <c r="U79" s="2180"/>
      <c r="V79" s="2180"/>
      <c r="W79" s="2180"/>
      <c r="X79" s="2180"/>
      <c r="Y79" s="2180"/>
      <c r="Z79" s="2180"/>
      <c r="AA79" s="2180"/>
      <c r="AB79" s="2180"/>
      <c r="AC79" s="2180"/>
      <c r="AD79" s="2180"/>
      <c r="AE79" s="2180"/>
      <c r="AF79" s="2180"/>
      <c r="AG79" s="2180"/>
      <c r="AH79" s="30"/>
    </row>
    <row r="80" spans="1:34" ht="15" customHeight="1">
      <c r="B80" s="29" t="s">
        <v>2933</v>
      </c>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row>
    <row r="81" spans="2:33" ht="15" customHeight="1">
      <c r="B81" s="29" t="s">
        <v>3041</v>
      </c>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row>
    <row r="82" spans="2:33" ht="15" customHeight="1">
      <c r="B82" s="29" t="s">
        <v>3042</v>
      </c>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2:33" ht="12" customHeight="1">
      <c r="B83" s="29" t="s">
        <v>2935</v>
      </c>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2:33" ht="15" customHeight="1">
      <c r="B84" s="29" t="s">
        <v>3043</v>
      </c>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row>
    <row r="85" spans="2:33" ht="15" customHeight="1">
      <c r="B85" s="29" t="s">
        <v>2879</v>
      </c>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row>
    <row r="86" spans="2:33" ht="15" customHeight="1">
      <c r="B86" s="29" t="s">
        <v>3044</v>
      </c>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row>
    <row r="87" spans="2:33" ht="15" customHeight="1">
      <c r="B87" s="29" t="s">
        <v>2291</v>
      </c>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row>
    <row r="88" spans="2:33" ht="15" customHeight="1">
      <c r="B88" s="29" t="s">
        <v>2292</v>
      </c>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row>
    <row r="89" spans="2:33" ht="12" customHeight="1">
      <c r="B89" s="29" t="s">
        <v>2293</v>
      </c>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row>
    <row r="90" spans="2:33" ht="15" customHeight="1">
      <c r="B90" s="29" t="s">
        <v>2881</v>
      </c>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row>
    <row r="91" spans="2:33" ht="15" customHeight="1">
      <c r="B91" s="29" t="s">
        <v>2939</v>
      </c>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row>
    <row r="92" spans="2:33" ht="15" customHeight="1">
      <c r="B92" s="29" t="s">
        <v>2940</v>
      </c>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row>
    <row r="93" spans="2:33" ht="15" customHeight="1">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row>
    <row r="94" spans="2:33" ht="12" customHeight="1">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2:33" ht="15" customHeight="1">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row>
    <row r="96" spans="2:33" ht="15" customHeight="1">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2:33" ht="15" customHeight="1">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2:33" ht="12" customHeight="1">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2:33" ht="15" customHeight="1">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2:33" ht="15" customHeight="1">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2:33" ht="15" customHeight="1">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2:33" ht="15" customHeight="1">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2:33" ht="15" customHeight="1">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2:33" ht="15" customHeigh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2:33" ht="15" customHeight="1">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2:33" ht="12" customHeight="1">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2:33" ht="15" customHeight="1">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2:33" ht="15" customHeight="1">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row>
    <row r="109" spans="2:33" ht="15" customHeight="1">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t="s">
        <v>2056</v>
      </c>
      <c r="AG109" s="29"/>
    </row>
    <row r="113" ht="12" customHeight="1"/>
    <row r="119" ht="12" customHeight="1"/>
    <row r="123" ht="12" customHeight="1"/>
    <row r="129" ht="12" customHeight="1"/>
    <row r="134" ht="12" customHeight="1"/>
    <row r="156" spans="2:32" ht="15" customHeight="1">
      <c r="B156" s="2178"/>
      <c r="C156" s="2178"/>
      <c r="D156" s="2178"/>
      <c r="E156" s="2178"/>
      <c r="F156" s="2178"/>
      <c r="G156" s="2178"/>
      <c r="H156" s="2178"/>
      <c r="I156" s="2178"/>
      <c r="J156" s="2178"/>
      <c r="K156" s="2178"/>
      <c r="L156" s="2178"/>
      <c r="M156" s="2178"/>
      <c r="N156" s="2178"/>
      <c r="O156" s="2178"/>
      <c r="P156" s="2178"/>
      <c r="Q156" s="2178"/>
      <c r="R156" s="2178"/>
      <c r="S156" s="2178"/>
      <c r="T156" s="2178"/>
      <c r="U156" s="2178"/>
      <c r="V156" s="2178"/>
      <c r="W156" s="2178"/>
      <c r="X156" s="2178"/>
      <c r="Y156" s="2178"/>
      <c r="Z156" s="2178"/>
      <c r="AA156" s="2178"/>
      <c r="AB156" s="2178"/>
      <c r="AC156" s="2178"/>
      <c r="AD156" s="2178"/>
      <c r="AE156" s="2178"/>
      <c r="AF156" s="2178"/>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2178"/>
      <c r="C292" s="2178"/>
      <c r="D292" s="2178"/>
      <c r="E292" s="2178"/>
      <c r="F292" s="2178"/>
      <c r="G292" s="2178"/>
      <c r="H292" s="2178"/>
      <c r="I292" s="2178"/>
      <c r="J292" s="2178"/>
      <c r="K292" s="2178"/>
      <c r="L292" s="2178"/>
      <c r="M292" s="2178"/>
      <c r="N292" s="2178"/>
      <c r="O292" s="2178"/>
      <c r="P292" s="2178"/>
      <c r="Q292" s="2178"/>
      <c r="R292" s="2178"/>
      <c r="S292" s="2178"/>
      <c r="T292" s="2178"/>
      <c r="U292" s="2178"/>
      <c r="V292" s="2178"/>
      <c r="W292" s="2178"/>
      <c r="X292" s="2178"/>
      <c r="Y292" s="2178"/>
      <c r="Z292" s="2178"/>
      <c r="AA292" s="2178"/>
      <c r="AB292" s="2178"/>
      <c r="AC292" s="2178"/>
      <c r="AD292" s="2178"/>
      <c r="AE292" s="2178"/>
      <c r="AF292" s="2178"/>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2178"/>
      <c r="C378" s="2178"/>
      <c r="D378" s="2178"/>
      <c r="E378" s="2178"/>
      <c r="F378" s="2178"/>
      <c r="G378" s="2178"/>
      <c r="H378" s="2178"/>
      <c r="I378" s="2178"/>
      <c r="J378" s="2178"/>
      <c r="K378" s="2178"/>
      <c r="L378" s="2178"/>
      <c r="M378" s="2178"/>
      <c r="N378" s="2178"/>
      <c r="O378" s="2178"/>
      <c r="P378" s="2178"/>
      <c r="Q378" s="2178"/>
      <c r="R378" s="2178"/>
      <c r="S378" s="2178"/>
      <c r="T378" s="2178"/>
      <c r="U378" s="2178"/>
      <c r="V378" s="2178"/>
      <c r="W378" s="2178"/>
      <c r="X378" s="2178"/>
      <c r="Y378" s="2178"/>
      <c r="Z378" s="2178"/>
      <c r="AA378" s="2178"/>
      <c r="AB378" s="2178"/>
      <c r="AC378" s="2178"/>
      <c r="AD378" s="2178"/>
      <c r="AE378" s="2178"/>
      <c r="AF378" s="2178"/>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2178"/>
      <c r="C560" s="2178"/>
      <c r="D560" s="2178"/>
      <c r="E560" s="2178"/>
      <c r="F560" s="2178"/>
      <c r="G560" s="2178"/>
      <c r="H560" s="2178"/>
      <c r="I560" s="2178"/>
      <c r="J560" s="2178"/>
      <c r="K560" s="2178"/>
      <c r="L560" s="2178"/>
      <c r="M560" s="2178"/>
      <c r="N560" s="2178"/>
      <c r="O560" s="2178"/>
      <c r="P560" s="2178"/>
      <c r="Q560" s="2178"/>
      <c r="R560" s="2178"/>
      <c r="S560" s="2178"/>
      <c r="T560" s="2178"/>
      <c r="U560" s="2178"/>
      <c r="V560" s="2178"/>
      <c r="W560" s="2178"/>
      <c r="X560" s="2178"/>
      <c r="Y560" s="2178"/>
      <c r="Z560" s="2178"/>
      <c r="AA560" s="2178"/>
      <c r="AB560" s="2178"/>
      <c r="AC560" s="2178"/>
      <c r="AD560" s="2178"/>
      <c r="AE560" s="2178"/>
      <c r="AF560" s="2178"/>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2178"/>
      <c r="C652" s="2178"/>
      <c r="D652" s="2178"/>
      <c r="E652" s="2178"/>
      <c r="F652" s="2178"/>
      <c r="G652" s="2178"/>
      <c r="H652" s="2178"/>
      <c r="I652" s="2178"/>
      <c r="J652" s="2178"/>
      <c r="K652" s="2178"/>
      <c r="L652" s="2178"/>
      <c r="M652" s="2178"/>
      <c r="N652" s="2178"/>
      <c r="O652" s="2178"/>
      <c r="P652" s="2178"/>
      <c r="Q652" s="2178"/>
      <c r="R652" s="2178"/>
      <c r="S652" s="2178"/>
      <c r="T652" s="2178"/>
      <c r="U652" s="2178"/>
      <c r="V652" s="2178"/>
      <c r="W652" s="2178"/>
      <c r="X652" s="2178"/>
      <c r="Y652" s="2178"/>
      <c r="Z652" s="2178"/>
      <c r="AA652" s="2178"/>
      <c r="AB652" s="2178"/>
      <c r="AC652" s="2178"/>
      <c r="AD652" s="2178"/>
      <c r="AE652" s="2178"/>
      <c r="AF652" s="2178"/>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2178"/>
      <c r="C728" s="2178"/>
      <c r="D728" s="2178"/>
      <c r="E728" s="2178"/>
      <c r="F728" s="2178"/>
      <c r="G728" s="2178"/>
      <c r="H728" s="2178"/>
      <c r="I728" s="2178"/>
      <c r="J728" s="2178"/>
      <c r="K728" s="2178"/>
      <c r="L728" s="2178"/>
      <c r="M728" s="2178"/>
      <c r="N728" s="2178"/>
      <c r="O728" s="2178"/>
      <c r="P728" s="2178"/>
      <c r="Q728" s="2178"/>
      <c r="R728" s="2178"/>
      <c r="S728" s="2178"/>
      <c r="T728" s="2178"/>
      <c r="U728" s="2178"/>
      <c r="V728" s="2178"/>
      <c r="W728" s="2178"/>
      <c r="X728" s="2178"/>
      <c r="Y728" s="2178"/>
      <c r="Z728" s="2178"/>
      <c r="AA728" s="2178"/>
      <c r="AB728" s="2178"/>
      <c r="AC728" s="2178"/>
      <c r="AD728" s="2178"/>
      <c r="AE728" s="2178"/>
      <c r="AF728" s="2178"/>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2178"/>
      <c r="C819" s="2178"/>
      <c r="D819" s="2178"/>
      <c r="E819" s="2178"/>
      <c r="F819" s="2178"/>
      <c r="G819" s="2178"/>
      <c r="H819" s="2178"/>
      <c r="I819" s="2178"/>
      <c r="J819" s="2178"/>
      <c r="K819" s="2178"/>
      <c r="L819" s="2178"/>
      <c r="M819" s="2178"/>
      <c r="N819" s="2178"/>
      <c r="O819" s="2178"/>
      <c r="P819" s="2178"/>
      <c r="Q819" s="2178"/>
      <c r="R819" s="2178"/>
      <c r="S819" s="2178"/>
      <c r="T819" s="2178"/>
      <c r="U819" s="2178"/>
      <c r="V819" s="2178"/>
      <c r="W819" s="2178"/>
      <c r="X819" s="2178"/>
      <c r="Y819" s="2178"/>
      <c r="Z819" s="2178"/>
      <c r="AA819" s="2178"/>
      <c r="AB819" s="2178"/>
      <c r="AC819" s="2178"/>
      <c r="AD819" s="2178"/>
      <c r="AE819" s="2178"/>
      <c r="AF819" s="2178"/>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2178"/>
      <c r="C897" s="2178"/>
      <c r="D897" s="2178"/>
      <c r="E897" s="2178"/>
      <c r="F897" s="2178"/>
      <c r="G897" s="2178"/>
      <c r="H897" s="2178"/>
      <c r="I897" s="2178"/>
      <c r="J897" s="2178"/>
      <c r="K897" s="2178"/>
      <c r="L897" s="2178"/>
      <c r="M897" s="2178"/>
      <c r="N897" s="2178"/>
      <c r="O897" s="2178"/>
      <c r="P897" s="2178"/>
      <c r="Q897" s="2178"/>
      <c r="R897" s="2178"/>
      <c r="S897" s="2178"/>
      <c r="T897" s="2178"/>
      <c r="U897" s="2178"/>
      <c r="V897" s="2178"/>
      <c r="W897" s="2178"/>
      <c r="X897" s="2178"/>
      <c r="Y897" s="2178"/>
      <c r="Z897" s="2178"/>
      <c r="AA897" s="2178"/>
      <c r="AB897" s="2178"/>
      <c r="AC897" s="2178"/>
      <c r="AD897" s="2178"/>
      <c r="AE897" s="2178"/>
      <c r="AF897" s="2178"/>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2178"/>
      <c r="C983" s="2178"/>
      <c r="D983" s="2178"/>
      <c r="E983" s="2178"/>
      <c r="F983" s="2178"/>
      <c r="G983" s="2178"/>
      <c r="H983" s="2178"/>
      <c r="I983" s="2178"/>
      <c r="J983" s="2178"/>
      <c r="K983" s="2178"/>
      <c r="L983" s="2178"/>
      <c r="M983" s="2178"/>
      <c r="N983" s="2178"/>
      <c r="O983" s="2178"/>
      <c r="P983" s="2178"/>
      <c r="Q983" s="2178"/>
      <c r="R983" s="2178"/>
      <c r="S983" s="2178"/>
      <c r="T983" s="2178"/>
      <c r="U983" s="2178"/>
      <c r="V983" s="2178"/>
      <c r="W983" s="2178"/>
      <c r="X983" s="2178"/>
      <c r="Y983" s="2178"/>
      <c r="Z983" s="2178"/>
      <c r="AA983" s="2178"/>
      <c r="AB983" s="2178"/>
      <c r="AC983" s="2178"/>
      <c r="AD983" s="2178"/>
      <c r="AE983" s="2178"/>
      <c r="AF983" s="2178"/>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2178"/>
      <c r="C1082" s="2178"/>
      <c r="D1082" s="2178"/>
      <c r="E1082" s="2178"/>
      <c r="F1082" s="2178"/>
      <c r="G1082" s="2178"/>
      <c r="H1082" s="2178"/>
      <c r="I1082" s="2178"/>
      <c r="J1082" s="2178"/>
      <c r="K1082" s="2178"/>
      <c r="L1082" s="2178"/>
      <c r="M1082" s="2178"/>
      <c r="N1082" s="2178"/>
      <c r="O1082" s="2178"/>
      <c r="P1082" s="2178"/>
      <c r="Q1082" s="2178"/>
      <c r="R1082" s="2178"/>
      <c r="S1082" s="2178"/>
      <c r="T1082" s="2178"/>
      <c r="U1082" s="2178"/>
      <c r="V1082" s="2178"/>
      <c r="W1082" s="2178"/>
      <c r="X1082" s="2178"/>
      <c r="Y1082" s="2178"/>
      <c r="Z1082" s="2178"/>
      <c r="AA1082" s="2178"/>
      <c r="AB1082" s="2178"/>
      <c r="AC1082" s="2178"/>
      <c r="AD1082" s="2178"/>
      <c r="AE1082" s="2178"/>
      <c r="AF1082" s="2178"/>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2178"/>
      <c r="C1179" s="2178"/>
      <c r="D1179" s="2178"/>
      <c r="E1179" s="2178"/>
      <c r="F1179" s="2178"/>
      <c r="G1179" s="2178"/>
      <c r="H1179" s="2178"/>
      <c r="I1179" s="2178"/>
      <c r="J1179" s="2178"/>
      <c r="K1179" s="2178"/>
      <c r="L1179" s="2178"/>
      <c r="M1179" s="2178"/>
      <c r="N1179" s="2178"/>
      <c r="O1179" s="2178"/>
      <c r="P1179" s="2178"/>
      <c r="Q1179" s="2178"/>
      <c r="R1179" s="2178"/>
      <c r="S1179" s="2178"/>
      <c r="T1179" s="2178"/>
      <c r="U1179" s="2178"/>
      <c r="V1179" s="2178"/>
      <c r="W1179" s="2178"/>
      <c r="X1179" s="2178"/>
      <c r="Y1179" s="2178"/>
      <c r="Z1179" s="2178"/>
      <c r="AA1179" s="2178"/>
      <c r="AB1179" s="2178"/>
      <c r="AC1179" s="2178"/>
      <c r="AD1179" s="2178"/>
      <c r="AE1179" s="2178"/>
      <c r="AF1179" s="2178"/>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2178"/>
      <c r="C1313" s="2178"/>
      <c r="D1313" s="2178"/>
      <c r="E1313" s="2178"/>
      <c r="F1313" s="2178"/>
      <c r="G1313" s="2178"/>
      <c r="H1313" s="2178"/>
      <c r="I1313" s="2178"/>
      <c r="J1313" s="2178"/>
      <c r="K1313" s="2178"/>
      <c r="L1313" s="2178"/>
      <c r="M1313" s="2178"/>
      <c r="N1313" s="2178"/>
      <c r="O1313" s="2178"/>
      <c r="P1313" s="2178"/>
      <c r="Q1313" s="2178"/>
      <c r="R1313" s="2178"/>
      <c r="S1313" s="2178"/>
      <c r="T1313" s="2178"/>
      <c r="U1313" s="2178"/>
      <c r="V1313" s="2178"/>
      <c r="W1313" s="2178"/>
      <c r="X1313" s="2178"/>
      <c r="Y1313" s="2178"/>
      <c r="Z1313" s="2178"/>
      <c r="AA1313" s="2178"/>
      <c r="AB1313" s="2178"/>
      <c r="AC1313" s="2178"/>
      <c r="AD1313" s="2178"/>
      <c r="AE1313" s="2178"/>
      <c r="AF1313" s="2178"/>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2178"/>
      <c r="C1431" s="2178"/>
      <c r="D1431" s="2178"/>
      <c r="E1431" s="2178"/>
      <c r="F1431" s="2178"/>
      <c r="G1431" s="2178"/>
      <c r="H1431" s="2178"/>
      <c r="I1431" s="2178"/>
      <c r="J1431" s="2178"/>
      <c r="K1431" s="2178"/>
      <c r="L1431" s="2178"/>
      <c r="M1431" s="2178"/>
      <c r="N1431" s="2178"/>
      <c r="O1431" s="2178"/>
      <c r="P1431" s="2178"/>
      <c r="Q1431" s="2178"/>
      <c r="R1431" s="2178"/>
      <c r="S1431" s="2178"/>
      <c r="T1431" s="2178"/>
      <c r="U1431" s="2178"/>
      <c r="V1431" s="2178"/>
      <c r="W1431" s="2178"/>
      <c r="X1431" s="2178"/>
      <c r="Y1431" s="2178"/>
      <c r="Z1431" s="2178"/>
      <c r="AA1431" s="2178"/>
      <c r="AB1431" s="2178"/>
      <c r="AC1431" s="2178"/>
      <c r="AD1431" s="2178"/>
      <c r="AE1431" s="2178"/>
      <c r="AF1431" s="2178"/>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2178"/>
      <c r="C1535" s="2178"/>
      <c r="D1535" s="2178"/>
      <c r="E1535" s="2178"/>
      <c r="F1535" s="2178"/>
      <c r="G1535" s="2178"/>
      <c r="H1535" s="2178"/>
      <c r="I1535" s="2178"/>
      <c r="J1535" s="2178"/>
      <c r="K1535" s="2178"/>
      <c r="L1535" s="2178"/>
      <c r="M1535" s="2178"/>
      <c r="N1535" s="2178"/>
      <c r="O1535" s="2178"/>
      <c r="P1535" s="2178"/>
      <c r="Q1535" s="2178"/>
      <c r="R1535" s="2178"/>
      <c r="S1535" s="2178"/>
      <c r="T1535" s="2178"/>
      <c r="U1535" s="2178"/>
      <c r="V1535" s="2178"/>
      <c r="W1535" s="2178"/>
      <c r="X1535" s="2178"/>
      <c r="Y1535" s="2178"/>
      <c r="Z1535" s="2178"/>
      <c r="AA1535" s="2178"/>
      <c r="AB1535" s="2178"/>
      <c r="AC1535" s="2178"/>
      <c r="AD1535" s="2178"/>
      <c r="AE1535" s="2178"/>
      <c r="AF1535" s="2178"/>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2178"/>
      <c r="C1628" s="2178"/>
      <c r="D1628" s="2178"/>
      <c r="E1628" s="2178"/>
      <c r="F1628" s="2178"/>
      <c r="G1628" s="2178"/>
      <c r="H1628" s="2178"/>
      <c r="I1628" s="2178"/>
      <c r="J1628" s="2178"/>
      <c r="K1628" s="2178"/>
      <c r="L1628" s="2178"/>
      <c r="M1628" s="2178"/>
      <c r="N1628" s="2178"/>
      <c r="O1628" s="2178"/>
      <c r="P1628" s="2178"/>
      <c r="Q1628" s="2178"/>
      <c r="R1628" s="2178"/>
      <c r="S1628" s="2178"/>
      <c r="T1628" s="2178"/>
      <c r="U1628" s="2178"/>
      <c r="V1628" s="2178"/>
      <c r="W1628" s="2178"/>
      <c r="X1628" s="2178"/>
      <c r="Y1628" s="2178"/>
      <c r="Z1628" s="2178"/>
      <c r="AA1628" s="2178"/>
      <c r="AB1628" s="2178"/>
      <c r="AC1628" s="2178"/>
      <c r="AD1628" s="2178"/>
      <c r="AE1628" s="2178"/>
      <c r="AF1628" s="2178"/>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2178"/>
      <c r="C1778" s="2178"/>
      <c r="D1778" s="2178"/>
      <c r="E1778" s="2178"/>
      <c r="F1778" s="2178"/>
      <c r="G1778" s="2178"/>
      <c r="H1778" s="2178"/>
      <c r="I1778" s="2178"/>
      <c r="J1778" s="2178"/>
      <c r="K1778" s="2178"/>
      <c r="L1778" s="2178"/>
      <c r="M1778" s="2178"/>
      <c r="N1778" s="2178"/>
      <c r="O1778" s="2178"/>
      <c r="P1778" s="2178"/>
      <c r="Q1778" s="2178"/>
      <c r="R1778" s="2178"/>
      <c r="S1778" s="2178"/>
      <c r="T1778" s="2178"/>
      <c r="U1778" s="2178"/>
      <c r="V1778" s="2178"/>
      <c r="W1778" s="2178"/>
      <c r="X1778" s="2178"/>
      <c r="Y1778" s="2178"/>
      <c r="Z1778" s="2178"/>
      <c r="AA1778" s="2178"/>
      <c r="AB1778" s="2178"/>
      <c r="AC1778" s="2178"/>
      <c r="AD1778" s="2178"/>
      <c r="AE1778" s="2178"/>
      <c r="AF1778" s="2178"/>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2178"/>
      <c r="C1928" s="2178"/>
      <c r="D1928" s="2178"/>
      <c r="E1928" s="2178"/>
      <c r="F1928" s="2178"/>
      <c r="G1928" s="2178"/>
      <c r="H1928" s="2178"/>
      <c r="I1928" s="2178"/>
      <c r="J1928" s="2178"/>
      <c r="K1928" s="2178"/>
      <c r="L1928" s="2178"/>
      <c r="M1928" s="2178"/>
      <c r="N1928" s="2178"/>
      <c r="O1928" s="2178"/>
      <c r="P1928" s="2178"/>
      <c r="Q1928" s="2178"/>
      <c r="R1928" s="2178"/>
      <c r="S1928" s="2178"/>
      <c r="T1928" s="2178"/>
      <c r="U1928" s="2178"/>
      <c r="V1928" s="2178"/>
      <c r="W1928" s="2178"/>
      <c r="X1928" s="2178"/>
      <c r="Y1928" s="2178"/>
      <c r="Z1928" s="2178"/>
      <c r="AA1928" s="2178"/>
      <c r="AB1928" s="2178"/>
      <c r="AC1928" s="2178"/>
      <c r="AD1928" s="2178"/>
      <c r="AE1928" s="2178"/>
      <c r="AF1928" s="2178"/>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2178"/>
      <c r="C2078" s="2178"/>
      <c r="D2078" s="2178"/>
      <c r="E2078" s="2178"/>
      <c r="F2078" s="2178"/>
      <c r="G2078" s="2178"/>
      <c r="H2078" s="2178"/>
      <c r="I2078" s="2178"/>
      <c r="J2078" s="2178"/>
      <c r="K2078" s="2178"/>
      <c r="L2078" s="2178"/>
      <c r="M2078" s="2178"/>
      <c r="N2078" s="2178"/>
      <c r="O2078" s="2178"/>
      <c r="P2078" s="2178"/>
      <c r="Q2078" s="2178"/>
      <c r="R2078" s="2178"/>
      <c r="S2078" s="2178"/>
      <c r="T2078" s="2178"/>
      <c r="U2078" s="2178"/>
      <c r="V2078" s="2178"/>
      <c r="W2078" s="2178"/>
      <c r="X2078" s="2178"/>
      <c r="Y2078" s="2178"/>
      <c r="Z2078" s="2178"/>
      <c r="AA2078" s="2178"/>
      <c r="AB2078" s="2178"/>
      <c r="AC2078" s="2178"/>
      <c r="AD2078" s="2178"/>
      <c r="AE2078" s="2178"/>
      <c r="AF2078" s="2178"/>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2178"/>
      <c r="C2228" s="2178"/>
      <c r="D2228" s="2178"/>
      <c r="E2228" s="2178"/>
      <c r="F2228" s="2178"/>
      <c r="G2228" s="2178"/>
      <c r="H2228" s="2178"/>
      <c r="I2228" s="2178"/>
      <c r="J2228" s="2178"/>
      <c r="K2228" s="2178"/>
      <c r="L2228" s="2178"/>
      <c r="M2228" s="2178"/>
      <c r="N2228" s="2178"/>
      <c r="O2228" s="2178"/>
      <c r="P2228" s="2178"/>
      <c r="Q2228" s="2178"/>
      <c r="R2228" s="2178"/>
      <c r="S2228" s="2178"/>
      <c r="T2228" s="2178"/>
      <c r="U2228" s="2178"/>
      <c r="V2228" s="2178"/>
      <c r="W2228" s="2178"/>
      <c r="X2228" s="2178"/>
      <c r="Y2228" s="2178"/>
      <c r="Z2228" s="2178"/>
      <c r="AA2228" s="2178"/>
      <c r="AB2228" s="2178"/>
      <c r="AC2228" s="2178"/>
      <c r="AD2228" s="2178"/>
      <c r="AE2228" s="2178"/>
      <c r="AF2228" s="2178"/>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2178"/>
      <c r="C2378" s="2178"/>
      <c r="D2378" s="2178"/>
      <c r="E2378" s="2178"/>
      <c r="F2378" s="2178"/>
      <c r="G2378" s="2178"/>
      <c r="H2378" s="2178"/>
      <c r="I2378" s="2178"/>
      <c r="J2378" s="2178"/>
      <c r="K2378" s="2178"/>
      <c r="L2378" s="2178"/>
      <c r="M2378" s="2178"/>
      <c r="N2378" s="2178"/>
      <c r="O2378" s="2178"/>
      <c r="P2378" s="2178"/>
      <c r="Q2378" s="2178"/>
      <c r="R2378" s="2178"/>
      <c r="S2378" s="2178"/>
      <c r="T2378" s="2178"/>
      <c r="U2378" s="2178"/>
      <c r="V2378" s="2178"/>
      <c r="W2378" s="2178"/>
      <c r="X2378" s="2178"/>
      <c r="Y2378" s="2178"/>
      <c r="Z2378" s="2178"/>
      <c r="AA2378" s="2178"/>
      <c r="AB2378" s="2178"/>
      <c r="AC2378" s="2178"/>
      <c r="AD2378" s="2178"/>
      <c r="AE2378" s="2178"/>
      <c r="AF2378" s="2178"/>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2178"/>
      <c r="C2528" s="2178"/>
      <c r="D2528" s="2178"/>
      <c r="E2528" s="2178"/>
      <c r="F2528" s="2178"/>
      <c r="G2528" s="2178"/>
      <c r="H2528" s="2178"/>
      <c r="I2528" s="2178"/>
      <c r="J2528" s="2178"/>
      <c r="K2528" s="2178"/>
      <c r="L2528" s="2178"/>
      <c r="M2528" s="2178"/>
      <c r="N2528" s="2178"/>
      <c r="O2528" s="2178"/>
      <c r="P2528" s="2178"/>
      <c r="Q2528" s="2178"/>
      <c r="R2528" s="2178"/>
      <c r="S2528" s="2178"/>
      <c r="T2528" s="2178"/>
      <c r="U2528" s="2178"/>
      <c r="V2528" s="2178"/>
      <c r="W2528" s="2178"/>
      <c r="X2528" s="2178"/>
      <c r="Y2528" s="2178"/>
      <c r="Z2528" s="2178"/>
      <c r="AA2528" s="2178"/>
      <c r="AB2528" s="2178"/>
      <c r="AC2528" s="2178"/>
      <c r="AD2528" s="2178"/>
      <c r="AE2528" s="2178"/>
      <c r="AF2528" s="2178"/>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2178"/>
      <c r="C2678" s="2178"/>
      <c r="D2678" s="2178"/>
      <c r="E2678" s="2178"/>
      <c r="F2678" s="2178"/>
      <c r="G2678" s="2178"/>
      <c r="H2678" s="2178"/>
      <c r="I2678" s="2178"/>
      <c r="J2678" s="2178"/>
      <c r="K2678" s="2178"/>
      <c r="L2678" s="2178"/>
      <c r="M2678" s="2178"/>
      <c r="N2678" s="2178"/>
      <c r="O2678" s="2178"/>
      <c r="P2678" s="2178"/>
      <c r="Q2678" s="2178"/>
      <c r="R2678" s="2178"/>
      <c r="S2678" s="2178"/>
      <c r="T2678" s="2178"/>
      <c r="U2678" s="2178"/>
      <c r="V2678" s="2178"/>
      <c r="W2678" s="2178"/>
      <c r="X2678" s="2178"/>
      <c r="Y2678" s="2178"/>
      <c r="Z2678" s="2178"/>
      <c r="AA2678" s="2178"/>
      <c r="AB2678" s="2178"/>
      <c r="AC2678" s="2178"/>
      <c r="AD2678" s="2178"/>
      <c r="AE2678" s="2178"/>
      <c r="AF2678" s="2178"/>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2178"/>
      <c r="C2828" s="2178"/>
      <c r="D2828" s="2178"/>
      <c r="E2828" s="2178"/>
      <c r="F2828" s="2178"/>
      <c r="G2828" s="2178"/>
      <c r="H2828" s="2178"/>
      <c r="I2828" s="2178"/>
      <c r="J2828" s="2178"/>
      <c r="K2828" s="2178"/>
      <c r="L2828" s="2178"/>
      <c r="M2828" s="2178"/>
      <c r="N2828" s="2178"/>
      <c r="O2828" s="2178"/>
      <c r="P2828" s="2178"/>
      <c r="Q2828" s="2178"/>
      <c r="R2828" s="2178"/>
      <c r="S2828" s="2178"/>
      <c r="T2828" s="2178"/>
      <c r="U2828" s="2178"/>
      <c r="V2828" s="2178"/>
      <c r="W2828" s="2178"/>
      <c r="X2828" s="2178"/>
      <c r="Y2828" s="2178"/>
      <c r="Z2828" s="2178"/>
      <c r="AA2828" s="2178"/>
      <c r="AB2828" s="2178"/>
      <c r="AC2828" s="2178"/>
      <c r="AD2828" s="2178"/>
      <c r="AE2828" s="2178"/>
      <c r="AF2828" s="2178"/>
    </row>
  </sheetData>
  <mergeCells count="24">
    <mergeCell ref="B79:AG79"/>
    <mergeCell ref="B2228:AF2228"/>
    <mergeCell ref="B2378:AF2378"/>
    <mergeCell ref="B2528:AF2528"/>
    <mergeCell ref="B2678:AF2678"/>
    <mergeCell ref="B1778:AF1778"/>
    <mergeCell ref="B1928:AF1928"/>
    <mergeCell ref="B728:AF728"/>
    <mergeCell ref="B156:AF156"/>
    <mergeCell ref="B292:AF292"/>
    <mergeCell ref="B378:AF378"/>
    <mergeCell ref="B560:AF560"/>
    <mergeCell ref="B652:AF652"/>
    <mergeCell ref="B1082:AF1082"/>
    <mergeCell ref="B1179:AF1179"/>
    <mergeCell ref="B1313:AF1313"/>
    <mergeCell ref="B2828:AF2828"/>
    <mergeCell ref="B2078:AF2078"/>
    <mergeCell ref="B819:AF819"/>
    <mergeCell ref="B897:AF897"/>
    <mergeCell ref="B983:AF983"/>
    <mergeCell ref="B1431:AF1431"/>
    <mergeCell ref="B1535:AF1535"/>
    <mergeCell ref="B1628:AF1628"/>
  </mergeCells>
  <pageMargins left="0.75" right="0.75" top="1" bottom="1" header="0.5" footer="0.5"/>
  <pageSetup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544C4-73BA-4143-872D-EFD2379E2E36}">
  <sheetPr codeName="Sheet38"/>
  <dimension ref="A1:AH282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baseColWidth="10" defaultColWidth="9.33203125" defaultRowHeight="15" customHeight="1"/>
  <cols>
    <col min="1" max="1" width="20.6640625" style="28" hidden="1" customWidth="1"/>
    <col min="2" max="2" width="45.6640625" style="28" customWidth="1"/>
    <col min="3" max="16384" width="9.33203125" style="28"/>
  </cols>
  <sheetData>
    <row r="1" spans="1:33" ht="15" customHeight="1" thickBot="1">
      <c r="B1" s="50" t="s">
        <v>2046</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2047</v>
      </c>
      <c r="D3" s="48" t="s">
        <v>311</v>
      </c>
      <c r="E3" s="47"/>
      <c r="F3" s="47"/>
      <c r="G3" s="47"/>
    </row>
    <row r="4" spans="1:33" ht="15" customHeight="1">
      <c r="C4" s="48" t="s">
        <v>2048</v>
      </c>
      <c r="D4" s="48" t="s">
        <v>2049</v>
      </c>
      <c r="E4" s="47"/>
      <c r="F4" s="47"/>
      <c r="G4" s="48" t="s">
        <v>207</v>
      </c>
    </row>
    <row r="5" spans="1:33" ht="15" customHeight="1">
      <c r="C5" s="48" t="s">
        <v>2050</v>
      </c>
      <c r="D5" s="48" t="s">
        <v>2051</v>
      </c>
      <c r="E5" s="47"/>
      <c r="F5" s="47"/>
      <c r="G5" s="47"/>
    </row>
    <row r="6" spans="1:33" ht="15" customHeight="1">
      <c r="C6" s="48" t="s">
        <v>2052</v>
      </c>
      <c r="D6" s="47"/>
      <c r="E6" s="48" t="s">
        <v>2053</v>
      </c>
      <c r="F6" s="47"/>
      <c r="G6" s="47"/>
    </row>
    <row r="7" spans="1:33" ht="12" customHeight="1"/>
    <row r="8" spans="1:33" ht="12" customHeight="1"/>
    <row r="9" spans="1:33" ht="12" customHeight="1"/>
    <row r="10" spans="1:33" ht="15" customHeight="1">
      <c r="A10" s="34" t="s">
        <v>3045</v>
      </c>
      <c r="B10" s="46" t="s">
        <v>3046</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2058</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2059</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2061</v>
      </c>
      <c r="AG12" s="29"/>
    </row>
    <row r="13" spans="1:33" ht="15" customHeight="1" thickBot="1">
      <c r="B13" s="42" t="s">
        <v>2763</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A15" s="34" t="s">
        <v>3047</v>
      </c>
      <c r="B15" s="33" t="s">
        <v>2695</v>
      </c>
      <c r="C15" s="40">
        <v>23.835207</v>
      </c>
      <c r="D15" s="40">
        <v>22.431635</v>
      </c>
      <c r="E15" s="40">
        <v>22.050007000000001</v>
      </c>
      <c r="F15" s="40">
        <v>22.057528999999999</v>
      </c>
      <c r="G15" s="40">
        <v>22.68103</v>
      </c>
      <c r="H15" s="40">
        <v>23.030569</v>
      </c>
      <c r="I15" s="40">
        <v>23.301846999999999</v>
      </c>
      <c r="J15" s="40">
        <v>23.512806000000001</v>
      </c>
      <c r="K15" s="40">
        <v>23.634198999999999</v>
      </c>
      <c r="L15" s="40">
        <v>23.801591999999999</v>
      </c>
      <c r="M15" s="40">
        <v>24.003617999999999</v>
      </c>
      <c r="N15" s="40">
        <v>24.275005</v>
      </c>
      <c r="O15" s="40">
        <v>24.565556000000001</v>
      </c>
      <c r="P15" s="40">
        <v>24.908245000000001</v>
      </c>
      <c r="Q15" s="40">
        <v>25.079616999999999</v>
      </c>
      <c r="R15" s="40">
        <v>25.316305</v>
      </c>
      <c r="S15" s="40">
        <v>25.550051</v>
      </c>
      <c r="T15" s="40">
        <v>25.968063000000001</v>
      </c>
      <c r="U15" s="40">
        <v>26.382377999999999</v>
      </c>
      <c r="V15" s="40">
        <v>26.675877</v>
      </c>
      <c r="W15" s="40">
        <v>27.04561</v>
      </c>
      <c r="X15" s="40">
        <v>27.182400000000001</v>
      </c>
      <c r="Y15" s="40">
        <v>27.408552</v>
      </c>
      <c r="Z15" s="40">
        <v>27.686163000000001</v>
      </c>
      <c r="AA15" s="40">
        <v>28.096257999999999</v>
      </c>
      <c r="AB15" s="40">
        <v>28.340467</v>
      </c>
      <c r="AC15" s="40">
        <v>28.420309</v>
      </c>
      <c r="AD15" s="40">
        <v>28.615231000000001</v>
      </c>
      <c r="AE15" s="40">
        <v>28.898367</v>
      </c>
      <c r="AF15" s="31">
        <v>6.9030000000000003E-3</v>
      </c>
      <c r="AG15" s="29"/>
    </row>
    <row r="16" spans="1:33" ht="15" customHeight="1">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B17" s="33" t="s">
        <v>2888</v>
      </c>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row>
    <row r="18" spans="1:33" ht="15" customHeight="1">
      <c r="A18" s="34" t="s">
        <v>3048</v>
      </c>
      <c r="B18" s="37" t="s">
        <v>2770</v>
      </c>
      <c r="C18" s="36">
        <v>0</v>
      </c>
      <c r="D18" s="36">
        <v>0</v>
      </c>
      <c r="E18" s="36">
        <v>0</v>
      </c>
      <c r="F18" s="36">
        <v>0</v>
      </c>
      <c r="G18" s="36">
        <v>0</v>
      </c>
      <c r="H18" s="36">
        <v>0</v>
      </c>
      <c r="I18" s="36">
        <v>0</v>
      </c>
      <c r="J18" s="36">
        <v>0</v>
      </c>
      <c r="K18" s="36">
        <v>0</v>
      </c>
      <c r="L18" s="36">
        <v>0</v>
      </c>
      <c r="M18" s="36">
        <v>0</v>
      </c>
      <c r="N18" s="36">
        <v>0</v>
      </c>
      <c r="O18" s="36">
        <v>0</v>
      </c>
      <c r="P18" s="36">
        <v>0</v>
      </c>
      <c r="Q18" s="36">
        <v>0</v>
      </c>
      <c r="R18" s="36">
        <v>0</v>
      </c>
      <c r="S18" s="36">
        <v>0</v>
      </c>
      <c r="T18" s="36">
        <v>0</v>
      </c>
      <c r="U18" s="36">
        <v>0</v>
      </c>
      <c r="V18" s="36">
        <v>0</v>
      </c>
      <c r="W18" s="36">
        <v>0</v>
      </c>
      <c r="X18" s="36">
        <v>0</v>
      </c>
      <c r="Y18" s="36">
        <v>0</v>
      </c>
      <c r="Z18" s="36">
        <v>0</v>
      </c>
      <c r="AA18" s="36">
        <v>0</v>
      </c>
      <c r="AB18" s="36">
        <v>0</v>
      </c>
      <c r="AC18" s="36">
        <v>0</v>
      </c>
      <c r="AD18" s="36">
        <v>0</v>
      </c>
      <c r="AE18" s="36">
        <v>0</v>
      </c>
      <c r="AF18" s="35" t="s">
        <v>1278</v>
      </c>
      <c r="AG18" s="29"/>
    </row>
    <row r="19" spans="1:33" ht="15" customHeight="1">
      <c r="A19" s="34" t="s">
        <v>3049</v>
      </c>
      <c r="B19" s="37" t="s">
        <v>2772</v>
      </c>
      <c r="C19" s="36">
        <v>0</v>
      </c>
      <c r="D19" s="36">
        <v>0</v>
      </c>
      <c r="E19" s="36">
        <v>0</v>
      </c>
      <c r="F19" s="36">
        <v>0</v>
      </c>
      <c r="G19" s="36">
        <v>0</v>
      </c>
      <c r="H19" s="36">
        <v>0</v>
      </c>
      <c r="I19" s="36">
        <v>0</v>
      </c>
      <c r="J19" s="36">
        <v>0</v>
      </c>
      <c r="K19" s="36">
        <v>0</v>
      </c>
      <c r="L19" s="36">
        <v>0</v>
      </c>
      <c r="M19" s="36">
        <v>0</v>
      </c>
      <c r="N19" s="36">
        <v>0</v>
      </c>
      <c r="O19" s="36">
        <v>0</v>
      </c>
      <c r="P19" s="36">
        <v>0</v>
      </c>
      <c r="Q19" s="36">
        <v>0</v>
      </c>
      <c r="R19" s="36">
        <v>0</v>
      </c>
      <c r="S19" s="36">
        <v>0</v>
      </c>
      <c r="T19" s="36">
        <v>0</v>
      </c>
      <c r="U19" s="36">
        <v>0</v>
      </c>
      <c r="V19" s="36">
        <v>0</v>
      </c>
      <c r="W19" s="36">
        <v>0</v>
      </c>
      <c r="X19" s="36">
        <v>0</v>
      </c>
      <c r="Y19" s="36">
        <v>0</v>
      </c>
      <c r="Z19" s="36">
        <v>0</v>
      </c>
      <c r="AA19" s="36">
        <v>0</v>
      </c>
      <c r="AB19" s="36">
        <v>0</v>
      </c>
      <c r="AC19" s="36">
        <v>0</v>
      </c>
      <c r="AD19" s="36">
        <v>0</v>
      </c>
      <c r="AE19" s="36">
        <v>0</v>
      </c>
      <c r="AF19" s="35" t="s">
        <v>1278</v>
      </c>
      <c r="AG19" s="29"/>
    </row>
    <row r="20" spans="1:33" ht="15" customHeight="1">
      <c r="A20" s="34" t="s">
        <v>3050</v>
      </c>
      <c r="B20" s="37" t="s">
        <v>2892</v>
      </c>
      <c r="C20" s="36">
        <v>0</v>
      </c>
      <c r="D20" s="36">
        <v>0</v>
      </c>
      <c r="E20" s="36">
        <v>0</v>
      </c>
      <c r="F20" s="36">
        <v>0</v>
      </c>
      <c r="G20" s="36">
        <v>0</v>
      </c>
      <c r="H20" s="36">
        <v>0</v>
      </c>
      <c r="I20" s="36">
        <v>0</v>
      </c>
      <c r="J20" s="36">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6">
        <v>0</v>
      </c>
      <c r="AC20" s="36">
        <v>0</v>
      </c>
      <c r="AD20" s="36">
        <v>0</v>
      </c>
      <c r="AE20" s="36">
        <v>0</v>
      </c>
      <c r="AF20" s="35" t="s">
        <v>1278</v>
      </c>
      <c r="AG20" s="29"/>
    </row>
    <row r="21" spans="1:33" ht="15" customHeight="1">
      <c r="A21" s="34" t="s">
        <v>3051</v>
      </c>
      <c r="B21" s="37" t="s">
        <v>2782</v>
      </c>
      <c r="C21" s="36">
        <v>0</v>
      </c>
      <c r="D21" s="36">
        <v>0</v>
      </c>
      <c r="E21" s="36">
        <v>0</v>
      </c>
      <c r="F21" s="36">
        <v>0</v>
      </c>
      <c r="G21" s="36">
        <v>0</v>
      </c>
      <c r="H21" s="36">
        <v>0</v>
      </c>
      <c r="I21" s="36">
        <v>0</v>
      </c>
      <c r="J21" s="36">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6">
        <v>0</v>
      </c>
      <c r="AC21" s="36">
        <v>0</v>
      </c>
      <c r="AD21" s="36">
        <v>0</v>
      </c>
      <c r="AE21" s="36">
        <v>0</v>
      </c>
      <c r="AF21" s="35" t="s">
        <v>1278</v>
      </c>
      <c r="AG21" s="29"/>
    </row>
    <row r="22" spans="1:33" ht="15" customHeight="1">
      <c r="A22" s="34" t="s">
        <v>3052</v>
      </c>
      <c r="B22" s="37" t="s">
        <v>2784</v>
      </c>
      <c r="C22" s="36">
        <v>104.14091500000001</v>
      </c>
      <c r="D22" s="36">
        <v>94.444571999999994</v>
      </c>
      <c r="E22" s="36">
        <v>94.815353000000002</v>
      </c>
      <c r="F22" s="36">
        <v>93.321479999999994</v>
      </c>
      <c r="G22" s="36">
        <v>93.478935000000007</v>
      </c>
      <c r="H22" s="36">
        <v>92.314323000000002</v>
      </c>
      <c r="I22" s="36">
        <v>90.719048000000001</v>
      </c>
      <c r="J22" s="36">
        <v>88.915763999999996</v>
      </c>
      <c r="K22" s="36">
        <v>86.793991000000005</v>
      </c>
      <c r="L22" s="36">
        <v>84.603966</v>
      </c>
      <c r="M22" s="36">
        <v>82.535820000000001</v>
      </c>
      <c r="N22" s="36">
        <v>80.982376000000002</v>
      </c>
      <c r="O22" s="36">
        <v>79.718231000000003</v>
      </c>
      <c r="P22" s="36">
        <v>78.730536999999998</v>
      </c>
      <c r="Q22" s="36">
        <v>78.047920000000005</v>
      </c>
      <c r="R22" s="36">
        <v>77.602385999999996</v>
      </c>
      <c r="S22" s="36">
        <v>77.033607000000003</v>
      </c>
      <c r="T22" s="36">
        <v>77.683043999999995</v>
      </c>
      <c r="U22" s="36">
        <v>77.750572000000005</v>
      </c>
      <c r="V22" s="36">
        <v>77.636039999999994</v>
      </c>
      <c r="W22" s="36">
        <v>77.933707999999996</v>
      </c>
      <c r="X22" s="36">
        <v>77.581123000000005</v>
      </c>
      <c r="Y22" s="36">
        <v>77.575951000000003</v>
      </c>
      <c r="Z22" s="36">
        <v>77.691817999999998</v>
      </c>
      <c r="AA22" s="36">
        <v>78.182845999999998</v>
      </c>
      <c r="AB22" s="36">
        <v>78.291801000000007</v>
      </c>
      <c r="AC22" s="36">
        <v>78.017280999999997</v>
      </c>
      <c r="AD22" s="36">
        <v>78.026993000000004</v>
      </c>
      <c r="AE22" s="36">
        <v>78.050781000000001</v>
      </c>
      <c r="AF22" s="35">
        <v>-1.0246999999999999E-2</v>
      </c>
      <c r="AG22" s="29"/>
    </row>
    <row r="23" spans="1:33" ht="15" customHeight="1">
      <c r="A23" s="34" t="s">
        <v>3053</v>
      </c>
      <c r="B23" s="37" t="s">
        <v>2898</v>
      </c>
      <c r="C23" s="36">
        <v>0</v>
      </c>
      <c r="D23" s="36">
        <v>0</v>
      </c>
      <c r="E23" s="36">
        <v>0</v>
      </c>
      <c r="F23" s="36">
        <v>0</v>
      </c>
      <c r="G23" s="36">
        <v>0</v>
      </c>
      <c r="H23" s="36">
        <v>0</v>
      </c>
      <c r="I23" s="36">
        <v>0</v>
      </c>
      <c r="J23" s="36">
        <v>0</v>
      </c>
      <c r="K23" s="36">
        <v>0</v>
      </c>
      <c r="L23" s="36">
        <v>0</v>
      </c>
      <c r="M23" s="36">
        <v>0</v>
      </c>
      <c r="N23" s="36">
        <v>0</v>
      </c>
      <c r="O23" s="36">
        <v>0</v>
      </c>
      <c r="P23" s="36">
        <v>0</v>
      </c>
      <c r="Q23" s="36">
        <v>0</v>
      </c>
      <c r="R23" s="36">
        <v>0</v>
      </c>
      <c r="S23" s="36">
        <v>0</v>
      </c>
      <c r="T23" s="36">
        <v>0</v>
      </c>
      <c r="U23" s="36">
        <v>0</v>
      </c>
      <c r="V23" s="36">
        <v>0</v>
      </c>
      <c r="W23" s="36">
        <v>0</v>
      </c>
      <c r="X23" s="36">
        <v>0</v>
      </c>
      <c r="Y23" s="36">
        <v>0</v>
      </c>
      <c r="Z23" s="36">
        <v>0</v>
      </c>
      <c r="AA23" s="36">
        <v>0</v>
      </c>
      <c r="AB23" s="36">
        <v>0</v>
      </c>
      <c r="AC23" s="36">
        <v>0</v>
      </c>
      <c r="AD23" s="36">
        <v>0</v>
      </c>
      <c r="AE23" s="36">
        <v>0</v>
      </c>
      <c r="AF23" s="35" t="s">
        <v>1278</v>
      </c>
      <c r="AG23" s="29"/>
    </row>
    <row r="24" spans="1:33" ht="15" customHeight="1">
      <c r="A24" s="34" t="s">
        <v>3054</v>
      </c>
      <c r="B24" s="37" t="s">
        <v>2796</v>
      </c>
      <c r="C24" s="36">
        <v>51.022025999999997</v>
      </c>
      <c r="D24" s="36">
        <v>44.848545000000001</v>
      </c>
      <c r="E24" s="36">
        <v>43.341197999999999</v>
      </c>
      <c r="F24" s="36">
        <v>42.911842</v>
      </c>
      <c r="G24" s="36">
        <v>43.394942999999998</v>
      </c>
      <c r="H24" s="36">
        <v>43.543540999999998</v>
      </c>
      <c r="I24" s="36">
        <v>43.604778000000003</v>
      </c>
      <c r="J24" s="36">
        <v>43.575175999999999</v>
      </c>
      <c r="K24" s="36">
        <v>43.366973999999999</v>
      </c>
      <c r="L24" s="36">
        <v>43.216763</v>
      </c>
      <c r="M24" s="36">
        <v>43.139434999999999</v>
      </c>
      <c r="N24" s="36">
        <v>43.079971</v>
      </c>
      <c r="O24" s="36">
        <v>43.219352999999998</v>
      </c>
      <c r="P24" s="36">
        <v>43.569015999999998</v>
      </c>
      <c r="Q24" s="36">
        <v>43.450080999999997</v>
      </c>
      <c r="R24" s="36">
        <v>43.464737</v>
      </c>
      <c r="S24" s="36">
        <v>43.507511000000001</v>
      </c>
      <c r="T24" s="36">
        <v>43.677757</v>
      </c>
      <c r="U24" s="36">
        <v>44.002913999999997</v>
      </c>
      <c r="V24" s="36">
        <v>44.119888000000003</v>
      </c>
      <c r="W24" s="36">
        <v>44.353081000000003</v>
      </c>
      <c r="X24" s="36">
        <v>44.198005999999999</v>
      </c>
      <c r="Y24" s="36">
        <v>44.210048999999998</v>
      </c>
      <c r="Z24" s="36">
        <v>44.397880999999998</v>
      </c>
      <c r="AA24" s="36">
        <v>44.787787999999999</v>
      </c>
      <c r="AB24" s="36">
        <v>44.936363</v>
      </c>
      <c r="AC24" s="36">
        <v>44.839652999999998</v>
      </c>
      <c r="AD24" s="36">
        <v>44.918320000000001</v>
      </c>
      <c r="AE24" s="36">
        <v>45.116104</v>
      </c>
      <c r="AF24" s="35">
        <v>-4.3839999999999999E-3</v>
      </c>
      <c r="AG24" s="29"/>
    </row>
    <row r="25" spans="1:33" ht="15" customHeight="1">
      <c r="A25" s="34" t="s">
        <v>3055</v>
      </c>
      <c r="B25" s="33" t="s">
        <v>2798</v>
      </c>
      <c r="C25" s="32">
        <v>155.16293300000001</v>
      </c>
      <c r="D25" s="32">
        <v>139.29312100000001</v>
      </c>
      <c r="E25" s="32">
        <v>138.156555</v>
      </c>
      <c r="F25" s="32">
        <v>136.23332199999999</v>
      </c>
      <c r="G25" s="32">
        <v>136.87387100000001</v>
      </c>
      <c r="H25" s="32">
        <v>135.85786400000001</v>
      </c>
      <c r="I25" s="32">
        <v>134.32382200000001</v>
      </c>
      <c r="J25" s="32">
        <v>132.490936</v>
      </c>
      <c r="K25" s="32">
        <v>130.160965</v>
      </c>
      <c r="L25" s="32">
        <v>127.820724</v>
      </c>
      <c r="M25" s="32">
        <v>125.67525500000001</v>
      </c>
      <c r="N25" s="32">
        <v>124.062347</v>
      </c>
      <c r="O25" s="32">
        <v>122.937584</v>
      </c>
      <c r="P25" s="32">
        <v>122.299553</v>
      </c>
      <c r="Q25" s="32">
        <v>121.498001</v>
      </c>
      <c r="R25" s="32">
        <v>121.067123</v>
      </c>
      <c r="S25" s="32">
        <v>120.541122</v>
      </c>
      <c r="T25" s="32">
        <v>121.36080200000001</v>
      </c>
      <c r="U25" s="32">
        <v>121.75348700000001</v>
      </c>
      <c r="V25" s="32">
        <v>121.755928</v>
      </c>
      <c r="W25" s="32">
        <v>122.286789</v>
      </c>
      <c r="X25" s="32">
        <v>121.779129</v>
      </c>
      <c r="Y25" s="32">
        <v>121.785995</v>
      </c>
      <c r="Z25" s="32">
        <v>122.089699</v>
      </c>
      <c r="AA25" s="32">
        <v>122.970634</v>
      </c>
      <c r="AB25" s="32">
        <v>123.228165</v>
      </c>
      <c r="AC25" s="32">
        <v>122.856934</v>
      </c>
      <c r="AD25" s="32">
        <v>122.945312</v>
      </c>
      <c r="AE25" s="32">
        <v>123.16688499999999</v>
      </c>
      <c r="AF25" s="31">
        <v>-8.2140000000000008E-3</v>
      </c>
      <c r="AG25" s="29"/>
    </row>
    <row r="26" spans="1:33" ht="15" customHeight="1">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row>
    <row r="27" spans="1:33" ht="15" customHeight="1">
      <c r="B27" s="33" t="s">
        <v>2903</v>
      </c>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row>
    <row r="28" spans="1:33" ht="15" customHeight="1">
      <c r="B28" s="33" t="s">
        <v>2904</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row>
    <row r="29" spans="1:33" ht="15" customHeight="1">
      <c r="A29" s="34" t="s">
        <v>3056</v>
      </c>
      <c r="B29" s="37" t="s">
        <v>2770</v>
      </c>
      <c r="C29" s="38">
        <v>0</v>
      </c>
      <c r="D29" s="38">
        <v>0</v>
      </c>
      <c r="E29" s="38">
        <v>0</v>
      </c>
      <c r="F29" s="38">
        <v>0</v>
      </c>
      <c r="G29" s="38">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5" t="s">
        <v>1278</v>
      </c>
      <c r="AG29" s="29"/>
    </row>
    <row r="30" spans="1:33" ht="15" customHeight="1">
      <c r="A30" s="34" t="s">
        <v>3057</v>
      </c>
      <c r="B30" s="37" t="s">
        <v>2772</v>
      </c>
      <c r="C30" s="38">
        <v>0</v>
      </c>
      <c r="D30" s="38">
        <v>0</v>
      </c>
      <c r="E30" s="38">
        <v>0</v>
      </c>
      <c r="F30" s="38">
        <v>0</v>
      </c>
      <c r="G30" s="38">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5" t="s">
        <v>1278</v>
      </c>
      <c r="AG30" s="29"/>
    </row>
    <row r="31" spans="1:33" ht="15" customHeight="1">
      <c r="A31" s="34" t="s">
        <v>3058</v>
      </c>
      <c r="B31" s="37" t="s">
        <v>2892</v>
      </c>
      <c r="C31" s="38">
        <v>0</v>
      </c>
      <c r="D31" s="38">
        <v>0</v>
      </c>
      <c r="E31" s="38">
        <v>0</v>
      </c>
      <c r="F31" s="38">
        <v>0</v>
      </c>
      <c r="G31" s="38">
        <v>0</v>
      </c>
      <c r="H31" s="38">
        <v>0</v>
      </c>
      <c r="I31" s="38">
        <v>0</v>
      </c>
      <c r="J31" s="38">
        <v>0</v>
      </c>
      <c r="K31" s="38">
        <v>0</v>
      </c>
      <c r="L31" s="38">
        <v>0</v>
      </c>
      <c r="M31" s="38">
        <v>0</v>
      </c>
      <c r="N31" s="38">
        <v>0</v>
      </c>
      <c r="O31" s="38">
        <v>0</v>
      </c>
      <c r="P31" s="38">
        <v>0</v>
      </c>
      <c r="Q31" s="38">
        <v>0</v>
      </c>
      <c r="R31" s="38">
        <v>0</v>
      </c>
      <c r="S31" s="38">
        <v>0</v>
      </c>
      <c r="T31" s="38">
        <v>0</v>
      </c>
      <c r="U31" s="38">
        <v>0</v>
      </c>
      <c r="V31" s="38">
        <v>0</v>
      </c>
      <c r="W31" s="38">
        <v>0</v>
      </c>
      <c r="X31" s="38">
        <v>0</v>
      </c>
      <c r="Y31" s="38">
        <v>0</v>
      </c>
      <c r="Z31" s="38">
        <v>0</v>
      </c>
      <c r="AA31" s="38">
        <v>0</v>
      </c>
      <c r="AB31" s="38">
        <v>0</v>
      </c>
      <c r="AC31" s="38">
        <v>0</v>
      </c>
      <c r="AD31" s="38">
        <v>0</v>
      </c>
      <c r="AE31" s="38">
        <v>0</v>
      </c>
      <c r="AF31" s="35" t="s">
        <v>1278</v>
      </c>
      <c r="AG31" s="29"/>
    </row>
    <row r="32" spans="1:33" ht="15" customHeight="1">
      <c r="A32" s="34" t="s">
        <v>3059</v>
      </c>
      <c r="B32" s="37" t="s">
        <v>2782</v>
      </c>
      <c r="C32" s="38">
        <v>0</v>
      </c>
      <c r="D32" s="38">
        <v>0</v>
      </c>
      <c r="E32" s="38">
        <v>0</v>
      </c>
      <c r="F32" s="38">
        <v>0</v>
      </c>
      <c r="G32" s="38">
        <v>0</v>
      </c>
      <c r="H32" s="38">
        <v>0</v>
      </c>
      <c r="I32" s="38">
        <v>0</v>
      </c>
      <c r="J32" s="38">
        <v>0</v>
      </c>
      <c r="K32" s="38">
        <v>0</v>
      </c>
      <c r="L32" s="38">
        <v>0</v>
      </c>
      <c r="M32" s="38">
        <v>0</v>
      </c>
      <c r="N32" s="38">
        <v>0</v>
      </c>
      <c r="O32" s="38">
        <v>0</v>
      </c>
      <c r="P32" s="38">
        <v>0</v>
      </c>
      <c r="Q32" s="38">
        <v>0</v>
      </c>
      <c r="R32" s="38">
        <v>0</v>
      </c>
      <c r="S32" s="38">
        <v>0</v>
      </c>
      <c r="T32" s="38">
        <v>0</v>
      </c>
      <c r="U32" s="38">
        <v>0</v>
      </c>
      <c r="V32" s="38">
        <v>0</v>
      </c>
      <c r="W32" s="38">
        <v>0</v>
      </c>
      <c r="X32" s="38">
        <v>0</v>
      </c>
      <c r="Y32" s="38">
        <v>0</v>
      </c>
      <c r="Z32" s="38">
        <v>0</v>
      </c>
      <c r="AA32" s="38">
        <v>0</v>
      </c>
      <c r="AB32" s="38">
        <v>0</v>
      </c>
      <c r="AC32" s="38">
        <v>0</v>
      </c>
      <c r="AD32" s="38">
        <v>0</v>
      </c>
      <c r="AE32" s="38">
        <v>0</v>
      </c>
      <c r="AF32" s="35" t="s">
        <v>1278</v>
      </c>
      <c r="AG32" s="29"/>
    </row>
    <row r="33" spans="1:33" ht="15" customHeight="1">
      <c r="A33" s="34" t="s">
        <v>3060</v>
      </c>
      <c r="B33" s="37" t="s">
        <v>2784</v>
      </c>
      <c r="C33" s="38">
        <v>4.369205</v>
      </c>
      <c r="D33" s="38">
        <v>4.2103299999999999</v>
      </c>
      <c r="E33" s="38">
        <v>4.300014</v>
      </c>
      <c r="F33" s="38">
        <v>4.2308219999999999</v>
      </c>
      <c r="G33" s="38">
        <v>4.1214589999999998</v>
      </c>
      <c r="H33" s="38">
        <v>4.0083390000000003</v>
      </c>
      <c r="I33" s="38">
        <v>3.8932129999999998</v>
      </c>
      <c r="J33" s="38">
        <v>3.7815889999999999</v>
      </c>
      <c r="K33" s="38">
        <v>3.67239</v>
      </c>
      <c r="L33" s="38">
        <v>3.554551</v>
      </c>
      <c r="M33" s="38">
        <v>3.4384739999999998</v>
      </c>
      <c r="N33" s="38">
        <v>3.3360400000000001</v>
      </c>
      <c r="O33" s="38">
        <v>3.2451219999999998</v>
      </c>
      <c r="P33" s="38">
        <v>3.160822</v>
      </c>
      <c r="Q33" s="38">
        <v>3.112006</v>
      </c>
      <c r="R33" s="38">
        <v>3.065312</v>
      </c>
      <c r="S33" s="38">
        <v>3.0150079999999999</v>
      </c>
      <c r="T33" s="38">
        <v>2.9914839999999998</v>
      </c>
      <c r="U33" s="38">
        <v>2.9470649999999998</v>
      </c>
      <c r="V33" s="38">
        <v>2.9103460000000001</v>
      </c>
      <c r="W33" s="38">
        <v>2.8815659999999998</v>
      </c>
      <c r="X33" s="38">
        <v>2.8540939999999999</v>
      </c>
      <c r="Y33" s="38">
        <v>2.8303560000000001</v>
      </c>
      <c r="Z33" s="38">
        <v>2.8061600000000002</v>
      </c>
      <c r="AA33" s="38">
        <v>2.7826780000000002</v>
      </c>
      <c r="AB33" s="38">
        <v>2.7625440000000001</v>
      </c>
      <c r="AC33" s="38">
        <v>2.7451240000000001</v>
      </c>
      <c r="AD33" s="38">
        <v>2.7267640000000002</v>
      </c>
      <c r="AE33" s="38">
        <v>2.7008719999999999</v>
      </c>
      <c r="AF33" s="35">
        <v>-1.7031999999999999E-2</v>
      </c>
      <c r="AG33" s="29"/>
    </row>
    <row r="34" spans="1:33" ht="12" customHeight="1">
      <c r="A34" s="34" t="s">
        <v>3061</v>
      </c>
      <c r="B34" s="37" t="s">
        <v>2898</v>
      </c>
      <c r="C34" s="38">
        <v>0</v>
      </c>
      <c r="D34" s="38">
        <v>0</v>
      </c>
      <c r="E34" s="38">
        <v>0</v>
      </c>
      <c r="F34" s="38">
        <v>0</v>
      </c>
      <c r="G34" s="38">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5" t="s">
        <v>1278</v>
      </c>
      <c r="AG34" s="29"/>
    </row>
    <row r="35" spans="1:33" ht="12" customHeight="1">
      <c r="A35" s="34" t="s">
        <v>3062</v>
      </c>
      <c r="B35" s="37" t="s">
        <v>2796</v>
      </c>
      <c r="C35" s="38">
        <v>2.1406160000000001</v>
      </c>
      <c r="D35" s="38">
        <v>1.999344</v>
      </c>
      <c r="E35" s="38">
        <v>1.965587</v>
      </c>
      <c r="F35" s="38">
        <v>1.945451</v>
      </c>
      <c r="G35" s="38">
        <v>1.91327</v>
      </c>
      <c r="H35" s="38">
        <v>1.890684</v>
      </c>
      <c r="I35" s="38">
        <v>1.8713010000000001</v>
      </c>
      <c r="J35" s="38">
        <v>1.853253</v>
      </c>
      <c r="K35" s="38">
        <v>1.8349249999999999</v>
      </c>
      <c r="L35" s="38">
        <v>1.815709</v>
      </c>
      <c r="M35" s="38">
        <v>1.7972049999999999</v>
      </c>
      <c r="N35" s="38">
        <v>1.774664</v>
      </c>
      <c r="O35" s="38">
        <v>1.7593479999999999</v>
      </c>
      <c r="P35" s="38">
        <v>1.74918</v>
      </c>
      <c r="Q35" s="38">
        <v>1.732486</v>
      </c>
      <c r="R35" s="38">
        <v>1.7168669999999999</v>
      </c>
      <c r="S35" s="38">
        <v>1.7028350000000001</v>
      </c>
      <c r="T35" s="38">
        <v>1.68198</v>
      </c>
      <c r="U35" s="38">
        <v>1.6678900000000001</v>
      </c>
      <c r="V35" s="38">
        <v>1.6539250000000001</v>
      </c>
      <c r="W35" s="38">
        <v>1.6399360000000001</v>
      </c>
      <c r="X35" s="38">
        <v>1.6259790000000001</v>
      </c>
      <c r="Y35" s="38">
        <v>1.613002</v>
      </c>
      <c r="Z35" s="38">
        <v>1.603613</v>
      </c>
      <c r="AA35" s="38">
        <v>1.5940840000000001</v>
      </c>
      <c r="AB35" s="38">
        <v>1.5855900000000001</v>
      </c>
      <c r="AC35" s="38">
        <v>1.5777330000000001</v>
      </c>
      <c r="AD35" s="38">
        <v>1.5697350000000001</v>
      </c>
      <c r="AE35" s="38">
        <v>1.561199</v>
      </c>
      <c r="AF35" s="35">
        <v>-1.1209999999999999E-2</v>
      </c>
      <c r="AG35" s="29"/>
    </row>
    <row r="36" spans="1:33" ht="12" customHeight="1">
      <c r="A36" s="34" t="s">
        <v>3063</v>
      </c>
      <c r="B36" s="33" t="s">
        <v>2798</v>
      </c>
      <c r="C36" s="39">
        <v>6.5098209999999996</v>
      </c>
      <c r="D36" s="39">
        <v>6.2096730000000004</v>
      </c>
      <c r="E36" s="39">
        <v>6.2656010000000002</v>
      </c>
      <c r="F36" s="39">
        <v>6.1762730000000001</v>
      </c>
      <c r="G36" s="39">
        <v>6.0347289999999996</v>
      </c>
      <c r="H36" s="39">
        <v>5.8990239999999998</v>
      </c>
      <c r="I36" s="39">
        <v>5.7645140000000001</v>
      </c>
      <c r="J36" s="39">
        <v>5.6348419999999999</v>
      </c>
      <c r="K36" s="39">
        <v>5.507314</v>
      </c>
      <c r="L36" s="39">
        <v>5.3702589999999999</v>
      </c>
      <c r="M36" s="39">
        <v>5.2356800000000003</v>
      </c>
      <c r="N36" s="39">
        <v>5.110703</v>
      </c>
      <c r="O36" s="39">
        <v>5.0044700000000004</v>
      </c>
      <c r="P36" s="39">
        <v>4.9100029999999997</v>
      </c>
      <c r="Q36" s="39">
        <v>4.8444919999999998</v>
      </c>
      <c r="R36" s="39">
        <v>4.7821800000000003</v>
      </c>
      <c r="S36" s="39">
        <v>4.7178430000000002</v>
      </c>
      <c r="T36" s="39">
        <v>4.6734640000000001</v>
      </c>
      <c r="U36" s="39">
        <v>4.6149550000000001</v>
      </c>
      <c r="V36" s="39">
        <v>4.5642709999999997</v>
      </c>
      <c r="W36" s="39">
        <v>4.5215019999999999</v>
      </c>
      <c r="X36" s="39">
        <v>4.480073</v>
      </c>
      <c r="Y36" s="39">
        <v>4.4433569999999998</v>
      </c>
      <c r="Z36" s="39">
        <v>4.4097730000000004</v>
      </c>
      <c r="AA36" s="39">
        <v>4.3767620000000003</v>
      </c>
      <c r="AB36" s="39">
        <v>4.3481350000000001</v>
      </c>
      <c r="AC36" s="39">
        <v>4.3228569999999999</v>
      </c>
      <c r="AD36" s="39">
        <v>4.2964989999999998</v>
      </c>
      <c r="AE36" s="39">
        <v>4.2620709999999997</v>
      </c>
      <c r="AF36" s="31">
        <v>-1.5013E-2</v>
      </c>
      <c r="AG36" s="29"/>
    </row>
    <row r="37" spans="1:33" ht="12" customHeight="1">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row>
    <row r="38" spans="1:33" ht="12" customHeight="1">
      <c r="B38" s="33" t="s">
        <v>3064</v>
      </c>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row>
    <row r="39" spans="1:33" ht="12" customHeight="1">
      <c r="A39" s="34" t="s">
        <v>3065</v>
      </c>
      <c r="B39" s="33" t="s">
        <v>2801</v>
      </c>
      <c r="C39" s="40">
        <v>11.4559</v>
      </c>
      <c r="D39" s="40">
        <v>9.8998849999999994</v>
      </c>
      <c r="E39" s="40">
        <v>9.6952700000000007</v>
      </c>
      <c r="F39" s="40">
        <v>9.2166359999999994</v>
      </c>
      <c r="G39" s="40">
        <v>8.7763720000000003</v>
      </c>
      <c r="H39" s="40">
        <v>8.261806</v>
      </c>
      <c r="I39" s="40">
        <v>7.7759929999999997</v>
      </c>
      <c r="J39" s="40">
        <v>7.3864770000000002</v>
      </c>
      <c r="K39" s="40">
        <v>7.0476200000000002</v>
      </c>
      <c r="L39" s="40">
        <v>6.8279129999999997</v>
      </c>
      <c r="M39" s="40">
        <v>6.6485139999999996</v>
      </c>
      <c r="N39" s="40">
        <v>6.553668</v>
      </c>
      <c r="O39" s="40">
        <v>6.441433</v>
      </c>
      <c r="P39" s="40">
        <v>6.3846550000000004</v>
      </c>
      <c r="Q39" s="40">
        <v>6.3239609999999997</v>
      </c>
      <c r="R39" s="40">
        <v>6.2699540000000002</v>
      </c>
      <c r="S39" s="40">
        <v>6.2019399999999996</v>
      </c>
      <c r="T39" s="40">
        <v>6.2208319999999997</v>
      </c>
      <c r="U39" s="40">
        <v>6.2263570000000001</v>
      </c>
      <c r="V39" s="40">
        <v>6.2294020000000003</v>
      </c>
      <c r="W39" s="40">
        <v>6.2543569999999997</v>
      </c>
      <c r="X39" s="40">
        <v>6.2067509999999997</v>
      </c>
      <c r="Y39" s="40">
        <v>6.1647829999999999</v>
      </c>
      <c r="Z39" s="40">
        <v>6.143993</v>
      </c>
      <c r="AA39" s="40">
        <v>6.1407049999999996</v>
      </c>
      <c r="AB39" s="40">
        <v>6.1297699999999997</v>
      </c>
      <c r="AC39" s="40">
        <v>6.0800419999999997</v>
      </c>
      <c r="AD39" s="40">
        <v>6.0635469999999998</v>
      </c>
      <c r="AE39" s="40">
        <v>6.0369549999999998</v>
      </c>
      <c r="AF39" s="31">
        <v>-2.2619E-2</v>
      </c>
      <c r="AG39" s="29"/>
    </row>
    <row r="40" spans="1:33" ht="12" customHeight="1">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row>
    <row r="41" spans="1:33" ht="12" customHeight="1">
      <c r="B41" s="33" t="s">
        <v>3066</v>
      </c>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row>
    <row r="42" spans="1:33" ht="12" customHeight="1">
      <c r="B42" s="33" t="s">
        <v>3067</v>
      </c>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row>
    <row r="43" spans="1:33" ht="12" customHeight="1">
      <c r="A43" s="34" t="s">
        <v>3068</v>
      </c>
      <c r="B43" s="37" t="s">
        <v>2551</v>
      </c>
      <c r="C43" s="38">
        <v>0</v>
      </c>
      <c r="D43" s="38">
        <v>0</v>
      </c>
      <c r="E43" s="38">
        <v>0</v>
      </c>
      <c r="F43" s="38">
        <v>0</v>
      </c>
      <c r="G43" s="38">
        <v>0</v>
      </c>
      <c r="H43" s="38">
        <v>0</v>
      </c>
      <c r="I43" s="38">
        <v>0</v>
      </c>
      <c r="J43" s="38">
        <v>0</v>
      </c>
      <c r="K43" s="38">
        <v>0</v>
      </c>
      <c r="L43" s="38">
        <v>0</v>
      </c>
      <c r="M43" s="38">
        <v>0</v>
      </c>
      <c r="N43" s="38">
        <v>0</v>
      </c>
      <c r="O43" s="38">
        <v>0</v>
      </c>
      <c r="P43" s="38">
        <v>0</v>
      </c>
      <c r="Q43" s="38">
        <v>0</v>
      </c>
      <c r="R43" s="38">
        <v>0</v>
      </c>
      <c r="S43" s="38">
        <v>0</v>
      </c>
      <c r="T43" s="38">
        <v>0</v>
      </c>
      <c r="U43" s="38">
        <v>0</v>
      </c>
      <c r="V43" s="38">
        <v>0</v>
      </c>
      <c r="W43" s="38">
        <v>0</v>
      </c>
      <c r="X43" s="38">
        <v>0</v>
      </c>
      <c r="Y43" s="38">
        <v>0</v>
      </c>
      <c r="Z43" s="38">
        <v>0</v>
      </c>
      <c r="AA43" s="38">
        <v>0</v>
      </c>
      <c r="AB43" s="38">
        <v>0</v>
      </c>
      <c r="AC43" s="38">
        <v>0</v>
      </c>
      <c r="AD43" s="38">
        <v>0</v>
      </c>
      <c r="AE43" s="38">
        <v>0</v>
      </c>
      <c r="AF43" s="35" t="s">
        <v>1278</v>
      </c>
      <c r="AG43" s="29"/>
    </row>
    <row r="44" spans="1:33" ht="12" customHeight="1">
      <c r="A44" s="34" t="s">
        <v>3069</v>
      </c>
      <c r="B44" s="37" t="s">
        <v>2553</v>
      </c>
      <c r="C44" s="38">
        <v>0</v>
      </c>
      <c r="D44" s="38">
        <v>0</v>
      </c>
      <c r="E44" s="38">
        <v>0</v>
      </c>
      <c r="F44" s="38">
        <v>0</v>
      </c>
      <c r="G44" s="38">
        <v>0</v>
      </c>
      <c r="H44" s="38">
        <v>0</v>
      </c>
      <c r="I44" s="38">
        <v>0</v>
      </c>
      <c r="J44" s="38">
        <v>0</v>
      </c>
      <c r="K44" s="38">
        <v>0</v>
      </c>
      <c r="L44" s="38">
        <v>0</v>
      </c>
      <c r="M44" s="38">
        <v>0</v>
      </c>
      <c r="N44" s="38">
        <v>0</v>
      </c>
      <c r="O44" s="38">
        <v>0</v>
      </c>
      <c r="P44" s="38">
        <v>0</v>
      </c>
      <c r="Q44" s="38">
        <v>0</v>
      </c>
      <c r="R44" s="38">
        <v>0</v>
      </c>
      <c r="S44" s="38">
        <v>0</v>
      </c>
      <c r="T44" s="38">
        <v>0</v>
      </c>
      <c r="U44" s="38">
        <v>0</v>
      </c>
      <c r="V44" s="38">
        <v>0</v>
      </c>
      <c r="W44" s="38">
        <v>0</v>
      </c>
      <c r="X44" s="38">
        <v>0</v>
      </c>
      <c r="Y44" s="38">
        <v>0</v>
      </c>
      <c r="Z44" s="38">
        <v>0</v>
      </c>
      <c r="AA44" s="38">
        <v>0</v>
      </c>
      <c r="AB44" s="38">
        <v>0</v>
      </c>
      <c r="AC44" s="38">
        <v>0</v>
      </c>
      <c r="AD44" s="38">
        <v>0</v>
      </c>
      <c r="AE44" s="38">
        <v>0</v>
      </c>
      <c r="AF44" s="35" t="s">
        <v>1278</v>
      </c>
      <c r="AG44" s="29"/>
    </row>
    <row r="45" spans="1:33" ht="12" customHeight="1">
      <c r="A45" s="34" t="s">
        <v>3070</v>
      </c>
      <c r="B45" s="37" t="s">
        <v>2500</v>
      </c>
      <c r="C45" s="38">
        <v>0</v>
      </c>
      <c r="D45" s="38">
        <v>0</v>
      </c>
      <c r="E45" s="38">
        <v>0</v>
      </c>
      <c r="F45" s="38">
        <v>0</v>
      </c>
      <c r="G45" s="38">
        <v>0</v>
      </c>
      <c r="H45" s="38">
        <v>0</v>
      </c>
      <c r="I45" s="38">
        <v>0</v>
      </c>
      <c r="J45" s="38">
        <v>0</v>
      </c>
      <c r="K45" s="38">
        <v>0</v>
      </c>
      <c r="L45" s="38">
        <v>0</v>
      </c>
      <c r="M45" s="38">
        <v>0</v>
      </c>
      <c r="N45" s="38">
        <v>0</v>
      </c>
      <c r="O45" s="38">
        <v>0</v>
      </c>
      <c r="P45" s="38">
        <v>0</v>
      </c>
      <c r="Q45" s="38">
        <v>0</v>
      </c>
      <c r="R45" s="38">
        <v>0</v>
      </c>
      <c r="S45" s="38">
        <v>0</v>
      </c>
      <c r="T45" s="38">
        <v>0</v>
      </c>
      <c r="U45" s="38">
        <v>0</v>
      </c>
      <c r="V45" s="38">
        <v>0</v>
      </c>
      <c r="W45" s="38">
        <v>0</v>
      </c>
      <c r="X45" s="38">
        <v>0</v>
      </c>
      <c r="Y45" s="38">
        <v>0</v>
      </c>
      <c r="Z45" s="38">
        <v>0</v>
      </c>
      <c r="AA45" s="38">
        <v>0</v>
      </c>
      <c r="AB45" s="38">
        <v>0</v>
      </c>
      <c r="AC45" s="38">
        <v>0</v>
      </c>
      <c r="AD45" s="38">
        <v>0</v>
      </c>
      <c r="AE45" s="38">
        <v>0</v>
      </c>
      <c r="AF45" s="35" t="s">
        <v>1278</v>
      </c>
      <c r="AG45" s="29"/>
    </row>
    <row r="46" spans="1:33" ht="12" customHeight="1">
      <c r="A46" s="34" t="s">
        <v>3071</v>
      </c>
      <c r="B46" s="37" t="s">
        <v>3072</v>
      </c>
      <c r="C46" s="38">
        <v>0</v>
      </c>
      <c r="D46" s="38">
        <v>0</v>
      </c>
      <c r="E46" s="38">
        <v>0</v>
      </c>
      <c r="F46" s="38">
        <v>0</v>
      </c>
      <c r="G46" s="38">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5" t="s">
        <v>1278</v>
      </c>
      <c r="AG46" s="29"/>
    </row>
    <row r="47" spans="1:33" ht="12" customHeight="1">
      <c r="A47" s="34" t="s">
        <v>3073</v>
      </c>
      <c r="B47" s="33" t="s">
        <v>2497</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1" t="s">
        <v>1278</v>
      </c>
      <c r="AG47" s="29"/>
    </row>
    <row r="48" spans="1:33" ht="12" customHeight="1">
      <c r="B48" s="33" t="s">
        <v>2848</v>
      </c>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row>
    <row r="49" spans="1:34" ht="12" customHeight="1">
      <c r="A49" s="34" t="s">
        <v>3074</v>
      </c>
      <c r="B49" s="37" t="s">
        <v>2551</v>
      </c>
      <c r="C49" s="38">
        <v>0</v>
      </c>
      <c r="D49" s="38">
        <v>0</v>
      </c>
      <c r="E49" s="38">
        <v>0</v>
      </c>
      <c r="F49" s="38">
        <v>0</v>
      </c>
      <c r="G49" s="38">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5" t="s">
        <v>1278</v>
      </c>
      <c r="AG49" s="29"/>
    </row>
    <row r="50" spans="1:34" ht="15" customHeight="1">
      <c r="A50" s="34" t="s">
        <v>3075</v>
      </c>
      <c r="B50" s="37" t="s">
        <v>2553</v>
      </c>
      <c r="C50" s="38">
        <v>0</v>
      </c>
      <c r="D50" s="38">
        <v>0</v>
      </c>
      <c r="E50" s="38">
        <v>0</v>
      </c>
      <c r="F50" s="38">
        <v>0</v>
      </c>
      <c r="G50" s="38">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5" t="s">
        <v>1278</v>
      </c>
      <c r="AG50" s="29"/>
    </row>
    <row r="51" spans="1:34" ht="15" customHeight="1">
      <c r="A51" s="34" t="s">
        <v>3076</v>
      </c>
      <c r="B51" s="37" t="s">
        <v>2500</v>
      </c>
      <c r="C51" s="38">
        <v>0</v>
      </c>
      <c r="D51" s="38">
        <v>0</v>
      </c>
      <c r="E51" s="38">
        <v>0</v>
      </c>
      <c r="F51" s="38">
        <v>0</v>
      </c>
      <c r="G51" s="38">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5" t="s">
        <v>1278</v>
      </c>
      <c r="AG51" s="29"/>
    </row>
    <row r="52" spans="1:34" ht="15" customHeight="1">
      <c r="A52" s="34" t="s">
        <v>3077</v>
      </c>
      <c r="B52" s="37" t="s">
        <v>3072</v>
      </c>
      <c r="C52" s="38">
        <v>0</v>
      </c>
      <c r="D52" s="38">
        <v>0</v>
      </c>
      <c r="E52" s="38">
        <v>0</v>
      </c>
      <c r="F52" s="38">
        <v>0</v>
      </c>
      <c r="G52" s="38">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5" t="s">
        <v>1278</v>
      </c>
      <c r="AG52" s="29"/>
    </row>
    <row r="53" spans="1:34" ht="15" customHeight="1">
      <c r="A53" s="34" t="s">
        <v>3078</v>
      </c>
      <c r="B53" s="33" t="s">
        <v>2497</v>
      </c>
      <c r="C53" s="39">
        <v>0</v>
      </c>
      <c r="D53" s="39">
        <v>0</v>
      </c>
      <c r="E53" s="39">
        <v>0</v>
      </c>
      <c r="F53" s="39">
        <v>0</v>
      </c>
      <c r="G53" s="39">
        <v>0</v>
      </c>
      <c r="H53" s="39">
        <v>0</v>
      </c>
      <c r="I53" s="39">
        <v>0</v>
      </c>
      <c r="J53" s="39">
        <v>0</v>
      </c>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1" t="s">
        <v>1278</v>
      </c>
      <c r="AG53" s="29"/>
    </row>
    <row r="54" spans="1:34" ht="15" customHeight="1">
      <c r="B54" s="33" t="s">
        <v>2854</v>
      </c>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row>
    <row r="55" spans="1:34" ht="15" customHeight="1">
      <c r="A55" s="34" t="s">
        <v>3079</v>
      </c>
      <c r="B55" s="37" t="s">
        <v>2856</v>
      </c>
      <c r="C55" s="38">
        <v>0</v>
      </c>
      <c r="D55" s="38">
        <v>0</v>
      </c>
      <c r="E55" s="38">
        <v>0</v>
      </c>
      <c r="F55" s="38">
        <v>0</v>
      </c>
      <c r="G55" s="38">
        <v>0</v>
      </c>
      <c r="H55" s="38">
        <v>0</v>
      </c>
      <c r="I55" s="38">
        <v>0</v>
      </c>
      <c r="J55" s="38">
        <v>0</v>
      </c>
      <c r="K55" s="38">
        <v>0</v>
      </c>
      <c r="L55" s="38">
        <v>0</v>
      </c>
      <c r="M55" s="38">
        <v>0</v>
      </c>
      <c r="N55" s="38">
        <v>0</v>
      </c>
      <c r="O55" s="38">
        <v>0</v>
      </c>
      <c r="P55" s="38">
        <v>0</v>
      </c>
      <c r="Q55" s="38">
        <v>0</v>
      </c>
      <c r="R55" s="38">
        <v>0</v>
      </c>
      <c r="S55" s="38">
        <v>0</v>
      </c>
      <c r="T55" s="38">
        <v>0</v>
      </c>
      <c r="U55" s="38">
        <v>0</v>
      </c>
      <c r="V55" s="38">
        <v>0</v>
      </c>
      <c r="W55" s="38">
        <v>0</v>
      </c>
      <c r="X55" s="38">
        <v>0</v>
      </c>
      <c r="Y55" s="38">
        <v>0</v>
      </c>
      <c r="Z55" s="38">
        <v>0</v>
      </c>
      <c r="AA55" s="38">
        <v>0</v>
      </c>
      <c r="AB55" s="38">
        <v>0</v>
      </c>
      <c r="AC55" s="38">
        <v>0</v>
      </c>
      <c r="AD55" s="38">
        <v>0</v>
      </c>
      <c r="AE55" s="38">
        <v>0</v>
      </c>
      <c r="AF55" s="35" t="s">
        <v>1278</v>
      </c>
      <c r="AG55" s="29"/>
    </row>
    <row r="56" spans="1:34" ht="15" customHeight="1" thickBot="1">
      <c r="A56" s="34" t="s">
        <v>3080</v>
      </c>
      <c r="B56" s="37" t="s">
        <v>2858</v>
      </c>
      <c r="C56" s="38">
        <v>0</v>
      </c>
      <c r="D56" s="38">
        <v>0</v>
      </c>
      <c r="E56" s="38">
        <v>0</v>
      </c>
      <c r="F56" s="38">
        <v>0</v>
      </c>
      <c r="G56" s="38">
        <v>0</v>
      </c>
      <c r="H56" s="38">
        <v>0</v>
      </c>
      <c r="I56" s="38">
        <v>0</v>
      </c>
      <c r="J56" s="38">
        <v>0</v>
      </c>
      <c r="K56" s="38">
        <v>0</v>
      </c>
      <c r="L56" s="38">
        <v>0</v>
      </c>
      <c r="M56" s="38">
        <v>0</v>
      </c>
      <c r="N56" s="38">
        <v>0</v>
      </c>
      <c r="O56" s="38">
        <v>0</v>
      </c>
      <c r="P56" s="38">
        <v>0</v>
      </c>
      <c r="Q56" s="38">
        <v>0</v>
      </c>
      <c r="R56" s="38">
        <v>0</v>
      </c>
      <c r="S56" s="38">
        <v>0</v>
      </c>
      <c r="T56" s="38">
        <v>0</v>
      </c>
      <c r="U56" s="38">
        <v>0</v>
      </c>
      <c r="V56" s="38">
        <v>0</v>
      </c>
      <c r="W56" s="38">
        <v>0</v>
      </c>
      <c r="X56" s="38">
        <v>0</v>
      </c>
      <c r="Y56" s="38">
        <v>0</v>
      </c>
      <c r="Z56" s="38">
        <v>0</v>
      </c>
      <c r="AA56" s="38">
        <v>0</v>
      </c>
      <c r="AB56" s="38">
        <v>0</v>
      </c>
      <c r="AC56" s="38">
        <v>0</v>
      </c>
      <c r="AD56" s="38">
        <v>0</v>
      </c>
      <c r="AE56" s="38">
        <v>0</v>
      </c>
      <c r="AF56" s="35" t="s">
        <v>1278</v>
      </c>
      <c r="AG56" s="29"/>
    </row>
    <row r="57" spans="1:34" ht="15" customHeight="1">
      <c r="B57" s="2179" t="s">
        <v>2932</v>
      </c>
      <c r="C57" s="2180"/>
      <c r="D57" s="2180"/>
      <c r="E57" s="2180"/>
      <c r="F57" s="2180"/>
      <c r="G57" s="2180"/>
      <c r="H57" s="2180"/>
      <c r="I57" s="2180"/>
      <c r="J57" s="2180"/>
      <c r="K57" s="2180"/>
      <c r="L57" s="2180"/>
      <c r="M57" s="2180"/>
      <c r="N57" s="2180"/>
      <c r="O57" s="2180"/>
      <c r="P57" s="2180"/>
      <c r="Q57" s="2180"/>
      <c r="R57" s="2180"/>
      <c r="S57" s="2180"/>
      <c r="T57" s="2180"/>
      <c r="U57" s="2180"/>
      <c r="V57" s="2180"/>
      <c r="W57" s="2180"/>
      <c r="X57" s="2180"/>
      <c r="Y57" s="2180"/>
      <c r="Z57" s="2180"/>
      <c r="AA57" s="2180"/>
      <c r="AB57" s="2180"/>
      <c r="AC57" s="2180"/>
      <c r="AD57" s="2180"/>
      <c r="AE57" s="2180"/>
      <c r="AF57" s="2180"/>
      <c r="AG57" s="2180"/>
      <c r="AH57" s="30"/>
    </row>
    <row r="58" spans="1:34" ht="15" customHeight="1">
      <c r="B58" s="29" t="s">
        <v>3081</v>
      </c>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row>
    <row r="59" spans="1:34" ht="15" customHeight="1">
      <c r="B59" s="29" t="s">
        <v>2935</v>
      </c>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row>
    <row r="60" spans="1:34" ht="15" customHeight="1">
      <c r="B60" s="29" t="s">
        <v>3082</v>
      </c>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row>
    <row r="61" spans="1:34" ht="15" customHeight="1">
      <c r="B61" s="29" t="s">
        <v>3083</v>
      </c>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row>
    <row r="62" spans="1:34" ht="15" customHeight="1">
      <c r="B62" s="29" t="s">
        <v>3084</v>
      </c>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row>
    <row r="63" spans="1:34" ht="15" customHeight="1">
      <c r="B63" s="29" t="s">
        <v>2291</v>
      </c>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row>
    <row r="64" spans="1:34" ht="15" customHeight="1">
      <c r="B64" s="29" t="s">
        <v>2292</v>
      </c>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row>
    <row r="65" spans="2:33" ht="15" customHeight="1">
      <c r="B65" s="29" t="s">
        <v>2293</v>
      </c>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row>
    <row r="66" spans="2:33" ht="15" customHeight="1">
      <c r="B66" s="29" t="s">
        <v>2881</v>
      </c>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row>
    <row r="67" spans="2:33" ht="12" customHeight="1">
      <c r="B67" s="29" t="s">
        <v>2939</v>
      </c>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row>
    <row r="68" spans="2:33" ht="15" customHeight="1">
      <c r="B68" s="29" t="s">
        <v>2940</v>
      </c>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row>
    <row r="69" spans="2:33" ht="15" customHeight="1">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row>
    <row r="70" spans="2:33" ht="15" customHeight="1">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row>
    <row r="71" spans="2:33" ht="15" customHeight="1">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row>
    <row r="72" spans="2:33" ht="15" customHeight="1">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row>
    <row r="73" spans="2:33" ht="15" customHeight="1">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2:33" ht="15" customHeight="1">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row>
    <row r="75" spans="2:33" ht="12" customHeight="1">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2:33" ht="15" customHeight="1">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2:33" ht="15" customHeight="1">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2:33" ht="15" customHeight="1">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2:33" ht="15" customHeight="1">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row>
    <row r="80" spans="2:33" ht="15" customHeight="1">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row>
    <row r="81" spans="2:33" ht="15" customHeight="1">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row>
    <row r="82" spans="2:33" ht="15" customHeight="1">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2:33" ht="12" customHeight="1">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2:33" ht="15" customHeight="1">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t="s">
        <v>2056</v>
      </c>
      <c r="AG84" s="29"/>
    </row>
    <row r="89" spans="2:33" ht="12" customHeight="1"/>
    <row r="94" spans="2:33" ht="12" customHeight="1"/>
    <row r="98" ht="12" customHeight="1"/>
    <row r="106" ht="12" customHeight="1"/>
    <row r="113" ht="12" customHeight="1"/>
    <row r="119" ht="12" customHeight="1"/>
    <row r="123" ht="12" customHeight="1"/>
    <row r="129" ht="12" customHeight="1"/>
    <row r="134" ht="12" customHeight="1"/>
    <row r="156" spans="2:32" ht="15" customHeight="1">
      <c r="B156" s="2178"/>
      <c r="C156" s="2178"/>
      <c r="D156" s="2178"/>
      <c r="E156" s="2178"/>
      <c r="F156" s="2178"/>
      <c r="G156" s="2178"/>
      <c r="H156" s="2178"/>
      <c r="I156" s="2178"/>
      <c r="J156" s="2178"/>
      <c r="K156" s="2178"/>
      <c r="L156" s="2178"/>
      <c r="M156" s="2178"/>
      <c r="N156" s="2178"/>
      <c r="O156" s="2178"/>
      <c r="P156" s="2178"/>
      <c r="Q156" s="2178"/>
      <c r="R156" s="2178"/>
      <c r="S156" s="2178"/>
      <c r="T156" s="2178"/>
      <c r="U156" s="2178"/>
      <c r="V156" s="2178"/>
      <c r="W156" s="2178"/>
      <c r="X156" s="2178"/>
      <c r="Y156" s="2178"/>
      <c r="Z156" s="2178"/>
      <c r="AA156" s="2178"/>
      <c r="AB156" s="2178"/>
      <c r="AC156" s="2178"/>
      <c r="AD156" s="2178"/>
      <c r="AE156" s="2178"/>
      <c r="AF156" s="2178"/>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2178"/>
      <c r="C292" s="2178"/>
      <c r="D292" s="2178"/>
      <c r="E292" s="2178"/>
      <c r="F292" s="2178"/>
      <c r="G292" s="2178"/>
      <c r="H292" s="2178"/>
      <c r="I292" s="2178"/>
      <c r="J292" s="2178"/>
      <c r="K292" s="2178"/>
      <c r="L292" s="2178"/>
      <c r="M292" s="2178"/>
      <c r="N292" s="2178"/>
      <c r="O292" s="2178"/>
      <c r="P292" s="2178"/>
      <c r="Q292" s="2178"/>
      <c r="R292" s="2178"/>
      <c r="S292" s="2178"/>
      <c r="T292" s="2178"/>
      <c r="U292" s="2178"/>
      <c r="V292" s="2178"/>
      <c r="W292" s="2178"/>
      <c r="X292" s="2178"/>
      <c r="Y292" s="2178"/>
      <c r="Z292" s="2178"/>
      <c r="AA292" s="2178"/>
      <c r="AB292" s="2178"/>
      <c r="AC292" s="2178"/>
      <c r="AD292" s="2178"/>
      <c r="AE292" s="2178"/>
      <c r="AF292" s="2178"/>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2178"/>
      <c r="C378" s="2178"/>
      <c r="D378" s="2178"/>
      <c r="E378" s="2178"/>
      <c r="F378" s="2178"/>
      <c r="G378" s="2178"/>
      <c r="H378" s="2178"/>
      <c r="I378" s="2178"/>
      <c r="J378" s="2178"/>
      <c r="K378" s="2178"/>
      <c r="L378" s="2178"/>
      <c r="M378" s="2178"/>
      <c r="N378" s="2178"/>
      <c r="O378" s="2178"/>
      <c r="P378" s="2178"/>
      <c r="Q378" s="2178"/>
      <c r="R378" s="2178"/>
      <c r="S378" s="2178"/>
      <c r="T378" s="2178"/>
      <c r="U378" s="2178"/>
      <c r="V378" s="2178"/>
      <c r="W378" s="2178"/>
      <c r="X378" s="2178"/>
      <c r="Y378" s="2178"/>
      <c r="Z378" s="2178"/>
      <c r="AA378" s="2178"/>
      <c r="AB378" s="2178"/>
      <c r="AC378" s="2178"/>
      <c r="AD378" s="2178"/>
      <c r="AE378" s="2178"/>
      <c r="AF378" s="2178"/>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2178"/>
      <c r="C560" s="2178"/>
      <c r="D560" s="2178"/>
      <c r="E560" s="2178"/>
      <c r="F560" s="2178"/>
      <c r="G560" s="2178"/>
      <c r="H560" s="2178"/>
      <c r="I560" s="2178"/>
      <c r="J560" s="2178"/>
      <c r="K560" s="2178"/>
      <c r="L560" s="2178"/>
      <c r="M560" s="2178"/>
      <c r="N560" s="2178"/>
      <c r="O560" s="2178"/>
      <c r="P560" s="2178"/>
      <c r="Q560" s="2178"/>
      <c r="R560" s="2178"/>
      <c r="S560" s="2178"/>
      <c r="T560" s="2178"/>
      <c r="U560" s="2178"/>
      <c r="V560" s="2178"/>
      <c r="W560" s="2178"/>
      <c r="X560" s="2178"/>
      <c r="Y560" s="2178"/>
      <c r="Z560" s="2178"/>
      <c r="AA560" s="2178"/>
      <c r="AB560" s="2178"/>
      <c r="AC560" s="2178"/>
      <c r="AD560" s="2178"/>
      <c r="AE560" s="2178"/>
      <c r="AF560" s="2178"/>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2178"/>
      <c r="C652" s="2178"/>
      <c r="D652" s="2178"/>
      <c r="E652" s="2178"/>
      <c r="F652" s="2178"/>
      <c r="G652" s="2178"/>
      <c r="H652" s="2178"/>
      <c r="I652" s="2178"/>
      <c r="J652" s="2178"/>
      <c r="K652" s="2178"/>
      <c r="L652" s="2178"/>
      <c r="M652" s="2178"/>
      <c r="N652" s="2178"/>
      <c r="O652" s="2178"/>
      <c r="P652" s="2178"/>
      <c r="Q652" s="2178"/>
      <c r="R652" s="2178"/>
      <c r="S652" s="2178"/>
      <c r="T652" s="2178"/>
      <c r="U652" s="2178"/>
      <c r="V652" s="2178"/>
      <c r="W652" s="2178"/>
      <c r="X652" s="2178"/>
      <c r="Y652" s="2178"/>
      <c r="Z652" s="2178"/>
      <c r="AA652" s="2178"/>
      <c r="AB652" s="2178"/>
      <c r="AC652" s="2178"/>
      <c r="AD652" s="2178"/>
      <c r="AE652" s="2178"/>
      <c r="AF652" s="2178"/>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2178"/>
      <c r="C728" s="2178"/>
      <c r="D728" s="2178"/>
      <c r="E728" s="2178"/>
      <c r="F728" s="2178"/>
      <c r="G728" s="2178"/>
      <c r="H728" s="2178"/>
      <c r="I728" s="2178"/>
      <c r="J728" s="2178"/>
      <c r="K728" s="2178"/>
      <c r="L728" s="2178"/>
      <c r="M728" s="2178"/>
      <c r="N728" s="2178"/>
      <c r="O728" s="2178"/>
      <c r="P728" s="2178"/>
      <c r="Q728" s="2178"/>
      <c r="R728" s="2178"/>
      <c r="S728" s="2178"/>
      <c r="T728" s="2178"/>
      <c r="U728" s="2178"/>
      <c r="V728" s="2178"/>
      <c r="W728" s="2178"/>
      <c r="X728" s="2178"/>
      <c r="Y728" s="2178"/>
      <c r="Z728" s="2178"/>
      <c r="AA728" s="2178"/>
      <c r="AB728" s="2178"/>
      <c r="AC728" s="2178"/>
      <c r="AD728" s="2178"/>
      <c r="AE728" s="2178"/>
      <c r="AF728" s="2178"/>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2178"/>
      <c r="C819" s="2178"/>
      <c r="D819" s="2178"/>
      <c r="E819" s="2178"/>
      <c r="F819" s="2178"/>
      <c r="G819" s="2178"/>
      <c r="H819" s="2178"/>
      <c r="I819" s="2178"/>
      <c r="J819" s="2178"/>
      <c r="K819" s="2178"/>
      <c r="L819" s="2178"/>
      <c r="M819" s="2178"/>
      <c r="N819" s="2178"/>
      <c r="O819" s="2178"/>
      <c r="P819" s="2178"/>
      <c r="Q819" s="2178"/>
      <c r="R819" s="2178"/>
      <c r="S819" s="2178"/>
      <c r="T819" s="2178"/>
      <c r="U819" s="2178"/>
      <c r="V819" s="2178"/>
      <c r="W819" s="2178"/>
      <c r="X819" s="2178"/>
      <c r="Y819" s="2178"/>
      <c r="Z819" s="2178"/>
      <c r="AA819" s="2178"/>
      <c r="AB819" s="2178"/>
      <c r="AC819" s="2178"/>
      <c r="AD819" s="2178"/>
      <c r="AE819" s="2178"/>
      <c r="AF819" s="2178"/>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2178"/>
      <c r="C897" s="2178"/>
      <c r="D897" s="2178"/>
      <c r="E897" s="2178"/>
      <c r="F897" s="2178"/>
      <c r="G897" s="2178"/>
      <c r="H897" s="2178"/>
      <c r="I897" s="2178"/>
      <c r="J897" s="2178"/>
      <c r="K897" s="2178"/>
      <c r="L897" s="2178"/>
      <c r="M897" s="2178"/>
      <c r="N897" s="2178"/>
      <c r="O897" s="2178"/>
      <c r="P897" s="2178"/>
      <c r="Q897" s="2178"/>
      <c r="R897" s="2178"/>
      <c r="S897" s="2178"/>
      <c r="T897" s="2178"/>
      <c r="U897" s="2178"/>
      <c r="V897" s="2178"/>
      <c r="W897" s="2178"/>
      <c r="X897" s="2178"/>
      <c r="Y897" s="2178"/>
      <c r="Z897" s="2178"/>
      <c r="AA897" s="2178"/>
      <c r="AB897" s="2178"/>
      <c r="AC897" s="2178"/>
      <c r="AD897" s="2178"/>
      <c r="AE897" s="2178"/>
      <c r="AF897" s="2178"/>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2178"/>
      <c r="C983" s="2178"/>
      <c r="D983" s="2178"/>
      <c r="E983" s="2178"/>
      <c r="F983" s="2178"/>
      <c r="G983" s="2178"/>
      <c r="H983" s="2178"/>
      <c r="I983" s="2178"/>
      <c r="J983" s="2178"/>
      <c r="K983" s="2178"/>
      <c r="L983" s="2178"/>
      <c r="M983" s="2178"/>
      <c r="N983" s="2178"/>
      <c r="O983" s="2178"/>
      <c r="P983" s="2178"/>
      <c r="Q983" s="2178"/>
      <c r="R983" s="2178"/>
      <c r="S983" s="2178"/>
      <c r="T983" s="2178"/>
      <c r="U983" s="2178"/>
      <c r="V983" s="2178"/>
      <c r="W983" s="2178"/>
      <c r="X983" s="2178"/>
      <c r="Y983" s="2178"/>
      <c r="Z983" s="2178"/>
      <c r="AA983" s="2178"/>
      <c r="AB983" s="2178"/>
      <c r="AC983" s="2178"/>
      <c r="AD983" s="2178"/>
      <c r="AE983" s="2178"/>
      <c r="AF983" s="2178"/>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2178"/>
      <c r="C1082" s="2178"/>
      <c r="D1082" s="2178"/>
      <c r="E1082" s="2178"/>
      <c r="F1082" s="2178"/>
      <c r="G1082" s="2178"/>
      <c r="H1082" s="2178"/>
      <c r="I1082" s="2178"/>
      <c r="J1082" s="2178"/>
      <c r="K1082" s="2178"/>
      <c r="L1082" s="2178"/>
      <c r="M1082" s="2178"/>
      <c r="N1082" s="2178"/>
      <c r="O1082" s="2178"/>
      <c r="P1082" s="2178"/>
      <c r="Q1082" s="2178"/>
      <c r="R1082" s="2178"/>
      <c r="S1082" s="2178"/>
      <c r="T1082" s="2178"/>
      <c r="U1082" s="2178"/>
      <c r="V1082" s="2178"/>
      <c r="W1082" s="2178"/>
      <c r="X1082" s="2178"/>
      <c r="Y1082" s="2178"/>
      <c r="Z1082" s="2178"/>
      <c r="AA1082" s="2178"/>
      <c r="AB1082" s="2178"/>
      <c r="AC1082" s="2178"/>
      <c r="AD1082" s="2178"/>
      <c r="AE1082" s="2178"/>
      <c r="AF1082" s="2178"/>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2178"/>
      <c r="C1179" s="2178"/>
      <c r="D1179" s="2178"/>
      <c r="E1179" s="2178"/>
      <c r="F1179" s="2178"/>
      <c r="G1179" s="2178"/>
      <c r="H1179" s="2178"/>
      <c r="I1179" s="2178"/>
      <c r="J1179" s="2178"/>
      <c r="K1179" s="2178"/>
      <c r="L1179" s="2178"/>
      <c r="M1179" s="2178"/>
      <c r="N1179" s="2178"/>
      <c r="O1179" s="2178"/>
      <c r="P1179" s="2178"/>
      <c r="Q1179" s="2178"/>
      <c r="R1179" s="2178"/>
      <c r="S1179" s="2178"/>
      <c r="T1179" s="2178"/>
      <c r="U1179" s="2178"/>
      <c r="V1179" s="2178"/>
      <c r="W1179" s="2178"/>
      <c r="X1179" s="2178"/>
      <c r="Y1179" s="2178"/>
      <c r="Z1179" s="2178"/>
      <c r="AA1179" s="2178"/>
      <c r="AB1179" s="2178"/>
      <c r="AC1179" s="2178"/>
      <c r="AD1179" s="2178"/>
      <c r="AE1179" s="2178"/>
      <c r="AF1179" s="2178"/>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2178"/>
      <c r="C1313" s="2178"/>
      <c r="D1313" s="2178"/>
      <c r="E1313" s="2178"/>
      <c r="F1313" s="2178"/>
      <c r="G1313" s="2178"/>
      <c r="H1313" s="2178"/>
      <c r="I1313" s="2178"/>
      <c r="J1313" s="2178"/>
      <c r="K1313" s="2178"/>
      <c r="L1313" s="2178"/>
      <c r="M1313" s="2178"/>
      <c r="N1313" s="2178"/>
      <c r="O1313" s="2178"/>
      <c r="P1313" s="2178"/>
      <c r="Q1313" s="2178"/>
      <c r="R1313" s="2178"/>
      <c r="S1313" s="2178"/>
      <c r="T1313" s="2178"/>
      <c r="U1313" s="2178"/>
      <c r="V1313" s="2178"/>
      <c r="W1313" s="2178"/>
      <c r="X1313" s="2178"/>
      <c r="Y1313" s="2178"/>
      <c r="Z1313" s="2178"/>
      <c r="AA1313" s="2178"/>
      <c r="AB1313" s="2178"/>
      <c r="AC1313" s="2178"/>
      <c r="AD1313" s="2178"/>
      <c r="AE1313" s="2178"/>
      <c r="AF1313" s="2178"/>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2178"/>
      <c r="C1431" s="2178"/>
      <c r="D1431" s="2178"/>
      <c r="E1431" s="2178"/>
      <c r="F1431" s="2178"/>
      <c r="G1431" s="2178"/>
      <c r="H1431" s="2178"/>
      <c r="I1431" s="2178"/>
      <c r="J1431" s="2178"/>
      <c r="K1431" s="2178"/>
      <c r="L1431" s="2178"/>
      <c r="M1431" s="2178"/>
      <c r="N1431" s="2178"/>
      <c r="O1431" s="2178"/>
      <c r="P1431" s="2178"/>
      <c r="Q1431" s="2178"/>
      <c r="R1431" s="2178"/>
      <c r="S1431" s="2178"/>
      <c r="T1431" s="2178"/>
      <c r="U1431" s="2178"/>
      <c r="V1431" s="2178"/>
      <c r="W1431" s="2178"/>
      <c r="X1431" s="2178"/>
      <c r="Y1431" s="2178"/>
      <c r="Z1431" s="2178"/>
      <c r="AA1431" s="2178"/>
      <c r="AB1431" s="2178"/>
      <c r="AC1431" s="2178"/>
      <c r="AD1431" s="2178"/>
      <c r="AE1431" s="2178"/>
      <c r="AF1431" s="2178"/>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2178"/>
      <c r="C1535" s="2178"/>
      <c r="D1535" s="2178"/>
      <c r="E1535" s="2178"/>
      <c r="F1535" s="2178"/>
      <c r="G1535" s="2178"/>
      <c r="H1535" s="2178"/>
      <c r="I1535" s="2178"/>
      <c r="J1535" s="2178"/>
      <c r="K1535" s="2178"/>
      <c r="L1535" s="2178"/>
      <c r="M1535" s="2178"/>
      <c r="N1535" s="2178"/>
      <c r="O1535" s="2178"/>
      <c r="P1535" s="2178"/>
      <c r="Q1535" s="2178"/>
      <c r="R1535" s="2178"/>
      <c r="S1535" s="2178"/>
      <c r="T1535" s="2178"/>
      <c r="U1535" s="2178"/>
      <c r="V1535" s="2178"/>
      <c r="W1535" s="2178"/>
      <c r="X1535" s="2178"/>
      <c r="Y1535" s="2178"/>
      <c r="Z1535" s="2178"/>
      <c r="AA1535" s="2178"/>
      <c r="AB1535" s="2178"/>
      <c r="AC1535" s="2178"/>
      <c r="AD1535" s="2178"/>
      <c r="AE1535" s="2178"/>
      <c r="AF1535" s="2178"/>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2178"/>
      <c r="C1628" s="2178"/>
      <c r="D1628" s="2178"/>
      <c r="E1628" s="2178"/>
      <c r="F1628" s="2178"/>
      <c r="G1628" s="2178"/>
      <c r="H1628" s="2178"/>
      <c r="I1628" s="2178"/>
      <c r="J1628" s="2178"/>
      <c r="K1628" s="2178"/>
      <c r="L1628" s="2178"/>
      <c r="M1628" s="2178"/>
      <c r="N1628" s="2178"/>
      <c r="O1628" s="2178"/>
      <c r="P1628" s="2178"/>
      <c r="Q1628" s="2178"/>
      <c r="R1628" s="2178"/>
      <c r="S1628" s="2178"/>
      <c r="T1628" s="2178"/>
      <c r="U1628" s="2178"/>
      <c r="V1628" s="2178"/>
      <c r="W1628" s="2178"/>
      <c r="X1628" s="2178"/>
      <c r="Y1628" s="2178"/>
      <c r="Z1628" s="2178"/>
      <c r="AA1628" s="2178"/>
      <c r="AB1628" s="2178"/>
      <c r="AC1628" s="2178"/>
      <c r="AD1628" s="2178"/>
      <c r="AE1628" s="2178"/>
      <c r="AF1628" s="2178"/>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2178"/>
      <c r="C1778" s="2178"/>
      <c r="D1778" s="2178"/>
      <c r="E1778" s="2178"/>
      <c r="F1778" s="2178"/>
      <c r="G1778" s="2178"/>
      <c r="H1778" s="2178"/>
      <c r="I1778" s="2178"/>
      <c r="J1778" s="2178"/>
      <c r="K1778" s="2178"/>
      <c r="L1778" s="2178"/>
      <c r="M1778" s="2178"/>
      <c r="N1778" s="2178"/>
      <c r="O1778" s="2178"/>
      <c r="P1778" s="2178"/>
      <c r="Q1778" s="2178"/>
      <c r="R1778" s="2178"/>
      <c r="S1778" s="2178"/>
      <c r="T1778" s="2178"/>
      <c r="U1778" s="2178"/>
      <c r="V1778" s="2178"/>
      <c r="W1778" s="2178"/>
      <c r="X1778" s="2178"/>
      <c r="Y1778" s="2178"/>
      <c r="Z1778" s="2178"/>
      <c r="AA1778" s="2178"/>
      <c r="AB1778" s="2178"/>
      <c r="AC1778" s="2178"/>
      <c r="AD1778" s="2178"/>
      <c r="AE1778" s="2178"/>
      <c r="AF1778" s="2178"/>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2178"/>
      <c r="C1928" s="2178"/>
      <c r="D1928" s="2178"/>
      <c r="E1928" s="2178"/>
      <c r="F1928" s="2178"/>
      <c r="G1928" s="2178"/>
      <c r="H1928" s="2178"/>
      <c r="I1928" s="2178"/>
      <c r="J1928" s="2178"/>
      <c r="K1928" s="2178"/>
      <c r="L1928" s="2178"/>
      <c r="M1928" s="2178"/>
      <c r="N1928" s="2178"/>
      <c r="O1928" s="2178"/>
      <c r="P1928" s="2178"/>
      <c r="Q1928" s="2178"/>
      <c r="R1928" s="2178"/>
      <c r="S1928" s="2178"/>
      <c r="T1928" s="2178"/>
      <c r="U1928" s="2178"/>
      <c r="V1928" s="2178"/>
      <c r="W1928" s="2178"/>
      <c r="X1928" s="2178"/>
      <c r="Y1928" s="2178"/>
      <c r="Z1928" s="2178"/>
      <c r="AA1928" s="2178"/>
      <c r="AB1928" s="2178"/>
      <c r="AC1928" s="2178"/>
      <c r="AD1928" s="2178"/>
      <c r="AE1928" s="2178"/>
      <c r="AF1928" s="2178"/>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2178"/>
      <c r="C2078" s="2178"/>
      <c r="D2078" s="2178"/>
      <c r="E2078" s="2178"/>
      <c r="F2078" s="2178"/>
      <c r="G2078" s="2178"/>
      <c r="H2078" s="2178"/>
      <c r="I2078" s="2178"/>
      <c r="J2078" s="2178"/>
      <c r="K2078" s="2178"/>
      <c r="L2078" s="2178"/>
      <c r="M2078" s="2178"/>
      <c r="N2078" s="2178"/>
      <c r="O2078" s="2178"/>
      <c r="P2078" s="2178"/>
      <c r="Q2078" s="2178"/>
      <c r="R2078" s="2178"/>
      <c r="S2078" s="2178"/>
      <c r="T2078" s="2178"/>
      <c r="U2078" s="2178"/>
      <c r="V2078" s="2178"/>
      <c r="W2078" s="2178"/>
      <c r="X2078" s="2178"/>
      <c r="Y2078" s="2178"/>
      <c r="Z2078" s="2178"/>
      <c r="AA2078" s="2178"/>
      <c r="AB2078" s="2178"/>
      <c r="AC2078" s="2178"/>
      <c r="AD2078" s="2178"/>
      <c r="AE2078" s="2178"/>
      <c r="AF2078" s="2178"/>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2178"/>
      <c r="C2228" s="2178"/>
      <c r="D2228" s="2178"/>
      <c r="E2228" s="2178"/>
      <c r="F2228" s="2178"/>
      <c r="G2228" s="2178"/>
      <c r="H2228" s="2178"/>
      <c r="I2228" s="2178"/>
      <c r="J2228" s="2178"/>
      <c r="K2228" s="2178"/>
      <c r="L2228" s="2178"/>
      <c r="M2228" s="2178"/>
      <c r="N2228" s="2178"/>
      <c r="O2228" s="2178"/>
      <c r="P2228" s="2178"/>
      <c r="Q2228" s="2178"/>
      <c r="R2228" s="2178"/>
      <c r="S2228" s="2178"/>
      <c r="T2228" s="2178"/>
      <c r="U2228" s="2178"/>
      <c r="V2228" s="2178"/>
      <c r="W2228" s="2178"/>
      <c r="X2228" s="2178"/>
      <c r="Y2228" s="2178"/>
      <c r="Z2228" s="2178"/>
      <c r="AA2228" s="2178"/>
      <c r="AB2228" s="2178"/>
      <c r="AC2228" s="2178"/>
      <c r="AD2228" s="2178"/>
      <c r="AE2228" s="2178"/>
      <c r="AF2228" s="2178"/>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2178"/>
      <c r="C2378" s="2178"/>
      <c r="D2378" s="2178"/>
      <c r="E2378" s="2178"/>
      <c r="F2378" s="2178"/>
      <c r="G2378" s="2178"/>
      <c r="H2378" s="2178"/>
      <c r="I2378" s="2178"/>
      <c r="J2378" s="2178"/>
      <c r="K2378" s="2178"/>
      <c r="L2378" s="2178"/>
      <c r="M2378" s="2178"/>
      <c r="N2378" s="2178"/>
      <c r="O2378" s="2178"/>
      <c r="P2378" s="2178"/>
      <c r="Q2378" s="2178"/>
      <c r="R2378" s="2178"/>
      <c r="S2378" s="2178"/>
      <c r="T2378" s="2178"/>
      <c r="U2378" s="2178"/>
      <c r="V2378" s="2178"/>
      <c r="W2378" s="2178"/>
      <c r="X2378" s="2178"/>
      <c r="Y2378" s="2178"/>
      <c r="Z2378" s="2178"/>
      <c r="AA2378" s="2178"/>
      <c r="AB2378" s="2178"/>
      <c r="AC2378" s="2178"/>
      <c r="AD2378" s="2178"/>
      <c r="AE2378" s="2178"/>
      <c r="AF2378" s="2178"/>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2178"/>
      <c r="C2528" s="2178"/>
      <c r="D2528" s="2178"/>
      <c r="E2528" s="2178"/>
      <c r="F2528" s="2178"/>
      <c r="G2528" s="2178"/>
      <c r="H2528" s="2178"/>
      <c r="I2528" s="2178"/>
      <c r="J2528" s="2178"/>
      <c r="K2528" s="2178"/>
      <c r="L2528" s="2178"/>
      <c r="M2528" s="2178"/>
      <c r="N2528" s="2178"/>
      <c r="O2528" s="2178"/>
      <c r="P2528" s="2178"/>
      <c r="Q2528" s="2178"/>
      <c r="R2528" s="2178"/>
      <c r="S2528" s="2178"/>
      <c r="T2528" s="2178"/>
      <c r="U2528" s="2178"/>
      <c r="V2528" s="2178"/>
      <c r="W2528" s="2178"/>
      <c r="X2528" s="2178"/>
      <c r="Y2528" s="2178"/>
      <c r="Z2528" s="2178"/>
      <c r="AA2528" s="2178"/>
      <c r="AB2528" s="2178"/>
      <c r="AC2528" s="2178"/>
      <c r="AD2528" s="2178"/>
      <c r="AE2528" s="2178"/>
      <c r="AF2528" s="2178"/>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2178"/>
      <c r="C2678" s="2178"/>
      <c r="D2678" s="2178"/>
      <c r="E2678" s="2178"/>
      <c r="F2678" s="2178"/>
      <c r="G2678" s="2178"/>
      <c r="H2678" s="2178"/>
      <c r="I2678" s="2178"/>
      <c r="J2678" s="2178"/>
      <c r="K2678" s="2178"/>
      <c r="L2678" s="2178"/>
      <c r="M2678" s="2178"/>
      <c r="N2678" s="2178"/>
      <c r="O2678" s="2178"/>
      <c r="P2678" s="2178"/>
      <c r="Q2678" s="2178"/>
      <c r="R2678" s="2178"/>
      <c r="S2678" s="2178"/>
      <c r="T2678" s="2178"/>
      <c r="U2678" s="2178"/>
      <c r="V2678" s="2178"/>
      <c r="W2678" s="2178"/>
      <c r="X2678" s="2178"/>
      <c r="Y2678" s="2178"/>
      <c r="Z2678" s="2178"/>
      <c r="AA2678" s="2178"/>
      <c r="AB2678" s="2178"/>
      <c r="AC2678" s="2178"/>
      <c r="AD2678" s="2178"/>
      <c r="AE2678" s="2178"/>
      <c r="AF2678" s="2178"/>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2178"/>
      <c r="C2828" s="2178"/>
      <c r="D2828" s="2178"/>
      <c r="E2828" s="2178"/>
      <c r="F2828" s="2178"/>
      <c r="G2828" s="2178"/>
      <c r="H2828" s="2178"/>
      <c r="I2828" s="2178"/>
      <c r="J2828" s="2178"/>
      <c r="K2828" s="2178"/>
      <c r="L2828" s="2178"/>
      <c r="M2828" s="2178"/>
      <c r="N2828" s="2178"/>
      <c r="O2828" s="2178"/>
      <c r="P2828" s="2178"/>
      <c r="Q2828" s="2178"/>
      <c r="R2828" s="2178"/>
      <c r="S2828" s="2178"/>
      <c r="T2828" s="2178"/>
      <c r="U2828" s="2178"/>
      <c r="V2828" s="2178"/>
      <c r="W2828" s="2178"/>
      <c r="X2828" s="2178"/>
      <c r="Y2828" s="2178"/>
      <c r="Z2828" s="2178"/>
      <c r="AA2828" s="2178"/>
      <c r="AB2828" s="2178"/>
      <c r="AC2828" s="2178"/>
      <c r="AD2828" s="2178"/>
      <c r="AE2828" s="2178"/>
      <c r="AF2828" s="2178"/>
    </row>
  </sheetData>
  <mergeCells count="24">
    <mergeCell ref="B57:AG57"/>
    <mergeCell ref="B2228:AF2228"/>
    <mergeCell ref="B2378:AF2378"/>
    <mergeCell ref="B2528:AF2528"/>
    <mergeCell ref="B2678:AF2678"/>
    <mergeCell ref="B1778:AF1778"/>
    <mergeCell ref="B1928:AF1928"/>
    <mergeCell ref="B728:AF728"/>
    <mergeCell ref="B156:AF156"/>
    <mergeCell ref="B292:AF292"/>
    <mergeCell ref="B378:AF378"/>
    <mergeCell ref="B560:AF560"/>
    <mergeCell ref="B652:AF652"/>
    <mergeCell ref="B1082:AF1082"/>
    <mergeCell ref="B1179:AF1179"/>
    <mergeCell ref="B1313:AF1313"/>
    <mergeCell ref="B2828:AF2828"/>
    <mergeCell ref="B2078:AF2078"/>
    <mergeCell ref="B819:AF819"/>
    <mergeCell ref="B897:AF897"/>
    <mergeCell ref="B983:AF983"/>
    <mergeCell ref="B1431:AF1431"/>
    <mergeCell ref="B1535:AF1535"/>
    <mergeCell ref="B1628:AF1628"/>
  </mergeCells>
  <pageMargins left="0.75" right="0.75" top="1" bottom="1" header="0.5" footer="0.5"/>
  <pageSetup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B917-86B0-4FA5-B4EF-B215F5F2295A}">
  <sheetPr codeName="Sheet39"/>
  <dimension ref="A1:AH2828"/>
  <sheetViews>
    <sheetView workbookViewId="0">
      <pane xSplit="2" ySplit="1" topLeftCell="C2" activePane="bottomRight" state="frozen"/>
      <selection pane="topRight" activeCell="C1" sqref="C1"/>
      <selection pane="bottomLeft" activeCell="A2" sqref="A2"/>
      <selection pane="bottomRight" activeCell="B1" sqref="B1"/>
    </sheetView>
  </sheetViews>
  <sheetFormatPr baseColWidth="10" defaultColWidth="9.33203125" defaultRowHeight="15" customHeight="1"/>
  <cols>
    <col min="1" max="1" width="20.6640625" style="28" hidden="1" customWidth="1"/>
    <col min="2" max="2" width="45.6640625" style="28" customWidth="1"/>
    <col min="3" max="16384" width="9.33203125" style="28"/>
  </cols>
  <sheetData>
    <row r="1" spans="1:33" ht="15" customHeight="1" thickBot="1">
      <c r="B1" s="50" t="s">
        <v>2046</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2047</v>
      </c>
      <c r="D3" s="48" t="s">
        <v>311</v>
      </c>
      <c r="E3" s="47"/>
      <c r="F3" s="47"/>
      <c r="G3" s="47"/>
    </row>
    <row r="4" spans="1:33" ht="15" customHeight="1">
      <c r="C4" s="48" t="s">
        <v>2048</v>
      </c>
      <c r="D4" s="48" t="s">
        <v>2049</v>
      </c>
      <c r="E4" s="47"/>
      <c r="F4" s="47"/>
      <c r="G4" s="48" t="s">
        <v>207</v>
      </c>
    </row>
    <row r="5" spans="1:33" ht="15" customHeight="1">
      <c r="C5" s="48" t="s">
        <v>2050</v>
      </c>
      <c r="D5" s="48" t="s">
        <v>2051</v>
      </c>
      <c r="E5" s="47"/>
      <c r="F5" s="47"/>
      <c r="G5" s="47"/>
    </row>
    <row r="6" spans="1:33" ht="15" customHeight="1">
      <c r="C6" s="48" t="s">
        <v>2052</v>
      </c>
      <c r="D6" s="47"/>
      <c r="E6" s="48" t="s">
        <v>2053</v>
      </c>
      <c r="F6" s="47"/>
      <c r="G6" s="47"/>
    </row>
    <row r="7" spans="1:33" ht="12" customHeight="1"/>
    <row r="8" spans="1:33" ht="12" customHeight="1"/>
    <row r="9" spans="1:33" ht="12" customHeight="1"/>
    <row r="10" spans="1:33" ht="15" customHeight="1">
      <c r="A10" s="34" t="s">
        <v>3085</v>
      </c>
      <c r="B10" s="46" t="s">
        <v>3086</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2058</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2059</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2061</v>
      </c>
      <c r="AG12" s="29"/>
    </row>
    <row r="13" spans="1:33" ht="15" customHeight="1" thickBot="1">
      <c r="B13" s="42" t="s">
        <v>2763</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A15" s="34" t="s">
        <v>3087</v>
      </c>
      <c r="B15" s="33" t="s">
        <v>2695</v>
      </c>
      <c r="C15" s="40">
        <v>16.081751000000001</v>
      </c>
      <c r="D15" s="40">
        <v>15.364241</v>
      </c>
      <c r="E15" s="40">
        <v>15.174519</v>
      </c>
      <c r="F15" s="40">
        <v>15.420743999999999</v>
      </c>
      <c r="G15" s="40">
        <v>15.655219000000001</v>
      </c>
      <c r="H15" s="40">
        <v>15.807650000000001</v>
      </c>
      <c r="I15" s="40">
        <v>15.951729</v>
      </c>
      <c r="J15" s="40">
        <v>16.142638999999999</v>
      </c>
      <c r="K15" s="40">
        <v>16.343665999999999</v>
      </c>
      <c r="L15" s="40">
        <v>16.538471000000001</v>
      </c>
      <c r="M15" s="40">
        <v>16.67625</v>
      </c>
      <c r="N15" s="40">
        <v>16.739432999999998</v>
      </c>
      <c r="O15" s="40">
        <v>16.852367000000001</v>
      </c>
      <c r="P15" s="40">
        <v>17.106045000000002</v>
      </c>
      <c r="Q15" s="40">
        <v>17.312027</v>
      </c>
      <c r="R15" s="40">
        <v>17.484805999999999</v>
      </c>
      <c r="S15" s="40">
        <v>17.670828</v>
      </c>
      <c r="T15" s="40">
        <v>17.814067999999999</v>
      </c>
      <c r="U15" s="40">
        <v>18.006584</v>
      </c>
      <c r="V15" s="40">
        <v>18.220645999999999</v>
      </c>
      <c r="W15" s="40">
        <v>18.389344999999999</v>
      </c>
      <c r="X15" s="40">
        <v>18.476151000000002</v>
      </c>
      <c r="Y15" s="40">
        <v>18.683886999999999</v>
      </c>
      <c r="Z15" s="40">
        <v>18.925754999999999</v>
      </c>
      <c r="AA15" s="40">
        <v>19.120739</v>
      </c>
      <c r="AB15" s="40">
        <v>19.317871</v>
      </c>
      <c r="AC15" s="40">
        <v>19.466255</v>
      </c>
      <c r="AD15" s="40">
        <v>19.601412</v>
      </c>
      <c r="AE15" s="40">
        <v>19.775444</v>
      </c>
      <c r="AF15" s="31">
        <v>7.4110000000000001E-3</v>
      </c>
      <c r="AG15" s="29"/>
    </row>
    <row r="16" spans="1:33" ht="15" customHeight="1">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B17" s="33" t="s">
        <v>2888</v>
      </c>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row>
    <row r="18" spans="1:33" ht="15" customHeight="1">
      <c r="A18" s="34" t="s">
        <v>3088</v>
      </c>
      <c r="B18" s="37" t="s">
        <v>2772</v>
      </c>
      <c r="C18" s="36">
        <v>2.4295840000000002</v>
      </c>
      <c r="D18" s="36">
        <v>2.778753</v>
      </c>
      <c r="E18" s="36">
        <v>2.7035979999999999</v>
      </c>
      <c r="F18" s="36">
        <v>2.77176</v>
      </c>
      <c r="G18" s="36">
        <v>2.7324280000000001</v>
      </c>
      <c r="H18" s="36">
        <v>2.6619069999999998</v>
      </c>
      <c r="I18" s="36">
        <v>2.564324</v>
      </c>
      <c r="J18" s="36">
        <v>2.5294530000000002</v>
      </c>
      <c r="K18" s="36">
        <v>2.489001</v>
      </c>
      <c r="L18" s="36">
        <v>2.4437139999999999</v>
      </c>
      <c r="M18" s="36">
        <v>2.3982389999999998</v>
      </c>
      <c r="N18" s="36">
        <v>2.3427820000000001</v>
      </c>
      <c r="O18" s="36">
        <v>2.293085</v>
      </c>
      <c r="P18" s="36">
        <v>2.2605650000000002</v>
      </c>
      <c r="Q18" s="36">
        <v>2.2315559999999999</v>
      </c>
      <c r="R18" s="36">
        <v>2.1926649999999999</v>
      </c>
      <c r="S18" s="36">
        <v>2.1525729999999998</v>
      </c>
      <c r="T18" s="36">
        <v>2.1287120000000002</v>
      </c>
      <c r="U18" s="36">
        <v>2.1180850000000002</v>
      </c>
      <c r="V18" s="36">
        <v>2.1012680000000001</v>
      </c>
      <c r="W18" s="36">
        <v>2.085852</v>
      </c>
      <c r="X18" s="36">
        <v>2.0464289999999998</v>
      </c>
      <c r="Y18" s="36">
        <v>2.0183759999999999</v>
      </c>
      <c r="Z18" s="36">
        <v>1.997134</v>
      </c>
      <c r="AA18" s="36">
        <v>1.9587049999999999</v>
      </c>
      <c r="AB18" s="36">
        <v>1.937432</v>
      </c>
      <c r="AC18" s="36">
        <v>1.9027959999999999</v>
      </c>
      <c r="AD18" s="36">
        <v>1.8671059999999999</v>
      </c>
      <c r="AE18" s="36">
        <v>1.8336509999999999</v>
      </c>
      <c r="AF18" s="35">
        <v>-0.01</v>
      </c>
      <c r="AG18" s="29"/>
    </row>
    <row r="19" spans="1:33" ht="15" customHeight="1">
      <c r="A19" s="34" t="s">
        <v>3089</v>
      </c>
      <c r="B19" s="37" t="s">
        <v>2770</v>
      </c>
      <c r="C19" s="36">
        <v>0</v>
      </c>
      <c r="D19" s="36">
        <v>0</v>
      </c>
      <c r="E19" s="36">
        <v>0</v>
      </c>
      <c r="F19" s="36">
        <v>0</v>
      </c>
      <c r="G19" s="36">
        <v>0</v>
      </c>
      <c r="H19" s="36">
        <v>0</v>
      </c>
      <c r="I19" s="36">
        <v>0</v>
      </c>
      <c r="J19" s="36">
        <v>0</v>
      </c>
      <c r="K19" s="36">
        <v>0</v>
      </c>
      <c r="L19" s="36">
        <v>0</v>
      </c>
      <c r="M19" s="36">
        <v>0</v>
      </c>
      <c r="N19" s="36">
        <v>0</v>
      </c>
      <c r="O19" s="36">
        <v>0</v>
      </c>
      <c r="P19" s="36">
        <v>0</v>
      </c>
      <c r="Q19" s="36">
        <v>0</v>
      </c>
      <c r="R19" s="36">
        <v>0</v>
      </c>
      <c r="S19" s="36">
        <v>0</v>
      </c>
      <c r="T19" s="36">
        <v>0</v>
      </c>
      <c r="U19" s="36">
        <v>0</v>
      </c>
      <c r="V19" s="36">
        <v>0</v>
      </c>
      <c r="W19" s="36">
        <v>0</v>
      </c>
      <c r="X19" s="36">
        <v>0</v>
      </c>
      <c r="Y19" s="36">
        <v>0</v>
      </c>
      <c r="Z19" s="36">
        <v>0</v>
      </c>
      <c r="AA19" s="36">
        <v>0</v>
      </c>
      <c r="AB19" s="36">
        <v>0</v>
      </c>
      <c r="AC19" s="36">
        <v>0</v>
      </c>
      <c r="AD19" s="36">
        <v>0</v>
      </c>
      <c r="AE19" s="36">
        <v>0</v>
      </c>
      <c r="AF19" s="35" t="s">
        <v>1278</v>
      </c>
      <c r="AG19" s="29"/>
    </row>
    <row r="20" spans="1:33" ht="15" customHeight="1">
      <c r="A20" s="34" t="s">
        <v>3090</v>
      </c>
      <c r="B20" s="37" t="s">
        <v>2892</v>
      </c>
      <c r="C20" s="36">
        <v>0</v>
      </c>
      <c r="D20" s="36">
        <v>0</v>
      </c>
      <c r="E20" s="36">
        <v>0</v>
      </c>
      <c r="F20" s="36">
        <v>0</v>
      </c>
      <c r="G20" s="36">
        <v>0</v>
      </c>
      <c r="H20" s="36">
        <v>0</v>
      </c>
      <c r="I20" s="36">
        <v>0</v>
      </c>
      <c r="J20" s="36">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6">
        <v>0</v>
      </c>
      <c r="AC20" s="36">
        <v>0</v>
      </c>
      <c r="AD20" s="36">
        <v>0</v>
      </c>
      <c r="AE20" s="36">
        <v>0</v>
      </c>
      <c r="AF20" s="35" t="s">
        <v>1278</v>
      </c>
      <c r="AG20" s="29"/>
    </row>
    <row r="21" spans="1:33" ht="15" customHeight="1">
      <c r="A21" s="34" t="s">
        <v>3091</v>
      </c>
      <c r="B21" s="37" t="s">
        <v>2776</v>
      </c>
      <c r="C21" s="36">
        <v>73.974922000000007</v>
      </c>
      <c r="D21" s="36">
        <v>42.101661999999997</v>
      </c>
      <c r="E21" s="36">
        <v>45.696629000000001</v>
      </c>
      <c r="F21" s="36">
        <v>50.443024000000001</v>
      </c>
      <c r="G21" s="36">
        <v>55.600883000000003</v>
      </c>
      <c r="H21" s="36">
        <v>60.717193999999999</v>
      </c>
      <c r="I21" s="36">
        <v>65.071251000000004</v>
      </c>
      <c r="J21" s="36">
        <v>66.845329000000007</v>
      </c>
      <c r="K21" s="36">
        <v>68.280852999999993</v>
      </c>
      <c r="L21" s="36">
        <v>69.416961999999998</v>
      </c>
      <c r="M21" s="36">
        <v>69.918457000000004</v>
      </c>
      <c r="N21" s="36">
        <v>69.795563000000001</v>
      </c>
      <c r="O21" s="36">
        <v>69.292327999999998</v>
      </c>
      <c r="P21" s="36">
        <v>68.558075000000002</v>
      </c>
      <c r="Q21" s="36">
        <v>67.428023999999994</v>
      </c>
      <c r="R21" s="36">
        <v>66.005645999999999</v>
      </c>
      <c r="S21" s="36">
        <v>64.577163999999996</v>
      </c>
      <c r="T21" s="36">
        <v>63.955584999999999</v>
      </c>
      <c r="U21" s="36">
        <v>63.743949999999998</v>
      </c>
      <c r="V21" s="36">
        <v>63.417889000000002</v>
      </c>
      <c r="W21" s="36">
        <v>62.643856</v>
      </c>
      <c r="X21" s="36">
        <v>61.460335000000001</v>
      </c>
      <c r="Y21" s="36">
        <v>60.044342</v>
      </c>
      <c r="Z21" s="36">
        <v>59.269652999999998</v>
      </c>
      <c r="AA21" s="36">
        <v>58.334319999999998</v>
      </c>
      <c r="AB21" s="36">
        <v>57.368335999999999</v>
      </c>
      <c r="AC21" s="36">
        <v>56.378365000000002</v>
      </c>
      <c r="AD21" s="36">
        <v>55.215885</v>
      </c>
      <c r="AE21" s="36">
        <v>54.084816000000004</v>
      </c>
      <c r="AF21" s="35">
        <v>-1.1122E-2</v>
      </c>
      <c r="AG21" s="29"/>
    </row>
    <row r="22" spans="1:33" ht="15" customHeight="1">
      <c r="A22" s="34" t="s">
        <v>3092</v>
      </c>
      <c r="B22" s="37" t="s">
        <v>2894</v>
      </c>
      <c r="C22" s="36">
        <v>0</v>
      </c>
      <c r="D22" s="36">
        <v>0</v>
      </c>
      <c r="E22" s="36">
        <v>0</v>
      </c>
      <c r="F22" s="36">
        <v>0</v>
      </c>
      <c r="G22" s="36">
        <v>0</v>
      </c>
      <c r="H22" s="36">
        <v>0</v>
      </c>
      <c r="I22" s="36">
        <v>0</v>
      </c>
      <c r="J22" s="36">
        <v>0</v>
      </c>
      <c r="K22" s="36">
        <v>0</v>
      </c>
      <c r="L22" s="36">
        <v>0</v>
      </c>
      <c r="M22" s="36">
        <v>0</v>
      </c>
      <c r="N22" s="36">
        <v>0</v>
      </c>
      <c r="O22" s="36">
        <v>0</v>
      </c>
      <c r="P22" s="36">
        <v>0</v>
      </c>
      <c r="Q22" s="36">
        <v>0</v>
      </c>
      <c r="R22" s="36">
        <v>0</v>
      </c>
      <c r="S22" s="36">
        <v>0</v>
      </c>
      <c r="T22" s="36">
        <v>0</v>
      </c>
      <c r="U22" s="36">
        <v>0</v>
      </c>
      <c r="V22" s="36">
        <v>0</v>
      </c>
      <c r="W22" s="36">
        <v>0</v>
      </c>
      <c r="X22" s="36">
        <v>0</v>
      </c>
      <c r="Y22" s="36">
        <v>0</v>
      </c>
      <c r="Z22" s="36">
        <v>0</v>
      </c>
      <c r="AA22" s="36">
        <v>0</v>
      </c>
      <c r="AB22" s="36">
        <v>0</v>
      </c>
      <c r="AC22" s="36">
        <v>0</v>
      </c>
      <c r="AD22" s="36">
        <v>0</v>
      </c>
      <c r="AE22" s="36">
        <v>0</v>
      </c>
      <c r="AF22" s="35" t="s">
        <v>1278</v>
      </c>
      <c r="AG22" s="29"/>
    </row>
    <row r="23" spans="1:33" ht="15" customHeight="1">
      <c r="A23" s="34" t="s">
        <v>3093</v>
      </c>
      <c r="B23" s="37" t="s">
        <v>2782</v>
      </c>
      <c r="C23" s="36">
        <v>76.404503000000005</v>
      </c>
      <c r="D23" s="36">
        <v>44.880412999999997</v>
      </c>
      <c r="E23" s="36">
        <v>48.400227000000001</v>
      </c>
      <c r="F23" s="36">
        <v>53.214782999999997</v>
      </c>
      <c r="G23" s="36">
        <v>58.333312999999997</v>
      </c>
      <c r="H23" s="36">
        <v>63.379100999999999</v>
      </c>
      <c r="I23" s="36">
        <v>67.635574000000005</v>
      </c>
      <c r="J23" s="36">
        <v>69.374779000000004</v>
      </c>
      <c r="K23" s="36">
        <v>70.769852</v>
      </c>
      <c r="L23" s="36">
        <v>71.860680000000002</v>
      </c>
      <c r="M23" s="36">
        <v>72.316695999999993</v>
      </c>
      <c r="N23" s="36">
        <v>72.138344000000004</v>
      </c>
      <c r="O23" s="36">
        <v>71.585410999999993</v>
      </c>
      <c r="P23" s="36">
        <v>70.818641999999997</v>
      </c>
      <c r="Q23" s="36">
        <v>69.659583999999995</v>
      </c>
      <c r="R23" s="36">
        <v>68.198311000000004</v>
      </c>
      <c r="S23" s="36">
        <v>66.729736000000003</v>
      </c>
      <c r="T23" s="36">
        <v>66.084297000000007</v>
      </c>
      <c r="U23" s="36">
        <v>65.862037999999998</v>
      </c>
      <c r="V23" s="36">
        <v>65.519157000000007</v>
      </c>
      <c r="W23" s="36">
        <v>64.729705999999993</v>
      </c>
      <c r="X23" s="36">
        <v>63.506762999999999</v>
      </c>
      <c r="Y23" s="36">
        <v>62.062716999999999</v>
      </c>
      <c r="Z23" s="36">
        <v>61.266787999999998</v>
      </c>
      <c r="AA23" s="36">
        <v>60.293025999999998</v>
      </c>
      <c r="AB23" s="36">
        <v>59.305767000000003</v>
      </c>
      <c r="AC23" s="36">
        <v>58.281162000000002</v>
      </c>
      <c r="AD23" s="36">
        <v>57.082993000000002</v>
      </c>
      <c r="AE23" s="36">
        <v>55.918467999999997</v>
      </c>
      <c r="AF23" s="35">
        <v>-1.1086E-2</v>
      </c>
      <c r="AG23" s="29"/>
    </row>
    <row r="24" spans="1:33" ht="15" customHeight="1">
      <c r="A24" s="34" t="s">
        <v>3094</v>
      </c>
      <c r="B24" s="37" t="s">
        <v>2784</v>
      </c>
      <c r="C24" s="36">
        <v>100.848129</v>
      </c>
      <c r="D24" s="36">
        <v>103.210976</v>
      </c>
      <c r="E24" s="36">
        <v>112.318832</v>
      </c>
      <c r="F24" s="36">
        <v>123.462654</v>
      </c>
      <c r="G24" s="36">
        <v>135.442001</v>
      </c>
      <c r="H24" s="36">
        <v>147.003784</v>
      </c>
      <c r="I24" s="36">
        <v>156.64299</v>
      </c>
      <c r="J24" s="36">
        <v>160.690414</v>
      </c>
      <c r="K24" s="36">
        <v>164.360657</v>
      </c>
      <c r="L24" s="36">
        <v>167.51365699999999</v>
      </c>
      <c r="M24" s="36">
        <v>169.83921799999999</v>
      </c>
      <c r="N24" s="36">
        <v>171.154144</v>
      </c>
      <c r="O24" s="36">
        <v>173.12687700000001</v>
      </c>
      <c r="P24" s="36">
        <v>176.022232</v>
      </c>
      <c r="Q24" s="36">
        <v>179.39605700000001</v>
      </c>
      <c r="R24" s="36">
        <v>181.658615</v>
      </c>
      <c r="S24" s="36">
        <v>182.89773600000001</v>
      </c>
      <c r="T24" s="36">
        <v>186.335587</v>
      </c>
      <c r="U24" s="36">
        <v>188.180634</v>
      </c>
      <c r="V24" s="36">
        <v>190.148819</v>
      </c>
      <c r="W24" s="36">
        <v>191.89102199999999</v>
      </c>
      <c r="X24" s="36">
        <v>192.82782</v>
      </c>
      <c r="Y24" s="36">
        <v>192.98405500000001</v>
      </c>
      <c r="Z24" s="36">
        <v>194.25846899999999</v>
      </c>
      <c r="AA24" s="36">
        <v>195.170502</v>
      </c>
      <c r="AB24" s="36">
        <v>195.89494300000001</v>
      </c>
      <c r="AC24" s="36">
        <v>196.329239</v>
      </c>
      <c r="AD24" s="36">
        <v>196.15123</v>
      </c>
      <c r="AE24" s="36">
        <v>195.353195</v>
      </c>
      <c r="AF24" s="35">
        <v>2.3895E-2</v>
      </c>
      <c r="AG24" s="29"/>
    </row>
    <row r="25" spans="1:33" ht="15" customHeight="1">
      <c r="A25" s="34" t="s">
        <v>3095</v>
      </c>
      <c r="B25" s="37" t="s">
        <v>2898</v>
      </c>
      <c r="C25" s="36">
        <v>129.506989</v>
      </c>
      <c r="D25" s="36">
        <v>114.999107</v>
      </c>
      <c r="E25" s="36">
        <v>112.23335299999999</v>
      </c>
      <c r="F25" s="36">
        <v>111.557175</v>
      </c>
      <c r="G25" s="36">
        <v>111.008202</v>
      </c>
      <c r="H25" s="36">
        <v>109.94358800000001</v>
      </c>
      <c r="I25" s="36">
        <v>107.980576</v>
      </c>
      <c r="J25" s="36">
        <v>103.468552</v>
      </c>
      <c r="K25" s="36">
        <v>98.988326999999998</v>
      </c>
      <c r="L25" s="36">
        <v>94.662056000000007</v>
      </c>
      <c r="M25" s="36">
        <v>90.175490999999994</v>
      </c>
      <c r="N25" s="36">
        <v>85.584014999999994</v>
      </c>
      <c r="O25" s="36">
        <v>81.229957999999996</v>
      </c>
      <c r="P25" s="36">
        <v>77.211348999999998</v>
      </c>
      <c r="Q25" s="36">
        <v>73.115020999999999</v>
      </c>
      <c r="R25" s="36">
        <v>68.982651000000004</v>
      </c>
      <c r="S25" s="36">
        <v>65.098808000000005</v>
      </c>
      <c r="T25" s="36">
        <v>62.891998000000001</v>
      </c>
      <c r="U25" s="36">
        <v>61.127392</v>
      </c>
      <c r="V25" s="36">
        <v>59.409309</v>
      </c>
      <c r="W25" s="36">
        <v>57.491580999999996</v>
      </c>
      <c r="X25" s="36">
        <v>55.392539999999997</v>
      </c>
      <c r="Y25" s="36">
        <v>53.294220000000003</v>
      </c>
      <c r="Z25" s="36">
        <v>51.700512000000003</v>
      </c>
      <c r="AA25" s="36">
        <v>50.074767999999999</v>
      </c>
      <c r="AB25" s="36">
        <v>48.494079999999997</v>
      </c>
      <c r="AC25" s="36">
        <v>46.947510000000001</v>
      </c>
      <c r="AD25" s="36">
        <v>45.391232000000002</v>
      </c>
      <c r="AE25" s="36">
        <v>43.900664999999996</v>
      </c>
      <c r="AF25" s="35">
        <v>-3.7899000000000002E-2</v>
      </c>
      <c r="AG25" s="29"/>
    </row>
    <row r="26" spans="1:33" ht="15" customHeight="1">
      <c r="A26" s="34" t="s">
        <v>3096</v>
      </c>
      <c r="B26" s="37" t="s">
        <v>3097</v>
      </c>
      <c r="C26" s="36">
        <v>0</v>
      </c>
      <c r="D26" s="36">
        <v>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5" t="s">
        <v>1278</v>
      </c>
      <c r="AG26" s="29"/>
    </row>
    <row r="27" spans="1:33" ht="15" customHeight="1">
      <c r="A27" s="34" t="s">
        <v>3098</v>
      </c>
      <c r="B27" s="37" t="s">
        <v>3099</v>
      </c>
      <c r="C27" s="36">
        <v>129.506989</v>
      </c>
      <c r="D27" s="36">
        <v>114.999107</v>
      </c>
      <c r="E27" s="36">
        <v>112.23335299999999</v>
      </c>
      <c r="F27" s="36">
        <v>111.557175</v>
      </c>
      <c r="G27" s="36">
        <v>111.008202</v>
      </c>
      <c r="H27" s="36">
        <v>109.94358800000001</v>
      </c>
      <c r="I27" s="36">
        <v>107.980576</v>
      </c>
      <c r="J27" s="36">
        <v>103.468552</v>
      </c>
      <c r="K27" s="36">
        <v>98.988326999999998</v>
      </c>
      <c r="L27" s="36">
        <v>94.662056000000007</v>
      </c>
      <c r="M27" s="36">
        <v>90.175490999999994</v>
      </c>
      <c r="N27" s="36">
        <v>85.584014999999994</v>
      </c>
      <c r="O27" s="36">
        <v>81.229957999999996</v>
      </c>
      <c r="P27" s="36">
        <v>77.211348999999998</v>
      </c>
      <c r="Q27" s="36">
        <v>73.115020999999999</v>
      </c>
      <c r="R27" s="36">
        <v>68.982651000000004</v>
      </c>
      <c r="S27" s="36">
        <v>65.098808000000005</v>
      </c>
      <c r="T27" s="36">
        <v>62.891998000000001</v>
      </c>
      <c r="U27" s="36">
        <v>61.127392</v>
      </c>
      <c r="V27" s="36">
        <v>59.409309</v>
      </c>
      <c r="W27" s="36">
        <v>57.491580999999996</v>
      </c>
      <c r="X27" s="36">
        <v>55.392539999999997</v>
      </c>
      <c r="Y27" s="36">
        <v>53.294220000000003</v>
      </c>
      <c r="Z27" s="36">
        <v>51.700512000000003</v>
      </c>
      <c r="AA27" s="36">
        <v>50.074767999999999</v>
      </c>
      <c r="AB27" s="36">
        <v>48.494079999999997</v>
      </c>
      <c r="AC27" s="36">
        <v>46.947510000000001</v>
      </c>
      <c r="AD27" s="36">
        <v>45.391232000000002</v>
      </c>
      <c r="AE27" s="36">
        <v>43.900664999999996</v>
      </c>
      <c r="AF27" s="35">
        <v>-3.7899000000000002E-2</v>
      </c>
      <c r="AG27" s="29"/>
    </row>
    <row r="28" spans="1:33" ht="15" customHeight="1">
      <c r="A28" s="34" t="s">
        <v>3100</v>
      </c>
      <c r="B28" s="37" t="s">
        <v>2900</v>
      </c>
      <c r="C28" s="36">
        <v>47.745392000000002</v>
      </c>
      <c r="D28" s="36">
        <v>45.753166</v>
      </c>
      <c r="E28" s="36">
        <v>45.086005999999998</v>
      </c>
      <c r="F28" s="36">
        <v>45.600932999999998</v>
      </c>
      <c r="G28" s="36">
        <v>46.270781999999997</v>
      </c>
      <c r="H28" s="36">
        <v>46.699936000000001</v>
      </c>
      <c r="I28" s="36">
        <v>46.504925</v>
      </c>
      <c r="J28" s="36">
        <v>44.541308999999998</v>
      </c>
      <c r="K28" s="36">
        <v>42.712924999999998</v>
      </c>
      <c r="L28" s="36">
        <v>41.011524000000001</v>
      </c>
      <c r="M28" s="36">
        <v>39.203518000000003</v>
      </c>
      <c r="N28" s="36">
        <v>37.411448999999998</v>
      </c>
      <c r="O28" s="36">
        <v>35.764473000000002</v>
      </c>
      <c r="P28" s="36">
        <v>34.251193999999998</v>
      </c>
      <c r="Q28" s="36">
        <v>32.640968000000001</v>
      </c>
      <c r="R28" s="36">
        <v>30.947254000000001</v>
      </c>
      <c r="S28" s="36">
        <v>29.341141</v>
      </c>
      <c r="T28" s="36">
        <v>28.763016</v>
      </c>
      <c r="U28" s="36">
        <v>28.381231</v>
      </c>
      <c r="V28" s="36">
        <v>27.973917</v>
      </c>
      <c r="W28" s="36">
        <v>27.390049000000001</v>
      </c>
      <c r="X28" s="36">
        <v>26.6465</v>
      </c>
      <c r="Y28" s="36">
        <v>25.827397999999999</v>
      </c>
      <c r="Z28" s="36">
        <v>25.347525000000001</v>
      </c>
      <c r="AA28" s="36">
        <v>24.812138000000001</v>
      </c>
      <c r="AB28" s="36">
        <v>24.281094</v>
      </c>
      <c r="AC28" s="36">
        <v>23.761776000000001</v>
      </c>
      <c r="AD28" s="36">
        <v>23.188782</v>
      </c>
      <c r="AE28" s="36">
        <v>22.645282999999999</v>
      </c>
      <c r="AF28" s="35">
        <v>-2.6289E-2</v>
      </c>
      <c r="AG28" s="29"/>
    </row>
    <row r="29" spans="1:33" ht="15" customHeight="1">
      <c r="A29" s="34" t="s">
        <v>3101</v>
      </c>
      <c r="B29" s="37" t="s">
        <v>2796</v>
      </c>
      <c r="C29" s="36">
        <v>52.381343999999999</v>
      </c>
      <c r="D29" s="36">
        <v>51.058193000000003</v>
      </c>
      <c r="E29" s="36">
        <v>49.865845</v>
      </c>
      <c r="F29" s="36">
        <v>50.008628999999999</v>
      </c>
      <c r="G29" s="36">
        <v>50.511768000000004</v>
      </c>
      <c r="H29" s="36">
        <v>50.562660000000001</v>
      </c>
      <c r="I29" s="36">
        <v>50.166378000000002</v>
      </c>
      <c r="J29" s="36">
        <v>49.191352999999999</v>
      </c>
      <c r="K29" s="36">
        <v>48.55809</v>
      </c>
      <c r="L29" s="36">
        <v>48.078823</v>
      </c>
      <c r="M29" s="36">
        <v>47.382553000000001</v>
      </c>
      <c r="N29" s="36">
        <v>46.650351999999998</v>
      </c>
      <c r="O29" s="36">
        <v>46.199593</v>
      </c>
      <c r="P29" s="36">
        <v>46.044510000000002</v>
      </c>
      <c r="Q29" s="36">
        <v>45.738522000000003</v>
      </c>
      <c r="R29" s="36">
        <v>45.224280999999998</v>
      </c>
      <c r="S29" s="36">
        <v>44.784084</v>
      </c>
      <c r="T29" s="36">
        <v>44.268566</v>
      </c>
      <c r="U29" s="36">
        <v>43.932827000000003</v>
      </c>
      <c r="V29" s="36">
        <v>43.600273000000001</v>
      </c>
      <c r="W29" s="36">
        <v>43.178818</v>
      </c>
      <c r="X29" s="36">
        <v>42.588230000000003</v>
      </c>
      <c r="Y29" s="36">
        <v>42.131782999999999</v>
      </c>
      <c r="Z29" s="36">
        <v>41.85331</v>
      </c>
      <c r="AA29" s="36">
        <v>41.464354999999998</v>
      </c>
      <c r="AB29" s="36">
        <v>41.152144999999997</v>
      </c>
      <c r="AC29" s="36">
        <v>40.821987</v>
      </c>
      <c r="AD29" s="36">
        <v>40.441913999999997</v>
      </c>
      <c r="AE29" s="36">
        <v>40.120643999999999</v>
      </c>
      <c r="AF29" s="35">
        <v>-9.4780000000000003E-3</v>
      </c>
      <c r="AG29" s="29"/>
    </row>
    <row r="30" spans="1:33" ht="15" customHeight="1">
      <c r="A30" s="34" t="s">
        <v>3102</v>
      </c>
      <c r="B30" s="33" t="s">
        <v>2798</v>
      </c>
      <c r="C30" s="32">
        <v>406.88635299999999</v>
      </c>
      <c r="D30" s="32">
        <v>359.90185500000001</v>
      </c>
      <c r="E30" s="32">
        <v>367.90423600000003</v>
      </c>
      <c r="F30" s="32">
        <v>383.844177</v>
      </c>
      <c r="G30" s="32">
        <v>401.56607100000002</v>
      </c>
      <c r="H30" s="32">
        <v>417.58904999999999</v>
      </c>
      <c r="I30" s="32">
        <v>428.93045000000001</v>
      </c>
      <c r="J30" s="32">
        <v>427.26641799999999</v>
      </c>
      <c r="K30" s="32">
        <v>425.38986199999999</v>
      </c>
      <c r="L30" s="32">
        <v>423.12673999999998</v>
      </c>
      <c r="M30" s="32">
        <v>418.91751099999999</v>
      </c>
      <c r="N30" s="32">
        <v>412.93829299999999</v>
      </c>
      <c r="O30" s="32">
        <v>407.90628099999998</v>
      </c>
      <c r="P30" s="32">
        <v>404.34793100000002</v>
      </c>
      <c r="Q30" s="32">
        <v>400.55014</v>
      </c>
      <c r="R30" s="32">
        <v>395.01113900000001</v>
      </c>
      <c r="S30" s="32">
        <v>388.85150099999998</v>
      </c>
      <c r="T30" s="32">
        <v>388.34344499999997</v>
      </c>
      <c r="U30" s="32">
        <v>387.48410000000001</v>
      </c>
      <c r="V30" s="32">
        <v>386.65145899999999</v>
      </c>
      <c r="W30" s="32">
        <v>384.68118299999998</v>
      </c>
      <c r="X30" s="32">
        <v>380.96185300000002</v>
      </c>
      <c r="Y30" s="32">
        <v>376.30017099999998</v>
      </c>
      <c r="Z30" s="32">
        <v>374.426605</v>
      </c>
      <c r="AA30" s="32">
        <v>371.81478900000002</v>
      </c>
      <c r="AB30" s="32">
        <v>369.12802099999999</v>
      </c>
      <c r="AC30" s="32">
        <v>366.14169299999998</v>
      </c>
      <c r="AD30" s="32">
        <v>362.25616500000001</v>
      </c>
      <c r="AE30" s="32">
        <v>357.93826300000001</v>
      </c>
      <c r="AF30" s="31">
        <v>-4.5669999999999999E-3</v>
      </c>
      <c r="AG30" s="29"/>
    </row>
    <row r="31" spans="1:33" ht="15" customHeight="1">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row>
    <row r="32" spans="1:33" ht="15" customHeight="1">
      <c r="B32" s="33" t="s">
        <v>2903</v>
      </c>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row>
    <row r="33" spans="1:33" ht="15" customHeight="1">
      <c r="B33" s="33" t="s">
        <v>2904</v>
      </c>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row>
    <row r="34" spans="1:33" ht="12" customHeight="1">
      <c r="A34" s="34" t="s">
        <v>3103</v>
      </c>
      <c r="B34" s="37" t="s">
        <v>2772</v>
      </c>
      <c r="C34" s="38">
        <v>0.15107699999999999</v>
      </c>
      <c r="D34" s="38">
        <v>0.18085799999999999</v>
      </c>
      <c r="E34" s="38">
        <v>0.17816699999999999</v>
      </c>
      <c r="F34" s="38">
        <v>0.17974200000000001</v>
      </c>
      <c r="G34" s="38">
        <v>0.174538</v>
      </c>
      <c r="H34" s="38">
        <v>0.16839399999999999</v>
      </c>
      <c r="I34" s="38">
        <v>0.16075500000000001</v>
      </c>
      <c r="J34" s="38">
        <v>0.156694</v>
      </c>
      <c r="K34" s="38">
        <v>0.15229100000000001</v>
      </c>
      <c r="L34" s="38">
        <v>0.147759</v>
      </c>
      <c r="M34" s="38">
        <v>0.143812</v>
      </c>
      <c r="N34" s="38">
        <v>0.139956</v>
      </c>
      <c r="O34" s="38">
        <v>0.136069</v>
      </c>
      <c r="P34" s="38">
        <v>0.13214999999999999</v>
      </c>
      <c r="Q34" s="38">
        <v>0.12890199999999999</v>
      </c>
      <c r="R34" s="38">
        <v>0.12540399999999999</v>
      </c>
      <c r="S34" s="38">
        <v>0.12181500000000001</v>
      </c>
      <c r="T34" s="38">
        <v>0.119496</v>
      </c>
      <c r="U34" s="38">
        <v>0.117628</v>
      </c>
      <c r="V34" s="38">
        <v>0.11532299999999999</v>
      </c>
      <c r="W34" s="38">
        <v>0.113427</v>
      </c>
      <c r="X34" s="38">
        <v>0.110761</v>
      </c>
      <c r="Y34" s="38">
        <v>0.108028</v>
      </c>
      <c r="Z34" s="38">
        <v>0.10552499999999999</v>
      </c>
      <c r="AA34" s="38">
        <v>0.102439</v>
      </c>
      <c r="AB34" s="38">
        <v>0.10029200000000001</v>
      </c>
      <c r="AC34" s="38">
        <v>9.7748000000000002E-2</v>
      </c>
      <c r="AD34" s="38">
        <v>9.5254000000000005E-2</v>
      </c>
      <c r="AE34" s="38">
        <v>9.2724000000000001E-2</v>
      </c>
      <c r="AF34" s="35">
        <v>-1.7283E-2</v>
      </c>
      <c r="AG34" s="29"/>
    </row>
    <row r="35" spans="1:33" ht="12" customHeight="1">
      <c r="A35" s="34" t="s">
        <v>3104</v>
      </c>
      <c r="B35" s="37" t="s">
        <v>2770</v>
      </c>
      <c r="C35" s="38">
        <v>0</v>
      </c>
      <c r="D35" s="38">
        <v>0</v>
      </c>
      <c r="E35" s="38">
        <v>0</v>
      </c>
      <c r="F35" s="38">
        <v>0</v>
      </c>
      <c r="G35" s="38">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5" t="s">
        <v>1278</v>
      </c>
      <c r="AG35" s="29"/>
    </row>
    <row r="36" spans="1:33" ht="12" customHeight="1">
      <c r="A36" s="34" t="s">
        <v>3105</v>
      </c>
      <c r="B36" s="37" t="s">
        <v>2892</v>
      </c>
      <c r="C36" s="38">
        <v>0</v>
      </c>
      <c r="D36" s="38">
        <v>0</v>
      </c>
      <c r="E36" s="38">
        <v>0</v>
      </c>
      <c r="F36" s="38">
        <v>0</v>
      </c>
      <c r="G36" s="38">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5" t="s">
        <v>1278</v>
      </c>
      <c r="AG36" s="29"/>
    </row>
    <row r="37" spans="1:33" ht="12" customHeight="1">
      <c r="A37" s="34" t="s">
        <v>3106</v>
      </c>
      <c r="B37" s="37" t="s">
        <v>2776</v>
      </c>
      <c r="C37" s="38">
        <v>4.5999299999999996</v>
      </c>
      <c r="D37" s="38">
        <v>2.740237</v>
      </c>
      <c r="E37" s="38">
        <v>3.0114049999999999</v>
      </c>
      <c r="F37" s="38">
        <v>3.271115</v>
      </c>
      <c r="G37" s="38">
        <v>3.5515880000000002</v>
      </c>
      <c r="H37" s="38">
        <v>3.8410009999999999</v>
      </c>
      <c r="I37" s="38">
        <v>4.0792599999999997</v>
      </c>
      <c r="J37" s="38">
        <v>4.140917</v>
      </c>
      <c r="K37" s="38">
        <v>4.1778170000000001</v>
      </c>
      <c r="L37" s="38">
        <v>4.1973019999999996</v>
      </c>
      <c r="M37" s="38">
        <v>4.1926969999999999</v>
      </c>
      <c r="N37" s="38">
        <v>4.1695289999999998</v>
      </c>
      <c r="O37" s="38">
        <v>4.1117270000000001</v>
      </c>
      <c r="P37" s="38">
        <v>4.0078269999999998</v>
      </c>
      <c r="Q37" s="38">
        <v>3.8948659999999999</v>
      </c>
      <c r="R37" s="38">
        <v>3.775029</v>
      </c>
      <c r="S37" s="38">
        <v>3.6544500000000002</v>
      </c>
      <c r="T37" s="38">
        <v>3.5901730000000001</v>
      </c>
      <c r="U37" s="38">
        <v>3.5400360000000002</v>
      </c>
      <c r="V37" s="38">
        <v>3.4805510000000002</v>
      </c>
      <c r="W37" s="38">
        <v>3.4065300000000001</v>
      </c>
      <c r="X37" s="38">
        <v>3.3264689999999999</v>
      </c>
      <c r="Y37" s="38">
        <v>3.2136960000000001</v>
      </c>
      <c r="Z37" s="38">
        <v>3.1316929999999998</v>
      </c>
      <c r="AA37" s="38">
        <v>3.05084</v>
      </c>
      <c r="AB37" s="38">
        <v>2.969703</v>
      </c>
      <c r="AC37" s="38">
        <v>2.89621</v>
      </c>
      <c r="AD37" s="38">
        <v>2.8169339999999998</v>
      </c>
      <c r="AE37" s="38">
        <v>2.7349480000000002</v>
      </c>
      <c r="AF37" s="35">
        <v>-1.8398000000000001E-2</v>
      </c>
      <c r="AG37" s="29"/>
    </row>
    <row r="38" spans="1:33" ht="12" customHeight="1">
      <c r="A38" s="34" t="s">
        <v>3107</v>
      </c>
      <c r="B38" s="37" t="s">
        <v>2894</v>
      </c>
      <c r="C38" s="38">
        <v>0</v>
      </c>
      <c r="D38" s="38">
        <v>0</v>
      </c>
      <c r="E38" s="38">
        <v>0</v>
      </c>
      <c r="F38" s="38">
        <v>0</v>
      </c>
      <c r="G38" s="38">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5" t="s">
        <v>1278</v>
      </c>
      <c r="AG38" s="29"/>
    </row>
    <row r="39" spans="1:33" ht="12" customHeight="1">
      <c r="A39" s="34" t="s">
        <v>3108</v>
      </c>
      <c r="B39" s="37" t="s">
        <v>2782</v>
      </c>
      <c r="C39" s="38">
        <v>4.7510070000000004</v>
      </c>
      <c r="D39" s="38">
        <v>2.9210950000000002</v>
      </c>
      <c r="E39" s="38">
        <v>3.1895730000000002</v>
      </c>
      <c r="F39" s="38">
        <v>3.4508570000000001</v>
      </c>
      <c r="G39" s="38">
        <v>3.7261250000000001</v>
      </c>
      <c r="H39" s="38">
        <v>4.0093949999999996</v>
      </c>
      <c r="I39" s="38">
        <v>4.2400149999999996</v>
      </c>
      <c r="J39" s="38">
        <v>4.2976109999999998</v>
      </c>
      <c r="K39" s="38">
        <v>4.3301090000000002</v>
      </c>
      <c r="L39" s="38">
        <v>4.3450620000000004</v>
      </c>
      <c r="M39" s="38">
        <v>4.3365080000000003</v>
      </c>
      <c r="N39" s="38">
        <v>4.3094849999999996</v>
      </c>
      <c r="O39" s="38">
        <v>4.2477960000000001</v>
      </c>
      <c r="P39" s="38">
        <v>4.139977</v>
      </c>
      <c r="Q39" s="38">
        <v>4.0237679999999996</v>
      </c>
      <c r="R39" s="38">
        <v>3.900433</v>
      </c>
      <c r="S39" s="38">
        <v>3.776265</v>
      </c>
      <c r="T39" s="38">
        <v>3.7096689999999999</v>
      </c>
      <c r="U39" s="38">
        <v>3.657664</v>
      </c>
      <c r="V39" s="38">
        <v>3.5958749999999999</v>
      </c>
      <c r="W39" s="38">
        <v>3.5199569999999998</v>
      </c>
      <c r="X39" s="38">
        <v>3.4372289999999999</v>
      </c>
      <c r="Y39" s="38">
        <v>3.3217240000000001</v>
      </c>
      <c r="Z39" s="38">
        <v>3.2372179999999999</v>
      </c>
      <c r="AA39" s="38">
        <v>3.1532789999999999</v>
      </c>
      <c r="AB39" s="38">
        <v>3.069995</v>
      </c>
      <c r="AC39" s="38">
        <v>2.9939589999999998</v>
      </c>
      <c r="AD39" s="38">
        <v>2.912188</v>
      </c>
      <c r="AE39" s="38">
        <v>2.8276720000000002</v>
      </c>
      <c r="AF39" s="35">
        <v>-1.8362E-2</v>
      </c>
      <c r="AG39" s="29"/>
    </row>
    <row r="40" spans="1:33" ht="12" customHeight="1">
      <c r="A40" s="34" t="s">
        <v>3109</v>
      </c>
      <c r="B40" s="37" t="s">
        <v>2784</v>
      </c>
      <c r="C40" s="38">
        <v>6.2709669999999997</v>
      </c>
      <c r="D40" s="38">
        <v>6.7176099999999996</v>
      </c>
      <c r="E40" s="38">
        <v>7.4018050000000004</v>
      </c>
      <c r="F40" s="38">
        <v>8.0062709999999999</v>
      </c>
      <c r="G40" s="38">
        <v>8.6515559999999994</v>
      </c>
      <c r="H40" s="38">
        <v>9.2995350000000006</v>
      </c>
      <c r="I40" s="38">
        <v>9.8198129999999999</v>
      </c>
      <c r="J40" s="38">
        <v>9.9544080000000008</v>
      </c>
      <c r="K40" s="38">
        <v>10.056535999999999</v>
      </c>
      <c r="L40" s="38">
        <v>10.128727</v>
      </c>
      <c r="M40" s="38">
        <v>10.184497</v>
      </c>
      <c r="N40" s="38">
        <v>10.224608</v>
      </c>
      <c r="O40" s="38">
        <v>10.273149</v>
      </c>
      <c r="P40" s="38">
        <v>10.29006</v>
      </c>
      <c r="Q40" s="38">
        <v>10.362511</v>
      </c>
      <c r="R40" s="38">
        <v>10.389513000000001</v>
      </c>
      <c r="S40" s="38">
        <v>10.350265</v>
      </c>
      <c r="T40" s="38">
        <v>10.460025</v>
      </c>
      <c r="U40" s="38">
        <v>10.450657</v>
      </c>
      <c r="V40" s="38">
        <v>10.435898999999999</v>
      </c>
      <c r="W40" s="38">
        <v>10.434901999999999</v>
      </c>
      <c r="X40" s="38">
        <v>10.436579999999999</v>
      </c>
      <c r="Y40" s="38">
        <v>10.328901999999999</v>
      </c>
      <c r="Z40" s="38">
        <v>10.264239</v>
      </c>
      <c r="AA40" s="38">
        <v>10.207267999999999</v>
      </c>
      <c r="AB40" s="38">
        <v>10.140606999999999</v>
      </c>
      <c r="AC40" s="38">
        <v>10.085618999999999</v>
      </c>
      <c r="AD40" s="38">
        <v>10.006995</v>
      </c>
      <c r="AE40" s="38">
        <v>9.8785740000000004</v>
      </c>
      <c r="AF40" s="35">
        <v>1.6362000000000002E-2</v>
      </c>
      <c r="AG40" s="29"/>
    </row>
    <row r="41" spans="1:33" ht="12" customHeight="1">
      <c r="A41" s="34" t="s">
        <v>3110</v>
      </c>
      <c r="B41" s="37" t="s">
        <v>2898</v>
      </c>
      <c r="C41" s="38">
        <v>8.0530410000000003</v>
      </c>
      <c r="D41" s="38">
        <v>7.4848549999999996</v>
      </c>
      <c r="E41" s="38">
        <v>7.396172</v>
      </c>
      <c r="F41" s="38">
        <v>7.2342279999999999</v>
      </c>
      <c r="G41" s="38">
        <v>7.0908110000000004</v>
      </c>
      <c r="H41" s="38">
        <v>6.9550879999999999</v>
      </c>
      <c r="I41" s="38">
        <v>6.7692079999999999</v>
      </c>
      <c r="J41" s="38">
        <v>6.409643</v>
      </c>
      <c r="K41" s="38">
        <v>6.0566779999999998</v>
      </c>
      <c r="L41" s="38">
        <v>5.7237489999999998</v>
      </c>
      <c r="M41" s="38">
        <v>5.4074200000000001</v>
      </c>
      <c r="N41" s="38">
        <v>5.1127190000000002</v>
      </c>
      <c r="O41" s="38">
        <v>4.8200919999999998</v>
      </c>
      <c r="P41" s="38">
        <v>4.5136880000000001</v>
      </c>
      <c r="Q41" s="38">
        <v>4.2233660000000004</v>
      </c>
      <c r="R41" s="38">
        <v>3.9452910000000001</v>
      </c>
      <c r="S41" s="38">
        <v>3.68397</v>
      </c>
      <c r="T41" s="38">
        <v>3.5304679999999999</v>
      </c>
      <c r="U41" s="38">
        <v>3.3947240000000001</v>
      </c>
      <c r="V41" s="38">
        <v>3.2605490000000001</v>
      </c>
      <c r="W41" s="38">
        <v>3.1263529999999999</v>
      </c>
      <c r="X41" s="38">
        <v>2.9980560000000001</v>
      </c>
      <c r="Y41" s="38">
        <v>2.8524159999999998</v>
      </c>
      <c r="Z41" s="38">
        <v>2.731754</v>
      </c>
      <c r="AA41" s="38">
        <v>2.6188720000000001</v>
      </c>
      <c r="AB41" s="38">
        <v>2.5103219999999999</v>
      </c>
      <c r="AC41" s="38">
        <v>2.4117380000000002</v>
      </c>
      <c r="AD41" s="38">
        <v>2.315712</v>
      </c>
      <c r="AE41" s="38">
        <v>2.2199589999999998</v>
      </c>
      <c r="AF41" s="35">
        <v>-4.4977000000000003E-2</v>
      </c>
      <c r="AG41" s="29"/>
    </row>
    <row r="42" spans="1:33" ht="12" customHeight="1">
      <c r="A42" s="34" t="s">
        <v>3111</v>
      </c>
      <c r="B42" s="37" t="s">
        <v>3097</v>
      </c>
      <c r="C42" s="38">
        <v>0</v>
      </c>
      <c r="D42" s="38">
        <v>0</v>
      </c>
      <c r="E42" s="38">
        <v>0</v>
      </c>
      <c r="F42" s="38">
        <v>0</v>
      </c>
      <c r="G42" s="38">
        <v>0</v>
      </c>
      <c r="H42" s="38">
        <v>0</v>
      </c>
      <c r="I42" s="38">
        <v>0</v>
      </c>
      <c r="J42" s="38">
        <v>0</v>
      </c>
      <c r="K42" s="38">
        <v>0</v>
      </c>
      <c r="L42" s="38">
        <v>0</v>
      </c>
      <c r="M42" s="38">
        <v>0</v>
      </c>
      <c r="N42" s="38">
        <v>0</v>
      </c>
      <c r="O42" s="38">
        <v>0</v>
      </c>
      <c r="P42" s="38">
        <v>0</v>
      </c>
      <c r="Q42" s="38">
        <v>0</v>
      </c>
      <c r="R42" s="38">
        <v>0</v>
      </c>
      <c r="S42" s="38">
        <v>0</v>
      </c>
      <c r="T42" s="38">
        <v>0</v>
      </c>
      <c r="U42" s="38">
        <v>0</v>
      </c>
      <c r="V42" s="38">
        <v>0</v>
      </c>
      <c r="W42" s="38">
        <v>0</v>
      </c>
      <c r="X42" s="38">
        <v>0</v>
      </c>
      <c r="Y42" s="38">
        <v>0</v>
      </c>
      <c r="Z42" s="38">
        <v>0</v>
      </c>
      <c r="AA42" s="38">
        <v>0</v>
      </c>
      <c r="AB42" s="38">
        <v>0</v>
      </c>
      <c r="AC42" s="38">
        <v>0</v>
      </c>
      <c r="AD42" s="38">
        <v>0</v>
      </c>
      <c r="AE42" s="38">
        <v>0</v>
      </c>
      <c r="AF42" s="35" t="s">
        <v>1278</v>
      </c>
      <c r="AG42" s="29"/>
    </row>
    <row r="43" spans="1:33" ht="12" customHeight="1">
      <c r="A43" s="34" t="s">
        <v>3112</v>
      </c>
      <c r="B43" s="37" t="s">
        <v>3099</v>
      </c>
      <c r="C43" s="38">
        <v>8.0530410000000003</v>
      </c>
      <c r="D43" s="38">
        <v>7.4848549999999996</v>
      </c>
      <c r="E43" s="38">
        <v>7.396172</v>
      </c>
      <c r="F43" s="38">
        <v>7.2342279999999999</v>
      </c>
      <c r="G43" s="38">
        <v>7.0908110000000004</v>
      </c>
      <c r="H43" s="38">
        <v>6.9550879999999999</v>
      </c>
      <c r="I43" s="38">
        <v>6.7692079999999999</v>
      </c>
      <c r="J43" s="38">
        <v>6.409643</v>
      </c>
      <c r="K43" s="38">
        <v>6.0566779999999998</v>
      </c>
      <c r="L43" s="38">
        <v>5.7237489999999998</v>
      </c>
      <c r="M43" s="38">
        <v>5.4074200000000001</v>
      </c>
      <c r="N43" s="38">
        <v>5.1127190000000002</v>
      </c>
      <c r="O43" s="38">
        <v>4.8200919999999998</v>
      </c>
      <c r="P43" s="38">
        <v>4.5136880000000001</v>
      </c>
      <c r="Q43" s="38">
        <v>4.2233660000000004</v>
      </c>
      <c r="R43" s="38">
        <v>3.9452910000000001</v>
      </c>
      <c r="S43" s="38">
        <v>3.68397</v>
      </c>
      <c r="T43" s="38">
        <v>3.5304679999999999</v>
      </c>
      <c r="U43" s="38">
        <v>3.3947240000000001</v>
      </c>
      <c r="V43" s="38">
        <v>3.2605490000000001</v>
      </c>
      <c r="W43" s="38">
        <v>3.1263529999999999</v>
      </c>
      <c r="X43" s="38">
        <v>2.9980560000000001</v>
      </c>
      <c r="Y43" s="38">
        <v>2.8524159999999998</v>
      </c>
      <c r="Z43" s="38">
        <v>2.731754</v>
      </c>
      <c r="AA43" s="38">
        <v>2.6188720000000001</v>
      </c>
      <c r="AB43" s="38">
        <v>2.5103219999999999</v>
      </c>
      <c r="AC43" s="38">
        <v>2.4117380000000002</v>
      </c>
      <c r="AD43" s="38">
        <v>2.315712</v>
      </c>
      <c r="AE43" s="38">
        <v>2.2199589999999998</v>
      </c>
      <c r="AF43" s="35">
        <v>-4.4977000000000003E-2</v>
      </c>
      <c r="AG43" s="29"/>
    </row>
    <row r="44" spans="1:33" ht="12" customHeight="1">
      <c r="A44" s="34" t="s">
        <v>3113</v>
      </c>
      <c r="B44" s="37" t="s">
        <v>2900</v>
      </c>
      <c r="C44" s="38">
        <v>2.9689179999999999</v>
      </c>
      <c r="D44" s="38">
        <v>2.9779</v>
      </c>
      <c r="E44" s="38">
        <v>2.9711650000000001</v>
      </c>
      <c r="F44" s="38">
        <v>2.9571160000000001</v>
      </c>
      <c r="G44" s="38">
        <v>2.9556140000000002</v>
      </c>
      <c r="H44" s="38">
        <v>2.9542619999999999</v>
      </c>
      <c r="I44" s="38">
        <v>2.9153530000000001</v>
      </c>
      <c r="J44" s="38">
        <v>2.759233</v>
      </c>
      <c r="K44" s="38">
        <v>2.6134240000000002</v>
      </c>
      <c r="L44" s="38">
        <v>2.479765</v>
      </c>
      <c r="M44" s="38">
        <v>2.3508589999999998</v>
      </c>
      <c r="N44" s="38">
        <v>2.2349290000000002</v>
      </c>
      <c r="O44" s="38">
        <v>2.1222219999999998</v>
      </c>
      <c r="P44" s="38">
        <v>2.0022859999999998</v>
      </c>
      <c r="Q44" s="38">
        <v>1.8854500000000001</v>
      </c>
      <c r="R44" s="38">
        <v>1.7699510000000001</v>
      </c>
      <c r="S44" s="38">
        <v>1.660428</v>
      </c>
      <c r="T44" s="38">
        <v>1.6146240000000001</v>
      </c>
      <c r="U44" s="38">
        <v>1.5761590000000001</v>
      </c>
      <c r="V44" s="38">
        <v>1.5352870000000001</v>
      </c>
      <c r="W44" s="38">
        <v>1.489452</v>
      </c>
      <c r="X44" s="38">
        <v>1.4422109999999999</v>
      </c>
      <c r="Y44" s="38">
        <v>1.3823350000000001</v>
      </c>
      <c r="Z44" s="38">
        <v>1.3393139999999999</v>
      </c>
      <c r="AA44" s="38">
        <v>1.2976559999999999</v>
      </c>
      <c r="AB44" s="38">
        <v>1.2569239999999999</v>
      </c>
      <c r="AC44" s="38">
        <v>1.2206649999999999</v>
      </c>
      <c r="AD44" s="38">
        <v>1.1830160000000001</v>
      </c>
      <c r="AE44" s="38">
        <v>1.1451210000000001</v>
      </c>
      <c r="AF44" s="35">
        <v>-3.3452000000000003E-2</v>
      </c>
      <c r="AG44" s="29"/>
    </row>
    <row r="45" spans="1:33" ht="12" customHeight="1">
      <c r="A45" s="34" t="s">
        <v>3114</v>
      </c>
      <c r="B45" s="37" t="s">
        <v>2796</v>
      </c>
      <c r="C45" s="38">
        <v>3.2571919999999999</v>
      </c>
      <c r="D45" s="38">
        <v>3.3231839999999999</v>
      </c>
      <c r="E45" s="38">
        <v>3.2861570000000002</v>
      </c>
      <c r="F45" s="38">
        <v>3.2429450000000002</v>
      </c>
      <c r="G45" s="38">
        <v>3.2265130000000002</v>
      </c>
      <c r="H45" s="38">
        <v>3.19862</v>
      </c>
      <c r="I45" s="38">
        <v>3.1448860000000001</v>
      </c>
      <c r="J45" s="38">
        <v>3.0472929999999998</v>
      </c>
      <c r="K45" s="38">
        <v>2.9710649999999998</v>
      </c>
      <c r="L45" s="38">
        <v>2.9070900000000002</v>
      </c>
      <c r="M45" s="38">
        <v>2.8413189999999999</v>
      </c>
      <c r="N45" s="38">
        <v>2.7868539999999999</v>
      </c>
      <c r="O45" s="38">
        <v>2.741431</v>
      </c>
      <c r="P45" s="38">
        <v>2.69171</v>
      </c>
      <c r="Q45" s="38">
        <v>2.6420089999999998</v>
      </c>
      <c r="R45" s="38">
        <v>2.58649</v>
      </c>
      <c r="S45" s="38">
        <v>2.534351</v>
      </c>
      <c r="T45" s="38">
        <v>2.4850340000000002</v>
      </c>
      <c r="U45" s="38">
        <v>2.4398200000000001</v>
      </c>
      <c r="V45" s="38">
        <v>2.3929049999999998</v>
      </c>
      <c r="W45" s="38">
        <v>2.3480349999999999</v>
      </c>
      <c r="X45" s="38">
        <v>2.3050380000000001</v>
      </c>
      <c r="Y45" s="38">
        <v>2.2549790000000001</v>
      </c>
      <c r="Z45" s="38">
        <v>2.2114470000000002</v>
      </c>
      <c r="AA45" s="38">
        <v>2.1685539999999999</v>
      </c>
      <c r="AB45" s="38">
        <v>2.1302629999999998</v>
      </c>
      <c r="AC45" s="38">
        <v>2.097064</v>
      </c>
      <c r="AD45" s="38">
        <v>2.0632139999999999</v>
      </c>
      <c r="AE45" s="38">
        <v>2.0288110000000001</v>
      </c>
      <c r="AF45" s="35">
        <v>-1.6766E-2</v>
      </c>
      <c r="AG45" s="29"/>
    </row>
    <row r="46" spans="1:33" ht="12" customHeight="1">
      <c r="A46" s="34" t="s">
        <v>3115</v>
      </c>
      <c r="B46" s="33" t="s">
        <v>2798</v>
      </c>
      <c r="C46" s="39">
        <v>25.301124999999999</v>
      </c>
      <c r="D46" s="39">
        <v>23.424643</v>
      </c>
      <c r="E46" s="39">
        <v>24.244872999999998</v>
      </c>
      <c r="F46" s="39">
        <v>24.891418000000002</v>
      </c>
      <c r="G46" s="39">
        <v>25.65062</v>
      </c>
      <c r="H46" s="39">
        <v>26.416899000000001</v>
      </c>
      <c r="I46" s="39">
        <v>26.889277</v>
      </c>
      <c r="J46" s="39">
        <v>26.468187</v>
      </c>
      <c r="K46" s="39">
        <v>26.027812999999998</v>
      </c>
      <c r="L46" s="39">
        <v>25.584392999999999</v>
      </c>
      <c r="M46" s="39">
        <v>25.120604</v>
      </c>
      <c r="N46" s="39">
        <v>24.668596000000001</v>
      </c>
      <c r="O46" s="39">
        <v>24.204688999999998</v>
      </c>
      <c r="P46" s="39">
        <v>23.637722</v>
      </c>
      <c r="Q46" s="39">
        <v>23.137101999999999</v>
      </c>
      <c r="R46" s="39">
        <v>22.591678999999999</v>
      </c>
      <c r="S46" s="39">
        <v>22.005281</v>
      </c>
      <c r="T46" s="39">
        <v>21.79982</v>
      </c>
      <c r="U46" s="39">
        <v>21.519024000000002</v>
      </c>
      <c r="V46" s="39">
        <v>21.220511999999999</v>
      </c>
      <c r="W46" s="39">
        <v>20.918697000000002</v>
      </c>
      <c r="X46" s="39">
        <v>20.619114</v>
      </c>
      <c r="Y46" s="39">
        <v>20.140357999999999</v>
      </c>
      <c r="Z46" s="39">
        <v>19.783971999999999</v>
      </c>
      <c r="AA46" s="39">
        <v>19.445627000000002</v>
      </c>
      <c r="AB46" s="39">
        <v>19.10811</v>
      </c>
      <c r="AC46" s="39">
        <v>18.809045999999999</v>
      </c>
      <c r="AD46" s="39">
        <v>18.481127000000001</v>
      </c>
      <c r="AE46" s="39">
        <v>18.100135999999999</v>
      </c>
      <c r="AF46" s="31">
        <v>-1.1891000000000001E-2</v>
      </c>
      <c r="AG46" s="29"/>
    </row>
    <row r="47" spans="1:33" ht="12" customHeight="1">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row>
    <row r="48" spans="1:33" ht="12" customHeight="1">
      <c r="B48" s="33" t="s">
        <v>3116</v>
      </c>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row>
    <row r="49" spans="1:33" ht="12" customHeight="1">
      <c r="A49" s="34" t="s">
        <v>3117</v>
      </c>
      <c r="B49" s="33" t="s">
        <v>3118</v>
      </c>
      <c r="C49" s="40">
        <v>31.273962000000001</v>
      </c>
      <c r="D49" s="40">
        <v>26.406459999999999</v>
      </c>
      <c r="E49" s="40">
        <v>26.775784000000002</v>
      </c>
      <c r="F49" s="40">
        <v>27.385943999999999</v>
      </c>
      <c r="G49" s="40">
        <v>27.928796999999999</v>
      </c>
      <c r="H49" s="40">
        <v>28.391689</v>
      </c>
      <c r="I49" s="40">
        <v>28.633458999999998</v>
      </c>
      <c r="J49" s="40">
        <v>28.190646999999998</v>
      </c>
      <c r="K49" s="40">
        <v>27.816240000000001</v>
      </c>
      <c r="L49" s="40">
        <v>27.547308000000001</v>
      </c>
      <c r="M49" s="40">
        <v>27.178433999999999</v>
      </c>
      <c r="N49" s="40">
        <v>26.750516999999999</v>
      </c>
      <c r="O49" s="40">
        <v>26.302999</v>
      </c>
      <c r="P49" s="40">
        <v>25.966851999999999</v>
      </c>
      <c r="Q49" s="40">
        <v>25.609082999999998</v>
      </c>
      <c r="R49" s="40">
        <v>25.139437000000001</v>
      </c>
      <c r="S49" s="40">
        <v>24.636219000000001</v>
      </c>
      <c r="T49" s="40">
        <v>24.499009999999998</v>
      </c>
      <c r="U49" s="40">
        <v>24.377499</v>
      </c>
      <c r="V49" s="40">
        <v>24.272955</v>
      </c>
      <c r="W49" s="40">
        <v>24.084845999999999</v>
      </c>
      <c r="X49" s="40">
        <v>23.766152999999999</v>
      </c>
      <c r="Y49" s="40">
        <v>23.368887000000001</v>
      </c>
      <c r="Z49" s="40">
        <v>23.160187000000001</v>
      </c>
      <c r="AA49" s="40">
        <v>22.895406999999999</v>
      </c>
      <c r="AB49" s="40">
        <v>22.648603000000001</v>
      </c>
      <c r="AC49" s="40">
        <v>22.378906000000001</v>
      </c>
      <c r="AD49" s="40">
        <v>22.066917</v>
      </c>
      <c r="AE49" s="40">
        <v>21.722746000000001</v>
      </c>
      <c r="AF49" s="31">
        <v>-1.2931E-2</v>
      </c>
      <c r="AG49" s="29"/>
    </row>
    <row r="50" spans="1:33" ht="15" customHeight="1">
      <c r="A50" s="34" t="s">
        <v>3119</v>
      </c>
      <c r="B50" s="33" t="s">
        <v>3120</v>
      </c>
      <c r="C50" s="40">
        <v>57.491928000000001</v>
      </c>
      <c r="D50" s="40">
        <v>54.324615000000001</v>
      </c>
      <c r="E50" s="40">
        <v>53.228988999999999</v>
      </c>
      <c r="F50" s="40">
        <v>53.965744000000001</v>
      </c>
      <c r="G50" s="40">
        <v>54.824553999999999</v>
      </c>
      <c r="H50" s="40">
        <v>55.318935000000003</v>
      </c>
      <c r="I50" s="40">
        <v>55.721148999999997</v>
      </c>
      <c r="J50" s="40">
        <v>56.298698000000002</v>
      </c>
      <c r="K50" s="40">
        <v>57.015514000000003</v>
      </c>
      <c r="L50" s="40">
        <v>57.839511999999999</v>
      </c>
      <c r="M50" s="40">
        <v>58.385646999999999</v>
      </c>
      <c r="N50" s="40">
        <v>58.756644999999999</v>
      </c>
      <c r="O50" s="40">
        <v>59.390354000000002</v>
      </c>
      <c r="P50" s="40">
        <v>60.476706999999998</v>
      </c>
      <c r="Q50" s="40">
        <v>61.364212000000002</v>
      </c>
      <c r="R50" s="40">
        <v>62.011741999999998</v>
      </c>
      <c r="S50" s="40">
        <v>62.721111000000001</v>
      </c>
      <c r="T50" s="40">
        <v>63.292853999999998</v>
      </c>
      <c r="U50" s="40">
        <v>64.089966000000004</v>
      </c>
      <c r="V50" s="40">
        <v>64.967094000000003</v>
      </c>
      <c r="W50" s="40">
        <v>65.720191999999997</v>
      </c>
      <c r="X50" s="40">
        <v>66.221748000000005</v>
      </c>
      <c r="Y50" s="40">
        <v>67.146675000000002</v>
      </c>
      <c r="Z50" s="40">
        <v>68.136414000000002</v>
      </c>
      <c r="AA50" s="40">
        <v>68.904235999999997</v>
      </c>
      <c r="AB50" s="40">
        <v>69.716469000000004</v>
      </c>
      <c r="AC50" s="40">
        <v>70.409081</v>
      </c>
      <c r="AD50" s="40">
        <v>71.012726000000001</v>
      </c>
      <c r="AE50" s="40">
        <v>71.750275000000002</v>
      </c>
      <c r="AF50" s="31">
        <v>7.9439999999999997E-3</v>
      </c>
      <c r="AG50" s="29"/>
    </row>
    <row r="51" spans="1:33" ht="15" customHeight="1">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row>
    <row r="52" spans="1:33" ht="15" customHeight="1">
      <c r="B52" s="33" t="s">
        <v>3028</v>
      </c>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row>
    <row r="53" spans="1:33" ht="15" customHeight="1">
      <c r="B53" s="33" t="s">
        <v>2841</v>
      </c>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row>
    <row r="54" spans="1:33" ht="15" customHeight="1">
      <c r="A54" s="34" t="s">
        <v>3121</v>
      </c>
      <c r="B54" s="37" t="s">
        <v>2551</v>
      </c>
      <c r="C54" s="38">
        <v>6.7599999999999993E-2</v>
      </c>
      <c r="D54" s="38">
        <v>6.7599999999999993E-2</v>
      </c>
      <c r="E54" s="38">
        <v>6.7599999999999993E-2</v>
      </c>
      <c r="F54" s="38">
        <v>6.7599999999999993E-2</v>
      </c>
      <c r="G54" s="38">
        <v>6.7599999999999993E-2</v>
      </c>
      <c r="H54" s="38">
        <v>6.7599999999999993E-2</v>
      </c>
      <c r="I54" s="38">
        <v>6.7599999999999993E-2</v>
      </c>
      <c r="J54" s="38">
        <v>6.7599999999999993E-2</v>
      </c>
      <c r="K54" s="38">
        <v>6.7599999999999993E-2</v>
      </c>
      <c r="L54" s="38">
        <v>6.7599999999999993E-2</v>
      </c>
      <c r="M54" s="38">
        <v>6.7599999999999993E-2</v>
      </c>
      <c r="N54" s="38">
        <v>6.7599999999999993E-2</v>
      </c>
      <c r="O54" s="38">
        <v>6.7599999999999993E-2</v>
      </c>
      <c r="P54" s="38">
        <v>6.7599999999999993E-2</v>
      </c>
      <c r="Q54" s="38">
        <v>6.7599999999999993E-2</v>
      </c>
      <c r="R54" s="38">
        <v>6.7599999999999993E-2</v>
      </c>
      <c r="S54" s="38">
        <v>6.7599999999999993E-2</v>
      </c>
      <c r="T54" s="38">
        <v>6.7599999999999993E-2</v>
      </c>
      <c r="U54" s="38">
        <v>6.7599999999999993E-2</v>
      </c>
      <c r="V54" s="38">
        <v>6.7599999999999993E-2</v>
      </c>
      <c r="W54" s="38">
        <v>6.7599999999999993E-2</v>
      </c>
      <c r="X54" s="38">
        <v>6.7599999999999993E-2</v>
      </c>
      <c r="Y54" s="38">
        <v>6.7599999999999993E-2</v>
      </c>
      <c r="Z54" s="38">
        <v>6.7599999999999993E-2</v>
      </c>
      <c r="AA54" s="38">
        <v>6.7599999999999993E-2</v>
      </c>
      <c r="AB54" s="38">
        <v>6.7599999999999993E-2</v>
      </c>
      <c r="AC54" s="38">
        <v>6.7599999999999993E-2</v>
      </c>
      <c r="AD54" s="38">
        <v>6.7599999999999993E-2</v>
      </c>
      <c r="AE54" s="38">
        <v>6.7599999999999993E-2</v>
      </c>
      <c r="AF54" s="35">
        <v>0</v>
      </c>
      <c r="AG54" s="29"/>
    </row>
    <row r="55" spans="1:33" ht="15" customHeight="1">
      <c r="A55" s="34" t="s">
        <v>3122</v>
      </c>
      <c r="B55" s="37" t="s">
        <v>2553</v>
      </c>
      <c r="C55" s="38">
        <v>8.3059999999999991E-3</v>
      </c>
      <c r="D55" s="38">
        <v>8.3059999999999991E-3</v>
      </c>
      <c r="E55" s="38">
        <v>8.3059999999999991E-3</v>
      </c>
      <c r="F55" s="38">
        <v>8.3059999999999991E-3</v>
      </c>
      <c r="G55" s="38">
        <v>8.3059999999999991E-3</v>
      </c>
      <c r="H55" s="38">
        <v>8.3059999999999991E-3</v>
      </c>
      <c r="I55" s="38">
        <v>8.3059999999999991E-3</v>
      </c>
      <c r="J55" s="38">
        <v>8.3059999999999991E-3</v>
      </c>
      <c r="K55" s="38">
        <v>8.3059999999999991E-3</v>
      </c>
      <c r="L55" s="38">
        <v>8.3059999999999991E-3</v>
      </c>
      <c r="M55" s="38">
        <v>8.3059999999999991E-3</v>
      </c>
      <c r="N55" s="38">
        <v>8.3059999999999991E-3</v>
      </c>
      <c r="O55" s="38">
        <v>8.3059999999999991E-3</v>
      </c>
      <c r="P55" s="38">
        <v>8.3059999999999991E-3</v>
      </c>
      <c r="Q55" s="38">
        <v>8.3059999999999991E-3</v>
      </c>
      <c r="R55" s="38">
        <v>8.3070000000000001E-3</v>
      </c>
      <c r="S55" s="38">
        <v>8.3070000000000001E-3</v>
      </c>
      <c r="T55" s="38">
        <v>8.3070000000000001E-3</v>
      </c>
      <c r="U55" s="38">
        <v>8.3079999999999994E-3</v>
      </c>
      <c r="V55" s="38">
        <v>8.3079999999999994E-3</v>
      </c>
      <c r="W55" s="38">
        <v>8.3090000000000004E-3</v>
      </c>
      <c r="X55" s="38">
        <v>8.3090000000000004E-3</v>
      </c>
      <c r="Y55" s="38">
        <v>8.3099999999999997E-3</v>
      </c>
      <c r="Z55" s="38">
        <v>8.3110000000000007E-3</v>
      </c>
      <c r="AA55" s="38">
        <v>8.3110000000000007E-3</v>
      </c>
      <c r="AB55" s="38">
        <v>8.3119999999999999E-3</v>
      </c>
      <c r="AC55" s="38">
        <v>8.3129999999999992E-3</v>
      </c>
      <c r="AD55" s="38">
        <v>8.3129999999999992E-3</v>
      </c>
      <c r="AE55" s="38">
        <v>8.3140000000000002E-3</v>
      </c>
      <c r="AF55" s="35">
        <v>3.4E-5</v>
      </c>
      <c r="AG55" s="29"/>
    </row>
    <row r="56" spans="1:33" ht="15" customHeight="1">
      <c r="A56" s="34" t="s">
        <v>3123</v>
      </c>
      <c r="B56" s="37" t="s">
        <v>2500</v>
      </c>
      <c r="C56" s="38">
        <v>0</v>
      </c>
      <c r="D56" s="38">
        <v>0</v>
      </c>
      <c r="E56" s="38">
        <v>0</v>
      </c>
      <c r="F56" s="38">
        <v>0</v>
      </c>
      <c r="G56" s="38">
        <v>0</v>
      </c>
      <c r="H56" s="38">
        <v>0</v>
      </c>
      <c r="I56" s="38">
        <v>0</v>
      </c>
      <c r="J56" s="38">
        <v>0</v>
      </c>
      <c r="K56" s="38">
        <v>0</v>
      </c>
      <c r="L56" s="38">
        <v>0</v>
      </c>
      <c r="M56" s="38">
        <v>0</v>
      </c>
      <c r="N56" s="38">
        <v>0</v>
      </c>
      <c r="O56" s="38">
        <v>0</v>
      </c>
      <c r="P56" s="38">
        <v>0</v>
      </c>
      <c r="Q56" s="38">
        <v>0</v>
      </c>
      <c r="R56" s="38">
        <v>0</v>
      </c>
      <c r="S56" s="38">
        <v>0</v>
      </c>
      <c r="T56" s="38">
        <v>0</v>
      </c>
      <c r="U56" s="38">
        <v>0</v>
      </c>
      <c r="V56" s="38">
        <v>0</v>
      </c>
      <c r="W56" s="38">
        <v>0</v>
      </c>
      <c r="X56" s="38">
        <v>0</v>
      </c>
      <c r="Y56" s="38">
        <v>0</v>
      </c>
      <c r="Z56" s="38">
        <v>0</v>
      </c>
      <c r="AA56" s="38">
        <v>0</v>
      </c>
      <c r="AB56" s="38">
        <v>0</v>
      </c>
      <c r="AC56" s="38">
        <v>0</v>
      </c>
      <c r="AD56" s="38">
        <v>0</v>
      </c>
      <c r="AE56" s="38">
        <v>0</v>
      </c>
      <c r="AF56" s="35" t="s">
        <v>1278</v>
      </c>
      <c r="AG56" s="29"/>
    </row>
    <row r="57" spans="1:33" ht="15" customHeight="1">
      <c r="A57" s="34" t="s">
        <v>3124</v>
      </c>
      <c r="B57" s="37" t="s">
        <v>2846</v>
      </c>
      <c r="C57" s="38">
        <v>4.4999999999999997E-3</v>
      </c>
      <c r="D57" s="38">
        <v>4.4999999999999997E-3</v>
      </c>
      <c r="E57" s="38">
        <v>4.4999999999999997E-3</v>
      </c>
      <c r="F57" s="38">
        <v>2.46E-2</v>
      </c>
      <c r="G57" s="38">
        <v>2.46E-2</v>
      </c>
      <c r="H57" s="38">
        <v>2.46E-2</v>
      </c>
      <c r="I57" s="38">
        <v>2.46E-2</v>
      </c>
      <c r="J57" s="38">
        <v>2.46E-2</v>
      </c>
      <c r="K57" s="38">
        <v>2.46E-2</v>
      </c>
      <c r="L57" s="38">
        <v>2.46E-2</v>
      </c>
      <c r="M57" s="38">
        <v>2.46E-2</v>
      </c>
      <c r="N57" s="38">
        <v>2.46E-2</v>
      </c>
      <c r="O57" s="38">
        <v>2.46E-2</v>
      </c>
      <c r="P57" s="38">
        <v>2.46E-2</v>
      </c>
      <c r="Q57" s="38">
        <v>2.46E-2</v>
      </c>
      <c r="R57" s="38">
        <v>2.46E-2</v>
      </c>
      <c r="S57" s="38">
        <v>2.46E-2</v>
      </c>
      <c r="T57" s="38">
        <v>2.46E-2</v>
      </c>
      <c r="U57" s="38">
        <v>2.46E-2</v>
      </c>
      <c r="V57" s="38">
        <v>2.46E-2</v>
      </c>
      <c r="W57" s="38">
        <v>2.46E-2</v>
      </c>
      <c r="X57" s="38">
        <v>2.46E-2</v>
      </c>
      <c r="Y57" s="38">
        <v>2.46E-2</v>
      </c>
      <c r="Z57" s="38">
        <v>2.46E-2</v>
      </c>
      <c r="AA57" s="38">
        <v>2.46E-2</v>
      </c>
      <c r="AB57" s="38">
        <v>2.46E-2</v>
      </c>
      <c r="AC57" s="38">
        <v>2.46E-2</v>
      </c>
      <c r="AD57" s="38">
        <v>2.46E-2</v>
      </c>
      <c r="AE57" s="38">
        <v>2.46E-2</v>
      </c>
      <c r="AF57" s="35">
        <v>6.2545000000000003E-2</v>
      </c>
      <c r="AG57" s="29"/>
    </row>
    <row r="58" spans="1:33" ht="15" customHeight="1">
      <c r="A58" s="34" t="s">
        <v>3125</v>
      </c>
      <c r="B58" s="33" t="s">
        <v>2497</v>
      </c>
      <c r="C58" s="39">
        <v>8.0406000000000005E-2</v>
      </c>
      <c r="D58" s="39">
        <v>8.0406000000000005E-2</v>
      </c>
      <c r="E58" s="39">
        <v>8.0406000000000005E-2</v>
      </c>
      <c r="F58" s="39">
        <v>0.100506</v>
      </c>
      <c r="G58" s="39">
        <v>0.100506</v>
      </c>
      <c r="H58" s="39">
        <v>0.100506</v>
      </c>
      <c r="I58" s="39">
        <v>0.100506</v>
      </c>
      <c r="J58" s="39">
        <v>0.100506</v>
      </c>
      <c r="K58" s="39">
        <v>0.100506</v>
      </c>
      <c r="L58" s="39">
        <v>0.100506</v>
      </c>
      <c r="M58" s="39">
        <v>0.100506</v>
      </c>
      <c r="N58" s="39">
        <v>0.100506</v>
      </c>
      <c r="O58" s="39">
        <v>0.100506</v>
      </c>
      <c r="P58" s="39">
        <v>0.100506</v>
      </c>
      <c r="Q58" s="39">
        <v>0.100506</v>
      </c>
      <c r="R58" s="39">
        <v>0.100507</v>
      </c>
      <c r="S58" s="39">
        <v>0.100507</v>
      </c>
      <c r="T58" s="39">
        <v>0.100507</v>
      </c>
      <c r="U58" s="39">
        <v>0.100508</v>
      </c>
      <c r="V58" s="39">
        <v>0.100508</v>
      </c>
      <c r="W58" s="39">
        <v>0.100509</v>
      </c>
      <c r="X58" s="39">
        <v>0.100509</v>
      </c>
      <c r="Y58" s="39">
        <v>0.10051</v>
      </c>
      <c r="Z58" s="39">
        <v>0.100511</v>
      </c>
      <c r="AA58" s="39">
        <v>0.100511</v>
      </c>
      <c r="AB58" s="39">
        <v>0.100512</v>
      </c>
      <c r="AC58" s="39">
        <v>0.10051300000000001</v>
      </c>
      <c r="AD58" s="39">
        <v>0.10051300000000001</v>
      </c>
      <c r="AE58" s="39">
        <v>0.10051400000000001</v>
      </c>
      <c r="AF58" s="31">
        <v>8.0029999999999997E-3</v>
      </c>
      <c r="AG58" s="29"/>
    </row>
    <row r="59" spans="1:33" ht="15" customHeight="1">
      <c r="B59" s="33" t="s">
        <v>2848</v>
      </c>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row>
    <row r="60" spans="1:33" ht="15" customHeight="1">
      <c r="A60" s="34" t="s">
        <v>3126</v>
      </c>
      <c r="B60" s="37" t="s">
        <v>2551</v>
      </c>
      <c r="C60" s="38">
        <v>0.14909800000000001</v>
      </c>
      <c r="D60" s="38">
        <v>0.14909800000000001</v>
      </c>
      <c r="E60" s="38">
        <v>0.14909800000000001</v>
      </c>
      <c r="F60" s="38">
        <v>0.14909800000000001</v>
      </c>
      <c r="G60" s="38">
        <v>0.14909800000000001</v>
      </c>
      <c r="H60" s="38">
        <v>0.14909800000000001</v>
      </c>
      <c r="I60" s="38">
        <v>0.14909800000000001</v>
      </c>
      <c r="J60" s="38">
        <v>0.14909800000000001</v>
      </c>
      <c r="K60" s="38">
        <v>0.14909800000000001</v>
      </c>
      <c r="L60" s="38">
        <v>0.14909800000000001</v>
      </c>
      <c r="M60" s="38">
        <v>0.14909800000000001</v>
      </c>
      <c r="N60" s="38">
        <v>0.14909800000000001</v>
      </c>
      <c r="O60" s="38">
        <v>0.14909800000000001</v>
      </c>
      <c r="P60" s="38">
        <v>0.14909800000000001</v>
      </c>
      <c r="Q60" s="38">
        <v>0.14909800000000001</v>
      </c>
      <c r="R60" s="38">
        <v>0.14909800000000001</v>
      </c>
      <c r="S60" s="38">
        <v>0.14909800000000001</v>
      </c>
      <c r="T60" s="38">
        <v>0.14909800000000001</v>
      </c>
      <c r="U60" s="38">
        <v>0.14909800000000001</v>
      </c>
      <c r="V60" s="38">
        <v>0.14909800000000001</v>
      </c>
      <c r="W60" s="38">
        <v>0.14909800000000001</v>
      </c>
      <c r="X60" s="38">
        <v>0.14909800000000001</v>
      </c>
      <c r="Y60" s="38">
        <v>0.14909800000000001</v>
      </c>
      <c r="Z60" s="38">
        <v>0.14909800000000001</v>
      </c>
      <c r="AA60" s="38">
        <v>0.14909800000000001</v>
      </c>
      <c r="AB60" s="38">
        <v>0.14909800000000001</v>
      </c>
      <c r="AC60" s="38">
        <v>0.14909800000000001</v>
      </c>
      <c r="AD60" s="38">
        <v>0.14909800000000001</v>
      </c>
      <c r="AE60" s="38">
        <v>0.14909800000000001</v>
      </c>
      <c r="AF60" s="35">
        <v>0</v>
      </c>
      <c r="AG60" s="29"/>
    </row>
    <row r="61" spans="1:33" ht="15" customHeight="1">
      <c r="A61" s="34" t="s">
        <v>3127</v>
      </c>
      <c r="B61" s="37" t="s">
        <v>2553</v>
      </c>
      <c r="C61" s="38">
        <v>6.1506999999999999E-2</v>
      </c>
      <c r="D61" s="38">
        <v>6.1506999999999999E-2</v>
      </c>
      <c r="E61" s="38">
        <v>6.1506999999999999E-2</v>
      </c>
      <c r="F61" s="38">
        <v>6.1506999999999999E-2</v>
      </c>
      <c r="G61" s="38">
        <v>6.1506999999999999E-2</v>
      </c>
      <c r="H61" s="38">
        <v>6.1506999999999999E-2</v>
      </c>
      <c r="I61" s="38">
        <v>6.1506999999999999E-2</v>
      </c>
      <c r="J61" s="38">
        <v>6.1506999999999999E-2</v>
      </c>
      <c r="K61" s="38">
        <v>6.1506999999999999E-2</v>
      </c>
      <c r="L61" s="38">
        <v>6.1506999999999999E-2</v>
      </c>
      <c r="M61" s="38">
        <v>6.1506999999999999E-2</v>
      </c>
      <c r="N61" s="38">
        <v>6.1506999999999999E-2</v>
      </c>
      <c r="O61" s="38">
        <v>6.1506999999999999E-2</v>
      </c>
      <c r="P61" s="38">
        <v>6.1506999999999999E-2</v>
      </c>
      <c r="Q61" s="38">
        <v>6.1506999999999999E-2</v>
      </c>
      <c r="R61" s="38">
        <v>6.1508E-2</v>
      </c>
      <c r="S61" s="38">
        <v>6.1508E-2</v>
      </c>
      <c r="T61" s="38">
        <v>6.1510000000000002E-2</v>
      </c>
      <c r="U61" s="38">
        <v>6.1511000000000003E-2</v>
      </c>
      <c r="V61" s="38">
        <v>6.1512999999999998E-2</v>
      </c>
      <c r="W61" s="38">
        <v>6.1515E-2</v>
      </c>
      <c r="X61" s="38">
        <v>6.1517000000000002E-2</v>
      </c>
      <c r="Y61" s="38">
        <v>6.1518999999999997E-2</v>
      </c>
      <c r="Z61" s="38">
        <v>6.1520999999999999E-2</v>
      </c>
      <c r="AA61" s="38">
        <v>6.1524000000000002E-2</v>
      </c>
      <c r="AB61" s="38">
        <v>6.1525999999999997E-2</v>
      </c>
      <c r="AC61" s="38">
        <v>6.1529E-2</v>
      </c>
      <c r="AD61" s="38">
        <v>6.1531000000000002E-2</v>
      </c>
      <c r="AE61" s="38">
        <v>6.1533999999999998E-2</v>
      </c>
      <c r="AF61" s="35">
        <v>1.5999999999999999E-5</v>
      </c>
      <c r="AG61" s="29"/>
    </row>
    <row r="62" spans="1:33" ht="15" customHeight="1">
      <c r="A62" s="34" t="s">
        <v>3128</v>
      </c>
      <c r="B62" s="37" t="s">
        <v>2500</v>
      </c>
      <c r="C62" s="38">
        <v>0</v>
      </c>
      <c r="D62" s="38">
        <v>0</v>
      </c>
      <c r="E62" s="38">
        <v>0</v>
      </c>
      <c r="F62" s="38">
        <v>0</v>
      </c>
      <c r="G62" s="38">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5" t="s">
        <v>1278</v>
      </c>
      <c r="AG62" s="29"/>
    </row>
    <row r="63" spans="1:33" ht="15" customHeight="1">
      <c r="A63" s="34" t="s">
        <v>3129</v>
      </c>
      <c r="B63" s="37" t="s">
        <v>2846</v>
      </c>
      <c r="C63" s="38">
        <v>1.1298000000000001E-2</v>
      </c>
      <c r="D63" s="38">
        <v>1.1298000000000001E-2</v>
      </c>
      <c r="E63" s="38">
        <v>1.1298000000000001E-2</v>
      </c>
      <c r="F63" s="38">
        <v>0.12750800000000001</v>
      </c>
      <c r="G63" s="38">
        <v>0.12750800000000001</v>
      </c>
      <c r="H63" s="38">
        <v>0.12750800000000001</v>
      </c>
      <c r="I63" s="38">
        <v>0.12750800000000001</v>
      </c>
      <c r="J63" s="38">
        <v>0.12750800000000001</v>
      </c>
      <c r="K63" s="38">
        <v>0.12750800000000001</v>
      </c>
      <c r="L63" s="38">
        <v>0.12750800000000001</v>
      </c>
      <c r="M63" s="38">
        <v>0.12750800000000001</v>
      </c>
      <c r="N63" s="38">
        <v>0.12750800000000001</v>
      </c>
      <c r="O63" s="38">
        <v>0.12750800000000001</v>
      </c>
      <c r="P63" s="38">
        <v>0.12750800000000001</v>
      </c>
      <c r="Q63" s="38">
        <v>0.12750800000000001</v>
      </c>
      <c r="R63" s="38">
        <v>0.12750800000000001</v>
      </c>
      <c r="S63" s="38">
        <v>0.12750800000000001</v>
      </c>
      <c r="T63" s="38">
        <v>0.12750800000000001</v>
      </c>
      <c r="U63" s="38">
        <v>0.12750800000000001</v>
      </c>
      <c r="V63" s="38">
        <v>0.12750800000000001</v>
      </c>
      <c r="W63" s="38">
        <v>0.12750800000000001</v>
      </c>
      <c r="X63" s="38">
        <v>0.12750800000000001</v>
      </c>
      <c r="Y63" s="38">
        <v>0.12750800000000001</v>
      </c>
      <c r="Z63" s="38">
        <v>0.12750800000000001</v>
      </c>
      <c r="AA63" s="38">
        <v>0.12750800000000001</v>
      </c>
      <c r="AB63" s="38">
        <v>0.12750800000000001</v>
      </c>
      <c r="AC63" s="38">
        <v>0.12750800000000001</v>
      </c>
      <c r="AD63" s="38">
        <v>0.12750800000000001</v>
      </c>
      <c r="AE63" s="38">
        <v>0.12750800000000001</v>
      </c>
      <c r="AF63" s="35">
        <v>9.0412000000000006E-2</v>
      </c>
      <c r="AG63" s="29"/>
    </row>
    <row r="64" spans="1:33" ht="15" customHeight="1">
      <c r="A64" s="34" t="s">
        <v>3130</v>
      </c>
      <c r="B64" s="33" t="s">
        <v>2497</v>
      </c>
      <c r="C64" s="39">
        <v>0.22190299999999999</v>
      </c>
      <c r="D64" s="39">
        <v>0.22190299999999999</v>
      </c>
      <c r="E64" s="39">
        <v>0.22190299999999999</v>
      </c>
      <c r="F64" s="39">
        <v>0.338113</v>
      </c>
      <c r="G64" s="39">
        <v>0.338113</v>
      </c>
      <c r="H64" s="39">
        <v>0.338113</v>
      </c>
      <c r="I64" s="39">
        <v>0.338113</v>
      </c>
      <c r="J64" s="39">
        <v>0.338113</v>
      </c>
      <c r="K64" s="39">
        <v>0.338113</v>
      </c>
      <c r="L64" s="39">
        <v>0.338113</v>
      </c>
      <c r="M64" s="39">
        <v>0.338113</v>
      </c>
      <c r="N64" s="39">
        <v>0.338113</v>
      </c>
      <c r="O64" s="39">
        <v>0.338113</v>
      </c>
      <c r="P64" s="39">
        <v>0.338113</v>
      </c>
      <c r="Q64" s="39">
        <v>0.338113</v>
      </c>
      <c r="R64" s="39">
        <v>0.33811400000000003</v>
      </c>
      <c r="S64" s="39">
        <v>0.338115</v>
      </c>
      <c r="T64" s="39">
        <v>0.33811600000000003</v>
      </c>
      <c r="U64" s="39">
        <v>0.33811799999999997</v>
      </c>
      <c r="V64" s="39">
        <v>0.33811999999999998</v>
      </c>
      <c r="W64" s="39">
        <v>0.33812199999999998</v>
      </c>
      <c r="X64" s="39">
        <v>0.33812300000000001</v>
      </c>
      <c r="Y64" s="39">
        <v>0.33812500000000001</v>
      </c>
      <c r="Z64" s="39">
        <v>0.33812700000000001</v>
      </c>
      <c r="AA64" s="39">
        <v>0.33812999999999999</v>
      </c>
      <c r="AB64" s="39">
        <v>0.33813199999999999</v>
      </c>
      <c r="AC64" s="39">
        <v>0.33813500000000002</v>
      </c>
      <c r="AD64" s="39">
        <v>0.33813700000000002</v>
      </c>
      <c r="AE64" s="39">
        <v>0.33814</v>
      </c>
      <c r="AF64" s="31">
        <v>1.5157E-2</v>
      </c>
      <c r="AG64" s="29"/>
    </row>
    <row r="65" spans="1:34" ht="15" customHeight="1">
      <c r="B65" s="33" t="s">
        <v>2854</v>
      </c>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row>
    <row r="66" spans="1:34" ht="15" customHeight="1">
      <c r="A66" s="34" t="s">
        <v>3131</v>
      </c>
      <c r="B66" s="37" t="s">
        <v>2856</v>
      </c>
      <c r="C66" s="38">
        <v>3.2101999999999999E-2</v>
      </c>
      <c r="D66" s="38">
        <v>3.2101999999999999E-2</v>
      </c>
      <c r="E66" s="38">
        <v>3.2101999999999999E-2</v>
      </c>
      <c r="F66" s="38">
        <v>3.2101999999999999E-2</v>
      </c>
      <c r="G66" s="38">
        <v>3.2101999999999999E-2</v>
      </c>
      <c r="H66" s="38">
        <v>3.2101999999999999E-2</v>
      </c>
      <c r="I66" s="38">
        <v>3.2101999999999999E-2</v>
      </c>
      <c r="J66" s="38">
        <v>3.2101999999999999E-2</v>
      </c>
      <c r="K66" s="38">
        <v>3.2101999999999999E-2</v>
      </c>
      <c r="L66" s="38">
        <v>3.2101999999999999E-2</v>
      </c>
      <c r="M66" s="38">
        <v>3.2101999999999999E-2</v>
      </c>
      <c r="N66" s="38">
        <v>3.2101999999999999E-2</v>
      </c>
      <c r="O66" s="38">
        <v>3.2101999999999999E-2</v>
      </c>
      <c r="P66" s="38">
        <v>3.2101999999999999E-2</v>
      </c>
      <c r="Q66" s="38">
        <v>3.2101999999999999E-2</v>
      </c>
      <c r="R66" s="38">
        <v>3.2101999999999999E-2</v>
      </c>
      <c r="S66" s="38">
        <v>3.2101999999999999E-2</v>
      </c>
      <c r="T66" s="38">
        <v>3.2101999999999999E-2</v>
      </c>
      <c r="U66" s="38">
        <v>3.2101999999999999E-2</v>
      </c>
      <c r="V66" s="38">
        <v>3.2101999999999999E-2</v>
      </c>
      <c r="W66" s="38">
        <v>3.2101999999999999E-2</v>
      </c>
      <c r="X66" s="38">
        <v>3.2101999999999999E-2</v>
      </c>
      <c r="Y66" s="38">
        <v>3.2101999999999999E-2</v>
      </c>
      <c r="Z66" s="38">
        <v>3.2101999999999999E-2</v>
      </c>
      <c r="AA66" s="38">
        <v>3.2101999999999999E-2</v>
      </c>
      <c r="AB66" s="38">
        <v>3.2101999999999999E-2</v>
      </c>
      <c r="AC66" s="38">
        <v>3.2101999999999999E-2</v>
      </c>
      <c r="AD66" s="38">
        <v>3.2101999999999999E-2</v>
      </c>
      <c r="AE66" s="38">
        <v>3.2101999999999999E-2</v>
      </c>
      <c r="AF66" s="35">
        <v>0</v>
      </c>
      <c r="AG66" s="29"/>
    </row>
    <row r="67" spans="1:34" ht="12" customHeight="1" thickBot="1">
      <c r="A67" s="34" t="s">
        <v>3132</v>
      </c>
      <c r="B67" s="37" t="s">
        <v>2858</v>
      </c>
      <c r="C67" s="38">
        <v>0.189801</v>
      </c>
      <c r="D67" s="38">
        <v>0.189801</v>
      </c>
      <c r="E67" s="38">
        <v>0.189801</v>
      </c>
      <c r="F67" s="38">
        <v>0.30601099999999998</v>
      </c>
      <c r="G67" s="38">
        <v>0.30601099999999998</v>
      </c>
      <c r="H67" s="38">
        <v>0.30601099999999998</v>
      </c>
      <c r="I67" s="38">
        <v>0.30601099999999998</v>
      </c>
      <c r="J67" s="38">
        <v>0.30601099999999998</v>
      </c>
      <c r="K67" s="38">
        <v>0.30601099999999998</v>
      </c>
      <c r="L67" s="38">
        <v>0.30601099999999998</v>
      </c>
      <c r="M67" s="38">
        <v>0.30601099999999998</v>
      </c>
      <c r="N67" s="38">
        <v>0.30601099999999998</v>
      </c>
      <c r="O67" s="38">
        <v>0.30601099999999998</v>
      </c>
      <c r="P67" s="38">
        <v>0.30601099999999998</v>
      </c>
      <c r="Q67" s="38">
        <v>0.30601099999999998</v>
      </c>
      <c r="R67" s="38">
        <v>0.30601200000000001</v>
      </c>
      <c r="S67" s="38">
        <v>0.30601299999999998</v>
      </c>
      <c r="T67" s="38">
        <v>0.30601400000000001</v>
      </c>
      <c r="U67" s="38">
        <v>0.30601499999999998</v>
      </c>
      <c r="V67" s="38">
        <v>0.30601699999999998</v>
      </c>
      <c r="W67" s="38">
        <v>0.30601899999999999</v>
      </c>
      <c r="X67" s="38">
        <v>0.30602099999999999</v>
      </c>
      <c r="Y67" s="38">
        <v>0.30602299999999999</v>
      </c>
      <c r="Z67" s="38">
        <v>0.30602499999999999</v>
      </c>
      <c r="AA67" s="38">
        <v>0.30602800000000002</v>
      </c>
      <c r="AB67" s="38">
        <v>0.30603000000000002</v>
      </c>
      <c r="AC67" s="38">
        <v>0.30603200000000003</v>
      </c>
      <c r="AD67" s="38">
        <v>0.306035</v>
      </c>
      <c r="AE67" s="38">
        <v>0.30603799999999998</v>
      </c>
      <c r="AF67" s="35">
        <v>1.7208000000000001E-2</v>
      </c>
      <c r="AG67" s="29"/>
    </row>
    <row r="68" spans="1:34" ht="15" customHeight="1">
      <c r="B68" s="2179" t="s">
        <v>2932</v>
      </c>
      <c r="C68" s="2180"/>
      <c r="D68" s="2180"/>
      <c r="E68" s="2180"/>
      <c r="F68" s="2180"/>
      <c r="G68" s="2180"/>
      <c r="H68" s="2180"/>
      <c r="I68" s="2180"/>
      <c r="J68" s="2180"/>
      <c r="K68" s="2180"/>
      <c r="L68" s="2180"/>
      <c r="M68" s="2180"/>
      <c r="N68" s="2180"/>
      <c r="O68" s="2180"/>
      <c r="P68" s="2180"/>
      <c r="Q68" s="2180"/>
      <c r="R68" s="2180"/>
      <c r="S68" s="2180"/>
      <c r="T68" s="2180"/>
      <c r="U68" s="2180"/>
      <c r="V68" s="2180"/>
      <c r="W68" s="2180"/>
      <c r="X68" s="2180"/>
      <c r="Y68" s="2180"/>
      <c r="Z68" s="2180"/>
      <c r="AA68" s="2180"/>
      <c r="AB68" s="2180"/>
      <c r="AC68" s="2180"/>
      <c r="AD68" s="2180"/>
      <c r="AE68" s="2180"/>
      <c r="AF68" s="2180"/>
      <c r="AG68" s="2180"/>
      <c r="AH68" s="30"/>
    </row>
    <row r="69" spans="1:34" ht="15" customHeight="1">
      <c r="B69" s="29" t="s">
        <v>2933</v>
      </c>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row>
    <row r="70" spans="1:34" ht="15" customHeight="1">
      <c r="B70" s="29" t="s">
        <v>2934</v>
      </c>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row>
    <row r="71" spans="1:34" ht="15" customHeight="1">
      <c r="B71" s="29" t="s">
        <v>2935</v>
      </c>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row>
    <row r="72" spans="1:34" ht="15" customHeight="1">
      <c r="B72" s="29" t="s">
        <v>3133</v>
      </c>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row>
    <row r="73" spans="1:34" ht="15" customHeight="1">
      <c r="B73" s="29" t="s">
        <v>3043</v>
      </c>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1:34" ht="15" customHeight="1">
      <c r="B74" s="29" t="s">
        <v>2879</v>
      </c>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row>
    <row r="75" spans="1:34" ht="12" customHeight="1">
      <c r="B75" s="29" t="s">
        <v>3044</v>
      </c>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1:34" ht="15" customHeight="1">
      <c r="B76" s="29" t="s">
        <v>2291</v>
      </c>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1:34" ht="15" customHeight="1">
      <c r="B77" s="29" t="s">
        <v>2292</v>
      </c>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1:34" ht="15" customHeight="1">
      <c r="B78" s="29" t="s">
        <v>2293</v>
      </c>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1:34" ht="15" customHeight="1">
      <c r="B79" s="29" t="s">
        <v>2881</v>
      </c>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row>
    <row r="80" spans="1:34" ht="15" customHeight="1">
      <c r="B80" s="29" t="s">
        <v>3134</v>
      </c>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row>
    <row r="81" spans="2:33" ht="15" customHeight="1">
      <c r="B81" s="29" t="s">
        <v>3135</v>
      </c>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row>
    <row r="82" spans="2:33" ht="15" customHeight="1">
      <c r="B82" s="29" t="s">
        <v>3136</v>
      </c>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2:33" ht="12" customHeight="1">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2:33" ht="15" customHeight="1">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row>
    <row r="85" spans="2:33" ht="15" customHeight="1">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row>
    <row r="86" spans="2:33" ht="15" customHeight="1">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row>
    <row r="87" spans="2:33" ht="15" customHeight="1">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row>
    <row r="88" spans="2:33" ht="15" customHeight="1">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row>
    <row r="89" spans="2:33" ht="12" customHeight="1">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row>
    <row r="90" spans="2:33" ht="15" customHeight="1">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row>
    <row r="91" spans="2:33" ht="15" customHeight="1">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row>
    <row r="92" spans="2:33" ht="15" customHeight="1">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row>
    <row r="93" spans="2:33" ht="15" customHeight="1">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row>
    <row r="94" spans="2:33" ht="12" customHeight="1">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2:33" ht="15" customHeight="1">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row>
    <row r="96" spans="2:33" ht="15" customHeight="1">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2:33" ht="15" customHeight="1">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2:33" ht="12" customHeight="1">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2:33" ht="15" customHeight="1">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2:33" ht="15" customHeight="1">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2:33" ht="15" customHeight="1">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2:33" ht="15" customHeight="1">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2:33" ht="15" customHeight="1">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2:33" ht="15" customHeigh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2:33" ht="15" customHeight="1">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2:33" ht="12" customHeight="1">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2:33" ht="15" customHeight="1">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2:33" ht="15" customHeight="1">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row>
    <row r="109" spans="2:33" ht="15" customHeight="1">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t="s">
        <v>2056</v>
      </c>
      <c r="AG109" s="29"/>
    </row>
    <row r="113" ht="12" customHeight="1"/>
    <row r="119" ht="12" customHeight="1"/>
    <row r="123" ht="12" customHeight="1"/>
    <row r="129" ht="12" customHeight="1"/>
    <row r="134" ht="12" customHeight="1"/>
    <row r="156" spans="2:32" ht="15" customHeight="1">
      <c r="B156" s="2178"/>
      <c r="C156" s="2178"/>
      <c r="D156" s="2178"/>
      <c r="E156" s="2178"/>
      <c r="F156" s="2178"/>
      <c r="G156" s="2178"/>
      <c r="H156" s="2178"/>
      <c r="I156" s="2178"/>
      <c r="J156" s="2178"/>
      <c r="K156" s="2178"/>
      <c r="L156" s="2178"/>
      <c r="M156" s="2178"/>
      <c r="N156" s="2178"/>
      <c r="O156" s="2178"/>
      <c r="P156" s="2178"/>
      <c r="Q156" s="2178"/>
      <c r="R156" s="2178"/>
      <c r="S156" s="2178"/>
      <c r="T156" s="2178"/>
      <c r="U156" s="2178"/>
      <c r="V156" s="2178"/>
      <c r="W156" s="2178"/>
      <c r="X156" s="2178"/>
      <c r="Y156" s="2178"/>
      <c r="Z156" s="2178"/>
      <c r="AA156" s="2178"/>
      <c r="AB156" s="2178"/>
      <c r="AC156" s="2178"/>
      <c r="AD156" s="2178"/>
      <c r="AE156" s="2178"/>
      <c r="AF156" s="2178"/>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2178"/>
      <c r="C292" s="2178"/>
      <c r="D292" s="2178"/>
      <c r="E292" s="2178"/>
      <c r="F292" s="2178"/>
      <c r="G292" s="2178"/>
      <c r="H292" s="2178"/>
      <c r="I292" s="2178"/>
      <c r="J292" s="2178"/>
      <c r="K292" s="2178"/>
      <c r="L292" s="2178"/>
      <c r="M292" s="2178"/>
      <c r="N292" s="2178"/>
      <c r="O292" s="2178"/>
      <c r="P292" s="2178"/>
      <c r="Q292" s="2178"/>
      <c r="R292" s="2178"/>
      <c r="S292" s="2178"/>
      <c r="T292" s="2178"/>
      <c r="U292" s="2178"/>
      <c r="V292" s="2178"/>
      <c r="W292" s="2178"/>
      <c r="X292" s="2178"/>
      <c r="Y292" s="2178"/>
      <c r="Z292" s="2178"/>
      <c r="AA292" s="2178"/>
      <c r="AB292" s="2178"/>
      <c r="AC292" s="2178"/>
      <c r="AD292" s="2178"/>
      <c r="AE292" s="2178"/>
      <c r="AF292" s="2178"/>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2178"/>
      <c r="C378" s="2178"/>
      <c r="D378" s="2178"/>
      <c r="E378" s="2178"/>
      <c r="F378" s="2178"/>
      <c r="G378" s="2178"/>
      <c r="H378" s="2178"/>
      <c r="I378" s="2178"/>
      <c r="J378" s="2178"/>
      <c r="K378" s="2178"/>
      <c r="L378" s="2178"/>
      <c r="M378" s="2178"/>
      <c r="N378" s="2178"/>
      <c r="O378" s="2178"/>
      <c r="P378" s="2178"/>
      <c r="Q378" s="2178"/>
      <c r="R378" s="2178"/>
      <c r="S378" s="2178"/>
      <c r="T378" s="2178"/>
      <c r="U378" s="2178"/>
      <c r="V378" s="2178"/>
      <c r="W378" s="2178"/>
      <c r="X378" s="2178"/>
      <c r="Y378" s="2178"/>
      <c r="Z378" s="2178"/>
      <c r="AA378" s="2178"/>
      <c r="AB378" s="2178"/>
      <c r="AC378" s="2178"/>
      <c r="AD378" s="2178"/>
      <c r="AE378" s="2178"/>
      <c r="AF378" s="2178"/>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2178"/>
      <c r="C560" s="2178"/>
      <c r="D560" s="2178"/>
      <c r="E560" s="2178"/>
      <c r="F560" s="2178"/>
      <c r="G560" s="2178"/>
      <c r="H560" s="2178"/>
      <c r="I560" s="2178"/>
      <c r="J560" s="2178"/>
      <c r="K560" s="2178"/>
      <c r="L560" s="2178"/>
      <c r="M560" s="2178"/>
      <c r="N560" s="2178"/>
      <c r="O560" s="2178"/>
      <c r="P560" s="2178"/>
      <c r="Q560" s="2178"/>
      <c r="R560" s="2178"/>
      <c r="S560" s="2178"/>
      <c r="T560" s="2178"/>
      <c r="U560" s="2178"/>
      <c r="V560" s="2178"/>
      <c r="W560" s="2178"/>
      <c r="X560" s="2178"/>
      <c r="Y560" s="2178"/>
      <c r="Z560" s="2178"/>
      <c r="AA560" s="2178"/>
      <c r="AB560" s="2178"/>
      <c r="AC560" s="2178"/>
      <c r="AD560" s="2178"/>
      <c r="AE560" s="2178"/>
      <c r="AF560" s="2178"/>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2178"/>
      <c r="C652" s="2178"/>
      <c r="D652" s="2178"/>
      <c r="E652" s="2178"/>
      <c r="F652" s="2178"/>
      <c r="G652" s="2178"/>
      <c r="H652" s="2178"/>
      <c r="I652" s="2178"/>
      <c r="J652" s="2178"/>
      <c r="K652" s="2178"/>
      <c r="L652" s="2178"/>
      <c r="M652" s="2178"/>
      <c r="N652" s="2178"/>
      <c r="O652" s="2178"/>
      <c r="P652" s="2178"/>
      <c r="Q652" s="2178"/>
      <c r="R652" s="2178"/>
      <c r="S652" s="2178"/>
      <c r="T652" s="2178"/>
      <c r="U652" s="2178"/>
      <c r="V652" s="2178"/>
      <c r="W652" s="2178"/>
      <c r="X652" s="2178"/>
      <c r="Y652" s="2178"/>
      <c r="Z652" s="2178"/>
      <c r="AA652" s="2178"/>
      <c r="AB652" s="2178"/>
      <c r="AC652" s="2178"/>
      <c r="AD652" s="2178"/>
      <c r="AE652" s="2178"/>
      <c r="AF652" s="2178"/>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2178"/>
      <c r="C728" s="2178"/>
      <c r="D728" s="2178"/>
      <c r="E728" s="2178"/>
      <c r="F728" s="2178"/>
      <c r="G728" s="2178"/>
      <c r="H728" s="2178"/>
      <c r="I728" s="2178"/>
      <c r="J728" s="2178"/>
      <c r="K728" s="2178"/>
      <c r="L728" s="2178"/>
      <c r="M728" s="2178"/>
      <c r="N728" s="2178"/>
      <c r="O728" s="2178"/>
      <c r="P728" s="2178"/>
      <c r="Q728" s="2178"/>
      <c r="R728" s="2178"/>
      <c r="S728" s="2178"/>
      <c r="T728" s="2178"/>
      <c r="U728" s="2178"/>
      <c r="V728" s="2178"/>
      <c r="W728" s="2178"/>
      <c r="X728" s="2178"/>
      <c r="Y728" s="2178"/>
      <c r="Z728" s="2178"/>
      <c r="AA728" s="2178"/>
      <c r="AB728" s="2178"/>
      <c r="AC728" s="2178"/>
      <c r="AD728" s="2178"/>
      <c r="AE728" s="2178"/>
      <c r="AF728" s="2178"/>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2178"/>
      <c r="C819" s="2178"/>
      <c r="D819" s="2178"/>
      <c r="E819" s="2178"/>
      <c r="F819" s="2178"/>
      <c r="G819" s="2178"/>
      <c r="H819" s="2178"/>
      <c r="I819" s="2178"/>
      <c r="J819" s="2178"/>
      <c r="K819" s="2178"/>
      <c r="L819" s="2178"/>
      <c r="M819" s="2178"/>
      <c r="N819" s="2178"/>
      <c r="O819" s="2178"/>
      <c r="P819" s="2178"/>
      <c r="Q819" s="2178"/>
      <c r="R819" s="2178"/>
      <c r="S819" s="2178"/>
      <c r="T819" s="2178"/>
      <c r="U819" s="2178"/>
      <c r="V819" s="2178"/>
      <c r="W819" s="2178"/>
      <c r="X819" s="2178"/>
      <c r="Y819" s="2178"/>
      <c r="Z819" s="2178"/>
      <c r="AA819" s="2178"/>
      <c r="AB819" s="2178"/>
      <c r="AC819" s="2178"/>
      <c r="AD819" s="2178"/>
      <c r="AE819" s="2178"/>
      <c r="AF819" s="2178"/>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2178"/>
      <c r="C897" s="2178"/>
      <c r="D897" s="2178"/>
      <c r="E897" s="2178"/>
      <c r="F897" s="2178"/>
      <c r="G897" s="2178"/>
      <c r="H897" s="2178"/>
      <c r="I897" s="2178"/>
      <c r="J897" s="2178"/>
      <c r="K897" s="2178"/>
      <c r="L897" s="2178"/>
      <c r="M897" s="2178"/>
      <c r="N897" s="2178"/>
      <c r="O897" s="2178"/>
      <c r="P897" s="2178"/>
      <c r="Q897" s="2178"/>
      <c r="R897" s="2178"/>
      <c r="S897" s="2178"/>
      <c r="T897" s="2178"/>
      <c r="U897" s="2178"/>
      <c r="V897" s="2178"/>
      <c r="W897" s="2178"/>
      <c r="X897" s="2178"/>
      <c r="Y897" s="2178"/>
      <c r="Z897" s="2178"/>
      <c r="AA897" s="2178"/>
      <c r="AB897" s="2178"/>
      <c r="AC897" s="2178"/>
      <c r="AD897" s="2178"/>
      <c r="AE897" s="2178"/>
      <c r="AF897" s="2178"/>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2178"/>
      <c r="C983" s="2178"/>
      <c r="D983" s="2178"/>
      <c r="E983" s="2178"/>
      <c r="F983" s="2178"/>
      <c r="G983" s="2178"/>
      <c r="H983" s="2178"/>
      <c r="I983" s="2178"/>
      <c r="J983" s="2178"/>
      <c r="K983" s="2178"/>
      <c r="L983" s="2178"/>
      <c r="M983" s="2178"/>
      <c r="N983" s="2178"/>
      <c r="O983" s="2178"/>
      <c r="P983" s="2178"/>
      <c r="Q983" s="2178"/>
      <c r="R983" s="2178"/>
      <c r="S983" s="2178"/>
      <c r="T983" s="2178"/>
      <c r="U983" s="2178"/>
      <c r="V983" s="2178"/>
      <c r="W983" s="2178"/>
      <c r="X983" s="2178"/>
      <c r="Y983" s="2178"/>
      <c r="Z983" s="2178"/>
      <c r="AA983" s="2178"/>
      <c r="AB983" s="2178"/>
      <c r="AC983" s="2178"/>
      <c r="AD983" s="2178"/>
      <c r="AE983" s="2178"/>
      <c r="AF983" s="2178"/>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2178"/>
      <c r="C1082" s="2178"/>
      <c r="D1082" s="2178"/>
      <c r="E1082" s="2178"/>
      <c r="F1082" s="2178"/>
      <c r="G1082" s="2178"/>
      <c r="H1082" s="2178"/>
      <c r="I1082" s="2178"/>
      <c r="J1082" s="2178"/>
      <c r="K1082" s="2178"/>
      <c r="L1082" s="2178"/>
      <c r="M1082" s="2178"/>
      <c r="N1082" s="2178"/>
      <c r="O1082" s="2178"/>
      <c r="P1082" s="2178"/>
      <c r="Q1082" s="2178"/>
      <c r="R1082" s="2178"/>
      <c r="S1082" s="2178"/>
      <c r="T1082" s="2178"/>
      <c r="U1082" s="2178"/>
      <c r="V1082" s="2178"/>
      <c r="W1082" s="2178"/>
      <c r="X1082" s="2178"/>
      <c r="Y1082" s="2178"/>
      <c r="Z1082" s="2178"/>
      <c r="AA1082" s="2178"/>
      <c r="AB1082" s="2178"/>
      <c r="AC1082" s="2178"/>
      <c r="AD1082" s="2178"/>
      <c r="AE1082" s="2178"/>
      <c r="AF1082" s="2178"/>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2178"/>
      <c r="C1179" s="2178"/>
      <c r="D1179" s="2178"/>
      <c r="E1179" s="2178"/>
      <c r="F1179" s="2178"/>
      <c r="G1179" s="2178"/>
      <c r="H1179" s="2178"/>
      <c r="I1179" s="2178"/>
      <c r="J1179" s="2178"/>
      <c r="K1179" s="2178"/>
      <c r="L1179" s="2178"/>
      <c r="M1179" s="2178"/>
      <c r="N1179" s="2178"/>
      <c r="O1179" s="2178"/>
      <c r="P1179" s="2178"/>
      <c r="Q1179" s="2178"/>
      <c r="R1179" s="2178"/>
      <c r="S1179" s="2178"/>
      <c r="T1179" s="2178"/>
      <c r="U1179" s="2178"/>
      <c r="V1179" s="2178"/>
      <c r="W1179" s="2178"/>
      <c r="X1179" s="2178"/>
      <c r="Y1179" s="2178"/>
      <c r="Z1179" s="2178"/>
      <c r="AA1179" s="2178"/>
      <c r="AB1179" s="2178"/>
      <c r="AC1179" s="2178"/>
      <c r="AD1179" s="2178"/>
      <c r="AE1179" s="2178"/>
      <c r="AF1179" s="2178"/>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2178"/>
      <c r="C1313" s="2178"/>
      <c r="D1313" s="2178"/>
      <c r="E1313" s="2178"/>
      <c r="F1313" s="2178"/>
      <c r="G1313" s="2178"/>
      <c r="H1313" s="2178"/>
      <c r="I1313" s="2178"/>
      <c r="J1313" s="2178"/>
      <c r="K1313" s="2178"/>
      <c r="L1313" s="2178"/>
      <c r="M1313" s="2178"/>
      <c r="N1313" s="2178"/>
      <c r="O1313" s="2178"/>
      <c r="P1313" s="2178"/>
      <c r="Q1313" s="2178"/>
      <c r="R1313" s="2178"/>
      <c r="S1313" s="2178"/>
      <c r="T1313" s="2178"/>
      <c r="U1313" s="2178"/>
      <c r="V1313" s="2178"/>
      <c r="W1313" s="2178"/>
      <c r="X1313" s="2178"/>
      <c r="Y1313" s="2178"/>
      <c r="Z1313" s="2178"/>
      <c r="AA1313" s="2178"/>
      <c r="AB1313" s="2178"/>
      <c r="AC1313" s="2178"/>
      <c r="AD1313" s="2178"/>
      <c r="AE1313" s="2178"/>
      <c r="AF1313" s="2178"/>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2178"/>
      <c r="C1431" s="2178"/>
      <c r="D1431" s="2178"/>
      <c r="E1431" s="2178"/>
      <c r="F1431" s="2178"/>
      <c r="G1431" s="2178"/>
      <c r="H1431" s="2178"/>
      <c r="I1431" s="2178"/>
      <c r="J1431" s="2178"/>
      <c r="K1431" s="2178"/>
      <c r="L1431" s="2178"/>
      <c r="M1431" s="2178"/>
      <c r="N1431" s="2178"/>
      <c r="O1431" s="2178"/>
      <c r="P1431" s="2178"/>
      <c r="Q1431" s="2178"/>
      <c r="R1431" s="2178"/>
      <c r="S1431" s="2178"/>
      <c r="T1431" s="2178"/>
      <c r="U1431" s="2178"/>
      <c r="V1431" s="2178"/>
      <c r="W1431" s="2178"/>
      <c r="X1431" s="2178"/>
      <c r="Y1431" s="2178"/>
      <c r="Z1431" s="2178"/>
      <c r="AA1431" s="2178"/>
      <c r="AB1431" s="2178"/>
      <c r="AC1431" s="2178"/>
      <c r="AD1431" s="2178"/>
      <c r="AE1431" s="2178"/>
      <c r="AF1431" s="2178"/>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2178"/>
      <c r="C1535" s="2178"/>
      <c r="D1535" s="2178"/>
      <c r="E1535" s="2178"/>
      <c r="F1535" s="2178"/>
      <c r="G1535" s="2178"/>
      <c r="H1535" s="2178"/>
      <c r="I1535" s="2178"/>
      <c r="J1535" s="2178"/>
      <c r="K1535" s="2178"/>
      <c r="L1535" s="2178"/>
      <c r="M1535" s="2178"/>
      <c r="N1535" s="2178"/>
      <c r="O1535" s="2178"/>
      <c r="P1535" s="2178"/>
      <c r="Q1535" s="2178"/>
      <c r="R1535" s="2178"/>
      <c r="S1535" s="2178"/>
      <c r="T1535" s="2178"/>
      <c r="U1535" s="2178"/>
      <c r="V1535" s="2178"/>
      <c r="W1535" s="2178"/>
      <c r="X1535" s="2178"/>
      <c r="Y1535" s="2178"/>
      <c r="Z1535" s="2178"/>
      <c r="AA1535" s="2178"/>
      <c r="AB1535" s="2178"/>
      <c r="AC1535" s="2178"/>
      <c r="AD1535" s="2178"/>
      <c r="AE1535" s="2178"/>
      <c r="AF1535" s="2178"/>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2178"/>
      <c r="C1628" s="2178"/>
      <c r="D1628" s="2178"/>
      <c r="E1628" s="2178"/>
      <c r="F1628" s="2178"/>
      <c r="G1628" s="2178"/>
      <c r="H1628" s="2178"/>
      <c r="I1628" s="2178"/>
      <c r="J1628" s="2178"/>
      <c r="K1628" s="2178"/>
      <c r="L1628" s="2178"/>
      <c r="M1628" s="2178"/>
      <c r="N1628" s="2178"/>
      <c r="O1628" s="2178"/>
      <c r="P1628" s="2178"/>
      <c r="Q1628" s="2178"/>
      <c r="R1628" s="2178"/>
      <c r="S1628" s="2178"/>
      <c r="T1628" s="2178"/>
      <c r="U1628" s="2178"/>
      <c r="V1628" s="2178"/>
      <c r="W1628" s="2178"/>
      <c r="X1628" s="2178"/>
      <c r="Y1628" s="2178"/>
      <c r="Z1628" s="2178"/>
      <c r="AA1628" s="2178"/>
      <c r="AB1628" s="2178"/>
      <c r="AC1628" s="2178"/>
      <c r="AD1628" s="2178"/>
      <c r="AE1628" s="2178"/>
      <c r="AF1628" s="2178"/>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2178"/>
      <c r="C1778" s="2178"/>
      <c r="D1778" s="2178"/>
      <c r="E1778" s="2178"/>
      <c r="F1778" s="2178"/>
      <c r="G1778" s="2178"/>
      <c r="H1778" s="2178"/>
      <c r="I1778" s="2178"/>
      <c r="J1778" s="2178"/>
      <c r="K1778" s="2178"/>
      <c r="L1778" s="2178"/>
      <c r="M1778" s="2178"/>
      <c r="N1778" s="2178"/>
      <c r="O1778" s="2178"/>
      <c r="P1778" s="2178"/>
      <c r="Q1778" s="2178"/>
      <c r="R1778" s="2178"/>
      <c r="S1778" s="2178"/>
      <c r="T1778" s="2178"/>
      <c r="U1778" s="2178"/>
      <c r="V1778" s="2178"/>
      <c r="W1778" s="2178"/>
      <c r="X1778" s="2178"/>
      <c r="Y1778" s="2178"/>
      <c r="Z1778" s="2178"/>
      <c r="AA1778" s="2178"/>
      <c r="AB1778" s="2178"/>
      <c r="AC1778" s="2178"/>
      <c r="AD1778" s="2178"/>
      <c r="AE1778" s="2178"/>
      <c r="AF1778" s="2178"/>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2178"/>
      <c r="C1928" s="2178"/>
      <c r="D1928" s="2178"/>
      <c r="E1928" s="2178"/>
      <c r="F1928" s="2178"/>
      <c r="G1928" s="2178"/>
      <c r="H1928" s="2178"/>
      <c r="I1928" s="2178"/>
      <c r="J1928" s="2178"/>
      <c r="K1928" s="2178"/>
      <c r="L1928" s="2178"/>
      <c r="M1928" s="2178"/>
      <c r="N1928" s="2178"/>
      <c r="O1928" s="2178"/>
      <c r="P1928" s="2178"/>
      <c r="Q1928" s="2178"/>
      <c r="R1928" s="2178"/>
      <c r="S1928" s="2178"/>
      <c r="T1928" s="2178"/>
      <c r="U1928" s="2178"/>
      <c r="V1928" s="2178"/>
      <c r="W1928" s="2178"/>
      <c r="X1928" s="2178"/>
      <c r="Y1928" s="2178"/>
      <c r="Z1928" s="2178"/>
      <c r="AA1928" s="2178"/>
      <c r="AB1928" s="2178"/>
      <c r="AC1928" s="2178"/>
      <c r="AD1928" s="2178"/>
      <c r="AE1928" s="2178"/>
      <c r="AF1928" s="2178"/>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2178"/>
      <c r="C2078" s="2178"/>
      <c r="D2078" s="2178"/>
      <c r="E2078" s="2178"/>
      <c r="F2078" s="2178"/>
      <c r="G2078" s="2178"/>
      <c r="H2078" s="2178"/>
      <c r="I2078" s="2178"/>
      <c r="J2078" s="2178"/>
      <c r="K2078" s="2178"/>
      <c r="L2078" s="2178"/>
      <c r="M2078" s="2178"/>
      <c r="N2078" s="2178"/>
      <c r="O2078" s="2178"/>
      <c r="P2078" s="2178"/>
      <c r="Q2078" s="2178"/>
      <c r="R2078" s="2178"/>
      <c r="S2078" s="2178"/>
      <c r="T2078" s="2178"/>
      <c r="U2078" s="2178"/>
      <c r="V2078" s="2178"/>
      <c r="W2078" s="2178"/>
      <c r="X2078" s="2178"/>
      <c r="Y2078" s="2178"/>
      <c r="Z2078" s="2178"/>
      <c r="AA2078" s="2178"/>
      <c r="AB2078" s="2178"/>
      <c r="AC2078" s="2178"/>
      <c r="AD2078" s="2178"/>
      <c r="AE2078" s="2178"/>
      <c r="AF2078" s="2178"/>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2178"/>
      <c r="C2228" s="2178"/>
      <c r="D2228" s="2178"/>
      <c r="E2228" s="2178"/>
      <c r="F2228" s="2178"/>
      <c r="G2228" s="2178"/>
      <c r="H2228" s="2178"/>
      <c r="I2228" s="2178"/>
      <c r="J2228" s="2178"/>
      <c r="K2228" s="2178"/>
      <c r="L2228" s="2178"/>
      <c r="M2228" s="2178"/>
      <c r="N2228" s="2178"/>
      <c r="O2228" s="2178"/>
      <c r="P2228" s="2178"/>
      <c r="Q2228" s="2178"/>
      <c r="R2228" s="2178"/>
      <c r="S2228" s="2178"/>
      <c r="T2228" s="2178"/>
      <c r="U2228" s="2178"/>
      <c r="V2228" s="2178"/>
      <c r="W2228" s="2178"/>
      <c r="X2228" s="2178"/>
      <c r="Y2228" s="2178"/>
      <c r="Z2228" s="2178"/>
      <c r="AA2228" s="2178"/>
      <c r="AB2228" s="2178"/>
      <c r="AC2228" s="2178"/>
      <c r="AD2228" s="2178"/>
      <c r="AE2228" s="2178"/>
      <c r="AF2228" s="2178"/>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2178"/>
      <c r="C2378" s="2178"/>
      <c r="D2378" s="2178"/>
      <c r="E2378" s="2178"/>
      <c r="F2378" s="2178"/>
      <c r="G2378" s="2178"/>
      <c r="H2378" s="2178"/>
      <c r="I2378" s="2178"/>
      <c r="J2378" s="2178"/>
      <c r="K2378" s="2178"/>
      <c r="L2378" s="2178"/>
      <c r="M2378" s="2178"/>
      <c r="N2378" s="2178"/>
      <c r="O2378" s="2178"/>
      <c r="P2378" s="2178"/>
      <c r="Q2378" s="2178"/>
      <c r="R2378" s="2178"/>
      <c r="S2378" s="2178"/>
      <c r="T2378" s="2178"/>
      <c r="U2378" s="2178"/>
      <c r="V2378" s="2178"/>
      <c r="W2378" s="2178"/>
      <c r="X2378" s="2178"/>
      <c r="Y2378" s="2178"/>
      <c r="Z2378" s="2178"/>
      <c r="AA2378" s="2178"/>
      <c r="AB2378" s="2178"/>
      <c r="AC2378" s="2178"/>
      <c r="AD2378" s="2178"/>
      <c r="AE2378" s="2178"/>
      <c r="AF2378" s="2178"/>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2178"/>
      <c r="C2528" s="2178"/>
      <c r="D2528" s="2178"/>
      <c r="E2528" s="2178"/>
      <c r="F2528" s="2178"/>
      <c r="G2528" s="2178"/>
      <c r="H2528" s="2178"/>
      <c r="I2528" s="2178"/>
      <c r="J2528" s="2178"/>
      <c r="K2528" s="2178"/>
      <c r="L2528" s="2178"/>
      <c r="M2528" s="2178"/>
      <c r="N2528" s="2178"/>
      <c r="O2528" s="2178"/>
      <c r="P2528" s="2178"/>
      <c r="Q2528" s="2178"/>
      <c r="R2528" s="2178"/>
      <c r="S2528" s="2178"/>
      <c r="T2528" s="2178"/>
      <c r="U2528" s="2178"/>
      <c r="V2528" s="2178"/>
      <c r="W2528" s="2178"/>
      <c r="X2528" s="2178"/>
      <c r="Y2528" s="2178"/>
      <c r="Z2528" s="2178"/>
      <c r="AA2528" s="2178"/>
      <c r="AB2528" s="2178"/>
      <c r="AC2528" s="2178"/>
      <c r="AD2528" s="2178"/>
      <c r="AE2528" s="2178"/>
      <c r="AF2528" s="2178"/>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2178"/>
      <c r="C2678" s="2178"/>
      <c r="D2678" s="2178"/>
      <c r="E2678" s="2178"/>
      <c r="F2678" s="2178"/>
      <c r="G2678" s="2178"/>
      <c r="H2678" s="2178"/>
      <c r="I2678" s="2178"/>
      <c r="J2678" s="2178"/>
      <c r="K2678" s="2178"/>
      <c r="L2678" s="2178"/>
      <c r="M2678" s="2178"/>
      <c r="N2678" s="2178"/>
      <c r="O2678" s="2178"/>
      <c r="P2678" s="2178"/>
      <c r="Q2678" s="2178"/>
      <c r="R2678" s="2178"/>
      <c r="S2678" s="2178"/>
      <c r="T2678" s="2178"/>
      <c r="U2678" s="2178"/>
      <c r="V2678" s="2178"/>
      <c r="W2678" s="2178"/>
      <c r="X2678" s="2178"/>
      <c r="Y2678" s="2178"/>
      <c r="Z2678" s="2178"/>
      <c r="AA2678" s="2178"/>
      <c r="AB2678" s="2178"/>
      <c r="AC2678" s="2178"/>
      <c r="AD2678" s="2178"/>
      <c r="AE2678" s="2178"/>
      <c r="AF2678" s="2178"/>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2178"/>
      <c r="C2828" s="2178"/>
      <c r="D2828" s="2178"/>
      <c r="E2828" s="2178"/>
      <c r="F2828" s="2178"/>
      <c r="G2828" s="2178"/>
      <c r="H2828" s="2178"/>
      <c r="I2828" s="2178"/>
      <c r="J2828" s="2178"/>
      <c r="K2828" s="2178"/>
      <c r="L2828" s="2178"/>
      <c r="M2828" s="2178"/>
      <c r="N2828" s="2178"/>
      <c r="O2828" s="2178"/>
      <c r="P2828" s="2178"/>
      <c r="Q2828" s="2178"/>
      <c r="R2828" s="2178"/>
      <c r="S2828" s="2178"/>
      <c r="T2828" s="2178"/>
      <c r="U2828" s="2178"/>
      <c r="V2828" s="2178"/>
      <c r="W2828" s="2178"/>
      <c r="X2828" s="2178"/>
      <c r="Y2828" s="2178"/>
      <c r="Z2828" s="2178"/>
      <c r="AA2828" s="2178"/>
      <c r="AB2828" s="2178"/>
      <c r="AC2828" s="2178"/>
      <c r="AD2828" s="2178"/>
      <c r="AE2828" s="2178"/>
      <c r="AF2828" s="2178"/>
    </row>
  </sheetData>
  <mergeCells count="24">
    <mergeCell ref="B68:AG68"/>
    <mergeCell ref="B2228:AF2228"/>
    <mergeCell ref="B2378:AF2378"/>
    <mergeCell ref="B2528:AF2528"/>
    <mergeCell ref="B2678:AF2678"/>
    <mergeCell ref="B1778:AF1778"/>
    <mergeCell ref="B1928:AF1928"/>
    <mergeCell ref="B728:AF728"/>
    <mergeCell ref="B156:AF156"/>
    <mergeCell ref="B292:AF292"/>
    <mergeCell ref="B378:AF378"/>
    <mergeCell ref="B560:AF560"/>
    <mergeCell ref="B652:AF652"/>
    <mergeCell ref="B1082:AF1082"/>
    <mergeCell ref="B1179:AF1179"/>
    <mergeCell ref="B1313:AF1313"/>
    <mergeCell ref="B2828:AF2828"/>
    <mergeCell ref="B2078:AF2078"/>
    <mergeCell ref="B819:AF819"/>
    <mergeCell ref="B897:AF897"/>
    <mergeCell ref="B983:AF983"/>
    <mergeCell ref="B1431:AF1431"/>
    <mergeCell ref="B1535:AF1535"/>
    <mergeCell ref="B1628:AF1628"/>
  </mergeCells>
  <pageMargins left="0.75" right="0.75" top="1" bottom="1" header="0.5" footer="0.5"/>
  <pageSetup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F9DFA-885E-4C73-ABA4-5DEC510DB21F}">
  <sheetPr codeName="Sheet40"/>
  <dimension ref="A1:AH2828"/>
  <sheetViews>
    <sheetView workbookViewId="0">
      <pane xSplit="2" ySplit="1" topLeftCell="C2" activePane="bottomRight" state="frozen"/>
      <selection pane="topRight" activeCell="C1" sqref="C1"/>
      <selection pane="bottomLeft" activeCell="A2" sqref="A2"/>
      <selection pane="bottomRight" activeCell="Y27" sqref="Y27"/>
    </sheetView>
  </sheetViews>
  <sheetFormatPr baseColWidth="10" defaultColWidth="9.33203125" defaultRowHeight="15" customHeight="1"/>
  <cols>
    <col min="1" max="1" width="20.6640625" style="28" hidden="1" customWidth="1"/>
    <col min="2" max="2" width="45.6640625" style="28" customWidth="1"/>
    <col min="3" max="16384" width="9.33203125" style="28"/>
  </cols>
  <sheetData>
    <row r="1" spans="1:33" ht="15" customHeight="1" thickBot="1">
      <c r="B1" s="50" t="s">
        <v>2046</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2047</v>
      </c>
      <c r="D3" s="48" t="s">
        <v>311</v>
      </c>
      <c r="E3" s="47"/>
      <c r="F3" s="47"/>
      <c r="G3" s="47"/>
    </row>
    <row r="4" spans="1:33" ht="15" customHeight="1">
      <c r="C4" s="48" t="s">
        <v>2048</v>
      </c>
      <c r="D4" s="48" t="s">
        <v>2049</v>
      </c>
      <c r="E4" s="47"/>
      <c r="F4" s="47"/>
      <c r="G4" s="48" t="s">
        <v>207</v>
      </c>
    </row>
    <row r="5" spans="1:33" ht="15" customHeight="1">
      <c r="C5" s="48" t="s">
        <v>2050</v>
      </c>
      <c r="D5" s="48" t="s">
        <v>2051</v>
      </c>
      <c r="E5" s="47"/>
      <c r="F5" s="47"/>
      <c r="G5" s="47"/>
    </row>
    <row r="6" spans="1:33" ht="15" customHeight="1">
      <c r="C6" s="48" t="s">
        <v>2052</v>
      </c>
      <c r="D6" s="47"/>
      <c r="E6" s="48" t="s">
        <v>2053</v>
      </c>
      <c r="F6" s="47"/>
      <c r="G6" s="47"/>
    </row>
    <row r="7" spans="1:33" ht="12" customHeight="1"/>
    <row r="8" spans="1:33" ht="12" customHeight="1"/>
    <row r="9" spans="1:33" ht="12" customHeight="1"/>
    <row r="10" spans="1:33" ht="15" customHeight="1">
      <c r="A10" s="34" t="s">
        <v>3137</v>
      </c>
      <c r="B10" s="46" t="s">
        <v>3138</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2058</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2059</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2061</v>
      </c>
      <c r="AG12" s="29"/>
    </row>
    <row r="13" spans="1:33" ht="15" customHeight="1" thickBot="1">
      <c r="B13" s="42" t="s">
        <v>2763</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A15" s="34" t="s">
        <v>3139</v>
      </c>
      <c r="B15" s="33" t="s">
        <v>2695</v>
      </c>
      <c r="C15" s="40">
        <v>126.85520200000001</v>
      </c>
      <c r="D15" s="40">
        <v>124.78827699999999</v>
      </c>
      <c r="E15" s="40">
        <v>122.861504</v>
      </c>
      <c r="F15" s="40">
        <v>125.647324</v>
      </c>
      <c r="G15" s="40">
        <v>131.64794900000001</v>
      </c>
      <c r="H15" s="40">
        <v>134.760132</v>
      </c>
      <c r="I15" s="40">
        <v>135.50010700000001</v>
      </c>
      <c r="J15" s="40">
        <v>136.16549699999999</v>
      </c>
      <c r="K15" s="40">
        <v>135.42817700000001</v>
      </c>
      <c r="L15" s="40">
        <v>135.13987700000001</v>
      </c>
      <c r="M15" s="40">
        <v>136.50102200000001</v>
      </c>
      <c r="N15" s="40">
        <v>136.045624</v>
      </c>
      <c r="O15" s="40">
        <v>135.96459999999999</v>
      </c>
      <c r="P15" s="40">
        <v>136.36445599999999</v>
      </c>
      <c r="Q15" s="40">
        <v>136.71965</v>
      </c>
      <c r="R15" s="40">
        <v>138.30264299999999</v>
      </c>
      <c r="S15" s="40">
        <v>139.27752699999999</v>
      </c>
      <c r="T15" s="40">
        <v>139.56672699999999</v>
      </c>
      <c r="U15" s="40">
        <v>140.15815699999999</v>
      </c>
      <c r="V15" s="40">
        <v>141.206772</v>
      </c>
      <c r="W15" s="40">
        <v>142.31332399999999</v>
      </c>
      <c r="X15" s="40">
        <v>142.74842799999999</v>
      </c>
      <c r="Y15" s="40">
        <v>142.771469</v>
      </c>
      <c r="Z15" s="40">
        <v>142.45120199999999</v>
      </c>
      <c r="AA15" s="40">
        <v>142.66772499999999</v>
      </c>
      <c r="AB15" s="40">
        <v>143.319153</v>
      </c>
      <c r="AC15" s="40">
        <v>143.41282699999999</v>
      </c>
      <c r="AD15" s="40">
        <v>143.60940600000001</v>
      </c>
      <c r="AE15" s="40">
        <v>145.06587200000001</v>
      </c>
      <c r="AF15" s="31">
        <v>4.8019999999999998E-3</v>
      </c>
      <c r="AG15" s="29"/>
    </row>
    <row r="16" spans="1:33" ht="15" customHeight="1">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B17" s="33" t="s">
        <v>2888</v>
      </c>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row>
    <row r="18" spans="1:33" ht="15" customHeight="1">
      <c r="A18" s="34" t="s">
        <v>3140</v>
      </c>
      <c r="B18" s="37" t="s">
        <v>2772</v>
      </c>
      <c r="C18" s="36">
        <v>3.3660399999999999</v>
      </c>
      <c r="D18" s="36">
        <v>3.49722</v>
      </c>
      <c r="E18" s="36">
        <v>3.3951799999999999</v>
      </c>
      <c r="F18" s="36">
        <v>3.4773010000000002</v>
      </c>
      <c r="G18" s="36">
        <v>3.6658010000000001</v>
      </c>
      <c r="H18" s="36">
        <v>3.8474520000000001</v>
      </c>
      <c r="I18" s="36">
        <v>3.9294120000000001</v>
      </c>
      <c r="J18" s="36">
        <v>3.8159679999999998</v>
      </c>
      <c r="K18" s="36">
        <v>3.690658</v>
      </c>
      <c r="L18" s="36">
        <v>3.6020400000000001</v>
      </c>
      <c r="M18" s="36">
        <v>3.556597</v>
      </c>
      <c r="N18" s="36">
        <v>3.502764</v>
      </c>
      <c r="O18" s="36">
        <v>3.4797400000000001</v>
      </c>
      <c r="P18" s="36">
        <v>3.4508589999999999</v>
      </c>
      <c r="Q18" s="36">
        <v>3.4225189999999999</v>
      </c>
      <c r="R18" s="36">
        <v>3.3846180000000001</v>
      </c>
      <c r="S18" s="36">
        <v>3.3417840000000001</v>
      </c>
      <c r="T18" s="36">
        <v>3.2931119999999998</v>
      </c>
      <c r="U18" s="36">
        <v>3.251296</v>
      </c>
      <c r="V18" s="36">
        <v>3.2057099999999998</v>
      </c>
      <c r="W18" s="36">
        <v>3.1694770000000001</v>
      </c>
      <c r="X18" s="36">
        <v>3.1099420000000002</v>
      </c>
      <c r="Y18" s="36">
        <v>3.0528740000000001</v>
      </c>
      <c r="Z18" s="36">
        <v>2.9896120000000002</v>
      </c>
      <c r="AA18" s="36">
        <v>2.9280710000000001</v>
      </c>
      <c r="AB18" s="36">
        <v>2.8876010000000001</v>
      </c>
      <c r="AC18" s="36">
        <v>2.8388939999999998</v>
      </c>
      <c r="AD18" s="36">
        <v>2.7806280000000001</v>
      </c>
      <c r="AE18" s="36">
        <v>2.7379709999999999</v>
      </c>
      <c r="AF18" s="35">
        <v>-7.3489999999999996E-3</v>
      </c>
      <c r="AG18" s="29"/>
    </row>
    <row r="19" spans="1:33" ht="15" customHeight="1">
      <c r="A19" s="34" t="s">
        <v>3141</v>
      </c>
      <c r="B19" s="37" t="s">
        <v>2770</v>
      </c>
      <c r="C19" s="36">
        <v>0</v>
      </c>
      <c r="D19" s="36">
        <v>0</v>
      </c>
      <c r="E19" s="36">
        <v>0</v>
      </c>
      <c r="F19" s="36">
        <v>0</v>
      </c>
      <c r="G19" s="36">
        <v>0</v>
      </c>
      <c r="H19" s="36">
        <v>0</v>
      </c>
      <c r="I19" s="36">
        <v>0</v>
      </c>
      <c r="J19" s="36">
        <v>0</v>
      </c>
      <c r="K19" s="36">
        <v>0</v>
      </c>
      <c r="L19" s="36">
        <v>0</v>
      </c>
      <c r="M19" s="36">
        <v>0</v>
      </c>
      <c r="N19" s="36">
        <v>0</v>
      </c>
      <c r="O19" s="36">
        <v>0</v>
      </c>
      <c r="P19" s="36">
        <v>0</v>
      </c>
      <c r="Q19" s="36">
        <v>0</v>
      </c>
      <c r="R19" s="36">
        <v>0</v>
      </c>
      <c r="S19" s="36">
        <v>0</v>
      </c>
      <c r="T19" s="36">
        <v>0</v>
      </c>
      <c r="U19" s="36">
        <v>0</v>
      </c>
      <c r="V19" s="36">
        <v>0</v>
      </c>
      <c r="W19" s="36">
        <v>0</v>
      </c>
      <c r="X19" s="36">
        <v>0</v>
      </c>
      <c r="Y19" s="36">
        <v>0</v>
      </c>
      <c r="Z19" s="36">
        <v>0</v>
      </c>
      <c r="AA19" s="36">
        <v>0</v>
      </c>
      <c r="AB19" s="36">
        <v>0</v>
      </c>
      <c r="AC19" s="36">
        <v>0</v>
      </c>
      <c r="AD19" s="36">
        <v>0</v>
      </c>
      <c r="AE19" s="36">
        <v>0</v>
      </c>
      <c r="AF19" s="35" t="s">
        <v>1278</v>
      </c>
      <c r="AG19" s="29"/>
    </row>
    <row r="20" spans="1:33" ht="15" customHeight="1">
      <c r="A20" s="34" t="s">
        <v>3142</v>
      </c>
      <c r="B20" s="37" t="s">
        <v>2892</v>
      </c>
      <c r="C20" s="36">
        <v>0</v>
      </c>
      <c r="D20" s="36">
        <v>0</v>
      </c>
      <c r="E20" s="36">
        <v>0</v>
      </c>
      <c r="F20" s="36">
        <v>0</v>
      </c>
      <c r="G20" s="36">
        <v>0</v>
      </c>
      <c r="H20" s="36">
        <v>0</v>
      </c>
      <c r="I20" s="36">
        <v>0</v>
      </c>
      <c r="J20" s="36">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6">
        <v>0</v>
      </c>
      <c r="AC20" s="36">
        <v>0</v>
      </c>
      <c r="AD20" s="36">
        <v>0</v>
      </c>
      <c r="AE20" s="36">
        <v>0</v>
      </c>
      <c r="AF20" s="35" t="s">
        <v>1278</v>
      </c>
      <c r="AG20" s="29"/>
    </row>
    <row r="21" spans="1:33" ht="15" customHeight="1">
      <c r="A21" s="34" t="s">
        <v>3143</v>
      </c>
      <c r="B21" s="37" t="s">
        <v>2894</v>
      </c>
      <c r="C21" s="36">
        <v>0</v>
      </c>
      <c r="D21" s="36">
        <v>0</v>
      </c>
      <c r="E21" s="36">
        <v>0</v>
      </c>
      <c r="F21" s="36">
        <v>0</v>
      </c>
      <c r="G21" s="36">
        <v>0</v>
      </c>
      <c r="H21" s="36">
        <v>0</v>
      </c>
      <c r="I21" s="36">
        <v>0</v>
      </c>
      <c r="J21" s="36">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6">
        <v>0</v>
      </c>
      <c r="AC21" s="36">
        <v>0</v>
      </c>
      <c r="AD21" s="36">
        <v>0</v>
      </c>
      <c r="AE21" s="36">
        <v>0</v>
      </c>
      <c r="AF21" s="35" t="s">
        <v>1278</v>
      </c>
      <c r="AG21" s="29"/>
    </row>
    <row r="22" spans="1:33" ht="15" customHeight="1">
      <c r="A22" s="34" t="s">
        <v>3144</v>
      </c>
      <c r="B22" s="37" t="s">
        <v>2782</v>
      </c>
      <c r="C22" s="36">
        <v>3.3660399999999999</v>
      </c>
      <c r="D22" s="36">
        <v>3.49722</v>
      </c>
      <c r="E22" s="36">
        <v>3.3951799999999999</v>
      </c>
      <c r="F22" s="36">
        <v>3.4773010000000002</v>
      </c>
      <c r="G22" s="36">
        <v>3.6658010000000001</v>
      </c>
      <c r="H22" s="36">
        <v>3.8474520000000001</v>
      </c>
      <c r="I22" s="36">
        <v>3.9294120000000001</v>
      </c>
      <c r="J22" s="36">
        <v>3.8159679999999998</v>
      </c>
      <c r="K22" s="36">
        <v>3.690658</v>
      </c>
      <c r="L22" s="36">
        <v>3.6020400000000001</v>
      </c>
      <c r="M22" s="36">
        <v>3.556597</v>
      </c>
      <c r="N22" s="36">
        <v>3.502764</v>
      </c>
      <c r="O22" s="36">
        <v>3.4797400000000001</v>
      </c>
      <c r="P22" s="36">
        <v>3.4508589999999999</v>
      </c>
      <c r="Q22" s="36">
        <v>3.4225189999999999</v>
      </c>
      <c r="R22" s="36">
        <v>3.3846180000000001</v>
      </c>
      <c r="S22" s="36">
        <v>3.3417840000000001</v>
      </c>
      <c r="T22" s="36">
        <v>3.2931119999999998</v>
      </c>
      <c r="U22" s="36">
        <v>3.251296</v>
      </c>
      <c r="V22" s="36">
        <v>3.2057099999999998</v>
      </c>
      <c r="W22" s="36">
        <v>3.1694770000000001</v>
      </c>
      <c r="X22" s="36">
        <v>3.1099420000000002</v>
      </c>
      <c r="Y22" s="36">
        <v>3.0528740000000001</v>
      </c>
      <c r="Z22" s="36">
        <v>2.9896120000000002</v>
      </c>
      <c r="AA22" s="36">
        <v>2.9280710000000001</v>
      </c>
      <c r="AB22" s="36">
        <v>2.8876010000000001</v>
      </c>
      <c r="AC22" s="36">
        <v>2.8388939999999998</v>
      </c>
      <c r="AD22" s="36">
        <v>2.7806280000000001</v>
      </c>
      <c r="AE22" s="36">
        <v>2.7379709999999999</v>
      </c>
      <c r="AF22" s="35">
        <v>-7.3489999999999996E-3</v>
      </c>
      <c r="AG22" s="29"/>
    </row>
    <row r="23" spans="1:33" ht="15" customHeight="1">
      <c r="A23" s="34" t="s">
        <v>3145</v>
      </c>
      <c r="B23" s="37" t="s">
        <v>2784</v>
      </c>
      <c r="C23" s="36">
        <v>294.71972699999998</v>
      </c>
      <c r="D23" s="36">
        <v>294.60342400000002</v>
      </c>
      <c r="E23" s="36">
        <v>301.31253099999998</v>
      </c>
      <c r="F23" s="36">
        <v>311.58752399999997</v>
      </c>
      <c r="G23" s="36">
        <v>326.43823200000003</v>
      </c>
      <c r="H23" s="36">
        <v>331.48968500000001</v>
      </c>
      <c r="I23" s="36">
        <v>328.37570199999999</v>
      </c>
      <c r="J23" s="36">
        <v>323.74761999999998</v>
      </c>
      <c r="K23" s="36">
        <v>316.71478300000001</v>
      </c>
      <c r="L23" s="36">
        <v>312.18398999999999</v>
      </c>
      <c r="M23" s="36">
        <v>311.70275900000001</v>
      </c>
      <c r="N23" s="36">
        <v>307.659424</v>
      </c>
      <c r="O23" s="36">
        <v>305.27758799999998</v>
      </c>
      <c r="P23" s="36">
        <v>304.43847699999998</v>
      </c>
      <c r="Q23" s="36">
        <v>304.43823200000003</v>
      </c>
      <c r="R23" s="36">
        <v>306.691711</v>
      </c>
      <c r="S23" s="36">
        <v>307.48748799999998</v>
      </c>
      <c r="T23" s="36">
        <v>308.393799</v>
      </c>
      <c r="U23" s="36">
        <v>308.54711900000001</v>
      </c>
      <c r="V23" s="36">
        <v>309.82531699999998</v>
      </c>
      <c r="W23" s="36">
        <v>311.66107199999999</v>
      </c>
      <c r="X23" s="36">
        <v>312.41790800000001</v>
      </c>
      <c r="Y23" s="36">
        <v>312.26638800000001</v>
      </c>
      <c r="Z23" s="36">
        <v>311.11431900000002</v>
      </c>
      <c r="AA23" s="36">
        <v>310.96816999999999</v>
      </c>
      <c r="AB23" s="36">
        <v>312.17425500000002</v>
      </c>
      <c r="AC23" s="36">
        <v>312.27642800000001</v>
      </c>
      <c r="AD23" s="36">
        <v>312.49780299999998</v>
      </c>
      <c r="AE23" s="36">
        <v>315.04290800000001</v>
      </c>
      <c r="AF23" s="35">
        <v>2.3839999999999998E-3</v>
      </c>
      <c r="AG23" s="29"/>
    </row>
    <row r="24" spans="1:33" ht="15" customHeight="1">
      <c r="A24" s="34" t="s">
        <v>3146</v>
      </c>
      <c r="B24" s="37" t="s">
        <v>3097</v>
      </c>
      <c r="C24" s="36">
        <v>455.10830700000002</v>
      </c>
      <c r="D24" s="36">
        <v>460.39819299999999</v>
      </c>
      <c r="E24" s="36">
        <v>452.17480499999999</v>
      </c>
      <c r="F24" s="36">
        <v>449.82312000000002</v>
      </c>
      <c r="G24" s="36">
        <v>453.70169099999998</v>
      </c>
      <c r="H24" s="36">
        <v>455.78045700000001</v>
      </c>
      <c r="I24" s="36">
        <v>455.72970600000002</v>
      </c>
      <c r="J24" s="36">
        <v>455.71157799999997</v>
      </c>
      <c r="K24" s="36">
        <v>451.48614500000002</v>
      </c>
      <c r="L24" s="36">
        <v>448.10040300000003</v>
      </c>
      <c r="M24" s="36">
        <v>449.36041299999999</v>
      </c>
      <c r="N24" s="36">
        <v>445.53539999999998</v>
      </c>
      <c r="O24" s="36">
        <v>442.20489500000002</v>
      </c>
      <c r="P24" s="36">
        <v>439.80627399999997</v>
      </c>
      <c r="Q24" s="36">
        <v>437.29684400000002</v>
      </c>
      <c r="R24" s="36">
        <v>436.052795</v>
      </c>
      <c r="S24" s="36">
        <v>430.48379499999999</v>
      </c>
      <c r="T24" s="36">
        <v>422.70538299999998</v>
      </c>
      <c r="U24" s="36">
        <v>417.61764499999998</v>
      </c>
      <c r="V24" s="36">
        <v>415.45953400000002</v>
      </c>
      <c r="W24" s="36">
        <v>414.92895499999997</v>
      </c>
      <c r="X24" s="36">
        <v>412.807007</v>
      </c>
      <c r="Y24" s="36">
        <v>409.60656699999998</v>
      </c>
      <c r="Z24" s="36">
        <v>405.55252100000001</v>
      </c>
      <c r="AA24" s="36">
        <v>402.43670700000001</v>
      </c>
      <c r="AB24" s="36">
        <v>399.93218999999999</v>
      </c>
      <c r="AC24" s="36">
        <v>395.37237499999998</v>
      </c>
      <c r="AD24" s="36">
        <v>392.642944</v>
      </c>
      <c r="AE24" s="36">
        <v>392.89562999999998</v>
      </c>
      <c r="AF24" s="35">
        <v>-5.2360000000000002E-3</v>
      </c>
      <c r="AG24" s="29"/>
    </row>
    <row r="25" spans="1:33" ht="15" customHeight="1">
      <c r="A25" s="34" t="s">
        <v>3147</v>
      </c>
      <c r="B25" s="37" t="s">
        <v>3148</v>
      </c>
      <c r="C25" s="36">
        <v>-65.520081000000005</v>
      </c>
      <c r="D25" s="36">
        <v>-52.675224</v>
      </c>
      <c r="E25" s="36">
        <v>-28.473595</v>
      </c>
      <c r="F25" s="36">
        <v>-28.058823</v>
      </c>
      <c r="G25" s="36">
        <v>-27.152297999999998</v>
      </c>
      <c r="H25" s="36">
        <v>-26.973526</v>
      </c>
      <c r="I25" s="36">
        <v>-26.754507</v>
      </c>
      <c r="J25" s="36">
        <v>-26.593482999999999</v>
      </c>
      <c r="K25" s="36">
        <v>-26.706977999999999</v>
      </c>
      <c r="L25" s="36">
        <v>-26.644684000000002</v>
      </c>
      <c r="M25" s="36">
        <v>-26.432869</v>
      </c>
      <c r="N25" s="36">
        <v>-26.506392000000002</v>
      </c>
      <c r="O25" s="36">
        <v>-26.363792</v>
      </c>
      <c r="P25" s="36">
        <v>-26.169174000000002</v>
      </c>
      <c r="Q25" s="36">
        <v>-26.078598</v>
      </c>
      <c r="R25" s="36">
        <v>-25.746521000000001</v>
      </c>
      <c r="S25" s="36">
        <v>-25.531813</v>
      </c>
      <c r="T25" s="36">
        <v>-25.348019000000001</v>
      </c>
      <c r="U25" s="36">
        <v>-25.149929</v>
      </c>
      <c r="V25" s="36">
        <v>-24.886177</v>
      </c>
      <c r="W25" s="36">
        <v>-24.640616999999999</v>
      </c>
      <c r="X25" s="36">
        <v>-24.509308000000001</v>
      </c>
      <c r="Y25" s="36">
        <v>-24.396839</v>
      </c>
      <c r="Z25" s="36">
        <v>-24.327529999999999</v>
      </c>
      <c r="AA25" s="36">
        <v>-24.148050000000001</v>
      </c>
      <c r="AB25" s="36">
        <v>-23.947119000000001</v>
      </c>
      <c r="AC25" s="36">
        <v>-23.865841</v>
      </c>
      <c r="AD25" s="36">
        <v>-23.709914999999999</v>
      </c>
      <c r="AE25" s="36">
        <v>-23.343</v>
      </c>
      <c r="AF25" s="35">
        <v>-3.6187999999999998E-2</v>
      </c>
      <c r="AG25" s="29"/>
    </row>
    <row r="26" spans="1:33" ht="15" customHeight="1">
      <c r="A26" s="34" t="s">
        <v>3149</v>
      </c>
      <c r="B26" s="37" t="s">
        <v>2898</v>
      </c>
      <c r="C26" s="36">
        <v>123.934006</v>
      </c>
      <c r="D26" s="36">
        <v>112.088638</v>
      </c>
      <c r="E26" s="36">
        <v>109.530396</v>
      </c>
      <c r="F26" s="36">
        <v>109.64475299999999</v>
      </c>
      <c r="G26" s="36">
        <v>111.38179</v>
      </c>
      <c r="H26" s="36">
        <v>111.62529000000001</v>
      </c>
      <c r="I26" s="36">
        <v>110.580521</v>
      </c>
      <c r="J26" s="36">
        <v>109.447891</v>
      </c>
      <c r="K26" s="36">
        <v>107.113998</v>
      </c>
      <c r="L26" s="36">
        <v>104.97350299999999</v>
      </c>
      <c r="M26" s="36">
        <v>103.874298</v>
      </c>
      <c r="N26" s="36">
        <v>101.348923</v>
      </c>
      <c r="O26" s="36">
        <v>98.952636999999996</v>
      </c>
      <c r="P26" s="36">
        <v>96.759567000000004</v>
      </c>
      <c r="Q26" s="36">
        <v>94.519881999999996</v>
      </c>
      <c r="R26" s="36">
        <v>92.865921</v>
      </c>
      <c r="S26" s="36">
        <v>90.498344000000003</v>
      </c>
      <c r="T26" s="36">
        <v>87.755516</v>
      </c>
      <c r="U26" s="36">
        <v>85.482315</v>
      </c>
      <c r="V26" s="36">
        <v>83.724365000000006</v>
      </c>
      <c r="W26" s="36">
        <v>82.190513999999993</v>
      </c>
      <c r="X26" s="36">
        <v>80.323586000000006</v>
      </c>
      <c r="Y26" s="36">
        <v>78.276641999999995</v>
      </c>
      <c r="Z26" s="36">
        <v>76.103012000000007</v>
      </c>
      <c r="AA26" s="36">
        <v>74.214889999999997</v>
      </c>
      <c r="AB26" s="36">
        <v>72.527901</v>
      </c>
      <c r="AC26" s="36">
        <v>70.535315999999995</v>
      </c>
      <c r="AD26" s="36">
        <v>68.790595999999994</v>
      </c>
      <c r="AE26" s="36">
        <v>67.651404999999997</v>
      </c>
      <c r="AF26" s="35">
        <v>-2.1388999999999998E-2</v>
      </c>
      <c r="AG26" s="29"/>
    </row>
    <row r="27" spans="1:33" ht="15" customHeight="1">
      <c r="A27" s="34" t="s">
        <v>3150</v>
      </c>
      <c r="B27" s="37" t="s">
        <v>3099</v>
      </c>
      <c r="C27" s="36">
        <v>513.52221699999996</v>
      </c>
      <c r="D27" s="36">
        <v>519.81158400000004</v>
      </c>
      <c r="E27" s="36">
        <v>533.23156700000004</v>
      </c>
      <c r="F27" s="36">
        <v>531.40905799999996</v>
      </c>
      <c r="G27" s="36">
        <v>537.931152</v>
      </c>
      <c r="H27" s="36">
        <v>540.43225099999995</v>
      </c>
      <c r="I27" s="36">
        <v>539.55572500000005</v>
      </c>
      <c r="J27" s="36">
        <v>538.56597899999997</v>
      </c>
      <c r="K27" s="36">
        <v>531.89318800000001</v>
      </c>
      <c r="L27" s="36">
        <v>526.42919900000004</v>
      </c>
      <c r="M27" s="36">
        <v>526.80187999999998</v>
      </c>
      <c r="N27" s="36">
        <v>520.37792999999999</v>
      </c>
      <c r="O27" s="36">
        <v>514.79370100000006</v>
      </c>
      <c r="P27" s="36">
        <v>510.39666699999998</v>
      </c>
      <c r="Q27" s="36">
        <v>505.738159</v>
      </c>
      <c r="R27" s="36">
        <v>503.17218000000003</v>
      </c>
      <c r="S27" s="36">
        <v>495.45034800000002</v>
      </c>
      <c r="T27" s="36">
        <v>485.11288500000001</v>
      </c>
      <c r="U27" s="36">
        <v>477.95001200000002</v>
      </c>
      <c r="V27" s="36">
        <v>474.297729</v>
      </c>
      <c r="W27" s="36">
        <v>472.47885100000002</v>
      </c>
      <c r="X27" s="36">
        <v>468.62127700000002</v>
      </c>
      <c r="Y27" s="36">
        <v>463.48635899999999</v>
      </c>
      <c r="Z27" s="36">
        <v>457.32800300000002</v>
      </c>
      <c r="AA27" s="36">
        <v>452.50353999999999</v>
      </c>
      <c r="AB27" s="36">
        <v>448.51297</v>
      </c>
      <c r="AC27" s="36">
        <v>442.04183999999998</v>
      </c>
      <c r="AD27" s="36">
        <v>437.72363300000001</v>
      </c>
      <c r="AE27" s="36">
        <v>437.20404100000002</v>
      </c>
      <c r="AF27" s="35">
        <v>-5.7299999999999999E-3</v>
      </c>
      <c r="AG27" s="29"/>
    </row>
    <row r="28" spans="1:33" ht="15" customHeight="1">
      <c r="A28" s="34" t="s">
        <v>3151</v>
      </c>
      <c r="B28" s="37" t="s">
        <v>2900</v>
      </c>
      <c r="C28" s="36">
        <v>0</v>
      </c>
      <c r="D28" s="36">
        <v>0</v>
      </c>
      <c r="E28" s="36">
        <v>0</v>
      </c>
      <c r="F28" s="36">
        <v>0</v>
      </c>
      <c r="G28" s="36">
        <v>0</v>
      </c>
      <c r="H28" s="36">
        <v>0</v>
      </c>
      <c r="I28" s="36">
        <v>0</v>
      </c>
      <c r="J28" s="36">
        <v>0</v>
      </c>
      <c r="K28" s="36">
        <v>0</v>
      </c>
      <c r="L28" s="36">
        <v>0</v>
      </c>
      <c r="M28" s="36">
        <v>0</v>
      </c>
      <c r="N28" s="36">
        <v>0</v>
      </c>
      <c r="O28" s="36">
        <v>0</v>
      </c>
      <c r="P28" s="36">
        <v>0</v>
      </c>
      <c r="Q28" s="36">
        <v>0</v>
      </c>
      <c r="R28" s="36">
        <v>0</v>
      </c>
      <c r="S28" s="36">
        <v>0</v>
      </c>
      <c r="T28" s="36">
        <v>0</v>
      </c>
      <c r="U28" s="36">
        <v>0</v>
      </c>
      <c r="V28" s="36">
        <v>0</v>
      </c>
      <c r="W28" s="36">
        <v>0</v>
      </c>
      <c r="X28" s="36">
        <v>0</v>
      </c>
      <c r="Y28" s="36">
        <v>0</v>
      </c>
      <c r="Z28" s="36">
        <v>0</v>
      </c>
      <c r="AA28" s="36">
        <v>0</v>
      </c>
      <c r="AB28" s="36">
        <v>0</v>
      </c>
      <c r="AC28" s="36">
        <v>0</v>
      </c>
      <c r="AD28" s="36">
        <v>0</v>
      </c>
      <c r="AE28" s="36">
        <v>0</v>
      </c>
      <c r="AF28" s="35" t="s">
        <v>1278</v>
      </c>
      <c r="AG28" s="29"/>
    </row>
    <row r="29" spans="1:33" ht="15" customHeight="1">
      <c r="A29" s="34" t="s">
        <v>3152</v>
      </c>
      <c r="B29" s="37" t="s">
        <v>2796</v>
      </c>
      <c r="C29" s="36">
        <v>212.36544799999999</v>
      </c>
      <c r="D29" s="36">
        <v>214.932648</v>
      </c>
      <c r="E29" s="36">
        <v>210.71107499999999</v>
      </c>
      <c r="F29" s="36">
        <v>214.30396999999999</v>
      </c>
      <c r="G29" s="36">
        <v>223.11151100000001</v>
      </c>
      <c r="H29" s="36">
        <v>227.51297</v>
      </c>
      <c r="I29" s="36">
        <v>227.80441300000001</v>
      </c>
      <c r="J29" s="36">
        <v>227.49375900000001</v>
      </c>
      <c r="K29" s="36">
        <v>225.092163</v>
      </c>
      <c r="L29" s="36">
        <v>223.32548499999999</v>
      </c>
      <c r="M29" s="36">
        <v>224.27037000000001</v>
      </c>
      <c r="N29" s="36">
        <v>222.41326900000001</v>
      </c>
      <c r="O29" s="36">
        <v>221.34828200000001</v>
      </c>
      <c r="P29" s="36">
        <v>221.154236</v>
      </c>
      <c r="Q29" s="36">
        <v>220.69470200000001</v>
      </c>
      <c r="R29" s="36">
        <v>221.96530200000001</v>
      </c>
      <c r="S29" s="36">
        <v>222.49127200000001</v>
      </c>
      <c r="T29" s="36">
        <v>222.003433</v>
      </c>
      <c r="U29" s="36">
        <v>222.11080899999999</v>
      </c>
      <c r="V29" s="36">
        <v>222.851685</v>
      </c>
      <c r="W29" s="36">
        <v>223.68077099999999</v>
      </c>
      <c r="X29" s="36">
        <v>223.522491</v>
      </c>
      <c r="Y29" s="36">
        <v>222.72912600000001</v>
      </c>
      <c r="Z29" s="36">
        <v>221.52821399999999</v>
      </c>
      <c r="AA29" s="36">
        <v>221.23840300000001</v>
      </c>
      <c r="AB29" s="36">
        <v>221.64254800000001</v>
      </c>
      <c r="AC29" s="36">
        <v>221.232147</v>
      </c>
      <c r="AD29" s="36">
        <v>220.962479</v>
      </c>
      <c r="AE29" s="36">
        <v>222.613754</v>
      </c>
      <c r="AF29" s="35">
        <v>1.6850000000000001E-3</v>
      </c>
      <c r="AG29" s="29"/>
    </row>
    <row r="30" spans="1:33" ht="15" customHeight="1">
      <c r="A30" s="34" t="s">
        <v>3153</v>
      </c>
      <c r="B30" s="33" t="s">
        <v>2798</v>
      </c>
      <c r="C30" s="32">
        <v>1023.97345</v>
      </c>
      <c r="D30" s="32">
        <v>1032.844971</v>
      </c>
      <c r="E30" s="32">
        <v>1048.6503909999999</v>
      </c>
      <c r="F30" s="32">
        <v>1060.777832</v>
      </c>
      <c r="G30" s="32">
        <v>1091.1467290000001</v>
      </c>
      <c r="H30" s="32">
        <v>1103.2823490000001</v>
      </c>
      <c r="I30" s="32">
        <v>1099.665283</v>
      </c>
      <c r="J30" s="32">
        <v>1093.6232910000001</v>
      </c>
      <c r="K30" s="32">
        <v>1077.3907469999999</v>
      </c>
      <c r="L30" s="32">
        <v>1065.5407709999999</v>
      </c>
      <c r="M30" s="32">
        <v>1066.3316649999999</v>
      </c>
      <c r="N30" s="32">
        <v>1053.9533690000001</v>
      </c>
      <c r="O30" s="32">
        <v>1044.8992920000001</v>
      </c>
      <c r="P30" s="32">
        <v>1039.440186</v>
      </c>
      <c r="Q30" s="32">
        <v>1034.2935789999999</v>
      </c>
      <c r="R30" s="32">
        <v>1035.213745</v>
      </c>
      <c r="S30" s="32">
        <v>1028.770996</v>
      </c>
      <c r="T30" s="32">
        <v>1018.803223</v>
      </c>
      <c r="U30" s="32">
        <v>1011.859192</v>
      </c>
      <c r="V30" s="32">
        <v>1010.18042</v>
      </c>
      <c r="W30" s="32">
        <v>1010.990112</v>
      </c>
      <c r="X30" s="32">
        <v>1007.671631</v>
      </c>
      <c r="Y30" s="32">
        <v>1001.534729</v>
      </c>
      <c r="Z30" s="32">
        <v>992.96014400000001</v>
      </c>
      <c r="AA30" s="32">
        <v>987.63818400000002</v>
      </c>
      <c r="AB30" s="32">
        <v>985.21740699999998</v>
      </c>
      <c r="AC30" s="32">
        <v>978.38928199999998</v>
      </c>
      <c r="AD30" s="32">
        <v>973.96453899999995</v>
      </c>
      <c r="AE30" s="32">
        <v>977.59869400000002</v>
      </c>
      <c r="AF30" s="31">
        <v>-1.6540000000000001E-3</v>
      </c>
      <c r="AG30" s="29"/>
    </row>
    <row r="31" spans="1:33" ht="15" customHeight="1">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row>
    <row r="32" spans="1:33" ht="15" customHeight="1">
      <c r="B32" s="33" t="s">
        <v>2903</v>
      </c>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row>
    <row r="33" spans="1:33" ht="15" customHeight="1">
      <c r="B33" s="33" t="s">
        <v>2904</v>
      </c>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row>
    <row r="34" spans="1:33" ht="12" customHeight="1">
      <c r="A34" s="34" t="s">
        <v>3154</v>
      </c>
      <c r="B34" s="37" t="s">
        <v>2772</v>
      </c>
      <c r="C34" s="38">
        <v>2.6535E-2</v>
      </c>
      <c r="D34" s="38">
        <v>2.8025000000000001E-2</v>
      </c>
      <c r="E34" s="38">
        <v>2.7633999999999999E-2</v>
      </c>
      <c r="F34" s="38">
        <v>2.7675000000000002E-2</v>
      </c>
      <c r="G34" s="38">
        <v>2.7845000000000002E-2</v>
      </c>
      <c r="H34" s="38">
        <v>2.8549999999999999E-2</v>
      </c>
      <c r="I34" s="38">
        <v>2.8999E-2</v>
      </c>
      <c r="J34" s="38">
        <v>2.8024E-2</v>
      </c>
      <c r="K34" s="38">
        <v>2.7251999999999998E-2</v>
      </c>
      <c r="L34" s="38">
        <v>2.6654000000000001E-2</v>
      </c>
      <c r="M34" s="38">
        <v>2.6054999999999998E-2</v>
      </c>
      <c r="N34" s="38">
        <v>2.5746999999999999E-2</v>
      </c>
      <c r="O34" s="38">
        <v>2.5593000000000001E-2</v>
      </c>
      <c r="P34" s="38">
        <v>2.5305999999999999E-2</v>
      </c>
      <c r="Q34" s="38">
        <v>2.5033E-2</v>
      </c>
      <c r="R34" s="38">
        <v>2.4473000000000002E-2</v>
      </c>
      <c r="S34" s="38">
        <v>2.3994000000000001E-2</v>
      </c>
      <c r="T34" s="38">
        <v>2.3595000000000001E-2</v>
      </c>
      <c r="U34" s="38">
        <v>2.3196999999999999E-2</v>
      </c>
      <c r="V34" s="38">
        <v>2.2702E-2</v>
      </c>
      <c r="W34" s="38">
        <v>2.2270999999999999E-2</v>
      </c>
      <c r="X34" s="38">
        <v>2.1786E-2</v>
      </c>
      <c r="Y34" s="38">
        <v>2.1382999999999999E-2</v>
      </c>
      <c r="Z34" s="38">
        <v>2.0986999999999999E-2</v>
      </c>
      <c r="AA34" s="38">
        <v>2.0524000000000001E-2</v>
      </c>
      <c r="AB34" s="38">
        <v>2.0147999999999999E-2</v>
      </c>
      <c r="AC34" s="38">
        <v>1.9795E-2</v>
      </c>
      <c r="AD34" s="38">
        <v>1.9362000000000001E-2</v>
      </c>
      <c r="AE34" s="38">
        <v>1.8873999999999998E-2</v>
      </c>
      <c r="AF34" s="35">
        <v>-1.2093E-2</v>
      </c>
      <c r="AG34" s="29"/>
    </row>
    <row r="35" spans="1:33" ht="12" customHeight="1">
      <c r="A35" s="34" t="s">
        <v>3155</v>
      </c>
      <c r="B35" s="37" t="s">
        <v>2770</v>
      </c>
      <c r="C35" s="38">
        <v>0</v>
      </c>
      <c r="D35" s="38">
        <v>0</v>
      </c>
      <c r="E35" s="38">
        <v>0</v>
      </c>
      <c r="F35" s="38">
        <v>0</v>
      </c>
      <c r="G35" s="38">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5" t="s">
        <v>1278</v>
      </c>
      <c r="AG35" s="29"/>
    </row>
    <row r="36" spans="1:33" ht="12" customHeight="1">
      <c r="A36" s="34" t="s">
        <v>3156</v>
      </c>
      <c r="B36" s="37" t="s">
        <v>2892</v>
      </c>
      <c r="C36" s="38">
        <v>0</v>
      </c>
      <c r="D36" s="38">
        <v>0</v>
      </c>
      <c r="E36" s="38">
        <v>0</v>
      </c>
      <c r="F36" s="38">
        <v>0</v>
      </c>
      <c r="G36" s="38">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5" t="s">
        <v>1278</v>
      </c>
      <c r="AG36" s="29"/>
    </row>
    <row r="37" spans="1:33" ht="12" customHeight="1">
      <c r="A37" s="34" t="s">
        <v>3157</v>
      </c>
      <c r="B37" s="37" t="s">
        <v>2894</v>
      </c>
      <c r="C37" s="38">
        <v>0</v>
      </c>
      <c r="D37" s="38">
        <v>0</v>
      </c>
      <c r="E37" s="38">
        <v>0</v>
      </c>
      <c r="F37" s="38">
        <v>0</v>
      </c>
      <c r="G37" s="38">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5" t="s">
        <v>1278</v>
      </c>
      <c r="AG37" s="29"/>
    </row>
    <row r="38" spans="1:33" ht="12" customHeight="1">
      <c r="A38" s="34" t="s">
        <v>3158</v>
      </c>
      <c r="B38" s="37" t="s">
        <v>2782</v>
      </c>
      <c r="C38" s="38">
        <v>2.6535E-2</v>
      </c>
      <c r="D38" s="38">
        <v>2.8025000000000001E-2</v>
      </c>
      <c r="E38" s="38">
        <v>2.7633999999999999E-2</v>
      </c>
      <c r="F38" s="38">
        <v>2.7675000000000002E-2</v>
      </c>
      <c r="G38" s="38">
        <v>2.7845000000000002E-2</v>
      </c>
      <c r="H38" s="38">
        <v>2.8549999999999999E-2</v>
      </c>
      <c r="I38" s="38">
        <v>2.8999E-2</v>
      </c>
      <c r="J38" s="38">
        <v>2.8024E-2</v>
      </c>
      <c r="K38" s="38">
        <v>2.7251999999999998E-2</v>
      </c>
      <c r="L38" s="38">
        <v>2.6654000000000001E-2</v>
      </c>
      <c r="M38" s="38">
        <v>2.6054999999999998E-2</v>
      </c>
      <c r="N38" s="38">
        <v>2.5746999999999999E-2</v>
      </c>
      <c r="O38" s="38">
        <v>2.5593000000000001E-2</v>
      </c>
      <c r="P38" s="38">
        <v>2.5305999999999999E-2</v>
      </c>
      <c r="Q38" s="38">
        <v>2.5033E-2</v>
      </c>
      <c r="R38" s="38">
        <v>2.4473000000000002E-2</v>
      </c>
      <c r="S38" s="38">
        <v>2.3994000000000001E-2</v>
      </c>
      <c r="T38" s="38">
        <v>2.3595000000000001E-2</v>
      </c>
      <c r="U38" s="38">
        <v>2.3196999999999999E-2</v>
      </c>
      <c r="V38" s="38">
        <v>2.2702E-2</v>
      </c>
      <c r="W38" s="38">
        <v>2.2270999999999999E-2</v>
      </c>
      <c r="X38" s="38">
        <v>2.1786E-2</v>
      </c>
      <c r="Y38" s="38">
        <v>2.1382999999999999E-2</v>
      </c>
      <c r="Z38" s="38">
        <v>2.0986999999999999E-2</v>
      </c>
      <c r="AA38" s="38">
        <v>2.0524000000000001E-2</v>
      </c>
      <c r="AB38" s="38">
        <v>2.0147999999999999E-2</v>
      </c>
      <c r="AC38" s="38">
        <v>1.9795E-2</v>
      </c>
      <c r="AD38" s="38">
        <v>1.9362000000000001E-2</v>
      </c>
      <c r="AE38" s="38">
        <v>1.8873999999999998E-2</v>
      </c>
      <c r="AF38" s="35">
        <v>-1.2093E-2</v>
      </c>
      <c r="AG38" s="29"/>
    </row>
    <row r="39" spans="1:33" ht="12" customHeight="1">
      <c r="A39" s="34" t="s">
        <v>3159</v>
      </c>
      <c r="B39" s="37" t="s">
        <v>2784</v>
      </c>
      <c r="C39" s="38">
        <v>2.323277</v>
      </c>
      <c r="D39" s="38">
        <v>2.3608259999999999</v>
      </c>
      <c r="E39" s="38">
        <v>2.4524569999999999</v>
      </c>
      <c r="F39" s="38">
        <v>2.4798580000000001</v>
      </c>
      <c r="G39" s="38">
        <v>2.4796299999999998</v>
      </c>
      <c r="H39" s="38">
        <v>2.4598499999999999</v>
      </c>
      <c r="I39" s="38">
        <v>2.423435</v>
      </c>
      <c r="J39" s="38">
        <v>2.3776039999999998</v>
      </c>
      <c r="K39" s="38">
        <v>2.3386179999999999</v>
      </c>
      <c r="L39" s="38">
        <v>2.3100809999999998</v>
      </c>
      <c r="M39" s="38">
        <v>2.2835200000000002</v>
      </c>
      <c r="N39" s="38">
        <v>2.2614429999999999</v>
      </c>
      <c r="O39" s="38">
        <v>2.2452730000000001</v>
      </c>
      <c r="P39" s="38">
        <v>2.2325349999999999</v>
      </c>
      <c r="Q39" s="38">
        <v>2.2267329999999999</v>
      </c>
      <c r="R39" s="38">
        <v>2.2175410000000002</v>
      </c>
      <c r="S39" s="38">
        <v>2.207732</v>
      </c>
      <c r="T39" s="38">
        <v>2.209651</v>
      </c>
      <c r="U39" s="38">
        <v>2.2014209999999999</v>
      </c>
      <c r="V39" s="38">
        <v>2.1941250000000001</v>
      </c>
      <c r="W39" s="38">
        <v>2.1899639999999998</v>
      </c>
      <c r="X39" s="38">
        <v>2.1885910000000002</v>
      </c>
      <c r="Y39" s="38">
        <v>2.187176</v>
      </c>
      <c r="Z39" s="38">
        <v>2.1840060000000001</v>
      </c>
      <c r="AA39" s="38">
        <v>2.1796669999999998</v>
      </c>
      <c r="AB39" s="38">
        <v>2.178175</v>
      </c>
      <c r="AC39" s="38">
        <v>2.1774650000000002</v>
      </c>
      <c r="AD39" s="38">
        <v>2.1760259999999998</v>
      </c>
      <c r="AE39" s="38">
        <v>2.1717230000000001</v>
      </c>
      <c r="AF39" s="35">
        <v>-2.4060000000000002E-3</v>
      </c>
      <c r="AG39" s="29"/>
    </row>
    <row r="40" spans="1:33" ht="12" customHeight="1">
      <c r="A40" s="34" t="s">
        <v>3160</v>
      </c>
      <c r="B40" s="37" t="s">
        <v>3097</v>
      </c>
      <c r="C40" s="38">
        <v>3.5876199999999998</v>
      </c>
      <c r="D40" s="38">
        <v>3.689435</v>
      </c>
      <c r="E40" s="38">
        <v>3.6803620000000001</v>
      </c>
      <c r="F40" s="38">
        <v>3.5800450000000001</v>
      </c>
      <c r="G40" s="38">
        <v>3.446326</v>
      </c>
      <c r="H40" s="38">
        <v>3.382161</v>
      </c>
      <c r="I40" s="38">
        <v>3.3633160000000002</v>
      </c>
      <c r="J40" s="38">
        <v>3.3467479999999998</v>
      </c>
      <c r="K40" s="38">
        <v>3.3337680000000001</v>
      </c>
      <c r="L40" s="38">
        <v>3.3158270000000001</v>
      </c>
      <c r="M40" s="38">
        <v>3.2919930000000002</v>
      </c>
      <c r="N40" s="38">
        <v>3.2748970000000002</v>
      </c>
      <c r="O40" s="38">
        <v>3.2523529999999998</v>
      </c>
      <c r="P40" s="38">
        <v>3.2252269999999998</v>
      </c>
      <c r="Q40" s="38">
        <v>3.198493</v>
      </c>
      <c r="R40" s="38">
        <v>3.1528879999999999</v>
      </c>
      <c r="S40" s="38">
        <v>3.0908350000000002</v>
      </c>
      <c r="T40" s="38">
        <v>3.0286970000000002</v>
      </c>
      <c r="U40" s="38">
        <v>2.9796170000000002</v>
      </c>
      <c r="V40" s="38">
        <v>2.9422069999999998</v>
      </c>
      <c r="W40" s="38">
        <v>2.9156010000000001</v>
      </c>
      <c r="X40" s="38">
        <v>2.8918499999999998</v>
      </c>
      <c r="Y40" s="38">
        <v>2.868967</v>
      </c>
      <c r="Z40" s="38">
        <v>2.8469570000000002</v>
      </c>
      <c r="AA40" s="38">
        <v>2.8207970000000002</v>
      </c>
      <c r="AB40" s="38">
        <v>2.7905009999999999</v>
      </c>
      <c r="AC40" s="38">
        <v>2.7568830000000002</v>
      </c>
      <c r="AD40" s="38">
        <v>2.7341030000000002</v>
      </c>
      <c r="AE40" s="38">
        <v>2.7083949999999999</v>
      </c>
      <c r="AF40" s="35">
        <v>-9.9900000000000006E-3</v>
      </c>
      <c r="AG40" s="29"/>
    </row>
    <row r="41" spans="1:33" ht="12" customHeight="1">
      <c r="A41" s="34" t="s">
        <v>3161</v>
      </c>
      <c r="B41" s="37" t="s">
        <v>3148</v>
      </c>
      <c r="C41" s="38">
        <v>-0.51649500000000004</v>
      </c>
      <c r="D41" s="38">
        <v>-0.42211700000000002</v>
      </c>
      <c r="E41" s="38">
        <v>-0.23175399999999999</v>
      </c>
      <c r="F41" s="38">
        <v>-0.22331400000000001</v>
      </c>
      <c r="G41" s="38">
        <v>-0.20624899999999999</v>
      </c>
      <c r="H41" s="38">
        <v>-0.20016</v>
      </c>
      <c r="I41" s="38">
        <v>-0.19744999999999999</v>
      </c>
      <c r="J41" s="38">
        <v>-0.195303</v>
      </c>
      <c r="K41" s="38">
        <v>-0.19720399999999999</v>
      </c>
      <c r="L41" s="38">
        <v>-0.19716400000000001</v>
      </c>
      <c r="M41" s="38">
        <v>-0.19364600000000001</v>
      </c>
      <c r="N41" s="38">
        <v>-0.19483500000000001</v>
      </c>
      <c r="O41" s="38">
        <v>-0.19390199999999999</v>
      </c>
      <c r="P41" s="38">
        <v>-0.19190599999999999</v>
      </c>
      <c r="Q41" s="38">
        <v>-0.190745</v>
      </c>
      <c r="R41" s="38">
        <v>-0.18616099999999999</v>
      </c>
      <c r="S41" s="38">
        <v>-0.18331600000000001</v>
      </c>
      <c r="T41" s="38">
        <v>-0.181619</v>
      </c>
      <c r="U41" s="38">
        <v>-0.17943999999999999</v>
      </c>
      <c r="V41" s="38">
        <v>-0.17623900000000001</v>
      </c>
      <c r="W41" s="38">
        <v>-0.17314299999999999</v>
      </c>
      <c r="X41" s="38">
        <v>-0.17169599999999999</v>
      </c>
      <c r="Y41" s="38">
        <v>-0.17088</v>
      </c>
      <c r="Z41" s="38">
        <v>-0.17077800000000001</v>
      </c>
      <c r="AA41" s="38">
        <v>-0.16926099999999999</v>
      </c>
      <c r="AB41" s="38">
        <v>-0.16708899999999999</v>
      </c>
      <c r="AC41" s="38">
        <v>-0.16641400000000001</v>
      </c>
      <c r="AD41" s="38">
        <v>-0.1651</v>
      </c>
      <c r="AE41" s="38">
        <v>-0.160913</v>
      </c>
      <c r="AF41" s="35">
        <v>-4.0794999999999998E-2</v>
      </c>
      <c r="AG41" s="29"/>
    </row>
    <row r="42" spans="1:33" ht="12" customHeight="1">
      <c r="A42" s="34" t="s">
        <v>3162</v>
      </c>
      <c r="B42" s="37" t="s">
        <v>2898</v>
      </c>
      <c r="C42" s="38">
        <v>0.97697199999999995</v>
      </c>
      <c r="D42" s="38">
        <v>0.89822999999999997</v>
      </c>
      <c r="E42" s="38">
        <v>0.89149500000000004</v>
      </c>
      <c r="F42" s="38">
        <v>0.87263900000000005</v>
      </c>
      <c r="G42" s="38">
        <v>0.84605799999999998</v>
      </c>
      <c r="H42" s="38">
        <v>0.82832600000000001</v>
      </c>
      <c r="I42" s="38">
        <v>0.81609200000000004</v>
      </c>
      <c r="J42" s="38">
        <v>0.803786</v>
      </c>
      <c r="K42" s="38">
        <v>0.79092799999999996</v>
      </c>
      <c r="L42" s="38">
        <v>0.77677700000000005</v>
      </c>
      <c r="M42" s="38">
        <v>0.76097800000000004</v>
      </c>
      <c r="N42" s="38">
        <v>0.74496300000000004</v>
      </c>
      <c r="O42" s="38">
        <v>0.72778200000000004</v>
      </c>
      <c r="P42" s="38">
        <v>0.70956600000000003</v>
      </c>
      <c r="Q42" s="38">
        <v>0.69134099999999998</v>
      </c>
      <c r="R42" s="38">
        <v>0.67146899999999998</v>
      </c>
      <c r="S42" s="38">
        <v>0.64976999999999996</v>
      </c>
      <c r="T42" s="38">
        <v>0.62877099999999997</v>
      </c>
      <c r="U42" s="38">
        <v>0.60989899999999997</v>
      </c>
      <c r="V42" s="38">
        <v>0.59292</v>
      </c>
      <c r="W42" s="38">
        <v>0.57753200000000005</v>
      </c>
      <c r="X42" s="38">
        <v>0.562693</v>
      </c>
      <c r="Y42" s="38">
        <v>0.548265</v>
      </c>
      <c r="Z42" s="38">
        <v>0.53423900000000002</v>
      </c>
      <c r="AA42" s="38">
        <v>0.52019400000000005</v>
      </c>
      <c r="AB42" s="38">
        <v>0.50605900000000004</v>
      </c>
      <c r="AC42" s="38">
        <v>0.49183399999999999</v>
      </c>
      <c r="AD42" s="38">
        <v>0.47901199999999999</v>
      </c>
      <c r="AE42" s="38">
        <v>0.46634999999999999</v>
      </c>
      <c r="AF42" s="35">
        <v>-2.6065999999999999E-2</v>
      </c>
      <c r="AG42" s="29"/>
    </row>
    <row r="43" spans="1:33" ht="12" customHeight="1">
      <c r="A43" s="34" t="s">
        <v>3163</v>
      </c>
      <c r="B43" s="37" t="s">
        <v>3099</v>
      </c>
      <c r="C43" s="38">
        <v>4.0480980000000004</v>
      </c>
      <c r="D43" s="38">
        <v>4.1655480000000003</v>
      </c>
      <c r="E43" s="38">
        <v>4.340103</v>
      </c>
      <c r="F43" s="38">
        <v>4.2293710000000004</v>
      </c>
      <c r="G43" s="38">
        <v>4.0861340000000004</v>
      </c>
      <c r="H43" s="38">
        <v>4.0103270000000002</v>
      </c>
      <c r="I43" s="38">
        <v>3.9819580000000001</v>
      </c>
      <c r="J43" s="38">
        <v>3.9552309999999999</v>
      </c>
      <c r="K43" s="38">
        <v>3.9274930000000001</v>
      </c>
      <c r="L43" s="38">
        <v>3.8954399999999998</v>
      </c>
      <c r="M43" s="38">
        <v>3.8593250000000001</v>
      </c>
      <c r="N43" s="38">
        <v>3.8250250000000001</v>
      </c>
      <c r="O43" s="38">
        <v>3.7862339999999999</v>
      </c>
      <c r="P43" s="38">
        <v>3.7428859999999999</v>
      </c>
      <c r="Q43" s="38">
        <v>3.6990889999999998</v>
      </c>
      <c r="R43" s="38">
        <v>3.6381960000000002</v>
      </c>
      <c r="S43" s="38">
        <v>3.5572889999999999</v>
      </c>
      <c r="T43" s="38">
        <v>3.4758490000000002</v>
      </c>
      <c r="U43" s="38">
        <v>3.4100769999999998</v>
      </c>
      <c r="V43" s="38">
        <v>3.3588879999999999</v>
      </c>
      <c r="W43" s="38">
        <v>3.3199900000000002</v>
      </c>
      <c r="X43" s="38">
        <v>3.2828469999999998</v>
      </c>
      <c r="Y43" s="38">
        <v>3.2463510000000002</v>
      </c>
      <c r="Z43" s="38">
        <v>3.2104189999999999</v>
      </c>
      <c r="AA43" s="38">
        <v>3.1717309999999999</v>
      </c>
      <c r="AB43" s="38">
        <v>3.12947</v>
      </c>
      <c r="AC43" s="38">
        <v>3.0823040000000002</v>
      </c>
      <c r="AD43" s="38">
        <v>3.0480149999999999</v>
      </c>
      <c r="AE43" s="38">
        <v>3.0138310000000001</v>
      </c>
      <c r="AF43" s="35">
        <v>-1.0482E-2</v>
      </c>
      <c r="AG43" s="29"/>
    </row>
    <row r="44" spans="1:33" ht="12" customHeight="1">
      <c r="A44" s="34" t="s">
        <v>3164</v>
      </c>
      <c r="B44" s="37" t="s">
        <v>2900</v>
      </c>
      <c r="C44" s="38">
        <v>0</v>
      </c>
      <c r="D44" s="38">
        <v>0</v>
      </c>
      <c r="E44" s="38">
        <v>0</v>
      </c>
      <c r="F44" s="38">
        <v>0</v>
      </c>
      <c r="G44" s="38">
        <v>0</v>
      </c>
      <c r="H44" s="38">
        <v>0</v>
      </c>
      <c r="I44" s="38">
        <v>0</v>
      </c>
      <c r="J44" s="38">
        <v>0</v>
      </c>
      <c r="K44" s="38">
        <v>0</v>
      </c>
      <c r="L44" s="38">
        <v>0</v>
      </c>
      <c r="M44" s="38">
        <v>0</v>
      </c>
      <c r="N44" s="38">
        <v>0</v>
      </c>
      <c r="O44" s="38">
        <v>0</v>
      </c>
      <c r="P44" s="38">
        <v>0</v>
      </c>
      <c r="Q44" s="38">
        <v>0</v>
      </c>
      <c r="R44" s="38">
        <v>0</v>
      </c>
      <c r="S44" s="38">
        <v>0</v>
      </c>
      <c r="T44" s="38">
        <v>0</v>
      </c>
      <c r="U44" s="38">
        <v>0</v>
      </c>
      <c r="V44" s="38">
        <v>0</v>
      </c>
      <c r="W44" s="38">
        <v>0</v>
      </c>
      <c r="X44" s="38">
        <v>0</v>
      </c>
      <c r="Y44" s="38">
        <v>0</v>
      </c>
      <c r="Z44" s="38">
        <v>0</v>
      </c>
      <c r="AA44" s="38">
        <v>0</v>
      </c>
      <c r="AB44" s="38">
        <v>0</v>
      </c>
      <c r="AC44" s="38">
        <v>0</v>
      </c>
      <c r="AD44" s="38">
        <v>0</v>
      </c>
      <c r="AE44" s="38">
        <v>0</v>
      </c>
      <c r="AF44" s="35" t="s">
        <v>1278</v>
      </c>
      <c r="AG44" s="29"/>
    </row>
    <row r="45" spans="1:33" ht="12" customHeight="1">
      <c r="A45" s="34" t="s">
        <v>3165</v>
      </c>
      <c r="B45" s="37" t="s">
        <v>2796</v>
      </c>
      <c r="C45" s="38">
        <v>1.674078</v>
      </c>
      <c r="D45" s="38">
        <v>1.722378</v>
      </c>
      <c r="E45" s="38">
        <v>1.7150289999999999</v>
      </c>
      <c r="F45" s="38">
        <v>1.7055990000000001</v>
      </c>
      <c r="G45" s="38">
        <v>1.6947589999999999</v>
      </c>
      <c r="H45" s="38">
        <v>1.6882809999999999</v>
      </c>
      <c r="I45" s="38">
        <v>1.6812119999999999</v>
      </c>
      <c r="J45" s="38">
        <v>1.670715</v>
      </c>
      <c r="K45" s="38">
        <v>1.6620779999999999</v>
      </c>
      <c r="L45" s="38">
        <v>1.6525510000000001</v>
      </c>
      <c r="M45" s="38">
        <v>1.6429940000000001</v>
      </c>
      <c r="N45" s="38">
        <v>1.634843</v>
      </c>
      <c r="O45" s="38">
        <v>1.627985</v>
      </c>
      <c r="P45" s="38">
        <v>1.621788</v>
      </c>
      <c r="Q45" s="38">
        <v>1.6142129999999999</v>
      </c>
      <c r="R45" s="38">
        <v>1.6049249999999999</v>
      </c>
      <c r="S45" s="38">
        <v>1.597467</v>
      </c>
      <c r="T45" s="38">
        <v>1.590662</v>
      </c>
      <c r="U45" s="38">
        <v>1.5847150000000001</v>
      </c>
      <c r="V45" s="38">
        <v>1.5781940000000001</v>
      </c>
      <c r="W45" s="38">
        <v>1.5717490000000001</v>
      </c>
      <c r="X45" s="38">
        <v>1.565849</v>
      </c>
      <c r="Y45" s="38">
        <v>1.5600400000000001</v>
      </c>
      <c r="Z45" s="38">
        <v>1.5551170000000001</v>
      </c>
      <c r="AA45" s="38">
        <v>1.5507249999999999</v>
      </c>
      <c r="AB45" s="38">
        <v>1.5464960000000001</v>
      </c>
      <c r="AC45" s="38">
        <v>1.5426249999999999</v>
      </c>
      <c r="AD45" s="38">
        <v>1.538635</v>
      </c>
      <c r="AE45" s="38">
        <v>1.53457</v>
      </c>
      <c r="AF45" s="35">
        <v>-3.1029999999999999E-3</v>
      </c>
      <c r="AG45" s="29"/>
    </row>
    <row r="46" spans="1:33" ht="12" customHeight="1">
      <c r="A46" s="34" t="s">
        <v>3166</v>
      </c>
      <c r="B46" s="33" t="s">
        <v>2798</v>
      </c>
      <c r="C46" s="39">
        <v>8.0719860000000008</v>
      </c>
      <c r="D46" s="39">
        <v>8.2767780000000002</v>
      </c>
      <c r="E46" s="39">
        <v>8.5352230000000002</v>
      </c>
      <c r="F46" s="39">
        <v>8.4425030000000003</v>
      </c>
      <c r="G46" s="39">
        <v>8.2883680000000002</v>
      </c>
      <c r="H46" s="39">
        <v>8.1870089999999998</v>
      </c>
      <c r="I46" s="39">
        <v>8.1156039999999994</v>
      </c>
      <c r="J46" s="39">
        <v>8.0315740000000009</v>
      </c>
      <c r="K46" s="39">
        <v>7.9554410000000004</v>
      </c>
      <c r="L46" s="39">
        <v>7.8847250000000004</v>
      </c>
      <c r="M46" s="39">
        <v>7.8118939999999997</v>
      </c>
      <c r="N46" s="39">
        <v>7.747058</v>
      </c>
      <c r="O46" s="39">
        <v>7.6850839999999998</v>
      </c>
      <c r="P46" s="39">
        <v>7.6225160000000001</v>
      </c>
      <c r="Q46" s="39">
        <v>7.5650690000000003</v>
      </c>
      <c r="R46" s="39">
        <v>7.4851340000000004</v>
      </c>
      <c r="S46" s="39">
        <v>7.3864809999999999</v>
      </c>
      <c r="T46" s="39">
        <v>7.2997569999999996</v>
      </c>
      <c r="U46" s="39">
        <v>7.2194099999999999</v>
      </c>
      <c r="V46" s="39">
        <v>7.1539089999999996</v>
      </c>
      <c r="W46" s="39">
        <v>7.103974</v>
      </c>
      <c r="X46" s="39">
        <v>7.0590729999999997</v>
      </c>
      <c r="Y46" s="39">
        <v>7.0149499999999998</v>
      </c>
      <c r="Z46" s="39">
        <v>6.970529</v>
      </c>
      <c r="AA46" s="39">
        <v>6.9226470000000004</v>
      </c>
      <c r="AB46" s="39">
        <v>6.8742900000000002</v>
      </c>
      <c r="AC46" s="39">
        <v>6.8221879999999997</v>
      </c>
      <c r="AD46" s="39">
        <v>6.7820390000000002</v>
      </c>
      <c r="AE46" s="39">
        <v>6.7389979999999996</v>
      </c>
      <c r="AF46" s="31">
        <v>-6.4250000000000002E-3</v>
      </c>
      <c r="AG46" s="29"/>
    </row>
    <row r="47" spans="1:33" ht="12" customHeight="1">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row>
    <row r="48" spans="1:33" ht="12" customHeight="1">
      <c r="B48" s="33" t="s">
        <v>2915</v>
      </c>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row>
    <row r="49" spans="1:33" ht="12" customHeight="1">
      <c r="A49" s="34" t="s">
        <v>3167</v>
      </c>
      <c r="B49" s="33" t="s">
        <v>2801</v>
      </c>
      <c r="C49" s="40">
        <v>89.009604999999993</v>
      </c>
      <c r="D49" s="40">
        <v>88.353020000000001</v>
      </c>
      <c r="E49" s="40">
        <v>89.265617000000006</v>
      </c>
      <c r="F49" s="40">
        <v>88.276107999999994</v>
      </c>
      <c r="G49" s="40">
        <v>88.011116000000001</v>
      </c>
      <c r="H49" s="40">
        <v>86.503517000000002</v>
      </c>
      <c r="I49" s="40">
        <v>84.169189000000003</v>
      </c>
      <c r="J49" s="40">
        <v>82.272591000000006</v>
      </c>
      <c r="K49" s="40">
        <v>80.002150999999998</v>
      </c>
      <c r="L49" s="40">
        <v>78.661636000000001</v>
      </c>
      <c r="M49" s="40">
        <v>78.389579999999995</v>
      </c>
      <c r="N49" s="40">
        <v>77.43338</v>
      </c>
      <c r="O49" s="40">
        <v>76.436958000000004</v>
      </c>
      <c r="P49" s="40">
        <v>75.842017999999996</v>
      </c>
      <c r="Q49" s="40">
        <v>75.283080999999996</v>
      </c>
      <c r="R49" s="40">
        <v>75.087684999999993</v>
      </c>
      <c r="S49" s="40">
        <v>74.251639999999995</v>
      </c>
      <c r="T49" s="40">
        <v>73.183372000000006</v>
      </c>
      <c r="U49" s="40">
        <v>72.455765</v>
      </c>
      <c r="V49" s="40">
        <v>72.237335000000002</v>
      </c>
      <c r="W49" s="40">
        <v>72.197365000000005</v>
      </c>
      <c r="X49" s="40">
        <v>71.752082999999999</v>
      </c>
      <c r="Y49" s="40">
        <v>71.002312000000003</v>
      </c>
      <c r="Z49" s="40">
        <v>70.120277000000002</v>
      </c>
      <c r="AA49" s="40">
        <v>69.401702999999998</v>
      </c>
      <c r="AB49" s="40">
        <v>68.973586999999995</v>
      </c>
      <c r="AC49" s="40">
        <v>68.175719999999998</v>
      </c>
      <c r="AD49" s="40">
        <v>67.662177999999997</v>
      </c>
      <c r="AE49" s="40">
        <v>67.631782999999999</v>
      </c>
      <c r="AF49" s="31">
        <v>-9.7619999999999998E-3</v>
      </c>
      <c r="AG49" s="29"/>
    </row>
    <row r="50" spans="1:33" ht="15" customHeight="1">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row>
    <row r="51" spans="1:33" ht="15" customHeight="1">
      <c r="B51" s="33" t="s">
        <v>2917</v>
      </c>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row>
    <row r="52" spans="1:33" ht="15" customHeight="1">
      <c r="B52" s="33" t="s">
        <v>2918</v>
      </c>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row>
    <row r="53" spans="1:33" ht="15" customHeight="1">
      <c r="A53" s="34" t="s">
        <v>3168</v>
      </c>
      <c r="B53" s="37" t="s">
        <v>2551</v>
      </c>
      <c r="C53" s="38">
        <v>0</v>
      </c>
      <c r="D53" s="38">
        <v>0</v>
      </c>
      <c r="E53" s="38">
        <v>0</v>
      </c>
      <c r="F53" s="38">
        <v>0</v>
      </c>
      <c r="G53" s="38">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5" t="s">
        <v>1278</v>
      </c>
      <c r="AG53" s="29"/>
    </row>
    <row r="54" spans="1:33" ht="15" customHeight="1">
      <c r="A54" s="34" t="s">
        <v>3169</v>
      </c>
      <c r="B54" s="37" t="s">
        <v>2553</v>
      </c>
      <c r="C54" s="38">
        <v>0.33499800000000002</v>
      </c>
      <c r="D54" s="38">
        <v>0.328654</v>
      </c>
      <c r="E54" s="38">
        <v>0.321988</v>
      </c>
      <c r="F54" s="38">
        <v>0.311498</v>
      </c>
      <c r="G54" s="38">
        <v>0.314471</v>
      </c>
      <c r="H54" s="38">
        <v>0.31553999999999999</v>
      </c>
      <c r="I54" s="38">
        <v>0.31517699999999998</v>
      </c>
      <c r="J54" s="38">
        <v>0.31473200000000001</v>
      </c>
      <c r="K54" s="38">
        <v>0.31219000000000002</v>
      </c>
      <c r="L54" s="38">
        <v>0.310477</v>
      </c>
      <c r="M54" s="38">
        <v>0.311278</v>
      </c>
      <c r="N54" s="38">
        <v>0.30938700000000002</v>
      </c>
      <c r="O54" s="38">
        <v>0.30812200000000001</v>
      </c>
      <c r="P54" s="38">
        <v>0.30762200000000001</v>
      </c>
      <c r="Q54" s="38">
        <v>0.30693900000000002</v>
      </c>
      <c r="R54" s="38">
        <v>0.30719600000000002</v>
      </c>
      <c r="S54" s="38">
        <v>0.30549599999999999</v>
      </c>
      <c r="T54" s="38">
        <v>0.30284</v>
      </c>
      <c r="U54" s="38">
        <v>0.30142000000000002</v>
      </c>
      <c r="V54" s="38">
        <v>0.301313</v>
      </c>
      <c r="W54" s="38">
        <v>0.302039</v>
      </c>
      <c r="X54" s="38">
        <v>0.30185099999999998</v>
      </c>
      <c r="Y54" s="38">
        <v>0.30096499999999998</v>
      </c>
      <c r="Z54" s="38">
        <v>0.29953800000000003</v>
      </c>
      <c r="AA54" s="38">
        <v>0.29887900000000001</v>
      </c>
      <c r="AB54" s="38">
        <v>0.29877799999999999</v>
      </c>
      <c r="AC54" s="38">
        <v>0.29723899999999998</v>
      </c>
      <c r="AD54" s="38">
        <v>0.296709</v>
      </c>
      <c r="AE54" s="38">
        <v>0.29819099999999998</v>
      </c>
      <c r="AF54" s="35">
        <v>-4.1479999999999998E-3</v>
      </c>
      <c r="AG54" s="29"/>
    </row>
    <row r="55" spans="1:33" ht="15" customHeight="1">
      <c r="A55" s="34" t="s">
        <v>3170</v>
      </c>
      <c r="B55" s="37" t="s">
        <v>2500</v>
      </c>
      <c r="C55" s="38">
        <v>5.0921000000000001E-2</v>
      </c>
      <c r="D55" s="38">
        <v>4.9523999999999999E-2</v>
      </c>
      <c r="E55" s="38">
        <v>4.8092000000000003E-2</v>
      </c>
      <c r="F55" s="38">
        <v>4.6107000000000002E-2</v>
      </c>
      <c r="G55" s="38">
        <v>4.6120000000000001E-2</v>
      </c>
      <c r="H55" s="38">
        <v>4.5844999999999997E-2</v>
      </c>
      <c r="I55" s="38">
        <v>4.5354999999999999E-2</v>
      </c>
      <c r="J55" s="38">
        <v>4.4851000000000002E-2</v>
      </c>
      <c r="K55" s="38">
        <v>4.4047000000000003E-2</v>
      </c>
      <c r="L55" s="38">
        <v>4.3360999999999997E-2</v>
      </c>
      <c r="M55" s="38">
        <v>4.3022999999999999E-2</v>
      </c>
      <c r="N55" s="38">
        <v>4.231E-2</v>
      </c>
      <c r="O55" s="38">
        <v>4.1681999999999997E-2</v>
      </c>
      <c r="P55" s="38">
        <v>4.1154999999999997E-2</v>
      </c>
      <c r="Q55" s="38">
        <v>4.0600999999999998E-2</v>
      </c>
      <c r="R55" s="38">
        <v>4.0166E-2</v>
      </c>
      <c r="S55" s="38">
        <v>3.9473000000000001E-2</v>
      </c>
      <c r="T55" s="38">
        <v>3.8656999999999997E-2</v>
      </c>
      <c r="U55" s="38">
        <v>3.8001E-2</v>
      </c>
      <c r="V55" s="38">
        <v>3.7506999999999999E-2</v>
      </c>
      <c r="W55" s="38">
        <v>3.7109999999999997E-2</v>
      </c>
      <c r="X55" s="38">
        <v>3.6594000000000002E-2</v>
      </c>
      <c r="Y55" s="38">
        <v>3.5990000000000001E-2</v>
      </c>
      <c r="Z55" s="38">
        <v>3.5319999999999997E-2</v>
      </c>
      <c r="AA55" s="38">
        <v>3.4736999999999997E-2</v>
      </c>
      <c r="AB55" s="38">
        <v>3.4215000000000002E-2</v>
      </c>
      <c r="AC55" s="38">
        <v>3.3524999999999999E-2</v>
      </c>
      <c r="AD55" s="38">
        <v>3.2946999999999997E-2</v>
      </c>
      <c r="AE55" s="38">
        <v>3.2584000000000002E-2</v>
      </c>
      <c r="AF55" s="35">
        <v>-1.5819E-2</v>
      </c>
      <c r="AG55" s="29"/>
    </row>
    <row r="56" spans="1:33" ht="15" customHeight="1">
      <c r="A56" s="34" t="s">
        <v>3171</v>
      </c>
      <c r="B56" s="37" t="s">
        <v>2923</v>
      </c>
      <c r="C56" s="38">
        <v>0.97250000000000003</v>
      </c>
      <c r="D56" s="38">
        <v>0.97250000000000003</v>
      </c>
      <c r="E56" s="38">
        <v>0.97250000000000003</v>
      </c>
      <c r="F56" s="38">
        <v>0.97250000000000003</v>
      </c>
      <c r="G56" s="38">
        <v>0.97250000000000003</v>
      </c>
      <c r="H56" s="38">
        <v>0.97250000000000003</v>
      </c>
      <c r="I56" s="38">
        <v>0.97250000000000003</v>
      </c>
      <c r="J56" s="38">
        <v>0.97250000000000003</v>
      </c>
      <c r="K56" s="38">
        <v>0.97250000000000003</v>
      </c>
      <c r="L56" s="38">
        <v>0.97250000000000003</v>
      </c>
      <c r="M56" s="38">
        <v>0.97250000000000003</v>
      </c>
      <c r="N56" s="38">
        <v>0.97250000000000003</v>
      </c>
      <c r="O56" s="38">
        <v>0.97250000000000003</v>
      </c>
      <c r="P56" s="38">
        <v>0.97250000000000003</v>
      </c>
      <c r="Q56" s="38">
        <v>0.97250000000000003</v>
      </c>
      <c r="R56" s="38">
        <v>0.97250000000000003</v>
      </c>
      <c r="S56" s="38">
        <v>0.97250000000000003</v>
      </c>
      <c r="T56" s="38">
        <v>0.97250000000000003</v>
      </c>
      <c r="U56" s="38">
        <v>0.97250000000000003</v>
      </c>
      <c r="V56" s="38">
        <v>0.97250000000000003</v>
      </c>
      <c r="W56" s="38">
        <v>0.97250000000000003</v>
      </c>
      <c r="X56" s="38">
        <v>0.97250000000000003</v>
      </c>
      <c r="Y56" s="38">
        <v>0.97250000000000003</v>
      </c>
      <c r="Z56" s="38">
        <v>0.97250000000000003</v>
      </c>
      <c r="AA56" s="38">
        <v>0.97250000000000003</v>
      </c>
      <c r="AB56" s="38">
        <v>0.97250000000000003</v>
      </c>
      <c r="AC56" s="38">
        <v>0.97250000000000003</v>
      </c>
      <c r="AD56" s="38">
        <v>0.97250000000000003</v>
      </c>
      <c r="AE56" s="38">
        <v>0.97250000000000003</v>
      </c>
      <c r="AF56" s="35">
        <v>0</v>
      </c>
      <c r="AG56" s="29"/>
    </row>
    <row r="57" spans="1:33" ht="15" customHeight="1">
      <c r="A57" s="34" t="s">
        <v>3172</v>
      </c>
      <c r="B57" s="33" t="s">
        <v>2497</v>
      </c>
      <c r="C57" s="39">
        <v>1.358419</v>
      </c>
      <c r="D57" s="39">
        <v>1.350678</v>
      </c>
      <c r="E57" s="39">
        <v>1.3425800000000001</v>
      </c>
      <c r="F57" s="39">
        <v>1.3301050000000001</v>
      </c>
      <c r="G57" s="39">
        <v>1.333091</v>
      </c>
      <c r="H57" s="39">
        <v>1.333885</v>
      </c>
      <c r="I57" s="39">
        <v>1.333032</v>
      </c>
      <c r="J57" s="39">
        <v>1.3320829999999999</v>
      </c>
      <c r="K57" s="39">
        <v>1.3287370000000001</v>
      </c>
      <c r="L57" s="39">
        <v>1.3263389999999999</v>
      </c>
      <c r="M57" s="39">
        <v>1.3268009999999999</v>
      </c>
      <c r="N57" s="39">
        <v>1.324198</v>
      </c>
      <c r="O57" s="39">
        <v>1.3223039999999999</v>
      </c>
      <c r="P57" s="39">
        <v>1.321277</v>
      </c>
      <c r="Q57" s="39">
        <v>1.3200400000000001</v>
      </c>
      <c r="R57" s="39">
        <v>1.3198620000000001</v>
      </c>
      <c r="S57" s="39">
        <v>1.317469</v>
      </c>
      <c r="T57" s="39">
        <v>1.3139970000000001</v>
      </c>
      <c r="U57" s="39">
        <v>1.3119209999999999</v>
      </c>
      <c r="V57" s="39">
        <v>1.3113189999999999</v>
      </c>
      <c r="W57" s="39">
        <v>1.3116490000000001</v>
      </c>
      <c r="X57" s="39">
        <v>1.310945</v>
      </c>
      <c r="Y57" s="39">
        <v>1.309455</v>
      </c>
      <c r="Z57" s="39">
        <v>1.307358</v>
      </c>
      <c r="AA57" s="39">
        <v>1.3061160000000001</v>
      </c>
      <c r="AB57" s="39">
        <v>1.3054939999999999</v>
      </c>
      <c r="AC57" s="39">
        <v>1.3032649999999999</v>
      </c>
      <c r="AD57" s="39">
        <v>1.3021560000000001</v>
      </c>
      <c r="AE57" s="39">
        <v>1.303275</v>
      </c>
      <c r="AF57" s="31">
        <v>-1.4790000000000001E-3</v>
      </c>
      <c r="AG57" s="29"/>
    </row>
    <row r="58" spans="1:33" ht="15" customHeight="1">
      <c r="B58" s="33" t="s">
        <v>2848</v>
      </c>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row>
    <row r="59" spans="1:33" ht="15" customHeight="1">
      <c r="A59" s="34" t="s">
        <v>3173</v>
      </c>
      <c r="B59" s="37" t="s">
        <v>2551</v>
      </c>
      <c r="C59" s="38">
        <v>2.3765000000000001E-2</v>
      </c>
      <c r="D59" s="38">
        <v>2.3435000000000001E-2</v>
      </c>
      <c r="E59" s="38">
        <v>2.3077E-2</v>
      </c>
      <c r="F59" s="38">
        <v>2.2440999999999999E-2</v>
      </c>
      <c r="G59" s="38">
        <v>2.2773000000000002E-2</v>
      </c>
      <c r="H59" s="38">
        <v>2.2970000000000001E-2</v>
      </c>
      <c r="I59" s="38">
        <v>2.3064000000000001E-2</v>
      </c>
      <c r="J59" s="38">
        <v>2.3153E-2</v>
      </c>
      <c r="K59" s="38">
        <v>2.3087E-2</v>
      </c>
      <c r="L59" s="38">
        <v>2.3082999999999999E-2</v>
      </c>
      <c r="M59" s="38">
        <v>2.3266999999999999E-2</v>
      </c>
      <c r="N59" s="38">
        <v>2.325E-2</v>
      </c>
      <c r="O59" s="38">
        <v>2.3281E-2</v>
      </c>
      <c r="P59" s="38">
        <v>2.3369000000000001E-2</v>
      </c>
      <c r="Q59" s="38">
        <v>2.3445000000000001E-2</v>
      </c>
      <c r="R59" s="38">
        <v>2.3594E-2</v>
      </c>
      <c r="S59" s="38">
        <v>2.3594E-2</v>
      </c>
      <c r="T59" s="38">
        <v>2.3519000000000002E-2</v>
      </c>
      <c r="U59" s="38">
        <v>2.3539999999999998E-2</v>
      </c>
      <c r="V59" s="38">
        <v>2.3664000000000001E-2</v>
      </c>
      <c r="W59" s="38">
        <v>2.3855000000000001E-2</v>
      </c>
      <c r="X59" s="38">
        <v>2.3976000000000001E-2</v>
      </c>
      <c r="Y59" s="38">
        <v>2.4042999999999998E-2</v>
      </c>
      <c r="Z59" s="38">
        <v>2.4067000000000002E-2</v>
      </c>
      <c r="AA59" s="38">
        <v>2.4153000000000001E-2</v>
      </c>
      <c r="AB59" s="38">
        <v>2.4285999999999999E-2</v>
      </c>
      <c r="AC59" s="38">
        <v>2.4302000000000001E-2</v>
      </c>
      <c r="AD59" s="38">
        <v>2.4402E-2</v>
      </c>
      <c r="AE59" s="38">
        <v>2.4669E-2</v>
      </c>
      <c r="AF59" s="35">
        <v>1.3339999999999999E-3</v>
      </c>
      <c r="AG59" s="29"/>
    </row>
    <row r="60" spans="1:33" ht="15" customHeight="1">
      <c r="A60" s="34" t="s">
        <v>3174</v>
      </c>
      <c r="B60" s="37" t="s">
        <v>2553</v>
      </c>
      <c r="C60" s="38">
        <v>2.0552220000000001</v>
      </c>
      <c r="D60" s="38">
        <v>2.0162979999999999</v>
      </c>
      <c r="E60" s="38">
        <v>1.975403</v>
      </c>
      <c r="F60" s="38">
        <v>1.9110450000000001</v>
      </c>
      <c r="G60" s="38">
        <v>1.929284</v>
      </c>
      <c r="H60" s="38">
        <v>1.935845</v>
      </c>
      <c r="I60" s="38">
        <v>1.9336180000000001</v>
      </c>
      <c r="J60" s="38">
        <v>1.93089</v>
      </c>
      <c r="K60" s="38">
        <v>1.9152929999999999</v>
      </c>
      <c r="L60" s="38">
        <v>1.904785</v>
      </c>
      <c r="M60" s="38">
        <v>1.9096979999999999</v>
      </c>
      <c r="N60" s="38">
        <v>1.898099</v>
      </c>
      <c r="O60" s="38">
        <v>1.890336</v>
      </c>
      <c r="P60" s="38">
        <v>1.887265</v>
      </c>
      <c r="Q60" s="38">
        <v>1.8830789999999999</v>
      </c>
      <c r="R60" s="38">
        <v>1.884652</v>
      </c>
      <c r="S60" s="38">
        <v>1.874225</v>
      </c>
      <c r="T60" s="38">
        <v>1.857928</v>
      </c>
      <c r="U60" s="38">
        <v>1.8492200000000001</v>
      </c>
      <c r="V60" s="38">
        <v>1.8485590000000001</v>
      </c>
      <c r="W60" s="38">
        <v>1.8530150000000001</v>
      </c>
      <c r="X60" s="38">
        <v>1.851861</v>
      </c>
      <c r="Y60" s="38">
        <v>1.846425</v>
      </c>
      <c r="Z60" s="38">
        <v>1.8376749999999999</v>
      </c>
      <c r="AA60" s="38">
        <v>1.8336269999999999</v>
      </c>
      <c r="AB60" s="38">
        <v>1.8330109999999999</v>
      </c>
      <c r="AC60" s="38">
        <v>1.8235699999999999</v>
      </c>
      <c r="AD60" s="38">
        <v>1.820319</v>
      </c>
      <c r="AE60" s="38">
        <v>1.829407</v>
      </c>
      <c r="AF60" s="35">
        <v>-4.1479999999999998E-3</v>
      </c>
      <c r="AG60" s="29"/>
    </row>
    <row r="61" spans="1:33" ht="15" customHeight="1">
      <c r="A61" s="34" t="s">
        <v>3175</v>
      </c>
      <c r="B61" s="37" t="s">
        <v>2500</v>
      </c>
      <c r="C61" s="38">
        <v>0.19276399999999999</v>
      </c>
      <c r="D61" s="38">
        <v>0.187477</v>
      </c>
      <c r="E61" s="38">
        <v>0.18205499999999999</v>
      </c>
      <c r="F61" s="38">
        <v>0.17454</v>
      </c>
      <c r="G61" s="38">
        <v>0.174591</v>
      </c>
      <c r="H61" s="38">
        <v>0.17354800000000001</v>
      </c>
      <c r="I61" s="38">
        <v>0.17169499999999999</v>
      </c>
      <c r="J61" s="38">
        <v>0.16978499999999999</v>
      </c>
      <c r="K61" s="38">
        <v>0.166742</v>
      </c>
      <c r="L61" s="38">
        <v>0.16414699999999999</v>
      </c>
      <c r="M61" s="38">
        <v>0.16286700000000001</v>
      </c>
      <c r="N61" s="38">
        <v>0.160167</v>
      </c>
      <c r="O61" s="38">
        <v>0.15779000000000001</v>
      </c>
      <c r="P61" s="38">
        <v>0.15579599999999999</v>
      </c>
      <c r="Q61" s="38">
        <v>0.153697</v>
      </c>
      <c r="R61" s="38">
        <v>0.15205099999999999</v>
      </c>
      <c r="S61" s="38">
        <v>0.149426</v>
      </c>
      <c r="T61" s="38">
        <v>0.146339</v>
      </c>
      <c r="U61" s="38">
        <v>0.14385300000000001</v>
      </c>
      <c r="V61" s="38">
        <v>0.141983</v>
      </c>
      <c r="W61" s="38">
        <v>0.14048099999999999</v>
      </c>
      <c r="X61" s="38">
        <v>0.13852900000000001</v>
      </c>
      <c r="Y61" s="38">
        <v>0.136243</v>
      </c>
      <c r="Z61" s="38">
        <v>0.13370499999999999</v>
      </c>
      <c r="AA61" s="38">
        <v>0.13150000000000001</v>
      </c>
      <c r="AB61" s="38">
        <v>0.129524</v>
      </c>
      <c r="AC61" s="38">
        <v>0.126912</v>
      </c>
      <c r="AD61" s="38">
        <v>0.124722</v>
      </c>
      <c r="AE61" s="38">
        <v>0.123347</v>
      </c>
      <c r="AF61" s="35">
        <v>-1.5819E-2</v>
      </c>
      <c r="AG61" s="29"/>
    </row>
    <row r="62" spans="1:33" ht="15" customHeight="1">
      <c r="A62" s="34" t="s">
        <v>3176</v>
      </c>
      <c r="B62" s="37" t="s">
        <v>2923</v>
      </c>
      <c r="C62" s="38">
        <v>4.0401579999999999</v>
      </c>
      <c r="D62" s="38">
        <v>4.0401579999999999</v>
      </c>
      <c r="E62" s="38">
        <v>4.0401579999999999</v>
      </c>
      <c r="F62" s="38">
        <v>4.0401579999999999</v>
      </c>
      <c r="G62" s="38">
        <v>4.0401579999999999</v>
      </c>
      <c r="H62" s="38">
        <v>4.0401579999999999</v>
      </c>
      <c r="I62" s="38">
        <v>4.0401579999999999</v>
      </c>
      <c r="J62" s="38">
        <v>4.0401579999999999</v>
      </c>
      <c r="K62" s="38">
        <v>4.0401579999999999</v>
      </c>
      <c r="L62" s="38">
        <v>4.0401579999999999</v>
      </c>
      <c r="M62" s="38">
        <v>4.0401579999999999</v>
      </c>
      <c r="N62" s="38">
        <v>4.0401579999999999</v>
      </c>
      <c r="O62" s="38">
        <v>4.0401579999999999</v>
      </c>
      <c r="P62" s="38">
        <v>4.0401579999999999</v>
      </c>
      <c r="Q62" s="38">
        <v>4.0401579999999999</v>
      </c>
      <c r="R62" s="38">
        <v>4.0401579999999999</v>
      </c>
      <c r="S62" s="38">
        <v>4.0401579999999999</v>
      </c>
      <c r="T62" s="38">
        <v>4.0401579999999999</v>
      </c>
      <c r="U62" s="38">
        <v>4.0401579999999999</v>
      </c>
      <c r="V62" s="38">
        <v>4.0401579999999999</v>
      </c>
      <c r="W62" s="38">
        <v>4.0401579999999999</v>
      </c>
      <c r="X62" s="38">
        <v>4.0401579999999999</v>
      </c>
      <c r="Y62" s="38">
        <v>4.0401579999999999</v>
      </c>
      <c r="Z62" s="38">
        <v>4.0401579999999999</v>
      </c>
      <c r="AA62" s="38">
        <v>4.0401579999999999</v>
      </c>
      <c r="AB62" s="38">
        <v>4.0401579999999999</v>
      </c>
      <c r="AC62" s="38">
        <v>4.0401579999999999</v>
      </c>
      <c r="AD62" s="38">
        <v>4.0401579999999999</v>
      </c>
      <c r="AE62" s="38">
        <v>4.0401579999999999</v>
      </c>
      <c r="AF62" s="35">
        <v>0</v>
      </c>
      <c r="AG62" s="29"/>
    </row>
    <row r="63" spans="1:33" ht="15" customHeight="1">
      <c r="A63" s="34" t="s">
        <v>3177</v>
      </c>
      <c r="B63" s="33" t="s">
        <v>2497</v>
      </c>
      <c r="C63" s="39">
        <v>6.3119100000000001</v>
      </c>
      <c r="D63" s="39">
        <v>6.2673680000000003</v>
      </c>
      <c r="E63" s="39">
        <v>6.2206939999999999</v>
      </c>
      <c r="F63" s="39">
        <v>6.1481839999999996</v>
      </c>
      <c r="G63" s="39">
        <v>6.1668060000000002</v>
      </c>
      <c r="H63" s="39">
        <v>6.1725199999999996</v>
      </c>
      <c r="I63" s="39">
        <v>6.1685350000000003</v>
      </c>
      <c r="J63" s="39">
        <v>6.1639860000000004</v>
      </c>
      <c r="K63" s="39">
        <v>6.1452799999999996</v>
      </c>
      <c r="L63" s="39">
        <v>6.1321729999999999</v>
      </c>
      <c r="M63" s="39">
        <v>6.1359890000000004</v>
      </c>
      <c r="N63" s="39">
        <v>6.1216749999999998</v>
      </c>
      <c r="O63" s="39">
        <v>6.1115649999999997</v>
      </c>
      <c r="P63" s="39">
        <v>6.1065880000000003</v>
      </c>
      <c r="Q63" s="39">
        <v>6.1003790000000002</v>
      </c>
      <c r="R63" s="39">
        <v>6.1004560000000003</v>
      </c>
      <c r="S63" s="39">
        <v>6.0874030000000001</v>
      </c>
      <c r="T63" s="39">
        <v>6.0679439999999998</v>
      </c>
      <c r="U63" s="39">
        <v>6.0567710000000003</v>
      </c>
      <c r="V63" s="39">
        <v>6.0543639999999996</v>
      </c>
      <c r="W63" s="39">
        <v>6.0575089999999996</v>
      </c>
      <c r="X63" s="39">
        <v>6.0545249999999999</v>
      </c>
      <c r="Y63" s="39">
        <v>6.046869</v>
      </c>
      <c r="Z63" s="39">
        <v>6.0356050000000003</v>
      </c>
      <c r="AA63" s="39">
        <v>6.0294379999999999</v>
      </c>
      <c r="AB63" s="39">
        <v>6.0269779999999997</v>
      </c>
      <c r="AC63" s="39">
        <v>6.0149429999999997</v>
      </c>
      <c r="AD63" s="39">
        <v>6.009601</v>
      </c>
      <c r="AE63" s="39">
        <v>6.0175809999999998</v>
      </c>
      <c r="AF63" s="31">
        <v>-1.704E-3</v>
      </c>
      <c r="AG63" s="29"/>
    </row>
    <row r="64" spans="1:33" ht="15" customHeight="1">
      <c r="B64" s="33" t="s">
        <v>2854</v>
      </c>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row>
    <row r="65" spans="1:34" ht="15" customHeight="1">
      <c r="A65" s="34" t="s">
        <v>3178</v>
      </c>
      <c r="B65" s="37" t="s">
        <v>2856</v>
      </c>
      <c r="C65" s="38">
        <v>1.90412</v>
      </c>
      <c r="D65" s="38">
        <v>1.893268</v>
      </c>
      <c r="E65" s="38">
        <v>1.881899</v>
      </c>
      <c r="F65" s="38">
        <v>1.8642529999999999</v>
      </c>
      <c r="G65" s="38">
        <v>1.8687510000000001</v>
      </c>
      <c r="H65" s="38">
        <v>1.870112</v>
      </c>
      <c r="I65" s="38">
        <v>1.869116</v>
      </c>
      <c r="J65" s="38">
        <v>1.8679829999999999</v>
      </c>
      <c r="K65" s="38">
        <v>1.8634109999999999</v>
      </c>
      <c r="L65" s="38">
        <v>1.860198</v>
      </c>
      <c r="M65" s="38">
        <v>1.861097</v>
      </c>
      <c r="N65" s="38">
        <v>1.857591</v>
      </c>
      <c r="O65" s="38">
        <v>1.8551059999999999</v>
      </c>
      <c r="P65" s="38">
        <v>1.853869</v>
      </c>
      <c r="Q65" s="38">
        <v>1.8523309999999999</v>
      </c>
      <c r="R65" s="38">
        <v>1.85232</v>
      </c>
      <c r="S65" s="38">
        <v>1.8491200000000001</v>
      </c>
      <c r="T65" s="38">
        <v>1.844365</v>
      </c>
      <c r="U65" s="38">
        <v>1.8416220000000001</v>
      </c>
      <c r="V65" s="38">
        <v>1.8410070000000001</v>
      </c>
      <c r="W65" s="38">
        <v>1.841739</v>
      </c>
      <c r="X65" s="38">
        <v>1.840983</v>
      </c>
      <c r="Y65" s="38">
        <v>1.8390930000000001</v>
      </c>
      <c r="Z65" s="38">
        <v>1.8363259999999999</v>
      </c>
      <c r="AA65" s="38">
        <v>1.834797</v>
      </c>
      <c r="AB65" s="38">
        <v>1.834168</v>
      </c>
      <c r="AC65" s="38">
        <v>1.8312139999999999</v>
      </c>
      <c r="AD65" s="38">
        <v>1.8298840000000001</v>
      </c>
      <c r="AE65" s="38">
        <v>1.8317859999999999</v>
      </c>
      <c r="AF65" s="35">
        <v>-1.382E-3</v>
      </c>
      <c r="AG65" s="29"/>
    </row>
    <row r="66" spans="1:34" ht="15" customHeight="1" thickBot="1">
      <c r="A66" s="34" t="s">
        <v>3179</v>
      </c>
      <c r="B66" s="37" t="s">
        <v>2858</v>
      </c>
      <c r="C66" s="38">
        <v>4.4077900000000003</v>
      </c>
      <c r="D66" s="38">
        <v>4.3740990000000002</v>
      </c>
      <c r="E66" s="38">
        <v>4.3387950000000002</v>
      </c>
      <c r="F66" s="38">
        <v>4.2839309999999999</v>
      </c>
      <c r="G66" s="38">
        <v>4.2980549999999997</v>
      </c>
      <c r="H66" s="38">
        <v>4.3024079999999998</v>
      </c>
      <c r="I66" s="38">
        <v>4.2994190000000003</v>
      </c>
      <c r="J66" s="38">
        <v>4.2960029999999998</v>
      </c>
      <c r="K66" s="38">
        <v>4.2818690000000004</v>
      </c>
      <c r="L66" s="38">
        <v>4.2719750000000003</v>
      </c>
      <c r="M66" s="38">
        <v>4.2748920000000004</v>
      </c>
      <c r="N66" s="38">
        <v>4.2640840000000004</v>
      </c>
      <c r="O66" s="38">
        <v>4.2564580000000003</v>
      </c>
      <c r="P66" s="38">
        <v>4.2527189999999999</v>
      </c>
      <c r="Q66" s="38">
        <v>4.2480479999999998</v>
      </c>
      <c r="R66" s="38">
        <v>4.2481359999999997</v>
      </c>
      <c r="S66" s="38">
        <v>4.238283</v>
      </c>
      <c r="T66" s="38">
        <v>4.2235779999999998</v>
      </c>
      <c r="U66" s="38">
        <v>4.2151480000000001</v>
      </c>
      <c r="V66" s="38">
        <v>4.2133570000000002</v>
      </c>
      <c r="W66" s="38">
        <v>4.21577</v>
      </c>
      <c r="X66" s="38">
        <v>4.2135420000000003</v>
      </c>
      <c r="Y66" s="38">
        <v>4.2077770000000001</v>
      </c>
      <c r="Z66" s="38">
        <v>4.1992789999999998</v>
      </c>
      <c r="AA66" s="38">
        <v>4.1946409999999998</v>
      </c>
      <c r="AB66" s="38">
        <v>4.1928109999999998</v>
      </c>
      <c r="AC66" s="38">
        <v>4.1837289999999996</v>
      </c>
      <c r="AD66" s="38">
        <v>4.1797170000000001</v>
      </c>
      <c r="AE66" s="38">
        <v>4.1857949999999997</v>
      </c>
      <c r="AF66" s="35">
        <v>-1.8439999999999999E-3</v>
      </c>
      <c r="AG66" s="29"/>
    </row>
    <row r="67" spans="1:34" ht="12" customHeight="1">
      <c r="B67" s="2179" t="s">
        <v>2932</v>
      </c>
      <c r="C67" s="2180"/>
      <c r="D67" s="2180"/>
      <c r="E67" s="2180"/>
      <c r="F67" s="2180"/>
      <c r="G67" s="2180"/>
      <c r="H67" s="2180"/>
      <c r="I67" s="2180"/>
      <c r="J67" s="2180"/>
      <c r="K67" s="2180"/>
      <c r="L67" s="2180"/>
      <c r="M67" s="2180"/>
      <c r="N67" s="2180"/>
      <c r="O67" s="2180"/>
      <c r="P67" s="2180"/>
      <c r="Q67" s="2180"/>
      <c r="R67" s="2180"/>
      <c r="S67" s="2180"/>
      <c r="T67" s="2180"/>
      <c r="U67" s="2180"/>
      <c r="V67" s="2180"/>
      <c r="W67" s="2180"/>
      <c r="X67" s="2180"/>
      <c r="Y67" s="2180"/>
      <c r="Z67" s="2180"/>
      <c r="AA67" s="2180"/>
      <c r="AB67" s="2180"/>
      <c r="AC67" s="2180"/>
      <c r="AD67" s="2180"/>
      <c r="AE67" s="2180"/>
      <c r="AF67" s="2180"/>
      <c r="AG67" s="2180"/>
      <c r="AH67" s="30"/>
    </row>
    <row r="68" spans="1:34" ht="15" customHeight="1">
      <c r="B68" s="29" t="s">
        <v>2933</v>
      </c>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row>
    <row r="69" spans="1:34" ht="15" customHeight="1">
      <c r="B69" s="29" t="s">
        <v>2934</v>
      </c>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row>
    <row r="70" spans="1:34" ht="15" customHeight="1">
      <c r="B70" s="29" t="s">
        <v>2935</v>
      </c>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row>
    <row r="71" spans="1:34" ht="15" customHeight="1">
      <c r="B71" s="29" t="s">
        <v>2936</v>
      </c>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row>
    <row r="72" spans="1:34" ht="15" customHeight="1">
      <c r="B72" s="29" t="s">
        <v>2937</v>
      </c>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row>
    <row r="73" spans="1:34" ht="15" customHeight="1">
      <c r="B73" s="29" t="s">
        <v>2938</v>
      </c>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1:34" ht="15" customHeight="1">
      <c r="B74" s="29" t="s">
        <v>2291</v>
      </c>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row>
    <row r="75" spans="1:34" ht="12" customHeight="1">
      <c r="B75" s="29" t="s">
        <v>2292</v>
      </c>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1:34" ht="15" customHeight="1">
      <c r="B76" s="29" t="s">
        <v>2293</v>
      </c>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1:34" ht="15" customHeight="1">
      <c r="B77" s="29" t="s">
        <v>2881</v>
      </c>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1:34" ht="15" customHeight="1">
      <c r="B78" s="29" t="s">
        <v>2939</v>
      </c>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1:34" ht="15" customHeight="1">
      <c r="B79" s="29" t="s">
        <v>2940</v>
      </c>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row>
    <row r="80" spans="1:34" ht="15" customHeight="1">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row>
    <row r="81" spans="2:33" ht="15" customHeight="1">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row>
    <row r="82" spans="2:33" ht="15" customHeight="1">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2:33" ht="12" customHeight="1">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2:33" ht="15" customHeight="1">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row>
    <row r="85" spans="2:33" ht="15" customHeight="1">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row>
    <row r="86" spans="2:33" ht="15" customHeight="1">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row>
    <row r="87" spans="2:33" ht="15" customHeight="1">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row>
    <row r="88" spans="2:33" ht="15" customHeight="1">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row>
    <row r="89" spans="2:33" ht="12" customHeight="1">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row>
    <row r="90" spans="2:33" ht="15" customHeight="1">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row>
    <row r="91" spans="2:33" ht="15" customHeight="1">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row>
    <row r="92" spans="2:33" ht="15" customHeight="1">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row>
    <row r="93" spans="2:33" ht="15" customHeight="1">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row>
    <row r="94" spans="2:33" ht="12" customHeight="1">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2:33" ht="15" customHeight="1">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row>
    <row r="96" spans="2:33" ht="15" customHeight="1">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2:33" ht="15" customHeight="1">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2:33" ht="12" customHeight="1">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2:33" ht="15" customHeight="1">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2:33" ht="15" customHeight="1">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2:33" ht="15" customHeight="1">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2:33" ht="15" customHeight="1">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2:33" ht="15" customHeight="1">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2:33" ht="15" customHeigh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2:33" ht="15" customHeight="1">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2:33" ht="12" customHeight="1">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2:33" ht="15" customHeight="1">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2:33" ht="15" customHeight="1">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row>
    <row r="109" spans="2:33" ht="15" customHeight="1">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t="s">
        <v>2056</v>
      </c>
      <c r="AG109" s="29"/>
    </row>
    <row r="113" ht="12" customHeight="1"/>
    <row r="119" ht="12" customHeight="1"/>
    <row r="123" ht="12" customHeight="1"/>
    <row r="129" ht="12" customHeight="1"/>
    <row r="134" ht="12" customHeight="1"/>
    <row r="156" spans="2:32" ht="15" customHeight="1">
      <c r="B156" s="2178"/>
      <c r="C156" s="2178"/>
      <c r="D156" s="2178"/>
      <c r="E156" s="2178"/>
      <c r="F156" s="2178"/>
      <c r="G156" s="2178"/>
      <c r="H156" s="2178"/>
      <c r="I156" s="2178"/>
      <c r="J156" s="2178"/>
      <c r="K156" s="2178"/>
      <c r="L156" s="2178"/>
      <c r="M156" s="2178"/>
      <c r="N156" s="2178"/>
      <c r="O156" s="2178"/>
      <c r="P156" s="2178"/>
      <c r="Q156" s="2178"/>
      <c r="R156" s="2178"/>
      <c r="S156" s="2178"/>
      <c r="T156" s="2178"/>
      <c r="U156" s="2178"/>
      <c r="V156" s="2178"/>
      <c r="W156" s="2178"/>
      <c r="X156" s="2178"/>
      <c r="Y156" s="2178"/>
      <c r="Z156" s="2178"/>
      <c r="AA156" s="2178"/>
      <c r="AB156" s="2178"/>
      <c r="AC156" s="2178"/>
      <c r="AD156" s="2178"/>
      <c r="AE156" s="2178"/>
      <c r="AF156" s="2178"/>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2178"/>
      <c r="C292" s="2178"/>
      <c r="D292" s="2178"/>
      <c r="E292" s="2178"/>
      <c r="F292" s="2178"/>
      <c r="G292" s="2178"/>
      <c r="H292" s="2178"/>
      <c r="I292" s="2178"/>
      <c r="J292" s="2178"/>
      <c r="K292" s="2178"/>
      <c r="L292" s="2178"/>
      <c r="M292" s="2178"/>
      <c r="N292" s="2178"/>
      <c r="O292" s="2178"/>
      <c r="P292" s="2178"/>
      <c r="Q292" s="2178"/>
      <c r="R292" s="2178"/>
      <c r="S292" s="2178"/>
      <c r="T292" s="2178"/>
      <c r="U292" s="2178"/>
      <c r="V292" s="2178"/>
      <c r="W292" s="2178"/>
      <c r="X292" s="2178"/>
      <c r="Y292" s="2178"/>
      <c r="Z292" s="2178"/>
      <c r="AA292" s="2178"/>
      <c r="AB292" s="2178"/>
      <c r="AC292" s="2178"/>
      <c r="AD292" s="2178"/>
      <c r="AE292" s="2178"/>
      <c r="AF292" s="2178"/>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2178"/>
      <c r="C378" s="2178"/>
      <c r="D378" s="2178"/>
      <c r="E378" s="2178"/>
      <c r="F378" s="2178"/>
      <c r="G378" s="2178"/>
      <c r="H378" s="2178"/>
      <c r="I378" s="2178"/>
      <c r="J378" s="2178"/>
      <c r="K378" s="2178"/>
      <c r="L378" s="2178"/>
      <c r="M378" s="2178"/>
      <c r="N378" s="2178"/>
      <c r="O378" s="2178"/>
      <c r="P378" s="2178"/>
      <c r="Q378" s="2178"/>
      <c r="R378" s="2178"/>
      <c r="S378" s="2178"/>
      <c r="T378" s="2178"/>
      <c r="U378" s="2178"/>
      <c r="V378" s="2178"/>
      <c r="W378" s="2178"/>
      <c r="X378" s="2178"/>
      <c r="Y378" s="2178"/>
      <c r="Z378" s="2178"/>
      <c r="AA378" s="2178"/>
      <c r="AB378" s="2178"/>
      <c r="AC378" s="2178"/>
      <c r="AD378" s="2178"/>
      <c r="AE378" s="2178"/>
      <c r="AF378" s="2178"/>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2178"/>
      <c r="C560" s="2178"/>
      <c r="D560" s="2178"/>
      <c r="E560" s="2178"/>
      <c r="F560" s="2178"/>
      <c r="G560" s="2178"/>
      <c r="H560" s="2178"/>
      <c r="I560" s="2178"/>
      <c r="J560" s="2178"/>
      <c r="K560" s="2178"/>
      <c r="L560" s="2178"/>
      <c r="M560" s="2178"/>
      <c r="N560" s="2178"/>
      <c r="O560" s="2178"/>
      <c r="P560" s="2178"/>
      <c r="Q560" s="2178"/>
      <c r="R560" s="2178"/>
      <c r="S560" s="2178"/>
      <c r="T560" s="2178"/>
      <c r="U560" s="2178"/>
      <c r="V560" s="2178"/>
      <c r="W560" s="2178"/>
      <c r="X560" s="2178"/>
      <c r="Y560" s="2178"/>
      <c r="Z560" s="2178"/>
      <c r="AA560" s="2178"/>
      <c r="AB560" s="2178"/>
      <c r="AC560" s="2178"/>
      <c r="AD560" s="2178"/>
      <c r="AE560" s="2178"/>
      <c r="AF560" s="2178"/>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2178"/>
      <c r="C652" s="2178"/>
      <c r="D652" s="2178"/>
      <c r="E652" s="2178"/>
      <c r="F652" s="2178"/>
      <c r="G652" s="2178"/>
      <c r="H652" s="2178"/>
      <c r="I652" s="2178"/>
      <c r="J652" s="2178"/>
      <c r="K652" s="2178"/>
      <c r="L652" s="2178"/>
      <c r="M652" s="2178"/>
      <c r="N652" s="2178"/>
      <c r="O652" s="2178"/>
      <c r="P652" s="2178"/>
      <c r="Q652" s="2178"/>
      <c r="R652" s="2178"/>
      <c r="S652" s="2178"/>
      <c r="T652" s="2178"/>
      <c r="U652" s="2178"/>
      <c r="V652" s="2178"/>
      <c r="W652" s="2178"/>
      <c r="X652" s="2178"/>
      <c r="Y652" s="2178"/>
      <c r="Z652" s="2178"/>
      <c r="AA652" s="2178"/>
      <c r="AB652" s="2178"/>
      <c r="AC652" s="2178"/>
      <c r="AD652" s="2178"/>
      <c r="AE652" s="2178"/>
      <c r="AF652" s="2178"/>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2178"/>
      <c r="C728" s="2178"/>
      <c r="D728" s="2178"/>
      <c r="E728" s="2178"/>
      <c r="F728" s="2178"/>
      <c r="G728" s="2178"/>
      <c r="H728" s="2178"/>
      <c r="I728" s="2178"/>
      <c r="J728" s="2178"/>
      <c r="K728" s="2178"/>
      <c r="L728" s="2178"/>
      <c r="M728" s="2178"/>
      <c r="N728" s="2178"/>
      <c r="O728" s="2178"/>
      <c r="P728" s="2178"/>
      <c r="Q728" s="2178"/>
      <c r="R728" s="2178"/>
      <c r="S728" s="2178"/>
      <c r="T728" s="2178"/>
      <c r="U728" s="2178"/>
      <c r="V728" s="2178"/>
      <c r="W728" s="2178"/>
      <c r="X728" s="2178"/>
      <c r="Y728" s="2178"/>
      <c r="Z728" s="2178"/>
      <c r="AA728" s="2178"/>
      <c r="AB728" s="2178"/>
      <c r="AC728" s="2178"/>
      <c r="AD728" s="2178"/>
      <c r="AE728" s="2178"/>
      <c r="AF728" s="2178"/>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2178"/>
      <c r="C819" s="2178"/>
      <c r="D819" s="2178"/>
      <c r="E819" s="2178"/>
      <c r="F819" s="2178"/>
      <c r="G819" s="2178"/>
      <c r="H819" s="2178"/>
      <c r="I819" s="2178"/>
      <c r="J819" s="2178"/>
      <c r="K819" s="2178"/>
      <c r="L819" s="2178"/>
      <c r="M819" s="2178"/>
      <c r="N819" s="2178"/>
      <c r="O819" s="2178"/>
      <c r="P819" s="2178"/>
      <c r="Q819" s="2178"/>
      <c r="R819" s="2178"/>
      <c r="S819" s="2178"/>
      <c r="T819" s="2178"/>
      <c r="U819" s="2178"/>
      <c r="V819" s="2178"/>
      <c r="W819" s="2178"/>
      <c r="X819" s="2178"/>
      <c r="Y819" s="2178"/>
      <c r="Z819" s="2178"/>
      <c r="AA819" s="2178"/>
      <c r="AB819" s="2178"/>
      <c r="AC819" s="2178"/>
      <c r="AD819" s="2178"/>
      <c r="AE819" s="2178"/>
      <c r="AF819" s="2178"/>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2178"/>
      <c r="C897" s="2178"/>
      <c r="D897" s="2178"/>
      <c r="E897" s="2178"/>
      <c r="F897" s="2178"/>
      <c r="G897" s="2178"/>
      <c r="H897" s="2178"/>
      <c r="I897" s="2178"/>
      <c r="J897" s="2178"/>
      <c r="K897" s="2178"/>
      <c r="L897" s="2178"/>
      <c r="M897" s="2178"/>
      <c r="N897" s="2178"/>
      <c r="O897" s="2178"/>
      <c r="P897" s="2178"/>
      <c r="Q897" s="2178"/>
      <c r="R897" s="2178"/>
      <c r="S897" s="2178"/>
      <c r="T897" s="2178"/>
      <c r="U897" s="2178"/>
      <c r="V897" s="2178"/>
      <c r="W897" s="2178"/>
      <c r="X897" s="2178"/>
      <c r="Y897" s="2178"/>
      <c r="Z897" s="2178"/>
      <c r="AA897" s="2178"/>
      <c r="AB897" s="2178"/>
      <c r="AC897" s="2178"/>
      <c r="AD897" s="2178"/>
      <c r="AE897" s="2178"/>
      <c r="AF897" s="2178"/>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2178"/>
      <c r="C983" s="2178"/>
      <c r="D983" s="2178"/>
      <c r="E983" s="2178"/>
      <c r="F983" s="2178"/>
      <c r="G983" s="2178"/>
      <c r="H983" s="2178"/>
      <c r="I983" s="2178"/>
      <c r="J983" s="2178"/>
      <c r="K983" s="2178"/>
      <c r="L983" s="2178"/>
      <c r="M983" s="2178"/>
      <c r="N983" s="2178"/>
      <c r="O983" s="2178"/>
      <c r="P983" s="2178"/>
      <c r="Q983" s="2178"/>
      <c r="R983" s="2178"/>
      <c r="S983" s="2178"/>
      <c r="T983" s="2178"/>
      <c r="U983" s="2178"/>
      <c r="V983" s="2178"/>
      <c r="W983" s="2178"/>
      <c r="X983" s="2178"/>
      <c r="Y983" s="2178"/>
      <c r="Z983" s="2178"/>
      <c r="AA983" s="2178"/>
      <c r="AB983" s="2178"/>
      <c r="AC983" s="2178"/>
      <c r="AD983" s="2178"/>
      <c r="AE983" s="2178"/>
      <c r="AF983" s="2178"/>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2178"/>
      <c r="C1082" s="2178"/>
      <c r="D1082" s="2178"/>
      <c r="E1082" s="2178"/>
      <c r="F1082" s="2178"/>
      <c r="G1082" s="2178"/>
      <c r="H1082" s="2178"/>
      <c r="I1082" s="2178"/>
      <c r="J1082" s="2178"/>
      <c r="K1082" s="2178"/>
      <c r="L1082" s="2178"/>
      <c r="M1082" s="2178"/>
      <c r="N1082" s="2178"/>
      <c r="O1082" s="2178"/>
      <c r="P1082" s="2178"/>
      <c r="Q1082" s="2178"/>
      <c r="R1082" s="2178"/>
      <c r="S1082" s="2178"/>
      <c r="T1082" s="2178"/>
      <c r="U1082" s="2178"/>
      <c r="V1082" s="2178"/>
      <c r="W1082" s="2178"/>
      <c r="X1082" s="2178"/>
      <c r="Y1082" s="2178"/>
      <c r="Z1082" s="2178"/>
      <c r="AA1082" s="2178"/>
      <c r="AB1082" s="2178"/>
      <c r="AC1082" s="2178"/>
      <c r="AD1082" s="2178"/>
      <c r="AE1082" s="2178"/>
      <c r="AF1082" s="2178"/>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2178"/>
      <c r="C1179" s="2178"/>
      <c r="D1179" s="2178"/>
      <c r="E1179" s="2178"/>
      <c r="F1179" s="2178"/>
      <c r="G1179" s="2178"/>
      <c r="H1179" s="2178"/>
      <c r="I1179" s="2178"/>
      <c r="J1179" s="2178"/>
      <c r="K1179" s="2178"/>
      <c r="L1179" s="2178"/>
      <c r="M1179" s="2178"/>
      <c r="N1179" s="2178"/>
      <c r="O1179" s="2178"/>
      <c r="P1179" s="2178"/>
      <c r="Q1179" s="2178"/>
      <c r="R1179" s="2178"/>
      <c r="S1179" s="2178"/>
      <c r="T1179" s="2178"/>
      <c r="U1179" s="2178"/>
      <c r="V1179" s="2178"/>
      <c r="W1179" s="2178"/>
      <c r="X1179" s="2178"/>
      <c r="Y1179" s="2178"/>
      <c r="Z1179" s="2178"/>
      <c r="AA1179" s="2178"/>
      <c r="AB1179" s="2178"/>
      <c r="AC1179" s="2178"/>
      <c r="AD1179" s="2178"/>
      <c r="AE1179" s="2178"/>
      <c r="AF1179" s="2178"/>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2178"/>
      <c r="C1313" s="2178"/>
      <c r="D1313" s="2178"/>
      <c r="E1313" s="2178"/>
      <c r="F1313" s="2178"/>
      <c r="G1313" s="2178"/>
      <c r="H1313" s="2178"/>
      <c r="I1313" s="2178"/>
      <c r="J1313" s="2178"/>
      <c r="K1313" s="2178"/>
      <c r="L1313" s="2178"/>
      <c r="M1313" s="2178"/>
      <c r="N1313" s="2178"/>
      <c r="O1313" s="2178"/>
      <c r="P1313" s="2178"/>
      <c r="Q1313" s="2178"/>
      <c r="R1313" s="2178"/>
      <c r="S1313" s="2178"/>
      <c r="T1313" s="2178"/>
      <c r="U1313" s="2178"/>
      <c r="V1313" s="2178"/>
      <c r="W1313" s="2178"/>
      <c r="X1313" s="2178"/>
      <c r="Y1313" s="2178"/>
      <c r="Z1313" s="2178"/>
      <c r="AA1313" s="2178"/>
      <c r="AB1313" s="2178"/>
      <c r="AC1313" s="2178"/>
      <c r="AD1313" s="2178"/>
      <c r="AE1313" s="2178"/>
      <c r="AF1313" s="2178"/>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2178"/>
      <c r="C1431" s="2178"/>
      <c r="D1431" s="2178"/>
      <c r="E1431" s="2178"/>
      <c r="F1431" s="2178"/>
      <c r="G1431" s="2178"/>
      <c r="H1431" s="2178"/>
      <c r="I1431" s="2178"/>
      <c r="J1431" s="2178"/>
      <c r="K1431" s="2178"/>
      <c r="L1431" s="2178"/>
      <c r="M1431" s="2178"/>
      <c r="N1431" s="2178"/>
      <c r="O1431" s="2178"/>
      <c r="P1431" s="2178"/>
      <c r="Q1431" s="2178"/>
      <c r="R1431" s="2178"/>
      <c r="S1431" s="2178"/>
      <c r="T1431" s="2178"/>
      <c r="U1431" s="2178"/>
      <c r="V1431" s="2178"/>
      <c r="W1431" s="2178"/>
      <c r="X1431" s="2178"/>
      <c r="Y1431" s="2178"/>
      <c r="Z1431" s="2178"/>
      <c r="AA1431" s="2178"/>
      <c r="AB1431" s="2178"/>
      <c r="AC1431" s="2178"/>
      <c r="AD1431" s="2178"/>
      <c r="AE1431" s="2178"/>
      <c r="AF1431" s="2178"/>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2178"/>
      <c r="C1535" s="2178"/>
      <c r="D1535" s="2178"/>
      <c r="E1535" s="2178"/>
      <c r="F1535" s="2178"/>
      <c r="G1535" s="2178"/>
      <c r="H1535" s="2178"/>
      <c r="I1535" s="2178"/>
      <c r="J1535" s="2178"/>
      <c r="K1535" s="2178"/>
      <c r="L1535" s="2178"/>
      <c r="M1535" s="2178"/>
      <c r="N1535" s="2178"/>
      <c r="O1535" s="2178"/>
      <c r="P1535" s="2178"/>
      <c r="Q1535" s="2178"/>
      <c r="R1535" s="2178"/>
      <c r="S1535" s="2178"/>
      <c r="T1535" s="2178"/>
      <c r="U1535" s="2178"/>
      <c r="V1535" s="2178"/>
      <c r="W1535" s="2178"/>
      <c r="X1535" s="2178"/>
      <c r="Y1535" s="2178"/>
      <c r="Z1535" s="2178"/>
      <c r="AA1535" s="2178"/>
      <c r="AB1535" s="2178"/>
      <c r="AC1535" s="2178"/>
      <c r="AD1535" s="2178"/>
      <c r="AE1535" s="2178"/>
      <c r="AF1535" s="2178"/>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2178"/>
      <c r="C1628" s="2178"/>
      <c r="D1628" s="2178"/>
      <c r="E1628" s="2178"/>
      <c r="F1628" s="2178"/>
      <c r="G1628" s="2178"/>
      <c r="H1628" s="2178"/>
      <c r="I1628" s="2178"/>
      <c r="J1628" s="2178"/>
      <c r="K1628" s="2178"/>
      <c r="L1628" s="2178"/>
      <c r="M1628" s="2178"/>
      <c r="N1628" s="2178"/>
      <c r="O1628" s="2178"/>
      <c r="P1628" s="2178"/>
      <c r="Q1628" s="2178"/>
      <c r="R1628" s="2178"/>
      <c r="S1628" s="2178"/>
      <c r="T1628" s="2178"/>
      <c r="U1628" s="2178"/>
      <c r="V1628" s="2178"/>
      <c r="W1628" s="2178"/>
      <c r="X1628" s="2178"/>
      <c r="Y1628" s="2178"/>
      <c r="Z1628" s="2178"/>
      <c r="AA1628" s="2178"/>
      <c r="AB1628" s="2178"/>
      <c r="AC1628" s="2178"/>
      <c r="AD1628" s="2178"/>
      <c r="AE1628" s="2178"/>
      <c r="AF1628" s="2178"/>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2178"/>
      <c r="C1778" s="2178"/>
      <c r="D1778" s="2178"/>
      <c r="E1778" s="2178"/>
      <c r="F1778" s="2178"/>
      <c r="G1778" s="2178"/>
      <c r="H1778" s="2178"/>
      <c r="I1778" s="2178"/>
      <c r="J1778" s="2178"/>
      <c r="K1778" s="2178"/>
      <c r="L1778" s="2178"/>
      <c r="M1778" s="2178"/>
      <c r="N1778" s="2178"/>
      <c r="O1778" s="2178"/>
      <c r="P1778" s="2178"/>
      <c r="Q1778" s="2178"/>
      <c r="R1778" s="2178"/>
      <c r="S1778" s="2178"/>
      <c r="T1778" s="2178"/>
      <c r="U1778" s="2178"/>
      <c r="V1778" s="2178"/>
      <c r="W1778" s="2178"/>
      <c r="X1778" s="2178"/>
      <c r="Y1778" s="2178"/>
      <c r="Z1778" s="2178"/>
      <c r="AA1778" s="2178"/>
      <c r="AB1778" s="2178"/>
      <c r="AC1778" s="2178"/>
      <c r="AD1778" s="2178"/>
      <c r="AE1778" s="2178"/>
      <c r="AF1778" s="2178"/>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2178"/>
      <c r="C1928" s="2178"/>
      <c r="D1928" s="2178"/>
      <c r="E1928" s="2178"/>
      <c r="F1928" s="2178"/>
      <c r="G1928" s="2178"/>
      <c r="H1928" s="2178"/>
      <c r="I1928" s="2178"/>
      <c r="J1928" s="2178"/>
      <c r="K1928" s="2178"/>
      <c r="L1928" s="2178"/>
      <c r="M1928" s="2178"/>
      <c r="N1928" s="2178"/>
      <c r="O1928" s="2178"/>
      <c r="P1928" s="2178"/>
      <c r="Q1928" s="2178"/>
      <c r="R1928" s="2178"/>
      <c r="S1928" s="2178"/>
      <c r="T1928" s="2178"/>
      <c r="U1928" s="2178"/>
      <c r="V1928" s="2178"/>
      <c r="W1928" s="2178"/>
      <c r="X1928" s="2178"/>
      <c r="Y1928" s="2178"/>
      <c r="Z1928" s="2178"/>
      <c r="AA1928" s="2178"/>
      <c r="AB1928" s="2178"/>
      <c r="AC1928" s="2178"/>
      <c r="AD1928" s="2178"/>
      <c r="AE1928" s="2178"/>
      <c r="AF1928" s="2178"/>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2178"/>
      <c r="C2078" s="2178"/>
      <c r="D2078" s="2178"/>
      <c r="E2078" s="2178"/>
      <c r="F2078" s="2178"/>
      <c r="G2078" s="2178"/>
      <c r="H2078" s="2178"/>
      <c r="I2078" s="2178"/>
      <c r="J2078" s="2178"/>
      <c r="K2078" s="2178"/>
      <c r="L2078" s="2178"/>
      <c r="M2078" s="2178"/>
      <c r="N2078" s="2178"/>
      <c r="O2078" s="2178"/>
      <c r="P2078" s="2178"/>
      <c r="Q2078" s="2178"/>
      <c r="R2078" s="2178"/>
      <c r="S2078" s="2178"/>
      <c r="T2078" s="2178"/>
      <c r="U2078" s="2178"/>
      <c r="V2078" s="2178"/>
      <c r="W2078" s="2178"/>
      <c r="X2078" s="2178"/>
      <c r="Y2078" s="2178"/>
      <c r="Z2078" s="2178"/>
      <c r="AA2078" s="2178"/>
      <c r="AB2078" s="2178"/>
      <c r="AC2078" s="2178"/>
      <c r="AD2078" s="2178"/>
      <c r="AE2078" s="2178"/>
      <c r="AF2078" s="2178"/>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2178"/>
      <c r="C2228" s="2178"/>
      <c r="D2228" s="2178"/>
      <c r="E2228" s="2178"/>
      <c r="F2228" s="2178"/>
      <c r="G2228" s="2178"/>
      <c r="H2228" s="2178"/>
      <c r="I2228" s="2178"/>
      <c r="J2228" s="2178"/>
      <c r="K2228" s="2178"/>
      <c r="L2228" s="2178"/>
      <c r="M2228" s="2178"/>
      <c r="N2228" s="2178"/>
      <c r="O2228" s="2178"/>
      <c r="P2228" s="2178"/>
      <c r="Q2228" s="2178"/>
      <c r="R2228" s="2178"/>
      <c r="S2228" s="2178"/>
      <c r="T2228" s="2178"/>
      <c r="U2228" s="2178"/>
      <c r="V2228" s="2178"/>
      <c r="W2228" s="2178"/>
      <c r="X2228" s="2178"/>
      <c r="Y2228" s="2178"/>
      <c r="Z2228" s="2178"/>
      <c r="AA2228" s="2178"/>
      <c r="AB2228" s="2178"/>
      <c r="AC2228" s="2178"/>
      <c r="AD2228" s="2178"/>
      <c r="AE2228" s="2178"/>
      <c r="AF2228" s="2178"/>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2178"/>
      <c r="C2378" s="2178"/>
      <c r="D2378" s="2178"/>
      <c r="E2378" s="2178"/>
      <c r="F2378" s="2178"/>
      <c r="G2378" s="2178"/>
      <c r="H2378" s="2178"/>
      <c r="I2378" s="2178"/>
      <c r="J2378" s="2178"/>
      <c r="K2378" s="2178"/>
      <c r="L2378" s="2178"/>
      <c r="M2378" s="2178"/>
      <c r="N2378" s="2178"/>
      <c r="O2378" s="2178"/>
      <c r="P2378" s="2178"/>
      <c r="Q2378" s="2178"/>
      <c r="R2378" s="2178"/>
      <c r="S2378" s="2178"/>
      <c r="T2378" s="2178"/>
      <c r="U2378" s="2178"/>
      <c r="V2378" s="2178"/>
      <c r="W2378" s="2178"/>
      <c r="X2378" s="2178"/>
      <c r="Y2378" s="2178"/>
      <c r="Z2378" s="2178"/>
      <c r="AA2378" s="2178"/>
      <c r="AB2378" s="2178"/>
      <c r="AC2378" s="2178"/>
      <c r="AD2378" s="2178"/>
      <c r="AE2378" s="2178"/>
      <c r="AF2378" s="2178"/>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2178"/>
      <c r="C2528" s="2178"/>
      <c r="D2528" s="2178"/>
      <c r="E2528" s="2178"/>
      <c r="F2528" s="2178"/>
      <c r="G2528" s="2178"/>
      <c r="H2528" s="2178"/>
      <c r="I2528" s="2178"/>
      <c r="J2528" s="2178"/>
      <c r="K2528" s="2178"/>
      <c r="L2528" s="2178"/>
      <c r="M2528" s="2178"/>
      <c r="N2528" s="2178"/>
      <c r="O2528" s="2178"/>
      <c r="P2528" s="2178"/>
      <c r="Q2528" s="2178"/>
      <c r="R2528" s="2178"/>
      <c r="S2528" s="2178"/>
      <c r="T2528" s="2178"/>
      <c r="U2528" s="2178"/>
      <c r="V2528" s="2178"/>
      <c r="W2528" s="2178"/>
      <c r="X2528" s="2178"/>
      <c r="Y2528" s="2178"/>
      <c r="Z2528" s="2178"/>
      <c r="AA2528" s="2178"/>
      <c r="AB2528" s="2178"/>
      <c r="AC2528" s="2178"/>
      <c r="AD2528" s="2178"/>
      <c r="AE2528" s="2178"/>
      <c r="AF2528" s="2178"/>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2178"/>
      <c r="C2678" s="2178"/>
      <c r="D2678" s="2178"/>
      <c r="E2678" s="2178"/>
      <c r="F2678" s="2178"/>
      <c r="G2678" s="2178"/>
      <c r="H2678" s="2178"/>
      <c r="I2678" s="2178"/>
      <c r="J2678" s="2178"/>
      <c r="K2678" s="2178"/>
      <c r="L2678" s="2178"/>
      <c r="M2678" s="2178"/>
      <c r="N2678" s="2178"/>
      <c r="O2678" s="2178"/>
      <c r="P2678" s="2178"/>
      <c r="Q2678" s="2178"/>
      <c r="R2678" s="2178"/>
      <c r="S2678" s="2178"/>
      <c r="T2678" s="2178"/>
      <c r="U2678" s="2178"/>
      <c r="V2678" s="2178"/>
      <c r="W2678" s="2178"/>
      <c r="X2678" s="2178"/>
      <c r="Y2678" s="2178"/>
      <c r="Z2678" s="2178"/>
      <c r="AA2678" s="2178"/>
      <c r="AB2678" s="2178"/>
      <c r="AC2678" s="2178"/>
      <c r="AD2678" s="2178"/>
      <c r="AE2678" s="2178"/>
      <c r="AF2678" s="2178"/>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2178"/>
      <c r="C2828" s="2178"/>
      <c r="D2828" s="2178"/>
      <c r="E2828" s="2178"/>
      <c r="F2828" s="2178"/>
      <c r="G2828" s="2178"/>
      <c r="H2828" s="2178"/>
      <c r="I2828" s="2178"/>
      <c r="J2828" s="2178"/>
      <c r="K2828" s="2178"/>
      <c r="L2828" s="2178"/>
      <c r="M2828" s="2178"/>
      <c r="N2828" s="2178"/>
      <c r="O2828" s="2178"/>
      <c r="P2828" s="2178"/>
      <c r="Q2828" s="2178"/>
      <c r="R2828" s="2178"/>
      <c r="S2828" s="2178"/>
      <c r="T2828" s="2178"/>
      <c r="U2828" s="2178"/>
      <c r="V2828" s="2178"/>
      <c r="W2828" s="2178"/>
      <c r="X2828" s="2178"/>
      <c r="Y2828" s="2178"/>
      <c r="Z2828" s="2178"/>
      <c r="AA2828" s="2178"/>
      <c r="AB2828" s="2178"/>
      <c r="AC2828" s="2178"/>
      <c r="AD2828" s="2178"/>
      <c r="AE2828" s="2178"/>
      <c r="AF2828" s="2178"/>
    </row>
  </sheetData>
  <mergeCells count="24">
    <mergeCell ref="B67:AG67"/>
    <mergeCell ref="B2228:AF2228"/>
    <mergeCell ref="B2378:AF2378"/>
    <mergeCell ref="B2528:AF2528"/>
    <mergeCell ref="B2678:AF2678"/>
    <mergeCell ref="B1778:AF1778"/>
    <mergeCell ref="B1928:AF1928"/>
    <mergeCell ref="B728:AF728"/>
    <mergeCell ref="B156:AF156"/>
    <mergeCell ref="B292:AF292"/>
    <mergeCell ref="B378:AF378"/>
    <mergeCell ref="B560:AF560"/>
    <mergeCell ref="B652:AF652"/>
    <mergeCell ref="B1082:AF1082"/>
    <mergeCell ref="B1179:AF1179"/>
    <mergeCell ref="B1313:AF1313"/>
    <mergeCell ref="B2828:AF2828"/>
    <mergeCell ref="B2078:AF2078"/>
    <mergeCell ref="B819:AF819"/>
    <mergeCell ref="B897:AF897"/>
    <mergeCell ref="B983:AF983"/>
    <mergeCell ref="B1431:AF1431"/>
    <mergeCell ref="B1535:AF1535"/>
    <mergeCell ref="B1628:AF1628"/>
  </mergeCells>
  <pageMargins left="0.75" right="0.75" top="1" bottom="1" header="0.5" footer="0.5"/>
  <pageSetup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61E2C-BC83-4AFE-8B75-E5CE3BD83948}">
  <sheetPr codeName="Sheet41"/>
  <dimension ref="A1:AG1727"/>
  <sheetViews>
    <sheetView workbookViewId="0">
      <pane xSplit="2" ySplit="1" topLeftCell="C2" activePane="bottomRight" state="frozen"/>
      <selection pane="topRight" activeCell="C1" sqref="C1"/>
      <selection pane="bottomLeft" activeCell="A2" sqref="A2"/>
      <selection pane="bottomRight" activeCell="B1" sqref="B1"/>
    </sheetView>
  </sheetViews>
  <sheetFormatPr baseColWidth="10" defaultColWidth="9.33203125" defaultRowHeight="15" customHeight="1"/>
  <cols>
    <col min="1" max="1" width="20.6640625" style="28" hidden="1" customWidth="1"/>
    <col min="2" max="2" width="45.6640625" style="28" customWidth="1"/>
    <col min="3" max="16384" width="9.33203125" style="28"/>
  </cols>
  <sheetData>
    <row r="1" spans="1:33" ht="15" customHeight="1" thickBot="1">
      <c r="B1" s="50" t="s">
        <v>2046</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3" spans="1:33" ht="15" customHeight="1">
      <c r="C3" s="48" t="s">
        <v>2047</v>
      </c>
      <c r="D3" s="48" t="s">
        <v>311</v>
      </c>
      <c r="E3" s="47"/>
      <c r="F3" s="47"/>
      <c r="G3" s="47"/>
    </row>
    <row r="4" spans="1:33" ht="15" customHeight="1">
      <c r="C4" s="48" t="s">
        <v>2048</v>
      </c>
      <c r="D4" s="48" t="s">
        <v>2049</v>
      </c>
      <c r="E4" s="47"/>
      <c r="F4" s="47"/>
      <c r="G4" s="48" t="s">
        <v>207</v>
      </c>
    </row>
    <row r="5" spans="1:33" ht="15" customHeight="1">
      <c r="C5" s="48" t="s">
        <v>2050</v>
      </c>
      <c r="D5" s="48" t="s">
        <v>2051</v>
      </c>
      <c r="E5" s="47"/>
      <c r="F5" s="47"/>
      <c r="G5" s="47"/>
    </row>
    <row r="6" spans="1:33" ht="15" customHeight="1">
      <c r="C6" s="48" t="s">
        <v>2052</v>
      </c>
      <c r="D6" s="47"/>
      <c r="E6" s="48" t="s">
        <v>2053</v>
      </c>
      <c r="F6" s="47"/>
      <c r="G6" s="47"/>
    </row>
    <row r="10" spans="1:33" ht="12" customHeight="1">
      <c r="A10" s="34" t="s">
        <v>3180</v>
      </c>
      <c r="B10" s="46" t="s">
        <v>3181</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2058</v>
      </c>
      <c r="AG10" s="29"/>
    </row>
    <row r="11" spans="1:33" ht="12"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2059</v>
      </c>
      <c r="AG11" s="29"/>
    </row>
    <row r="12" spans="1:33" ht="12"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2061</v>
      </c>
      <c r="AG12" s="29"/>
    </row>
    <row r="13" spans="1:33" ht="12" customHeight="1" thickBot="1">
      <c r="B13" s="42" t="s">
        <v>2763</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2"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2" customHeight="1">
      <c r="A15" s="34" t="s">
        <v>3182</v>
      </c>
      <c r="B15" s="33" t="s">
        <v>2695</v>
      </c>
      <c r="C15" s="40">
        <v>39.489657999999999</v>
      </c>
      <c r="D15" s="40">
        <v>39.006199000000002</v>
      </c>
      <c r="E15" s="40">
        <v>39.241928000000001</v>
      </c>
      <c r="F15" s="40">
        <v>40.383499</v>
      </c>
      <c r="G15" s="40">
        <v>41.714424000000001</v>
      </c>
      <c r="H15" s="40">
        <v>42.604626000000003</v>
      </c>
      <c r="I15" s="40">
        <v>43.222197999999999</v>
      </c>
      <c r="J15" s="40">
        <v>43.558788</v>
      </c>
      <c r="K15" s="40">
        <v>43.667107000000001</v>
      </c>
      <c r="L15" s="40">
        <v>43.847262999999998</v>
      </c>
      <c r="M15" s="40">
        <v>44.095450999999997</v>
      </c>
      <c r="N15" s="40">
        <v>44.485649000000002</v>
      </c>
      <c r="O15" s="40">
        <v>45.056721000000003</v>
      </c>
      <c r="P15" s="40">
        <v>45.648440999999998</v>
      </c>
      <c r="Q15" s="40">
        <v>46.072398999999997</v>
      </c>
      <c r="R15" s="40">
        <v>46.591617999999997</v>
      </c>
      <c r="S15" s="40">
        <v>47.106681999999999</v>
      </c>
      <c r="T15" s="40">
        <v>47.672859000000003</v>
      </c>
      <c r="U15" s="40">
        <v>48.027209999999997</v>
      </c>
      <c r="V15" s="40">
        <v>48.631011999999998</v>
      </c>
      <c r="W15" s="40">
        <v>49.402282999999997</v>
      </c>
      <c r="X15" s="40">
        <v>49.964900999999998</v>
      </c>
      <c r="Y15" s="40">
        <v>50.329197000000001</v>
      </c>
      <c r="Z15" s="40">
        <v>50.972748000000003</v>
      </c>
      <c r="AA15" s="40">
        <v>51.743003999999999</v>
      </c>
      <c r="AB15" s="40">
        <v>52.397064</v>
      </c>
      <c r="AC15" s="40">
        <v>52.615349000000002</v>
      </c>
      <c r="AD15" s="40">
        <v>53.016792000000002</v>
      </c>
      <c r="AE15" s="40">
        <v>53.815617000000003</v>
      </c>
      <c r="AF15" s="31">
        <v>1.1115999999999999E-2</v>
      </c>
      <c r="AG15" s="29"/>
    </row>
    <row r="16" spans="1:33" ht="12" customHeight="1">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2" customHeight="1">
      <c r="B17" s="33" t="s">
        <v>2888</v>
      </c>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row>
    <row r="18" spans="1:33" ht="12" customHeight="1">
      <c r="A18" s="34" t="s">
        <v>3183</v>
      </c>
      <c r="B18" s="37" t="s">
        <v>2770</v>
      </c>
      <c r="C18" s="36">
        <v>0</v>
      </c>
      <c r="D18" s="36">
        <v>0</v>
      </c>
      <c r="E18" s="36">
        <v>0</v>
      </c>
      <c r="F18" s="36">
        <v>0</v>
      </c>
      <c r="G18" s="36">
        <v>0</v>
      </c>
      <c r="H18" s="36">
        <v>0</v>
      </c>
      <c r="I18" s="36">
        <v>0</v>
      </c>
      <c r="J18" s="36">
        <v>0</v>
      </c>
      <c r="K18" s="36">
        <v>0</v>
      </c>
      <c r="L18" s="36">
        <v>0</v>
      </c>
      <c r="M18" s="36">
        <v>0</v>
      </c>
      <c r="N18" s="36">
        <v>0</v>
      </c>
      <c r="O18" s="36">
        <v>0</v>
      </c>
      <c r="P18" s="36">
        <v>0</v>
      </c>
      <c r="Q18" s="36">
        <v>0</v>
      </c>
      <c r="R18" s="36">
        <v>0</v>
      </c>
      <c r="S18" s="36">
        <v>0</v>
      </c>
      <c r="T18" s="36">
        <v>0</v>
      </c>
      <c r="U18" s="36">
        <v>0</v>
      </c>
      <c r="V18" s="36">
        <v>0</v>
      </c>
      <c r="W18" s="36">
        <v>0</v>
      </c>
      <c r="X18" s="36">
        <v>0</v>
      </c>
      <c r="Y18" s="36">
        <v>0</v>
      </c>
      <c r="Z18" s="36">
        <v>0</v>
      </c>
      <c r="AA18" s="36">
        <v>0</v>
      </c>
      <c r="AB18" s="36">
        <v>0</v>
      </c>
      <c r="AC18" s="36">
        <v>0</v>
      </c>
      <c r="AD18" s="36">
        <v>0</v>
      </c>
      <c r="AE18" s="36">
        <v>0</v>
      </c>
      <c r="AF18" s="35" t="s">
        <v>1278</v>
      </c>
      <c r="AG18" s="29"/>
    </row>
    <row r="19" spans="1:33" ht="12" customHeight="1">
      <c r="A19" s="34" t="s">
        <v>3184</v>
      </c>
      <c r="B19" s="37" t="s">
        <v>2772</v>
      </c>
      <c r="C19" s="36">
        <v>0.844607</v>
      </c>
      <c r="D19" s="36">
        <v>0.87811399999999995</v>
      </c>
      <c r="E19" s="36">
        <v>0.85793699999999995</v>
      </c>
      <c r="F19" s="36">
        <v>0.88064100000000001</v>
      </c>
      <c r="G19" s="36">
        <v>0.92472900000000002</v>
      </c>
      <c r="H19" s="36">
        <v>0.96953500000000004</v>
      </c>
      <c r="I19" s="36">
        <v>0.994147</v>
      </c>
      <c r="J19" s="36">
        <v>0.96633000000000002</v>
      </c>
      <c r="K19" s="36">
        <v>0.93726799999999999</v>
      </c>
      <c r="L19" s="36">
        <v>0.91695099999999996</v>
      </c>
      <c r="M19" s="36">
        <v>0.90508999999999995</v>
      </c>
      <c r="N19" s="36">
        <v>0.89628300000000005</v>
      </c>
      <c r="O19" s="36">
        <v>0.89532699999999998</v>
      </c>
      <c r="P19" s="36">
        <v>0.89224800000000004</v>
      </c>
      <c r="Q19" s="36">
        <v>0.88761999999999996</v>
      </c>
      <c r="R19" s="36">
        <v>0.87859500000000001</v>
      </c>
      <c r="S19" s="36">
        <v>0.87012</v>
      </c>
      <c r="T19" s="36">
        <v>0.86165700000000001</v>
      </c>
      <c r="U19" s="36">
        <v>0.85232799999999997</v>
      </c>
      <c r="V19" s="36">
        <v>0.84276200000000001</v>
      </c>
      <c r="W19" s="36">
        <v>0.83708300000000002</v>
      </c>
      <c r="X19" s="36">
        <v>0.82527799999999996</v>
      </c>
      <c r="Y19" s="36">
        <v>0.81376000000000004</v>
      </c>
      <c r="Z19" s="36">
        <v>0.80326200000000003</v>
      </c>
      <c r="AA19" s="36">
        <v>0.79258399999999996</v>
      </c>
      <c r="AB19" s="36">
        <v>0.785636</v>
      </c>
      <c r="AC19" s="36">
        <v>0.77475300000000002</v>
      </c>
      <c r="AD19" s="36">
        <v>0.76238899999999998</v>
      </c>
      <c r="AE19" s="36">
        <v>0.75414499999999995</v>
      </c>
      <c r="AF19" s="35">
        <v>-4.0379999999999999E-3</v>
      </c>
      <c r="AG19" s="29"/>
    </row>
    <row r="20" spans="1:33" ht="12" customHeight="1">
      <c r="A20" s="34" t="s">
        <v>3185</v>
      </c>
      <c r="B20" s="37" t="s">
        <v>2892</v>
      </c>
      <c r="C20" s="36">
        <v>0</v>
      </c>
      <c r="D20" s="36">
        <v>0</v>
      </c>
      <c r="E20" s="36">
        <v>0</v>
      </c>
      <c r="F20" s="36">
        <v>0</v>
      </c>
      <c r="G20" s="36">
        <v>0</v>
      </c>
      <c r="H20" s="36">
        <v>0</v>
      </c>
      <c r="I20" s="36">
        <v>0</v>
      </c>
      <c r="J20" s="36">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6">
        <v>0</v>
      </c>
      <c r="AC20" s="36">
        <v>0</v>
      </c>
      <c r="AD20" s="36">
        <v>0</v>
      </c>
      <c r="AE20" s="36">
        <v>0</v>
      </c>
      <c r="AF20" s="35" t="s">
        <v>1278</v>
      </c>
      <c r="AG20" s="29"/>
    </row>
    <row r="21" spans="1:33" ht="12" customHeight="1">
      <c r="A21" s="34" t="s">
        <v>3186</v>
      </c>
      <c r="B21" s="37" t="s">
        <v>2776</v>
      </c>
      <c r="C21" s="36">
        <v>0</v>
      </c>
      <c r="D21" s="36">
        <v>0</v>
      </c>
      <c r="E21" s="36">
        <v>0</v>
      </c>
      <c r="F21" s="36">
        <v>0</v>
      </c>
      <c r="G21" s="36">
        <v>0</v>
      </c>
      <c r="H21" s="36">
        <v>0</v>
      </c>
      <c r="I21" s="36">
        <v>0</v>
      </c>
      <c r="J21" s="36">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6">
        <v>0</v>
      </c>
      <c r="AC21" s="36">
        <v>0</v>
      </c>
      <c r="AD21" s="36">
        <v>0</v>
      </c>
      <c r="AE21" s="36">
        <v>0</v>
      </c>
      <c r="AF21" s="35" t="s">
        <v>1278</v>
      </c>
      <c r="AG21" s="29"/>
    </row>
    <row r="22" spans="1:33" ht="12" customHeight="1">
      <c r="A22" s="34" t="s">
        <v>3187</v>
      </c>
      <c r="B22" s="37" t="s">
        <v>2894</v>
      </c>
      <c r="C22" s="36">
        <v>0</v>
      </c>
      <c r="D22" s="36">
        <v>0</v>
      </c>
      <c r="E22" s="36">
        <v>0</v>
      </c>
      <c r="F22" s="36">
        <v>0</v>
      </c>
      <c r="G22" s="36">
        <v>0</v>
      </c>
      <c r="H22" s="36">
        <v>0</v>
      </c>
      <c r="I22" s="36">
        <v>0</v>
      </c>
      <c r="J22" s="36">
        <v>0</v>
      </c>
      <c r="K22" s="36">
        <v>0</v>
      </c>
      <c r="L22" s="36">
        <v>0</v>
      </c>
      <c r="M22" s="36">
        <v>0</v>
      </c>
      <c r="N22" s="36">
        <v>0</v>
      </c>
      <c r="O22" s="36">
        <v>0</v>
      </c>
      <c r="P22" s="36">
        <v>0</v>
      </c>
      <c r="Q22" s="36">
        <v>0</v>
      </c>
      <c r="R22" s="36">
        <v>0</v>
      </c>
      <c r="S22" s="36">
        <v>0</v>
      </c>
      <c r="T22" s="36">
        <v>0</v>
      </c>
      <c r="U22" s="36">
        <v>0</v>
      </c>
      <c r="V22" s="36">
        <v>0</v>
      </c>
      <c r="W22" s="36">
        <v>0</v>
      </c>
      <c r="X22" s="36">
        <v>0</v>
      </c>
      <c r="Y22" s="36">
        <v>0</v>
      </c>
      <c r="Z22" s="36">
        <v>0</v>
      </c>
      <c r="AA22" s="36">
        <v>0</v>
      </c>
      <c r="AB22" s="36">
        <v>0</v>
      </c>
      <c r="AC22" s="36">
        <v>0</v>
      </c>
      <c r="AD22" s="36">
        <v>0</v>
      </c>
      <c r="AE22" s="36">
        <v>0</v>
      </c>
      <c r="AF22" s="35" t="s">
        <v>1278</v>
      </c>
      <c r="AG22" s="29"/>
    </row>
    <row r="23" spans="1:33" ht="12" customHeight="1">
      <c r="A23" s="34" t="s">
        <v>3188</v>
      </c>
      <c r="B23" s="37" t="s">
        <v>2782</v>
      </c>
      <c r="C23" s="36">
        <v>0.844607</v>
      </c>
      <c r="D23" s="36">
        <v>0.87811399999999995</v>
      </c>
      <c r="E23" s="36">
        <v>0.85793699999999995</v>
      </c>
      <c r="F23" s="36">
        <v>0.88064100000000001</v>
      </c>
      <c r="G23" s="36">
        <v>0.92472900000000002</v>
      </c>
      <c r="H23" s="36">
        <v>0.96953500000000004</v>
      </c>
      <c r="I23" s="36">
        <v>0.994147</v>
      </c>
      <c r="J23" s="36">
        <v>0.96633000000000002</v>
      </c>
      <c r="K23" s="36">
        <v>0.93726799999999999</v>
      </c>
      <c r="L23" s="36">
        <v>0.91695099999999996</v>
      </c>
      <c r="M23" s="36">
        <v>0.90508999999999995</v>
      </c>
      <c r="N23" s="36">
        <v>0.89628300000000005</v>
      </c>
      <c r="O23" s="36">
        <v>0.89532699999999998</v>
      </c>
      <c r="P23" s="36">
        <v>0.89224800000000004</v>
      </c>
      <c r="Q23" s="36">
        <v>0.88761999999999996</v>
      </c>
      <c r="R23" s="36">
        <v>0.87859500000000001</v>
      </c>
      <c r="S23" s="36">
        <v>0.87012</v>
      </c>
      <c r="T23" s="36">
        <v>0.86165700000000001</v>
      </c>
      <c r="U23" s="36">
        <v>0.85232799999999997</v>
      </c>
      <c r="V23" s="36">
        <v>0.84276200000000001</v>
      </c>
      <c r="W23" s="36">
        <v>0.83708300000000002</v>
      </c>
      <c r="X23" s="36">
        <v>0.82527799999999996</v>
      </c>
      <c r="Y23" s="36">
        <v>0.81376000000000004</v>
      </c>
      <c r="Z23" s="36">
        <v>0.80326200000000003</v>
      </c>
      <c r="AA23" s="36">
        <v>0.79258399999999996</v>
      </c>
      <c r="AB23" s="36">
        <v>0.785636</v>
      </c>
      <c r="AC23" s="36">
        <v>0.77475300000000002</v>
      </c>
      <c r="AD23" s="36">
        <v>0.76238899999999998</v>
      </c>
      <c r="AE23" s="36">
        <v>0.75414499999999995</v>
      </c>
      <c r="AF23" s="35">
        <v>-4.0379999999999999E-3</v>
      </c>
      <c r="AG23" s="29"/>
    </row>
    <row r="24" spans="1:33" ht="12" customHeight="1">
      <c r="A24" s="34" t="s">
        <v>3189</v>
      </c>
      <c r="B24" s="37" t="s">
        <v>2784</v>
      </c>
      <c r="C24" s="36">
        <v>101.656868</v>
      </c>
      <c r="D24" s="36">
        <v>97.401505</v>
      </c>
      <c r="E24" s="36">
        <v>97.488502999999994</v>
      </c>
      <c r="F24" s="36">
        <v>99.136559000000005</v>
      </c>
      <c r="G24" s="36">
        <v>101.982185</v>
      </c>
      <c r="H24" s="36">
        <v>103.701103</v>
      </c>
      <c r="I24" s="36">
        <v>104.283432</v>
      </c>
      <c r="J24" s="36">
        <v>103.770844</v>
      </c>
      <c r="K24" s="36">
        <v>102.752792</v>
      </c>
      <c r="L24" s="36">
        <v>102.057953</v>
      </c>
      <c r="M24" s="36">
        <v>101.69673899999999</v>
      </c>
      <c r="N24" s="36">
        <v>101.596664</v>
      </c>
      <c r="O24" s="36">
        <v>102.16707599999999</v>
      </c>
      <c r="P24" s="36">
        <v>102.917175</v>
      </c>
      <c r="Q24" s="36">
        <v>103.40831799999999</v>
      </c>
      <c r="R24" s="36">
        <v>104.044571</v>
      </c>
      <c r="S24" s="36">
        <v>104.591675</v>
      </c>
      <c r="T24" s="36">
        <v>105.349152</v>
      </c>
      <c r="U24" s="36">
        <v>105.138779</v>
      </c>
      <c r="V24" s="36">
        <v>105.85839799999999</v>
      </c>
      <c r="W24" s="36">
        <v>107.06729900000001</v>
      </c>
      <c r="X24" s="36">
        <v>107.884056</v>
      </c>
      <c r="Y24" s="36">
        <v>108.27295700000001</v>
      </c>
      <c r="Z24" s="36">
        <v>109.181854</v>
      </c>
      <c r="AA24" s="36">
        <v>110.041275</v>
      </c>
      <c r="AB24" s="36">
        <v>111.05939499999999</v>
      </c>
      <c r="AC24" s="36">
        <v>111.21835299999999</v>
      </c>
      <c r="AD24" s="36">
        <v>111.708618</v>
      </c>
      <c r="AE24" s="36">
        <v>112.934563</v>
      </c>
      <c r="AF24" s="35">
        <v>3.764E-3</v>
      </c>
      <c r="AG24" s="29"/>
    </row>
    <row r="25" spans="1:33" ht="12" customHeight="1">
      <c r="A25" s="34" t="s">
        <v>3190</v>
      </c>
      <c r="B25" s="37" t="s">
        <v>2898</v>
      </c>
      <c r="C25" s="36">
        <v>0</v>
      </c>
      <c r="D25" s="36">
        <v>0</v>
      </c>
      <c r="E25" s="36">
        <v>0</v>
      </c>
      <c r="F25" s="36">
        <v>0</v>
      </c>
      <c r="G25" s="36">
        <v>0</v>
      </c>
      <c r="H25" s="36">
        <v>0</v>
      </c>
      <c r="I25" s="36">
        <v>0</v>
      </c>
      <c r="J25" s="36">
        <v>0</v>
      </c>
      <c r="K25" s="36">
        <v>0</v>
      </c>
      <c r="L25" s="36">
        <v>0</v>
      </c>
      <c r="M25" s="36">
        <v>0</v>
      </c>
      <c r="N25" s="36">
        <v>0</v>
      </c>
      <c r="O25" s="36">
        <v>0</v>
      </c>
      <c r="P25" s="36">
        <v>0</v>
      </c>
      <c r="Q25" s="36">
        <v>0</v>
      </c>
      <c r="R25" s="36">
        <v>0</v>
      </c>
      <c r="S25" s="36">
        <v>0</v>
      </c>
      <c r="T25" s="36">
        <v>0</v>
      </c>
      <c r="U25" s="36">
        <v>0</v>
      </c>
      <c r="V25" s="36">
        <v>0</v>
      </c>
      <c r="W25" s="36">
        <v>0</v>
      </c>
      <c r="X25" s="36">
        <v>0</v>
      </c>
      <c r="Y25" s="36">
        <v>0</v>
      </c>
      <c r="Z25" s="36">
        <v>0</v>
      </c>
      <c r="AA25" s="36">
        <v>0</v>
      </c>
      <c r="AB25" s="36">
        <v>0</v>
      </c>
      <c r="AC25" s="36">
        <v>0</v>
      </c>
      <c r="AD25" s="36">
        <v>0</v>
      </c>
      <c r="AE25" s="36">
        <v>0</v>
      </c>
      <c r="AF25" s="35" t="s">
        <v>1278</v>
      </c>
      <c r="AG25" s="29"/>
    </row>
    <row r="26" spans="1:33" ht="15" customHeight="1">
      <c r="A26" s="34" t="s">
        <v>3191</v>
      </c>
      <c r="B26" s="37" t="s">
        <v>2900</v>
      </c>
      <c r="C26" s="36">
        <v>0</v>
      </c>
      <c r="D26" s="36">
        <v>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5" t="s">
        <v>1278</v>
      </c>
      <c r="AG26" s="29"/>
    </row>
    <row r="27" spans="1:33" ht="15" customHeight="1">
      <c r="A27" s="34" t="s">
        <v>3192</v>
      </c>
      <c r="B27" s="37" t="s">
        <v>2796</v>
      </c>
      <c r="C27" s="36">
        <v>87.397773999999998</v>
      </c>
      <c r="D27" s="36">
        <v>88.451187000000004</v>
      </c>
      <c r="E27" s="36">
        <v>88.599723999999995</v>
      </c>
      <c r="F27" s="36">
        <v>89.533660999999995</v>
      </c>
      <c r="G27" s="36">
        <v>92.008895999999993</v>
      </c>
      <c r="H27" s="36">
        <v>93.555046000000004</v>
      </c>
      <c r="I27" s="36">
        <v>93.816162000000006</v>
      </c>
      <c r="J27" s="36">
        <v>92.939621000000002</v>
      </c>
      <c r="K27" s="36">
        <v>91.347365999999994</v>
      </c>
      <c r="L27" s="36">
        <v>90.051224000000005</v>
      </c>
      <c r="M27" s="36">
        <v>89.453711999999996</v>
      </c>
      <c r="N27" s="36">
        <v>88.994124999999997</v>
      </c>
      <c r="O27" s="36">
        <v>89.248947000000001</v>
      </c>
      <c r="P27" s="36">
        <v>89.677170000000004</v>
      </c>
      <c r="Q27" s="36">
        <v>89.862510999999998</v>
      </c>
      <c r="R27" s="36">
        <v>90.304496999999998</v>
      </c>
      <c r="S27" s="36">
        <v>90.940002000000007</v>
      </c>
      <c r="T27" s="36">
        <v>91.104918999999995</v>
      </c>
      <c r="U27" s="36">
        <v>88.433784000000003</v>
      </c>
      <c r="V27" s="36">
        <v>88.454398999999995</v>
      </c>
      <c r="W27" s="36">
        <v>89.269524000000004</v>
      </c>
      <c r="X27" s="36">
        <v>89.732078999999999</v>
      </c>
      <c r="Y27" s="36">
        <v>89.848877000000002</v>
      </c>
      <c r="Z27" s="36">
        <v>90.499343999999994</v>
      </c>
      <c r="AA27" s="36">
        <v>91.421088999999995</v>
      </c>
      <c r="AB27" s="36">
        <v>92.135063000000002</v>
      </c>
      <c r="AC27" s="36">
        <v>92.111435</v>
      </c>
      <c r="AD27" s="36">
        <v>92.408423999999997</v>
      </c>
      <c r="AE27" s="36">
        <v>93.367935000000003</v>
      </c>
      <c r="AF27" s="35">
        <v>2.3630000000000001E-3</v>
      </c>
      <c r="AG27" s="29"/>
    </row>
    <row r="28" spans="1:33" ht="15" customHeight="1">
      <c r="A28" s="34" t="s">
        <v>3193</v>
      </c>
      <c r="B28" s="33" t="s">
        <v>2798</v>
      </c>
      <c r="C28" s="32">
        <v>189.89924600000001</v>
      </c>
      <c r="D28" s="32">
        <v>186.73080400000001</v>
      </c>
      <c r="E28" s="32">
        <v>186.946167</v>
      </c>
      <c r="F28" s="32">
        <v>189.55085800000001</v>
      </c>
      <c r="G28" s="32">
        <v>194.91580200000001</v>
      </c>
      <c r="H28" s="32">
        <v>198.22567699999999</v>
      </c>
      <c r="I28" s="32">
        <v>199.09375</v>
      </c>
      <c r="J28" s="32">
        <v>197.67678799999999</v>
      </c>
      <c r="K28" s="32">
        <v>195.03743</v>
      </c>
      <c r="L28" s="32">
        <v>193.02612300000001</v>
      </c>
      <c r="M28" s="32">
        <v>192.055542</v>
      </c>
      <c r="N28" s="32">
        <v>191.487076</v>
      </c>
      <c r="O28" s="32">
        <v>192.31134</v>
      </c>
      <c r="P28" s="32">
        <v>193.486603</v>
      </c>
      <c r="Q28" s="32">
        <v>194.158447</v>
      </c>
      <c r="R28" s="32">
        <v>195.22766100000001</v>
      </c>
      <c r="S28" s="32">
        <v>196.401794</v>
      </c>
      <c r="T28" s="32">
        <v>197.31573499999999</v>
      </c>
      <c r="U28" s="32">
        <v>194.42489599999999</v>
      </c>
      <c r="V28" s="32">
        <v>195.155563</v>
      </c>
      <c r="W28" s="32">
        <v>197.17390399999999</v>
      </c>
      <c r="X28" s="32">
        <v>198.441406</v>
      </c>
      <c r="Y28" s="32">
        <v>198.93559300000001</v>
      </c>
      <c r="Z28" s="32">
        <v>200.484467</v>
      </c>
      <c r="AA28" s="32">
        <v>202.25494399999999</v>
      </c>
      <c r="AB28" s="32">
        <v>203.98010300000001</v>
      </c>
      <c r="AC28" s="32">
        <v>204.10453799999999</v>
      </c>
      <c r="AD28" s="32">
        <v>204.879425</v>
      </c>
      <c r="AE28" s="32">
        <v>207.05664100000001</v>
      </c>
      <c r="AF28" s="31">
        <v>3.094E-3</v>
      </c>
      <c r="AG28" s="29"/>
    </row>
    <row r="29" spans="1:33" ht="15" customHeight="1">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row>
    <row r="30" spans="1:33" ht="15" customHeight="1">
      <c r="B30" s="33" t="s">
        <v>2903</v>
      </c>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row>
    <row r="31" spans="1:33" ht="15" customHeight="1">
      <c r="B31" s="33" t="s">
        <v>2904</v>
      </c>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row>
    <row r="32" spans="1:33" ht="12" customHeight="1">
      <c r="A32" s="34" t="s">
        <v>3194</v>
      </c>
      <c r="B32" s="37" t="s">
        <v>2770</v>
      </c>
      <c r="C32" s="38">
        <v>0</v>
      </c>
      <c r="D32" s="38">
        <v>0</v>
      </c>
      <c r="E32" s="38">
        <v>0</v>
      </c>
      <c r="F32" s="38">
        <v>0</v>
      </c>
      <c r="G32" s="38">
        <v>0</v>
      </c>
      <c r="H32" s="38">
        <v>0</v>
      </c>
      <c r="I32" s="38">
        <v>0</v>
      </c>
      <c r="J32" s="38">
        <v>0</v>
      </c>
      <c r="K32" s="38">
        <v>0</v>
      </c>
      <c r="L32" s="38">
        <v>0</v>
      </c>
      <c r="M32" s="38">
        <v>0</v>
      </c>
      <c r="N32" s="38">
        <v>0</v>
      </c>
      <c r="O32" s="38">
        <v>0</v>
      </c>
      <c r="P32" s="38">
        <v>0</v>
      </c>
      <c r="Q32" s="38">
        <v>0</v>
      </c>
      <c r="R32" s="38">
        <v>0</v>
      </c>
      <c r="S32" s="38">
        <v>0</v>
      </c>
      <c r="T32" s="38">
        <v>0</v>
      </c>
      <c r="U32" s="38">
        <v>0</v>
      </c>
      <c r="V32" s="38">
        <v>0</v>
      </c>
      <c r="W32" s="38">
        <v>0</v>
      </c>
      <c r="X32" s="38">
        <v>0</v>
      </c>
      <c r="Y32" s="38">
        <v>0</v>
      </c>
      <c r="Z32" s="38">
        <v>0</v>
      </c>
      <c r="AA32" s="38">
        <v>0</v>
      </c>
      <c r="AB32" s="38">
        <v>0</v>
      </c>
      <c r="AC32" s="38">
        <v>0</v>
      </c>
      <c r="AD32" s="38">
        <v>0</v>
      </c>
      <c r="AE32" s="38">
        <v>0</v>
      </c>
      <c r="AF32" s="35" t="s">
        <v>1278</v>
      </c>
      <c r="AG32" s="29"/>
    </row>
    <row r="33" spans="1:33" ht="15" customHeight="1">
      <c r="A33" s="34" t="s">
        <v>3195</v>
      </c>
      <c r="B33" s="37" t="s">
        <v>2772</v>
      </c>
      <c r="C33" s="38">
        <v>2.1388000000000001E-2</v>
      </c>
      <c r="D33" s="38">
        <v>2.2512000000000001E-2</v>
      </c>
      <c r="E33" s="38">
        <v>2.1863E-2</v>
      </c>
      <c r="F33" s="38">
        <v>2.1807E-2</v>
      </c>
      <c r="G33" s="38">
        <v>2.2168E-2</v>
      </c>
      <c r="H33" s="38">
        <v>2.2756999999999999E-2</v>
      </c>
      <c r="I33" s="38">
        <v>2.3001000000000001E-2</v>
      </c>
      <c r="J33" s="38">
        <v>2.2183999999999999E-2</v>
      </c>
      <c r="K33" s="38">
        <v>2.1464E-2</v>
      </c>
      <c r="L33" s="38">
        <v>2.0912E-2</v>
      </c>
      <c r="M33" s="38">
        <v>2.0525999999999999E-2</v>
      </c>
      <c r="N33" s="38">
        <v>2.0147999999999999E-2</v>
      </c>
      <c r="O33" s="38">
        <v>1.9871E-2</v>
      </c>
      <c r="P33" s="38">
        <v>1.9546000000000001E-2</v>
      </c>
      <c r="Q33" s="38">
        <v>1.9265999999999998E-2</v>
      </c>
      <c r="R33" s="38">
        <v>1.8856999999999999E-2</v>
      </c>
      <c r="S33" s="38">
        <v>1.8471000000000001E-2</v>
      </c>
      <c r="T33" s="38">
        <v>1.8074E-2</v>
      </c>
      <c r="U33" s="38">
        <v>1.7746999999999999E-2</v>
      </c>
      <c r="V33" s="38">
        <v>1.7330000000000002E-2</v>
      </c>
      <c r="W33" s="38">
        <v>1.6944000000000001E-2</v>
      </c>
      <c r="X33" s="38">
        <v>1.6517E-2</v>
      </c>
      <c r="Y33" s="38">
        <v>1.6168999999999999E-2</v>
      </c>
      <c r="Z33" s="38">
        <v>1.5758999999999999E-2</v>
      </c>
      <c r="AA33" s="38">
        <v>1.5318E-2</v>
      </c>
      <c r="AB33" s="38">
        <v>1.4994E-2</v>
      </c>
      <c r="AC33" s="38">
        <v>1.4725E-2</v>
      </c>
      <c r="AD33" s="38">
        <v>1.438E-2</v>
      </c>
      <c r="AE33" s="38">
        <v>1.4012999999999999E-2</v>
      </c>
      <c r="AF33" s="35">
        <v>-1.4987E-2</v>
      </c>
      <c r="AG33" s="29"/>
    </row>
    <row r="34" spans="1:33" ht="15" customHeight="1">
      <c r="A34" s="34" t="s">
        <v>3196</v>
      </c>
      <c r="B34" s="37" t="s">
        <v>2892</v>
      </c>
      <c r="C34" s="38">
        <v>0</v>
      </c>
      <c r="D34" s="38">
        <v>0</v>
      </c>
      <c r="E34" s="38">
        <v>0</v>
      </c>
      <c r="F34" s="38">
        <v>0</v>
      </c>
      <c r="G34" s="38">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5" t="s">
        <v>1278</v>
      </c>
      <c r="AG34" s="29"/>
    </row>
    <row r="35" spans="1:33" ht="15" customHeight="1">
      <c r="A35" s="34" t="s">
        <v>3197</v>
      </c>
      <c r="B35" s="37" t="s">
        <v>2776</v>
      </c>
      <c r="C35" s="38">
        <v>0</v>
      </c>
      <c r="D35" s="38">
        <v>0</v>
      </c>
      <c r="E35" s="38">
        <v>0</v>
      </c>
      <c r="F35" s="38">
        <v>0</v>
      </c>
      <c r="G35" s="38">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5" t="s">
        <v>1278</v>
      </c>
      <c r="AG35" s="29"/>
    </row>
    <row r="36" spans="1:33" ht="15" customHeight="1">
      <c r="A36" s="34" t="s">
        <v>3198</v>
      </c>
      <c r="B36" s="37" t="s">
        <v>2894</v>
      </c>
      <c r="C36" s="38">
        <v>0</v>
      </c>
      <c r="D36" s="38">
        <v>0</v>
      </c>
      <c r="E36" s="38">
        <v>0</v>
      </c>
      <c r="F36" s="38">
        <v>0</v>
      </c>
      <c r="G36" s="38">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5" t="s">
        <v>1278</v>
      </c>
      <c r="AG36" s="29"/>
    </row>
    <row r="37" spans="1:33" ht="15" customHeight="1">
      <c r="A37" s="34" t="s">
        <v>3199</v>
      </c>
      <c r="B37" s="37" t="s">
        <v>2782</v>
      </c>
      <c r="C37" s="38">
        <v>2.1388000000000001E-2</v>
      </c>
      <c r="D37" s="38">
        <v>2.2512000000000001E-2</v>
      </c>
      <c r="E37" s="38">
        <v>2.1863E-2</v>
      </c>
      <c r="F37" s="38">
        <v>2.1807E-2</v>
      </c>
      <c r="G37" s="38">
        <v>2.2168E-2</v>
      </c>
      <c r="H37" s="38">
        <v>2.2756999999999999E-2</v>
      </c>
      <c r="I37" s="38">
        <v>2.3001000000000001E-2</v>
      </c>
      <c r="J37" s="38">
        <v>2.2183999999999999E-2</v>
      </c>
      <c r="K37" s="38">
        <v>2.1464E-2</v>
      </c>
      <c r="L37" s="38">
        <v>2.0912E-2</v>
      </c>
      <c r="M37" s="38">
        <v>2.0525999999999999E-2</v>
      </c>
      <c r="N37" s="38">
        <v>2.0147999999999999E-2</v>
      </c>
      <c r="O37" s="38">
        <v>1.9871E-2</v>
      </c>
      <c r="P37" s="38">
        <v>1.9546000000000001E-2</v>
      </c>
      <c r="Q37" s="38">
        <v>1.9265999999999998E-2</v>
      </c>
      <c r="R37" s="38">
        <v>1.8856999999999999E-2</v>
      </c>
      <c r="S37" s="38">
        <v>1.8471000000000001E-2</v>
      </c>
      <c r="T37" s="38">
        <v>1.8074E-2</v>
      </c>
      <c r="U37" s="38">
        <v>1.7746999999999999E-2</v>
      </c>
      <c r="V37" s="38">
        <v>1.7330000000000002E-2</v>
      </c>
      <c r="W37" s="38">
        <v>1.6944000000000001E-2</v>
      </c>
      <c r="X37" s="38">
        <v>1.6517E-2</v>
      </c>
      <c r="Y37" s="38">
        <v>1.6168999999999999E-2</v>
      </c>
      <c r="Z37" s="38">
        <v>1.5758999999999999E-2</v>
      </c>
      <c r="AA37" s="38">
        <v>1.5318E-2</v>
      </c>
      <c r="AB37" s="38">
        <v>1.4994E-2</v>
      </c>
      <c r="AC37" s="38">
        <v>1.4725E-2</v>
      </c>
      <c r="AD37" s="38">
        <v>1.438E-2</v>
      </c>
      <c r="AE37" s="38">
        <v>1.4012999999999999E-2</v>
      </c>
      <c r="AF37" s="35">
        <v>-1.4987E-2</v>
      </c>
      <c r="AG37" s="29"/>
    </row>
    <row r="38" spans="1:33" ht="15" customHeight="1">
      <c r="A38" s="34" t="s">
        <v>3200</v>
      </c>
      <c r="B38" s="37" t="s">
        <v>2784</v>
      </c>
      <c r="C38" s="38">
        <v>2.574265</v>
      </c>
      <c r="D38" s="38">
        <v>2.497077</v>
      </c>
      <c r="E38" s="38">
        <v>2.4842939999999998</v>
      </c>
      <c r="F38" s="38">
        <v>2.4548779999999999</v>
      </c>
      <c r="G38" s="38">
        <v>2.4447700000000001</v>
      </c>
      <c r="H38" s="38">
        <v>2.434034</v>
      </c>
      <c r="I38" s="38">
        <v>2.4127290000000001</v>
      </c>
      <c r="J38" s="38">
        <v>2.382317</v>
      </c>
      <c r="K38" s="38">
        <v>2.353094</v>
      </c>
      <c r="L38" s="38">
        <v>2.3275790000000001</v>
      </c>
      <c r="M38" s="38">
        <v>2.3062860000000001</v>
      </c>
      <c r="N38" s="38">
        <v>2.2838080000000001</v>
      </c>
      <c r="O38" s="38">
        <v>2.2675209999999999</v>
      </c>
      <c r="P38" s="38">
        <v>2.2545600000000001</v>
      </c>
      <c r="Q38" s="38">
        <v>2.2444739999999999</v>
      </c>
      <c r="R38" s="38">
        <v>2.2331180000000002</v>
      </c>
      <c r="S38" s="38">
        <v>2.2203149999999998</v>
      </c>
      <c r="T38" s="38">
        <v>2.209835</v>
      </c>
      <c r="U38" s="38">
        <v>2.1891500000000002</v>
      </c>
      <c r="V38" s="38">
        <v>2.1767669999999999</v>
      </c>
      <c r="W38" s="38">
        <v>2.1672539999999998</v>
      </c>
      <c r="X38" s="38">
        <v>2.1591969999999998</v>
      </c>
      <c r="Y38" s="38">
        <v>2.1512950000000002</v>
      </c>
      <c r="Z38" s="38">
        <v>2.1419649999999999</v>
      </c>
      <c r="AA38" s="38">
        <v>2.1266889999999998</v>
      </c>
      <c r="AB38" s="38">
        <v>2.1195729999999999</v>
      </c>
      <c r="AC38" s="38">
        <v>2.113801</v>
      </c>
      <c r="AD38" s="38">
        <v>2.1070419999999999</v>
      </c>
      <c r="AE38" s="38">
        <v>2.0985459999999998</v>
      </c>
      <c r="AF38" s="35">
        <v>-7.2709999999999997E-3</v>
      </c>
      <c r="AG38" s="29"/>
    </row>
    <row r="39" spans="1:33" ht="15" customHeight="1">
      <c r="A39" s="34" t="s">
        <v>3201</v>
      </c>
      <c r="B39" s="37" t="s">
        <v>2898</v>
      </c>
      <c r="C39" s="38">
        <v>0</v>
      </c>
      <c r="D39" s="38">
        <v>0</v>
      </c>
      <c r="E39" s="38">
        <v>0</v>
      </c>
      <c r="F39" s="38">
        <v>0</v>
      </c>
      <c r="G39" s="38">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5" t="s">
        <v>1278</v>
      </c>
      <c r="AG39" s="29"/>
    </row>
    <row r="40" spans="1:33" ht="15" customHeight="1">
      <c r="A40" s="34" t="s">
        <v>3202</v>
      </c>
      <c r="B40" s="37" t="s">
        <v>2900</v>
      </c>
      <c r="C40" s="38">
        <v>0</v>
      </c>
      <c r="D40" s="38">
        <v>0</v>
      </c>
      <c r="E40" s="38">
        <v>0</v>
      </c>
      <c r="F40" s="38">
        <v>0</v>
      </c>
      <c r="G40" s="38">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5" t="s">
        <v>1278</v>
      </c>
      <c r="AG40" s="29"/>
    </row>
    <row r="41" spans="1:33" ht="15" customHeight="1">
      <c r="A41" s="34" t="s">
        <v>3203</v>
      </c>
      <c r="B41" s="37" t="s">
        <v>2796</v>
      </c>
      <c r="C41" s="38">
        <v>2.2131810000000001</v>
      </c>
      <c r="D41" s="38">
        <v>2.2676189999999998</v>
      </c>
      <c r="E41" s="38">
        <v>2.2577820000000002</v>
      </c>
      <c r="F41" s="38">
        <v>2.217085</v>
      </c>
      <c r="G41" s="38">
        <v>2.2056849999999999</v>
      </c>
      <c r="H41" s="38">
        <v>2.1958890000000002</v>
      </c>
      <c r="I41" s="38">
        <v>2.1705549999999998</v>
      </c>
      <c r="J41" s="38">
        <v>2.1336590000000002</v>
      </c>
      <c r="K41" s="38">
        <v>2.0919029999999998</v>
      </c>
      <c r="L41" s="38">
        <v>2.0537480000000001</v>
      </c>
      <c r="M41" s="38">
        <v>2.0286379999999999</v>
      </c>
      <c r="N41" s="38">
        <v>2.0005130000000002</v>
      </c>
      <c r="O41" s="38">
        <v>1.9808129999999999</v>
      </c>
      <c r="P41" s="38">
        <v>1.964518</v>
      </c>
      <c r="Q41" s="38">
        <v>1.9504630000000001</v>
      </c>
      <c r="R41" s="38">
        <v>1.938213</v>
      </c>
      <c r="S41" s="38">
        <v>1.930512</v>
      </c>
      <c r="T41" s="38">
        <v>1.911044</v>
      </c>
      <c r="U41" s="38">
        <v>1.8413269999999999</v>
      </c>
      <c r="V41" s="38">
        <v>1.818889</v>
      </c>
      <c r="W41" s="38">
        <v>1.8069919999999999</v>
      </c>
      <c r="X41" s="38">
        <v>1.7959020000000001</v>
      </c>
      <c r="Y41" s="38">
        <v>1.7852239999999999</v>
      </c>
      <c r="Z41" s="38">
        <v>1.7754460000000001</v>
      </c>
      <c r="AA41" s="38">
        <v>1.7668299999999999</v>
      </c>
      <c r="AB41" s="38">
        <v>1.7584010000000001</v>
      </c>
      <c r="AC41" s="38">
        <v>1.7506569999999999</v>
      </c>
      <c r="AD41" s="38">
        <v>1.7430030000000001</v>
      </c>
      <c r="AE41" s="38">
        <v>1.7349600000000001</v>
      </c>
      <c r="AF41" s="35">
        <v>-8.6569999999999998E-3</v>
      </c>
      <c r="AG41" s="29"/>
    </row>
    <row r="42" spans="1:33" ht="15" customHeight="1">
      <c r="A42" s="34" t="s">
        <v>3204</v>
      </c>
      <c r="B42" s="33" t="s">
        <v>2798</v>
      </c>
      <c r="C42" s="39">
        <v>4.8088350000000002</v>
      </c>
      <c r="D42" s="39">
        <v>4.7872089999999998</v>
      </c>
      <c r="E42" s="39">
        <v>4.7639389999999997</v>
      </c>
      <c r="F42" s="39">
        <v>4.6937699999999998</v>
      </c>
      <c r="G42" s="39">
        <v>4.6726239999999999</v>
      </c>
      <c r="H42" s="39">
        <v>4.6526800000000001</v>
      </c>
      <c r="I42" s="39">
        <v>4.6062849999999997</v>
      </c>
      <c r="J42" s="39">
        <v>4.5381609999999997</v>
      </c>
      <c r="K42" s="39">
        <v>4.4664609999999998</v>
      </c>
      <c r="L42" s="39">
        <v>4.4022389999999998</v>
      </c>
      <c r="M42" s="39">
        <v>4.3554500000000003</v>
      </c>
      <c r="N42" s="39">
        <v>4.304468</v>
      </c>
      <c r="O42" s="39">
        <v>4.2682060000000002</v>
      </c>
      <c r="P42" s="39">
        <v>4.2386239999999997</v>
      </c>
      <c r="Q42" s="39">
        <v>4.2142030000000004</v>
      </c>
      <c r="R42" s="39">
        <v>4.190188</v>
      </c>
      <c r="S42" s="39">
        <v>4.1692980000000004</v>
      </c>
      <c r="T42" s="39">
        <v>4.1389529999999999</v>
      </c>
      <c r="U42" s="39">
        <v>4.0482230000000001</v>
      </c>
      <c r="V42" s="39">
        <v>4.0129859999999997</v>
      </c>
      <c r="W42" s="39">
        <v>3.99119</v>
      </c>
      <c r="X42" s="39">
        <v>3.971616</v>
      </c>
      <c r="Y42" s="39">
        <v>3.9526880000000002</v>
      </c>
      <c r="Z42" s="39">
        <v>3.9331700000000001</v>
      </c>
      <c r="AA42" s="39">
        <v>3.9088370000000001</v>
      </c>
      <c r="AB42" s="39">
        <v>3.8929680000000002</v>
      </c>
      <c r="AC42" s="39">
        <v>3.8791820000000001</v>
      </c>
      <c r="AD42" s="39">
        <v>3.8644250000000002</v>
      </c>
      <c r="AE42" s="39">
        <v>3.8475199999999998</v>
      </c>
      <c r="AF42" s="31">
        <v>-7.9340000000000001E-3</v>
      </c>
      <c r="AG42" s="29"/>
    </row>
    <row r="43" spans="1:33" ht="15" customHeight="1">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row>
    <row r="44" spans="1:33" ht="15" customHeight="1">
      <c r="B44" s="33" t="s">
        <v>2915</v>
      </c>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row>
    <row r="45" spans="1:33" ht="12" customHeight="1">
      <c r="A45" s="34" t="s">
        <v>3205</v>
      </c>
      <c r="B45" s="33" t="s">
        <v>2801</v>
      </c>
      <c r="C45" s="40">
        <v>15.618164</v>
      </c>
      <c r="D45" s="40">
        <v>14.957636000000001</v>
      </c>
      <c r="E45" s="40">
        <v>14.695399999999999</v>
      </c>
      <c r="F45" s="40">
        <v>14.06171</v>
      </c>
      <c r="G45" s="40">
        <v>13.431772</v>
      </c>
      <c r="H45" s="40">
        <v>12.656522000000001</v>
      </c>
      <c r="I45" s="40">
        <v>11.851706</v>
      </c>
      <c r="J45" s="40">
        <v>11.167351999999999</v>
      </c>
      <c r="K45" s="40">
        <v>10.594436</v>
      </c>
      <c r="L45" s="40">
        <v>10.277965</v>
      </c>
      <c r="M45" s="40">
        <v>10.088464999999999</v>
      </c>
      <c r="N45" s="40">
        <v>10.019302</v>
      </c>
      <c r="O45" s="40">
        <v>9.9638430000000007</v>
      </c>
      <c r="P45" s="40">
        <v>9.9784249999999997</v>
      </c>
      <c r="Q45" s="40">
        <v>9.9668430000000008</v>
      </c>
      <c r="R45" s="40">
        <v>9.950189</v>
      </c>
      <c r="S45" s="40">
        <v>9.9318919999999995</v>
      </c>
      <c r="T45" s="40">
        <v>9.9305099999999999</v>
      </c>
      <c r="U45" s="40">
        <v>9.7794450000000008</v>
      </c>
      <c r="V45" s="40">
        <v>9.8325340000000008</v>
      </c>
      <c r="W45" s="40">
        <v>9.9352319999999992</v>
      </c>
      <c r="X45" s="40">
        <v>9.9613549999999993</v>
      </c>
      <c r="Y45" s="40">
        <v>9.9086909999999992</v>
      </c>
      <c r="Z45" s="40">
        <v>9.9223610000000004</v>
      </c>
      <c r="AA45" s="40">
        <v>9.9201090000000001</v>
      </c>
      <c r="AB45" s="40">
        <v>9.9562539999999995</v>
      </c>
      <c r="AC45" s="40">
        <v>9.8980340000000009</v>
      </c>
      <c r="AD45" s="40">
        <v>9.9029720000000001</v>
      </c>
      <c r="AE45" s="40">
        <v>9.9326640000000008</v>
      </c>
      <c r="AF45" s="31">
        <v>-1.6035000000000001E-2</v>
      </c>
      <c r="AG45" s="29"/>
    </row>
    <row r="46" spans="1:33" ht="15" customHeight="1">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row>
    <row r="47" spans="1:33" ht="15" customHeight="1">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row>
    <row r="48" spans="1:33" ht="15" customHeight="1">
      <c r="B48" s="33" t="s">
        <v>2917</v>
      </c>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row>
    <row r="49" spans="1:33" ht="15" customHeight="1">
      <c r="B49" s="33" t="s">
        <v>2918</v>
      </c>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row>
    <row r="50" spans="1:33" ht="15" customHeight="1">
      <c r="A50" s="34" t="s">
        <v>3206</v>
      </c>
      <c r="B50" s="37" t="s">
        <v>2551</v>
      </c>
      <c r="C50" s="38">
        <v>0</v>
      </c>
      <c r="D50" s="38">
        <v>0</v>
      </c>
      <c r="E50" s="38">
        <v>0</v>
      </c>
      <c r="F50" s="38">
        <v>0</v>
      </c>
      <c r="G50" s="38">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5" t="s">
        <v>1278</v>
      </c>
      <c r="AG50" s="29"/>
    </row>
    <row r="51" spans="1:33" ht="15" customHeight="1">
      <c r="A51" s="34" t="s">
        <v>3207</v>
      </c>
      <c r="B51" s="37" t="s">
        <v>2553</v>
      </c>
      <c r="C51" s="38">
        <v>2.8E-5</v>
      </c>
      <c r="D51" s="38">
        <v>4.3000000000000002E-5</v>
      </c>
      <c r="E51" s="38">
        <v>5.3999999999999998E-5</v>
      </c>
      <c r="F51" s="38">
        <v>6.0000000000000002E-5</v>
      </c>
      <c r="G51" s="38">
        <v>6.6000000000000005E-5</v>
      </c>
      <c r="H51" s="38">
        <v>7.2000000000000002E-5</v>
      </c>
      <c r="I51" s="38">
        <v>7.7999999999999999E-5</v>
      </c>
      <c r="J51" s="38">
        <v>8.3999999999999995E-5</v>
      </c>
      <c r="K51" s="38">
        <v>9.0000000000000006E-5</v>
      </c>
      <c r="L51" s="38">
        <v>9.7E-5</v>
      </c>
      <c r="M51" s="38">
        <v>1.0399999999999999E-4</v>
      </c>
      <c r="N51" s="38">
        <v>1.13E-4</v>
      </c>
      <c r="O51" s="38">
        <v>1.22E-4</v>
      </c>
      <c r="P51" s="38">
        <v>1.3200000000000001E-4</v>
      </c>
      <c r="Q51" s="38">
        <v>1.4200000000000001E-4</v>
      </c>
      <c r="R51" s="38">
        <v>1.54E-4</v>
      </c>
      <c r="S51" s="38">
        <v>1.66E-4</v>
      </c>
      <c r="T51" s="38">
        <v>1.7899999999999999E-4</v>
      </c>
      <c r="U51" s="38">
        <v>1.93E-4</v>
      </c>
      <c r="V51" s="38">
        <v>2.0699999999999999E-4</v>
      </c>
      <c r="W51" s="38">
        <v>2.2100000000000001E-4</v>
      </c>
      <c r="X51" s="38">
        <v>2.3699999999999999E-4</v>
      </c>
      <c r="Y51" s="38">
        <v>2.52E-4</v>
      </c>
      <c r="Z51" s="38">
        <v>2.6800000000000001E-4</v>
      </c>
      <c r="AA51" s="38">
        <v>2.8400000000000002E-4</v>
      </c>
      <c r="AB51" s="38">
        <v>2.9999999999999997E-4</v>
      </c>
      <c r="AC51" s="38">
        <v>3.1700000000000001E-4</v>
      </c>
      <c r="AD51" s="38">
        <v>3.3500000000000001E-4</v>
      </c>
      <c r="AE51" s="38">
        <v>3.5300000000000002E-4</v>
      </c>
      <c r="AF51" s="35">
        <v>9.4625000000000001E-2</v>
      </c>
      <c r="AG51" s="29"/>
    </row>
    <row r="52" spans="1:33" ht="15" customHeight="1">
      <c r="A52" s="34" t="s">
        <v>3208</v>
      </c>
      <c r="B52" s="37" t="s">
        <v>2500</v>
      </c>
      <c r="C52" s="38">
        <v>0</v>
      </c>
      <c r="D52" s="38">
        <v>0</v>
      </c>
      <c r="E52" s="38">
        <v>0</v>
      </c>
      <c r="F52" s="38">
        <v>0</v>
      </c>
      <c r="G52" s="38">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5" t="s">
        <v>1278</v>
      </c>
      <c r="AG52" s="29"/>
    </row>
    <row r="53" spans="1:33" ht="15" customHeight="1">
      <c r="A53" s="34" t="s">
        <v>3209</v>
      </c>
      <c r="B53" s="37" t="s">
        <v>2923</v>
      </c>
      <c r="C53" s="38">
        <v>0</v>
      </c>
      <c r="D53" s="38">
        <v>0</v>
      </c>
      <c r="E53" s="38">
        <v>0</v>
      </c>
      <c r="F53" s="38">
        <v>0</v>
      </c>
      <c r="G53" s="38">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5" t="s">
        <v>1278</v>
      </c>
      <c r="AG53" s="29"/>
    </row>
    <row r="54" spans="1:33" ht="15" customHeight="1">
      <c r="A54" s="34" t="s">
        <v>3210</v>
      </c>
      <c r="B54" s="33" t="s">
        <v>2497</v>
      </c>
      <c r="C54" s="39">
        <v>2.8E-5</v>
      </c>
      <c r="D54" s="39">
        <v>4.3000000000000002E-5</v>
      </c>
      <c r="E54" s="39">
        <v>5.3999999999999998E-5</v>
      </c>
      <c r="F54" s="39">
        <v>6.0000000000000002E-5</v>
      </c>
      <c r="G54" s="39">
        <v>6.6000000000000005E-5</v>
      </c>
      <c r="H54" s="39">
        <v>7.2000000000000002E-5</v>
      </c>
      <c r="I54" s="39">
        <v>7.7999999999999999E-5</v>
      </c>
      <c r="J54" s="39">
        <v>8.3999999999999995E-5</v>
      </c>
      <c r="K54" s="39">
        <v>9.0000000000000006E-5</v>
      </c>
      <c r="L54" s="39">
        <v>9.7E-5</v>
      </c>
      <c r="M54" s="39">
        <v>1.0399999999999999E-4</v>
      </c>
      <c r="N54" s="39">
        <v>1.13E-4</v>
      </c>
      <c r="O54" s="39">
        <v>1.22E-4</v>
      </c>
      <c r="P54" s="39">
        <v>1.3200000000000001E-4</v>
      </c>
      <c r="Q54" s="39">
        <v>1.4200000000000001E-4</v>
      </c>
      <c r="R54" s="39">
        <v>1.54E-4</v>
      </c>
      <c r="S54" s="39">
        <v>1.66E-4</v>
      </c>
      <c r="T54" s="39">
        <v>1.7899999999999999E-4</v>
      </c>
      <c r="U54" s="39">
        <v>1.93E-4</v>
      </c>
      <c r="V54" s="39">
        <v>2.0699999999999999E-4</v>
      </c>
      <c r="W54" s="39">
        <v>2.2100000000000001E-4</v>
      </c>
      <c r="X54" s="39">
        <v>2.3699999999999999E-4</v>
      </c>
      <c r="Y54" s="39">
        <v>2.52E-4</v>
      </c>
      <c r="Z54" s="39">
        <v>2.6800000000000001E-4</v>
      </c>
      <c r="AA54" s="39">
        <v>2.8400000000000002E-4</v>
      </c>
      <c r="AB54" s="39">
        <v>2.9999999999999997E-4</v>
      </c>
      <c r="AC54" s="39">
        <v>3.1700000000000001E-4</v>
      </c>
      <c r="AD54" s="39">
        <v>3.3500000000000001E-4</v>
      </c>
      <c r="AE54" s="39">
        <v>3.5300000000000002E-4</v>
      </c>
      <c r="AF54" s="31">
        <v>9.4625000000000001E-2</v>
      </c>
      <c r="AG54" s="29"/>
    </row>
    <row r="55" spans="1:33" ht="15" customHeight="1">
      <c r="B55" s="33" t="s">
        <v>2848</v>
      </c>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row>
    <row r="56" spans="1:33" ht="15" customHeight="1">
      <c r="A56" s="34" t="s">
        <v>3211</v>
      </c>
      <c r="B56" s="37" t="s">
        <v>2551</v>
      </c>
      <c r="C56" s="38">
        <v>0</v>
      </c>
      <c r="D56" s="38">
        <v>0</v>
      </c>
      <c r="E56" s="38">
        <v>0</v>
      </c>
      <c r="F56" s="38">
        <v>0</v>
      </c>
      <c r="G56" s="38">
        <v>0</v>
      </c>
      <c r="H56" s="38">
        <v>0</v>
      </c>
      <c r="I56" s="38">
        <v>0</v>
      </c>
      <c r="J56" s="38">
        <v>0</v>
      </c>
      <c r="K56" s="38">
        <v>0</v>
      </c>
      <c r="L56" s="38">
        <v>0</v>
      </c>
      <c r="M56" s="38">
        <v>0</v>
      </c>
      <c r="N56" s="38">
        <v>0</v>
      </c>
      <c r="O56" s="38">
        <v>0</v>
      </c>
      <c r="P56" s="38">
        <v>0</v>
      </c>
      <c r="Q56" s="38">
        <v>0</v>
      </c>
      <c r="R56" s="38">
        <v>0</v>
      </c>
      <c r="S56" s="38">
        <v>0</v>
      </c>
      <c r="T56" s="38">
        <v>0</v>
      </c>
      <c r="U56" s="38">
        <v>0</v>
      </c>
      <c r="V56" s="38">
        <v>0</v>
      </c>
      <c r="W56" s="38">
        <v>0</v>
      </c>
      <c r="X56" s="38">
        <v>0</v>
      </c>
      <c r="Y56" s="38">
        <v>0</v>
      </c>
      <c r="Z56" s="38">
        <v>0</v>
      </c>
      <c r="AA56" s="38">
        <v>0</v>
      </c>
      <c r="AB56" s="38">
        <v>0</v>
      </c>
      <c r="AC56" s="38">
        <v>0</v>
      </c>
      <c r="AD56" s="38">
        <v>0</v>
      </c>
      <c r="AE56" s="38">
        <v>0</v>
      </c>
      <c r="AF56" s="35" t="s">
        <v>1278</v>
      </c>
      <c r="AG56" s="29"/>
    </row>
    <row r="57" spans="1:33" ht="15" customHeight="1">
      <c r="A57" s="34" t="s">
        <v>3212</v>
      </c>
      <c r="B57" s="37" t="s">
        <v>2553</v>
      </c>
      <c r="C57" s="38">
        <v>4.6999999999999997E-5</v>
      </c>
      <c r="D57" s="38">
        <v>7.2999999999999999E-5</v>
      </c>
      <c r="E57" s="38">
        <v>9.3999999999999994E-5</v>
      </c>
      <c r="F57" s="38">
        <v>1.06E-4</v>
      </c>
      <c r="G57" s="38">
        <v>1.1900000000000001E-4</v>
      </c>
      <c r="H57" s="38">
        <v>1.3200000000000001E-4</v>
      </c>
      <c r="I57" s="38">
        <v>1.46E-4</v>
      </c>
      <c r="J57" s="38">
        <v>1.6100000000000001E-4</v>
      </c>
      <c r="K57" s="38">
        <v>1.76E-4</v>
      </c>
      <c r="L57" s="38">
        <v>1.94E-4</v>
      </c>
      <c r="M57" s="38">
        <v>2.14E-4</v>
      </c>
      <c r="N57" s="38">
        <v>2.3800000000000001E-4</v>
      </c>
      <c r="O57" s="38">
        <v>2.6499999999999999E-4</v>
      </c>
      <c r="P57" s="38">
        <v>2.9599999999999998E-4</v>
      </c>
      <c r="Q57" s="38">
        <v>3.3100000000000002E-4</v>
      </c>
      <c r="R57" s="38">
        <v>3.6900000000000002E-4</v>
      </c>
      <c r="S57" s="38">
        <v>4.1100000000000002E-4</v>
      </c>
      <c r="T57" s="38">
        <v>4.57E-4</v>
      </c>
      <c r="U57" s="38">
        <v>5.0600000000000005E-4</v>
      </c>
      <c r="V57" s="38">
        <v>5.5999999999999995E-4</v>
      </c>
      <c r="W57" s="38">
        <v>6.1700000000000004E-4</v>
      </c>
      <c r="X57" s="38">
        <v>6.78E-4</v>
      </c>
      <c r="Y57" s="38">
        <v>7.4100000000000001E-4</v>
      </c>
      <c r="Z57" s="38">
        <v>8.0699999999999999E-4</v>
      </c>
      <c r="AA57" s="38">
        <v>8.7699999999999996E-4</v>
      </c>
      <c r="AB57" s="38">
        <v>9.5E-4</v>
      </c>
      <c r="AC57" s="38">
        <v>1.0280000000000001E-3</v>
      </c>
      <c r="AD57" s="38">
        <v>1.109E-3</v>
      </c>
      <c r="AE57" s="38">
        <v>1.1950000000000001E-3</v>
      </c>
      <c r="AF57" s="35">
        <v>0.12291000000000001</v>
      </c>
      <c r="AG57" s="29"/>
    </row>
    <row r="58" spans="1:33" ht="15" customHeight="1">
      <c r="A58" s="34" t="s">
        <v>3213</v>
      </c>
      <c r="B58" s="37" t="s">
        <v>2500</v>
      </c>
      <c r="C58" s="38">
        <v>0</v>
      </c>
      <c r="D58" s="38">
        <v>0</v>
      </c>
      <c r="E58" s="38">
        <v>0</v>
      </c>
      <c r="F58" s="38">
        <v>0</v>
      </c>
      <c r="G58" s="38">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5" t="s">
        <v>1278</v>
      </c>
      <c r="AG58" s="29"/>
    </row>
    <row r="59" spans="1:33" ht="12" customHeight="1">
      <c r="A59" s="34" t="s">
        <v>3214</v>
      </c>
      <c r="B59" s="37" t="s">
        <v>2923</v>
      </c>
      <c r="C59" s="38">
        <v>0</v>
      </c>
      <c r="D59" s="38">
        <v>0</v>
      </c>
      <c r="E59" s="38">
        <v>0</v>
      </c>
      <c r="F59" s="38">
        <v>0</v>
      </c>
      <c r="G59" s="38">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5" t="s">
        <v>1278</v>
      </c>
      <c r="AG59" s="29"/>
    </row>
    <row r="60" spans="1:33" ht="15" customHeight="1">
      <c r="A60" s="34" t="s">
        <v>3215</v>
      </c>
      <c r="B60" s="33" t="s">
        <v>2497</v>
      </c>
      <c r="C60" s="39">
        <v>4.6999999999999997E-5</v>
      </c>
      <c r="D60" s="39">
        <v>7.2999999999999999E-5</v>
      </c>
      <c r="E60" s="39">
        <v>9.3999999999999994E-5</v>
      </c>
      <c r="F60" s="39">
        <v>1.06E-4</v>
      </c>
      <c r="G60" s="39">
        <v>1.1900000000000001E-4</v>
      </c>
      <c r="H60" s="39">
        <v>1.3200000000000001E-4</v>
      </c>
      <c r="I60" s="39">
        <v>1.46E-4</v>
      </c>
      <c r="J60" s="39">
        <v>1.6100000000000001E-4</v>
      </c>
      <c r="K60" s="39">
        <v>1.76E-4</v>
      </c>
      <c r="L60" s="39">
        <v>1.94E-4</v>
      </c>
      <c r="M60" s="39">
        <v>2.14E-4</v>
      </c>
      <c r="N60" s="39">
        <v>2.3800000000000001E-4</v>
      </c>
      <c r="O60" s="39">
        <v>2.6499999999999999E-4</v>
      </c>
      <c r="P60" s="39">
        <v>2.9599999999999998E-4</v>
      </c>
      <c r="Q60" s="39">
        <v>3.3100000000000002E-4</v>
      </c>
      <c r="R60" s="39">
        <v>3.6900000000000002E-4</v>
      </c>
      <c r="S60" s="39">
        <v>4.1100000000000002E-4</v>
      </c>
      <c r="T60" s="39">
        <v>4.57E-4</v>
      </c>
      <c r="U60" s="39">
        <v>5.0600000000000005E-4</v>
      </c>
      <c r="V60" s="39">
        <v>5.5999999999999995E-4</v>
      </c>
      <c r="W60" s="39">
        <v>6.1700000000000004E-4</v>
      </c>
      <c r="X60" s="39">
        <v>6.78E-4</v>
      </c>
      <c r="Y60" s="39">
        <v>7.4100000000000001E-4</v>
      </c>
      <c r="Z60" s="39">
        <v>8.0699999999999999E-4</v>
      </c>
      <c r="AA60" s="39">
        <v>8.7699999999999996E-4</v>
      </c>
      <c r="AB60" s="39">
        <v>9.5E-4</v>
      </c>
      <c r="AC60" s="39">
        <v>1.0280000000000001E-3</v>
      </c>
      <c r="AD60" s="39">
        <v>1.109E-3</v>
      </c>
      <c r="AE60" s="39">
        <v>1.1950000000000001E-3</v>
      </c>
      <c r="AF60" s="31">
        <v>0.12291000000000001</v>
      </c>
      <c r="AG60" s="29"/>
    </row>
    <row r="61" spans="1:33" ht="15" customHeight="1">
      <c r="B61" s="33" t="s">
        <v>2854</v>
      </c>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row>
    <row r="62" spans="1:33" ht="12" customHeight="1">
      <c r="A62" s="34" t="s">
        <v>3216</v>
      </c>
      <c r="B62" s="37" t="s">
        <v>2856</v>
      </c>
      <c r="C62" s="38">
        <v>1.2999999999999999E-5</v>
      </c>
      <c r="D62" s="38">
        <v>2.0000000000000002E-5</v>
      </c>
      <c r="E62" s="38">
        <v>2.5999999999999998E-5</v>
      </c>
      <c r="F62" s="38">
        <v>2.9E-5</v>
      </c>
      <c r="G62" s="38">
        <v>3.3000000000000003E-5</v>
      </c>
      <c r="H62" s="38">
        <v>3.6000000000000001E-5</v>
      </c>
      <c r="I62" s="38">
        <v>4.0000000000000003E-5</v>
      </c>
      <c r="J62" s="38">
        <v>4.3999999999999999E-5</v>
      </c>
      <c r="K62" s="38">
        <v>4.8000000000000001E-5</v>
      </c>
      <c r="L62" s="38">
        <v>5.3000000000000001E-5</v>
      </c>
      <c r="M62" s="38">
        <v>5.8E-5</v>
      </c>
      <c r="N62" s="38">
        <v>6.4999999999999994E-5</v>
      </c>
      <c r="O62" s="38">
        <v>7.2000000000000002E-5</v>
      </c>
      <c r="P62" s="38">
        <v>8.1000000000000004E-5</v>
      </c>
      <c r="Q62" s="38">
        <v>9.0000000000000006E-5</v>
      </c>
      <c r="R62" s="38">
        <v>1.01E-4</v>
      </c>
      <c r="S62" s="38">
        <v>1.12E-4</v>
      </c>
      <c r="T62" s="38">
        <v>1.25E-4</v>
      </c>
      <c r="U62" s="38">
        <v>1.3799999999999999E-4</v>
      </c>
      <c r="V62" s="38">
        <v>1.5300000000000001E-4</v>
      </c>
      <c r="W62" s="38">
        <v>1.6799999999999999E-4</v>
      </c>
      <c r="X62" s="38">
        <v>1.85E-4</v>
      </c>
      <c r="Y62" s="38">
        <v>2.02E-4</v>
      </c>
      <c r="Z62" s="38">
        <v>2.2000000000000001E-4</v>
      </c>
      <c r="AA62" s="38">
        <v>2.3900000000000001E-4</v>
      </c>
      <c r="AB62" s="38">
        <v>2.5900000000000001E-4</v>
      </c>
      <c r="AC62" s="38">
        <v>2.81E-4</v>
      </c>
      <c r="AD62" s="38">
        <v>3.0299999999999999E-4</v>
      </c>
      <c r="AE62" s="38">
        <v>3.2600000000000001E-4</v>
      </c>
      <c r="AF62" s="35">
        <v>0.12291000000000001</v>
      </c>
      <c r="AG62" s="29"/>
    </row>
    <row r="63" spans="1:33" ht="12" customHeight="1" thickBot="1">
      <c r="A63" s="34" t="s">
        <v>3217</v>
      </c>
      <c r="B63" s="37" t="s">
        <v>2858</v>
      </c>
      <c r="C63" s="38">
        <v>3.4E-5</v>
      </c>
      <c r="D63" s="38">
        <v>5.3000000000000001E-5</v>
      </c>
      <c r="E63" s="38">
        <v>6.7999999999999999E-5</v>
      </c>
      <c r="F63" s="38">
        <v>7.7000000000000001E-5</v>
      </c>
      <c r="G63" s="38">
        <v>8.7000000000000001E-5</v>
      </c>
      <c r="H63" s="38">
        <v>9.6000000000000002E-5</v>
      </c>
      <c r="I63" s="38">
        <v>1.06E-4</v>
      </c>
      <c r="J63" s="38">
        <v>1.17E-4</v>
      </c>
      <c r="K63" s="38">
        <v>1.2799999999999999E-4</v>
      </c>
      <c r="L63" s="38">
        <v>1.4100000000000001E-4</v>
      </c>
      <c r="M63" s="38">
        <v>1.56E-4</v>
      </c>
      <c r="N63" s="38">
        <v>1.73E-4</v>
      </c>
      <c r="O63" s="38">
        <v>1.93E-4</v>
      </c>
      <c r="P63" s="38">
        <v>2.1499999999999999E-4</v>
      </c>
      <c r="Q63" s="38">
        <v>2.4000000000000001E-4</v>
      </c>
      <c r="R63" s="38">
        <v>2.6800000000000001E-4</v>
      </c>
      <c r="S63" s="38">
        <v>2.99E-4</v>
      </c>
      <c r="T63" s="38">
        <v>3.3199999999999999E-4</v>
      </c>
      <c r="U63" s="38">
        <v>3.68E-4</v>
      </c>
      <c r="V63" s="38">
        <v>4.0700000000000003E-4</v>
      </c>
      <c r="W63" s="38">
        <v>4.4900000000000002E-4</v>
      </c>
      <c r="X63" s="38">
        <v>4.9299999999999995E-4</v>
      </c>
      <c r="Y63" s="38">
        <v>5.3899999999999998E-4</v>
      </c>
      <c r="Z63" s="38">
        <v>5.8699999999999996E-4</v>
      </c>
      <c r="AA63" s="38">
        <v>6.3699999999999998E-4</v>
      </c>
      <c r="AB63" s="38">
        <v>6.9099999999999999E-4</v>
      </c>
      <c r="AC63" s="38">
        <v>7.4700000000000005E-4</v>
      </c>
      <c r="AD63" s="38">
        <v>8.0699999999999999E-4</v>
      </c>
      <c r="AE63" s="38">
        <v>8.6899999999999998E-4</v>
      </c>
      <c r="AF63" s="35">
        <v>0.12291000000000001</v>
      </c>
      <c r="AG63" s="29"/>
    </row>
    <row r="64" spans="1:33" ht="15" customHeight="1">
      <c r="B64" s="52" t="s">
        <v>2932</v>
      </c>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51"/>
    </row>
    <row r="65" spans="2:33" ht="15" customHeight="1">
      <c r="B65" s="29" t="s">
        <v>2933</v>
      </c>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row>
    <row r="66" spans="2:33" ht="15" customHeight="1">
      <c r="B66" s="29" t="s">
        <v>2934</v>
      </c>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row>
    <row r="67" spans="2:33" ht="15" customHeight="1">
      <c r="B67" s="29" t="s">
        <v>2935</v>
      </c>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row>
    <row r="68" spans="2:33" ht="15" customHeight="1">
      <c r="B68" s="29" t="s">
        <v>2936</v>
      </c>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row>
    <row r="69" spans="2:33" ht="15" customHeight="1">
      <c r="B69" s="29" t="s">
        <v>2937</v>
      </c>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row>
    <row r="70" spans="2:33" ht="15" customHeight="1">
      <c r="B70" s="29" t="s">
        <v>2938</v>
      </c>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row>
    <row r="71" spans="2:33" ht="15" customHeight="1">
      <c r="B71" s="29" t="s">
        <v>2291</v>
      </c>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row>
    <row r="72" spans="2:33" ht="15" customHeight="1">
      <c r="B72" s="29" t="s">
        <v>2292</v>
      </c>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row>
    <row r="73" spans="2:33" ht="15" customHeight="1">
      <c r="B73" s="29" t="s">
        <v>3218</v>
      </c>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2:33" ht="15" customHeight="1">
      <c r="B74" s="29" t="s">
        <v>3219</v>
      </c>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row>
    <row r="75" spans="2:33" ht="15" customHeight="1">
      <c r="B75" s="29" t="s">
        <v>2881</v>
      </c>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2:33" ht="15" customHeight="1">
      <c r="B76" s="29" t="s">
        <v>2939</v>
      </c>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2:33" ht="15" customHeight="1">
      <c r="B77" s="29" t="s">
        <v>2940</v>
      </c>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2:33" ht="15" customHeight="1">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2:33" ht="15" customHeight="1">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row>
    <row r="80" spans="2:33" ht="15" customHeight="1">
      <c r="B80" s="2185"/>
      <c r="C80" s="2185"/>
      <c r="D80" s="2185"/>
      <c r="E80" s="2185"/>
      <c r="F80" s="2185"/>
      <c r="G80" s="2185"/>
      <c r="H80" s="2185"/>
      <c r="I80" s="2185"/>
      <c r="J80" s="2185"/>
      <c r="K80" s="2185"/>
      <c r="L80" s="2185"/>
      <c r="M80" s="2185"/>
      <c r="N80" s="2185"/>
      <c r="O80" s="2185"/>
      <c r="P80" s="2185"/>
      <c r="Q80" s="2185"/>
      <c r="R80" s="2185"/>
      <c r="S80" s="2185"/>
      <c r="T80" s="2185"/>
      <c r="U80" s="2185"/>
      <c r="V80" s="2185"/>
      <c r="W80" s="2185"/>
      <c r="X80" s="2185"/>
      <c r="Y80" s="2185"/>
      <c r="Z80" s="2185"/>
      <c r="AA80" s="2185"/>
      <c r="AB80" s="2185"/>
      <c r="AC80" s="2185"/>
      <c r="AD80" s="2185"/>
      <c r="AE80" s="2185"/>
      <c r="AF80" s="2185"/>
      <c r="AG80" s="29"/>
    </row>
    <row r="81" spans="2:33" ht="15" customHeight="1">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row>
    <row r="82" spans="2:33" ht="15" customHeight="1">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2:33" ht="15" customHeight="1">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2:33" ht="15" customHeight="1">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t="s">
        <v>2056</v>
      </c>
      <c r="AG84" s="29"/>
    </row>
    <row r="94" spans="2:33" ht="12" customHeight="1"/>
    <row r="95" spans="2:33" ht="12" customHeight="1"/>
    <row r="96" spans="2:33" ht="12" customHeight="1"/>
    <row r="97" ht="12" customHeight="1"/>
    <row r="98" ht="12" customHeight="1"/>
    <row r="99" ht="12" customHeight="1"/>
    <row r="100" ht="12" customHeight="1"/>
    <row r="119" ht="12" customHeight="1"/>
    <row r="131" ht="12" customHeight="1"/>
    <row r="143" ht="12" customHeight="1"/>
    <row r="155" ht="12" customHeight="1"/>
    <row r="156" ht="12" customHeight="1"/>
    <row r="168" ht="12" customHeight="1"/>
    <row r="175" ht="12" customHeight="1"/>
    <row r="183" ht="12" customHeight="1"/>
    <row r="191" ht="12" customHeight="1"/>
    <row r="192" ht="12" customHeight="1"/>
    <row r="196"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68" ht="12" customHeight="1"/>
    <row r="280" ht="12" customHeight="1"/>
    <row r="294" ht="12" customHeight="1"/>
    <row r="295" ht="12" customHeight="1"/>
    <row r="300" ht="12" customHeight="1"/>
    <row r="306" ht="12" customHeight="1"/>
    <row r="312" ht="12" customHeight="1"/>
    <row r="313" ht="12" customHeight="1"/>
    <row r="315" ht="12" customHeight="1"/>
    <row r="345" ht="12" customHeight="1"/>
    <row r="346" ht="12" customHeight="1"/>
    <row r="347" ht="12" customHeight="1"/>
    <row r="348" ht="12" customHeight="1"/>
    <row r="349" ht="12" customHeight="1"/>
    <row r="350" ht="12" customHeight="1"/>
    <row r="369" ht="12" customHeight="1"/>
    <row r="380" ht="12" customHeight="1"/>
    <row r="394" ht="12" customHeight="1"/>
    <row r="395" ht="12" customHeight="1"/>
    <row r="396" ht="12" customHeight="1"/>
    <row r="397" ht="12" customHeight="1"/>
    <row r="402" ht="12" customHeight="1"/>
    <row r="408" ht="12" customHeight="1"/>
    <row r="414" ht="12" customHeight="1"/>
    <row r="415" ht="12" customHeight="1"/>
    <row r="416" ht="12" customHeight="1"/>
    <row r="41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82" ht="12" customHeight="1"/>
    <row r="484" ht="12" customHeight="1"/>
    <row r="486" ht="12" customHeight="1"/>
    <row r="491" ht="12" customHeight="1"/>
    <row r="525" ht="12" customHeight="1"/>
    <row r="527"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32" ht="12" customHeight="1"/>
    <row r="634" ht="12" customHeight="1"/>
    <row r="636" ht="12" customHeight="1"/>
    <row r="641" ht="12" customHeight="1"/>
    <row r="675" ht="12" customHeight="1"/>
    <row r="677"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82" ht="12" customHeight="1"/>
    <row r="784" ht="12" customHeight="1"/>
    <row r="786" ht="12" customHeight="1"/>
    <row r="791" ht="12" customHeight="1"/>
    <row r="825" ht="12" customHeight="1"/>
    <row r="827"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32" ht="12" customHeight="1"/>
    <row r="934" ht="12" customHeight="1"/>
    <row r="936" ht="12" customHeight="1"/>
    <row r="941" ht="12" customHeight="1"/>
    <row r="975" ht="12" customHeight="1"/>
    <row r="977"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82" ht="12" customHeight="1"/>
    <row r="1084" ht="12" customHeight="1"/>
    <row r="1086" ht="12" customHeight="1"/>
    <row r="1091" ht="12" customHeight="1"/>
    <row r="1125" ht="12" customHeight="1"/>
    <row r="1127"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32" ht="12" customHeight="1"/>
    <row r="1234" ht="12" customHeight="1"/>
    <row r="1236" ht="12" customHeight="1"/>
    <row r="1241" ht="12" customHeight="1"/>
    <row r="1275" ht="12" customHeight="1"/>
    <row r="1277"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82" ht="12" customHeight="1"/>
    <row r="1384" ht="12" customHeight="1"/>
    <row r="1386" ht="12" customHeight="1"/>
    <row r="1391" ht="12" customHeight="1"/>
    <row r="1425" ht="12" customHeight="1"/>
    <row r="1427"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32" ht="12" customHeight="1"/>
    <row r="1534" ht="12" customHeight="1"/>
    <row r="1536" ht="12" customHeight="1"/>
    <row r="1541" ht="12" customHeight="1"/>
    <row r="1575" ht="12" customHeight="1"/>
    <row r="1577"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82" ht="12" customHeight="1"/>
    <row r="1684" ht="12" customHeight="1"/>
    <row r="1686" ht="12" customHeight="1"/>
    <row r="1691" ht="12" customHeight="1"/>
    <row r="1725" ht="12" customHeight="1"/>
    <row r="1727" ht="12" customHeight="1"/>
  </sheetData>
  <mergeCells count="1">
    <mergeCell ref="B80:AF80"/>
  </mergeCells>
  <pageMargins left="0.75" right="0.75" top="1" bottom="1" header="0.5" footer="0.5"/>
  <pageSetup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2726B-6FAC-4528-9B3D-F0CD4CB6A290}">
  <sheetPr codeName="Sheet42"/>
  <dimension ref="A1:AG1652"/>
  <sheetViews>
    <sheetView workbookViewId="0">
      <pane xSplit="2" ySplit="1" topLeftCell="C2" activePane="bottomRight" state="frozen"/>
      <selection pane="topRight" activeCell="C1" sqref="C1"/>
      <selection pane="bottomLeft" activeCell="A2" sqref="A2"/>
      <selection pane="bottomRight" activeCell="B1" sqref="B1"/>
    </sheetView>
  </sheetViews>
  <sheetFormatPr baseColWidth="10" defaultColWidth="9.33203125" defaultRowHeight="15" customHeight="1"/>
  <cols>
    <col min="1" max="1" width="20.6640625" style="28" hidden="1" customWidth="1"/>
    <col min="2" max="2" width="45.6640625" style="28" customWidth="1"/>
    <col min="3" max="16384" width="9.33203125" style="28"/>
  </cols>
  <sheetData>
    <row r="1" spans="1:33" ht="15" customHeight="1" thickBot="1">
      <c r="B1" s="50" t="s">
        <v>2046</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3" spans="1:33" ht="15" customHeight="1">
      <c r="C3" s="48" t="s">
        <v>2047</v>
      </c>
      <c r="D3" s="48" t="s">
        <v>311</v>
      </c>
      <c r="E3" s="47"/>
      <c r="F3" s="47"/>
      <c r="G3" s="47"/>
    </row>
    <row r="4" spans="1:33" ht="15" customHeight="1">
      <c r="C4" s="48" t="s">
        <v>2048</v>
      </c>
      <c r="D4" s="48" t="s">
        <v>2049</v>
      </c>
      <c r="E4" s="47"/>
      <c r="F4" s="47"/>
      <c r="G4" s="48" t="s">
        <v>207</v>
      </c>
    </row>
    <row r="5" spans="1:33" ht="15" customHeight="1">
      <c r="C5" s="48" t="s">
        <v>2050</v>
      </c>
      <c r="D5" s="48" t="s">
        <v>2051</v>
      </c>
      <c r="E5" s="47"/>
      <c r="F5" s="47"/>
      <c r="G5" s="47"/>
    </row>
    <row r="6" spans="1:33" ht="15" customHeight="1">
      <c r="C6" s="48" t="s">
        <v>2052</v>
      </c>
      <c r="D6" s="47"/>
      <c r="E6" s="48" t="s">
        <v>2053</v>
      </c>
      <c r="F6" s="47"/>
      <c r="G6" s="47"/>
    </row>
    <row r="10" spans="1:33" ht="15" customHeight="1">
      <c r="A10" s="34" t="s">
        <v>3220</v>
      </c>
      <c r="B10" s="46" t="s">
        <v>3221</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2058</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2059</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2061</v>
      </c>
      <c r="AG12" s="29"/>
    </row>
    <row r="13" spans="1:33" ht="15" customHeight="1" thickBot="1">
      <c r="B13" s="42" t="s">
        <v>2763</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B15" s="33" t="s">
        <v>3222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row>
    <row r="16" spans="1:33" ht="15" customHeight="1">
      <c r="B16" s="33" t="s">
        <v>3223</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A17" s="34" t="s">
        <v>3224</v>
      </c>
      <c r="B17" s="37" t="s">
        <v>2345</v>
      </c>
      <c r="C17" s="36">
        <v>0.45211000000000001</v>
      </c>
      <c r="D17" s="36">
        <v>0.47812199999999999</v>
      </c>
      <c r="E17" s="36">
        <v>1.709274</v>
      </c>
      <c r="F17" s="36">
        <v>1.8168839999999999</v>
      </c>
      <c r="G17" s="36">
        <v>1.9121349999999999</v>
      </c>
      <c r="H17" s="36">
        <v>1.9844820000000001</v>
      </c>
      <c r="I17" s="36">
        <v>2.0141420000000001</v>
      </c>
      <c r="J17" s="36">
        <v>2.0136099999999999</v>
      </c>
      <c r="K17" s="36">
        <v>1.991654</v>
      </c>
      <c r="L17" s="36">
        <v>1.9739439999999999</v>
      </c>
      <c r="M17" s="36">
        <v>1.965219</v>
      </c>
      <c r="N17" s="36">
        <v>1.9642250000000001</v>
      </c>
      <c r="O17" s="36">
        <v>1.9726379999999999</v>
      </c>
      <c r="P17" s="36">
        <v>1.9958340000000001</v>
      </c>
      <c r="Q17" s="36">
        <v>2.0229659999999998</v>
      </c>
      <c r="R17" s="36">
        <v>2.045992</v>
      </c>
      <c r="S17" s="36">
        <v>2.0611899999999999</v>
      </c>
      <c r="T17" s="36">
        <v>2.0910150000000001</v>
      </c>
      <c r="U17" s="36">
        <v>2.1031810000000002</v>
      </c>
      <c r="V17" s="36">
        <v>2.120539</v>
      </c>
      <c r="W17" s="36">
        <v>2.143967</v>
      </c>
      <c r="X17" s="36">
        <v>2.1669939999999999</v>
      </c>
      <c r="Y17" s="36">
        <v>2.1862020000000002</v>
      </c>
      <c r="Z17" s="36">
        <v>2.200008</v>
      </c>
      <c r="AA17" s="36">
        <v>2.2193480000000001</v>
      </c>
      <c r="AB17" s="36">
        <v>2.2406700000000002</v>
      </c>
      <c r="AC17" s="36">
        <v>2.2510759999999999</v>
      </c>
      <c r="AD17" s="36">
        <v>2.2601939999999998</v>
      </c>
      <c r="AE17" s="36">
        <v>2.279525</v>
      </c>
      <c r="AF17" s="35">
        <v>5.9479999999999998E-2</v>
      </c>
      <c r="AG17" s="29"/>
    </row>
    <row r="18" spans="1:33" ht="15" customHeight="1">
      <c r="A18" s="34" t="s">
        <v>3225</v>
      </c>
      <c r="B18" s="37" t="s">
        <v>3226</v>
      </c>
      <c r="C18" s="36">
        <v>0</v>
      </c>
      <c r="D18" s="36">
        <v>0</v>
      </c>
      <c r="E18" s="36">
        <v>0</v>
      </c>
      <c r="F18" s="36">
        <v>0</v>
      </c>
      <c r="G18" s="36">
        <v>0</v>
      </c>
      <c r="H18" s="36">
        <v>0</v>
      </c>
      <c r="I18" s="36">
        <v>0</v>
      </c>
      <c r="J18" s="36">
        <v>0</v>
      </c>
      <c r="K18" s="36">
        <v>0</v>
      </c>
      <c r="L18" s="36">
        <v>0</v>
      </c>
      <c r="M18" s="36">
        <v>0</v>
      </c>
      <c r="N18" s="36">
        <v>0</v>
      </c>
      <c r="O18" s="36">
        <v>0</v>
      </c>
      <c r="P18" s="36">
        <v>0</v>
      </c>
      <c r="Q18" s="36">
        <v>0</v>
      </c>
      <c r="R18" s="36">
        <v>0</v>
      </c>
      <c r="S18" s="36">
        <v>0</v>
      </c>
      <c r="T18" s="36">
        <v>0</v>
      </c>
      <c r="U18" s="36">
        <v>0</v>
      </c>
      <c r="V18" s="36">
        <v>0</v>
      </c>
      <c r="W18" s="36">
        <v>0</v>
      </c>
      <c r="X18" s="36">
        <v>0</v>
      </c>
      <c r="Y18" s="36">
        <v>0</v>
      </c>
      <c r="Z18" s="36">
        <v>0</v>
      </c>
      <c r="AA18" s="36">
        <v>0</v>
      </c>
      <c r="AB18" s="36">
        <v>0</v>
      </c>
      <c r="AC18" s="36">
        <v>0</v>
      </c>
      <c r="AD18" s="36">
        <v>0</v>
      </c>
      <c r="AE18" s="36">
        <v>0</v>
      </c>
      <c r="AF18" s="35" t="s">
        <v>1278</v>
      </c>
      <c r="AG18" s="29"/>
    </row>
    <row r="19" spans="1:33" ht="12" customHeight="1">
      <c r="A19" s="34" t="s">
        <v>3227</v>
      </c>
      <c r="B19" s="37" t="s">
        <v>3228</v>
      </c>
      <c r="C19" s="36">
        <v>1.1E-5</v>
      </c>
      <c r="D19" s="36">
        <v>9.0000000000000002E-6</v>
      </c>
      <c r="E19" s="36">
        <v>9.0000000000000002E-6</v>
      </c>
      <c r="F19" s="36">
        <v>9.0000000000000002E-6</v>
      </c>
      <c r="G19" s="36">
        <v>7.9999999999999996E-6</v>
      </c>
      <c r="H19" s="36">
        <v>7.9999999999999996E-6</v>
      </c>
      <c r="I19" s="36">
        <v>7.9999999999999996E-6</v>
      </c>
      <c r="J19" s="36">
        <v>6.9999999999999999E-6</v>
      </c>
      <c r="K19" s="36">
        <v>6.9999999999999999E-6</v>
      </c>
      <c r="L19" s="36">
        <v>6.9999999999999999E-6</v>
      </c>
      <c r="M19" s="36">
        <v>6.9999999999999999E-6</v>
      </c>
      <c r="N19" s="36">
        <v>6.9999999999999999E-6</v>
      </c>
      <c r="O19" s="36">
        <v>6.9999999999999999E-6</v>
      </c>
      <c r="P19" s="36">
        <v>6.9999999999999999E-6</v>
      </c>
      <c r="Q19" s="36">
        <v>6.9999999999999999E-6</v>
      </c>
      <c r="R19" s="36">
        <v>6.9999999999999999E-6</v>
      </c>
      <c r="S19" s="36">
        <v>6.9999999999999999E-6</v>
      </c>
      <c r="T19" s="36">
        <v>6.9999999999999999E-6</v>
      </c>
      <c r="U19" s="36">
        <v>6.9999999999999999E-6</v>
      </c>
      <c r="V19" s="36">
        <v>6.9999999999999999E-6</v>
      </c>
      <c r="W19" s="36">
        <v>6.9999999999999999E-6</v>
      </c>
      <c r="X19" s="36">
        <v>6.9999999999999999E-6</v>
      </c>
      <c r="Y19" s="36">
        <v>6.9999999999999999E-6</v>
      </c>
      <c r="Z19" s="36">
        <v>6.9999999999999999E-6</v>
      </c>
      <c r="AA19" s="36">
        <v>6.9999999999999999E-6</v>
      </c>
      <c r="AB19" s="36">
        <v>6.9999999999999999E-6</v>
      </c>
      <c r="AC19" s="36">
        <v>6.9999999999999999E-6</v>
      </c>
      <c r="AD19" s="36">
        <v>6.9999999999999999E-6</v>
      </c>
      <c r="AE19" s="36">
        <v>6.9999999999999999E-6</v>
      </c>
      <c r="AF19" s="35">
        <v>-1.7125999999999999E-2</v>
      </c>
      <c r="AG19" s="29"/>
    </row>
    <row r="20" spans="1:33" ht="12" customHeight="1">
      <c r="A20" s="34" t="s">
        <v>3229</v>
      </c>
      <c r="B20" s="37" t="s">
        <v>3230</v>
      </c>
      <c r="C20" s="36">
        <v>0</v>
      </c>
      <c r="D20" s="36">
        <v>0</v>
      </c>
      <c r="E20" s="36">
        <v>0</v>
      </c>
      <c r="F20" s="36">
        <v>0</v>
      </c>
      <c r="G20" s="36">
        <v>0</v>
      </c>
      <c r="H20" s="36">
        <v>0</v>
      </c>
      <c r="I20" s="36">
        <v>0</v>
      </c>
      <c r="J20" s="36">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6">
        <v>0</v>
      </c>
      <c r="AC20" s="36">
        <v>0</v>
      </c>
      <c r="AD20" s="36">
        <v>0</v>
      </c>
      <c r="AE20" s="36">
        <v>0</v>
      </c>
      <c r="AF20" s="35" t="s">
        <v>1278</v>
      </c>
      <c r="AG20" s="29"/>
    </row>
    <row r="21" spans="1:33" ht="12" customHeight="1">
      <c r="A21" s="34" t="s">
        <v>3231</v>
      </c>
      <c r="B21" s="37" t="s">
        <v>3232</v>
      </c>
      <c r="C21" s="36">
        <v>0.45212000000000002</v>
      </c>
      <c r="D21" s="36">
        <v>0.47813099999999997</v>
      </c>
      <c r="E21" s="36">
        <v>1.7092830000000001</v>
      </c>
      <c r="F21" s="36">
        <v>1.816892</v>
      </c>
      <c r="G21" s="36">
        <v>1.9121429999999999</v>
      </c>
      <c r="H21" s="36">
        <v>1.9844900000000001</v>
      </c>
      <c r="I21" s="36">
        <v>2.0141499999999999</v>
      </c>
      <c r="J21" s="36">
        <v>2.013617</v>
      </c>
      <c r="K21" s="36">
        <v>1.9916609999999999</v>
      </c>
      <c r="L21" s="36">
        <v>1.973951</v>
      </c>
      <c r="M21" s="36">
        <v>1.9652259999999999</v>
      </c>
      <c r="N21" s="36">
        <v>1.964232</v>
      </c>
      <c r="O21" s="36">
        <v>1.972645</v>
      </c>
      <c r="P21" s="36">
        <v>1.9958400000000001</v>
      </c>
      <c r="Q21" s="36">
        <v>2.0229729999999999</v>
      </c>
      <c r="R21" s="36">
        <v>2.0459990000000001</v>
      </c>
      <c r="S21" s="36">
        <v>2.0611969999999999</v>
      </c>
      <c r="T21" s="36">
        <v>2.0910220000000002</v>
      </c>
      <c r="U21" s="36">
        <v>2.1031879999999998</v>
      </c>
      <c r="V21" s="36">
        <v>2.120546</v>
      </c>
      <c r="W21" s="36">
        <v>2.1439729999999999</v>
      </c>
      <c r="X21" s="36">
        <v>2.167001</v>
      </c>
      <c r="Y21" s="36">
        <v>2.1862080000000002</v>
      </c>
      <c r="Z21" s="36">
        <v>2.2000150000000001</v>
      </c>
      <c r="AA21" s="36">
        <v>2.2193550000000002</v>
      </c>
      <c r="AB21" s="36">
        <v>2.2406760000000001</v>
      </c>
      <c r="AC21" s="36">
        <v>2.2510819999999998</v>
      </c>
      <c r="AD21" s="36">
        <v>2.2602000000000002</v>
      </c>
      <c r="AE21" s="36">
        <v>2.279531</v>
      </c>
      <c r="AF21" s="35">
        <v>5.9478999999999997E-2</v>
      </c>
      <c r="AG21" s="29"/>
    </row>
    <row r="22" spans="1:33" ht="12" customHeight="1">
      <c r="A22" s="34" t="s">
        <v>3233</v>
      </c>
      <c r="B22" s="37" t="s">
        <v>3234</v>
      </c>
      <c r="C22" s="36">
        <v>102.578468</v>
      </c>
      <c r="D22" s="36">
        <v>99.825942999999995</v>
      </c>
      <c r="E22" s="36">
        <v>101.083382</v>
      </c>
      <c r="F22" s="36">
        <v>103.46230300000001</v>
      </c>
      <c r="G22" s="36">
        <v>107.18259399999999</v>
      </c>
      <c r="H22" s="36">
        <v>110.009727</v>
      </c>
      <c r="I22" s="36">
        <v>111.277405</v>
      </c>
      <c r="J22" s="36">
        <v>111.65347300000001</v>
      </c>
      <c r="K22" s="36">
        <v>111.427429</v>
      </c>
      <c r="L22" s="36">
        <v>111.481949</v>
      </c>
      <c r="M22" s="36">
        <v>112.568146</v>
      </c>
      <c r="N22" s="36">
        <v>113.537514</v>
      </c>
      <c r="O22" s="36">
        <v>114.52179700000001</v>
      </c>
      <c r="P22" s="36">
        <v>116.041115</v>
      </c>
      <c r="Q22" s="36">
        <v>118.05961600000001</v>
      </c>
      <c r="R22" s="36">
        <v>120.09549699999999</v>
      </c>
      <c r="S22" s="36">
        <v>121.933868</v>
      </c>
      <c r="T22" s="36">
        <v>123.85060900000001</v>
      </c>
      <c r="U22" s="36">
        <v>125.065468</v>
      </c>
      <c r="V22" s="36">
        <v>126.83641799999999</v>
      </c>
      <c r="W22" s="36">
        <v>128.63923600000001</v>
      </c>
      <c r="X22" s="36">
        <v>130.29096999999999</v>
      </c>
      <c r="Y22" s="36">
        <v>131.43810999999999</v>
      </c>
      <c r="Z22" s="36">
        <v>132.02441400000001</v>
      </c>
      <c r="AA22" s="36">
        <v>132.11932400000001</v>
      </c>
      <c r="AB22" s="36">
        <v>133.35704000000001</v>
      </c>
      <c r="AC22" s="36">
        <v>134.09229999999999</v>
      </c>
      <c r="AD22" s="36">
        <v>134.44712799999999</v>
      </c>
      <c r="AE22" s="36">
        <v>135.98568700000001</v>
      </c>
      <c r="AF22" s="35">
        <v>1.0119E-2</v>
      </c>
      <c r="AG22" s="29"/>
    </row>
    <row r="23" spans="1:33" ht="12" customHeight="1">
      <c r="A23" s="34" t="s">
        <v>3235</v>
      </c>
      <c r="B23" s="37" t="s">
        <v>3236</v>
      </c>
      <c r="C23" s="36">
        <v>0</v>
      </c>
      <c r="D23" s="36">
        <v>0</v>
      </c>
      <c r="E23" s="36">
        <v>0</v>
      </c>
      <c r="F23" s="36">
        <v>0</v>
      </c>
      <c r="G23" s="36">
        <v>0</v>
      </c>
      <c r="H23" s="36">
        <v>0</v>
      </c>
      <c r="I23" s="36">
        <v>0</v>
      </c>
      <c r="J23" s="36">
        <v>0</v>
      </c>
      <c r="K23" s="36">
        <v>0</v>
      </c>
      <c r="L23" s="36">
        <v>0</v>
      </c>
      <c r="M23" s="36">
        <v>0</v>
      </c>
      <c r="N23" s="36">
        <v>0</v>
      </c>
      <c r="O23" s="36">
        <v>0</v>
      </c>
      <c r="P23" s="36">
        <v>0</v>
      </c>
      <c r="Q23" s="36">
        <v>0</v>
      </c>
      <c r="R23" s="36">
        <v>0</v>
      </c>
      <c r="S23" s="36">
        <v>0</v>
      </c>
      <c r="T23" s="36">
        <v>0</v>
      </c>
      <c r="U23" s="36">
        <v>0</v>
      </c>
      <c r="V23" s="36">
        <v>0</v>
      </c>
      <c r="W23" s="36">
        <v>0</v>
      </c>
      <c r="X23" s="36">
        <v>0</v>
      </c>
      <c r="Y23" s="36">
        <v>0</v>
      </c>
      <c r="Z23" s="36">
        <v>0</v>
      </c>
      <c r="AA23" s="36">
        <v>0</v>
      </c>
      <c r="AB23" s="36">
        <v>0</v>
      </c>
      <c r="AC23" s="36">
        <v>0</v>
      </c>
      <c r="AD23" s="36">
        <v>0</v>
      </c>
      <c r="AE23" s="36">
        <v>0</v>
      </c>
      <c r="AF23" s="35" t="s">
        <v>1278</v>
      </c>
      <c r="AG23" s="29"/>
    </row>
    <row r="24" spans="1:33" ht="12" customHeight="1">
      <c r="A24" s="34" t="s">
        <v>3237</v>
      </c>
      <c r="B24" s="37" t="s">
        <v>3238</v>
      </c>
      <c r="C24" s="36">
        <v>0</v>
      </c>
      <c r="D24" s="36">
        <v>0</v>
      </c>
      <c r="E24" s="36">
        <v>0</v>
      </c>
      <c r="F24" s="36">
        <v>0</v>
      </c>
      <c r="G24" s="36">
        <v>0</v>
      </c>
      <c r="H24" s="36">
        <v>0</v>
      </c>
      <c r="I24" s="36">
        <v>0</v>
      </c>
      <c r="J24" s="36">
        <v>0</v>
      </c>
      <c r="K24" s="36">
        <v>0</v>
      </c>
      <c r="L24" s="36">
        <v>0</v>
      </c>
      <c r="M24" s="36">
        <v>0</v>
      </c>
      <c r="N24" s="36">
        <v>0</v>
      </c>
      <c r="O24" s="36">
        <v>0</v>
      </c>
      <c r="P24" s="36">
        <v>0</v>
      </c>
      <c r="Q24" s="36">
        <v>0</v>
      </c>
      <c r="R24" s="36">
        <v>0</v>
      </c>
      <c r="S24" s="36">
        <v>0</v>
      </c>
      <c r="T24" s="36">
        <v>0</v>
      </c>
      <c r="U24" s="36">
        <v>0</v>
      </c>
      <c r="V24" s="36">
        <v>0</v>
      </c>
      <c r="W24" s="36">
        <v>0</v>
      </c>
      <c r="X24" s="36">
        <v>0</v>
      </c>
      <c r="Y24" s="36">
        <v>0</v>
      </c>
      <c r="Z24" s="36">
        <v>0</v>
      </c>
      <c r="AA24" s="36">
        <v>0</v>
      </c>
      <c r="AB24" s="36">
        <v>0</v>
      </c>
      <c r="AC24" s="36">
        <v>0</v>
      </c>
      <c r="AD24" s="36">
        <v>0</v>
      </c>
      <c r="AE24" s="36">
        <v>0</v>
      </c>
      <c r="AF24" s="35" t="s">
        <v>1278</v>
      </c>
      <c r="AG24" s="29"/>
    </row>
    <row r="25" spans="1:33" ht="12" customHeight="1">
      <c r="A25" s="34" t="s">
        <v>3239</v>
      </c>
      <c r="B25" s="37" t="s">
        <v>3240</v>
      </c>
      <c r="C25" s="36">
        <v>0</v>
      </c>
      <c r="D25" s="36">
        <v>0</v>
      </c>
      <c r="E25" s="36">
        <v>0</v>
      </c>
      <c r="F25" s="36">
        <v>0</v>
      </c>
      <c r="G25" s="36">
        <v>0</v>
      </c>
      <c r="H25" s="36">
        <v>0</v>
      </c>
      <c r="I25" s="36">
        <v>0</v>
      </c>
      <c r="J25" s="36">
        <v>0</v>
      </c>
      <c r="K25" s="36">
        <v>0</v>
      </c>
      <c r="L25" s="36">
        <v>0</v>
      </c>
      <c r="M25" s="36">
        <v>0</v>
      </c>
      <c r="N25" s="36">
        <v>0</v>
      </c>
      <c r="O25" s="36">
        <v>0</v>
      </c>
      <c r="P25" s="36">
        <v>0</v>
      </c>
      <c r="Q25" s="36">
        <v>0</v>
      </c>
      <c r="R25" s="36">
        <v>0</v>
      </c>
      <c r="S25" s="36">
        <v>0</v>
      </c>
      <c r="T25" s="36">
        <v>0</v>
      </c>
      <c r="U25" s="36">
        <v>0</v>
      </c>
      <c r="V25" s="36">
        <v>0</v>
      </c>
      <c r="W25" s="36">
        <v>0</v>
      </c>
      <c r="X25" s="36">
        <v>0</v>
      </c>
      <c r="Y25" s="36">
        <v>0</v>
      </c>
      <c r="Z25" s="36">
        <v>0</v>
      </c>
      <c r="AA25" s="36">
        <v>0</v>
      </c>
      <c r="AB25" s="36">
        <v>0</v>
      </c>
      <c r="AC25" s="36">
        <v>0</v>
      </c>
      <c r="AD25" s="36">
        <v>0</v>
      </c>
      <c r="AE25" s="36">
        <v>0</v>
      </c>
      <c r="AF25" s="35" t="s">
        <v>1278</v>
      </c>
      <c r="AG25" s="29"/>
    </row>
    <row r="26" spans="1:33" ht="15" customHeight="1">
      <c r="A26" s="34" t="s">
        <v>3241</v>
      </c>
      <c r="B26" s="37" t="s">
        <v>3242</v>
      </c>
      <c r="C26" s="36">
        <v>125.776955</v>
      </c>
      <c r="D26" s="36">
        <v>127.16297900000001</v>
      </c>
      <c r="E26" s="36">
        <v>126.457787</v>
      </c>
      <c r="F26" s="36">
        <v>128.45335399999999</v>
      </c>
      <c r="G26" s="36">
        <v>132.195908</v>
      </c>
      <c r="H26" s="36">
        <v>135.408447</v>
      </c>
      <c r="I26" s="36">
        <v>137.21099899999999</v>
      </c>
      <c r="J26" s="36">
        <v>138.25152600000001</v>
      </c>
      <c r="K26" s="36">
        <v>138.56539900000001</v>
      </c>
      <c r="L26" s="36">
        <v>139.38414</v>
      </c>
      <c r="M26" s="36">
        <v>141.544601</v>
      </c>
      <c r="N26" s="36">
        <v>143.26284799999999</v>
      </c>
      <c r="O26" s="36">
        <v>145.03793300000001</v>
      </c>
      <c r="P26" s="36">
        <v>147.529999</v>
      </c>
      <c r="Q26" s="36">
        <v>149.90872200000001</v>
      </c>
      <c r="R26" s="36">
        <v>152.377411</v>
      </c>
      <c r="S26" s="36">
        <v>154.855988</v>
      </c>
      <c r="T26" s="36">
        <v>156.50228899999999</v>
      </c>
      <c r="U26" s="36">
        <v>158.23181199999999</v>
      </c>
      <c r="V26" s="36">
        <v>160.46942100000001</v>
      </c>
      <c r="W26" s="36">
        <v>162.47732500000001</v>
      </c>
      <c r="X26" s="36">
        <v>164.08531199999999</v>
      </c>
      <c r="Y26" s="36">
        <v>165.00178500000001</v>
      </c>
      <c r="Z26" s="36">
        <v>165.60652200000001</v>
      </c>
      <c r="AA26" s="36">
        <v>166.57661400000001</v>
      </c>
      <c r="AB26" s="36">
        <v>167.85218800000001</v>
      </c>
      <c r="AC26" s="36">
        <v>168.40815699999999</v>
      </c>
      <c r="AD26" s="36">
        <v>168.51461800000001</v>
      </c>
      <c r="AE26" s="36">
        <v>170.36708100000001</v>
      </c>
      <c r="AF26" s="35">
        <v>1.0895999999999999E-2</v>
      </c>
      <c r="AG26" s="29"/>
    </row>
    <row r="27" spans="1:33" ht="15" customHeight="1">
      <c r="A27" s="34" t="s">
        <v>3243</v>
      </c>
      <c r="B27" s="33" t="s">
        <v>3244</v>
      </c>
      <c r="C27" s="32">
        <v>228.80754099999999</v>
      </c>
      <c r="D27" s="32">
        <v>227.46705600000001</v>
      </c>
      <c r="E27" s="32">
        <v>229.25045800000001</v>
      </c>
      <c r="F27" s="32">
        <v>233.73254399999999</v>
      </c>
      <c r="G27" s="32">
        <v>241.290649</v>
      </c>
      <c r="H27" s="32">
        <v>247.40266399999999</v>
      </c>
      <c r="I27" s="32">
        <v>250.50256300000001</v>
      </c>
      <c r="J27" s="32">
        <v>251.91861</v>
      </c>
      <c r="K27" s="32">
        <v>251.984497</v>
      </c>
      <c r="L27" s="32">
        <v>252.84004200000001</v>
      </c>
      <c r="M27" s="32">
        <v>256.07797199999999</v>
      </c>
      <c r="N27" s="32">
        <v>258.76458700000001</v>
      </c>
      <c r="O27" s="32">
        <v>261.53237899999999</v>
      </c>
      <c r="P27" s="32">
        <v>265.566956</v>
      </c>
      <c r="Q27" s="32">
        <v>269.99130200000002</v>
      </c>
      <c r="R27" s="32">
        <v>274.51892099999998</v>
      </c>
      <c r="S27" s="32">
        <v>278.851044</v>
      </c>
      <c r="T27" s="32">
        <v>282.44390900000002</v>
      </c>
      <c r="U27" s="32">
        <v>285.40045199999997</v>
      </c>
      <c r="V27" s="32">
        <v>289.42639200000002</v>
      </c>
      <c r="W27" s="32">
        <v>293.26052900000002</v>
      </c>
      <c r="X27" s="32">
        <v>296.543274</v>
      </c>
      <c r="Y27" s="32">
        <v>298.62609900000001</v>
      </c>
      <c r="Z27" s="32">
        <v>299.83093300000002</v>
      </c>
      <c r="AA27" s="32">
        <v>300.91528299999999</v>
      </c>
      <c r="AB27" s="32">
        <v>303.44988999999998</v>
      </c>
      <c r="AC27" s="32">
        <v>304.75152600000001</v>
      </c>
      <c r="AD27" s="32">
        <v>305.221924</v>
      </c>
      <c r="AE27" s="32">
        <v>308.632294</v>
      </c>
      <c r="AF27" s="31">
        <v>1.0746E-2</v>
      </c>
      <c r="AG27" s="29"/>
    </row>
    <row r="28" spans="1:33" ht="15" customHeight="1">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row>
    <row r="29" spans="1:33" ht="15" customHeight="1">
      <c r="B29" s="33" t="s">
        <v>3245</v>
      </c>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row>
    <row r="30" spans="1:33" ht="15" customHeight="1">
      <c r="A30" s="34" t="s">
        <v>3246</v>
      </c>
      <c r="B30" s="37" t="s">
        <v>2345</v>
      </c>
      <c r="C30" s="36">
        <v>0.23067699999999999</v>
      </c>
      <c r="D30" s="36">
        <v>0.24471100000000001</v>
      </c>
      <c r="E30" s="36">
        <v>0.89942100000000003</v>
      </c>
      <c r="F30" s="36">
        <v>0.94239200000000001</v>
      </c>
      <c r="G30" s="36">
        <v>0.99237600000000004</v>
      </c>
      <c r="H30" s="36">
        <v>1.0322800000000001</v>
      </c>
      <c r="I30" s="36">
        <v>1.0445180000000001</v>
      </c>
      <c r="J30" s="36">
        <v>1.040586</v>
      </c>
      <c r="K30" s="36">
        <v>1.030351</v>
      </c>
      <c r="L30" s="36">
        <v>1.0226329999999999</v>
      </c>
      <c r="M30" s="36">
        <v>1.0183139999999999</v>
      </c>
      <c r="N30" s="36">
        <v>1.014621</v>
      </c>
      <c r="O30" s="36">
        <v>1.016324</v>
      </c>
      <c r="P30" s="36">
        <v>1.024575</v>
      </c>
      <c r="Q30" s="36">
        <v>1.0347170000000001</v>
      </c>
      <c r="R30" s="36">
        <v>1.042983</v>
      </c>
      <c r="S30" s="36">
        <v>1.0466800000000001</v>
      </c>
      <c r="T30" s="36">
        <v>1.060521</v>
      </c>
      <c r="U30" s="36">
        <v>1.0640829999999999</v>
      </c>
      <c r="V30" s="36">
        <v>1.0701909999999999</v>
      </c>
      <c r="W30" s="36">
        <v>1.080506</v>
      </c>
      <c r="X30" s="36">
        <v>1.091477</v>
      </c>
      <c r="Y30" s="36">
        <v>1.101866</v>
      </c>
      <c r="Z30" s="36">
        <v>1.110681</v>
      </c>
      <c r="AA30" s="36">
        <v>1.1244620000000001</v>
      </c>
      <c r="AB30" s="36">
        <v>1.1369929999999999</v>
      </c>
      <c r="AC30" s="36">
        <v>1.1465920000000001</v>
      </c>
      <c r="AD30" s="36">
        <v>1.156123</v>
      </c>
      <c r="AE30" s="36">
        <v>1.166728</v>
      </c>
      <c r="AF30" s="35">
        <v>5.9598999999999999E-2</v>
      </c>
      <c r="AG30" s="29"/>
    </row>
    <row r="31" spans="1:33" ht="15" customHeight="1">
      <c r="A31" s="34" t="s">
        <v>3247</v>
      </c>
      <c r="B31" s="37" t="s">
        <v>3226</v>
      </c>
      <c r="C31" s="36">
        <v>1.07894</v>
      </c>
      <c r="D31" s="36">
        <v>1.0824609999999999</v>
      </c>
      <c r="E31" s="36">
        <v>1.0732409999999999</v>
      </c>
      <c r="F31" s="36">
        <v>1.0761449999999999</v>
      </c>
      <c r="G31" s="36">
        <v>1.1047819999999999</v>
      </c>
      <c r="H31" s="36">
        <v>1.128447</v>
      </c>
      <c r="I31" s="36">
        <v>1.133364</v>
      </c>
      <c r="J31" s="36">
        <v>1.1372150000000001</v>
      </c>
      <c r="K31" s="36">
        <v>1.1417710000000001</v>
      </c>
      <c r="L31" s="36">
        <v>1.1533880000000001</v>
      </c>
      <c r="M31" s="36">
        <v>1.177335</v>
      </c>
      <c r="N31" s="36">
        <v>1.1952929999999999</v>
      </c>
      <c r="O31" s="36">
        <v>1.210299</v>
      </c>
      <c r="P31" s="36">
        <v>1.229546</v>
      </c>
      <c r="Q31" s="36">
        <v>1.2481500000000001</v>
      </c>
      <c r="R31" s="36">
        <v>1.2662040000000001</v>
      </c>
      <c r="S31" s="36">
        <v>1.2837430000000001</v>
      </c>
      <c r="T31" s="36">
        <v>1.29742</v>
      </c>
      <c r="U31" s="36">
        <v>1.3107359999999999</v>
      </c>
      <c r="V31" s="36">
        <v>1.3269519999999999</v>
      </c>
      <c r="W31" s="36">
        <v>1.341477</v>
      </c>
      <c r="X31" s="36">
        <v>1.3522510000000001</v>
      </c>
      <c r="Y31" s="36">
        <v>1.359728</v>
      </c>
      <c r="Z31" s="36">
        <v>1.3652960000000001</v>
      </c>
      <c r="AA31" s="36">
        <v>1.3766719999999999</v>
      </c>
      <c r="AB31" s="36">
        <v>1.3897090000000001</v>
      </c>
      <c r="AC31" s="36">
        <v>1.401386</v>
      </c>
      <c r="AD31" s="36">
        <v>1.408253</v>
      </c>
      <c r="AE31" s="36">
        <v>1.424283</v>
      </c>
      <c r="AF31" s="35">
        <v>9.9670000000000002E-3</v>
      </c>
      <c r="AG31" s="29"/>
    </row>
    <row r="32" spans="1:33" ht="15" customHeight="1">
      <c r="A32" s="34" t="s">
        <v>3248</v>
      </c>
      <c r="B32" s="37" t="s">
        <v>3228</v>
      </c>
      <c r="C32" s="36">
        <v>1.8320000000000001E-3</v>
      </c>
      <c r="D32" s="36">
        <v>1.598E-3</v>
      </c>
      <c r="E32" s="36">
        <v>1.537E-3</v>
      </c>
      <c r="F32" s="36">
        <v>1.477E-3</v>
      </c>
      <c r="G32" s="36">
        <v>1.4189999999999999E-3</v>
      </c>
      <c r="H32" s="36">
        <v>1.364E-3</v>
      </c>
      <c r="I32" s="36">
        <v>1.3129999999999999E-3</v>
      </c>
      <c r="J32" s="36">
        <v>1.2669999999999999E-3</v>
      </c>
      <c r="K32" s="36">
        <v>1.2260000000000001E-3</v>
      </c>
      <c r="L32" s="36">
        <v>1.1919999999999999E-3</v>
      </c>
      <c r="M32" s="36">
        <v>1.165E-3</v>
      </c>
      <c r="N32" s="36">
        <v>1.145E-3</v>
      </c>
      <c r="O32" s="36">
        <v>1.1329999999999999E-3</v>
      </c>
      <c r="P32" s="36">
        <v>1.129E-3</v>
      </c>
      <c r="Q32" s="36">
        <v>1.129E-3</v>
      </c>
      <c r="R32" s="36">
        <v>1.129E-3</v>
      </c>
      <c r="S32" s="36">
        <v>1.129E-3</v>
      </c>
      <c r="T32" s="36">
        <v>1.129E-3</v>
      </c>
      <c r="U32" s="36">
        <v>1.129E-3</v>
      </c>
      <c r="V32" s="36">
        <v>1.129E-3</v>
      </c>
      <c r="W32" s="36">
        <v>1.129E-3</v>
      </c>
      <c r="X32" s="36">
        <v>1.129E-3</v>
      </c>
      <c r="Y32" s="36">
        <v>1.129E-3</v>
      </c>
      <c r="Z32" s="36">
        <v>1.129E-3</v>
      </c>
      <c r="AA32" s="36">
        <v>1.129E-3</v>
      </c>
      <c r="AB32" s="36">
        <v>1.129E-3</v>
      </c>
      <c r="AC32" s="36">
        <v>1.129E-3</v>
      </c>
      <c r="AD32" s="36">
        <v>1.129E-3</v>
      </c>
      <c r="AE32" s="36">
        <v>1.129E-3</v>
      </c>
      <c r="AF32" s="35">
        <v>-1.7125999999999999E-2</v>
      </c>
      <c r="AG32" s="29"/>
    </row>
    <row r="33" spans="1:33" ht="15" customHeight="1">
      <c r="A33" s="34" t="s">
        <v>3249</v>
      </c>
      <c r="B33" s="37" t="s">
        <v>3230</v>
      </c>
      <c r="C33" s="36">
        <v>0</v>
      </c>
      <c r="D33" s="36">
        <v>0</v>
      </c>
      <c r="E33" s="36">
        <v>0</v>
      </c>
      <c r="F33" s="36">
        <v>0</v>
      </c>
      <c r="G33" s="36">
        <v>0</v>
      </c>
      <c r="H33" s="36">
        <v>0</v>
      </c>
      <c r="I33" s="36">
        <v>0</v>
      </c>
      <c r="J33" s="36">
        <v>0</v>
      </c>
      <c r="K33" s="36">
        <v>0</v>
      </c>
      <c r="L33" s="36">
        <v>0</v>
      </c>
      <c r="M33" s="36">
        <v>0</v>
      </c>
      <c r="N33" s="36">
        <v>0</v>
      </c>
      <c r="O33" s="36">
        <v>0</v>
      </c>
      <c r="P33" s="36">
        <v>0</v>
      </c>
      <c r="Q33" s="36">
        <v>0</v>
      </c>
      <c r="R33" s="36">
        <v>0</v>
      </c>
      <c r="S33" s="36">
        <v>0</v>
      </c>
      <c r="T33" s="36">
        <v>0</v>
      </c>
      <c r="U33" s="36">
        <v>0</v>
      </c>
      <c r="V33" s="36">
        <v>0</v>
      </c>
      <c r="W33" s="36">
        <v>0</v>
      </c>
      <c r="X33" s="36">
        <v>0</v>
      </c>
      <c r="Y33" s="36">
        <v>0</v>
      </c>
      <c r="Z33" s="36">
        <v>0</v>
      </c>
      <c r="AA33" s="36">
        <v>0</v>
      </c>
      <c r="AB33" s="36">
        <v>0</v>
      </c>
      <c r="AC33" s="36">
        <v>0</v>
      </c>
      <c r="AD33" s="36">
        <v>0</v>
      </c>
      <c r="AE33" s="36">
        <v>0</v>
      </c>
      <c r="AF33" s="35" t="s">
        <v>1278</v>
      </c>
      <c r="AG33" s="29"/>
    </row>
    <row r="34" spans="1:33" ht="15" customHeight="1">
      <c r="A34" s="34" t="s">
        <v>3250</v>
      </c>
      <c r="B34" s="37" t="s">
        <v>3232</v>
      </c>
      <c r="C34" s="36">
        <v>1.3114490000000001</v>
      </c>
      <c r="D34" s="36">
        <v>1.3287709999999999</v>
      </c>
      <c r="E34" s="36">
        <v>1.974199</v>
      </c>
      <c r="F34" s="36">
        <v>2.0200140000000002</v>
      </c>
      <c r="G34" s="36">
        <v>2.0985770000000001</v>
      </c>
      <c r="H34" s="36">
        <v>2.1620910000000002</v>
      </c>
      <c r="I34" s="36">
        <v>2.179195</v>
      </c>
      <c r="J34" s="36">
        <v>2.1790669999999999</v>
      </c>
      <c r="K34" s="36">
        <v>2.173349</v>
      </c>
      <c r="L34" s="36">
        <v>2.1772130000000001</v>
      </c>
      <c r="M34" s="36">
        <v>2.1968139999999998</v>
      </c>
      <c r="N34" s="36">
        <v>2.2110599999999998</v>
      </c>
      <c r="O34" s="36">
        <v>2.227757</v>
      </c>
      <c r="P34" s="36">
        <v>2.2552500000000002</v>
      </c>
      <c r="Q34" s="36">
        <v>2.2839960000000001</v>
      </c>
      <c r="R34" s="36">
        <v>2.310317</v>
      </c>
      <c r="S34" s="36">
        <v>2.3315519999999998</v>
      </c>
      <c r="T34" s="36">
        <v>2.3590689999999999</v>
      </c>
      <c r="U34" s="36">
        <v>2.3759480000000002</v>
      </c>
      <c r="V34" s="36">
        <v>2.3982730000000001</v>
      </c>
      <c r="W34" s="36">
        <v>2.4231129999999999</v>
      </c>
      <c r="X34" s="36">
        <v>2.4448569999999998</v>
      </c>
      <c r="Y34" s="36">
        <v>2.4627240000000001</v>
      </c>
      <c r="Z34" s="36">
        <v>2.477106</v>
      </c>
      <c r="AA34" s="36">
        <v>2.5022630000000001</v>
      </c>
      <c r="AB34" s="36">
        <v>2.5278309999999999</v>
      </c>
      <c r="AC34" s="36">
        <v>2.5491069999999998</v>
      </c>
      <c r="AD34" s="36">
        <v>2.5655049999999999</v>
      </c>
      <c r="AE34" s="36">
        <v>2.5921400000000001</v>
      </c>
      <c r="AF34" s="35">
        <v>2.4632000000000001E-2</v>
      </c>
      <c r="AG34" s="29"/>
    </row>
    <row r="35" spans="1:33" ht="15" customHeight="1">
      <c r="A35" s="34" t="s">
        <v>3251</v>
      </c>
      <c r="B35" s="37" t="s">
        <v>3234</v>
      </c>
      <c r="C35" s="36">
        <v>49.375003999999997</v>
      </c>
      <c r="D35" s="36">
        <v>48.999771000000003</v>
      </c>
      <c r="E35" s="36">
        <v>50.323120000000003</v>
      </c>
      <c r="F35" s="36">
        <v>51.430129999999998</v>
      </c>
      <c r="G35" s="36">
        <v>53.901386000000002</v>
      </c>
      <c r="H35" s="36">
        <v>55.871155000000002</v>
      </c>
      <c r="I35" s="36">
        <v>56.537163</v>
      </c>
      <c r="J35" s="36">
        <v>56.568618999999998</v>
      </c>
      <c r="K35" s="36">
        <v>56.473053</v>
      </c>
      <c r="L35" s="36">
        <v>56.555076999999997</v>
      </c>
      <c r="M35" s="36">
        <v>57.108649999999997</v>
      </c>
      <c r="N35" s="36">
        <v>57.492503999999997</v>
      </c>
      <c r="O35" s="36">
        <v>57.985844</v>
      </c>
      <c r="P35" s="36">
        <v>58.641685000000003</v>
      </c>
      <c r="Q35" s="36">
        <v>59.559868000000002</v>
      </c>
      <c r="R35" s="36">
        <v>60.352820999999999</v>
      </c>
      <c r="S35" s="36">
        <v>60.932053000000003</v>
      </c>
      <c r="T35" s="36">
        <v>61.964390000000002</v>
      </c>
      <c r="U35" s="36">
        <v>62.414535999999998</v>
      </c>
      <c r="V35" s="36">
        <v>63.086880000000001</v>
      </c>
      <c r="W35" s="36">
        <v>63.956088999999999</v>
      </c>
      <c r="X35" s="36">
        <v>64.805542000000003</v>
      </c>
      <c r="Y35" s="36">
        <v>65.513756000000001</v>
      </c>
      <c r="Z35" s="36">
        <v>66.034760000000006</v>
      </c>
      <c r="AA35" s="36">
        <v>66.296843999999993</v>
      </c>
      <c r="AB35" s="36">
        <v>67.237572</v>
      </c>
      <c r="AC35" s="36">
        <v>68.118949999999998</v>
      </c>
      <c r="AD35" s="36">
        <v>68.812950000000001</v>
      </c>
      <c r="AE35" s="36">
        <v>69.589478</v>
      </c>
      <c r="AF35" s="35">
        <v>1.2331E-2</v>
      </c>
      <c r="AG35" s="29"/>
    </row>
    <row r="36" spans="1:33" ht="15" customHeight="1">
      <c r="A36" s="34" t="s">
        <v>3252</v>
      </c>
      <c r="B36" s="37" t="s">
        <v>3238</v>
      </c>
      <c r="C36" s="36">
        <v>0</v>
      </c>
      <c r="D36" s="36">
        <v>0</v>
      </c>
      <c r="E36" s="36">
        <v>0</v>
      </c>
      <c r="F36" s="36">
        <v>0</v>
      </c>
      <c r="G36" s="36">
        <v>0</v>
      </c>
      <c r="H36" s="36">
        <v>0</v>
      </c>
      <c r="I36" s="36">
        <v>0</v>
      </c>
      <c r="J36" s="36">
        <v>0</v>
      </c>
      <c r="K36" s="36">
        <v>0</v>
      </c>
      <c r="L36" s="36">
        <v>0</v>
      </c>
      <c r="M36" s="36">
        <v>0</v>
      </c>
      <c r="N36" s="36">
        <v>0</v>
      </c>
      <c r="O36" s="36">
        <v>0</v>
      </c>
      <c r="P36" s="36">
        <v>0</v>
      </c>
      <c r="Q36" s="36">
        <v>0</v>
      </c>
      <c r="R36" s="36">
        <v>0</v>
      </c>
      <c r="S36" s="36">
        <v>0</v>
      </c>
      <c r="T36" s="36">
        <v>0</v>
      </c>
      <c r="U36" s="36">
        <v>0</v>
      </c>
      <c r="V36" s="36">
        <v>0</v>
      </c>
      <c r="W36" s="36">
        <v>0</v>
      </c>
      <c r="X36" s="36">
        <v>0</v>
      </c>
      <c r="Y36" s="36">
        <v>0</v>
      </c>
      <c r="Z36" s="36">
        <v>0</v>
      </c>
      <c r="AA36" s="36">
        <v>0</v>
      </c>
      <c r="AB36" s="36">
        <v>0</v>
      </c>
      <c r="AC36" s="36">
        <v>0</v>
      </c>
      <c r="AD36" s="36">
        <v>0</v>
      </c>
      <c r="AE36" s="36">
        <v>0</v>
      </c>
      <c r="AF36" s="35" t="s">
        <v>1278</v>
      </c>
      <c r="AG36" s="29"/>
    </row>
    <row r="37" spans="1:33" ht="15" customHeight="1">
      <c r="A37" s="34" t="s">
        <v>3253</v>
      </c>
      <c r="B37" s="37" t="s">
        <v>3240</v>
      </c>
      <c r="C37" s="36">
        <v>0</v>
      </c>
      <c r="D37" s="36">
        <v>0</v>
      </c>
      <c r="E37" s="36">
        <v>0</v>
      </c>
      <c r="F37" s="36">
        <v>0</v>
      </c>
      <c r="G37" s="36">
        <v>0</v>
      </c>
      <c r="H37" s="36">
        <v>0</v>
      </c>
      <c r="I37" s="36">
        <v>0</v>
      </c>
      <c r="J37" s="36">
        <v>0</v>
      </c>
      <c r="K37" s="36">
        <v>0</v>
      </c>
      <c r="L37" s="36">
        <v>0</v>
      </c>
      <c r="M37" s="36">
        <v>0</v>
      </c>
      <c r="N37" s="36">
        <v>0</v>
      </c>
      <c r="O37" s="36">
        <v>0</v>
      </c>
      <c r="P37" s="36">
        <v>0</v>
      </c>
      <c r="Q37" s="36">
        <v>0</v>
      </c>
      <c r="R37" s="36">
        <v>0</v>
      </c>
      <c r="S37" s="36">
        <v>0</v>
      </c>
      <c r="T37" s="36">
        <v>0</v>
      </c>
      <c r="U37" s="36">
        <v>0</v>
      </c>
      <c r="V37" s="36">
        <v>0</v>
      </c>
      <c r="W37" s="36">
        <v>0</v>
      </c>
      <c r="X37" s="36">
        <v>0</v>
      </c>
      <c r="Y37" s="36">
        <v>0</v>
      </c>
      <c r="Z37" s="36">
        <v>0</v>
      </c>
      <c r="AA37" s="36">
        <v>0</v>
      </c>
      <c r="AB37" s="36">
        <v>0</v>
      </c>
      <c r="AC37" s="36">
        <v>0</v>
      </c>
      <c r="AD37" s="36">
        <v>0</v>
      </c>
      <c r="AE37" s="36">
        <v>0</v>
      </c>
      <c r="AF37" s="35" t="s">
        <v>1278</v>
      </c>
      <c r="AG37" s="29"/>
    </row>
    <row r="38" spans="1:33" ht="15" customHeight="1">
      <c r="A38" s="34" t="s">
        <v>3254</v>
      </c>
      <c r="B38" s="37" t="s">
        <v>3242</v>
      </c>
      <c r="C38" s="36">
        <v>73.197120999999996</v>
      </c>
      <c r="D38" s="36">
        <v>74.159453999999997</v>
      </c>
      <c r="E38" s="36">
        <v>73.637352000000007</v>
      </c>
      <c r="F38" s="36">
        <v>74.167259000000001</v>
      </c>
      <c r="G38" s="36">
        <v>76.560410000000005</v>
      </c>
      <c r="H38" s="36">
        <v>78.778625000000005</v>
      </c>
      <c r="I38" s="36">
        <v>79.758803999999998</v>
      </c>
      <c r="J38" s="36">
        <v>80.314186000000007</v>
      </c>
      <c r="K38" s="36">
        <v>80.750313000000006</v>
      </c>
      <c r="L38" s="36">
        <v>81.603790000000004</v>
      </c>
      <c r="M38" s="36">
        <v>83.149642999999998</v>
      </c>
      <c r="N38" s="36">
        <v>84.178237999999993</v>
      </c>
      <c r="O38" s="36">
        <v>85.361312999999996</v>
      </c>
      <c r="P38" s="36">
        <v>86.836699999999993</v>
      </c>
      <c r="Q38" s="36">
        <v>87.996750000000006</v>
      </c>
      <c r="R38" s="36">
        <v>89.078011000000004</v>
      </c>
      <c r="S38" s="36">
        <v>90.145606999999998</v>
      </c>
      <c r="T38" s="36">
        <v>90.943923999999996</v>
      </c>
      <c r="U38" s="36">
        <v>91.868149000000003</v>
      </c>
      <c r="V38" s="36">
        <v>92.921028000000007</v>
      </c>
      <c r="W38" s="36">
        <v>93.971283</v>
      </c>
      <c r="X38" s="36">
        <v>94.800101999999995</v>
      </c>
      <c r="Y38" s="36">
        <v>95.396682999999996</v>
      </c>
      <c r="Z38" s="36">
        <v>96.081328999999997</v>
      </c>
      <c r="AA38" s="36">
        <v>97.332390000000004</v>
      </c>
      <c r="AB38" s="36">
        <v>98.463402000000002</v>
      </c>
      <c r="AC38" s="36">
        <v>99.447952000000001</v>
      </c>
      <c r="AD38" s="36">
        <v>100.16001900000001</v>
      </c>
      <c r="AE38" s="36">
        <v>101.348297</v>
      </c>
      <c r="AF38" s="35">
        <v>1.1689E-2</v>
      </c>
      <c r="AG38" s="29"/>
    </row>
    <row r="39" spans="1:33" ht="15" customHeight="1">
      <c r="A39" s="34" t="s">
        <v>3255</v>
      </c>
      <c r="B39" s="33" t="s">
        <v>3244</v>
      </c>
      <c r="C39" s="32">
        <v>123.88357499999999</v>
      </c>
      <c r="D39" s="32">
        <v>124.48799099999999</v>
      </c>
      <c r="E39" s="32">
        <v>125.934669</v>
      </c>
      <c r="F39" s="32">
        <v>127.617401</v>
      </c>
      <c r="G39" s="32">
        <v>132.56036399999999</v>
      </c>
      <c r="H39" s="32">
        <v>136.81187399999999</v>
      </c>
      <c r="I39" s="32">
        <v>138.47515899999999</v>
      </c>
      <c r="J39" s="32">
        <v>139.06187399999999</v>
      </c>
      <c r="K39" s="32">
        <v>139.39671300000001</v>
      </c>
      <c r="L39" s="32">
        <v>140.33607499999999</v>
      </c>
      <c r="M39" s="32">
        <v>142.45510899999999</v>
      </c>
      <c r="N39" s="32">
        <v>143.88180500000001</v>
      </c>
      <c r="O39" s="32">
        <v>145.57492099999999</v>
      </c>
      <c r="P39" s="32">
        <v>147.733643</v>
      </c>
      <c r="Q39" s="32">
        <v>149.84060700000001</v>
      </c>
      <c r="R39" s="32">
        <v>151.74115</v>
      </c>
      <c r="S39" s="32">
        <v>153.40921</v>
      </c>
      <c r="T39" s="32">
        <v>155.26738</v>
      </c>
      <c r="U39" s="32">
        <v>156.65862999999999</v>
      </c>
      <c r="V39" s="32">
        <v>158.40618900000001</v>
      </c>
      <c r="W39" s="32">
        <v>160.350494</v>
      </c>
      <c r="X39" s="32">
        <v>162.05050700000001</v>
      </c>
      <c r="Y39" s="32">
        <v>163.37316899999999</v>
      </c>
      <c r="Z39" s="32">
        <v>164.59320099999999</v>
      </c>
      <c r="AA39" s="32">
        <v>166.13149999999999</v>
      </c>
      <c r="AB39" s="32">
        <v>168.22880599999999</v>
      </c>
      <c r="AC39" s="32">
        <v>170.11601300000001</v>
      </c>
      <c r="AD39" s="32">
        <v>171.53848300000001</v>
      </c>
      <c r="AE39" s="32">
        <v>173.52990700000001</v>
      </c>
      <c r="AF39" s="31">
        <v>1.2109E-2</v>
      </c>
      <c r="AG39" s="29"/>
    </row>
    <row r="40" spans="1:33" ht="15" customHeight="1">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row>
    <row r="41" spans="1:33" ht="15" customHeight="1">
      <c r="B41" s="33" t="s">
        <v>3256</v>
      </c>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row>
    <row r="42" spans="1:33" ht="15" customHeight="1">
      <c r="A42" s="34" t="s">
        <v>3257</v>
      </c>
      <c r="B42" s="37" t="s">
        <v>2345</v>
      </c>
      <c r="C42" s="36">
        <v>0</v>
      </c>
      <c r="D42" s="36">
        <v>0</v>
      </c>
      <c r="E42" s="36">
        <v>0</v>
      </c>
      <c r="F42" s="36">
        <v>0</v>
      </c>
      <c r="G42" s="36">
        <v>0</v>
      </c>
      <c r="H42" s="36">
        <v>0</v>
      </c>
      <c r="I42" s="36">
        <v>0</v>
      </c>
      <c r="J42" s="36">
        <v>0</v>
      </c>
      <c r="K42" s="36">
        <v>0</v>
      </c>
      <c r="L42" s="36">
        <v>0</v>
      </c>
      <c r="M42" s="36">
        <v>0</v>
      </c>
      <c r="N42" s="36">
        <v>0</v>
      </c>
      <c r="O42" s="36">
        <v>0</v>
      </c>
      <c r="P42" s="36">
        <v>0</v>
      </c>
      <c r="Q42" s="36">
        <v>0</v>
      </c>
      <c r="R42" s="36">
        <v>0</v>
      </c>
      <c r="S42" s="36">
        <v>0</v>
      </c>
      <c r="T42" s="36">
        <v>0</v>
      </c>
      <c r="U42" s="36">
        <v>0</v>
      </c>
      <c r="V42" s="36">
        <v>0</v>
      </c>
      <c r="W42" s="36">
        <v>0</v>
      </c>
      <c r="X42" s="36">
        <v>0</v>
      </c>
      <c r="Y42" s="36">
        <v>0</v>
      </c>
      <c r="Z42" s="36">
        <v>0</v>
      </c>
      <c r="AA42" s="36">
        <v>0</v>
      </c>
      <c r="AB42" s="36">
        <v>0</v>
      </c>
      <c r="AC42" s="36">
        <v>0</v>
      </c>
      <c r="AD42" s="36">
        <v>0</v>
      </c>
      <c r="AE42" s="36">
        <v>0</v>
      </c>
      <c r="AF42" s="35" t="s">
        <v>1278</v>
      </c>
      <c r="AG42" s="29"/>
    </row>
    <row r="43" spans="1:33" ht="15" customHeight="1">
      <c r="A43" s="34" t="s">
        <v>3258</v>
      </c>
      <c r="B43" s="37" t="s">
        <v>3226</v>
      </c>
      <c r="C43" s="36">
        <v>0</v>
      </c>
      <c r="D43" s="36">
        <v>0</v>
      </c>
      <c r="E43" s="36">
        <v>0</v>
      </c>
      <c r="F43" s="36">
        <v>0</v>
      </c>
      <c r="G43" s="36">
        <v>0</v>
      </c>
      <c r="H43" s="36">
        <v>0</v>
      </c>
      <c r="I43" s="36">
        <v>0</v>
      </c>
      <c r="J43" s="36">
        <v>0</v>
      </c>
      <c r="K43" s="36">
        <v>0</v>
      </c>
      <c r="L43" s="36">
        <v>0</v>
      </c>
      <c r="M43" s="36">
        <v>0</v>
      </c>
      <c r="N43" s="36">
        <v>0</v>
      </c>
      <c r="O43" s="36">
        <v>0</v>
      </c>
      <c r="P43" s="36">
        <v>0</v>
      </c>
      <c r="Q43" s="36">
        <v>0</v>
      </c>
      <c r="R43" s="36">
        <v>0</v>
      </c>
      <c r="S43" s="36">
        <v>0</v>
      </c>
      <c r="T43" s="36">
        <v>0</v>
      </c>
      <c r="U43" s="36">
        <v>0</v>
      </c>
      <c r="V43" s="36">
        <v>0</v>
      </c>
      <c r="W43" s="36">
        <v>0</v>
      </c>
      <c r="X43" s="36">
        <v>0</v>
      </c>
      <c r="Y43" s="36">
        <v>0</v>
      </c>
      <c r="Z43" s="36">
        <v>0</v>
      </c>
      <c r="AA43" s="36">
        <v>0</v>
      </c>
      <c r="AB43" s="36">
        <v>0</v>
      </c>
      <c r="AC43" s="36">
        <v>0</v>
      </c>
      <c r="AD43" s="36">
        <v>0</v>
      </c>
      <c r="AE43" s="36">
        <v>0</v>
      </c>
      <c r="AF43" s="35" t="s">
        <v>1278</v>
      </c>
      <c r="AG43" s="29"/>
    </row>
    <row r="44" spans="1:33" ht="12" customHeight="1">
      <c r="A44" s="34" t="s">
        <v>3259</v>
      </c>
      <c r="B44" s="37" t="s">
        <v>3228</v>
      </c>
      <c r="C44" s="36">
        <v>4.8999999999999998E-5</v>
      </c>
      <c r="D44" s="36">
        <v>4.3000000000000002E-5</v>
      </c>
      <c r="E44" s="36">
        <v>4.1E-5</v>
      </c>
      <c r="F44" s="36">
        <v>4.0000000000000003E-5</v>
      </c>
      <c r="G44" s="36">
        <v>3.8000000000000002E-5</v>
      </c>
      <c r="H44" s="36">
        <v>3.6999999999999998E-5</v>
      </c>
      <c r="I44" s="36">
        <v>3.4999999999999997E-5</v>
      </c>
      <c r="J44" s="36">
        <v>3.4E-5</v>
      </c>
      <c r="K44" s="36">
        <v>3.3000000000000003E-5</v>
      </c>
      <c r="L44" s="36">
        <v>3.1999999999999999E-5</v>
      </c>
      <c r="M44" s="36">
        <v>3.1000000000000001E-5</v>
      </c>
      <c r="N44" s="36">
        <v>3.1000000000000001E-5</v>
      </c>
      <c r="O44" s="36">
        <v>3.1000000000000001E-5</v>
      </c>
      <c r="P44" s="36">
        <v>3.0000000000000001E-5</v>
      </c>
      <c r="Q44" s="36">
        <v>3.0000000000000001E-5</v>
      </c>
      <c r="R44" s="36">
        <v>3.0000000000000001E-5</v>
      </c>
      <c r="S44" s="36">
        <v>3.0000000000000001E-5</v>
      </c>
      <c r="T44" s="36">
        <v>3.0000000000000001E-5</v>
      </c>
      <c r="U44" s="36">
        <v>3.0000000000000001E-5</v>
      </c>
      <c r="V44" s="36">
        <v>3.0000000000000001E-5</v>
      </c>
      <c r="W44" s="36">
        <v>3.0000000000000001E-5</v>
      </c>
      <c r="X44" s="36">
        <v>3.0000000000000001E-5</v>
      </c>
      <c r="Y44" s="36">
        <v>3.0000000000000001E-5</v>
      </c>
      <c r="Z44" s="36">
        <v>3.0000000000000001E-5</v>
      </c>
      <c r="AA44" s="36">
        <v>3.0000000000000001E-5</v>
      </c>
      <c r="AB44" s="36">
        <v>3.0000000000000001E-5</v>
      </c>
      <c r="AC44" s="36">
        <v>3.0000000000000001E-5</v>
      </c>
      <c r="AD44" s="36">
        <v>3.0000000000000001E-5</v>
      </c>
      <c r="AE44" s="36">
        <v>3.0000000000000001E-5</v>
      </c>
      <c r="AF44" s="35">
        <v>-1.7125999999999999E-2</v>
      </c>
      <c r="AG44" s="29"/>
    </row>
    <row r="45" spans="1:33" ht="15" customHeight="1">
      <c r="A45" s="34" t="s">
        <v>3260</v>
      </c>
      <c r="B45" s="37" t="s">
        <v>3230</v>
      </c>
      <c r="C45" s="36">
        <v>0</v>
      </c>
      <c r="D45" s="36">
        <v>0</v>
      </c>
      <c r="E45" s="36">
        <v>0</v>
      </c>
      <c r="F45" s="36">
        <v>0</v>
      </c>
      <c r="G45" s="36">
        <v>0</v>
      </c>
      <c r="H45" s="36">
        <v>0</v>
      </c>
      <c r="I45" s="36">
        <v>0</v>
      </c>
      <c r="J45" s="36">
        <v>0</v>
      </c>
      <c r="K45" s="36">
        <v>0</v>
      </c>
      <c r="L45" s="36">
        <v>0</v>
      </c>
      <c r="M45" s="36">
        <v>0</v>
      </c>
      <c r="N45" s="36">
        <v>0</v>
      </c>
      <c r="O45" s="36">
        <v>0</v>
      </c>
      <c r="P45" s="36">
        <v>0</v>
      </c>
      <c r="Q45" s="36">
        <v>0</v>
      </c>
      <c r="R45" s="36">
        <v>0</v>
      </c>
      <c r="S45" s="36">
        <v>0</v>
      </c>
      <c r="T45" s="36">
        <v>0</v>
      </c>
      <c r="U45" s="36">
        <v>0</v>
      </c>
      <c r="V45" s="36">
        <v>0</v>
      </c>
      <c r="W45" s="36">
        <v>0</v>
      </c>
      <c r="X45" s="36">
        <v>0</v>
      </c>
      <c r="Y45" s="36">
        <v>0</v>
      </c>
      <c r="Z45" s="36">
        <v>0</v>
      </c>
      <c r="AA45" s="36">
        <v>0</v>
      </c>
      <c r="AB45" s="36">
        <v>0</v>
      </c>
      <c r="AC45" s="36">
        <v>0</v>
      </c>
      <c r="AD45" s="36">
        <v>0</v>
      </c>
      <c r="AE45" s="36">
        <v>0</v>
      </c>
      <c r="AF45" s="35" t="s">
        <v>1278</v>
      </c>
      <c r="AG45" s="29"/>
    </row>
    <row r="46" spans="1:33" ht="15" customHeight="1">
      <c r="A46" s="34" t="s">
        <v>3261</v>
      </c>
      <c r="B46" s="37" t="s">
        <v>3232</v>
      </c>
      <c r="C46" s="36">
        <v>4.8999999999999998E-5</v>
      </c>
      <c r="D46" s="36">
        <v>4.3000000000000002E-5</v>
      </c>
      <c r="E46" s="36">
        <v>4.1E-5</v>
      </c>
      <c r="F46" s="36">
        <v>4.0000000000000003E-5</v>
      </c>
      <c r="G46" s="36">
        <v>3.8000000000000002E-5</v>
      </c>
      <c r="H46" s="36">
        <v>3.6999999999999998E-5</v>
      </c>
      <c r="I46" s="36">
        <v>3.4999999999999997E-5</v>
      </c>
      <c r="J46" s="36">
        <v>3.4E-5</v>
      </c>
      <c r="K46" s="36">
        <v>3.3000000000000003E-5</v>
      </c>
      <c r="L46" s="36">
        <v>3.1999999999999999E-5</v>
      </c>
      <c r="M46" s="36">
        <v>3.1000000000000001E-5</v>
      </c>
      <c r="N46" s="36">
        <v>3.1000000000000001E-5</v>
      </c>
      <c r="O46" s="36">
        <v>3.1000000000000001E-5</v>
      </c>
      <c r="P46" s="36">
        <v>3.0000000000000001E-5</v>
      </c>
      <c r="Q46" s="36">
        <v>3.0000000000000001E-5</v>
      </c>
      <c r="R46" s="36">
        <v>3.0000000000000001E-5</v>
      </c>
      <c r="S46" s="36">
        <v>3.0000000000000001E-5</v>
      </c>
      <c r="T46" s="36">
        <v>3.0000000000000001E-5</v>
      </c>
      <c r="U46" s="36">
        <v>3.0000000000000001E-5</v>
      </c>
      <c r="V46" s="36">
        <v>3.0000000000000001E-5</v>
      </c>
      <c r="W46" s="36">
        <v>3.0000000000000001E-5</v>
      </c>
      <c r="X46" s="36">
        <v>3.0000000000000001E-5</v>
      </c>
      <c r="Y46" s="36">
        <v>3.0000000000000001E-5</v>
      </c>
      <c r="Z46" s="36">
        <v>3.0000000000000001E-5</v>
      </c>
      <c r="AA46" s="36">
        <v>3.0000000000000001E-5</v>
      </c>
      <c r="AB46" s="36">
        <v>3.0000000000000001E-5</v>
      </c>
      <c r="AC46" s="36">
        <v>3.0000000000000001E-5</v>
      </c>
      <c r="AD46" s="36">
        <v>3.0000000000000001E-5</v>
      </c>
      <c r="AE46" s="36">
        <v>3.0000000000000001E-5</v>
      </c>
      <c r="AF46" s="35">
        <v>-1.7125999999999999E-2</v>
      </c>
      <c r="AG46" s="29"/>
    </row>
    <row r="47" spans="1:33" ht="15" customHeight="1">
      <c r="A47" s="34" t="s">
        <v>3262</v>
      </c>
      <c r="B47" s="37" t="s">
        <v>3234</v>
      </c>
      <c r="C47" s="36">
        <v>25.42905</v>
      </c>
      <c r="D47" s="36">
        <v>26.596209000000002</v>
      </c>
      <c r="E47" s="36">
        <v>28.948463</v>
      </c>
      <c r="F47" s="36">
        <v>30.595226</v>
      </c>
      <c r="G47" s="36">
        <v>32.069823999999997</v>
      </c>
      <c r="H47" s="36">
        <v>32.956383000000002</v>
      </c>
      <c r="I47" s="36">
        <v>33.239654999999999</v>
      </c>
      <c r="J47" s="36">
        <v>33.107719000000003</v>
      </c>
      <c r="K47" s="36">
        <v>32.826233000000002</v>
      </c>
      <c r="L47" s="36">
        <v>32.594368000000003</v>
      </c>
      <c r="M47" s="36">
        <v>32.478572999999997</v>
      </c>
      <c r="N47" s="36">
        <v>32.311934999999998</v>
      </c>
      <c r="O47" s="36">
        <v>32.261322</v>
      </c>
      <c r="P47" s="36">
        <v>32.244045</v>
      </c>
      <c r="Q47" s="36">
        <v>32.564495000000001</v>
      </c>
      <c r="R47" s="36">
        <v>32.873736999999998</v>
      </c>
      <c r="S47" s="36">
        <v>33.032200000000003</v>
      </c>
      <c r="T47" s="36">
        <v>33.674548999999999</v>
      </c>
      <c r="U47" s="36">
        <v>33.89875</v>
      </c>
      <c r="V47" s="36">
        <v>34.227679999999999</v>
      </c>
      <c r="W47" s="36">
        <v>34.715733</v>
      </c>
      <c r="X47" s="36">
        <v>35.350600999999997</v>
      </c>
      <c r="Y47" s="36">
        <v>35.976188999999998</v>
      </c>
      <c r="Z47" s="36">
        <v>36.397826999999999</v>
      </c>
      <c r="AA47" s="36">
        <v>36.290599999999998</v>
      </c>
      <c r="AB47" s="36">
        <v>36.851470999999997</v>
      </c>
      <c r="AC47" s="36">
        <v>37.404586999999999</v>
      </c>
      <c r="AD47" s="36">
        <v>37.971558000000002</v>
      </c>
      <c r="AE47" s="36">
        <v>38.440823000000002</v>
      </c>
      <c r="AF47" s="35">
        <v>1.4867999999999999E-2</v>
      </c>
      <c r="AG47" s="29"/>
    </row>
    <row r="48" spans="1:33" ht="15" customHeight="1">
      <c r="A48" s="34" t="s">
        <v>3263</v>
      </c>
      <c r="B48" s="37" t="s">
        <v>3238</v>
      </c>
      <c r="C48" s="36">
        <v>0</v>
      </c>
      <c r="D48" s="36">
        <v>0</v>
      </c>
      <c r="E48" s="36">
        <v>0</v>
      </c>
      <c r="F48" s="36">
        <v>0</v>
      </c>
      <c r="G48" s="36">
        <v>0</v>
      </c>
      <c r="H48" s="36">
        <v>0</v>
      </c>
      <c r="I48" s="36">
        <v>0</v>
      </c>
      <c r="J48" s="36">
        <v>0</v>
      </c>
      <c r="K48" s="36">
        <v>0</v>
      </c>
      <c r="L48" s="36">
        <v>0</v>
      </c>
      <c r="M48" s="36">
        <v>0</v>
      </c>
      <c r="N48" s="36">
        <v>0</v>
      </c>
      <c r="O48" s="36">
        <v>0</v>
      </c>
      <c r="P48" s="36">
        <v>0</v>
      </c>
      <c r="Q48" s="36">
        <v>0</v>
      </c>
      <c r="R48" s="36">
        <v>0</v>
      </c>
      <c r="S48" s="36">
        <v>0</v>
      </c>
      <c r="T48" s="36">
        <v>0</v>
      </c>
      <c r="U48" s="36">
        <v>0</v>
      </c>
      <c r="V48" s="36">
        <v>0</v>
      </c>
      <c r="W48" s="36">
        <v>0</v>
      </c>
      <c r="X48" s="36">
        <v>0</v>
      </c>
      <c r="Y48" s="36">
        <v>0</v>
      </c>
      <c r="Z48" s="36">
        <v>0</v>
      </c>
      <c r="AA48" s="36">
        <v>0</v>
      </c>
      <c r="AB48" s="36">
        <v>0</v>
      </c>
      <c r="AC48" s="36">
        <v>0</v>
      </c>
      <c r="AD48" s="36">
        <v>0</v>
      </c>
      <c r="AE48" s="36">
        <v>0</v>
      </c>
      <c r="AF48" s="35" t="s">
        <v>1278</v>
      </c>
      <c r="AG48" s="29"/>
    </row>
    <row r="49" spans="1:33" ht="15" customHeight="1">
      <c r="A49" s="34" t="s">
        <v>3264</v>
      </c>
      <c r="B49" s="37" t="s">
        <v>3240</v>
      </c>
      <c r="C49" s="36">
        <v>0</v>
      </c>
      <c r="D49" s="36">
        <v>0</v>
      </c>
      <c r="E49" s="36">
        <v>0</v>
      </c>
      <c r="F49" s="36">
        <v>0</v>
      </c>
      <c r="G49" s="36">
        <v>0</v>
      </c>
      <c r="H49" s="36">
        <v>0</v>
      </c>
      <c r="I49" s="36">
        <v>0</v>
      </c>
      <c r="J49" s="36">
        <v>0</v>
      </c>
      <c r="K49" s="36">
        <v>0</v>
      </c>
      <c r="L49" s="36">
        <v>0</v>
      </c>
      <c r="M49" s="36">
        <v>0</v>
      </c>
      <c r="N49" s="36">
        <v>0</v>
      </c>
      <c r="O49" s="36">
        <v>0</v>
      </c>
      <c r="P49" s="36">
        <v>0</v>
      </c>
      <c r="Q49" s="36">
        <v>0</v>
      </c>
      <c r="R49" s="36">
        <v>0</v>
      </c>
      <c r="S49" s="36">
        <v>0</v>
      </c>
      <c r="T49" s="36">
        <v>0</v>
      </c>
      <c r="U49" s="36">
        <v>0</v>
      </c>
      <c r="V49" s="36">
        <v>0</v>
      </c>
      <c r="W49" s="36">
        <v>0</v>
      </c>
      <c r="X49" s="36">
        <v>0</v>
      </c>
      <c r="Y49" s="36">
        <v>0</v>
      </c>
      <c r="Z49" s="36">
        <v>0</v>
      </c>
      <c r="AA49" s="36">
        <v>0</v>
      </c>
      <c r="AB49" s="36">
        <v>0</v>
      </c>
      <c r="AC49" s="36">
        <v>0</v>
      </c>
      <c r="AD49" s="36">
        <v>0</v>
      </c>
      <c r="AE49" s="36">
        <v>0</v>
      </c>
      <c r="AF49" s="35" t="s">
        <v>1278</v>
      </c>
      <c r="AG49" s="29"/>
    </row>
    <row r="50" spans="1:33" ht="15" customHeight="1">
      <c r="A50" s="34" t="s">
        <v>3265</v>
      </c>
      <c r="B50" s="37" t="s">
        <v>3242</v>
      </c>
      <c r="C50" s="36">
        <v>99.211928999999998</v>
      </c>
      <c r="D50" s="36">
        <v>102.848282</v>
      </c>
      <c r="E50" s="36">
        <v>105.642433</v>
      </c>
      <c r="F50" s="36">
        <v>109.103424</v>
      </c>
      <c r="G50" s="36">
        <v>112.53306600000001</v>
      </c>
      <c r="H50" s="36">
        <v>115.209351</v>
      </c>
      <c r="I50" s="36">
        <v>117.162689</v>
      </c>
      <c r="J50" s="36">
        <v>118.29858400000001</v>
      </c>
      <c r="K50" s="36">
        <v>118.809006</v>
      </c>
      <c r="L50" s="36">
        <v>119.73107899999999</v>
      </c>
      <c r="M50" s="36">
        <v>121.028435</v>
      </c>
      <c r="N50" s="36">
        <v>121.953987</v>
      </c>
      <c r="O50" s="36">
        <v>123.301689</v>
      </c>
      <c r="P50" s="36">
        <v>124.787834</v>
      </c>
      <c r="Q50" s="36">
        <v>126.167244</v>
      </c>
      <c r="R50" s="36">
        <v>127.74943500000001</v>
      </c>
      <c r="S50" s="36">
        <v>129.45204200000001</v>
      </c>
      <c r="T50" s="36">
        <v>131.06573499999999</v>
      </c>
      <c r="U50" s="36">
        <v>133.24363700000001</v>
      </c>
      <c r="V50" s="36">
        <v>135.36026000000001</v>
      </c>
      <c r="W50" s="36">
        <v>137.282974</v>
      </c>
      <c r="X50" s="36">
        <v>139.36793499999999</v>
      </c>
      <c r="Y50" s="36">
        <v>141.295197</v>
      </c>
      <c r="Z50" s="36">
        <v>143.20339999999999</v>
      </c>
      <c r="AA50" s="36">
        <v>145.513824</v>
      </c>
      <c r="AB50" s="36">
        <v>147.576843</v>
      </c>
      <c r="AC50" s="36">
        <v>149.456985</v>
      </c>
      <c r="AD50" s="36">
        <v>151.561218</v>
      </c>
      <c r="AE50" s="36">
        <v>154.08114599999999</v>
      </c>
      <c r="AF50" s="35">
        <v>1.5845999999999999E-2</v>
      </c>
      <c r="AG50" s="29"/>
    </row>
    <row r="51" spans="1:33" ht="15" customHeight="1">
      <c r="A51" s="34" t="s">
        <v>3266</v>
      </c>
      <c r="B51" s="33" t="s">
        <v>3244</v>
      </c>
      <c r="C51" s="32">
        <v>124.641029</v>
      </c>
      <c r="D51" s="32">
        <v>129.444534</v>
      </c>
      <c r="E51" s="32">
        <v>134.59094200000001</v>
      </c>
      <c r="F51" s="32">
        <v>139.69868500000001</v>
      </c>
      <c r="G51" s="32">
        <v>144.602936</v>
      </c>
      <c r="H51" s="32">
        <v>148.16577100000001</v>
      </c>
      <c r="I51" s="32">
        <v>150.40237400000001</v>
      </c>
      <c r="J51" s="32">
        <v>151.406342</v>
      </c>
      <c r="K51" s="32">
        <v>151.63526899999999</v>
      </c>
      <c r="L51" s="32">
        <v>152.32547</v>
      </c>
      <c r="M51" s="32">
        <v>153.507034</v>
      </c>
      <c r="N51" s="32">
        <v>154.265961</v>
      </c>
      <c r="O51" s="32">
        <v>155.56304900000001</v>
      </c>
      <c r="P51" s="32">
        <v>157.03190599999999</v>
      </c>
      <c r="Q51" s="32">
        <v>158.73176599999999</v>
      </c>
      <c r="R51" s="32">
        <v>160.623199</v>
      </c>
      <c r="S51" s="32">
        <v>162.48426799999999</v>
      </c>
      <c r="T51" s="32">
        <v>164.74031099999999</v>
      </c>
      <c r="U51" s="32">
        <v>167.142426</v>
      </c>
      <c r="V51" s="32">
        <v>169.58796699999999</v>
      </c>
      <c r="W51" s="32">
        <v>171.99873400000001</v>
      </c>
      <c r="X51" s="32">
        <v>174.71856700000001</v>
      </c>
      <c r="Y51" s="32">
        <v>177.271423</v>
      </c>
      <c r="Z51" s="32">
        <v>179.601257</v>
      </c>
      <c r="AA51" s="32">
        <v>181.80445900000001</v>
      </c>
      <c r="AB51" s="32">
        <v>184.42834500000001</v>
      </c>
      <c r="AC51" s="32">
        <v>186.861603</v>
      </c>
      <c r="AD51" s="32">
        <v>189.53280599999999</v>
      </c>
      <c r="AE51" s="32">
        <v>192.52200300000001</v>
      </c>
      <c r="AF51" s="31">
        <v>1.5649E-2</v>
      </c>
      <c r="AG51" s="29"/>
    </row>
    <row r="52" spans="1:33" ht="15" customHeight="1">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row>
    <row r="53" spans="1:33" ht="15" customHeight="1">
      <c r="B53" s="33" t="s">
        <v>3267</v>
      </c>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row>
    <row r="54" spans="1:33" ht="15" customHeight="1">
      <c r="A54" s="34" t="s">
        <v>3268</v>
      </c>
      <c r="B54" s="37" t="s">
        <v>2345</v>
      </c>
      <c r="C54" s="36">
        <v>0.46639799999999998</v>
      </c>
      <c r="D54" s="36">
        <v>0.51960899999999999</v>
      </c>
      <c r="E54" s="36">
        <v>1.9165479999999999</v>
      </c>
      <c r="F54" s="36">
        <v>1.9563900000000001</v>
      </c>
      <c r="G54" s="36">
        <v>1.9740519999999999</v>
      </c>
      <c r="H54" s="36">
        <v>2.0318139999999998</v>
      </c>
      <c r="I54" s="36">
        <v>2.0524749999999998</v>
      </c>
      <c r="J54" s="36">
        <v>2.0361340000000001</v>
      </c>
      <c r="K54" s="36">
        <v>1.999444</v>
      </c>
      <c r="L54" s="36">
        <v>1.9648810000000001</v>
      </c>
      <c r="M54" s="36">
        <v>1.9376990000000001</v>
      </c>
      <c r="N54" s="36">
        <v>1.9142699999999999</v>
      </c>
      <c r="O54" s="36">
        <v>1.903079</v>
      </c>
      <c r="P54" s="36">
        <v>1.9035139999999999</v>
      </c>
      <c r="Q54" s="36">
        <v>1.909492</v>
      </c>
      <c r="R54" s="36">
        <v>1.90387</v>
      </c>
      <c r="S54" s="36">
        <v>1.89157</v>
      </c>
      <c r="T54" s="36">
        <v>1.8975770000000001</v>
      </c>
      <c r="U54" s="36">
        <v>1.885459</v>
      </c>
      <c r="V54" s="36">
        <v>1.8754029999999999</v>
      </c>
      <c r="W54" s="36">
        <v>1.8737010000000001</v>
      </c>
      <c r="X54" s="36">
        <v>1.869982</v>
      </c>
      <c r="Y54" s="36">
        <v>1.864009</v>
      </c>
      <c r="Z54" s="36">
        <v>1.857828</v>
      </c>
      <c r="AA54" s="36">
        <v>1.858992</v>
      </c>
      <c r="AB54" s="36">
        <v>1.85747</v>
      </c>
      <c r="AC54" s="36">
        <v>1.850295</v>
      </c>
      <c r="AD54" s="36">
        <v>1.845629</v>
      </c>
      <c r="AE54" s="36">
        <v>1.8415699999999999</v>
      </c>
      <c r="AF54" s="35">
        <v>5.0270000000000002E-2</v>
      </c>
      <c r="AG54" s="29"/>
    </row>
    <row r="55" spans="1:33" ht="15" customHeight="1">
      <c r="A55" s="34" t="s">
        <v>3269</v>
      </c>
      <c r="B55" s="37" t="s">
        <v>3226</v>
      </c>
      <c r="C55" s="36">
        <v>3.052314</v>
      </c>
      <c r="D55" s="36">
        <v>3.2132740000000002</v>
      </c>
      <c r="E55" s="36">
        <v>3.2047490000000001</v>
      </c>
      <c r="F55" s="36">
        <v>3.1747230000000002</v>
      </c>
      <c r="G55" s="36">
        <v>3.1615009999999999</v>
      </c>
      <c r="H55" s="36">
        <v>3.2128580000000002</v>
      </c>
      <c r="I55" s="36">
        <v>3.2492489999999998</v>
      </c>
      <c r="J55" s="36">
        <v>3.2239409999999999</v>
      </c>
      <c r="K55" s="36">
        <v>3.2024539999999999</v>
      </c>
      <c r="L55" s="36">
        <v>3.1969829999999999</v>
      </c>
      <c r="M55" s="36">
        <v>3.2306400000000002</v>
      </c>
      <c r="N55" s="36">
        <v>3.2631380000000001</v>
      </c>
      <c r="O55" s="36">
        <v>3.29264</v>
      </c>
      <c r="P55" s="36">
        <v>3.3258100000000002</v>
      </c>
      <c r="Q55" s="36">
        <v>3.3609710000000002</v>
      </c>
      <c r="R55" s="36">
        <v>3.3771499999999999</v>
      </c>
      <c r="S55" s="36">
        <v>3.403241</v>
      </c>
      <c r="T55" s="36">
        <v>3.4215499999999999</v>
      </c>
      <c r="U55" s="36">
        <v>3.444477</v>
      </c>
      <c r="V55" s="36">
        <v>3.4724200000000001</v>
      </c>
      <c r="W55" s="36">
        <v>3.506697</v>
      </c>
      <c r="X55" s="36">
        <v>3.5279090000000002</v>
      </c>
      <c r="Y55" s="36">
        <v>3.5446770000000001</v>
      </c>
      <c r="Z55" s="36">
        <v>3.5617570000000001</v>
      </c>
      <c r="AA55" s="36">
        <v>3.5858500000000002</v>
      </c>
      <c r="AB55" s="36">
        <v>3.6165129999999999</v>
      </c>
      <c r="AC55" s="36">
        <v>3.6418330000000001</v>
      </c>
      <c r="AD55" s="36">
        <v>3.662353</v>
      </c>
      <c r="AE55" s="36">
        <v>3.692758</v>
      </c>
      <c r="AF55" s="35">
        <v>6.8259999999999996E-3</v>
      </c>
      <c r="AG55" s="29"/>
    </row>
    <row r="56" spans="1:33" ht="12" customHeight="1">
      <c r="A56" s="34" t="s">
        <v>3270</v>
      </c>
      <c r="B56" s="37" t="s">
        <v>3228</v>
      </c>
      <c r="C56" s="36">
        <v>3.748513</v>
      </c>
      <c r="D56" s="36">
        <v>5.742102</v>
      </c>
      <c r="E56" s="36">
        <v>2.8609520000000002</v>
      </c>
      <c r="F56" s="36">
        <v>2.0230440000000001</v>
      </c>
      <c r="G56" s="36">
        <v>1.300243</v>
      </c>
      <c r="H56" s="36">
        <v>0.94110499999999997</v>
      </c>
      <c r="I56" s="36">
        <v>0.74162899999999998</v>
      </c>
      <c r="J56" s="36">
        <v>0.71688700000000005</v>
      </c>
      <c r="K56" s="36">
        <v>0.71423300000000001</v>
      </c>
      <c r="L56" s="36">
        <v>0.73116000000000003</v>
      </c>
      <c r="M56" s="36">
        <v>0.76296699999999995</v>
      </c>
      <c r="N56" s="36">
        <v>0.810029</v>
      </c>
      <c r="O56" s="36">
        <v>0.84744299999999995</v>
      </c>
      <c r="P56" s="36">
        <v>0.88168400000000002</v>
      </c>
      <c r="Q56" s="36">
        <v>0.894343</v>
      </c>
      <c r="R56" s="36">
        <v>0.90900499999999995</v>
      </c>
      <c r="S56" s="36">
        <v>0.953538</v>
      </c>
      <c r="T56" s="36">
        <v>0.93847400000000003</v>
      </c>
      <c r="U56" s="36">
        <v>0.98716300000000001</v>
      </c>
      <c r="V56" s="36">
        <v>1.0205949999999999</v>
      </c>
      <c r="W56" s="36">
        <v>1.0357529999999999</v>
      </c>
      <c r="X56" s="36">
        <v>1.0217620000000001</v>
      </c>
      <c r="Y56" s="36">
        <v>1.019817</v>
      </c>
      <c r="Z56" s="36">
        <v>1.0218860000000001</v>
      </c>
      <c r="AA56" s="36">
        <v>1.014575</v>
      </c>
      <c r="AB56" s="36">
        <v>1.014724</v>
      </c>
      <c r="AC56" s="36">
        <v>1.007917</v>
      </c>
      <c r="AD56" s="36">
        <v>0.98950000000000005</v>
      </c>
      <c r="AE56" s="36">
        <v>0.99062099999999997</v>
      </c>
      <c r="AF56" s="35">
        <v>-4.6415999999999999E-2</v>
      </c>
      <c r="AG56" s="29"/>
    </row>
    <row r="57" spans="1:33" ht="15" customHeight="1">
      <c r="A57" s="34" t="s">
        <v>3271</v>
      </c>
      <c r="B57" s="37" t="s">
        <v>3230</v>
      </c>
      <c r="C57" s="36">
        <v>0</v>
      </c>
      <c r="D57" s="36">
        <v>0</v>
      </c>
      <c r="E57" s="36">
        <v>0</v>
      </c>
      <c r="F57" s="36">
        <v>0</v>
      </c>
      <c r="G57" s="36">
        <v>0</v>
      </c>
      <c r="H57" s="36">
        <v>0</v>
      </c>
      <c r="I57" s="36">
        <v>0</v>
      </c>
      <c r="J57" s="36">
        <v>0</v>
      </c>
      <c r="K57" s="36">
        <v>0</v>
      </c>
      <c r="L57" s="36">
        <v>0</v>
      </c>
      <c r="M57" s="36">
        <v>0</v>
      </c>
      <c r="N57" s="36">
        <v>0</v>
      </c>
      <c r="O57" s="36">
        <v>0</v>
      </c>
      <c r="P57" s="36">
        <v>0</v>
      </c>
      <c r="Q57" s="36">
        <v>0</v>
      </c>
      <c r="R57" s="36">
        <v>0</v>
      </c>
      <c r="S57" s="36">
        <v>0</v>
      </c>
      <c r="T57" s="36">
        <v>0</v>
      </c>
      <c r="U57" s="36">
        <v>0</v>
      </c>
      <c r="V57" s="36">
        <v>0</v>
      </c>
      <c r="W57" s="36">
        <v>0</v>
      </c>
      <c r="X57" s="36">
        <v>0</v>
      </c>
      <c r="Y57" s="36">
        <v>0</v>
      </c>
      <c r="Z57" s="36">
        <v>0</v>
      </c>
      <c r="AA57" s="36">
        <v>0</v>
      </c>
      <c r="AB57" s="36">
        <v>0</v>
      </c>
      <c r="AC57" s="36">
        <v>0</v>
      </c>
      <c r="AD57" s="36">
        <v>0</v>
      </c>
      <c r="AE57" s="36">
        <v>0</v>
      </c>
      <c r="AF57" s="35" t="s">
        <v>1278</v>
      </c>
      <c r="AG57" s="29"/>
    </row>
    <row r="58" spans="1:33" ht="15" customHeight="1">
      <c r="A58" s="34" t="s">
        <v>3272</v>
      </c>
      <c r="B58" s="37" t="s">
        <v>3232</v>
      </c>
      <c r="C58" s="36">
        <v>7.2672239999999997</v>
      </c>
      <c r="D58" s="36">
        <v>9.4749850000000002</v>
      </c>
      <c r="E58" s="36">
        <v>7.9822480000000002</v>
      </c>
      <c r="F58" s="36">
        <v>7.1541579999999998</v>
      </c>
      <c r="G58" s="36">
        <v>6.4357959999999999</v>
      </c>
      <c r="H58" s="36">
        <v>6.1857769999999999</v>
      </c>
      <c r="I58" s="36">
        <v>6.0433529999999998</v>
      </c>
      <c r="J58" s="36">
        <v>5.9769629999999996</v>
      </c>
      <c r="K58" s="36">
        <v>5.916131</v>
      </c>
      <c r="L58" s="36">
        <v>5.8930230000000003</v>
      </c>
      <c r="M58" s="36">
        <v>5.9313060000000002</v>
      </c>
      <c r="N58" s="36">
        <v>5.987438</v>
      </c>
      <c r="O58" s="36">
        <v>6.0431609999999996</v>
      </c>
      <c r="P58" s="36">
        <v>6.111008</v>
      </c>
      <c r="Q58" s="36">
        <v>6.1648069999999997</v>
      </c>
      <c r="R58" s="36">
        <v>6.1900240000000002</v>
      </c>
      <c r="S58" s="36">
        <v>6.2483500000000003</v>
      </c>
      <c r="T58" s="36">
        <v>6.2576000000000001</v>
      </c>
      <c r="U58" s="36">
        <v>6.3170989999999998</v>
      </c>
      <c r="V58" s="36">
        <v>6.368417</v>
      </c>
      <c r="W58" s="36">
        <v>6.41615</v>
      </c>
      <c r="X58" s="36">
        <v>6.4196530000000003</v>
      </c>
      <c r="Y58" s="36">
        <v>6.4285030000000001</v>
      </c>
      <c r="Z58" s="36">
        <v>6.4414709999999999</v>
      </c>
      <c r="AA58" s="36">
        <v>6.459416</v>
      </c>
      <c r="AB58" s="36">
        <v>6.4887079999999999</v>
      </c>
      <c r="AC58" s="36">
        <v>6.5000450000000001</v>
      </c>
      <c r="AD58" s="36">
        <v>6.4974809999999996</v>
      </c>
      <c r="AE58" s="36">
        <v>6.5249499999999996</v>
      </c>
      <c r="AF58" s="35">
        <v>-3.8409999999999998E-3</v>
      </c>
      <c r="AG58" s="29"/>
    </row>
    <row r="59" spans="1:33" ht="15" customHeight="1">
      <c r="A59" s="34" t="s">
        <v>3273</v>
      </c>
      <c r="B59" s="37" t="s">
        <v>3234</v>
      </c>
      <c r="C59" s="36">
        <v>146.46005199999999</v>
      </c>
      <c r="D59" s="36">
        <v>151.134094</v>
      </c>
      <c r="E59" s="36">
        <v>157.36605800000001</v>
      </c>
      <c r="F59" s="36">
        <v>157.95504800000001</v>
      </c>
      <c r="G59" s="36">
        <v>159.806839</v>
      </c>
      <c r="H59" s="36">
        <v>163.63201900000001</v>
      </c>
      <c r="I59" s="36">
        <v>165.624786</v>
      </c>
      <c r="J59" s="36">
        <v>165.474548</v>
      </c>
      <c r="K59" s="36">
        <v>165.04510500000001</v>
      </c>
      <c r="L59" s="36">
        <v>165.245026</v>
      </c>
      <c r="M59" s="36">
        <v>166.88540599999999</v>
      </c>
      <c r="N59" s="36">
        <v>168.23848000000001</v>
      </c>
      <c r="O59" s="36">
        <v>169.57797199999999</v>
      </c>
      <c r="P59" s="36">
        <v>171.28276099999999</v>
      </c>
      <c r="Q59" s="36">
        <v>173.684326</v>
      </c>
      <c r="R59" s="36">
        <v>175.063751</v>
      </c>
      <c r="S59" s="36">
        <v>176.20632900000001</v>
      </c>
      <c r="T59" s="36">
        <v>178.251678</v>
      </c>
      <c r="U59" s="36">
        <v>179.64003</v>
      </c>
      <c r="V59" s="36">
        <v>181.72245799999999</v>
      </c>
      <c r="W59" s="36">
        <v>184.278839</v>
      </c>
      <c r="X59" s="36">
        <v>186.64842200000001</v>
      </c>
      <c r="Y59" s="36">
        <v>188.56300400000001</v>
      </c>
      <c r="Z59" s="36">
        <v>190.25396699999999</v>
      </c>
      <c r="AA59" s="36">
        <v>191.32392899999999</v>
      </c>
      <c r="AB59" s="36">
        <v>194.052719</v>
      </c>
      <c r="AC59" s="36">
        <v>196.50926200000001</v>
      </c>
      <c r="AD59" s="36">
        <v>198.859634</v>
      </c>
      <c r="AE59" s="36">
        <v>201.37170399999999</v>
      </c>
      <c r="AF59" s="35">
        <v>1.1436E-2</v>
      </c>
      <c r="AG59" s="29"/>
    </row>
    <row r="60" spans="1:33" ht="15" customHeight="1">
      <c r="A60" s="34" t="s">
        <v>3274</v>
      </c>
      <c r="B60" s="37" t="s">
        <v>3238</v>
      </c>
      <c r="C60" s="36">
        <v>0</v>
      </c>
      <c r="D60" s="36">
        <v>0</v>
      </c>
      <c r="E60" s="36">
        <v>0</v>
      </c>
      <c r="F60" s="36">
        <v>0</v>
      </c>
      <c r="G60" s="36">
        <v>0</v>
      </c>
      <c r="H60" s="36">
        <v>0</v>
      </c>
      <c r="I60" s="36">
        <v>0</v>
      </c>
      <c r="J60" s="36">
        <v>0</v>
      </c>
      <c r="K60" s="36">
        <v>0</v>
      </c>
      <c r="L60" s="36">
        <v>0</v>
      </c>
      <c r="M60" s="36">
        <v>0</v>
      </c>
      <c r="N60" s="36">
        <v>0</v>
      </c>
      <c r="O60" s="36">
        <v>0</v>
      </c>
      <c r="P60" s="36">
        <v>0</v>
      </c>
      <c r="Q60" s="36">
        <v>0</v>
      </c>
      <c r="R60" s="36">
        <v>0</v>
      </c>
      <c r="S60" s="36">
        <v>0</v>
      </c>
      <c r="T60" s="36">
        <v>0</v>
      </c>
      <c r="U60" s="36">
        <v>0</v>
      </c>
      <c r="V60" s="36">
        <v>0</v>
      </c>
      <c r="W60" s="36">
        <v>0</v>
      </c>
      <c r="X60" s="36">
        <v>0</v>
      </c>
      <c r="Y60" s="36">
        <v>0</v>
      </c>
      <c r="Z60" s="36">
        <v>0</v>
      </c>
      <c r="AA60" s="36">
        <v>0</v>
      </c>
      <c r="AB60" s="36">
        <v>0</v>
      </c>
      <c r="AC60" s="36">
        <v>0</v>
      </c>
      <c r="AD60" s="36">
        <v>0</v>
      </c>
      <c r="AE60" s="36">
        <v>0</v>
      </c>
      <c r="AF60" s="35" t="s">
        <v>1278</v>
      </c>
      <c r="AG60" s="29"/>
    </row>
    <row r="61" spans="1:33" ht="15" customHeight="1">
      <c r="A61" s="34" t="s">
        <v>3275</v>
      </c>
      <c r="B61" s="37" t="s">
        <v>3240</v>
      </c>
      <c r="C61" s="36">
        <v>0</v>
      </c>
      <c r="D61" s="36">
        <v>0</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v>0</v>
      </c>
      <c r="AF61" s="35" t="s">
        <v>1278</v>
      </c>
      <c r="AG61" s="29"/>
    </row>
    <row r="62" spans="1:33" ht="15" customHeight="1">
      <c r="A62" s="34" t="s">
        <v>3276</v>
      </c>
      <c r="B62" s="37" t="s">
        <v>3242</v>
      </c>
      <c r="C62" s="36">
        <v>165.264847</v>
      </c>
      <c r="D62" s="36">
        <v>174.54582199999999</v>
      </c>
      <c r="E62" s="36">
        <v>175.43843100000001</v>
      </c>
      <c r="F62" s="36">
        <v>173.59231600000001</v>
      </c>
      <c r="G62" s="36">
        <v>173.127151</v>
      </c>
      <c r="H62" s="36">
        <v>176.02409399999999</v>
      </c>
      <c r="I62" s="36">
        <v>177.94821200000001</v>
      </c>
      <c r="J62" s="36">
        <v>178.12325999999999</v>
      </c>
      <c r="K62" s="36">
        <v>177.997803</v>
      </c>
      <c r="L62" s="36">
        <v>178.811768</v>
      </c>
      <c r="M62" s="36">
        <v>181.24427800000001</v>
      </c>
      <c r="N62" s="36">
        <v>182.93043499999999</v>
      </c>
      <c r="O62" s="36">
        <v>184.76049800000001</v>
      </c>
      <c r="P62" s="36">
        <v>187.07037399999999</v>
      </c>
      <c r="Q62" s="36">
        <v>188.86773700000001</v>
      </c>
      <c r="R62" s="36">
        <v>189.67825300000001</v>
      </c>
      <c r="S62" s="36">
        <v>190.733688</v>
      </c>
      <c r="T62" s="36">
        <v>191.290649</v>
      </c>
      <c r="U62" s="36">
        <v>192.61338799999999</v>
      </c>
      <c r="V62" s="36">
        <v>194.30810500000001</v>
      </c>
      <c r="W62" s="36">
        <v>196.14695699999999</v>
      </c>
      <c r="X62" s="36">
        <v>197.45858799999999</v>
      </c>
      <c r="Y62" s="36">
        <v>198.22439600000001</v>
      </c>
      <c r="Z62" s="36">
        <v>199.40829500000001</v>
      </c>
      <c r="AA62" s="36">
        <v>201.73613</v>
      </c>
      <c r="AB62" s="36">
        <v>203.73297099999999</v>
      </c>
      <c r="AC62" s="36">
        <v>205.312378</v>
      </c>
      <c r="AD62" s="36">
        <v>206.76615899999999</v>
      </c>
      <c r="AE62" s="36">
        <v>208.814301</v>
      </c>
      <c r="AF62" s="35">
        <v>8.3879999999999996E-3</v>
      </c>
      <c r="AG62" s="29"/>
    </row>
    <row r="63" spans="1:33" ht="15" customHeight="1">
      <c r="A63" s="34" t="s">
        <v>3277</v>
      </c>
      <c r="B63" s="33" t="s">
        <v>3244</v>
      </c>
      <c r="C63" s="32">
        <v>318.99212599999998</v>
      </c>
      <c r="D63" s="32">
        <v>335.15490699999998</v>
      </c>
      <c r="E63" s="32">
        <v>340.786743</v>
      </c>
      <c r="F63" s="32">
        <v>338.70153800000003</v>
      </c>
      <c r="G63" s="32">
        <v>339.36978099999999</v>
      </c>
      <c r="H63" s="32">
        <v>345.84188799999998</v>
      </c>
      <c r="I63" s="32">
        <v>349.616333</v>
      </c>
      <c r="J63" s="32">
        <v>349.57476800000001</v>
      </c>
      <c r="K63" s="32">
        <v>348.959045</v>
      </c>
      <c r="L63" s="32">
        <v>349.94982900000002</v>
      </c>
      <c r="M63" s="32">
        <v>354.06097399999999</v>
      </c>
      <c r="N63" s="32">
        <v>357.15637199999998</v>
      </c>
      <c r="O63" s="32">
        <v>360.38165300000003</v>
      </c>
      <c r="P63" s="32">
        <v>364.46414199999998</v>
      </c>
      <c r="Q63" s="32">
        <v>368.716858</v>
      </c>
      <c r="R63" s="32">
        <v>370.932007</v>
      </c>
      <c r="S63" s="32">
        <v>373.188354</v>
      </c>
      <c r="T63" s="32">
        <v>375.79992700000003</v>
      </c>
      <c r="U63" s="32">
        <v>378.57049599999999</v>
      </c>
      <c r="V63" s="32">
        <v>382.39898699999998</v>
      </c>
      <c r="W63" s="32">
        <v>386.841949</v>
      </c>
      <c r="X63" s="32">
        <v>390.52667200000002</v>
      </c>
      <c r="Y63" s="32">
        <v>393.21588100000002</v>
      </c>
      <c r="Z63" s="32">
        <v>396.10372899999999</v>
      </c>
      <c r="AA63" s="32">
        <v>399.51947000000001</v>
      </c>
      <c r="AB63" s="32">
        <v>404.27441399999998</v>
      </c>
      <c r="AC63" s="32">
        <v>408.321686</v>
      </c>
      <c r="AD63" s="32">
        <v>412.12329099999999</v>
      </c>
      <c r="AE63" s="32">
        <v>416.710938</v>
      </c>
      <c r="AF63" s="31">
        <v>9.5890000000000003E-3</v>
      </c>
      <c r="AG63" s="29"/>
    </row>
    <row r="64" spans="1:33" ht="15" customHeight="1">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row>
    <row r="65" spans="1:33" ht="15" customHeight="1">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row>
    <row r="66" spans="1:33" ht="15" customHeight="1">
      <c r="B66" s="33" t="s">
        <v>3278</v>
      </c>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row>
    <row r="67" spans="1:33" ht="15" customHeight="1">
      <c r="A67" s="34" t="s">
        <v>3279</v>
      </c>
      <c r="B67" s="37" t="s">
        <v>2345</v>
      </c>
      <c r="C67" s="36">
        <v>0.23811599999999999</v>
      </c>
      <c r="D67" s="36">
        <v>0.255189</v>
      </c>
      <c r="E67" s="36">
        <v>0.92512000000000005</v>
      </c>
      <c r="F67" s="36">
        <v>0.97604900000000006</v>
      </c>
      <c r="G67" s="36">
        <v>1.0045219999999999</v>
      </c>
      <c r="H67" s="36">
        <v>1.0254939999999999</v>
      </c>
      <c r="I67" s="36">
        <v>1.0326709999999999</v>
      </c>
      <c r="J67" s="36">
        <v>1.0284580000000001</v>
      </c>
      <c r="K67" s="36">
        <v>1.0158529999999999</v>
      </c>
      <c r="L67" s="36">
        <v>0.99826400000000004</v>
      </c>
      <c r="M67" s="36">
        <v>0.98327299999999995</v>
      </c>
      <c r="N67" s="36">
        <v>0.97404900000000005</v>
      </c>
      <c r="O67" s="36">
        <v>0.96997</v>
      </c>
      <c r="P67" s="36">
        <v>0.97148500000000004</v>
      </c>
      <c r="Q67" s="36">
        <v>0.97636500000000004</v>
      </c>
      <c r="R67" s="36">
        <v>0.98249399999999998</v>
      </c>
      <c r="S67" s="36">
        <v>0.98573100000000002</v>
      </c>
      <c r="T67" s="36">
        <v>0.99958899999999995</v>
      </c>
      <c r="U67" s="36">
        <v>1.0050950000000001</v>
      </c>
      <c r="V67" s="36">
        <v>1.013009</v>
      </c>
      <c r="W67" s="36">
        <v>1.023871</v>
      </c>
      <c r="X67" s="36">
        <v>1.0379309999999999</v>
      </c>
      <c r="Y67" s="36">
        <v>1.0527059999999999</v>
      </c>
      <c r="Z67" s="36">
        <v>1.0646789999999999</v>
      </c>
      <c r="AA67" s="36">
        <v>1.0791519999999999</v>
      </c>
      <c r="AB67" s="36">
        <v>1.092473</v>
      </c>
      <c r="AC67" s="36">
        <v>1.103799</v>
      </c>
      <c r="AD67" s="36">
        <v>1.11737</v>
      </c>
      <c r="AE67" s="36">
        <v>1.133262</v>
      </c>
      <c r="AF67" s="35">
        <v>5.7299000000000003E-2</v>
      </c>
      <c r="AG67" s="29"/>
    </row>
    <row r="68" spans="1:33" ht="12" customHeight="1">
      <c r="A68" s="34" t="s">
        <v>3280</v>
      </c>
      <c r="B68" s="37" t="s">
        <v>3226</v>
      </c>
      <c r="C68" s="36">
        <v>0</v>
      </c>
      <c r="D68" s="36">
        <v>0</v>
      </c>
      <c r="E68" s="36">
        <v>0</v>
      </c>
      <c r="F68" s="36">
        <v>0</v>
      </c>
      <c r="G68" s="36">
        <v>0</v>
      </c>
      <c r="H68" s="36">
        <v>0</v>
      </c>
      <c r="I68" s="36">
        <v>0</v>
      </c>
      <c r="J68" s="36">
        <v>0</v>
      </c>
      <c r="K68" s="36">
        <v>0</v>
      </c>
      <c r="L68" s="36">
        <v>0</v>
      </c>
      <c r="M68" s="36">
        <v>0</v>
      </c>
      <c r="N68" s="36">
        <v>0</v>
      </c>
      <c r="O68" s="36">
        <v>0</v>
      </c>
      <c r="P68" s="36">
        <v>0</v>
      </c>
      <c r="Q68" s="36">
        <v>0</v>
      </c>
      <c r="R68" s="36">
        <v>0</v>
      </c>
      <c r="S68" s="36">
        <v>0</v>
      </c>
      <c r="T68" s="36">
        <v>0</v>
      </c>
      <c r="U68" s="36">
        <v>0</v>
      </c>
      <c r="V68" s="36">
        <v>0</v>
      </c>
      <c r="W68" s="36">
        <v>0</v>
      </c>
      <c r="X68" s="36">
        <v>0</v>
      </c>
      <c r="Y68" s="36">
        <v>0</v>
      </c>
      <c r="Z68" s="36">
        <v>0</v>
      </c>
      <c r="AA68" s="36">
        <v>0</v>
      </c>
      <c r="AB68" s="36">
        <v>0</v>
      </c>
      <c r="AC68" s="36">
        <v>0</v>
      </c>
      <c r="AD68" s="36">
        <v>0</v>
      </c>
      <c r="AE68" s="36">
        <v>0</v>
      </c>
      <c r="AF68" s="35" t="s">
        <v>1278</v>
      </c>
      <c r="AG68" s="29"/>
    </row>
    <row r="69" spans="1:33" ht="15" customHeight="1">
      <c r="A69" s="34" t="s">
        <v>3281</v>
      </c>
      <c r="B69" s="37" t="s">
        <v>3228</v>
      </c>
      <c r="C69" s="36">
        <v>0</v>
      </c>
      <c r="D69" s="36">
        <v>0</v>
      </c>
      <c r="E69" s="36">
        <v>0</v>
      </c>
      <c r="F69" s="36">
        <v>0</v>
      </c>
      <c r="G69" s="36">
        <v>0</v>
      </c>
      <c r="H69" s="36">
        <v>0</v>
      </c>
      <c r="I69" s="36">
        <v>0</v>
      </c>
      <c r="J69" s="36">
        <v>0</v>
      </c>
      <c r="K69" s="36">
        <v>0</v>
      </c>
      <c r="L69" s="36">
        <v>0</v>
      </c>
      <c r="M69" s="36">
        <v>0</v>
      </c>
      <c r="N69" s="36">
        <v>0</v>
      </c>
      <c r="O69" s="36">
        <v>0</v>
      </c>
      <c r="P69" s="36">
        <v>0</v>
      </c>
      <c r="Q69" s="36">
        <v>0</v>
      </c>
      <c r="R69" s="36">
        <v>0</v>
      </c>
      <c r="S69" s="36">
        <v>0</v>
      </c>
      <c r="T69" s="36">
        <v>0</v>
      </c>
      <c r="U69" s="36">
        <v>0</v>
      </c>
      <c r="V69" s="36">
        <v>0</v>
      </c>
      <c r="W69" s="36">
        <v>0</v>
      </c>
      <c r="X69" s="36">
        <v>0</v>
      </c>
      <c r="Y69" s="36">
        <v>0</v>
      </c>
      <c r="Z69" s="36">
        <v>0</v>
      </c>
      <c r="AA69" s="36">
        <v>0</v>
      </c>
      <c r="AB69" s="36">
        <v>0</v>
      </c>
      <c r="AC69" s="36">
        <v>0</v>
      </c>
      <c r="AD69" s="36">
        <v>0</v>
      </c>
      <c r="AE69" s="36">
        <v>0</v>
      </c>
      <c r="AF69" s="35" t="s">
        <v>1278</v>
      </c>
      <c r="AG69" s="29"/>
    </row>
    <row r="70" spans="1:33" ht="15" customHeight="1">
      <c r="A70" s="34" t="s">
        <v>3282</v>
      </c>
      <c r="B70" s="37" t="s">
        <v>3230</v>
      </c>
      <c r="C70" s="36">
        <v>0</v>
      </c>
      <c r="D70" s="36">
        <v>0</v>
      </c>
      <c r="E70" s="36">
        <v>0</v>
      </c>
      <c r="F70" s="36">
        <v>0</v>
      </c>
      <c r="G70" s="36">
        <v>0</v>
      </c>
      <c r="H70" s="36">
        <v>0</v>
      </c>
      <c r="I70" s="36">
        <v>0</v>
      </c>
      <c r="J70" s="36">
        <v>0</v>
      </c>
      <c r="K70" s="36">
        <v>0</v>
      </c>
      <c r="L70" s="36">
        <v>0</v>
      </c>
      <c r="M70" s="36">
        <v>0</v>
      </c>
      <c r="N70" s="36">
        <v>0</v>
      </c>
      <c r="O70" s="36">
        <v>0</v>
      </c>
      <c r="P70" s="36">
        <v>0</v>
      </c>
      <c r="Q70" s="36">
        <v>0</v>
      </c>
      <c r="R70" s="36">
        <v>0</v>
      </c>
      <c r="S70" s="36">
        <v>0</v>
      </c>
      <c r="T70" s="36">
        <v>0</v>
      </c>
      <c r="U70" s="36">
        <v>0</v>
      </c>
      <c r="V70" s="36">
        <v>0</v>
      </c>
      <c r="W70" s="36">
        <v>0</v>
      </c>
      <c r="X70" s="36">
        <v>0</v>
      </c>
      <c r="Y70" s="36">
        <v>0</v>
      </c>
      <c r="Z70" s="36">
        <v>0</v>
      </c>
      <c r="AA70" s="36">
        <v>0</v>
      </c>
      <c r="AB70" s="36">
        <v>0</v>
      </c>
      <c r="AC70" s="36">
        <v>0</v>
      </c>
      <c r="AD70" s="36">
        <v>0</v>
      </c>
      <c r="AE70" s="36">
        <v>0</v>
      </c>
      <c r="AF70" s="35" t="s">
        <v>1278</v>
      </c>
      <c r="AG70" s="29"/>
    </row>
    <row r="71" spans="1:33" ht="15" customHeight="1">
      <c r="A71" s="34" t="s">
        <v>3283</v>
      </c>
      <c r="B71" s="37" t="s">
        <v>3232</v>
      </c>
      <c r="C71" s="36">
        <v>0.23811599999999999</v>
      </c>
      <c r="D71" s="36">
        <v>0.255189</v>
      </c>
      <c r="E71" s="36">
        <v>0.92512000000000005</v>
      </c>
      <c r="F71" s="36">
        <v>0.97604900000000006</v>
      </c>
      <c r="G71" s="36">
        <v>1.0045219999999999</v>
      </c>
      <c r="H71" s="36">
        <v>1.0254939999999999</v>
      </c>
      <c r="I71" s="36">
        <v>1.0326709999999999</v>
      </c>
      <c r="J71" s="36">
        <v>1.0284580000000001</v>
      </c>
      <c r="K71" s="36">
        <v>1.0158529999999999</v>
      </c>
      <c r="L71" s="36">
        <v>0.99826400000000004</v>
      </c>
      <c r="M71" s="36">
        <v>0.98327299999999995</v>
      </c>
      <c r="N71" s="36">
        <v>0.97404900000000005</v>
      </c>
      <c r="O71" s="36">
        <v>0.96997</v>
      </c>
      <c r="P71" s="36">
        <v>0.97148500000000004</v>
      </c>
      <c r="Q71" s="36">
        <v>0.97636500000000004</v>
      </c>
      <c r="R71" s="36">
        <v>0.98249399999999998</v>
      </c>
      <c r="S71" s="36">
        <v>0.98573100000000002</v>
      </c>
      <c r="T71" s="36">
        <v>0.99958899999999995</v>
      </c>
      <c r="U71" s="36">
        <v>1.0050950000000001</v>
      </c>
      <c r="V71" s="36">
        <v>1.013009</v>
      </c>
      <c r="W71" s="36">
        <v>1.023871</v>
      </c>
      <c r="X71" s="36">
        <v>1.0379309999999999</v>
      </c>
      <c r="Y71" s="36">
        <v>1.0527059999999999</v>
      </c>
      <c r="Z71" s="36">
        <v>1.0646789999999999</v>
      </c>
      <c r="AA71" s="36">
        <v>1.0791519999999999</v>
      </c>
      <c r="AB71" s="36">
        <v>1.092473</v>
      </c>
      <c r="AC71" s="36">
        <v>1.103799</v>
      </c>
      <c r="AD71" s="36">
        <v>1.11737</v>
      </c>
      <c r="AE71" s="36">
        <v>1.133262</v>
      </c>
      <c r="AF71" s="35">
        <v>5.7299000000000003E-2</v>
      </c>
      <c r="AG71" s="29"/>
    </row>
    <row r="72" spans="1:33" ht="15" customHeight="1">
      <c r="A72" s="34" t="s">
        <v>3284</v>
      </c>
      <c r="B72" s="37" t="s">
        <v>3234</v>
      </c>
      <c r="C72" s="36">
        <v>31.673136</v>
      </c>
      <c r="D72" s="36">
        <v>31.199669</v>
      </c>
      <c r="E72" s="36">
        <v>31.899929</v>
      </c>
      <c r="F72" s="36">
        <v>32.584311999999997</v>
      </c>
      <c r="G72" s="36">
        <v>33.250712999999998</v>
      </c>
      <c r="H72" s="36">
        <v>33.770122999999998</v>
      </c>
      <c r="I72" s="36">
        <v>34.086063000000003</v>
      </c>
      <c r="J72" s="36">
        <v>34.195301000000001</v>
      </c>
      <c r="K72" s="36">
        <v>34.192787000000003</v>
      </c>
      <c r="L72" s="36">
        <v>34.035857999999998</v>
      </c>
      <c r="M72" s="36">
        <v>34.206558000000001</v>
      </c>
      <c r="N72" s="36">
        <v>34.569740000000003</v>
      </c>
      <c r="O72" s="36">
        <v>34.993015</v>
      </c>
      <c r="P72" s="36">
        <v>35.482342000000003</v>
      </c>
      <c r="Q72" s="36">
        <v>36.089100000000002</v>
      </c>
      <c r="R72" s="36">
        <v>36.724068000000003</v>
      </c>
      <c r="S72" s="36">
        <v>37.354121999999997</v>
      </c>
      <c r="T72" s="36">
        <v>38.155304000000001</v>
      </c>
      <c r="U72" s="36">
        <v>38.835284999999999</v>
      </c>
      <c r="V72" s="36">
        <v>39.584991000000002</v>
      </c>
      <c r="W72" s="36">
        <v>40.356448999999998</v>
      </c>
      <c r="X72" s="36">
        <v>41.220604000000002</v>
      </c>
      <c r="Y72" s="36">
        <v>42.068043000000003</v>
      </c>
      <c r="Z72" s="36">
        <v>42.838360000000002</v>
      </c>
      <c r="AA72" s="36">
        <v>43.48489</v>
      </c>
      <c r="AB72" s="36">
        <v>44.373252999999998</v>
      </c>
      <c r="AC72" s="36">
        <v>45.267646999999997</v>
      </c>
      <c r="AD72" s="36">
        <v>46.148238999999997</v>
      </c>
      <c r="AE72" s="36">
        <v>47.148910999999998</v>
      </c>
      <c r="AF72" s="35">
        <v>1.431E-2</v>
      </c>
      <c r="AG72" s="29"/>
    </row>
    <row r="73" spans="1:33" ht="15" customHeight="1">
      <c r="A73" s="34" t="s">
        <v>3285</v>
      </c>
      <c r="B73" s="37" t="s">
        <v>3238</v>
      </c>
      <c r="C73" s="36">
        <v>0</v>
      </c>
      <c r="D73" s="36">
        <v>0</v>
      </c>
      <c r="E73" s="36">
        <v>0</v>
      </c>
      <c r="F73" s="36">
        <v>0</v>
      </c>
      <c r="G73" s="36">
        <v>0</v>
      </c>
      <c r="H73" s="36">
        <v>0</v>
      </c>
      <c r="I73" s="36">
        <v>0</v>
      </c>
      <c r="J73" s="36">
        <v>0</v>
      </c>
      <c r="K73" s="36">
        <v>0</v>
      </c>
      <c r="L73" s="36">
        <v>0</v>
      </c>
      <c r="M73" s="36">
        <v>0</v>
      </c>
      <c r="N73" s="36">
        <v>0</v>
      </c>
      <c r="O73" s="36">
        <v>0</v>
      </c>
      <c r="P73" s="36">
        <v>0</v>
      </c>
      <c r="Q73" s="36">
        <v>0</v>
      </c>
      <c r="R73" s="36">
        <v>0</v>
      </c>
      <c r="S73" s="36">
        <v>0</v>
      </c>
      <c r="T73" s="36">
        <v>0</v>
      </c>
      <c r="U73" s="36">
        <v>0</v>
      </c>
      <c r="V73" s="36">
        <v>0</v>
      </c>
      <c r="W73" s="36">
        <v>0</v>
      </c>
      <c r="X73" s="36">
        <v>0</v>
      </c>
      <c r="Y73" s="36">
        <v>0</v>
      </c>
      <c r="Z73" s="36">
        <v>0</v>
      </c>
      <c r="AA73" s="36">
        <v>0</v>
      </c>
      <c r="AB73" s="36">
        <v>0</v>
      </c>
      <c r="AC73" s="36">
        <v>0</v>
      </c>
      <c r="AD73" s="36">
        <v>0</v>
      </c>
      <c r="AE73" s="36">
        <v>0</v>
      </c>
      <c r="AF73" s="35" t="s">
        <v>1278</v>
      </c>
      <c r="AG73" s="29"/>
    </row>
    <row r="74" spans="1:33" ht="15" customHeight="1">
      <c r="A74" s="34" t="s">
        <v>3286</v>
      </c>
      <c r="B74" s="37" t="s">
        <v>3240</v>
      </c>
      <c r="C74" s="36">
        <v>0</v>
      </c>
      <c r="D74" s="36">
        <v>0</v>
      </c>
      <c r="E74" s="36">
        <v>0</v>
      </c>
      <c r="F74" s="36">
        <v>0</v>
      </c>
      <c r="G74" s="36">
        <v>0</v>
      </c>
      <c r="H74" s="36">
        <v>0</v>
      </c>
      <c r="I74" s="36">
        <v>0</v>
      </c>
      <c r="J74" s="36">
        <v>0</v>
      </c>
      <c r="K74" s="36">
        <v>0</v>
      </c>
      <c r="L74" s="36">
        <v>0</v>
      </c>
      <c r="M74" s="36">
        <v>0</v>
      </c>
      <c r="N74" s="36">
        <v>0</v>
      </c>
      <c r="O74" s="36">
        <v>0</v>
      </c>
      <c r="P74" s="36">
        <v>0</v>
      </c>
      <c r="Q74" s="36">
        <v>0</v>
      </c>
      <c r="R74" s="36">
        <v>0</v>
      </c>
      <c r="S74" s="36">
        <v>0</v>
      </c>
      <c r="T74" s="36">
        <v>0</v>
      </c>
      <c r="U74" s="36">
        <v>0</v>
      </c>
      <c r="V74" s="36">
        <v>0</v>
      </c>
      <c r="W74" s="36">
        <v>0</v>
      </c>
      <c r="X74" s="36">
        <v>0</v>
      </c>
      <c r="Y74" s="36">
        <v>0</v>
      </c>
      <c r="Z74" s="36">
        <v>0</v>
      </c>
      <c r="AA74" s="36">
        <v>0</v>
      </c>
      <c r="AB74" s="36">
        <v>0</v>
      </c>
      <c r="AC74" s="36">
        <v>0</v>
      </c>
      <c r="AD74" s="36">
        <v>0</v>
      </c>
      <c r="AE74" s="36">
        <v>0</v>
      </c>
      <c r="AF74" s="35" t="s">
        <v>1278</v>
      </c>
      <c r="AG74" s="29"/>
    </row>
    <row r="75" spans="1:33" ht="15" customHeight="1">
      <c r="A75" s="34" t="s">
        <v>3287</v>
      </c>
      <c r="B75" s="37" t="s">
        <v>3242</v>
      </c>
      <c r="C75" s="36">
        <v>41.013213999999998</v>
      </c>
      <c r="D75" s="36">
        <v>42.065337999999997</v>
      </c>
      <c r="E75" s="36">
        <v>42.560912999999999</v>
      </c>
      <c r="F75" s="36">
        <v>43.441943999999999</v>
      </c>
      <c r="G75" s="36">
        <v>44.292350999999996</v>
      </c>
      <c r="H75" s="36">
        <v>45.099586000000002</v>
      </c>
      <c r="I75" s="36">
        <v>45.787956000000001</v>
      </c>
      <c r="J75" s="36">
        <v>46.284027000000002</v>
      </c>
      <c r="K75" s="36">
        <v>46.620659000000003</v>
      </c>
      <c r="L75" s="36">
        <v>46.750594999999997</v>
      </c>
      <c r="M75" s="36">
        <v>47.390942000000003</v>
      </c>
      <c r="N75" s="36">
        <v>48.264366000000003</v>
      </c>
      <c r="O75" s="36">
        <v>49.219428999999998</v>
      </c>
      <c r="P75" s="36">
        <v>50.278660000000002</v>
      </c>
      <c r="Q75" s="36">
        <v>51.300483999999997</v>
      </c>
      <c r="R75" s="36">
        <v>52.392063</v>
      </c>
      <c r="S75" s="36">
        <v>53.565998</v>
      </c>
      <c r="T75" s="36">
        <v>54.729523</v>
      </c>
      <c r="U75" s="36">
        <v>55.987816000000002</v>
      </c>
      <c r="V75" s="36">
        <v>57.296173000000003</v>
      </c>
      <c r="W75" s="36">
        <v>58.554760000000002</v>
      </c>
      <c r="X75" s="36">
        <v>59.898257999999998</v>
      </c>
      <c r="Y75" s="36">
        <v>61.201504</v>
      </c>
      <c r="Z75" s="36">
        <v>62.497475000000001</v>
      </c>
      <c r="AA75" s="36">
        <v>63.868209999999998</v>
      </c>
      <c r="AB75" s="36">
        <v>65.297950999999998</v>
      </c>
      <c r="AC75" s="36">
        <v>66.709641000000005</v>
      </c>
      <c r="AD75" s="36">
        <v>68.097969000000006</v>
      </c>
      <c r="AE75" s="36">
        <v>69.768722999999994</v>
      </c>
      <c r="AF75" s="35">
        <v>1.9155999999999999E-2</v>
      </c>
      <c r="AG75" s="29"/>
    </row>
    <row r="76" spans="1:33" ht="15" customHeight="1">
      <c r="A76" s="34" t="s">
        <v>3288</v>
      </c>
      <c r="B76" s="33" t="s">
        <v>3244</v>
      </c>
      <c r="C76" s="32">
        <v>72.924469000000002</v>
      </c>
      <c r="D76" s="32">
        <v>73.520195000000001</v>
      </c>
      <c r="E76" s="32">
        <v>75.385963000000004</v>
      </c>
      <c r="F76" s="32">
        <v>77.002303999999995</v>
      </c>
      <c r="G76" s="32">
        <v>78.547584999999998</v>
      </c>
      <c r="H76" s="32">
        <v>79.895202999999995</v>
      </c>
      <c r="I76" s="32">
        <v>80.906693000000004</v>
      </c>
      <c r="J76" s="32">
        <v>81.507782000000006</v>
      </c>
      <c r="K76" s="32">
        <v>81.829300000000003</v>
      </c>
      <c r="L76" s="32">
        <v>81.784713999999994</v>
      </c>
      <c r="M76" s="32">
        <v>82.580771999999996</v>
      </c>
      <c r="N76" s="32">
        <v>83.808150999999995</v>
      </c>
      <c r="O76" s="32">
        <v>85.182418999999996</v>
      </c>
      <c r="P76" s="32">
        <v>86.732483000000002</v>
      </c>
      <c r="Q76" s="32">
        <v>88.365951999999993</v>
      </c>
      <c r="R76" s="32">
        <v>90.098624999999998</v>
      </c>
      <c r="S76" s="32">
        <v>91.905852999999993</v>
      </c>
      <c r="T76" s="32">
        <v>93.884415000000004</v>
      </c>
      <c r="U76" s="32">
        <v>95.828201000000007</v>
      </c>
      <c r="V76" s="32">
        <v>97.894172999999995</v>
      </c>
      <c r="W76" s="32">
        <v>99.935080999999997</v>
      </c>
      <c r="X76" s="32">
        <v>102.156792</v>
      </c>
      <c r="Y76" s="32">
        <v>104.32225</v>
      </c>
      <c r="Z76" s="32">
        <v>106.400513</v>
      </c>
      <c r="AA76" s="32">
        <v>108.43225099999999</v>
      </c>
      <c r="AB76" s="32">
        <v>110.763672</v>
      </c>
      <c r="AC76" s="32">
        <v>113.081085</v>
      </c>
      <c r="AD76" s="32">
        <v>115.363579</v>
      </c>
      <c r="AE76" s="32">
        <v>118.05089599999999</v>
      </c>
      <c r="AF76" s="31">
        <v>1.7351999999999999E-2</v>
      </c>
      <c r="AG76" s="29"/>
    </row>
    <row r="77" spans="1:33" ht="15" customHeight="1">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1:33" ht="15" customHeight="1">
      <c r="B78" s="33" t="s">
        <v>2695</v>
      </c>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1:33" ht="15" customHeight="1">
      <c r="A79" s="34" t="s">
        <v>3289</v>
      </c>
      <c r="B79" s="37" t="s">
        <v>3290</v>
      </c>
      <c r="C79" s="53">
        <v>361.08462500000002</v>
      </c>
      <c r="D79" s="53">
        <v>354.09451300000001</v>
      </c>
      <c r="E79" s="53">
        <v>351.484802</v>
      </c>
      <c r="F79" s="53">
        <v>357.95004299999999</v>
      </c>
      <c r="G79" s="53">
        <v>369.75707999999997</v>
      </c>
      <c r="H79" s="53">
        <v>379.725708</v>
      </c>
      <c r="I79" s="53">
        <v>385.55938700000002</v>
      </c>
      <c r="J79" s="53">
        <v>390.02487200000002</v>
      </c>
      <c r="K79" s="53">
        <v>392.792755</v>
      </c>
      <c r="L79" s="53">
        <v>396.91482500000001</v>
      </c>
      <c r="M79" s="53">
        <v>405.37014799999997</v>
      </c>
      <c r="N79" s="53">
        <v>412.59906000000001</v>
      </c>
      <c r="O79" s="53">
        <v>418.59823599999999</v>
      </c>
      <c r="P79" s="53">
        <v>426.64352400000001</v>
      </c>
      <c r="Q79" s="53">
        <v>435.44189499999999</v>
      </c>
      <c r="R79" s="53">
        <v>445.069458</v>
      </c>
      <c r="S79" s="53">
        <v>454.907623</v>
      </c>
      <c r="T79" s="53">
        <v>462.154358</v>
      </c>
      <c r="U79" s="53">
        <v>469.06369000000001</v>
      </c>
      <c r="V79" s="53">
        <v>478.09390300000001</v>
      </c>
      <c r="W79" s="53">
        <v>485.71447799999999</v>
      </c>
      <c r="X79" s="53">
        <v>492.09628300000003</v>
      </c>
      <c r="Y79" s="53">
        <v>496.24026500000002</v>
      </c>
      <c r="Z79" s="53">
        <v>498.41033900000002</v>
      </c>
      <c r="AA79" s="53">
        <v>500.96777300000002</v>
      </c>
      <c r="AB79" s="53">
        <v>505.22824100000003</v>
      </c>
      <c r="AC79" s="53">
        <v>507.26754799999998</v>
      </c>
      <c r="AD79" s="53">
        <v>507.686127</v>
      </c>
      <c r="AE79" s="53">
        <v>514.91851799999995</v>
      </c>
      <c r="AF79" s="35">
        <v>1.2756E-2</v>
      </c>
      <c r="AG79" s="29"/>
    </row>
    <row r="80" spans="1:33" ht="12" customHeight="1">
      <c r="A80" s="34" t="s">
        <v>3291</v>
      </c>
      <c r="B80" s="37" t="s">
        <v>3292</v>
      </c>
      <c r="C80" s="53">
        <v>399.61200000000002</v>
      </c>
      <c r="D80" s="53">
        <v>393.56274400000001</v>
      </c>
      <c r="E80" s="53">
        <v>393.80505399999998</v>
      </c>
      <c r="F80" s="53">
        <v>398.59121699999997</v>
      </c>
      <c r="G80" s="53">
        <v>413.20257600000002</v>
      </c>
      <c r="H80" s="53">
        <v>426.06222500000001</v>
      </c>
      <c r="I80" s="53">
        <v>431.62191799999999</v>
      </c>
      <c r="J80" s="53">
        <v>436.47894300000002</v>
      </c>
      <c r="K80" s="53">
        <v>441.38394199999999</v>
      </c>
      <c r="L80" s="53">
        <v>448.80239899999998</v>
      </c>
      <c r="M80" s="53">
        <v>460.85583500000001</v>
      </c>
      <c r="N80" s="53">
        <v>470.08538800000002</v>
      </c>
      <c r="O80" s="53">
        <v>477.91143799999998</v>
      </c>
      <c r="P80" s="53">
        <v>487.04830900000002</v>
      </c>
      <c r="Q80" s="53">
        <v>495.56310999999999</v>
      </c>
      <c r="R80" s="53">
        <v>503.838593</v>
      </c>
      <c r="S80" s="53">
        <v>512.09667999999999</v>
      </c>
      <c r="T80" s="53">
        <v>518.91455099999996</v>
      </c>
      <c r="U80" s="53">
        <v>525.78979500000003</v>
      </c>
      <c r="V80" s="53">
        <v>533.87219200000004</v>
      </c>
      <c r="W80" s="53">
        <v>541.03369099999998</v>
      </c>
      <c r="X80" s="53">
        <v>546.68652299999997</v>
      </c>
      <c r="Y80" s="53">
        <v>551.02954099999999</v>
      </c>
      <c r="Z80" s="53">
        <v>554.63653599999998</v>
      </c>
      <c r="AA80" s="53">
        <v>560.65307600000006</v>
      </c>
      <c r="AB80" s="53">
        <v>567.37158199999999</v>
      </c>
      <c r="AC80" s="53">
        <v>573.516479</v>
      </c>
      <c r="AD80" s="53">
        <v>577.69525099999998</v>
      </c>
      <c r="AE80" s="53">
        <v>585.69397000000004</v>
      </c>
      <c r="AF80" s="35">
        <v>1.3747000000000001E-2</v>
      </c>
      <c r="AG80" s="29"/>
    </row>
    <row r="81" spans="1:33" ht="12" customHeight="1">
      <c r="A81" s="34" t="s">
        <v>3293</v>
      </c>
      <c r="B81" s="37" t="s">
        <v>3294</v>
      </c>
      <c r="C81" s="53">
        <v>506.49093599999998</v>
      </c>
      <c r="D81" s="53">
        <v>516.42877199999998</v>
      </c>
      <c r="E81" s="53">
        <v>532.86395300000004</v>
      </c>
      <c r="F81" s="53">
        <v>553.77117899999996</v>
      </c>
      <c r="G81" s="53">
        <v>577.25573699999995</v>
      </c>
      <c r="H81" s="53">
        <v>597.36413600000003</v>
      </c>
      <c r="I81" s="53">
        <v>614.67828399999996</v>
      </c>
      <c r="J81" s="53">
        <v>627.72113000000002</v>
      </c>
      <c r="K81" s="53">
        <v>637.34918200000004</v>
      </c>
      <c r="L81" s="53">
        <v>648.73742700000003</v>
      </c>
      <c r="M81" s="53">
        <v>662.29174799999998</v>
      </c>
      <c r="N81" s="53">
        <v>675.88458300000002</v>
      </c>
      <c r="O81" s="53">
        <v>690.44891399999995</v>
      </c>
      <c r="P81" s="53">
        <v>704.77856399999996</v>
      </c>
      <c r="Q81" s="53">
        <v>720.01513699999998</v>
      </c>
      <c r="R81" s="53">
        <v>736.80139199999996</v>
      </c>
      <c r="S81" s="53">
        <v>754.86901899999998</v>
      </c>
      <c r="T81" s="53">
        <v>773.49487299999998</v>
      </c>
      <c r="U81" s="53">
        <v>794.91992200000004</v>
      </c>
      <c r="V81" s="53">
        <v>816.08807400000001</v>
      </c>
      <c r="W81" s="53">
        <v>835.03979500000003</v>
      </c>
      <c r="X81" s="53">
        <v>855.20025599999997</v>
      </c>
      <c r="Y81" s="53">
        <v>874.60534700000005</v>
      </c>
      <c r="Z81" s="53">
        <v>893.03076199999998</v>
      </c>
      <c r="AA81" s="53">
        <v>911.92706299999998</v>
      </c>
      <c r="AB81" s="53">
        <v>931.363831</v>
      </c>
      <c r="AC81" s="53">
        <v>950.155396</v>
      </c>
      <c r="AD81" s="53">
        <v>970.80560300000002</v>
      </c>
      <c r="AE81" s="53">
        <v>994.11694299999999</v>
      </c>
      <c r="AF81" s="35">
        <v>2.4375999999999998E-2</v>
      </c>
      <c r="AG81" s="29"/>
    </row>
    <row r="82" spans="1:33" ht="15" customHeight="1">
      <c r="A82" s="34" t="s">
        <v>3295</v>
      </c>
      <c r="B82" s="37" t="s">
        <v>3296</v>
      </c>
      <c r="C82" s="53">
        <v>1128.2124020000001</v>
      </c>
      <c r="D82" s="53">
        <v>1163.3079829999999</v>
      </c>
      <c r="E82" s="53">
        <v>1177.901245</v>
      </c>
      <c r="F82" s="53">
        <v>1174.456543</v>
      </c>
      <c r="G82" s="53">
        <v>1180.570557</v>
      </c>
      <c r="H82" s="53">
        <v>1202.499268</v>
      </c>
      <c r="I82" s="53">
        <v>1218.9282229999999</v>
      </c>
      <c r="J82" s="53">
        <v>1226.8570560000001</v>
      </c>
      <c r="K82" s="53">
        <v>1237.553711</v>
      </c>
      <c r="L82" s="53">
        <v>1256.5177000000001</v>
      </c>
      <c r="M82" s="53">
        <v>1288.404053</v>
      </c>
      <c r="N82" s="53">
        <v>1316.197754</v>
      </c>
      <c r="O82" s="53">
        <v>1337.4107670000001</v>
      </c>
      <c r="P82" s="53">
        <v>1360.609009</v>
      </c>
      <c r="Q82" s="53">
        <v>1382.859741</v>
      </c>
      <c r="R82" s="53">
        <v>1398.0405270000001</v>
      </c>
      <c r="S82" s="53">
        <v>1415.6757809999999</v>
      </c>
      <c r="T82" s="53">
        <v>1429.8842770000001</v>
      </c>
      <c r="U82" s="53">
        <v>1450.1400149999999</v>
      </c>
      <c r="V82" s="53">
        <v>1475.5817870000001</v>
      </c>
      <c r="W82" s="53">
        <v>1500.8208010000001</v>
      </c>
      <c r="X82" s="53">
        <v>1522.6357419999999</v>
      </c>
      <c r="Y82" s="53">
        <v>1540.6464840000001</v>
      </c>
      <c r="Z82" s="53">
        <v>1558.831543</v>
      </c>
      <c r="AA82" s="53">
        <v>1582.472534</v>
      </c>
      <c r="AB82" s="53">
        <v>1608.056274</v>
      </c>
      <c r="AC82" s="53">
        <v>1631.1317140000001</v>
      </c>
      <c r="AD82" s="53">
        <v>1653.2062989999999</v>
      </c>
      <c r="AE82" s="53">
        <v>1681.0548100000001</v>
      </c>
      <c r="AF82" s="35">
        <v>1.4344000000000001E-2</v>
      </c>
      <c r="AG82" s="29"/>
    </row>
    <row r="83" spans="1:33" ht="15" customHeight="1">
      <c r="A83" s="34" t="s">
        <v>3297</v>
      </c>
      <c r="B83" s="37" t="s">
        <v>3298</v>
      </c>
      <c r="C83" s="53">
        <v>136.71812399999999</v>
      </c>
      <c r="D83" s="53">
        <v>136.660156</v>
      </c>
      <c r="E83" s="53">
        <v>138.18132</v>
      </c>
      <c r="F83" s="53">
        <v>141.502182</v>
      </c>
      <c r="G83" s="53">
        <v>144.87214700000001</v>
      </c>
      <c r="H83" s="53">
        <v>147.97396900000001</v>
      </c>
      <c r="I83" s="53">
        <v>150.72811899999999</v>
      </c>
      <c r="J83" s="53">
        <v>153.04495199999999</v>
      </c>
      <c r="K83" s="53">
        <v>154.97905</v>
      </c>
      <c r="L83" s="53">
        <v>156.095932</v>
      </c>
      <c r="M83" s="53">
        <v>159.33145099999999</v>
      </c>
      <c r="N83" s="53">
        <v>163.81352200000001</v>
      </c>
      <c r="O83" s="53">
        <v>168.14465300000001</v>
      </c>
      <c r="P83" s="53">
        <v>172.72576900000001</v>
      </c>
      <c r="Q83" s="53">
        <v>177.38597100000001</v>
      </c>
      <c r="R83" s="53">
        <v>182.320007</v>
      </c>
      <c r="S83" s="53">
        <v>187.67952</v>
      </c>
      <c r="T83" s="53">
        <v>192.963043</v>
      </c>
      <c r="U83" s="53">
        <v>198.58502200000001</v>
      </c>
      <c r="V83" s="53">
        <v>204.38623000000001</v>
      </c>
      <c r="W83" s="53">
        <v>209.77015700000001</v>
      </c>
      <c r="X83" s="53">
        <v>215.49572800000001</v>
      </c>
      <c r="Y83" s="53">
        <v>221.13317900000001</v>
      </c>
      <c r="Z83" s="53">
        <v>226.601257</v>
      </c>
      <c r="AA83" s="53">
        <v>232.24366800000001</v>
      </c>
      <c r="AB83" s="53">
        <v>238.18220500000001</v>
      </c>
      <c r="AC83" s="53">
        <v>244.16102599999999</v>
      </c>
      <c r="AD83" s="53">
        <v>250.01297</v>
      </c>
      <c r="AE83" s="53">
        <v>257.04513500000002</v>
      </c>
      <c r="AF83" s="35">
        <v>2.2804000000000001E-2</v>
      </c>
      <c r="AG83" s="29"/>
    </row>
    <row r="84" spans="1:33" ht="15" customHeight="1">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row>
    <row r="85" spans="1:33" ht="15" customHeight="1">
      <c r="B85" s="33" t="s">
        <v>2903</v>
      </c>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row>
    <row r="86" spans="1:33" ht="15" customHeight="1">
      <c r="B86" s="33" t="s">
        <v>2904</v>
      </c>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row>
    <row r="87" spans="1:33" ht="15" customHeight="1">
      <c r="A87" s="34" t="s">
        <v>3299</v>
      </c>
      <c r="B87" s="37" t="s">
        <v>3290</v>
      </c>
      <c r="C87" s="38">
        <v>0.63366699999999998</v>
      </c>
      <c r="D87" s="38">
        <v>0.64239100000000005</v>
      </c>
      <c r="E87" s="38">
        <v>0.65223399999999998</v>
      </c>
      <c r="F87" s="38">
        <v>0.65297499999999997</v>
      </c>
      <c r="G87" s="38">
        <v>0.65256499999999995</v>
      </c>
      <c r="H87" s="38">
        <v>0.65153000000000005</v>
      </c>
      <c r="I87" s="38">
        <v>0.64971199999999996</v>
      </c>
      <c r="J87" s="38">
        <v>0.64590400000000003</v>
      </c>
      <c r="K87" s="38">
        <v>0.64151999999999998</v>
      </c>
      <c r="L87" s="38">
        <v>0.63701300000000005</v>
      </c>
      <c r="M87" s="38">
        <v>0.631714</v>
      </c>
      <c r="N87" s="38">
        <v>0.62715799999999999</v>
      </c>
      <c r="O87" s="38">
        <v>0.62478100000000003</v>
      </c>
      <c r="P87" s="38">
        <v>0.62245600000000001</v>
      </c>
      <c r="Q87" s="38">
        <v>0.62004000000000004</v>
      </c>
      <c r="R87" s="38">
        <v>0.61680000000000001</v>
      </c>
      <c r="S87" s="38">
        <v>0.61298399999999997</v>
      </c>
      <c r="T87" s="38">
        <v>0.61114599999999997</v>
      </c>
      <c r="U87" s="38">
        <v>0.60844699999999996</v>
      </c>
      <c r="V87" s="38">
        <v>0.60537600000000003</v>
      </c>
      <c r="W87" s="38">
        <v>0.60377099999999995</v>
      </c>
      <c r="X87" s="38">
        <v>0.60261200000000004</v>
      </c>
      <c r="Y87" s="38">
        <v>0.60177700000000001</v>
      </c>
      <c r="Z87" s="38">
        <v>0.60157400000000005</v>
      </c>
      <c r="AA87" s="38">
        <v>0.60066799999999998</v>
      </c>
      <c r="AB87" s="38">
        <v>0.60061900000000001</v>
      </c>
      <c r="AC87" s="38">
        <v>0.60077100000000005</v>
      </c>
      <c r="AD87" s="38">
        <v>0.60120200000000001</v>
      </c>
      <c r="AE87" s="38">
        <v>0.59938100000000005</v>
      </c>
      <c r="AF87" s="35">
        <v>-1.9849999999999998E-3</v>
      </c>
      <c r="AG87" s="29"/>
    </row>
    <row r="88" spans="1:33" ht="15" customHeight="1">
      <c r="A88" s="34" t="s">
        <v>3300</v>
      </c>
      <c r="B88" s="37" t="s">
        <v>3292</v>
      </c>
      <c r="C88" s="38">
        <v>0.31001000000000001</v>
      </c>
      <c r="D88" s="38">
        <v>0.31630999999999998</v>
      </c>
      <c r="E88" s="38">
        <v>0.31978899999999999</v>
      </c>
      <c r="F88" s="38">
        <v>0.32017099999999998</v>
      </c>
      <c r="G88" s="38">
        <v>0.32081199999999999</v>
      </c>
      <c r="H88" s="38">
        <v>0.321108</v>
      </c>
      <c r="I88" s="38">
        <v>0.32082500000000003</v>
      </c>
      <c r="J88" s="38">
        <v>0.31859900000000002</v>
      </c>
      <c r="K88" s="38">
        <v>0.31581700000000001</v>
      </c>
      <c r="L88" s="38">
        <v>0.31269000000000002</v>
      </c>
      <c r="M88" s="38">
        <v>0.30911</v>
      </c>
      <c r="N88" s="38">
        <v>0.30607600000000001</v>
      </c>
      <c r="O88" s="38">
        <v>0.30460599999999999</v>
      </c>
      <c r="P88" s="38">
        <v>0.30332399999999998</v>
      </c>
      <c r="Q88" s="38">
        <v>0.30236400000000002</v>
      </c>
      <c r="R88" s="38">
        <v>0.30116999999999999</v>
      </c>
      <c r="S88" s="38">
        <v>0.29957099999999998</v>
      </c>
      <c r="T88" s="38">
        <v>0.29921599999999998</v>
      </c>
      <c r="U88" s="38">
        <v>0.29794900000000002</v>
      </c>
      <c r="V88" s="38">
        <v>0.29671199999999998</v>
      </c>
      <c r="W88" s="38">
        <v>0.29637799999999997</v>
      </c>
      <c r="X88" s="38">
        <v>0.29642299999999999</v>
      </c>
      <c r="Y88" s="38">
        <v>0.296487</v>
      </c>
      <c r="Z88" s="38">
        <v>0.296759</v>
      </c>
      <c r="AA88" s="38">
        <v>0.29631800000000003</v>
      </c>
      <c r="AB88" s="38">
        <v>0.29650599999999999</v>
      </c>
      <c r="AC88" s="38">
        <v>0.29661900000000002</v>
      </c>
      <c r="AD88" s="38">
        <v>0.29693599999999998</v>
      </c>
      <c r="AE88" s="38">
        <v>0.29628100000000002</v>
      </c>
      <c r="AF88" s="35">
        <v>-1.616E-3</v>
      </c>
      <c r="AG88" s="29"/>
    </row>
    <row r="89" spans="1:33" ht="15" customHeight="1">
      <c r="A89" s="34" t="s">
        <v>3301</v>
      </c>
      <c r="B89" s="37" t="s">
        <v>3294</v>
      </c>
      <c r="C89" s="38">
        <v>0.246087</v>
      </c>
      <c r="D89" s="38">
        <v>0.25065300000000001</v>
      </c>
      <c r="E89" s="38">
        <v>0.25258000000000003</v>
      </c>
      <c r="F89" s="38">
        <v>0.25226799999999999</v>
      </c>
      <c r="G89" s="38">
        <v>0.25050099999999997</v>
      </c>
      <c r="H89" s="38">
        <v>0.248033</v>
      </c>
      <c r="I89" s="38">
        <v>0.24468500000000001</v>
      </c>
      <c r="J89" s="38">
        <v>0.2412</v>
      </c>
      <c r="K89" s="38">
        <v>0.23791599999999999</v>
      </c>
      <c r="L89" s="38">
        <v>0.23480300000000001</v>
      </c>
      <c r="M89" s="38">
        <v>0.23178199999999999</v>
      </c>
      <c r="N89" s="38">
        <v>0.228243</v>
      </c>
      <c r="O89" s="38">
        <v>0.22530700000000001</v>
      </c>
      <c r="P89" s="38">
        <v>0.22281000000000001</v>
      </c>
      <c r="Q89" s="38">
        <v>0.22045600000000001</v>
      </c>
      <c r="R89" s="38">
        <v>0.218001</v>
      </c>
      <c r="S89" s="38">
        <v>0.21524799999999999</v>
      </c>
      <c r="T89" s="38">
        <v>0.212982</v>
      </c>
      <c r="U89" s="38">
        <v>0.21026300000000001</v>
      </c>
      <c r="V89" s="38">
        <v>0.20780599999999999</v>
      </c>
      <c r="W89" s="38">
        <v>0.20597699999999999</v>
      </c>
      <c r="X89" s="38">
        <v>0.20430100000000001</v>
      </c>
      <c r="Y89" s="38">
        <v>0.20268700000000001</v>
      </c>
      <c r="Z89" s="38">
        <v>0.20111399999999999</v>
      </c>
      <c r="AA89" s="38">
        <v>0.19936300000000001</v>
      </c>
      <c r="AB89" s="38">
        <v>0.19802</v>
      </c>
      <c r="AC89" s="38">
        <v>0.19666400000000001</v>
      </c>
      <c r="AD89" s="38">
        <v>0.19523199999999999</v>
      </c>
      <c r="AE89" s="38">
        <v>0.193661</v>
      </c>
      <c r="AF89" s="35">
        <v>-8.5199999999999998E-3</v>
      </c>
      <c r="AG89" s="29"/>
    </row>
    <row r="90" spans="1:33" ht="15" customHeight="1">
      <c r="A90" s="34" t="s">
        <v>3302</v>
      </c>
      <c r="B90" s="37" t="s">
        <v>3296</v>
      </c>
      <c r="C90" s="38">
        <v>0.28274100000000002</v>
      </c>
      <c r="D90" s="38">
        <v>0.288105</v>
      </c>
      <c r="E90" s="38">
        <v>0.28931699999999999</v>
      </c>
      <c r="F90" s="38">
        <v>0.28838999999999998</v>
      </c>
      <c r="G90" s="38">
        <v>0.28746300000000002</v>
      </c>
      <c r="H90" s="38">
        <v>0.287603</v>
      </c>
      <c r="I90" s="38">
        <v>0.28682299999999999</v>
      </c>
      <c r="J90" s="38">
        <v>0.28493499999999999</v>
      </c>
      <c r="K90" s="38">
        <v>0.28197499999999998</v>
      </c>
      <c r="L90" s="38">
        <v>0.27850799999999998</v>
      </c>
      <c r="M90" s="38">
        <v>0.27480599999999999</v>
      </c>
      <c r="N90" s="38">
        <v>0.27135500000000001</v>
      </c>
      <c r="O90" s="38">
        <v>0.26946199999999998</v>
      </c>
      <c r="P90" s="38">
        <v>0.26786799999999999</v>
      </c>
      <c r="Q90" s="38">
        <v>0.26663399999999998</v>
      </c>
      <c r="R90" s="38">
        <v>0.26532299999999998</v>
      </c>
      <c r="S90" s="38">
        <v>0.26361099999999998</v>
      </c>
      <c r="T90" s="38">
        <v>0.262818</v>
      </c>
      <c r="U90" s="38">
        <v>0.26105800000000001</v>
      </c>
      <c r="V90" s="38">
        <v>0.25915100000000002</v>
      </c>
      <c r="W90" s="38">
        <v>0.25775399999999998</v>
      </c>
      <c r="X90" s="38">
        <v>0.25648100000000001</v>
      </c>
      <c r="Y90" s="38">
        <v>0.25522800000000001</v>
      </c>
      <c r="Z90" s="38">
        <v>0.25410300000000002</v>
      </c>
      <c r="AA90" s="38">
        <v>0.25246499999999999</v>
      </c>
      <c r="AB90" s="38">
        <v>0.25140600000000002</v>
      </c>
      <c r="AC90" s="38">
        <v>0.25033</v>
      </c>
      <c r="AD90" s="38">
        <v>0.24928700000000001</v>
      </c>
      <c r="AE90" s="38">
        <v>0.247887</v>
      </c>
      <c r="AF90" s="35">
        <v>-4.6880000000000003E-3</v>
      </c>
      <c r="AG90" s="29"/>
    </row>
    <row r="91" spans="1:33" ht="15" customHeight="1">
      <c r="A91" s="34" t="s">
        <v>3303</v>
      </c>
      <c r="B91" s="37" t="s">
        <v>3298</v>
      </c>
      <c r="C91" s="38">
        <v>0.53339300000000001</v>
      </c>
      <c r="D91" s="38">
        <v>0.53797799999999996</v>
      </c>
      <c r="E91" s="38">
        <v>0.54555799999999999</v>
      </c>
      <c r="F91" s="38">
        <v>0.54417800000000005</v>
      </c>
      <c r="G91" s="38">
        <v>0.54218599999999995</v>
      </c>
      <c r="H91" s="38">
        <v>0.53992700000000005</v>
      </c>
      <c r="I91" s="38">
        <v>0.53677200000000003</v>
      </c>
      <c r="J91" s="38">
        <v>0.53257399999999999</v>
      </c>
      <c r="K91" s="38">
        <v>0.52800199999999997</v>
      </c>
      <c r="L91" s="38">
        <v>0.52393900000000004</v>
      </c>
      <c r="M91" s="38">
        <v>0.51829499999999995</v>
      </c>
      <c r="N91" s="38">
        <v>0.51160700000000003</v>
      </c>
      <c r="O91" s="38">
        <v>0.506602</v>
      </c>
      <c r="P91" s="38">
        <v>0.50214000000000003</v>
      </c>
      <c r="Q91" s="38">
        <v>0.49815599999999999</v>
      </c>
      <c r="R91" s="38">
        <v>0.49417800000000001</v>
      </c>
      <c r="S91" s="38">
        <v>0.48969600000000002</v>
      </c>
      <c r="T91" s="38">
        <v>0.486541</v>
      </c>
      <c r="U91" s="38">
        <v>0.48255500000000001</v>
      </c>
      <c r="V91" s="38">
        <v>0.47896699999999998</v>
      </c>
      <c r="W91" s="38">
        <v>0.47640300000000002</v>
      </c>
      <c r="X91" s="38">
        <v>0.474055</v>
      </c>
      <c r="Y91" s="38">
        <v>0.47176200000000001</v>
      </c>
      <c r="Z91" s="38">
        <v>0.46955000000000002</v>
      </c>
      <c r="AA91" s="38">
        <v>0.46689000000000003</v>
      </c>
      <c r="AB91" s="38">
        <v>0.46503800000000001</v>
      </c>
      <c r="AC91" s="38">
        <v>0.46314100000000002</v>
      </c>
      <c r="AD91" s="38">
        <v>0.46143000000000001</v>
      </c>
      <c r="AE91" s="38">
        <v>0.45926099999999997</v>
      </c>
      <c r="AF91" s="35">
        <v>-5.3299999999999997E-3</v>
      </c>
      <c r="AG91" s="29"/>
    </row>
    <row r="92" spans="1:33" ht="15" customHeight="1">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row>
    <row r="93" spans="1:33" ht="12" customHeight="1">
      <c r="B93" s="33" t="s">
        <v>3304</v>
      </c>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row>
    <row r="94" spans="1:33" ht="15" customHeight="1">
      <c r="B94" s="33" t="s">
        <v>3305</v>
      </c>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1:33" ht="15" customHeight="1">
      <c r="A95" s="34" t="s">
        <v>3306</v>
      </c>
      <c r="B95" s="37" t="s">
        <v>3290</v>
      </c>
      <c r="C95" s="53">
        <v>20.366866999999999</v>
      </c>
      <c r="D95" s="53">
        <v>19.473921000000001</v>
      </c>
      <c r="E95" s="53">
        <v>19.338643999999999</v>
      </c>
      <c r="F95" s="53">
        <v>18.638331999999998</v>
      </c>
      <c r="G95" s="53">
        <v>17.661449000000001</v>
      </c>
      <c r="H95" s="53">
        <v>16.68038</v>
      </c>
      <c r="I95" s="53">
        <v>15.575551000000001</v>
      </c>
      <c r="J95" s="53">
        <v>14.695665999999999</v>
      </c>
      <c r="K95" s="53">
        <v>13.972136000000001</v>
      </c>
      <c r="L95" s="53">
        <v>13.733896</v>
      </c>
      <c r="M95" s="53">
        <v>13.713372</v>
      </c>
      <c r="N95" s="53">
        <v>13.872348000000001</v>
      </c>
      <c r="O95" s="53">
        <v>13.830277000000001</v>
      </c>
      <c r="P95" s="53">
        <v>13.973285000000001</v>
      </c>
      <c r="Q95" s="53">
        <v>14.167426000000001</v>
      </c>
      <c r="R95" s="53">
        <v>14.328385000000001</v>
      </c>
      <c r="S95" s="53">
        <v>14.423551</v>
      </c>
      <c r="T95" s="53">
        <v>14.530882999999999</v>
      </c>
      <c r="U95" s="53">
        <v>14.649848</v>
      </c>
      <c r="V95" s="53">
        <v>14.888199</v>
      </c>
      <c r="W95" s="53">
        <v>15.094246999999999</v>
      </c>
      <c r="X95" s="53">
        <v>15.17975</v>
      </c>
      <c r="Y95" s="53">
        <v>15.141425999999999</v>
      </c>
      <c r="Z95" s="53">
        <v>15.050515000000001</v>
      </c>
      <c r="AA95" s="53">
        <v>14.921196999999999</v>
      </c>
      <c r="AB95" s="53">
        <v>14.957815999999999</v>
      </c>
      <c r="AC95" s="53">
        <v>14.891223</v>
      </c>
      <c r="AD95" s="53">
        <v>14.825644</v>
      </c>
      <c r="AE95" s="53">
        <v>14.839345</v>
      </c>
      <c r="AF95" s="35">
        <v>-1.1244000000000001E-2</v>
      </c>
      <c r="AG95" s="29"/>
    </row>
    <row r="96" spans="1:33" ht="15" customHeight="1">
      <c r="A96" s="34" t="s">
        <v>3307</v>
      </c>
      <c r="B96" s="37" t="s">
        <v>3292</v>
      </c>
      <c r="C96" s="53">
        <v>11.431486</v>
      </c>
      <c r="D96" s="53">
        <v>10.988837999999999</v>
      </c>
      <c r="E96" s="53">
        <v>10.92062</v>
      </c>
      <c r="F96" s="53">
        <v>10.426599</v>
      </c>
      <c r="G96" s="53">
        <v>9.9014030000000002</v>
      </c>
      <c r="H96" s="53">
        <v>9.3911259999999999</v>
      </c>
      <c r="I96" s="53">
        <v>8.7414400000000008</v>
      </c>
      <c r="J96" s="53">
        <v>8.2135829999999999</v>
      </c>
      <c r="K96" s="53">
        <v>7.8076840000000001</v>
      </c>
      <c r="L96" s="53">
        <v>7.6960600000000001</v>
      </c>
      <c r="M96" s="53">
        <v>7.6984750000000002</v>
      </c>
      <c r="N96" s="53">
        <v>7.78592</v>
      </c>
      <c r="O96" s="53">
        <v>7.7602270000000004</v>
      </c>
      <c r="P96" s="53">
        <v>7.8300109999999998</v>
      </c>
      <c r="Q96" s="53">
        <v>7.9176840000000004</v>
      </c>
      <c r="R96" s="53">
        <v>7.978059</v>
      </c>
      <c r="S96" s="53">
        <v>7.994631</v>
      </c>
      <c r="T96" s="53">
        <v>8.0458099999999995</v>
      </c>
      <c r="U96" s="53">
        <v>8.0985669999999992</v>
      </c>
      <c r="V96" s="53">
        <v>8.207281</v>
      </c>
      <c r="W96" s="53">
        <v>8.3125889999999991</v>
      </c>
      <c r="X96" s="53">
        <v>8.3507479999999994</v>
      </c>
      <c r="Y96" s="53">
        <v>8.3335620000000006</v>
      </c>
      <c r="Z96" s="53">
        <v>8.3058029999999992</v>
      </c>
      <c r="AA96" s="53">
        <v>8.2714210000000001</v>
      </c>
      <c r="AB96" s="53">
        <v>8.3192310000000003</v>
      </c>
      <c r="AC96" s="53">
        <v>8.3311460000000004</v>
      </c>
      <c r="AD96" s="53">
        <v>8.3469519999999999</v>
      </c>
      <c r="AE96" s="53">
        <v>8.351464</v>
      </c>
      <c r="AF96" s="35">
        <v>-1.1148999999999999E-2</v>
      </c>
      <c r="AG96" s="29"/>
    </row>
    <row r="97" spans="1:33" ht="15" customHeight="1">
      <c r="A97" s="34" t="s">
        <v>3308</v>
      </c>
      <c r="B97" s="37" t="s">
        <v>3294</v>
      </c>
      <c r="C97" s="53">
        <v>12.681177</v>
      </c>
      <c r="D97" s="53">
        <v>12.408975999999999</v>
      </c>
      <c r="E97" s="53">
        <v>12.706477</v>
      </c>
      <c r="F97" s="53">
        <v>12.281821000000001</v>
      </c>
      <c r="G97" s="53">
        <v>11.477880000000001</v>
      </c>
      <c r="H97" s="53">
        <v>10.547936</v>
      </c>
      <c r="I97" s="53">
        <v>9.6527740000000009</v>
      </c>
      <c r="J97" s="53">
        <v>8.9544110000000003</v>
      </c>
      <c r="K97" s="53">
        <v>8.4088609999999999</v>
      </c>
      <c r="L97" s="53">
        <v>8.1808829999999997</v>
      </c>
      <c r="M97" s="53">
        <v>8.0611969999999999</v>
      </c>
      <c r="N97" s="53">
        <v>8.0577609999999993</v>
      </c>
      <c r="O97" s="53">
        <v>7.9825330000000001</v>
      </c>
      <c r="P97" s="53">
        <v>7.9928129999999999</v>
      </c>
      <c r="Q97" s="53">
        <v>8.0206649999999993</v>
      </c>
      <c r="R97" s="53">
        <v>8.0224890000000002</v>
      </c>
      <c r="S97" s="53">
        <v>7.9971240000000003</v>
      </c>
      <c r="T97" s="53">
        <v>8.0357500000000002</v>
      </c>
      <c r="U97" s="53">
        <v>8.1143370000000008</v>
      </c>
      <c r="V97" s="53">
        <v>8.2473709999999993</v>
      </c>
      <c r="W97" s="53">
        <v>8.3630759999999995</v>
      </c>
      <c r="X97" s="53">
        <v>8.4339829999999996</v>
      </c>
      <c r="Y97" s="53">
        <v>8.433541</v>
      </c>
      <c r="Z97" s="53">
        <v>8.4356430000000007</v>
      </c>
      <c r="AA97" s="53">
        <v>8.3851879999999994</v>
      </c>
      <c r="AB97" s="53">
        <v>8.4336149999999996</v>
      </c>
      <c r="AC97" s="53">
        <v>8.4440570000000008</v>
      </c>
      <c r="AD97" s="53">
        <v>8.5057709999999993</v>
      </c>
      <c r="AE97" s="53">
        <v>8.5154060000000005</v>
      </c>
      <c r="AF97" s="35">
        <v>-1.4121999999999999E-2</v>
      </c>
      <c r="AG97" s="29"/>
    </row>
    <row r="98" spans="1:33" ht="15" customHeight="1">
      <c r="A98" s="34" t="s">
        <v>3309</v>
      </c>
      <c r="B98" s="37" t="s">
        <v>3296</v>
      </c>
      <c r="C98" s="53">
        <v>27.862282</v>
      </c>
      <c r="D98" s="53">
        <v>28.100296</v>
      </c>
      <c r="E98" s="53">
        <v>28.087167999999998</v>
      </c>
      <c r="F98" s="53">
        <v>26.443531</v>
      </c>
      <c r="G98" s="53">
        <v>24.393961000000001</v>
      </c>
      <c r="H98" s="53">
        <v>22.958282000000001</v>
      </c>
      <c r="I98" s="53">
        <v>21.483872999999999</v>
      </c>
      <c r="J98" s="53">
        <v>20.235434999999999</v>
      </c>
      <c r="K98" s="53">
        <v>19.268250999999999</v>
      </c>
      <c r="L98" s="53">
        <v>18.948333999999999</v>
      </c>
      <c r="M98" s="53">
        <v>18.913992</v>
      </c>
      <c r="N98" s="53">
        <v>19.090429</v>
      </c>
      <c r="O98" s="53">
        <v>19.032969000000001</v>
      </c>
      <c r="P98" s="53">
        <v>19.166653</v>
      </c>
      <c r="Q98" s="53">
        <v>19.337273</v>
      </c>
      <c r="R98" s="53">
        <v>19.338974</v>
      </c>
      <c r="S98" s="53">
        <v>19.283182</v>
      </c>
      <c r="T98" s="53">
        <v>19.318489</v>
      </c>
      <c r="U98" s="53">
        <v>19.411380999999999</v>
      </c>
      <c r="V98" s="53">
        <v>19.634848000000002</v>
      </c>
      <c r="W98" s="53">
        <v>19.866426000000001</v>
      </c>
      <c r="X98" s="53">
        <v>19.956629</v>
      </c>
      <c r="Y98" s="53">
        <v>19.912628000000002</v>
      </c>
      <c r="Z98" s="53">
        <v>19.883103999999999</v>
      </c>
      <c r="AA98" s="53">
        <v>19.826810999999999</v>
      </c>
      <c r="AB98" s="53">
        <v>19.96059</v>
      </c>
      <c r="AC98" s="53">
        <v>20.013973</v>
      </c>
      <c r="AD98" s="53">
        <v>20.095704999999999</v>
      </c>
      <c r="AE98" s="53">
        <v>20.143395999999999</v>
      </c>
      <c r="AF98" s="35">
        <v>-1.1519E-2</v>
      </c>
      <c r="AG98" s="29"/>
    </row>
    <row r="99" spans="1:33" ht="15" customHeight="1">
      <c r="A99" s="34" t="s">
        <v>3310</v>
      </c>
      <c r="B99" s="37" t="s">
        <v>3298</v>
      </c>
      <c r="C99" s="53">
        <v>6.4853940000000003</v>
      </c>
      <c r="D99" s="53">
        <v>6.2898059999999996</v>
      </c>
      <c r="E99" s="53">
        <v>6.377675</v>
      </c>
      <c r="F99" s="53">
        <v>6.1510720000000001</v>
      </c>
      <c r="G99" s="53">
        <v>5.7625520000000003</v>
      </c>
      <c r="H99" s="53">
        <v>5.3795380000000002</v>
      </c>
      <c r="I99" s="53">
        <v>5.032572</v>
      </c>
      <c r="J99" s="53">
        <v>4.767671</v>
      </c>
      <c r="K99" s="53">
        <v>4.5638779999999999</v>
      </c>
      <c r="L99" s="53">
        <v>4.4620290000000002</v>
      </c>
      <c r="M99" s="53">
        <v>4.4346860000000001</v>
      </c>
      <c r="N99" s="53">
        <v>4.4935320000000001</v>
      </c>
      <c r="O99" s="53">
        <v>4.503679</v>
      </c>
      <c r="P99" s="53">
        <v>4.5580569999999998</v>
      </c>
      <c r="Q99" s="53">
        <v>4.6223089999999996</v>
      </c>
      <c r="R99" s="53">
        <v>4.6828659999999998</v>
      </c>
      <c r="S99" s="53">
        <v>4.7397330000000002</v>
      </c>
      <c r="T99" s="53">
        <v>4.8164249999999997</v>
      </c>
      <c r="U99" s="53">
        <v>4.8995480000000002</v>
      </c>
      <c r="V99" s="53">
        <v>5.010904</v>
      </c>
      <c r="W99" s="53">
        <v>5.114878</v>
      </c>
      <c r="X99" s="53">
        <v>5.1999139999999997</v>
      </c>
      <c r="Y99" s="53">
        <v>5.248869</v>
      </c>
      <c r="Z99" s="53">
        <v>5.3036519999999996</v>
      </c>
      <c r="AA99" s="53">
        <v>5.3344860000000001</v>
      </c>
      <c r="AB99" s="53">
        <v>5.4096080000000004</v>
      </c>
      <c r="AC99" s="53">
        <v>5.4710900000000002</v>
      </c>
      <c r="AD99" s="53">
        <v>5.547936</v>
      </c>
      <c r="AE99" s="53">
        <v>5.619313</v>
      </c>
      <c r="AF99" s="35">
        <v>-5.1060000000000003E-3</v>
      </c>
      <c r="AG99" s="29"/>
    </row>
    <row r="100" spans="1:33" ht="12" customHeight="1">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1:33" ht="15" customHeight="1">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1:33" ht="15" customHeight="1">
      <c r="B102" s="33" t="s">
        <v>3311</v>
      </c>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1:33" ht="15" customHeight="1">
      <c r="B103" s="33" t="s">
        <v>3312</v>
      </c>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1:33" ht="15" customHeight="1">
      <c r="B104" s="33" t="s">
        <v>3313</v>
      </c>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1:33" ht="15" customHeight="1">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1:33" ht="15" customHeight="1">
      <c r="B106" s="33" t="s">
        <v>3314</v>
      </c>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1:33" ht="15" customHeight="1">
      <c r="B107" s="33" t="s">
        <v>3067</v>
      </c>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1:33" ht="12" customHeight="1">
      <c r="A108" s="34" t="s">
        <v>3315</v>
      </c>
      <c r="B108" s="37" t="s">
        <v>2551</v>
      </c>
      <c r="C108" s="38">
        <v>1.89E-2</v>
      </c>
      <c r="D108" s="38">
        <v>1.89E-2</v>
      </c>
      <c r="E108" s="38">
        <v>1.89E-2</v>
      </c>
      <c r="F108" s="38">
        <v>1.89E-2</v>
      </c>
      <c r="G108" s="38">
        <v>1.89E-2</v>
      </c>
      <c r="H108" s="38">
        <v>1.89E-2</v>
      </c>
      <c r="I108" s="38">
        <v>1.89E-2</v>
      </c>
      <c r="J108" s="38">
        <v>1.89E-2</v>
      </c>
      <c r="K108" s="38">
        <v>1.89E-2</v>
      </c>
      <c r="L108" s="38">
        <v>1.89E-2</v>
      </c>
      <c r="M108" s="38">
        <v>1.89E-2</v>
      </c>
      <c r="N108" s="38">
        <v>1.89E-2</v>
      </c>
      <c r="O108" s="38">
        <v>1.89E-2</v>
      </c>
      <c r="P108" s="38">
        <v>1.89E-2</v>
      </c>
      <c r="Q108" s="38">
        <v>1.89E-2</v>
      </c>
      <c r="R108" s="38">
        <v>1.89E-2</v>
      </c>
      <c r="S108" s="38">
        <v>1.89E-2</v>
      </c>
      <c r="T108" s="38">
        <v>1.89E-2</v>
      </c>
      <c r="U108" s="38">
        <v>1.89E-2</v>
      </c>
      <c r="V108" s="38">
        <v>1.89E-2</v>
      </c>
      <c r="W108" s="38">
        <v>1.89E-2</v>
      </c>
      <c r="X108" s="38">
        <v>1.89E-2</v>
      </c>
      <c r="Y108" s="38">
        <v>1.89E-2</v>
      </c>
      <c r="Z108" s="38">
        <v>1.89E-2</v>
      </c>
      <c r="AA108" s="38">
        <v>1.89E-2</v>
      </c>
      <c r="AB108" s="38">
        <v>1.89E-2</v>
      </c>
      <c r="AC108" s="38">
        <v>1.89E-2</v>
      </c>
      <c r="AD108" s="38">
        <v>1.89E-2</v>
      </c>
      <c r="AE108" s="38">
        <v>1.89E-2</v>
      </c>
      <c r="AF108" s="35">
        <v>0</v>
      </c>
      <c r="AG108" s="29"/>
    </row>
    <row r="109" spans="1:33" ht="15" customHeight="1">
      <c r="A109" s="34" t="s">
        <v>3316</v>
      </c>
      <c r="B109" s="37" t="s">
        <v>2553</v>
      </c>
      <c r="C109" s="38">
        <v>7.9643000000000005E-2</v>
      </c>
      <c r="D109" s="38">
        <v>8.1601000000000007E-2</v>
      </c>
      <c r="E109" s="38">
        <v>8.3262000000000003E-2</v>
      </c>
      <c r="F109" s="38">
        <v>8.4375000000000006E-2</v>
      </c>
      <c r="G109" s="38">
        <v>8.5458000000000006E-2</v>
      </c>
      <c r="H109" s="38">
        <v>8.6540000000000006E-2</v>
      </c>
      <c r="I109" s="38">
        <v>8.7651000000000007E-2</v>
      </c>
      <c r="J109" s="38">
        <v>8.8801000000000005E-2</v>
      </c>
      <c r="K109" s="38">
        <v>9.0006000000000003E-2</v>
      </c>
      <c r="L109" s="38">
        <v>9.1288999999999995E-2</v>
      </c>
      <c r="M109" s="38">
        <v>9.2675999999999994E-2</v>
      </c>
      <c r="N109" s="38">
        <v>9.4200000000000006E-2</v>
      </c>
      <c r="O109" s="38">
        <v>9.5864000000000005E-2</v>
      </c>
      <c r="P109" s="38">
        <v>9.7641000000000006E-2</v>
      </c>
      <c r="Q109" s="38">
        <v>9.9548999999999999E-2</v>
      </c>
      <c r="R109" s="38">
        <v>0.101558</v>
      </c>
      <c r="S109" s="38">
        <v>0.10367999999999999</v>
      </c>
      <c r="T109" s="38">
        <v>0.10589999999999999</v>
      </c>
      <c r="U109" s="38">
        <v>0.108242</v>
      </c>
      <c r="V109" s="38">
        <v>0.110726</v>
      </c>
      <c r="W109" s="38">
        <v>0.11332399999999999</v>
      </c>
      <c r="X109" s="38">
        <v>0.11602999999999999</v>
      </c>
      <c r="Y109" s="38">
        <v>0.118823</v>
      </c>
      <c r="Z109" s="38">
        <v>0.12167600000000001</v>
      </c>
      <c r="AA109" s="38">
        <v>0.124614</v>
      </c>
      <c r="AB109" s="38">
        <v>0.12765799999999999</v>
      </c>
      <c r="AC109" s="38">
        <v>0.130828</v>
      </c>
      <c r="AD109" s="38">
        <v>0.134129</v>
      </c>
      <c r="AE109" s="38">
        <v>0.13758500000000001</v>
      </c>
      <c r="AF109" s="35">
        <v>1.9716000000000001E-2</v>
      </c>
      <c r="AG109" s="29"/>
    </row>
    <row r="110" spans="1:33" ht="15" customHeight="1">
      <c r="A110" s="34" t="s">
        <v>3317</v>
      </c>
      <c r="B110" s="37" t="s">
        <v>2500</v>
      </c>
      <c r="C110" s="38">
        <v>0</v>
      </c>
      <c r="D110" s="38">
        <v>0</v>
      </c>
      <c r="E110" s="38">
        <v>0</v>
      </c>
      <c r="F110" s="38">
        <v>0</v>
      </c>
      <c r="G110" s="38">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5" t="s">
        <v>1278</v>
      </c>
      <c r="AG110" s="29"/>
    </row>
    <row r="111" spans="1:33" ht="15" customHeight="1">
      <c r="A111" s="34" t="s">
        <v>3318</v>
      </c>
      <c r="B111" s="37" t="s">
        <v>3072</v>
      </c>
      <c r="C111" s="38">
        <v>8.3500000000000005E-2</v>
      </c>
      <c r="D111" s="38">
        <v>8.8400000000000006E-2</v>
      </c>
      <c r="E111" s="38">
        <v>8.8400000000000006E-2</v>
      </c>
      <c r="F111" s="38">
        <v>8.8400000000000006E-2</v>
      </c>
      <c r="G111" s="38">
        <v>8.8400000000000006E-2</v>
      </c>
      <c r="H111" s="38">
        <v>8.8400000000000006E-2</v>
      </c>
      <c r="I111" s="38">
        <v>8.8400000000000006E-2</v>
      </c>
      <c r="J111" s="38">
        <v>8.8400000000000006E-2</v>
      </c>
      <c r="K111" s="38">
        <v>8.8400000000000006E-2</v>
      </c>
      <c r="L111" s="38">
        <v>8.8400000000000006E-2</v>
      </c>
      <c r="M111" s="38">
        <v>8.8400000000000006E-2</v>
      </c>
      <c r="N111" s="38">
        <v>8.8400000000000006E-2</v>
      </c>
      <c r="O111" s="38">
        <v>8.8400000000000006E-2</v>
      </c>
      <c r="P111" s="38">
        <v>8.8400000000000006E-2</v>
      </c>
      <c r="Q111" s="38">
        <v>8.8400000000000006E-2</v>
      </c>
      <c r="R111" s="38">
        <v>8.8400000000000006E-2</v>
      </c>
      <c r="S111" s="38">
        <v>8.8400000000000006E-2</v>
      </c>
      <c r="T111" s="38">
        <v>8.8400000000000006E-2</v>
      </c>
      <c r="U111" s="38">
        <v>8.8400000000000006E-2</v>
      </c>
      <c r="V111" s="38">
        <v>8.8400000000000006E-2</v>
      </c>
      <c r="W111" s="38">
        <v>8.8400000000000006E-2</v>
      </c>
      <c r="X111" s="38">
        <v>8.8400000000000006E-2</v>
      </c>
      <c r="Y111" s="38">
        <v>8.8400000000000006E-2</v>
      </c>
      <c r="Z111" s="38">
        <v>8.8400000000000006E-2</v>
      </c>
      <c r="AA111" s="38">
        <v>8.8400000000000006E-2</v>
      </c>
      <c r="AB111" s="38">
        <v>8.8400000000000006E-2</v>
      </c>
      <c r="AC111" s="38">
        <v>8.8400000000000006E-2</v>
      </c>
      <c r="AD111" s="38">
        <v>8.8400000000000006E-2</v>
      </c>
      <c r="AE111" s="38">
        <v>8.8400000000000006E-2</v>
      </c>
      <c r="AF111" s="35">
        <v>2.039E-3</v>
      </c>
      <c r="AG111" s="29"/>
    </row>
    <row r="112" spans="1:33" ht="15" customHeight="1">
      <c r="A112" s="34" t="s">
        <v>3319</v>
      </c>
      <c r="B112" s="33" t="s">
        <v>2497</v>
      </c>
      <c r="C112" s="39">
        <v>0.18204300000000001</v>
      </c>
      <c r="D112" s="39">
        <v>0.18890100000000001</v>
      </c>
      <c r="E112" s="39">
        <v>0.19056200000000001</v>
      </c>
      <c r="F112" s="39">
        <v>0.19167500000000001</v>
      </c>
      <c r="G112" s="39">
        <v>0.19275800000000001</v>
      </c>
      <c r="H112" s="39">
        <v>0.19384000000000001</v>
      </c>
      <c r="I112" s="39">
        <v>0.19495100000000001</v>
      </c>
      <c r="J112" s="39">
        <v>0.196101</v>
      </c>
      <c r="K112" s="39">
        <v>0.19730600000000001</v>
      </c>
      <c r="L112" s="39">
        <v>0.19858899999999999</v>
      </c>
      <c r="M112" s="39">
        <v>0.19997599999999999</v>
      </c>
      <c r="N112" s="39">
        <v>0.20150000000000001</v>
      </c>
      <c r="O112" s="39">
        <v>0.20316400000000001</v>
      </c>
      <c r="P112" s="39">
        <v>0.20494100000000001</v>
      </c>
      <c r="Q112" s="39">
        <v>0.20684900000000001</v>
      </c>
      <c r="R112" s="39">
        <v>0.20885799999999999</v>
      </c>
      <c r="S112" s="39">
        <v>0.21098</v>
      </c>
      <c r="T112" s="39">
        <v>0.2132</v>
      </c>
      <c r="U112" s="39">
        <v>0.21554200000000001</v>
      </c>
      <c r="V112" s="39">
        <v>0.218026</v>
      </c>
      <c r="W112" s="39">
        <v>0.22062399999999999</v>
      </c>
      <c r="X112" s="39">
        <v>0.22333</v>
      </c>
      <c r="Y112" s="39">
        <v>0.22612299999999999</v>
      </c>
      <c r="Z112" s="39">
        <v>0.22897600000000001</v>
      </c>
      <c r="AA112" s="39">
        <v>0.23191400000000001</v>
      </c>
      <c r="AB112" s="39">
        <v>0.234958</v>
      </c>
      <c r="AC112" s="39">
        <v>0.23812800000000001</v>
      </c>
      <c r="AD112" s="39">
        <v>0.241429</v>
      </c>
      <c r="AE112" s="39">
        <v>0.24488499999999999</v>
      </c>
      <c r="AF112" s="31">
        <v>1.0647E-2</v>
      </c>
      <c r="AG112" s="29"/>
    </row>
    <row r="113" spans="1:33" ht="15" customHeight="1">
      <c r="B113" s="33" t="s">
        <v>2848</v>
      </c>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row>
    <row r="114" spans="1:33" ht="15" customHeight="1">
      <c r="A114" s="34" t="s">
        <v>3320</v>
      </c>
      <c r="B114" s="37" t="s">
        <v>2551</v>
      </c>
      <c r="C114" s="38">
        <v>3.6110000000000001E-3</v>
      </c>
      <c r="D114" s="38">
        <v>3.6110000000000001E-3</v>
      </c>
      <c r="E114" s="38">
        <v>3.6110000000000001E-3</v>
      </c>
      <c r="F114" s="38">
        <v>3.6110000000000001E-3</v>
      </c>
      <c r="G114" s="38">
        <v>3.6110000000000001E-3</v>
      </c>
      <c r="H114" s="38">
        <v>3.6110000000000001E-3</v>
      </c>
      <c r="I114" s="38">
        <v>3.6110000000000001E-3</v>
      </c>
      <c r="J114" s="38">
        <v>3.6110000000000001E-3</v>
      </c>
      <c r="K114" s="38">
        <v>3.6110000000000001E-3</v>
      </c>
      <c r="L114" s="38">
        <v>3.6110000000000001E-3</v>
      </c>
      <c r="M114" s="38">
        <v>3.6110000000000001E-3</v>
      </c>
      <c r="N114" s="38">
        <v>3.6110000000000001E-3</v>
      </c>
      <c r="O114" s="38">
        <v>3.6110000000000001E-3</v>
      </c>
      <c r="P114" s="38">
        <v>3.6110000000000001E-3</v>
      </c>
      <c r="Q114" s="38">
        <v>3.6110000000000001E-3</v>
      </c>
      <c r="R114" s="38">
        <v>3.6110000000000001E-3</v>
      </c>
      <c r="S114" s="38">
        <v>3.6110000000000001E-3</v>
      </c>
      <c r="T114" s="38">
        <v>3.6110000000000001E-3</v>
      </c>
      <c r="U114" s="38">
        <v>3.6110000000000001E-3</v>
      </c>
      <c r="V114" s="38">
        <v>3.6110000000000001E-3</v>
      </c>
      <c r="W114" s="38">
        <v>3.6110000000000001E-3</v>
      </c>
      <c r="X114" s="38">
        <v>3.6110000000000001E-3</v>
      </c>
      <c r="Y114" s="38">
        <v>3.6110000000000001E-3</v>
      </c>
      <c r="Z114" s="38">
        <v>3.6110000000000001E-3</v>
      </c>
      <c r="AA114" s="38">
        <v>3.6110000000000001E-3</v>
      </c>
      <c r="AB114" s="38">
        <v>3.6110000000000001E-3</v>
      </c>
      <c r="AC114" s="38">
        <v>3.6110000000000001E-3</v>
      </c>
      <c r="AD114" s="38">
        <v>3.6110000000000001E-3</v>
      </c>
      <c r="AE114" s="38">
        <v>3.6110000000000001E-3</v>
      </c>
      <c r="AF114" s="35">
        <v>0</v>
      </c>
      <c r="AG114" s="29"/>
    </row>
    <row r="115" spans="1:33" ht="15" customHeight="1">
      <c r="A115" s="34" t="s">
        <v>3321</v>
      </c>
      <c r="B115" s="37" t="s">
        <v>2553</v>
      </c>
      <c r="C115" s="38">
        <v>0.28252899999999997</v>
      </c>
      <c r="D115" s="38">
        <v>0.29086800000000002</v>
      </c>
      <c r="E115" s="38">
        <v>0.298012</v>
      </c>
      <c r="F115" s="38">
        <v>0.30284800000000001</v>
      </c>
      <c r="G115" s="38">
        <v>0.30759199999999998</v>
      </c>
      <c r="H115" s="38">
        <v>0.31237599999999999</v>
      </c>
      <c r="I115" s="38">
        <v>0.31733099999999997</v>
      </c>
      <c r="J115" s="38">
        <v>0.32250600000000001</v>
      </c>
      <c r="K115" s="38">
        <v>0.32798500000000003</v>
      </c>
      <c r="L115" s="38">
        <v>0.33387</v>
      </c>
      <c r="M115" s="38">
        <v>0.34029999999999999</v>
      </c>
      <c r="N115" s="38">
        <v>0.34743000000000002</v>
      </c>
      <c r="O115" s="38">
        <v>0.35528799999999999</v>
      </c>
      <c r="P115" s="38">
        <v>0.363763</v>
      </c>
      <c r="Q115" s="38">
        <v>0.372944</v>
      </c>
      <c r="R115" s="38">
        <v>0.38269999999999998</v>
      </c>
      <c r="S115" s="38">
        <v>0.39309899999999998</v>
      </c>
      <c r="T115" s="38">
        <v>0.40407999999999999</v>
      </c>
      <c r="U115" s="38">
        <v>0.41577199999999997</v>
      </c>
      <c r="V115" s="38">
        <v>0.42828500000000003</v>
      </c>
      <c r="W115" s="38">
        <v>0.4415</v>
      </c>
      <c r="X115" s="38">
        <v>0.45539499999999999</v>
      </c>
      <c r="Y115" s="38">
        <v>0.469862</v>
      </c>
      <c r="Z115" s="38">
        <v>0.48478100000000002</v>
      </c>
      <c r="AA115" s="38">
        <v>0.50027699999999997</v>
      </c>
      <c r="AB115" s="38">
        <v>0.51647399999999999</v>
      </c>
      <c r="AC115" s="38">
        <v>0.53348899999999999</v>
      </c>
      <c r="AD115" s="38">
        <v>0.55136700000000005</v>
      </c>
      <c r="AE115" s="38">
        <v>0.57023599999999997</v>
      </c>
      <c r="AF115" s="35">
        <v>2.5398E-2</v>
      </c>
      <c r="AG115" s="29"/>
    </row>
    <row r="116" spans="1:33" ht="12" customHeight="1">
      <c r="A116" s="34" t="s">
        <v>3322</v>
      </c>
      <c r="B116" s="37" t="s">
        <v>2500</v>
      </c>
      <c r="C116" s="38">
        <v>0</v>
      </c>
      <c r="D116" s="38">
        <v>0</v>
      </c>
      <c r="E116" s="38">
        <v>0</v>
      </c>
      <c r="F116" s="38">
        <v>0</v>
      </c>
      <c r="G116" s="38">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5" t="s">
        <v>1278</v>
      </c>
      <c r="AG116" s="29"/>
    </row>
    <row r="117" spans="1:33" ht="12" customHeight="1">
      <c r="A117" s="34" t="s">
        <v>3323</v>
      </c>
      <c r="B117" s="37" t="s">
        <v>3072</v>
      </c>
      <c r="C117" s="38">
        <v>0.15014</v>
      </c>
      <c r="D117" s="38">
        <v>0.15639</v>
      </c>
      <c r="E117" s="38">
        <v>0.15639</v>
      </c>
      <c r="F117" s="38">
        <v>0.15639</v>
      </c>
      <c r="G117" s="38">
        <v>0.15639</v>
      </c>
      <c r="H117" s="38">
        <v>0.15639</v>
      </c>
      <c r="I117" s="38">
        <v>0.15639</v>
      </c>
      <c r="J117" s="38">
        <v>0.15639</v>
      </c>
      <c r="K117" s="38">
        <v>0.15639</v>
      </c>
      <c r="L117" s="38">
        <v>0.15639</v>
      </c>
      <c r="M117" s="38">
        <v>0.15639</v>
      </c>
      <c r="N117" s="38">
        <v>0.15639</v>
      </c>
      <c r="O117" s="38">
        <v>0.15639</v>
      </c>
      <c r="P117" s="38">
        <v>0.15639</v>
      </c>
      <c r="Q117" s="38">
        <v>0.15639</v>
      </c>
      <c r="R117" s="38">
        <v>0.15639</v>
      </c>
      <c r="S117" s="38">
        <v>0.15639</v>
      </c>
      <c r="T117" s="38">
        <v>0.15639</v>
      </c>
      <c r="U117" s="38">
        <v>0.15639</v>
      </c>
      <c r="V117" s="38">
        <v>0.15639</v>
      </c>
      <c r="W117" s="38">
        <v>0.15639</v>
      </c>
      <c r="X117" s="38">
        <v>0.15639</v>
      </c>
      <c r="Y117" s="38">
        <v>0.15639</v>
      </c>
      <c r="Z117" s="38">
        <v>0.15639</v>
      </c>
      <c r="AA117" s="38">
        <v>0.15639</v>
      </c>
      <c r="AB117" s="38">
        <v>0.15639</v>
      </c>
      <c r="AC117" s="38">
        <v>0.15639</v>
      </c>
      <c r="AD117" s="38">
        <v>0.15639</v>
      </c>
      <c r="AE117" s="38">
        <v>0.15639</v>
      </c>
      <c r="AF117" s="35">
        <v>1.4580000000000001E-3</v>
      </c>
      <c r="AG117" s="29"/>
    </row>
    <row r="118" spans="1:33" ht="15" customHeight="1">
      <c r="A118" s="34" t="s">
        <v>3324</v>
      </c>
      <c r="B118" s="33" t="s">
        <v>2497</v>
      </c>
      <c r="C118" s="39">
        <v>0.43627899999999997</v>
      </c>
      <c r="D118" s="39">
        <v>0.45086799999999999</v>
      </c>
      <c r="E118" s="39">
        <v>0.45801199999999997</v>
      </c>
      <c r="F118" s="39">
        <v>0.46284799999999998</v>
      </c>
      <c r="G118" s="39">
        <v>0.46759299999999998</v>
      </c>
      <c r="H118" s="39">
        <v>0.47237600000000002</v>
      </c>
      <c r="I118" s="39">
        <v>0.47733100000000001</v>
      </c>
      <c r="J118" s="39">
        <v>0.48250599999999999</v>
      </c>
      <c r="K118" s="39">
        <v>0.487985</v>
      </c>
      <c r="L118" s="39">
        <v>0.49386999999999998</v>
      </c>
      <c r="M118" s="39">
        <v>0.50029999999999997</v>
      </c>
      <c r="N118" s="39">
        <v>0.50743000000000005</v>
      </c>
      <c r="O118" s="39">
        <v>0.515289</v>
      </c>
      <c r="P118" s="39">
        <v>0.52376299999999998</v>
      </c>
      <c r="Q118" s="39">
        <v>0.53294399999999997</v>
      </c>
      <c r="R118" s="39">
        <v>0.54269999999999996</v>
      </c>
      <c r="S118" s="39">
        <v>0.55309900000000001</v>
      </c>
      <c r="T118" s="39">
        <v>0.56408000000000003</v>
      </c>
      <c r="U118" s="39">
        <v>0.57577199999999995</v>
      </c>
      <c r="V118" s="39">
        <v>0.58828499999999995</v>
      </c>
      <c r="W118" s="39">
        <v>0.60150000000000003</v>
      </c>
      <c r="X118" s="39">
        <v>0.61539500000000003</v>
      </c>
      <c r="Y118" s="39">
        <v>0.62986200000000003</v>
      </c>
      <c r="Z118" s="39">
        <v>0.64478100000000005</v>
      </c>
      <c r="AA118" s="39">
        <v>0.660277</v>
      </c>
      <c r="AB118" s="39">
        <v>0.67647400000000002</v>
      </c>
      <c r="AC118" s="39">
        <v>0.69348900000000002</v>
      </c>
      <c r="AD118" s="39">
        <v>0.71136699999999997</v>
      </c>
      <c r="AE118" s="39">
        <v>0.730236</v>
      </c>
      <c r="AF118" s="31">
        <v>1.8565999999999999E-2</v>
      </c>
      <c r="AG118" s="29"/>
    </row>
    <row r="119" spans="1:33" ht="15" customHeight="1">
      <c r="B119" s="33" t="s">
        <v>2854</v>
      </c>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row>
    <row r="120" spans="1:33" ht="15" customHeight="1">
      <c r="A120" s="34" t="s">
        <v>3325</v>
      </c>
      <c r="B120" s="37" t="s">
        <v>2856</v>
      </c>
      <c r="C120" s="38">
        <v>4.9262E-2</v>
      </c>
      <c r="D120" s="38">
        <v>4.9961999999999999E-2</v>
      </c>
      <c r="E120" s="38">
        <v>5.0523999999999999E-2</v>
      </c>
      <c r="F120" s="38">
        <v>5.0902999999999997E-2</v>
      </c>
      <c r="G120" s="38">
        <v>5.1276000000000002E-2</v>
      </c>
      <c r="H120" s="38">
        <v>5.1652999999999998E-2</v>
      </c>
      <c r="I120" s="38">
        <v>5.2044E-2</v>
      </c>
      <c r="J120" s="38">
        <v>5.2453E-2</v>
      </c>
      <c r="K120" s="38">
        <v>5.2887000000000003E-2</v>
      </c>
      <c r="L120" s="38">
        <v>5.3355E-2</v>
      </c>
      <c r="M120" s="38">
        <v>5.3866999999999998E-2</v>
      </c>
      <c r="N120" s="38">
        <v>5.4436999999999999E-2</v>
      </c>
      <c r="O120" s="38">
        <v>5.5065000000000003E-2</v>
      </c>
      <c r="P120" s="38">
        <v>5.5744000000000002E-2</v>
      </c>
      <c r="Q120" s="38">
        <v>5.6480000000000002E-2</v>
      </c>
      <c r="R120" s="38">
        <v>5.7264000000000002E-2</v>
      </c>
      <c r="S120" s="38">
        <v>5.8099999999999999E-2</v>
      </c>
      <c r="T120" s="38">
        <v>5.8984000000000002E-2</v>
      </c>
      <c r="U120" s="38">
        <v>5.9926E-2</v>
      </c>
      <c r="V120" s="38">
        <v>6.0934000000000002E-2</v>
      </c>
      <c r="W120" s="38">
        <v>6.2001000000000001E-2</v>
      </c>
      <c r="X120" s="38">
        <v>6.3122999999999999E-2</v>
      </c>
      <c r="Y120" s="38">
        <v>6.4292000000000002E-2</v>
      </c>
      <c r="Z120" s="38">
        <v>6.5498000000000001E-2</v>
      </c>
      <c r="AA120" s="38">
        <v>6.6751000000000005E-2</v>
      </c>
      <c r="AB120" s="38">
        <v>6.8061999999999998E-2</v>
      </c>
      <c r="AC120" s="38">
        <v>6.9438E-2</v>
      </c>
      <c r="AD120" s="38">
        <v>7.0885000000000004E-2</v>
      </c>
      <c r="AE120" s="38">
        <v>7.2411000000000003E-2</v>
      </c>
      <c r="AF120" s="35">
        <v>1.3852E-2</v>
      </c>
      <c r="AG120" s="29"/>
    </row>
    <row r="121" spans="1:33" ht="12" customHeight="1">
      <c r="A121" s="34" t="s">
        <v>3326</v>
      </c>
      <c r="B121" s="37" t="s">
        <v>2858</v>
      </c>
      <c r="C121" s="38">
        <v>0.387017</v>
      </c>
      <c r="D121" s="38">
        <v>0.40090599999999998</v>
      </c>
      <c r="E121" s="38">
        <v>0.40748800000000002</v>
      </c>
      <c r="F121" s="38">
        <v>0.41194399999999998</v>
      </c>
      <c r="G121" s="38">
        <v>0.41631600000000002</v>
      </c>
      <c r="H121" s="38">
        <v>0.42072300000000001</v>
      </c>
      <c r="I121" s="38">
        <v>0.42528700000000003</v>
      </c>
      <c r="J121" s="38">
        <v>0.43005300000000002</v>
      </c>
      <c r="K121" s="38">
        <v>0.43509799999999998</v>
      </c>
      <c r="L121" s="38">
        <v>0.44051499999999999</v>
      </c>
      <c r="M121" s="38">
        <v>0.44643300000000002</v>
      </c>
      <c r="N121" s="38">
        <v>0.45299400000000001</v>
      </c>
      <c r="O121" s="38">
        <v>0.46022400000000002</v>
      </c>
      <c r="P121" s="38">
        <v>0.46801900000000002</v>
      </c>
      <c r="Q121" s="38">
        <v>0.476464</v>
      </c>
      <c r="R121" s="38">
        <v>0.48543599999999998</v>
      </c>
      <c r="S121" s="38">
        <v>0.49499900000000002</v>
      </c>
      <c r="T121" s="38">
        <v>0.50509700000000002</v>
      </c>
      <c r="U121" s="38">
        <v>0.51584600000000003</v>
      </c>
      <c r="V121" s="38">
        <v>0.52734999999999999</v>
      </c>
      <c r="W121" s="38">
        <v>0.53949899999999995</v>
      </c>
      <c r="X121" s="38">
        <v>0.55227199999999999</v>
      </c>
      <c r="Y121" s="38">
        <v>0.56557100000000005</v>
      </c>
      <c r="Z121" s="38">
        <v>0.57928299999999999</v>
      </c>
      <c r="AA121" s="38">
        <v>0.593526</v>
      </c>
      <c r="AB121" s="38">
        <v>0.60841199999999995</v>
      </c>
      <c r="AC121" s="38">
        <v>0.62405100000000002</v>
      </c>
      <c r="AD121" s="38">
        <v>0.64048300000000002</v>
      </c>
      <c r="AE121" s="38">
        <v>0.65782499999999999</v>
      </c>
      <c r="AF121" s="35">
        <v>1.9126000000000001E-2</v>
      </c>
      <c r="AG121" s="29"/>
    </row>
    <row r="122" spans="1:33" ht="15" customHeight="1" thickBot="1">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row>
    <row r="123" spans="1:33" ht="15" customHeight="1">
      <c r="B123" s="52" t="s">
        <v>2932</v>
      </c>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51"/>
    </row>
    <row r="124" spans="1:33" ht="15" customHeight="1">
      <c r="B124" s="29" t="s">
        <v>3081</v>
      </c>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row>
    <row r="125" spans="1:33" ht="15" customHeight="1">
      <c r="B125" s="29" t="s">
        <v>2935</v>
      </c>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row>
    <row r="126" spans="1:33" ht="15" customHeight="1">
      <c r="B126" s="29" t="s">
        <v>3082</v>
      </c>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row>
    <row r="127" spans="1:33" ht="15" customHeight="1">
      <c r="B127" s="29" t="s">
        <v>3083</v>
      </c>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row>
    <row r="128" spans="1:33" ht="15" customHeight="1">
      <c r="B128" s="29" t="s">
        <v>3084</v>
      </c>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row>
    <row r="129" spans="2:33" ht="15" customHeight="1">
      <c r="B129" s="29" t="s">
        <v>2291</v>
      </c>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row>
    <row r="130" spans="2:33" ht="15" customHeight="1">
      <c r="B130" s="29" t="s">
        <v>2292</v>
      </c>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row>
    <row r="131" spans="2:33" ht="15" customHeight="1">
      <c r="B131" s="29" t="s">
        <v>2293</v>
      </c>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row>
    <row r="132" spans="2:33" ht="15" customHeight="1">
      <c r="B132" s="29" t="s">
        <v>2881</v>
      </c>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row>
    <row r="133" spans="2:33" ht="15" customHeight="1">
      <c r="B133" s="29" t="s">
        <v>2939</v>
      </c>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row>
    <row r="134" spans="2:33" ht="15" customHeight="1">
      <c r="B134" s="29" t="s">
        <v>2940</v>
      </c>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row>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93" ht="12" customHeight="1"/>
    <row r="205" ht="12" customHeight="1"/>
    <row r="219" ht="12" customHeight="1"/>
    <row r="220" ht="12" customHeight="1"/>
    <row r="225" ht="12" customHeight="1"/>
    <row r="231" ht="12" customHeight="1"/>
    <row r="237" ht="12" customHeight="1"/>
    <row r="238" ht="12" customHeight="1"/>
    <row r="240" ht="12" customHeight="1"/>
    <row r="270" ht="12" customHeight="1"/>
    <row r="271" ht="12" customHeight="1"/>
    <row r="272" ht="12" customHeight="1"/>
    <row r="273" ht="12" customHeight="1"/>
    <row r="274" ht="12" customHeight="1"/>
    <row r="275" ht="12" customHeight="1"/>
    <row r="294" ht="12" customHeight="1"/>
    <row r="305" ht="12" customHeight="1"/>
    <row r="319" ht="12" customHeight="1"/>
    <row r="320" ht="12" customHeight="1"/>
    <row r="321" ht="12" customHeight="1"/>
    <row r="322" ht="12" customHeight="1"/>
    <row r="327" ht="12" customHeight="1"/>
    <row r="333" ht="12" customHeight="1"/>
    <row r="339" ht="12" customHeight="1"/>
    <row r="340" ht="12" customHeight="1"/>
    <row r="341" ht="12" customHeight="1"/>
    <row r="34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7" ht="12" customHeight="1"/>
    <row r="409" ht="12" customHeight="1"/>
    <row r="411" ht="12" customHeight="1"/>
    <row r="416" ht="12" customHeight="1"/>
    <row r="450" ht="12" customHeight="1"/>
    <row r="452"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7" ht="12" customHeight="1"/>
    <row r="559" ht="12" customHeight="1"/>
    <row r="561" ht="12" customHeight="1"/>
    <row r="566" ht="12" customHeight="1"/>
    <row r="600" ht="12" customHeight="1"/>
    <row r="602"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7" ht="12" customHeight="1"/>
    <row r="709" ht="12" customHeight="1"/>
    <row r="711" ht="12" customHeight="1"/>
    <row r="716" ht="12" customHeight="1"/>
    <row r="750" ht="12" customHeight="1"/>
    <row r="752"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7" ht="12" customHeight="1"/>
    <row r="859" ht="12" customHeight="1"/>
    <row r="861" ht="12" customHeight="1"/>
    <row r="866" ht="12" customHeight="1"/>
    <row r="900" ht="12" customHeight="1"/>
    <row r="902"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7" ht="12" customHeight="1"/>
    <row r="1009" ht="12" customHeight="1"/>
    <row r="1011" ht="12" customHeight="1"/>
    <row r="1016" ht="12" customHeight="1"/>
    <row r="1050" ht="12" customHeight="1"/>
    <row r="1052"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7" ht="12" customHeight="1"/>
    <row r="1159" ht="12" customHeight="1"/>
    <row r="1161" ht="12" customHeight="1"/>
    <row r="1166" ht="12" customHeight="1"/>
    <row r="1200" ht="12" customHeight="1"/>
    <row r="1202"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7" ht="12" customHeight="1"/>
    <row r="1309" ht="12" customHeight="1"/>
    <row r="1311" ht="12" customHeight="1"/>
    <row r="1316" ht="12" customHeight="1"/>
    <row r="1350" ht="12" customHeight="1"/>
    <row r="1352"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7" ht="12" customHeight="1"/>
    <row r="1459" ht="12" customHeight="1"/>
    <row r="1461" ht="12" customHeight="1"/>
    <row r="1466" ht="12" customHeight="1"/>
    <row r="1500" ht="12" customHeight="1"/>
    <row r="1502"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7" ht="12" customHeight="1"/>
    <row r="1609" ht="12" customHeight="1"/>
    <row r="1611" ht="12" customHeight="1"/>
    <row r="1616" ht="12" customHeight="1"/>
    <row r="1650" ht="12" customHeight="1"/>
    <row r="1652" ht="12" customHeight="1"/>
  </sheetData>
  <pageMargins left="0.75" right="0.75" top="1" bottom="1" header="0.5" footer="0.5"/>
  <pageSetup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F8099-E0A4-4859-AE93-3C0F3B5ECB42}">
  <sheetPr codeName="Sheet43"/>
  <dimension ref="A1:AH2828"/>
  <sheetViews>
    <sheetView workbookViewId="0">
      <pane xSplit="2" ySplit="1" topLeftCell="C2" activePane="bottomRight" state="frozen"/>
      <selection pane="topRight" activeCell="C1" sqref="C1"/>
      <selection pane="bottomLeft" activeCell="A2" sqref="A2"/>
      <selection pane="bottomRight" activeCell="AE25" sqref="AE25"/>
    </sheetView>
  </sheetViews>
  <sheetFormatPr baseColWidth="10" defaultColWidth="9.33203125" defaultRowHeight="15" customHeight="1"/>
  <cols>
    <col min="1" max="1" width="20.6640625" style="28" hidden="1" customWidth="1"/>
    <col min="2" max="2" width="45.6640625" style="28" customWidth="1"/>
    <col min="3" max="16384" width="9.33203125" style="28"/>
  </cols>
  <sheetData>
    <row r="1" spans="1:33" ht="15" customHeight="1" thickBot="1">
      <c r="B1" s="50" t="s">
        <v>2046</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2047</v>
      </c>
      <c r="D3" s="48" t="s">
        <v>311</v>
      </c>
      <c r="E3" s="47"/>
      <c r="F3" s="47"/>
      <c r="G3" s="47"/>
    </row>
    <row r="4" spans="1:33" ht="15" customHeight="1">
      <c r="C4" s="48" t="s">
        <v>2048</v>
      </c>
      <c r="D4" s="48" t="s">
        <v>2049</v>
      </c>
      <c r="E4" s="47"/>
      <c r="F4" s="47"/>
      <c r="G4" s="48" t="s">
        <v>207</v>
      </c>
    </row>
    <row r="5" spans="1:33" ht="15" customHeight="1">
      <c r="C5" s="48" t="s">
        <v>2050</v>
      </c>
      <c r="D5" s="48" t="s">
        <v>2051</v>
      </c>
      <c r="E5" s="47"/>
      <c r="F5" s="47"/>
      <c r="G5" s="47"/>
    </row>
    <row r="6" spans="1:33" ht="15" customHeight="1">
      <c r="C6" s="48" t="s">
        <v>2052</v>
      </c>
      <c r="D6" s="47"/>
      <c r="E6" s="48" t="s">
        <v>2053</v>
      </c>
      <c r="F6" s="47"/>
      <c r="G6" s="47"/>
    </row>
    <row r="7" spans="1:33" ht="12" customHeight="1"/>
    <row r="8" spans="1:33" ht="12" customHeight="1"/>
    <row r="9" spans="1:33" ht="12" customHeight="1"/>
    <row r="10" spans="1:33" ht="15" customHeight="1">
      <c r="A10" s="34" t="s">
        <v>3327</v>
      </c>
      <c r="B10" s="46" t="s">
        <v>3328</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2058</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2059</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2061</v>
      </c>
      <c r="AG12" s="29"/>
    </row>
    <row r="13" spans="1:33" ht="15" customHeight="1" thickBot="1">
      <c r="B13" s="42" t="s">
        <v>2763</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B15" s="33" t="s">
        <v>3222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row>
    <row r="16" spans="1:33" ht="15" customHeight="1">
      <c r="B16" s="33" t="s">
        <v>3329</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A17" s="34" t="s">
        <v>3330</v>
      </c>
      <c r="B17" s="37" t="s">
        <v>2345</v>
      </c>
      <c r="C17" s="36">
        <v>0.71739200000000003</v>
      </c>
      <c r="D17" s="36">
        <v>0.61125200000000002</v>
      </c>
      <c r="E17" s="36">
        <v>2.0337879999999999</v>
      </c>
      <c r="F17" s="36">
        <v>2.2449409999999999</v>
      </c>
      <c r="G17" s="36">
        <v>2.4198390000000001</v>
      </c>
      <c r="H17" s="36">
        <v>2.6089549999999999</v>
      </c>
      <c r="I17" s="36">
        <v>2.748713</v>
      </c>
      <c r="J17" s="36">
        <v>2.81115</v>
      </c>
      <c r="K17" s="36">
        <v>2.7937959999999999</v>
      </c>
      <c r="L17" s="36">
        <v>2.8062019999999999</v>
      </c>
      <c r="M17" s="36">
        <v>2.8158729999999998</v>
      </c>
      <c r="N17" s="36">
        <v>2.7931759999999999</v>
      </c>
      <c r="O17" s="36">
        <v>2.7545009999999999</v>
      </c>
      <c r="P17" s="36">
        <v>2.7034379999999998</v>
      </c>
      <c r="Q17" s="36">
        <v>2.6174019999999998</v>
      </c>
      <c r="R17" s="36">
        <v>2.6239340000000002</v>
      </c>
      <c r="S17" s="36">
        <v>2.6176469999999998</v>
      </c>
      <c r="T17" s="36">
        <v>2.6414970000000002</v>
      </c>
      <c r="U17" s="36">
        <v>2.666677</v>
      </c>
      <c r="V17" s="36">
        <v>2.7185220000000001</v>
      </c>
      <c r="W17" s="36">
        <v>2.7637779999999998</v>
      </c>
      <c r="X17" s="36">
        <v>2.7645970000000002</v>
      </c>
      <c r="Y17" s="36">
        <v>2.7788170000000001</v>
      </c>
      <c r="Z17" s="36">
        <v>2.8075809999999999</v>
      </c>
      <c r="AA17" s="36">
        <v>2.8630749999999998</v>
      </c>
      <c r="AB17" s="36">
        <v>2.9197009999999999</v>
      </c>
      <c r="AC17" s="36">
        <v>2.9583740000000001</v>
      </c>
      <c r="AD17" s="36">
        <v>2.9910939999999999</v>
      </c>
      <c r="AE17" s="36">
        <v>3.0402450000000001</v>
      </c>
      <c r="AF17" s="35">
        <v>5.2927000000000002E-2</v>
      </c>
      <c r="AG17" s="29"/>
    </row>
    <row r="18" spans="1:33" ht="15" customHeight="1">
      <c r="A18" s="34" t="s">
        <v>3331</v>
      </c>
      <c r="B18" s="37" t="s">
        <v>3226</v>
      </c>
      <c r="C18" s="36">
        <v>6.4894259999999999</v>
      </c>
      <c r="D18" s="36">
        <v>5.4956149999999999</v>
      </c>
      <c r="E18" s="36">
        <v>5.0970529999999998</v>
      </c>
      <c r="F18" s="36">
        <v>5.4580140000000004</v>
      </c>
      <c r="G18" s="36">
        <v>5.7528920000000001</v>
      </c>
      <c r="H18" s="36">
        <v>6.1721050000000002</v>
      </c>
      <c r="I18" s="36">
        <v>6.5954240000000004</v>
      </c>
      <c r="J18" s="36">
        <v>6.7037820000000004</v>
      </c>
      <c r="K18" s="36">
        <v>6.7006220000000001</v>
      </c>
      <c r="L18" s="36">
        <v>6.7377039999999999</v>
      </c>
      <c r="M18" s="36">
        <v>6.8098429999999999</v>
      </c>
      <c r="N18" s="36">
        <v>6.8249199999999997</v>
      </c>
      <c r="O18" s="36">
        <v>6.8101760000000002</v>
      </c>
      <c r="P18" s="36">
        <v>6.7181189999999997</v>
      </c>
      <c r="Q18" s="36">
        <v>6.5408549999999996</v>
      </c>
      <c r="R18" s="36">
        <v>6.5681839999999996</v>
      </c>
      <c r="S18" s="36">
        <v>6.5918720000000004</v>
      </c>
      <c r="T18" s="36">
        <v>6.6307530000000003</v>
      </c>
      <c r="U18" s="36">
        <v>6.7233289999999997</v>
      </c>
      <c r="V18" s="36">
        <v>6.8503869999999996</v>
      </c>
      <c r="W18" s="36">
        <v>6.9638010000000001</v>
      </c>
      <c r="X18" s="36">
        <v>6.9398520000000001</v>
      </c>
      <c r="Y18" s="36">
        <v>6.9590459999999998</v>
      </c>
      <c r="Z18" s="36">
        <v>7.0047160000000002</v>
      </c>
      <c r="AA18" s="36">
        <v>7.0773289999999998</v>
      </c>
      <c r="AB18" s="36">
        <v>7.1908440000000002</v>
      </c>
      <c r="AC18" s="36">
        <v>7.2728409999999997</v>
      </c>
      <c r="AD18" s="36">
        <v>7.3159929999999997</v>
      </c>
      <c r="AE18" s="36">
        <v>7.4085390000000002</v>
      </c>
      <c r="AF18" s="35">
        <v>4.7419999999999997E-3</v>
      </c>
      <c r="AG18" s="29"/>
    </row>
    <row r="19" spans="1:33" ht="15" customHeight="1">
      <c r="A19" s="34" t="s">
        <v>3332</v>
      </c>
      <c r="B19" s="37" t="s">
        <v>3228</v>
      </c>
      <c r="C19" s="36">
        <v>0</v>
      </c>
      <c r="D19" s="36">
        <v>0</v>
      </c>
      <c r="E19" s="36">
        <v>0</v>
      </c>
      <c r="F19" s="36">
        <v>0</v>
      </c>
      <c r="G19" s="36">
        <v>0</v>
      </c>
      <c r="H19" s="36">
        <v>0</v>
      </c>
      <c r="I19" s="36">
        <v>0</v>
      </c>
      <c r="J19" s="36">
        <v>0</v>
      </c>
      <c r="K19" s="36">
        <v>0</v>
      </c>
      <c r="L19" s="36">
        <v>0</v>
      </c>
      <c r="M19" s="36">
        <v>0</v>
      </c>
      <c r="N19" s="36">
        <v>0</v>
      </c>
      <c r="O19" s="36">
        <v>0</v>
      </c>
      <c r="P19" s="36">
        <v>0</v>
      </c>
      <c r="Q19" s="36">
        <v>0</v>
      </c>
      <c r="R19" s="36">
        <v>0</v>
      </c>
      <c r="S19" s="36">
        <v>0</v>
      </c>
      <c r="T19" s="36">
        <v>0</v>
      </c>
      <c r="U19" s="36">
        <v>0</v>
      </c>
      <c r="V19" s="36">
        <v>0</v>
      </c>
      <c r="W19" s="36">
        <v>0</v>
      </c>
      <c r="X19" s="36">
        <v>0</v>
      </c>
      <c r="Y19" s="36">
        <v>0</v>
      </c>
      <c r="Z19" s="36">
        <v>0</v>
      </c>
      <c r="AA19" s="36">
        <v>0</v>
      </c>
      <c r="AB19" s="36">
        <v>0</v>
      </c>
      <c r="AC19" s="36">
        <v>0</v>
      </c>
      <c r="AD19" s="36">
        <v>0</v>
      </c>
      <c r="AE19" s="36">
        <v>0</v>
      </c>
      <c r="AF19" s="35" t="s">
        <v>1278</v>
      </c>
      <c r="AG19" s="29"/>
    </row>
    <row r="20" spans="1:33" ht="15" customHeight="1">
      <c r="A20" s="34" t="s">
        <v>3333</v>
      </c>
      <c r="B20" s="37" t="s">
        <v>3232</v>
      </c>
      <c r="C20" s="36">
        <v>7.2068180000000002</v>
      </c>
      <c r="D20" s="36">
        <v>6.1068670000000003</v>
      </c>
      <c r="E20" s="36">
        <v>7.1308400000000001</v>
      </c>
      <c r="F20" s="36">
        <v>7.7029550000000002</v>
      </c>
      <c r="G20" s="36">
        <v>8.1727310000000006</v>
      </c>
      <c r="H20" s="36">
        <v>8.7810590000000008</v>
      </c>
      <c r="I20" s="36">
        <v>9.3441369999999999</v>
      </c>
      <c r="J20" s="36">
        <v>9.5149329999999992</v>
      </c>
      <c r="K20" s="36">
        <v>9.4944170000000003</v>
      </c>
      <c r="L20" s="36">
        <v>9.5439059999999998</v>
      </c>
      <c r="M20" s="36">
        <v>9.6257160000000006</v>
      </c>
      <c r="N20" s="36">
        <v>9.6180950000000003</v>
      </c>
      <c r="O20" s="36">
        <v>9.5646769999999997</v>
      </c>
      <c r="P20" s="36">
        <v>9.4215560000000007</v>
      </c>
      <c r="Q20" s="36">
        <v>9.1582570000000008</v>
      </c>
      <c r="R20" s="36">
        <v>9.1921180000000007</v>
      </c>
      <c r="S20" s="36">
        <v>9.2095190000000002</v>
      </c>
      <c r="T20" s="36">
        <v>9.2722499999999997</v>
      </c>
      <c r="U20" s="36">
        <v>9.3900059999999996</v>
      </c>
      <c r="V20" s="36">
        <v>9.5689089999999997</v>
      </c>
      <c r="W20" s="36">
        <v>9.7275790000000004</v>
      </c>
      <c r="X20" s="36">
        <v>9.7044490000000003</v>
      </c>
      <c r="Y20" s="36">
        <v>9.7378640000000001</v>
      </c>
      <c r="Z20" s="36">
        <v>9.8122969999999992</v>
      </c>
      <c r="AA20" s="36">
        <v>9.9404050000000002</v>
      </c>
      <c r="AB20" s="36">
        <v>10.110545</v>
      </c>
      <c r="AC20" s="36">
        <v>10.231215000000001</v>
      </c>
      <c r="AD20" s="36">
        <v>10.307086999999999</v>
      </c>
      <c r="AE20" s="36">
        <v>10.448784</v>
      </c>
      <c r="AF20" s="35">
        <v>1.3355000000000001E-2</v>
      </c>
      <c r="AG20" s="29"/>
    </row>
    <row r="21" spans="1:33" ht="15" customHeight="1">
      <c r="A21" s="34" t="s">
        <v>3334</v>
      </c>
      <c r="B21" s="37" t="s">
        <v>3234</v>
      </c>
      <c r="C21" s="36">
        <v>55.928046999999999</v>
      </c>
      <c r="D21" s="36">
        <v>49.813231999999999</v>
      </c>
      <c r="E21" s="36">
        <v>48.29504</v>
      </c>
      <c r="F21" s="36">
        <v>48.966999000000001</v>
      </c>
      <c r="G21" s="36">
        <v>48.765796999999999</v>
      </c>
      <c r="H21" s="36">
        <v>48.875369999999997</v>
      </c>
      <c r="I21" s="36">
        <v>49.366554000000001</v>
      </c>
      <c r="J21" s="36">
        <v>49.702942</v>
      </c>
      <c r="K21" s="36">
        <v>49.514125999999997</v>
      </c>
      <c r="L21" s="36">
        <v>49.285397000000003</v>
      </c>
      <c r="M21" s="36">
        <v>49.338740999999999</v>
      </c>
      <c r="N21" s="36">
        <v>49.353805999999999</v>
      </c>
      <c r="O21" s="36">
        <v>49.407082000000003</v>
      </c>
      <c r="P21" s="36">
        <v>49.204056000000001</v>
      </c>
      <c r="Q21" s="36">
        <v>48.625976999999999</v>
      </c>
      <c r="R21" s="36">
        <v>48.567191999999999</v>
      </c>
      <c r="S21" s="36">
        <v>48.382441999999998</v>
      </c>
      <c r="T21" s="36">
        <v>48.388618000000001</v>
      </c>
      <c r="U21" s="36">
        <v>48.431744000000002</v>
      </c>
      <c r="V21" s="36">
        <v>48.657012999999999</v>
      </c>
      <c r="W21" s="36">
        <v>48.819077</v>
      </c>
      <c r="X21" s="36">
        <v>48.767937000000003</v>
      </c>
      <c r="Y21" s="36">
        <v>48.609940000000002</v>
      </c>
      <c r="Z21" s="36">
        <v>48.299511000000003</v>
      </c>
      <c r="AA21" s="36">
        <v>47.940581999999999</v>
      </c>
      <c r="AB21" s="36">
        <v>47.937744000000002</v>
      </c>
      <c r="AC21" s="36">
        <v>47.806690000000003</v>
      </c>
      <c r="AD21" s="36">
        <v>47.730395999999999</v>
      </c>
      <c r="AE21" s="36">
        <v>47.999580000000002</v>
      </c>
      <c r="AF21" s="35">
        <v>-5.4450000000000002E-3</v>
      </c>
      <c r="AG21" s="29"/>
    </row>
    <row r="22" spans="1:33" ht="15" customHeight="1">
      <c r="A22" s="34" t="s">
        <v>3335</v>
      </c>
      <c r="B22" s="37" t="s">
        <v>3238</v>
      </c>
      <c r="C22" s="36">
        <v>0</v>
      </c>
      <c r="D22" s="36">
        <v>0</v>
      </c>
      <c r="E22" s="36">
        <v>0</v>
      </c>
      <c r="F22" s="36">
        <v>0</v>
      </c>
      <c r="G22" s="36">
        <v>0</v>
      </c>
      <c r="H22" s="36">
        <v>0</v>
      </c>
      <c r="I22" s="36">
        <v>0</v>
      </c>
      <c r="J22" s="36">
        <v>0</v>
      </c>
      <c r="K22" s="36">
        <v>0</v>
      </c>
      <c r="L22" s="36">
        <v>0</v>
      </c>
      <c r="M22" s="36">
        <v>0</v>
      </c>
      <c r="N22" s="36">
        <v>0</v>
      </c>
      <c r="O22" s="36">
        <v>0</v>
      </c>
      <c r="P22" s="36">
        <v>0</v>
      </c>
      <c r="Q22" s="36">
        <v>0</v>
      </c>
      <c r="R22" s="36">
        <v>0</v>
      </c>
      <c r="S22" s="36">
        <v>0</v>
      </c>
      <c r="T22" s="36">
        <v>0</v>
      </c>
      <c r="U22" s="36">
        <v>0</v>
      </c>
      <c r="V22" s="36">
        <v>0</v>
      </c>
      <c r="W22" s="36">
        <v>0</v>
      </c>
      <c r="X22" s="36">
        <v>0</v>
      </c>
      <c r="Y22" s="36">
        <v>0</v>
      </c>
      <c r="Z22" s="36">
        <v>0</v>
      </c>
      <c r="AA22" s="36">
        <v>0</v>
      </c>
      <c r="AB22" s="36">
        <v>0</v>
      </c>
      <c r="AC22" s="36">
        <v>0</v>
      </c>
      <c r="AD22" s="36">
        <v>0</v>
      </c>
      <c r="AE22" s="36">
        <v>0</v>
      </c>
      <c r="AF22" s="35" t="s">
        <v>1278</v>
      </c>
      <c r="AG22" s="29"/>
    </row>
    <row r="23" spans="1:33" ht="15" customHeight="1">
      <c r="A23" s="34" t="s">
        <v>3336</v>
      </c>
      <c r="B23" s="37" t="s">
        <v>3236</v>
      </c>
      <c r="C23" s="36">
        <v>0</v>
      </c>
      <c r="D23" s="36">
        <v>0</v>
      </c>
      <c r="E23" s="36">
        <v>0</v>
      </c>
      <c r="F23" s="36">
        <v>0</v>
      </c>
      <c r="G23" s="36">
        <v>0</v>
      </c>
      <c r="H23" s="36">
        <v>0</v>
      </c>
      <c r="I23" s="36">
        <v>0</v>
      </c>
      <c r="J23" s="36">
        <v>0</v>
      </c>
      <c r="K23" s="36">
        <v>0</v>
      </c>
      <c r="L23" s="36">
        <v>0</v>
      </c>
      <c r="M23" s="36">
        <v>0</v>
      </c>
      <c r="N23" s="36">
        <v>0</v>
      </c>
      <c r="O23" s="36">
        <v>0</v>
      </c>
      <c r="P23" s="36">
        <v>0</v>
      </c>
      <c r="Q23" s="36">
        <v>0</v>
      </c>
      <c r="R23" s="36">
        <v>0</v>
      </c>
      <c r="S23" s="36">
        <v>0</v>
      </c>
      <c r="T23" s="36">
        <v>0</v>
      </c>
      <c r="U23" s="36">
        <v>0</v>
      </c>
      <c r="V23" s="36">
        <v>0</v>
      </c>
      <c r="W23" s="36">
        <v>0</v>
      </c>
      <c r="X23" s="36">
        <v>0</v>
      </c>
      <c r="Y23" s="36">
        <v>0</v>
      </c>
      <c r="Z23" s="36">
        <v>0</v>
      </c>
      <c r="AA23" s="36">
        <v>0</v>
      </c>
      <c r="AB23" s="36">
        <v>0</v>
      </c>
      <c r="AC23" s="36">
        <v>0</v>
      </c>
      <c r="AD23" s="36">
        <v>0</v>
      </c>
      <c r="AE23" s="36">
        <v>0</v>
      </c>
      <c r="AF23" s="35" t="s">
        <v>1278</v>
      </c>
      <c r="AG23" s="29"/>
    </row>
    <row r="24" spans="1:33" ht="15" customHeight="1">
      <c r="A24" s="34" t="s">
        <v>3337</v>
      </c>
      <c r="B24" s="37" t="s">
        <v>3240</v>
      </c>
      <c r="C24" s="36">
        <v>297.19873000000001</v>
      </c>
      <c r="D24" s="36">
        <v>296.38964800000002</v>
      </c>
      <c r="E24" s="36">
        <v>290.12023900000003</v>
      </c>
      <c r="F24" s="36">
        <v>297.07171599999998</v>
      </c>
      <c r="G24" s="36">
        <v>294.77410900000001</v>
      </c>
      <c r="H24" s="36">
        <v>294.779785</v>
      </c>
      <c r="I24" s="36">
        <v>299.90374800000001</v>
      </c>
      <c r="J24" s="36">
        <v>306.344696</v>
      </c>
      <c r="K24" s="36">
        <v>309.96893299999999</v>
      </c>
      <c r="L24" s="36">
        <v>312.56210299999998</v>
      </c>
      <c r="M24" s="36">
        <v>317.82153299999999</v>
      </c>
      <c r="N24" s="36">
        <v>323.843658</v>
      </c>
      <c r="O24" s="36">
        <v>330.796448</v>
      </c>
      <c r="P24" s="36">
        <v>335.25119000000001</v>
      </c>
      <c r="Q24" s="36">
        <v>335.51934799999998</v>
      </c>
      <c r="R24" s="36">
        <v>338.40957600000002</v>
      </c>
      <c r="S24" s="36">
        <v>340.97015399999998</v>
      </c>
      <c r="T24" s="36">
        <v>344.10040300000003</v>
      </c>
      <c r="U24" s="36">
        <v>348.13940400000001</v>
      </c>
      <c r="V24" s="36">
        <v>353.379974</v>
      </c>
      <c r="W24" s="36">
        <v>357.96816999999999</v>
      </c>
      <c r="X24" s="36">
        <v>361.47735599999999</v>
      </c>
      <c r="Y24" s="36">
        <v>363.15386999999998</v>
      </c>
      <c r="Z24" s="36">
        <v>362.45135499999998</v>
      </c>
      <c r="AA24" s="36">
        <v>362.48980699999998</v>
      </c>
      <c r="AB24" s="36">
        <v>364.37481700000001</v>
      </c>
      <c r="AC24" s="36">
        <v>365.06915300000003</v>
      </c>
      <c r="AD24" s="36">
        <v>366.80941799999999</v>
      </c>
      <c r="AE24" s="36">
        <v>372.106201</v>
      </c>
      <c r="AF24" s="35">
        <v>8.0599999999999995E-3</v>
      </c>
      <c r="AG24" s="29"/>
    </row>
    <row r="25" spans="1:33" ht="15" customHeight="1">
      <c r="A25" s="34" t="s">
        <v>3338</v>
      </c>
      <c r="B25" s="37" t="s">
        <v>3242</v>
      </c>
      <c r="C25" s="36">
        <v>65.763626000000002</v>
      </c>
      <c r="D25" s="36">
        <v>64.104324000000005</v>
      </c>
      <c r="E25" s="36">
        <v>62.995784999999998</v>
      </c>
      <c r="F25" s="36">
        <v>64.153412000000003</v>
      </c>
      <c r="G25" s="36">
        <v>64.571556000000001</v>
      </c>
      <c r="H25" s="36">
        <v>65.212006000000002</v>
      </c>
      <c r="I25" s="36">
        <v>66.478690999999998</v>
      </c>
      <c r="J25" s="36">
        <v>67.676033000000004</v>
      </c>
      <c r="K25" s="36">
        <v>68.043105999999995</v>
      </c>
      <c r="L25" s="36">
        <v>68.405663000000004</v>
      </c>
      <c r="M25" s="36">
        <v>69.230536999999998</v>
      </c>
      <c r="N25" s="36">
        <v>69.957069000000004</v>
      </c>
      <c r="O25" s="36">
        <v>70.796752999999995</v>
      </c>
      <c r="P25" s="36">
        <v>71.127601999999996</v>
      </c>
      <c r="Q25" s="36">
        <v>70.658446999999995</v>
      </c>
      <c r="R25" s="36">
        <v>70.916718000000003</v>
      </c>
      <c r="S25" s="36">
        <v>71.079459999999997</v>
      </c>
      <c r="T25" s="36">
        <v>71.318389999999994</v>
      </c>
      <c r="U25" s="36">
        <v>71.873619000000005</v>
      </c>
      <c r="V25" s="36">
        <v>72.726371999999998</v>
      </c>
      <c r="W25" s="36">
        <v>73.417052999999996</v>
      </c>
      <c r="X25" s="36">
        <v>73.684951999999996</v>
      </c>
      <c r="Y25" s="36">
        <v>73.726517000000001</v>
      </c>
      <c r="Z25" s="36">
        <v>73.824218999999999</v>
      </c>
      <c r="AA25" s="36">
        <v>74.154228000000003</v>
      </c>
      <c r="AB25" s="36">
        <v>74.509208999999998</v>
      </c>
      <c r="AC25" s="36">
        <v>74.695473000000007</v>
      </c>
      <c r="AD25" s="36">
        <v>74.892944</v>
      </c>
      <c r="AE25" s="36">
        <v>75.692573999999993</v>
      </c>
      <c r="AF25" s="35">
        <v>5.0350000000000004E-3</v>
      </c>
      <c r="AG25" s="29"/>
    </row>
    <row r="26" spans="1:33" ht="15" customHeight="1">
      <c r="A26" s="34" t="s">
        <v>3339</v>
      </c>
      <c r="B26" s="33" t="s">
        <v>3244</v>
      </c>
      <c r="C26" s="32">
        <v>426.09722900000003</v>
      </c>
      <c r="D26" s="32">
        <v>416.414062</v>
      </c>
      <c r="E26" s="32">
        <v>408.541901</v>
      </c>
      <c r="F26" s="32">
        <v>417.895081</v>
      </c>
      <c r="G26" s="32">
        <v>416.28420999999997</v>
      </c>
      <c r="H26" s="32">
        <v>417.64822400000003</v>
      </c>
      <c r="I26" s="32">
        <v>425.09314000000001</v>
      </c>
      <c r="J26" s="32">
        <v>433.238586</v>
      </c>
      <c r="K26" s="32">
        <v>437.02056900000002</v>
      </c>
      <c r="L26" s="32">
        <v>439.79708900000003</v>
      </c>
      <c r="M26" s="32">
        <v>446.01650999999998</v>
      </c>
      <c r="N26" s="32">
        <v>452.77261399999998</v>
      </c>
      <c r="O26" s="32">
        <v>460.56497200000001</v>
      </c>
      <c r="P26" s="32">
        <v>465.00439499999999</v>
      </c>
      <c r="Q26" s="32">
        <v>463.96203600000001</v>
      </c>
      <c r="R26" s="32">
        <v>467.08560199999999</v>
      </c>
      <c r="S26" s="32">
        <v>469.641571</v>
      </c>
      <c r="T26" s="32">
        <v>473.07965100000001</v>
      </c>
      <c r="U26" s="32">
        <v>477.83477800000003</v>
      </c>
      <c r="V26" s="32">
        <v>484.33227499999998</v>
      </c>
      <c r="W26" s="32">
        <v>489.93188500000002</v>
      </c>
      <c r="X26" s="32">
        <v>493.634705</v>
      </c>
      <c r="Y26" s="32">
        <v>495.22820999999999</v>
      </c>
      <c r="Z26" s="32">
        <v>494.38738999999998</v>
      </c>
      <c r="AA26" s="32">
        <v>494.52502399999997</v>
      </c>
      <c r="AB26" s="32">
        <v>496.93231200000002</v>
      </c>
      <c r="AC26" s="32">
        <v>497.80252100000001</v>
      </c>
      <c r="AD26" s="32">
        <v>499.73983800000002</v>
      </c>
      <c r="AE26" s="32">
        <v>506.24713100000002</v>
      </c>
      <c r="AF26" s="31">
        <v>6.1749999999999999E-3</v>
      </c>
      <c r="AG26" s="29"/>
    </row>
    <row r="27" spans="1:33" ht="15" customHeight="1">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row>
    <row r="28" spans="1:33" ht="15" customHeight="1">
      <c r="B28" s="33" t="s">
        <v>3340</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row>
    <row r="29" spans="1:33" ht="15" customHeight="1">
      <c r="A29" s="34" t="s">
        <v>3341</v>
      </c>
      <c r="B29" s="37" t="s">
        <v>2345</v>
      </c>
      <c r="C29" s="36">
        <v>0.46828599999999998</v>
      </c>
      <c r="D29" s="36">
        <v>0.50001200000000001</v>
      </c>
      <c r="E29" s="36">
        <v>1.8285</v>
      </c>
      <c r="F29" s="36">
        <v>1.9225939999999999</v>
      </c>
      <c r="G29" s="36">
        <v>1.9862550000000001</v>
      </c>
      <c r="H29" s="36">
        <v>2.022062</v>
      </c>
      <c r="I29" s="36">
        <v>2.0250140000000001</v>
      </c>
      <c r="J29" s="36">
        <v>2.0118459999999998</v>
      </c>
      <c r="K29" s="36">
        <v>1.982343</v>
      </c>
      <c r="L29" s="36">
        <v>1.949864</v>
      </c>
      <c r="M29" s="36">
        <v>1.9150640000000001</v>
      </c>
      <c r="N29" s="36">
        <v>1.8832549999999999</v>
      </c>
      <c r="O29" s="36">
        <v>1.8617939999999999</v>
      </c>
      <c r="P29" s="36">
        <v>1.853024</v>
      </c>
      <c r="Q29" s="36">
        <v>1.8381670000000001</v>
      </c>
      <c r="R29" s="36">
        <v>1.815753</v>
      </c>
      <c r="S29" s="36">
        <v>1.787309</v>
      </c>
      <c r="T29" s="36">
        <v>1.776216</v>
      </c>
      <c r="U29" s="36">
        <v>1.7495590000000001</v>
      </c>
      <c r="V29" s="36">
        <v>1.7279089999999999</v>
      </c>
      <c r="W29" s="36">
        <v>1.7140150000000001</v>
      </c>
      <c r="X29" s="36">
        <v>1.705211</v>
      </c>
      <c r="Y29" s="36">
        <v>1.6957009999999999</v>
      </c>
      <c r="Z29" s="36">
        <v>1.6803539999999999</v>
      </c>
      <c r="AA29" s="36">
        <v>1.6688449999999999</v>
      </c>
      <c r="AB29" s="36">
        <v>1.656088</v>
      </c>
      <c r="AC29" s="36">
        <v>1.638555</v>
      </c>
      <c r="AD29" s="36">
        <v>1.6266579999999999</v>
      </c>
      <c r="AE29" s="36">
        <v>1.62212</v>
      </c>
      <c r="AF29" s="35">
        <v>4.5371000000000002E-2</v>
      </c>
      <c r="AG29" s="29"/>
    </row>
    <row r="30" spans="1:33" ht="15" customHeight="1">
      <c r="A30" s="34" t="s">
        <v>3342</v>
      </c>
      <c r="B30" s="37" t="s">
        <v>3226</v>
      </c>
      <c r="C30" s="36">
        <v>0</v>
      </c>
      <c r="D30" s="36">
        <v>0</v>
      </c>
      <c r="E30" s="36">
        <v>0</v>
      </c>
      <c r="F30" s="36">
        <v>0</v>
      </c>
      <c r="G30" s="36">
        <v>0</v>
      </c>
      <c r="H30" s="36">
        <v>0</v>
      </c>
      <c r="I30" s="36">
        <v>0</v>
      </c>
      <c r="J30" s="36">
        <v>0</v>
      </c>
      <c r="K30" s="36">
        <v>0</v>
      </c>
      <c r="L30" s="36">
        <v>0</v>
      </c>
      <c r="M30" s="36">
        <v>0</v>
      </c>
      <c r="N30" s="36">
        <v>0</v>
      </c>
      <c r="O30" s="36">
        <v>0</v>
      </c>
      <c r="P30" s="36">
        <v>0</v>
      </c>
      <c r="Q30" s="36">
        <v>0</v>
      </c>
      <c r="R30" s="36">
        <v>0</v>
      </c>
      <c r="S30" s="36">
        <v>0</v>
      </c>
      <c r="T30" s="36">
        <v>0</v>
      </c>
      <c r="U30" s="36">
        <v>0</v>
      </c>
      <c r="V30" s="36">
        <v>0</v>
      </c>
      <c r="W30" s="36">
        <v>0</v>
      </c>
      <c r="X30" s="36">
        <v>0</v>
      </c>
      <c r="Y30" s="36">
        <v>0</v>
      </c>
      <c r="Z30" s="36">
        <v>0</v>
      </c>
      <c r="AA30" s="36">
        <v>0</v>
      </c>
      <c r="AB30" s="36">
        <v>0</v>
      </c>
      <c r="AC30" s="36">
        <v>0</v>
      </c>
      <c r="AD30" s="36">
        <v>0</v>
      </c>
      <c r="AE30" s="36">
        <v>0</v>
      </c>
      <c r="AF30" s="35" t="s">
        <v>1278</v>
      </c>
      <c r="AG30" s="29"/>
    </row>
    <row r="31" spans="1:33" ht="15" customHeight="1">
      <c r="A31" s="34" t="s">
        <v>3343</v>
      </c>
      <c r="B31" s="37" t="s">
        <v>3228</v>
      </c>
      <c r="C31" s="36">
        <v>3.539E-3</v>
      </c>
      <c r="D31" s="36">
        <v>3.088E-3</v>
      </c>
      <c r="E31" s="36">
        <v>2.9689999999999999E-3</v>
      </c>
      <c r="F31" s="36">
        <v>2.8530000000000001E-3</v>
      </c>
      <c r="G31" s="36">
        <v>2.7409999999999999E-3</v>
      </c>
      <c r="H31" s="36">
        <v>2.6350000000000002E-3</v>
      </c>
      <c r="I31" s="36">
        <v>2.5360000000000001E-3</v>
      </c>
      <c r="J31" s="36">
        <v>2.447E-3</v>
      </c>
      <c r="K31" s="36">
        <v>2.369E-3</v>
      </c>
      <c r="L31" s="36">
        <v>2.3029999999999999E-3</v>
      </c>
      <c r="M31" s="36">
        <v>2.251E-3</v>
      </c>
      <c r="N31" s="36">
        <v>2.2130000000000001E-3</v>
      </c>
      <c r="O31" s="36">
        <v>2.1900000000000001E-3</v>
      </c>
      <c r="P31" s="36">
        <v>2.1819999999999999E-3</v>
      </c>
      <c r="Q31" s="36">
        <v>2.1819999999999999E-3</v>
      </c>
      <c r="R31" s="36">
        <v>2.1819999999999999E-3</v>
      </c>
      <c r="S31" s="36">
        <v>2.1819999999999999E-3</v>
      </c>
      <c r="T31" s="36">
        <v>2.1819999999999999E-3</v>
      </c>
      <c r="U31" s="36">
        <v>2.1819999999999999E-3</v>
      </c>
      <c r="V31" s="36">
        <v>2.1819999999999999E-3</v>
      </c>
      <c r="W31" s="36">
        <v>2.1819999999999999E-3</v>
      </c>
      <c r="X31" s="36">
        <v>2.1819999999999999E-3</v>
      </c>
      <c r="Y31" s="36">
        <v>2.1819999999999999E-3</v>
      </c>
      <c r="Z31" s="36">
        <v>2.1819999999999999E-3</v>
      </c>
      <c r="AA31" s="36">
        <v>2.1819999999999999E-3</v>
      </c>
      <c r="AB31" s="36">
        <v>2.1819999999999999E-3</v>
      </c>
      <c r="AC31" s="36">
        <v>2.1819999999999999E-3</v>
      </c>
      <c r="AD31" s="36">
        <v>2.1819999999999999E-3</v>
      </c>
      <c r="AE31" s="36">
        <v>2.1819999999999999E-3</v>
      </c>
      <c r="AF31" s="35">
        <v>-1.7125999999999999E-2</v>
      </c>
      <c r="AG31" s="29"/>
    </row>
    <row r="32" spans="1:33" ht="15" customHeight="1">
      <c r="A32" s="34" t="s">
        <v>3344</v>
      </c>
      <c r="B32" s="37" t="s">
        <v>3232</v>
      </c>
      <c r="C32" s="36">
        <v>0.47182600000000002</v>
      </c>
      <c r="D32" s="36">
        <v>0.50309999999999999</v>
      </c>
      <c r="E32" s="36">
        <v>1.831469</v>
      </c>
      <c r="F32" s="36">
        <v>1.925448</v>
      </c>
      <c r="G32" s="36">
        <v>1.988996</v>
      </c>
      <c r="H32" s="36">
        <v>2.0246960000000001</v>
      </c>
      <c r="I32" s="36">
        <v>2.0275509999999999</v>
      </c>
      <c r="J32" s="36">
        <v>2.0142929999999999</v>
      </c>
      <c r="K32" s="36">
        <v>1.984712</v>
      </c>
      <c r="L32" s="36">
        <v>1.9521679999999999</v>
      </c>
      <c r="M32" s="36">
        <v>1.9173150000000001</v>
      </c>
      <c r="N32" s="36">
        <v>1.8854679999999999</v>
      </c>
      <c r="O32" s="36">
        <v>1.8639840000000001</v>
      </c>
      <c r="P32" s="36">
        <v>1.8552059999999999</v>
      </c>
      <c r="Q32" s="36">
        <v>1.840349</v>
      </c>
      <c r="R32" s="36">
        <v>1.8179339999999999</v>
      </c>
      <c r="S32" s="36">
        <v>1.7894909999999999</v>
      </c>
      <c r="T32" s="36">
        <v>1.7783979999999999</v>
      </c>
      <c r="U32" s="36">
        <v>1.751741</v>
      </c>
      <c r="V32" s="36">
        <v>1.7300899999999999</v>
      </c>
      <c r="W32" s="36">
        <v>1.716197</v>
      </c>
      <c r="X32" s="36">
        <v>1.7073929999999999</v>
      </c>
      <c r="Y32" s="36">
        <v>1.697883</v>
      </c>
      <c r="Z32" s="36">
        <v>1.6825349999999999</v>
      </c>
      <c r="AA32" s="36">
        <v>1.671027</v>
      </c>
      <c r="AB32" s="36">
        <v>1.6582699999999999</v>
      </c>
      <c r="AC32" s="36">
        <v>1.6407369999999999</v>
      </c>
      <c r="AD32" s="36">
        <v>1.6288400000000001</v>
      </c>
      <c r="AE32" s="36">
        <v>1.6243019999999999</v>
      </c>
      <c r="AF32" s="35">
        <v>4.514E-2</v>
      </c>
      <c r="AG32" s="29"/>
    </row>
    <row r="33" spans="1:33" ht="15" customHeight="1">
      <c r="A33" s="34" t="s">
        <v>3345</v>
      </c>
      <c r="B33" s="37" t="s">
        <v>3234</v>
      </c>
      <c r="C33" s="36">
        <v>80.805588</v>
      </c>
      <c r="D33" s="36">
        <v>78.484131000000005</v>
      </c>
      <c r="E33" s="36">
        <v>79.225326999999993</v>
      </c>
      <c r="F33" s="36">
        <v>80.669433999999995</v>
      </c>
      <c r="G33" s="36">
        <v>82.867148999999998</v>
      </c>
      <c r="H33" s="36">
        <v>84.492171999999997</v>
      </c>
      <c r="I33" s="36">
        <v>85.50206</v>
      </c>
      <c r="J33" s="36">
        <v>86.185387000000006</v>
      </c>
      <c r="K33" s="36">
        <v>86.577286000000001</v>
      </c>
      <c r="L33" s="36">
        <v>87.083648999999994</v>
      </c>
      <c r="M33" s="36">
        <v>87.942490000000006</v>
      </c>
      <c r="N33" s="36">
        <v>88.707213999999993</v>
      </c>
      <c r="O33" s="36">
        <v>89.585007000000004</v>
      </c>
      <c r="P33" s="36">
        <v>90.772537</v>
      </c>
      <c r="Q33" s="36">
        <v>91.881553999999994</v>
      </c>
      <c r="R33" s="36">
        <v>92.872444000000002</v>
      </c>
      <c r="S33" s="36">
        <v>93.780060000000006</v>
      </c>
      <c r="T33" s="36">
        <v>94.909560999999997</v>
      </c>
      <c r="U33" s="36">
        <v>95.795212000000006</v>
      </c>
      <c r="V33" s="36">
        <v>96.963676000000007</v>
      </c>
      <c r="W33" s="36">
        <v>98.233245999999994</v>
      </c>
      <c r="X33" s="36">
        <v>99.710114000000004</v>
      </c>
      <c r="Y33" s="36">
        <v>100.97483800000001</v>
      </c>
      <c r="Z33" s="36">
        <v>102.025955</v>
      </c>
      <c r="AA33" s="36">
        <v>102.95251500000001</v>
      </c>
      <c r="AB33" s="36">
        <v>104.325508</v>
      </c>
      <c r="AC33" s="36">
        <v>105.515839</v>
      </c>
      <c r="AD33" s="36">
        <v>106.77755000000001</v>
      </c>
      <c r="AE33" s="36">
        <v>108.593216</v>
      </c>
      <c r="AF33" s="35">
        <v>1.0612E-2</v>
      </c>
      <c r="AG33" s="29"/>
    </row>
    <row r="34" spans="1:33" ht="12" customHeight="1">
      <c r="A34" s="34" t="s">
        <v>3346</v>
      </c>
      <c r="B34" s="37" t="s">
        <v>3238</v>
      </c>
      <c r="C34" s="36">
        <v>0</v>
      </c>
      <c r="D34" s="36">
        <v>0</v>
      </c>
      <c r="E34" s="36">
        <v>0</v>
      </c>
      <c r="F34" s="36">
        <v>0</v>
      </c>
      <c r="G34" s="36">
        <v>0</v>
      </c>
      <c r="H34" s="36">
        <v>0</v>
      </c>
      <c r="I34" s="36">
        <v>0</v>
      </c>
      <c r="J34" s="36">
        <v>0</v>
      </c>
      <c r="K34" s="36">
        <v>0</v>
      </c>
      <c r="L34" s="36">
        <v>0</v>
      </c>
      <c r="M34" s="36">
        <v>0</v>
      </c>
      <c r="N34" s="36">
        <v>0</v>
      </c>
      <c r="O34" s="36">
        <v>0</v>
      </c>
      <c r="P34" s="36">
        <v>0</v>
      </c>
      <c r="Q34" s="36">
        <v>0</v>
      </c>
      <c r="R34" s="36">
        <v>0</v>
      </c>
      <c r="S34" s="36">
        <v>0</v>
      </c>
      <c r="T34" s="36">
        <v>0</v>
      </c>
      <c r="U34" s="36">
        <v>0</v>
      </c>
      <c r="V34" s="36">
        <v>0</v>
      </c>
      <c r="W34" s="36">
        <v>0</v>
      </c>
      <c r="X34" s="36">
        <v>0</v>
      </c>
      <c r="Y34" s="36">
        <v>0</v>
      </c>
      <c r="Z34" s="36">
        <v>0</v>
      </c>
      <c r="AA34" s="36">
        <v>0</v>
      </c>
      <c r="AB34" s="36">
        <v>0</v>
      </c>
      <c r="AC34" s="36">
        <v>0</v>
      </c>
      <c r="AD34" s="36">
        <v>0</v>
      </c>
      <c r="AE34" s="36">
        <v>0</v>
      </c>
      <c r="AF34" s="35" t="s">
        <v>1278</v>
      </c>
      <c r="AG34" s="29"/>
    </row>
    <row r="35" spans="1:33" ht="12" customHeight="1">
      <c r="A35" s="34" t="s">
        <v>3347</v>
      </c>
      <c r="B35" s="37" t="s">
        <v>3236</v>
      </c>
      <c r="C35" s="36">
        <v>0</v>
      </c>
      <c r="D35" s="36">
        <v>0</v>
      </c>
      <c r="E35" s="36">
        <v>0</v>
      </c>
      <c r="F35" s="36">
        <v>0</v>
      </c>
      <c r="G35" s="36">
        <v>0</v>
      </c>
      <c r="H35" s="36">
        <v>0</v>
      </c>
      <c r="I35" s="36">
        <v>0</v>
      </c>
      <c r="J35" s="36">
        <v>0</v>
      </c>
      <c r="K35" s="36">
        <v>0</v>
      </c>
      <c r="L35" s="36">
        <v>0</v>
      </c>
      <c r="M35" s="36">
        <v>0</v>
      </c>
      <c r="N35" s="36">
        <v>0</v>
      </c>
      <c r="O35" s="36">
        <v>0</v>
      </c>
      <c r="P35" s="36">
        <v>0</v>
      </c>
      <c r="Q35" s="36">
        <v>0</v>
      </c>
      <c r="R35" s="36">
        <v>0</v>
      </c>
      <c r="S35" s="36">
        <v>0</v>
      </c>
      <c r="T35" s="36">
        <v>0</v>
      </c>
      <c r="U35" s="36">
        <v>0</v>
      </c>
      <c r="V35" s="36">
        <v>0</v>
      </c>
      <c r="W35" s="36">
        <v>0</v>
      </c>
      <c r="X35" s="36">
        <v>0</v>
      </c>
      <c r="Y35" s="36">
        <v>0</v>
      </c>
      <c r="Z35" s="36">
        <v>0</v>
      </c>
      <c r="AA35" s="36">
        <v>0</v>
      </c>
      <c r="AB35" s="36">
        <v>0</v>
      </c>
      <c r="AC35" s="36">
        <v>0</v>
      </c>
      <c r="AD35" s="36">
        <v>0</v>
      </c>
      <c r="AE35" s="36">
        <v>0</v>
      </c>
      <c r="AF35" s="35" t="s">
        <v>1278</v>
      </c>
      <c r="AG35" s="29"/>
    </row>
    <row r="36" spans="1:33" ht="12" customHeight="1">
      <c r="A36" s="34" t="s">
        <v>3348</v>
      </c>
      <c r="B36" s="37" t="s">
        <v>3240</v>
      </c>
      <c r="C36" s="36">
        <v>0</v>
      </c>
      <c r="D36" s="36">
        <v>0</v>
      </c>
      <c r="E36" s="36">
        <v>0</v>
      </c>
      <c r="F36" s="36">
        <v>0</v>
      </c>
      <c r="G36" s="36">
        <v>0</v>
      </c>
      <c r="H36" s="36">
        <v>0</v>
      </c>
      <c r="I36" s="36">
        <v>0</v>
      </c>
      <c r="J36" s="36">
        <v>0</v>
      </c>
      <c r="K36" s="36">
        <v>0</v>
      </c>
      <c r="L36" s="36">
        <v>0</v>
      </c>
      <c r="M36" s="36">
        <v>0</v>
      </c>
      <c r="N36" s="36">
        <v>0</v>
      </c>
      <c r="O36" s="36">
        <v>0</v>
      </c>
      <c r="P36" s="36">
        <v>0</v>
      </c>
      <c r="Q36" s="36">
        <v>0</v>
      </c>
      <c r="R36" s="36">
        <v>0</v>
      </c>
      <c r="S36" s="36">
        <v>0</v>
      </c>
      <c r="T36" s="36">
        <v>0</v>
      </c>
      <c r="U36" s="36">
        <v>0</v>
      </c>
      <c r="V36" s="36">
        <v>0</v>
      </c>
      <c r="W36" s="36">
        <v>0</v>
      </c>
      <c r="X36" s="36">
        <v>0</v>
      </c>
      <c r="Y36" s="36">
        <v>0</v>
      </c>
      <c r="Z36" s="36">
        <v>0</v>
      </c>
      <c r="AA36" s="36">
        <v>0</v>
      </c>
      <c r="AB36" s="36">
        <v>0</v>
      </c>
      <c r="AC36" s="36">
        <v>0</v>
      </c>
      <c r="AD36" s="36">
        <v>0</v>
      </c>
      <c r="AE36" s="36">
        <v>0</v>
      </c>
      <c r="AF36" s="35" t="s">
        <v>1278</v>
      </c>
      <c r="AG36" s="29"/>
    </row>
    <row r="37" spans="1:33" ht="12" customHeight="1">
      <c r="A37" s="34" t="s">
        <v>3349</v>
      </c>
      <c r="B37" s="37" t="s">
        <v>3242</v>
      </c>
      <c r="C37" s="36">
        <v>158.30687</v>
      </c>
      <c r="D37" s="36">
        <v>160.75990300000001</v>
      </c>
      <c r="E37" s="36">
        <v>160.212357</v>
      </c>
      <c r="F37" s="36">
        <v>161.91776999999999</v>
      </c>
      <c r="G37" s="36">
        <v>165.137787</v>
      </c>
      <c r="H37" s="36">
        <v>167.74194299999999</v>
      </c>
      <c r="I37" s="36">
        <v>169.64802599999999</v>
      </c>
      <c r="J37" s="36">
        <v>171.200638</v>
      </c>
      <c r="K37" s="36">
        <v>172.16153</v>
      </c>
      <c r="L37" s="36">
        <v>173.43731700000001</v>
      </c>
      <c r="M37" s="36">
        <v>175.354614</v>
      </c>
      <c r="N37" s="36">
        <v>176.79693599999999</v>
      </c>
      <c r="O37" s="36">
        <v>178.459686</v>
      </c>
      <c r="P37" s="36">
        <v>180.72534200000001</v>
      </c>
      <c r="Q37" s="36">
        <v>182.18420399999999</v>
      </c>
      <c r="R37" s="36">
        <v>183.458145</v>
      </c>
      <c r="S37" s="36">
        <v>184.74221800000001</v>
      </c>
      <c r="T37" s="36">
        <v>185.778717</v>
      </c>
      <c r="U37" s="36">
        <v>187.04141200000001</v>
      </c>
      <c r="V37" s="36">
        <v>188.69120799999999</v>
      </c>
      <c r="W37" s="36">
        <v>190.351257</v>
      </c>
      <c r="X37" s="36">
        <v>192.266907</v>
      </c>
      <c r="Y37" s="36">
        <v>193.733215</v>
      </c>
      <c r="Z37" s="36">
        <v>195.04791299999999</v>
      </c>
      <c r="AA37" s="36">
        <v>196.70443700000001</v>
      </c>
      <c r="AB37" s="36">
        <v>198.49568199999999</v>
      </c>
      <c r="AC37" s="36">
        <v>199.86547899999999</v>
      </c>
      <c r="AD37" s="36">
        <v>201.36772199999999</v>
      </c>
      <c r="AE37" s="36">
        <v>204.075729</v>
      </c>
      <c r="AF37" s="35">
        <v>9.1109999999999993E-3</v>
      </c>
      <c r="AG37" s="29"/>
    </row>
    <row r="38" spans="1:33" ht="12" customHeight="1">
      <c r="A38" s="34" t="s">
        <v>3350</v>
      </c>
      <c r="B38" s="33" t="s">
        <v>3244</v>
      </c>
      <c r="C38" s="32">
        <v>239.58429000000001</v>
      </c>
      <c r="D38" s="32">
        <v>239.747131</v>
      </c>
      <c r="E38" s="32">
        <v>241.26915</v>
      </c>
      <c r="F38" s="32">
        <v>244.51265000000001</v>
      </c>
      <c r="G38" s="32">
        <v>249.99392700000001</v>
      </c>
      <c r="H38" s="32">
        <v>254.25881999999999</v>
      </c>
      <c r="I38" s="32">
        <v>257.17764299999999</v>
      </c>
      <c r="J38" s="32">
        <v>259.40033</v>
      </c>
      <c r="K38" s="32">
        <v>260.72351099999997</v>
      </c>
      <c r="L38" s="32">
        <v>262.47314499999999</v>
      </c>
      <c r="M38" s="32">
        <v>265.21441700000003</v>
      </c>
      <c r="N38" s="32">
        <v>267.38961799999998</v>
      </c>
      <c r="O38" s="32">
        <v>269.90869099999998</v>
      </c>
      <c r="P38" s="32">
        <v>273.35308800000001</v>
      </c>
      <c r="Q38" s="32">
        <v>275.90609699999999</v>
      </c>
      <c r="R38" s="32">
        <v>278.148529</v>
      </c>
      <c r="S38" s="32">
        <v>280.31176799999997</v>
      </c>
      <c r="T38" s="32">
        <v>282.46667500000001</v>
      </c>
      <c r="U38" s="32">
        <v>284.58837899999997</v>
      </c>
      <c r="V38" s="32">
        <v>287.38497899999999</v>
      </c>
      <c r="W38" s="32">
        <v>290.30068999999997</v>
      </c>
      <c r="X38" s="32">
        <v>293.68441799999999</v>
      </c>
      <c r="Y38" s="32">
        <v>296.40594499999997</v>
      </c>
      <c r="Z38" s="32">
        <v>298.75640900000002</v>
      </c>
      <c r="AA38" s="32">
        <v>301.32797199999999</v>
      </c>
      <c r="AB38" s="32">
        <v>304.47946200000001</v>
      </c>
      <c r="AC38" s="32">
        <v>307.022064</v>
      </c>
      <c r="AD38" s="32">
        <v>309.77410900000001</v>
      </c>
      <c r="AE38" s="32">
        <v>314.29324300000002</v>
      </c>
      <c r="AF38" s="31">
        <v>9.7409999999999997E-3</v>
      </c>
      <c r="AG38" s="29"/>
    </row>
    <row r="39" spans="1:33" ht="12" customHeight="1">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row>
    <row r="40" spans="1:33" ht="12" customHeight="1">
      <c r="B40" s="33" t="s">
        <v>3351</v>
      </c>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row>
    <row r="41" spans="1:33" ht="12" customHeight="1">
      <c r="A41" s="34" t="s">
        <v>3352</v>
      </c>
      <c r="B41" s="37" t="s">
        <v>2345</v>
      </c>
      <c r="C41" s="36">
        <v>3.4739610000000001</v>
      </c>
      <c r="D41" s="36">
        <v>3.8192629999999999</v>
      </c>
      <c r="E41" s="36">
        <v>13.688148</v>
      </c>
      <c r="F41" s="36">
        <v>13.200716999999999</v>
      </c>
      <c r="G41" s="36">
        <v>12.786343</v>
      </c>
      <c r="H41" s="36">
        <v>12.597159</v>
      </c>
      <c r="I41" s="36">
        <v>12.514664</v>
      </c>
      <c r="J41" s="36">
        <v>12.55349</v>
      </c>
      <c r="K41" s="36">
        <v>12.578454000000001</v>
      </c>
      <c r="L41" s="36">
        <v>12.612946000000001</v>
      </c>
      <c r="M41" s="36">
        <v>12.678715</v>
      </c>
      <c r="N41" s="36">
        <v>12.756962</v>
      </c>
      <c r="O41" s="36">
        <v>12.828331</v>
      </c>
      <c r="P41" s="36">
        <v>12.908493</v>
      </c>
      <c r="Q41" s="36">
        <v>12.961611</v>
      </c>
      <c r="R41" s="36">
        <v>13.033624</v>
      </c>
      <c r="S41" s="36">
        <v>13.135208</v>
      </c>
      <c r="T41" s="36">
        <v>13.189280999999999</v>
      </c>
      <c r="U41" s="36">
        <v>13.319019000000001</v>
      </c>
      <c r="V41" s="36">
        <v>13.447816</v>
      </c>
      <c r="W41" s="36">
        <v>13.563891999999999</v>
      </c>
      <c r="X41" s="36">
        <v>13.657982000000001</v>
      </c>
      <c r="Y41" s="36">
        <v>13.766216999999999</v>
      </c>
      <c r="Z41" s="36">
        <v>13.866167000000001</v>
      </c>
      <c r="AA41" s="36">
        <v>13.961797000000001</v>
      </c>
      <c r="AB41" s="36">
        <v>14.074680000000001</v>
      </c>
      <c r="AC41" s="36">
        <v>14.171424999999999</v>
      </c>
      <c r="AD41" s="36">
        <v>14.245901999999999</v>
      </c>
      <c r="AE41" s="36">
        <v>14.378797</v>
      </c>
      <c r="AF41" s="35">
        <v>5.2040000000000003E-2</v>
      </c>
      <c r="AG41" s="29"/>
    </row>
    <row r="42" spans="1:33" ht="12" customHeight="1">
      <c r="A42" s="34" t="s">
        <v>3353</v>
      </c>
      <c r="B42" s="37" t="s">
        <v>3226</v>
      </c>
      <c r="C42" s="36">
        <v>31.701138</v>
      </c>
      <c r="D42" s="36">
        <v>32.211105000000003</v>
      </c>
      <c r="E42" s="36">
        <v>30.498183999999998</v>
      </c>
      <c r="F42" s="36">
        <v>30.021414</v>
      </c>
      <c r="G42" s="36">
        <v>29.440449000000001</v>
      </c>
      <c r="H42" s="36">
        <v>28.913553</v>
      </c>
      <c r="I42" s="36">
        <v>28.51783</v>
      </c>
      <c r="J42" s="36">
        <v>28.149674999999998</v>
      </c>
      <c r="K42" s="36">
        <v>27.808712</v>
      </c>
      <c r="L42" s="36">
        <v>27.477931999999999</v>
      </c>
      <c r="M42" s="36">
        <v>27.201530000000002</v>
      </c>
      <c r="N42" s="36">
        <v>26.968481000000001</v>
      </c>
      <c r="O42" s="36">
        <v>26.772922999999999</v>
      </c>
      <c r="P42" s="36">
        <v>26.608474999999999</v>
      </c>
      <c r="Q42" s="36">
        <v>26.456242</v>
      </c>
      <c r="R42" s="36">
        <v>26.316310999999999</v>
      </c>
      <c r="S42" s="36">
        <v>26.202559000000001</v>
      </c>
      <c r="T42" s="36">
        <v>26.059149000000001</v>
      </c>
      <c r="U42" s="36">
        <v>25.961683000000001</v>
      </c>
      <c r="V42" s="36">
        <v>25.857026999999999</v>
      </c>
      <c r="W42" s="36">
        <v>25.758709</v>
      </c>
      <c r="X42" s="36">
        <v>25.637834999999999</v>
      </c>
      <c r="Y42" s="36">
        <v>25.536451</v>
      </c>
      <c r="Z42" s="36">
        <v>25.425934000000002</v>
      </c>
      <c r="AA42" s="36">
        <v>25.304345999999999</v>
      </c>
      <c r="AB42" s="36">
        <v>25.213051</v>
      </c>
      <c r="AC42" s="36">
        <v>25.108212000000002</v>
      </c>
      <c r="AD42" s="36">
        <v>24.987862</v>
      </c>
      <c r="AE42" s="36">
        <v>24.913167999999999</v>
      </c>
      <c r="AF42" s="35">
        <v>-8.5690000000000002E-3</v>
      </c>
      <c r="AG42" s="29"/>
    </row>
    <row r="43" spans="1:33" ht="12" customHeight="1">
      <c r="A43" s="34" t="s">
        <v>3354</v>
      </c>
      <c r="B43" s="37" t="s">
        <v>3228</v>
      </c>
      <c r="C43" s="36">
        <v>2.5280879999999999</v>
      </c>
      <c r="D43" s="36">
        <v>2.0959469999999998</v>
      </c>
      <c r="E43" s="36">
        <v>2.008915</v>
      </c>
      <c r="F43" s="36">
        <v>1.9294629999999999</v>
      </c>
      <c r="G43" s="36">
        <v>1.8451109999999999</v>
      </c>
      <c r="H43" s="36">
        <v>1.750283</v>
      </c>
      <c r="I43" s="36">
        <v>1.6613640000000001</v>
      </c>
      <c r="J43" s="36">
        <v>1.580627</v>
      </c>
      <c r="K43" s="36">
        <v>1.508607</v>
      </c>
      <c r="L43" s="36">
        <v>1.4457310000000001</v>
      </c>
      <c r="M43" s="36">
        <v>1.3923639999999999</v>
      </c>
      <c r="N43" s="36">
        <v>1.3485549999999999</v>
      </c>
      <c r="O43" s="36">
        <v>1.314451</v>
      </c>
      <c r="P43" s="36">
        <v>1.289947</v>
      </c>
      <c r="Q43" s="36">
        <v>1.270308</v>
      </c>
      <c r="R43" s="36">
        <v>1.2508490000000001</v>
      </c>
      <c r="S43" s="36">
        <v>1.231439</v>
      </c>
      <c r="T43" s="36">
        <v>1.2123569999999999</v>
      </c>
      <c r="U43" s="36">
        <v>1.193354</v>
      </c>
      <c r="V43" s="36">
        <v>1.17449</v>
      </c>
      <c r="W43" s="36">
        <v>1.1559330000000001</v>
      </c>
      <c r="X43" s="36">
        <v>1.137721</v>
      </c>
      <c r="Y43" s="36">
        <v>1.1198650000000001</v>
      </c>
      <c r="Z43" s="36">
        <v>1.1022860000000001</v>
      </c>
      <c r="AA43" s="36">
        <v>1.084983</v>
      </c>
      <c r="AB43" s="36">
        <v>1.0680069999999999</v>
      </c>
      <c r="AC43" s="36">
        <v>1.051315</v>
      </c>
      <c r="AD43" s="36">
        <v>1.0349429999999999</v>
      </c>
      <c r="AE43" s="36">
        <v>1.01885</v>
      </c>
      <c r="AF43" s="35">
        <v>-3.1935999999999999E-2</v>
      </c>
      <c r="AG43" s="29"/>
    </row>
    <row r="44" spans="1:33" ht="12" customHeight="1">
      <c r="A44" s="34" t="s">
        <v>3355</v>
      </c>
      <c r="B44" s="37" t="s">
        <v>3230</v>
      </c>
      <c r="C44" s="36">
        <v>1.2177039999999999</v>
      </c>
      <c r="D44" s="36">
        <v>1.1123270000000001</v>
      </c>
      <c r="E44" s="36">
        <v>0.65469100000000002</v>
      </c>
      <c r="F44" s="36">
        <v>0.52288999999999997</v>
      </c>
      <c r="G44" s="36">
        <v>0.36729600000000001</v>
      </c>
      <c r="H44" s="36">
        <v>0.27893299999999999</v>
      </c>
      <c r="I44" s="36">
        <v>0.23122000000000001</v>
      </c>
      <c r="J44" s="36">
        <v>0.24241799999999999</v>
      </c>
      <c r="K44" s="36">
        <v>0.25793199999999999</v>
      </c>
      <c r="L44" s="36">
        <v>0.27817500000000001</v>
      </c>
      <c r="M44" s="36">
        <v>0.29963299999999998</v>
      </c>
      <c r="N44" s="36">
        <v>0.32713900000000001</v>
      </c>
      <c r="O44" s="36">
        <v>0.34789900000000001</v>
      </c>
      <c r="P44" s="36">
        <v>0.36430400000000002</v>
      </c>
      <c r="Q44" s="36">
        <v>0.36724499999999999</v>
      </c>
      <c r="R44" s="36">
        <v>0.37407000000000001</v>
      </c>
      <c r="S44" s="36">
        <v>0.39348</v>
      </c>
      <c r="T44" s="36">
        <v>0.38650699999999999</v>
      </c>
      <c r="U44" s="36">
        <v>0.40729700000000002</v>
      </c>
      <c r="V44" s="36">
        <v>0.42037400000000003</v>
      </c>
      <c r="W44" s="36">
        <v>0.42603999999999997</v>
      </c>
      <c r="X44" s="36">
        <v>0.420122</v>
      </c>
      <c r="Y44" s="36">
        <v>0.41996299999999998</v>
      </c>
      <c r="Z44" s="36">
        <v>0.42270799999999997</v>
      </c>
      <c r="AA44" s="36">
        <v>0.42339399999999999</v>
      </c>
      <c r="AB44" s="36">
        <v>0.42257499999999998</v>
      </c>
      <c r="AC44" s="36">
        <v>0.41891699999999998</v>
      </c>
      <c r="AD44" s="36">
        <v>0.41302499999999998</v>
      </c>
      <c r="AE44" s="36">
        <v>0.41405399999999998</v>
      </c>
      <c r="AF44" s="35">
        <v>-3.7793E-2</v>
      </c>
      <c r="AG44" s="29"/>
    </row>
    <row r="45" spans="1:33" ht="12" customHeight="1">
      <c r="A45" s="34" t="s">
        <v>3356</v>
      </c>
      <c r="B45" s="37" t="s">
        <v>3357</v>
      </c>
      <c r="C45" s="36">
        <v>36.495773</v>
      </c>
      <c r="D45" s="36">
        <v>31.177233000000001</v>
      </c>
      <c r="E45" s="36">
        <v>19.098845000000001</v>
      </c>
      <c r="F45" s="36">
        <v>15.822265</v>
      </c>
      <c r="G45" s="36">
        <v>11.453035</v>
      </c>
      <c r="H45" s="36">
        <v>8.8985459999999996</v>
      </c>
      <c r="I45" s="36">
        <v>7.5115270000000001</v>
      </c>
      <c r="J45" s="36">
        <v>7.9967600000000001</v>
      </c>
      <c r="K45" s="36">
        <v>8.5991180000000007</v>
      </c>
      <c r="L45" s="36">
        <v>9.3476090000000003</v>
      </c>
      <c r="M45" s="36">
        <v>10.126621999999999</v>
      </c>
      <c r="N45" s="36">
        <v>11.093249999999999</v>
      </c>
      <c r="O45" s="36">
        <v>11.819813999999999</v>
      </c>
      <c r="P45" s="36">
        <v>12.379827000000001</v>
      </c>
      <c r="Q45" s="36">
        <v>12.480713</v>
      </c>
      <c r="R45" s="36">
        <v>12.714173000000001</v>
      </c>
      <c r="S45" s="36">
        <v>13.369213</v>
      </c>
      <c r="T45" s="36">
        <v>13.143954000000001</v>
      </c>
      <c r="U45" s="36">
        <v>13.839808</v>
      </c>
      <c r="V45" s="36">
        <v>14.280551000000001</v>
      </c>
      <c r="W45" s="36">
        <v>14.47359</v>
      </c>
      <c r="X45" s="36">
        <v>14.276363999999999</v>
      </c>
      <c r="Y45" s="36">
        <v>14.266541999999999</v>
      </c>
      <c r="Z45" s="36">
        <v>14.364395</v>
      </c>
      <c r="AA45" s="36">
        <v>14.388582</v>
      </c>
      <c r="AB45" s="36">
        <v>14.359736</v>
      </c>
      <c r="AC45" s="36">
        <v>14.231006000000001</v>
      </c>
      <c r="AD45" s="36">
        <v>14.036519999999999</v>
      </c>
      <c r="AE45" s="36">
        <v>14.074733999999999</v>
      </c>
      <c r="AF45" s="35">
        <v>-3.3457000000000001E-2</v>
      </c>
      <c r="AG45" s="29"/>
    </row>
    <row r="46" spans="1:33" ht="12" customHeight="1">
      <c r="A46" s="34" t="s">
        <v>3358</v>
      </c>
      <c r="B46" s="37" t="s">
        <v>3232</v>
      </c>
      <c r="C46" s="36">
        <v>75.416663999999997</v>
      </c>
      <c r="D46" s="36">
        <v>70.415878000000006</v>
      </c>
      <c r="E46" s="36">
        <v>65.948784000000003</v>
      </c>
      <c r="F46" s="36">
        <v>61.496746000000002</v>
      </c>
      <c r="G46" s="36">
        <v>55.892234999999999</v>
      </c>
      <c r="H46" s="36">
        <v>52.438476999999999</v>
      </c>
      <c r="I46" s="36">
        <v>50.436604000000003</v>
      </c>
      <c r="J46" s="36">
        <v>50.522967999999999</v>
      </c>
      <c r="K46" s="36">
        <v>50.752822999999999</v>
      </c>
      <c r="L46" s="36">
        <v>51.162391999999997</v>
      </c>
      <c r="M46" s="36">
        <v>51.698864</v>
      </c>
      <c r="N46" s="36">
        <v>52.494385000000001</v>
      </c>
      <c r="O46" s="36">
        <v>53.083416</v>
      </c>
      <c r="P46" s="36">
        <v>53.551048000000002</v>
      </c>
      <c r="Q46" s="36">
        <v>53.536118000000002</v>
      </c>
      <c r="R46" s="36">
        <v>53.689025999999998</v>
      </c>
      <c r="S46" s="36">
        <v>54.331901999999999</v>
      </c>
      <c r="T46" s="36">
        <v>53.991244999999999</v>
      </c>
      <c r="U46" s="36">
        <v>54.721161000000002</v>
      </c>
      <c r="V46" s="36">
        <v>55.180259999999997</v>
      </c>
      <c r="W46" s="36">
        <v>55.378166</v>
      </c>
      <c r="X46" s="36">
        <v>55.130023999999999</v>
      </c>
      <c r="Y46" s="36">
        <v>55.109039000000003</v>
      </c>
      <c r="Z46" s="36">
        <v>55.181488000000002</v>
      </c>
      <c r="AA46" s="36">
        <v>55.163100999999997</v>
      </c>
      <c r="AB46" s="36">
        <v>55.138046000000003</v>
      </c>
      <c r="AC46" s="36">
        <v>54.980873000000003</v>
      </c>
      <c r="AD46" s="36">
        <v>54.718254000000002</v>
      </c>
      <c r="AE46" s="36">
        <v>54.799602999999998</v>
      </c>
      <c r="AF46" s="35">
        <v>-1.1339999999999999E-2</v>
      </c>
      <c r="AG46" s="29"/>
    </row>
    <row r="47" spans="1:33" ht="12" customHeight="1">
      <c r="A47" s="34" t="s">
        <v>3359</v>
      </c>
      <c r="B47" s="37" t="s">
        <v>3234</v>
      </c>
      <c r="C47" s="36">
        <v>723.59228499999995</v>
      </c>
      <c r="D47" s="36">
        <v>669.314392</v>
      </c>
      <c r="E47" s="36">
        <v>698.567139</v>
      </c>
      <c r="F47" s="36">
        <v>708.44787599999995</v>
      </c>
      <c r="G47" s="36">
        <v>723.54077099999995</v>
      </c>
      <c r="H47" s="36">
        <v>734.54791299999999</v>
      </c>
      <c r="I47" s="36">
        <v>741.06402600000001</v>
      </c>
      <c r="J47" s="36">
        <v>742.91369599999996</v>
      </c>
      <c r="K47" s="36">
        <v>742.60644500000001</v>
      </c>
      <c r="L47" s="36">
        <v>741.27624500000002</v>
      </c>
      <c r="M47" s="36">
        <v>742.24371299999996</v>
      </c>
      <c r="N47" s="36">
        <v>743.462219</v>
      </c>
      <c r="O47" s="36">
        <v>745.84106399999996</v>
      </c>
      <c r="P47" s="36">
        <v>749.48620600000004</v>
      </c>
      <c r="Q47" s="36">
        <v>755.99523899999997</v>
      </c>
      <c r="R47" s="36">
        <v>762.70117200000004</v>
      </c>
      <c r="S47" s="36">
        <v>768.59222399999999</v>
      </c>
      <c r="T47" s="36">
        <v>778.58056599999998</v>
      </c>
      <c r="U47" s="36">
        <v>785.65197799999999</v>
      </c>
      <c r="V47" s="36">
        <v>794.78002900000001</v>
      </c>
      <c r="W47" s="36">
        <v>805.79211399999997</v>
      </c>
      <c r="X47" s="36">
        <v>817.96929899999998</v>
      </c>
      <c r="Y47" s="36">
        <v>829.81756600000006</v>
      </c>
      <c r="Z47" s="36">
        <v>839.85803199999998</v>
      </c>
      <c r="AA47" s="36">
        <v>845.06530799999996</v>
      </c>
      <c r="AB47" s="36">
        <v>857.05084199999999</v>
      </c>
      <c r="AC47" s="36">
        <v>868.63452099999995</v>
      </c>
      <c r="AD47" s="36">
        <v>879.09667999999999</v>
      </c>
      <c r="AE47" s="36">
        <v>891.08184800000004</v>
      </c>
      <c r="AF47" s="35">
        <v>7.4640000000000001E-3</v>
      </c>
      <c r="AG47" s="29"/>
    </row>
    <row r="48" spans="1:33" ht="12" customHeight="1">
      <c r="A48" s="34" t="s">
        <v>3360</v>
      </c>
      <c r="B48" s="37" t="s">
        <v>3238</v>
      </c>
      <c r="C48" s="36">
        <v>26.987853999999999</v>
      </c>
      <c r="D48" s="36">
        <v>24.288665999999999</v>
      </c>
      <c r="E48" s="36">
        <v>24.613990999999999</v>
      </c>
      <c r="F48" s="36">
        <v>24.992177999999999</v>
      </c>
      <c r="G48" s="36">
        <v>25.527363000000001</v>
      </c>
      <c r="H48" s="36">
        <v>26.123552</v>
      </c>
      <c r="I48" s="36">
        <v>26.689433999999999</v>
      </c>
      <c r="J48" s="36">
        <v>27.187768999999999</v>
      </c>
      <c r="K48" s="36">
        <v>27.608650000000001</v>
      </c>
      <c r="L48" s="36">
        <v>27.992387999999998</v>
      </c>
      <c r="M48" s="36">
        <v>28.428439999999998</v>
      </c>
      <c r="N48" s="36">
        <v>28.802541999999999</v>
      </c>
      <c r="O48" s="36">
        <v>29.137882000000001</v>
      </c>
      <c r="P48" s="36">
        <v>29.456682000000001</v>
      </c>
      <c r="Q48" s="36">
        <v>29.752738999999998</v>
      </c>
      <c r="R48" s="36">
        <v>30.082042999999999</v>
      </c>
      <c r="S48" s="36">
        <v>30.442568000000001</v>
      </c>
      <c r="T48" s="36">
        <v>30.794823000000001</v>
      </c>
      <c r="U48" s="36">
        <v>31.19717</v>
      </c>
      <c r="V48" s="36">
        <v>31.638051999999998</v>
      </c>
      <c r="W48" s="36">
        <v>32.098221000000002</v>
      </c>
      <c r="X48" s="36">
        <v>32.563667000000002</v>
      </c>
      <c r="Y48" s="36">
        <v>33.018546999999998</v>
      </c>
      <c r="Z48" s="36">
        <v>33.457721999999997</v>
      </c>
      <c r="AA48" s="36">
        <v>33.903739999999999</v>
      </c>
      <c r="AB48" s="36">
        <v>34.382446000000002</v>
      </c>
      <c r="AC48" s="36">
        <v>34.834702</v>
      </c>
      <c r="AD48" s="36">
        <v>35.234558</v>
      </c>
      <c r="AE48" s="36">
        <v>35.752777000000002</v>
      </c>
      <c r="AF48" s="35">
        <v>1.0095E-2</v>
      </c>
      <c r="AG48" s="29"/>
    </row>
    <row r="49" spans="1:33" ht="12" customHeight="1">
      <c r="A49" s="34" t="s">
        <v>3361</v>
      </c>
      <c r="B49" s="37" t="s">
        <v>3236</v>
      </c>
      <c r="C49" s="36">
        <v>0</v>
      </c>
      <c r="D49" s="36">
        <v>0</v>
      </c>
      <c r="E49" s="36">
        <v>0</v>
      </c>
      <c r="F49" s="36">
        <v>0</v>
      </c>
      <c r="G49" s="36">
        <v>0</v>
      </c>
      <c r="H49" s="36">
        <v>0</v>
      </c>
      <c r="I49" s="36">
        <v>0</v>
      </c>
      <c r="J49" s="36">
        <v>0</v>
      </c>
      <c r="K49" s="36">
        <v>0</v>
      </c>
      <c r="L49" s="36">
        <v>0</v>
      </c>
      <c r="M49" s="36">
        <v>0</v>
      </c>
      <c r="N49" s="36">
        <v>0</v>
      </c>
      <c r="O49" s="36">
        <v>0</v>
      </c>
      <c r="P49" s="36">
        <v>0</v>
      </c>
      <c r="Q49" s="36">
        <v>0</v>
      </c>
      <c r="R49" s="36">
        <v>0</v>
      </c>
      <c r="S49" s="36">
        <v>0</v>
      </c>
      <c r="T49" s="36">
        <v>0</v>
      </c>
      <c r="U49" s="36">
        <v>0</v>
      </c>
      <c r="V49" s="36">
        <v>0</v>
      </c>
      <c r="W49" s="36">
        <v>0</v>
      </c>
      <c r="X49" s="36">
        <v>0</v>
      </c>
      <c r="Y49" s="36">
        <v>0</v>
      </c>
      <c r="Z49" s="36">
        <v>0</v>
      </c>
      <c r="AA49" s="36">
        <v>0</v>
      </c>
      <c r="AB49" s="36">
        <v>0</v>
      </c>
      <c r="AC49" s="36">
        <v>0</v>
      </c>
      <c r="AD49" s="36">
        <v>0</v>
      </c>
      <c r="AE49" s="36">
        <v>0</v>
      </c>
      <c r="AF49" s="35" t="s">
        <v>1278</v>
      </c>
      <c r="AG49" s="29"/>
    </row>
    <row r="50" spans="1:33" ht="15" customHeight="1">
      <c r="A50" s="34" t="s">
        <v>3362</v>
      </c>
      <c r="B50" s="37" t="s">
        <v>3240</v>
      </c>
      <c r="C50" s="36">
        <v>22.498187999999999</v>
      </c>
      <c r="D50" s="36">
        <v>23.296755000000001</v>
      </c>
      <c r="E50" s="36">
        <v>23.340751999999998</v>
      </c>
      <c r="F50" s="36">
        <v>23.420815999999999</v>
      </c>
      <c r="G50" s="36">
        <v>23.637519999999999</v>
      </c>
      <c r="H50" s="36">
        <v>23.923897</v>
      </c>
      <c r="I50" s="36">
        <v>24.207606999999999</v>
      </c>
      <c r="J50" s="36">
        <v>24.465927000000001</v>
      </c>
      <c r="K50" s="36">
        <v>24.680814999999999</v>
      </c>
      <c r="L50" s="36">
        <v>24.896260999999999</v>
      </c>
      <c r="M50" s="36">
        <v>25.198236000000001</v>
      </c>
      <c r="N50" s="36">
        <v>25.498051</v>
      </c>
      <c r="O50" s="36">
        <v>25.810258999999999</v>
      </c>
      <c r="P50" s="36">
        <v>26.148109000000002</v>
      </c>
      <c r="Q50" s="36">
        <v>26.487228000000002</v>
      </c>
      <c r="R50" s="36">
        <v>26.845226</v>
      </c>
      <c r="S50" s="36">
        <v>27.238707999999999</v>
      </c>
      <c r="T50" s="36">
        <v>27.640181999999999</v>
      </c>
      <c r="U50" s="36">
        <v>28.084177</v>
      </c>
      <c r="V50" s="36">
        <v>28.571149999999999</v>
      </c>
      <c r="W50" s="36">
        <v>29.079685000000001</v>
      </c>
      <c r="X50" s="36">
        <v>29.596512000000001</v>
      </c>
      <c r="Y50" s="36">
        <v>30.118739999999999</v>
      </c>
      <c r="Z50" s="36">
        <v>30.631883999999999</v>
      </c>
      <c r="AA50" s="36">
        <v>31.153828000000001</v>
      </c>
      <c r="AB50" s="36">
        <v>31.714212</v>
      </c>
      <c r="AC50" s="36">
        <v>32.271732</v>
      </c>
      <c r="AD50" s="36">
        <v>32.794750000000001</v>
      </c>
      <c r="AE50" s="36">
        <v>33.406216000000001</v>
      </c>
      <c r="AF50" s="35">
        <v>1.4218E-2</v>
      </c>
      <c r="AG50" s="29"/>
    </row>
    <row r="51" spans="1:33" ht="15" customHeight="1">
      <c r="A51" s="34" t="s">
        <v>3363</v>
      </c>
      <c r="B51" s="37" t="s">
        <v>3242</v>
      </c>
      <c r="C51" s="36">
        <v>481.16271999999998</v>
      </c>
      <c r="D51" s="36">
        <v>473.020081</v>
      </c>
      <c r="E51" s="36">
        <v>468.40234400000003</v>
      </c>
      <c r="F51" s="36">
        <v>465.85537699999998</v>
      </c>
      <c r="G51" s="36">
        <v>467.15124500000002</v>
      </c>
      <c r="H51" s="36">
        <v>470.69781499999999</v>
      </c>
      <c r="I51" s="36">
        <v>474.55328400000002</v>
      </c>
      <c r="J51" s="36">
        <v>477.66479500000003</v>
      </c>
      <c r="K51" s="36">
        <v>479.42474399999998</v>
      </c>
      <c r="L51" s="36">
        <v>481.12664799999999</v>
      </c>
      <c r="M51" s="36">
        <v>484.27246100000002</v>
      </c>
      <c r="N51" s="36">
        <v>486.37252799999999</v>
      </c>
      <c r="O51" s="36">
        <v>489.87109400000003</v>
      </c>
      <c r="P51" s="36">
        <v>494.570404</v>
      </c>
      <c r="Q51" s="36">
        <v>497.45281999999997</v>
      </c>
      <c r="R51" s="36">
        <v>500.88537600000001</v>
      </c>
      <c r="S51" s="36">
        <v>505.28610200000003</v>
      </c>
      <c r="T51" s="36">
        <v>507.87191799999999</v>
      </c>
      <c r="U51" s="36">
        <v>513.37786900000003</v>
      </c>
      <c r="V51" s="36">
        <v>519.17474400000003</v>
      </c>
      <c r="W51" s="36">
        <v>525.02282700000001</v>
      </c>
      <c r="X51" s="36">
        <v>530.56872599999997</v>
      </c>
      <c r="Y51" s="36">
        <v>535.66943400000002</v>
      </c>
      <c r="Z51" s="36">
        <v>541.67755099999999</v>
      </c>
      <c r="AA51" s="36">
        <v>552.39770499999997</v>
      </c>
      <c r="AB51" s="36">
        <v>558.88299600000005</v>
      </c>
      <c r="AC51" s="36">
        <v>564.67559800000004</v>
      </c>
      <c r="AD51" s="36">
        <v>569.75988800000005</v>
      </c>
      <c r="AE51" s="36">
        <v>577.39569100000006</v>
      </c>
      <c r="AF51" s="35">
        <v>6.5329999999999997E-3</v>
      </c>
      <c r="AG51" s="29"/>
    </row>
    <row r="52" spans="1:33" ht="15" customHeight="1">
      <c r="A52" s="34" t="s">
        <v>3364</v>
      </c>
      <c r="B52" s="33" t="s">
        <v>3244</v>
      </c>
      <c r="C52" s="32">
        <v>1329.6577150000001</v>
      </c>
      <c r="D52" s="32">
        <v>1260.335693</v>
      </c>
      <c r="E52" s="32">
        <v>1280.873047</v>
      </c>
      <c r="F52" s="32">
        <v>1284.213013</v>
      </c>
      <c r="G52" s="32">
        <v>1295.7490230000001</v>
      </c>
      <c r="H52" s="32">
        <v>1307.731689</v>
      </c>
      <c r="I52" s="32">
        <v>1316.950928</v>
      </c>
      <c r="J52" s="32">
        <v>1322.7551269999999</v>
      </c>
      <c r="K52" s="32">
        <v>1325.073486</v>
      </c>
      <c r="L52" s="32">
        <v>1326.453857</v>
      </c>
      <c r="M52" s="32">
        <v>1331.841797</v>
      </c>
      <c r="N52" s="32">
        <v>1336.6297609999999</v>
      </c>
      <c r="O52" s="32">
        <v>1343.7436520000001</v>
      </c>
      <c r="P52" s="32">
        <v>1353.2124020000001</v>
      </c>
      <c r="Q52" s="32">
        <v>1363.224121</v>
      </c>
      <c r="R52" s="32">
        <v>1374.2028809999999</v>
      </c>
      <c r="S52" s="32">
        <v>1385.8914789999999</v>
      </c>
      <c r="T52" s="32">
        <v>1398.878784</v>
      </c>
      <c r="U52" s="32">
        <v>1413.0323490000001</v>
      </c>
      <c r="V52" s="32">
        <v>1429.3442379999999</v>
      </c>
      <c r="W52" s="32">
        <v>1447.3710940000001</v>
      </c>
      <c r="X52" s="32">
        <v>1465.828125</v>
      </c>
      <c r="Y52" s="32">
        <v>1483.7333980000001</v>
      </c>
      <c r="Z52" s="32">
        <v>1500.8066409999999</v>
      </c>
      <c r="AA52" s="32">
        <v>1517.6835940000001</v>
      </c>
      <c r="AB52" s="32">
        <v>1537.1685789999999</v>
      </c>
      <c r="AC52" s="32">
        <v>1555.397461</v>
      </c>
      <c r="AD52" s="32">
        <v>1571.604126</v>
      </c>
      <c r="AE52" s="32">
        <v>1592.4361570000001</v>
      </c>
      <c r="AF52" s="31">
        <v>6.4619999999999999E-3</v>
      </c>
      <c r="AG52" s="29"/>
    </row>
    <row r="53" spans="1:33" ht="15" customHeight="1">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row>
    <row r="54" spans="1:33" ht="15" customHeight="1">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row>
    <row r="55" spans="1:33" ht="15" customHeight="1">
      <c r="B55" s="33" t="s">
        <v>2695</v>
      </c>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row>
    <row r="56" spans="1:33" ht="15" customHeight="1">
      <c r="A56" s="34" t="s">
        <v>3365</v>
      </c>
      <c r="B56" s="37" t="s">
        <v>3366</v>
      </c>
      <c r="C56" s="53">
        <v>109.157951</v>
      </c>
      <c r="D56" s="53">
        <v>99.189582999999999</v>
      </c>
      <c r="E56" s="53">
        <v>96.542572000000007</v>
      </c>
      <c r="F56" s="53">
        <v>98.351212000000004</v>
      </c>
      <c r="G56" s="53">
        <v>97.092917999999997</v>
      </c>
      <c r="H56" s="53">
        <v>96.657241999999997</v>
      </c>
      <c r="I56" s="53">
        <v>97.914101000000002</v>
      </c>
      <c r="J56" s="53">
        <v>99.570167999999995</v>
      </c>
      <c r="K56" s="53">
        <v>100.326973</v>
      </c>
      <c r="L56" s="53">
        <v>100.708099</v>
      </c>
      <c r="M56" s="53">
        <v>101.90055099999999</v>
      </c>
      <c r="N56" s="53">
        <v>103.34674800000001</v>
      </c>
      <c r="O56" s="53">
        <v>105.10797100000001</v>
      </c>
      <c r="P56" s="53">
        <v>106.07505</v>
      </c>
      <c r="Q56" s="53">
        <v>105.740578</v>
      </c>
      <c r="R56" s="53">
        <v>106.268326</v>
      </c>
      <c r="S56" s="53">
        <v>106.630623</v>
      </c>
      <c r="T56" s="53">
        <v>107.17532300000001</v>
      </c>
      <c r="U56" s="53">
        <v>108.014572</v>
      </c>
      <c r="V56" s="53">
        <v>109.217476</v>
      </c>
      <c r="W56" s="53">
        <v>110.19882200000001</v>
      </c>
      <c r="X56" s="53">
        <v>110.84369700000001</v>
      </c>
      <c r="Y56" s="53">
        <v>110.92272199999999</v>
      </c>
      <c r="Z56" s="53">
        <v>110.26979799999999</v>
      </c>
      <c r="AA56" s="53">
        <v>109.84787799999999</v>
      </c>
      <c r="AB56" s="53">
        <v>109.98687700000001</v>
      </c>
      <c r="AC56" s="53">
        <v>109.763977</v>
      </c>
      <c r="AD56" s="53">
        <v>109.85477400000001</v>
      </c>
      <c r="AE56" s="53">
        <v>111.003975</v>
      </c>
      <c r="AF56" s="35">
        <v>5.9900000000000003E-4</v>
      </c>
      <c r="AG56" s="29"/>
    </row>
    <row r="57" spans="1:33" ht="15" customHeight="1">
      <c r="A57" s="34" t="s">
        <v>3367</v>
      </c>
      <c r="B57" s="37" t="s">
        <v>3368</v>
      </c>
      <c r="C57" s="53">
        <v>254.56864899999999</v>
      </c>
      <c r="D57" s="53">
        <v>249.40261799999999</v>
      </c>
      <c r="E57" s="53">
        <v>247.59620699999999</v>
      </c>
      <c r="F57" s="53">
        <v>251.19984400000001</v>
      </c>
      <c r="G57" s="53">
        <v>257.79541</v>
      </c>
      <c r="H57" s="53">
        <v>263.61346400000002</v>
      </c>
      <c r="I57" s="53">
        <v>268.53961199999998</v>
      </c>
      <c r="J57" s="53">
        <v>273.15313700000002</v>
      </c>
      <c r="K57" s="53">
        <v>277.04922499999998</v>
      </c>
      <c r="L57" s="53">
        <v>281.63604700000002</v>
      </c>
      <c r="M57" s="53">
        <v>287.50537100000003</v>
      </c>
      <c r="N57" s="53">
        <v>292.88174400000003</v>
      </c>
      <c r="O57" s="53">
        <v>297.91622899999999</v>
      </c>
      <c r="P57" s="53">
        <v>303.86456299999998</v>
      </c>
      <c r="Q57" s="53">
        <v>309.03872699999999</v>
      </c>
      <c r="R57" s="53">
        <v>314.230591</v>
      </c>
      <c r="S57" s="53">
        <v>319.516479</v>
      </c>
      <c r="T57" s="53">
        <v>324.26388500000002</v>
      </c>
      <c r="U57" s="53">
        <v>329.411224</v>
      </c>
      <c r="V57" s="53">
        <v>335.37335200000001</v>
      </c>
      <c r="W57" s="53">
        <v>341.05621300000001</v>
      </c>
      <c r="X57" s="53">
        <v>347.279449</v>
      </c>
      <c r="Y57" s="53">
        <v>352.69454999999999</v>
      </c>
      <c r="Z57" s="53">
        <v>357.66485599999999</v>
      </c>
      <c r="AA57" s="53">
        <v>363.25119000000001</v>
      </c>
      <c r="AB57" s="53">
        <v>369.17843599999998</v>
      </c>
      <c r="AC57" s="53">
        <v>374.38232399999998</v>
      </c>
      <c r="AD57" s="53">
        <v>379.796875</v>
      </c>
      <c r="AE57" s="53">
        <v>387.68673699999999</v>
      </c>
      <c r="AF57" s="35">
        <v>1.5136E-2</v>
      </c>
      <c r="AG57" s="29"/>
    </row>
    <row r="58" spans="1:33" ht="15" customHeight="1">
      <c r="A58" s="34" t="s">
        <v>3369</v>
      </c>
      <c r="B58" s="37" t="s">
        <v>3370</v>
      </c>
      <c r="C58" s="53">
        <v>1231.2298579999999</v>
      </c>
      <c r="D58" s="53">
        <v>1223.403564</v>
      </c>
      <c r="E58" s="53">
        <v>1223.0042719999999</v>
      </c>
      <c r="F58" s="53">
        <v>1225.4499510000001</v>
      </c>
      <c r="G58" s="53">
        <v>1238.0627440000001</v>
      </c>
      <c r="H58" s="53">
        <v>1255.5458980000001</v>
      </c>
      <c r="I58" s="53">
        <v>1272.4782709999999</v>
      </c>
      <c r="J58" s="53">
        <v>1287.2457280000001</v>
      </c>
      <c r="K58" s="53">
        <v>1298.7993160000001</v>
      </c>
      <c r="L58" s="53">
        <v>1310.133789</v>
      </c>
      <c r="M58" s="53">
        <v>1326.9229740000001</v>
      </c>
      <c r="N58" s="53">
        <v>1343.1523440000001</v>
      </c>
      <c r="O58" s="53">
        <v>1360.0668949999999</v>
      </c>
      <c r="P58" s="53">
        <v>1378.600586</v>
      </c>
      <c r="Q58" s="53">
        <v>1397.1152340000001</v>
      </c>
      <c r="R58" s="53">
        <v>1417.141846</v>
      </c>
      <c r="S58" s="53">
        <v>1439.143433</v>
      </c>
      <c r="T58" s="53">
        <v>1461.4449460000001</v>
      </c>
      <c r="U58" s="53">
        <v>1486.2993160000001</v>
      </c>
      <c r="V58" s="53">
        <v>1513.6733400000001</v>
      </c>
      <c r="W58" s="53">
        <v>1542.3984379999999</v>
      </c>
      <c r="X58" s="53">
        <v>1571.486572</v>
      </c>
      <c r="Y58" s="53">
        <v>1600.4545900000001</v>
      </c>
      <c r="Z58" s="53">
        <v>1628.5792240000001</v>
      </c>
      <c r="AA58" s="53">
        <v>1657.036255</v>
      </c>
      <c r="AB58" s="53">
        <v>1687.643433</v>
      </c>
      <c r="AC58" s="53">
        <v>1717.4841309999999</v>
      </c>
      <c r="AD58" s="53">
        <v>1744.647095</v>
      </c>
      <c r="AE58" s="53">
        <v>1777.666626</v>
      </c>
      <c r="AF58" s="35">
        <v>1.3204E-2</v>
      </c>
      <c r="AG58" s="29"/>
    </row>
    <row r="59" spans="1:33" ht="15" customHeigh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row>
    <row r="60" spans="1:33" ht="15" customHeight="1">
      <c r="B60" s="33" t="s">
        <v>2903</v>
      </c>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row>
    <row r="61" spans="1:33" ht="15" customHeight="1">
      <c r="B61" s="33" t="s">
        <v>2904</v>
      </c>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row>
    <row r="62" spans="1:33" ht="15" customHeight="1">
      <c r="A62" s="34" t="s">
        <v>3371</v>
      </c>
      <c r="B62" s="37" t="s">
        <v>3366</v>
      </c>
      <c r="C62" s="38">
        <v>3.903492</v>
      </c>
      <c r="D62" s="38">
        <v>4.1981630000000001</v>
      </c>
      <c r="E62" s="38">
        <v>4.2317280000000004</v>
      </c>
      <c r="F62" s="38">
        <v>4.2490079999999999</v>
      </c>
      <c r="G62" s="38">
        <v>4.2874829999999999</v>
      </c>
      <c r="H62" s="38">
        <v>4.3209200000000001</v>
      </c>
      <c r="I62" s="38">
        <v>4.3414910000000004</v>
      </c>
      <c r="J62" s="38">
        <v>4.3510879999999998</v>
      </c>
      <c r="K62" s="38">
        <v>4.355963</v>
      </c>
      <c r="L62" s="38">
        <v>4.3670479999999996</v>
      </c>
      <c r="M62" s="38">
        <v>4.3769780000000003</v>
      </c>
      <c r="N62" s="38">
        <v>4.3811020000000003</v>
      </c>
      <c r="O62" s="38">
        <v>4.3818270000000004</v>
      </c>
      <c r="P62" s="38">
        <v>4.3837299999999999</v>
      </c>
      <c r="Q62" s="38">
        <v>4.3877389999999998</v>
      </c>
      <c r="R62" s="38">
        <v>4.3953420000000003</v>
      </c>
      <c r="S62" s="38">
        <v>4.4043780000000003</v>
      </c>
      <c r="T62" s="38">
        <v>4.4140730000000001</v>
      </c>
      <c r="U62" s="38">
        <v>4.4237989999999998</v>
      </c>
      <c r="V62" s="38">
        <v>4.4345670000000004</v>
      </c>
      <c r="W62" s="38">
        <v>4.4458900000000003</v>
      </c>
      <c r="X62" s="38">
        <v>4.4534310000000001</v>
      </c>
      <c r="Y62" s="38">
        <v>4.4646229999999996</v>
      </c>
      <c r="Z62" s="38">
        <v>4.4834339999999999</v>
      </c>
      <c r="AA62" s="38">
        <v>4.5019080000000002</v>
      </c>
      <c r="AB62" s="38">
        <v>4.5181060000000004</v>
      </c>
      <c r="AC62" s="38">
        <v>4.535209</v>
      </c>
      <c r="AD62" s="38">
        <v>4.5490950000000003</v>
      </c>
      <c r="AE62" s="38">
        <v>4.5606220000000004</v>
      </c>
      <c r="AF62" s="35">
        <v>5.5719999999999997E-3</v>
      </c>
      <c r="AG62" s="29"/>
    </row>
    <row r="63" spans="1:33" ht="15" customHeight="1">
      <c r="A63" s="34" t="s">
        <v>3372</v>
      </c>
      <c r="B63" s="37" t="s">
        <v>3368</v>
      </c>
      <c r="C63" s="38">
        <v>0.94113800000000003</v>
      </c>
      <c r="D63" s="38">
        <v>0.96128599999999997</v>
      </c>
      <c r="E63" s="38">
        <v>0.97444600000000003</v>
      </c>
      <c r="F63" s="38">
        <v>0.97337899999999999</v>
      </c>
      <c r="G63" s="38">
        <v>0.96973799999999999</v>
      </c>
      <c r="H63" s="38">
        <v>0.96451399999999998</v>
      </c>
      <c r="I63" s="38">
        <v>0.95769000000000004</v>
      </c>
      <c r="J63" s="38">
        <v>0.94965200000000005</v>
      </c>
      <c r="K63" s="38">
        <v>0.94107300000000005</v>
      </c>
      <c r="L63" s="38">
        <v>0.93195899999999998</v>
      </c>
      <c r="M63" s="38">
        <v>0.92246799999999995</v>
      </c>
      <c r="N63" s="38">
        <v>0.91296100000000002</v>
      </c>
      <c r="O63" s="38">
        <v>0.90598900000000004</v>
      </c>
      <c r="P63" s="38">
        <v>0.89958899999999997</v>
      </c>
      <c r="Q63" s="38">
        <v>0.89278800000000003</v>
      </c>
      <c r="R63" s="38">
        <v>0.88517299999999999</v>
      </c>
      <c r="S63" s="38">
        <v>0.87729999999999997</v>
      </c>
      <c r="T63" s="38">
        <v>0.87110100000000001</v>
      </c>
      <c r="U63" s="38">
        <v>0.86392999999999998</v>
      </c>
      <c r="V63" s="38">
        <v>0.85691099999999998</v>
      </c>
      <c r="W63" s="38">
        <v>0.85118099999999997</v>
      </c>
      <c r="X63" s="38">
        <v>0.84567199999999998</v>
      </c>
      <c r="Y63" s="38">
        <v>0.84040400000000004</v>
      </c>
      <c r="Z63" s="38">
        <v>0.83529699999999996</v>
      </c>
      <c r="AA63" s="38">
        <v>0.82953100000000002</v>
      </c>
      <c r="AB63" s="38">
        <v>0.82474899999999995</v>
      </c>
      <c r="AC63" s="38">
        <v>0.82007600000000003</v>
      </c>
      <c r="AD63" s="38">
        <v>0.81563099999999999</v>
      </c>
      <c r="AE63" s="38">
        <v>0.81068899999999999</v>
      </c>
      <c r="AF63" s="35">
        <v>-5.3150000000000003E-3</v>
      </c>
      <c r="AG63" s="29"/>
    </row>
    <row r="64" spans="1:33" ht="15" customHeight="1">
      <c r="A64" s="34" t="s">
        <v>3373</v>
      </c>
      <c r="B64" s="37" t="s">
        <v>3370</v>
      </c>
      <c r="C64" s="38">
        <v>1.0799430000000001</v>
      </c>
      <c r="D64" s="38">
        <v>1.0301880000000001</v>
      </c>
      <c r="E64" s="38">
        <v>1.0473170000000001</v>
      </c>
      <c r="F64" s="38">
        <v>1.047952</v>
      </c>
      <c r="G64" s="38">
        <v>1.046594</v>
      </c>
      <c r="H64" s="38">
        <v>1.0415639999999999</v>
      </c>
      <c r="I64" s="38">
        <v>1.03495</v>
      </c>
      <c r="J64" s="38">
        <v>1.0275860000000001</v>
      </c>
      <c r="K64" s="38">
        <v>1.02023</v>
      </c>
      <c r="L64" s="38">
        <v>1.0124569999999999</v>
      </c>
      <c r="M64" s="38">
        <v>1.0037069999999999</v>
      </c>
      <c r="N64" s="38">
        <v>0.99514400000000003</v>
      </c>
      <c r="O64" s="38">
        <v>0.98799800000000004</v>
      </c>
      <c r="P64" s="38">
        <v>0.98158400000000001</v>
      </c>
      <c r="Q64" s="38">
        <v>0.975742</v>
      </c>
      <c r="R64" s="38">
        <v>0.96970000000000001</v>
      </c>
      <c r="S64" s="38">
        <v>0.96299699999999999</v>
      </c>
      <c r="T64" s="38">
        <v>0.95718899999999996</v>
      </c>
      <c r="U64" s="38">
        <v>0.95070500000000002</v>
      </c>
      <c r="V64" s="38">
        <v>0.94428800000000002</v>
      </c>
      <c r="W64" s="38">
        <v>0.93838999999999995</v>
      </c>
      <c r="X64" s="38">
        <v>0.93276499999999996</v>
      </c>
      <c r="Y64" s="38">
        <v>0.92706999999999995</v>
      </c>
      <c r="Z64" s="38">
        <v>0.92154400000000003</v>
      </c>
      <c r="AA64" s="38">
        <v>0.91590199999999999</v>
      </c>
      <c r="AB64" s="38">
        <v>0.91083700000000001</v>
      </c>
      <c r="AC64" s="38">
        <v>0.90562600000000004</v>
      </c>
      <c r="AD64" s="38">
        <v>0.90081500000000003</v>
      </c>
      <c r="AE64" s="38">
        <v>0.89580099999999996</v>
      </c>
      <c r="AF64" s="35">
        <v>-6.6540000000000002E-3</v>
      </c>
      <c r="AG64" s="29"/>
    </row>
    <row r="65" spans="1:33" ht="15" customHeight="1">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row>
    <row r="66" spans="1:33" ht="15" customHeight="1">
      <c r="B66" s="33" t="s">
        <v>3374</v>
      </c>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row>
    <row r="67" spans="1:33" ht="12" customHeight="1">
      <c r="B67" s="33" t="s">
        <v>3305</v>
      </c>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row>
    <row r="68" spans="1:33" ht="15" customHeight="1">
      <c r="A68" s="34" t="s">
        <v>3375</v>
      </c>
      <c r="B68" s="37" t="s">
        <v>3366</v>
      </c>
      <c r="C68" s="53">
        <v>10.960661</v>
      </c>
      <c r="D68" s="53">
        <v>9.9337920000000004</v>
      </c>
      <c r="E68" s="53">
        <v>9.7502379999999995</v>
      </c>
      <c r="F68" s="53">
        <v>9.4228369999999995</v>
      </c>
      <c r="G68" s="53">
        <v>8.7661689999999997</v>
      </c>
      <c r="H68" s="53">
        <v>8.1381549999999994</v>
      </c>
      <c r="I68" s="53">
        <v>7.7143740000000003</v>
      </c>
      <c r="J68" s="53">
        <v>7.4132110000000004</v>
      </c>
      <c r="K68" s="53">
        <v>7.1299599999999996</v>
      </c>
      <c r="L68" s="53">
        <v>6.9842089999999999</v>
      </c>
      <c r="M68" s="53">
        <v>6.9250670000000003</v>
      </c>
      <c r="N68" s="53">
        <v>6.9339110000000002</v>
      </c>
      <c r="O68" s="53">
        <v>6.9010670000000003</v>
      </c>
      <c r="P68" s="53">
        <v>6.8638120000000002</v>
      </c>
      <c r="Q68" s="53">
        <v>6.7540110000000002</v>
      </c>
      <c r="R68" s="53">
        <v>6.7072139999999996</v>
      </c>
      <c r="S68" s="53">
        <v>6.6530209999999999</v>
      </c>
      <c r="T68" s="53">
        <v>6.6376499999999998</v>
      </c>
      <c r="U68" s="53">
        <v>6.6465059999999996</v>
      </c>
      <c r="V68" s="53">
        <v>6.7103780000000004</v>
      </c>
      <c r="W68" s="53">
        <v>6.7582209999999998</v>
      </c>
      <c r="X68" s="53">
        <v>6.7377510000000003</v>
      </c>
      <c r="Y68" s="53">
        <v>6.6530670000000001</v>
      </c>
      <c r="Z68" s="53">
        <v>6.6023019999999999</v>
      </c>
      <c r="AA68" s="53">
        <v>6.5301869999999997</v>
      </c>
      <c r="AB68" s="53">
        <v>6.5204550000000001</v>
      </c>
      <c r="AC68" s="53">
        <v>6.4876399999999999</v>
      </c>
      <c r="AD68" s="53">
        <v>6.4673369999999997</v>
      </c>
      <c r="AE68" s="53">
        <v>6.476966</v>
      </c>
      <c r="AF68" s="35">
        <v>-1.8613000000000001E-2</v>
      </c>
      <c r="AG68" s="29"/>
    </row>
    <row r="69" spans="1:33" ht="15" customHeight="1">
      <c r="A69" s="34" t="s">
        <v>3376</v>
      </c>
      <c r="B69" s="37" t="s">
        <v>3368</v>
      </c>
      <c r="C69" s="53">
        <v>22.758980000000001</v>
      </c>
      <c r="D69" s="53">
        <v>21.798242999999999</v>
      </c>
      <c r="E69" s="53">
        <v>21.634739</v>
      </c>
      <c r="F69" s="53">
        <v>20.593081999999999</v>
      </c>
      <c r="G69" s="53">
        <v>19.116161000000002</v>
      </c>
      <c r="H69" s="53">
        <v>17.612241999999998</v>
      </c>
      <c r="I69" s="53">
        <v>16.205503</v>
      </c>
      <c r="J69" s="53">
        <v>15.188501</v>
      </c>
      <c r="K69" s="53">
        <v>14.403648</v>
      </c>
      <c r="L69" s="53">
        <v>14.121975000000001</v>
      </c>
      <c r="M69" s="53">
        <v>14.007547000000001</v>
      </c>
      <c r="N69" s="53">
        <v>14.105764000000001</v>
      </c>
      <c r="O69" s="53">
        <v>14.029839000000001</v>
      </c>
      <c r="P69" s="53">
        <v>14.131392999999999</v>
      </c>
      <c r="Q69" s="53">
        <v>14.200638</v>
      </c>
      <c r="R69" s="53">
        <v>14.181547</v>
      </c>
      <c r="S69" s="53">
        <v>14.114490999999999</v>
      </c>
      <c r="T69" s="53">
        <v>14.123339</v>
      </c>
      <c r="U69" s="53">
        <v>14.169612000000001</v>
      </c>
      <c r="V69" s="53">
        <v>14.322108999999999</v>
      </c>
      <c r="W69" s="53">
        <v>14.462239</v>
      </c>
      <c r="X69" s="53">
        <v>14.539654000000001</v>
      </c>
      <c r="Y69" s="53">
        <v>14.486478</v>
      </c>
      <c r="Z69" s="53">
        <v>14.443937999999999</v>
      </c>
      <c r="AA69" s="53">
        <v>14.360987</v>
      </c>
      <c r="AB69" s="53">
        <v>14.417532</v>
      </c>
      <c r="AC69" s="53">
        <v>14.4107</v>
      </c>
      <c r="AD69" s="53">
        <v>14.444580999999999</v>
      </c>
      <c r="AE69" s="53">
        <v>14.498022000000001</v>
      </c>
      <c r="AF69" s="35">
        <v>-1.5976000000000001E-2</v>
      </c>
      <c r="AG69" s="29"/>
    </row>
    <row r="70" spans="1:33" ht="15" customHeight="1">
      <c r="A70" s="34" t="s">
        <v>3377</v>
      </c>
      <c r="B70" s="37" t="s">
        <v>3370</v>
      </c>
      <c r="C70" s="53">
        <v>101.469894</v>
      </c>
      <c r="D70" s="53">
        <v>93.776764</v>
      </c>
      <c r="E70" s="53">
        <v>94.132248000000004</v>
      </c>
      <c r="F70" s="53">
        <v>90.327376999999998</v>
      </c>
      <c r="G70" s="53">
        <v>85.725753999999995</v>
      </c>
      <c r="H70" s="53">
        <v>81.509628000000006</v>
      </c>
      <c r="I70" s="53">
        <v>77.747314000000003</v>
      </c>
      <c r="J70" s="53">
        <v>74.932120999999995</v>
      </c>
      <c r="K70" s="53">
        <v>72.735664</v>
      </c>
      <c r="L70" s="53">
        <v>71.766471999999993</v>
      </c>
      <c r="M70" s="53">
        <v>71.326751999999999</v>
      </c>
      <c r="N70" s="53">
        <v>71.471763999999993</v>
      </c>
      <c r="O70" s="53">
        <v>71.221344000000002</v>
      </c>
      <c r="P70" s="53">
        <v>71.439635999999993</v>
      </c>
      <c r="Q70" s="53">
        <v>71.743606999999997</v>
      </c>
      <c r="R70" s="53">
        <v>71.989906000000005</v>
      </c>
      <c r="S70" s="53">
        <v>72.165465999999995</v>
      </c>
      <c r="T70" s="53">
        <v>72.560135000000002</v>
      </c>
      <c r="U70" s="53">
        <v>73.131576999999993</v>
      </c>
      <c r="V70" s="53">
        <v>74.016754000000006</v>
      </c>
      <c r="W70" s="53">
        <v>74.924674999999993</v>
      </c>
      <c r="X70" s="53">
        <v>75.604804999999999</v>
      </c>
      <c r="Y70" s="53">
        <v>76.018066000000005</v>
      </c>
      <c r="Z70" s="53">
        <v>76.423209999999997</v>
      </c>
      <c r="AA70" s="53">
        <v>76.568779000000006</v>
      </c>
      <c r="AB70" s="53">
        <v>77.233742000000007</v>
      </c>
      <c r="AC70" s="53">
        <v>77.718818999999996</v>
      </c>
      <c r="AD70" s="53">
        <v>78.252632000000006</v>
      </c>
      <c r="AE70" s="53">
        <v>78.781959999999998</v>
      </c>
      <c r="AF70" s="35">
        <v>-8.9980000000000008E-3</v>
      </c>
      <c r="AG70" s="29"/>
    </row>
    <row r="71" spans="1:33" ht="15" customHeight="1">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row>
    <row r="72" spans="1:33" ht="15" customHeight="1">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row>
    <row r="73" spans="1:33" ht="15" customHeight="1">
      <c r="B73" s="33" t="s">
        <v>3378</v>
      </c>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1:33" ht="15" customHeight="1">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row>
    <row r="75" spans="1:33" ht="12" customHeight="1">
      <c r="B75" s="33" t="s">
        <v>3379</v>
      </c>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1:33" ht="15" customHeight="1">
      <c r="B76" s="33" t="s">
        <v>2918</v>
      </c>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1:33" ht="15" customHeight="1">
      <c r="A77" s="34" t="s">
        <v>3380</v>
      </c>
      <c r="B77" s="37" t="s">
        <v>2551</v>
      </c>
      <c r="C77" s="38">
        <v>3.7499999999999999E-2</v>
      </c>
      <c r="D77" s="38">
        <v>3.7499999999999999E-2</v>
      </c>
      <c r="E77" s="38">
        <v>3.7499999999999999E-2</v>
      </c>
      <c r="F77" s="38">
        <v>3.7499999999999999E-2</v>
      </c>
      <c r="G77" s="38">
        <v>3.7499999999999999E-2</v>
      </c>
      <c r="H77" s="38">
        <v>3.7499999999999999E-2</v>
      </c>
      <c r="I77" s="38">
        <v>3.7499999999999999E-2</v>
      </c>
      <c r="J77" s="38">
        <v>3.7499999999999999E-2</v>
      </c>
      <c r="K77" s="38">
        <v>3.7499999999999999E-2</v>
      </c>
      <c r="L77" s="38">
        <v>3.7499999999999999E-2</v>
      </c>
      <c r="M77" s="38">
        <v>3.7499999999999999E-2</v>
      </c>
      <c r="N77" s="38">
        <v>3.7499999999999999E-2</v>
      </c>
      <c r="O77" s="38">
        <v>3.7499999999999999E-2</v>
      </c>
      <c r="P77" s="38">
        <v>3.7499999999999999E-2</v>
      </c>
      <c r="Q77" s="38">
        <v>3.7499999999999999E-2</v>
      </c>
      <c r="R77" s="38">
        <v>3.7499999999999999E-2</v>
      </c>
      <c r="S77" s="38">
        <v>3.7499999999999999E-2</v>
      </c>
      <c r="T77" s="38">
        <v>3.7499999999999999E-2</v>
      </c>
      <c r="U77" s="38">
        <v>3.7499999999999999E-2</v>
      </c>
      <c r="V77" s="38">
        <v>3.7499999999999999E-2</v>
      </c>
      <c r="W77" s="38">
        <v>3.7499999999999999E-2</v>
      </c>
      <c r="X77" s="38">
        <v>3.7499999999999999E-2</v>
      </c>
      <c r="Y77" s="38">
        <v>3.7499999999999999E-2</v>
      </c>
      <c r="Z77" s="38">
        <v>3.7499999999999999E-2</v>
      </c>
      <c r="AA77" s="38">
        <v>3.7499999999999999E-2</v>
      </c>
      <c r="AB77" s="38">
        <v>3.7499999999999999E-2</v>
      </c>
      <c r="AC77" s="38">
        <v>3.7499999999999999E-2</v>
      </c>
      <c r="AD77" s="38">
        <v>3.7499999999999999E-2</v>
      </c>
      <c r="AE77" s="38">
        <v>3.7499999999999999E-2</v>
      </c>
      <c r="AF77" s="35">
        <v>0</v>
      </c>
      <c r="AG77" s="29"/>
    </row>
    <row r="78" spans="1:33" ht="15" customHeight="1">
      <c r="A78" s="34" t="s">
        <v>3381</v>
      </c>
      <c r="B78" s="37" t="s">
        <v>2553</v>
      </c>
      <c r="C78" s="38">
        <v>0.31029099999999998</v>
      </c>
      <c r="D78" s="38">
        <v>0.32133899999999999</v>
      </c>
      <c r="E78" s="38">
        <v>0.32917400000000002</v>
      </c>
      <c r="F78" s="38">
        <v>0.33380700000000002</v>
      </c>
      <c r="G78" s="38">
        <v>0.33823900000000001</v>
      </c>
      <c r="H78" s="38">
        <v>0.34260200000000002</v>
      </c>
      <c r="I78" s="38">
        <v>0.34711199999999998</v>
      </c>
      <c r="J78" s="38">
        <v>0.35186899999999999</v>
      </c>
      <c r="K78" s="38">
        <v>0.35694199999999998</v>
      </c>
      <c r="L78" s="38">
        <v>0.36238799999999999</v>
      </c>
      <c r="M78" s="38">
        <v>0.368309</v>
      </c>
      <c r="N78" s="38">
        <v>0.37491400000000003</v>
      </c>
      <c r="O78" s="38">
        <v>0.382355</v>
      </c>
      <c r="P78" s="38">
        <v>0.39042700000000002</v>
      </c>
      <c r="Q78" s="38">
        <v>0.39923500000000001</v>
      </c>
      <c r="R78" s="38">
        <v>0.40866799999999998</v>
      </c>
      <c r="S78" s="38">
        <v>0.41880800000000001</v>
      </c>
      <c r="T78" s="38">
        <v>0.42959000000000003</v>
      </c>
      <c r="U78" s="38">
        <v>0.44116699999999998</v>
      </c>
      <c r="V78" s="38">
        <v>0.45362400000000003</v>
      </c>
      <c r="W78" s="38">
        <v>0.46686299999999997</v>
      </c>
      <c r="X78" s="38">
        <v>0.480904</v>
      </c>
      <c r="Y78" s="38">
        <v>0.495612</v>
      </c>
      <c r="Z78" s="38">
        <v>0.51062600000000002</v>
      </c>
      <c r="AA78" s="38">
        <v>0.52383299999999999</v>
      </c>
      <c r="AB78" s="38">
        <v>0.53753799999999996</v>
      </c>
      <c r="AC78" s="38">
        <v>0.55184999999999995</v>
      </c>
      <c r="AD78" s="38">
        <v>0.56676499999999996</v>
      </c>
      <c r="AE78" s="38">
        <v>0.58243800000000001</v>
      </c>
      <c r="AF78" s="35">
        <v>2.2745000000000001E-2</v>
      </c>
      <c r="AG78" s="29"/>
    </row>
    <row r="79" spans="1:33" ht="15" customHeight="1">
      <c r="A79" s="34" t="s">
        <v>3382</v>
      </c>
      <c r="B79" s="37" t="s">
        <v>2500</v>
      </c>
      <c r="C79" s="38">
        <v>0</v>
      </c>
      <c r="D79" s="38">
        <v>0</v>
      </c>
      <c r="E79" s="38">
        <v>0</v>
      </c>
      <c r="F79" s="38">
        <v>0</v>
      </c>
      <c r="G79" s="38">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5" t="s">
        <v>1278</v>
      </c>
      <c r="AG79" s="29"/>
    </row>
    <row r="80" spans="1:33" ht="15" customHeight="1">
      <c r="A80" s="34" t="s">
        <v>3383</v>
      </c>
      <c r="B80" s="37" t="s">
        <v>2923</v>
      </c>
      <c r="C80" s="38">
        <v>0.371</v>
      </c>
      <c r="D80" s="38">
        <v>0.371</v>
      </c>
      <c r="E80" s="38">
        <v>0.371</v>
      </c>
      <c r="F80" s="38">
        <v>0.39100000000000001</v>
      </c>
      <c r="G80" s="38">
        <v>0.39100000000000001</v>
      </c>
      <c r="H80" s="38">
        <v>0.39100000000000001</v>
      </c>
      <c r="I80" s="38">
        <v>0.39100000000000001</v>
      </c>
      <c r="J80" s="38">
        <v>0.39100000000000001</v>
      </c>
      <c r="K80" s="38">
        <v>0.39100000000000001</v>
      </c>
      <c r="L80" s="38">
        <v>0.39100000000000001</v>
      </c>
      <c r="M80" s="38">
        <v>0.39100000000000001</v>
      </c>
      <c r="N80" s="38">
        <v>0.39100000000000001</v>
      </c>
      <c r="O80" s="38">
        <v>0.39100000000000001</v>
      </c>
      <c r="P80" s="38">
        <v>0.39100000000000001</v>
      </c>
      <c r="Q80" s="38">
        <v>0.39100000000000001</v>
      </c>
      <c r="R80" s="38">
        <v>0.39100000000000001</v>
      </c>
      <c r="S80" s="38">
        <v>0.39100000000000001</v>
      </c>
      <c r="T80" s="38">
        <v>0.39100000000000001</v>
      </c>
      <c r="U80" s="38">
        <v>0.39100000000000001</v>
      </c>
      <c r="V80" s="38">
        <v>0.39100000000000001</v>
      </c>
      <c r="W80" s="38">
        <v>0.39100000000000001</v>
      </c>
      <c r="X80" s="38">
        <v>0.39100000000000001</v>
      </c>
      <c r="Y80" s="38">
        <v>0.39100000000000001</v>
      </c>
      <c r="Z80" s="38">
        <v>0.39100000000000001</v>
      </c>
      <c r="AA80" s="38">
        <v>0.39100000000000001</v>
      </c>
      <c r="AB80" s="38">
        <v>0.39100000000000001</v>
      </c>
      <c r="AC80" s="38">
        <v>0.39100000000000001</v>
      </c>
      <c r="AD80" s="38">
        <v>0.39100000000000001</v>
      </c>
      <c r="AE80" s="38">
        <v>0.39100000000000001</v>
      </c>
      <c r="AF80" s="35">
        <v>1.877E-3</v>
      </c>
      <c r="AG80" s="29"/>
    </row>
    <row r="81" spans="1:34" ht="15" customHeight="1">
      <c r="A81" s="34" t="s">
        <v>3384</v>
      </c>
      <c r="B81" s="33" t="s">
        <v>2497</v>
      </c>
      <c r="C81" s="39">
        <v>0.71879099999999996</v>
      </c>
      <c r="D81" s="39">
        <v>0.72983900000000002</v>
      </c>
      <c r="E81" s="39">
        <v>0.73767400000000005</v>
      </c>
      <c r="F81" s="39">
        <v>0.76230699999999996</v>
      </c>
      <c r="G81" s="39">
        <v>0.76673899999999995</v>
      </c>
      <c r="H81" s="39">
        <v>0.77110199999999995</v>
      </c>
      <c r="I81" s="39">
        <v>0.77561199999999997</v>
      </c>
      <c r="J81" s="39">
        <v>0.78036899999999998</v>
      </c>
      <c r="K81" s="39">
        <v>0.78544199999999997</v>
      </c>
      <c r="L81" s="39">
        <v>0.79088800000000004</v>
      </c>
      <c r="M81" s="39">
        <v>0.79680899999999999</v>
      </c>
      <c r="N81" s="39">
        <v>0.80341399999999996</v>
      </c>
      <c r="O81" s="39">
        <v>0.81085499999999999</v>
      </c>
      <c r="P81" s="39">
        <v>0.81892699999999996</v>
      </c>
      <c r="Q81" s="39">
        <v>0.827735</v>
      </c>
      <c r="R81" s="39">
        <v>0.83716800000000002</v>
      </c>
      <c r="S81" s="39">
        <v>0.84730799999999995</v>
      </c>
      <c r="T81" s="39">
        <v>0.85809000000000002</v>
      </c>
      <c r="U81" s="39">
        <v>0.86966699999999997</v>
      </c>
      <c r="V81" s="39">
        <v>0.88212400000000002</v>
      </c>
      <c r="W81" s="39">
        <v>0.89536300000000002</v>
      </c>
      <c r="X81" s="39">
        <v>0.90940399999999999</v>
      </c>
      <c r="Y81" s="39">
        <v>0.92411200000000004</v>
      </c>
      <c r="Z81" s="39">
        <v>0.93912600000000002</v>
      </c>
      <c r="AA81" s="39">
        <v>0.95233299999999999</v>
      </c>
      <c r="AB81" s="39">
        <v>0.96603799999999995</v>
      </c>
      <c r="AC81" s="39">
        <v>0.98035000000000005</v>
      </c>
      <c r="AD81" s="39">
        <v>0.99526499999999996</v>
      </c>
      <c r="AE81" s="39">
        <v>1.0109379999999999</v>
      </c>
      <c r="AF81" s="31">
        <v>1.2255E-2</v>
      </c>
      <c r="AG81" s="29"/>
    </row>
    <row r="82" spans="1:34" ht="15" customHeight="1">
      <c r="B82" s="33" t="s">
        <v>2848</v>
      </c>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1:34" ht="12" customHeight="1">
      <c r="A83" s="34" t="s">
        <v>3385</v>
      </c>
      <c r="B83" s="37" t="s">
        <v>2551</v>
      </c>
      <c r="C83" s="38">
        <v>1.663E-3</v>
      </c>
      <c r="D83" s="38">
        <v>1.663E-3</v>
      </c>
      <c r="E83" s="38">
        <v>1.663E-3</v>
      </c>
      <c r="F83" s="38">
        <v>1.663E-3</v>
      </c>
      <c r="G83" s="38">
        <v>1.663E-3</v>
      </c>
      <c r="H83" s="38">
        <v>1.663E-3</v>
      </c>
      <c r="I83" s="38">
        <v>1.663E-3</v>
      </c>
      <c r="J83" s="38">
        <v>1.663E-3</v>
      </c>
      <c r="K83" s="38">
        <v>1.663E-3</v>
      </c>
      <c r="L83" s="38">
        <v>1.663E-3</v>
      </c>
      <c r="M83" s="38">
        <v>1.663E-3</v>
      </c>
      <c r="N83" s="38">
        <v>1.663E-3</v>
      </c>
      <c r="O83" s="38">
        <v>1.663E-3</v>
      </c>
      <c r="P83" s="38">
        <v>1.663E-3</v>
      </c>
      <c r="Q83" s="38">
        <v>1.663E-3</v>
      </c>
      <c r="R83" s="38">
        <v>1.663E-3</v>
      </c>
      <c r="S83" s="38">
        <v>1.663E-3</v>
      </c>
      <c r="T83" s="38">
        <v>1.663E-3</v>
      </c>
      <c r="U83" s="38">
        <v>1.663E-3</v>
      </c>
      <c r="V83" s="38">
        <v>1.663E-3</v>
      </c>
      <c r="W83" s="38">
        <v>1.663E-3</v>
      </c>
      <c r="X83" s="38">
        <v>1.663E-3</v>
      </c>
      <c r="Y83" s="38">
        <v>1.663E-3</v>
      </c>
      <c r="Z83" s="38">
        <v>1.663E-3</v>
      </c>
      <c r="AA83" s="38">
        <v>1.663E-3</v>
      </c>
      <c r="AB83" s="38">
        <v>1.663E-3</v>
      </c>
      <c r="AC83" s="38">
        <v>1.663E-3</v>
      </c>
      <c r="AD83" s="38">
        <v>1.663E-3</v>
      </c>
      <c r="AE83" s="38">
        <v>1.663E-3</v>
      </c>
      <c r="AF83" s="35">
        <v>0</v>
      </c>
      <c r="AG83" s="29"/>
    </row>
    <row r="84" spans="1:34" ht="15" customHeight="1">
      <c r="A84" s="34" t="s">
        <v>3386</v>
      </c>
      <c r="B84" s="37" t="s">
        <v>2553</v>
      </c>
      <c r="C84" s="38">
        <v>1.15235</v>
      </c>
      <c r="D84" s="38">
        <v>1.1997370000000001</v>
      </c>
      <c r="E84" s="38">
        <v>1.2343740000000001</v>
      </c>
      <c r="F84" s="38">
        <v>1.255355</v>
      </c>
      <c r="G84" s="38">
        <v>1.2755129999999999</v>
      </c>
      <c r="H84" s="38">
        <v>1.295396</v>
      </c>
      <c r="I84" s="38">
        <v>1.315968</v>
      </c>
      <c r="J84" s="38">
        <v>1.33771</v>
      </c>
      <c r="K84" s="38">
        <v>1.3609329999999999</v>
      </c>
      <c r="L84" s="38">
        <v>1.3858839999999999</v>
      </c>
      <c r="M84" s="38">
        <v>1.4130480000000001</v>
      </c>
      <c r="N84" s="38">
        <v>1.443327</v>
      </c>
      <c r="O84" s="38">
        <v>1.477368</v>
      </c>
      <c r="P84" s="38">
        <v>1.5143009999999999</v>
      </c>
      <c r="Q84" s="38">
        <v>1.5545960000000001</v>
      </c>
      <c r="R84" s="38">
        <v>1.597753</v>
      </c>
      <c r="S84" s="38">
        <v>1.644134</v>
      </c>
      <c r="T84" s="38">
        <v>1.6934709999999999</v>
      </c>
      <c r="U84" s="38">
        <v>1.746443</v>
      </c>
      <c r="V84" s="38">
        <v>1.803469</v>
      </c>
      <c r="W84" s="38">
        <v>1.864109</v>
      </c>
      <c r="X84" s="38">
        <v>1.928434</v>
      </c>
      <c r="Y84" s="38">
        <v>1.9958530000000001</v>
      </c>
      <c r="Z84" s="38">
        <v>2.0648710000000001</v>
      </c>
      <c r="AA84" s="38">
        <v>2.1275909999999998</v>
      </c>
      <c r="AB84" s="38">
        <v>2.1928169999999998</v>
      </c>
      <c r="AC84" s="38">
        <v>2.261034</v>
      </c>
      <c r="AD84" s="38">
        <v>2.3322759999999998</v>
      </c>
      <c r="AE84" s="38">
        <v>2.4072149999999999</v>
      </c>
      <c r="AF84" s="35">
        <v>2.6658999999999999E-2</v>
      </c>
      <c r="AG84" s="29"/>
    </row>
    <row r="85" spans="1:34" ht="15" customHeight="1">
      <c r="A85" s="34" t="s">
        <v>3387</v>
      </c>
      <c r="B85" s="37" t="s">
        <v>2500</v>
      </c>
      <c r="C85" s="38">
        <v>0</v>
      </c>
      <c r="D85" s="38">
        <v>0</v>
      </c>
      <c r="E85" s="38">
        <v>0</v>
      </c>
      <c r="F85" s="38">
        <v>0</v>
      </c>
      <c r="G85" s="38">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5" t="s">
        <v>1278</v>
      </c>
      <c r="AG85" s="29"/>
    </row>
    <row r="86" spans="1:34" ht="15" customHeight="1">
      <c r="A86" s="34" t="s">
        <v>3388</v>
      </c>
      <c r="B86" s="37" t="s">
        <v>2923</v>
      </c>
      <c r="C86" s="38">
        <v>1.5043280000000001</v>
      </c>
      <c r="D86" s="38">
        <v>1.5043280000000001</v>
      </c>
      <c r="E86" s="38">
        <v>1.5043280000000001</v>
      </c>
      <c r="F86" s="38">
        <v>1.600268</v>
      </c>
      <c r="G86" s="38">
        <v>1.600268</v>
      </c>
      <c r="H86" s="38">
        <v>1.600268</v>
      </c>
      <c r="I86" s="38">
        <v>1.600268</v>
      </c>
      <c r="J86" s="38">
        <v>1.600268</v>
      </c>
      <c r="K86" s="38">
        <v>1.600268</v>
      </c>
      <c r="L86" s="38">
        <v>1.600268</v>
      </c>
      <c r="M86" s="38">
        <v>1.600268</v>
      </c>
      <c r="N86" s="38">
        <v>1.600268</v>
      </c>
      <c r="O86" s="38">
        <v>1.600268</v>
      </c>
      <c r="P86" s="38">
        <v>1.600268</v>
      </c>
      <c r="Q86" s="38">
        <v>1.600268</v>
      </c>
      <c r="R86" s="38">
        <v>1.600268</v>
      </c>
      <c r="S86" s="38">
        <v>1.600268</v>
      </c>
      <c r="T86" s="38">
        <v>1.600268</v>
      </c>
      <c r="U86" s="38">
        <v>1.600268</v>
      </c>
      <c r="V86" s="38">
        <v>1.600268</v>
      </c>
      <c r="W86" s="38">
        <v>1.600268</v>
      </c>
      <c r="X86" s="38">
        <v>1.600268</v>
      </c>
      <c r="Y86" s="38">
        <v>1.600268</v>
      </c>
      <c r="Z86" s="38">
        <v>1.600268</v>
      </c>
      <c r="AA86" s="38">
        <v>1.600268</v>
      </c>
      <c r="AB86" s="38">
        <v>1.600268</v>
      </c>
      <c r="AC86" s="38">
        <v>1.600268</v>
      </c>
      <c r="AD86" s="38">
        <v>1.600268</v>
      </c>
      <c r="AE86" s="38">
        <v>1.600268</v>
      </c>
      <c r="AF86" s="35">
        <v>2.2100000000000002E-3</v>
      </c>
      <c r="AG86" s="29"/>
    </row>
    <row r="87" spans="1:34" ht="15" customHeight="1">
      <c r="A87" s="34" t="s">
        <v>3389</v>
      </c>
      <c r="B87" s="33" t="s">
        <v>2497</v>
      </c>
      <c r="C87" s="39">
        <v>2.6583410000000001</v>
      </c>
      <c r="D87" s="39">
        <v>2.7057280000000001</v>
      </c>
      <c r="E87" s="39">
        <v>2.7403650000000002</v>
      </c>
      <c r="F87" s="39">
        <v>2.8572860000000002</v>
      </c>
      <c r="G87" s="39">
        <v>2.8774440000000001</v>
      </c>
      <c r="H87" s="39">
        <v>2.8973270000000002</v>
      </c>
      <c r="I87" s="39">
        <v>2.9178980000000001</v>
      </c>
      <c r="J87" s="39">
        <v>2.9396399999999998</v>
      </c>
      <c r="K87" s="39">
        <v>2.962863</v>
      </c>
      <c r="L87" s="39">
        <v>2.9878149999999999</v>
      </c>
      <c r="M87" s="39">
        <v>3.0149780000000002</v>
      </c>
      <c r="N87" s="39">
        <v>3.045258</v>
      </c>
      <c r="O87" s="39">
        <v>3.0792989999999998</v>
      </c>
      <c r="P87" s="39">
        <v>3.1162320000000001</v>
      </c>
      <c r="Q87" s="39">
        <v>3.1565270000000001</v>
      </c>
      <c r="R87" s="39">
        <v>3.199684</v>
      </c>
      <c r="S87" s="39">
        <v>3.2460640000000001</v>
      </c>
      <c r="T87" s="39">
        <v>3.295401</v>
      </c>
      <c r="U87" s="39">
        <v>3.348373</v>
      </c>
      <c r="V87" s="39">
        <v>3.4053990000000001</v>
      </c>
      <c r="W87" s="39">
        <v>3.46604</v>
      </c>
      <c r="X87" s="39">
        <v>3.5303650000000002</v>
      </c>
      <c r="Y87" s="39">
        <v>3.5977830000000002</v>
      </c>
      <c r="Z87" s="39">
        <v>3.666801</v>
      </c>
      <c r="AA87" s="39">
        <v>3.7295210000000001</v>
      </c>
      <c r="AB87" s="39">
        <v>3.7947470000000001</v>
      </c>
      <c r="AC87" s="39">
        <v>3.8629639999999998</v>
      </c>
      <c r="AD87" s="39">
        <v>3.9342060000000001</v>
      </c>
      <c r="AE87" s="39">
        <v>4.0091460000000003</v>
      </c>
      <c r="AF87" s="31">
        <v>1.4782E-2</v>
      </c>
      <c r="AG87" s="29"/>
    </row>
    <row r="88" spans="1:34" ht="15" customHeight="1">
      <c r="B88" s="33" t="s">
        <v>2854</v>
      </c>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row>
    <row r="89" spans="1:34" ht="12" customHeight="1">
      <c r="A89" s="34" t="s">
        <v>3390</v>
      </c>
      <c r="B89" s="37" t="s">
        <v>2856</v>
      </c>
      <c r="C89" s="38">
        <v>1.436005</v>
      </c>
      <c r="D89" s="38">
        <v>1.4434990000000001</v>
      </c>
      <c r="E89" s="38">
        <v>1.448637</v>
      </c>
      <c r="F89" s="38">
        <v>1.451697</v>
      </c>
      <c r="G89" s="38">
        <v>1.4546030000000001</v>
      </c>
      <c r="H89" s="38">
        <v>1.4574579999999999</v>
      </c>
      <c r="I89" s="38">
        <v>1.4604470000000001</v>
      </c>
      <c r="J89" s="38">
        <v>1.463652</v>
      </c>
      <c r="K89" s="38">
        <v>1.467109</v>
      </c>
      <c r="L89" s="38">
        <v>1.470842</v>
      </c>
      <c r="M89" s="38">
        <v>1.474955</v>
      </c>
      <c r="N89" s="38">
        <v>1.479608</v>
      </c>
      <c r="O89" s="38">
        <v>1.484934</v>
      </c>
      <c r="P89" s="38">
        <v>1.4907820000000001</v>
      </c>
      <c r="Q89" s="38">
        <v>1.4971699999999999</v>
      </c>
      <c r="R89" s="38">
        <v>1.5040500000000001</v>
      </c>
      <c r="S89" s="38">
        <v>1.511477</v>
      </c>
      <c r="T89" s="38">
        <v>1.5194190000000001</v>
      </c>
      <c r="U89" s="38">
        <v>1.528009</v>
      </c>
      <c r="V89" s="38">
        <v>1.5373429999999999</v>
      </c>
      <c r="W89" s="38">
        <v>1.547356</v>
      </c>
      <c r="X89" s="38">
        <v>1.558044</v>
      </c>
      <c r="Y89" s="38">
        <v>1.5692900000000001</v>
      </c>
      <c r="Z89" s="38">
        <v>1.5807370000000001</v>
      </c>
      <c r="AA89" s="38">
        <v>1.590104</v>
      </c>
      <c r="AB89" s="38">
        <v>1.599874</v>
      </c>
      <c r="AC89" s="38">
        <v>1.6101179999999999</v>
      </c>
      <c r="AD89" s="38">
        <v>1.6208530000000001</v>
      </c>
      <c r="AE89" s="38">
        <v>1.632239</v>
      </c>
      <c r="AF89" s="35">
        <v>4.5849999999999997E-3</v>
      </c>
      <c r="AG89" s="29"/>
    </row>
    <row r="90" spans="1:34" ht="15" customHeight="1" thickBot="1">
      <c r="A90" s="34" t="s">
        <v>3391</v>
      </c>
      <c r="B90" s="37" t="s">
        <v>2858</v>
      </c>
      <c r="C90" s="38">
        <v>1.2223360000000001</v>
      </c>
      <c r="D90" s="38">
        <v>1.262229</v>
      </c>
      <c r="E90" s="38">
        <v>1.291728</v>
      </c>
      <c r="F90" s="38">
        <v>1.405589</v>
      </c>
      <c r="G90" s="38">
        <v>1.422841</v>
      </c>
      <c r="H90" s="38">
        <v>1.4398690000000001</v>
      </c>
      <c r="I90" s="38">
        <v>1.4574510000000001</v>
      </c>
      <c r="J90" s="38">
        <v>1.4759880000000001</v>
      </c>
      <c r="K90" s="38">
        <v>1.495754</v>
      </c>
      <c r="L90" s="38">
        <v>1.5169729999999999</v>
      </c>
      <c r="M90" s="38">
        <v>1.5400229999999999</v>
      </c>
      <c r="N90" s="38">
        <v>1.56565</v>
      </c>
      <c r="O90" s="38">
        <v>1.594365</v>
      </c>
      <c r="P90" s="38">
        <v>1.6254500000000001</v>
      </c>
      <c r="Q90" s="38">
        <v>1.659357</v>
      </c>
      <c r="R90" s="38">
        <v>1.6956340000000001</v>
      </c>
      <c r="S90" s="38">
        <v>1.734588</v>
      </c>
      <c r="T90" s="38">
        <v>1.7759819999999999</v>
      </c>
      <c r="U90" s="38">
        <v>1.820365</v>
      </c>
      <c r="V90" s="38">
        <v>1.8680559999999999</v>
      </c>
      <c r="W90" s="38">
        <v>1.9186840000000001</v>
      </c>
      <c r="X90" s="38">
        <v>1.9723200000000001</v>
      </c>
      <c r="Y90" s="38">
        <v>2.0284930000000001</v>
      </c>
      <c r="Z90" s="38">
        <v>2.0860639999999999</v>
      </c>
      <c r="AA90" s="38">
        <v>2.1394169999999999</v>
      </c>
      <c r="AB90" s="38">
        <v>2.194874</v>
      </c>
      <c r="AC90" s="38">
        <v>2.252847</v>
      </c>
      <c r="AD90" s="38">
        <v>2.3133530000000002</v>
      </c>
      <c r="AE90" s="38">
        <v>2.3769070000000001</v>
      </c>
      <c r="AF90" s="35">
        <v>2.4035999999999998E-2</v>
      </c>
      <c r="AG90" s="29"/>
    </row>
    <row r="91" spans="1:34" ht="15" customHeight="1">
      <c r="B91" s="2179" t="s">
        <v>2932</v>
      </c>
      <c r="C91" s="2180"/>
      <c r="D91" s="2180"/>
      <c r="E91" s="2180"/>
      <c r="F91" s="2180"/>
      <c r="G91" s="2180"/>
      <c r="H91" s="2180"/>
      <c r="I91" s="2180"/>
      <c r="J91" s="2180"/>
      <c r="K91" s="2180"/>
      <c r="L91" s="2180"/>
      <c r="M91" s="2180"/>
      <c r="N91" s="2180"/>
      <c r="O91" s="2180"/>
      <c r="P91" s="2180"/>
      <c r="Q91" s="2180"/>
      <c r="R91" s="2180"/>
      <c r="S91" s="2180"/>
      <c r="T91" s="2180"/>
      <c r="U91" s="2180"/>
      <c r="V91" s="2180"/>
      <c r="W91" s="2180"/>
      <c r="X91" s="2180"/>
      <c r="Y91" s="2180"/>
      <c r="Z91" s="2180"/>
      <c r="AA91" s="2180"/>
      <c r="AB91" s="2180"/>
      <c r="AC91" s="2180"/>
      <c r="AD91" s="2180"/>
      <c r="AE91" s="2180"/>
      <c r="AF91" s="2180"/>
      <c r="AG91" s="2180"/>
      <c r="AH91" s="30"/>
    </row>
    <row r="92" spans="1:34" ht="15" customHeight="1">
      <c r="B92" s="29" t="s">
        <v>2933</v>
      </c>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row>
    <row r="93" spans="1:34" ht="15" customHeight="1">
      <c r="B93" s="29" t="s">
        <v>2934</v>
      </c>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row>
    <row r="94" spans="1:34" ht="12" customHeight="1">
      <c r="B94" s="29" t="s">
        <v>2935</v>
      </c>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1:34" ht="15" customHeight="1">
      <c r="B95" s="29" t="s">
        <v>2936</v>
      </c>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row>
    <row r="96" spans="1:34" ht="15" customHeight="1">
      <c r="B96" s="29" t="s">
        <v>2937</v>
      </c>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2:33" ht="15" customHeight="1">
      <c r="B97" s="29" t="s">
        <v>2938</v>
      </c>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2:33" ht="12" customHeight="1">
      <c r="B98" s="29" t="s">
        <v>2291</v>
      </c>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2:33" ht="15" customHeight="1">
      <c r="B99" s="29" t="s">
        <v>3392</v>
      </c>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2:33" ht="15" customHeight="1">
      <c r="B100" s="29" t="s">
        <v>2293</v>
      </c>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2:33" ht="15" customHeight="1">
      <c r="B101" s="29" t="s">
        <v>2881</v>
      </c>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2:33" ht="15" customHeight="1">
      <c r="B102" s="29" t="s">
        <v>2939</v>
      </c>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2:33" ht="15" customHeight="1">
      <c r="B103" s="29" t="s">
        <v>2940</v>
      </c>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2:33" ht="15" customHeigh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2:33" ht="15" customHeight="1">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2:33" ht="12" customHeight="1">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2:33" ht="15" customHeight="1">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2:33" ht="15" customHeight="1">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row>
    <row r="109" spans="2:33" ht="15" customHeight="1">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t="s">
        <v>2056</v>
      </c>
      <c r="AG109" s="29"/>
    </row>
    <row r="113" ht="12" customHeight="1"/>
    <row r="119" ht="12" customHeight="1"/>
    <row r="123" ht="12" customHeight="1"/>
    <row r="129" ht="12" customHeight="1"/>
    <row r="134" ht="12" customHeight="1"/>
    <row r="156" spans="2:32" ht="15" customHeight="1">
      <c r="B156" s="2178"/>
      <c r="C156" s="2178"/>
      <c r="D156" s="2178"/>
      <c r="E156" s="2178"/>
      <c r="F156" s="2178"/>
      <c r="G156" s="2178"/>
      <c r="H156" s="2178"/>
      <c r="I156" s="2178"/>
      <c r="J156" s="2178"/>
      <c r="K156" s="2178"/>
      <c r="L156" s="2178"/>
      <c r="M156" s="2178"/>
      <c r="N156" s="2178"/>
      <c r="O156" s="2178"/>
      <c r="P156" s="2178"/>
      <c r="Q156" s="2178"/>
      <c r="R156" s="2178"/>
      <c r="S156" s="2178"/>
      <c r="T156" s="2178"/>
      <c r="U156" s="2178"/>
      <c r="V156" s="2178"/>
      <c r="W156" s="2178"/>
      <c r="X156" s="2178"/>
      <c r="Y156" s="2178"/>
      <c r="Z156" s="2178"/>
      <c r="AA156" s="2178"/>
      <c r="AB156" s="2178"/>
      <c r="AC156" s="2178"/>
      <c r="AD156" s="2178"/>
      <c r="AE156" s="2178"/>
      <c r="AF156" s="2178"/>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2178"/>
      <c r="C292" s="2178"/>
      <c r="D292" s="2178"/>
      <c r="E292" s="2178"/>
      <c r="F292" s="2178"/>
      <c r="G292" s="2178"/>
      <c r="H292" s="2178"/>
      <c r="I292" s="2178"/>
      <c r="J292" s="2178"/>
      <c r="K292" s="2178"/>
      <c r="L292" s="2178"/>
      <c r="M292" s="2178"/>
      <c r="N292" s="2178"/>
      <c r="O292" s="2178"/>
      <c r="P292" s="2178"/>
      <c r="Q292" s="2178"/>
      <c r="R292" s="2178"/>
      <c r="S292" s="2178"/>
      <c r="T292" s="2178"/>
      <c r="U292" s="2178"/>
      <c r="V292" s="2178"/>
      <c r="W292" s="2178"/>
      <c r="X292" s="2178"/>
      <c r="Y292" s="2178"/>
      <c r="Z292" s="2178"/>
      <c r="AA292" s="2178"/>
      <c r="AB292" s="2178"/>
      <c r="AC292" s="2178"/>
      <c r="AD292" s="2178"/>
      <c r="AE292" s="2178"/>
      <c r="AF292" s="2178"/>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2178"/>
      <c r="C378" s="2178"/>
      <c r="D378" s="2178"/>
      <c r="E378" s="2178"/>
      <c r="F378" s="2178"/>
      <c r="G378" s="2178"/>
      <c r="H378" s="2178"/>
      <c r="I378" s="2178"/>
      <c r="J378" s="2178"/>
      <c r="K378" s="2178"/>
      <c r="L378" s="2178"/>
      <c r="M378" s="2178"/>
      <c r="N378" s="2178"/>
      <c r="O378" s="2178"/>
      <c r="P378" s="2178"/>
      <c r="Q378" s="2178"/>
      <c r="R378" s="2178"/>
      <c r="S378" s="2178"/>
      <c r="T378" s="2178"/>
      <c r="U378" s="2178"/>
      <c r="V378" s="2178"/>
      <c r="W378" s="2178"/>
      <c r="X378" s="2178"/>
      <c r="Y378" s="2178"/>
      <c r="Z378" s="2178"/>
      <c r="AA378" s="2178"/>
      <c r="AB378" s="2178"/>
      <c r="AC378" s="2178"/>
      <c r="AD378" s="2178"/>
      <c r="AE378" s="2178"/>
      <c r="AF378" s="2178"/>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2178"/>
      <c r="C560" s="2178"/>
      <c r="D560" s="2178"/>
      <c r="E560" s="2178"/>
      <c r="F560" s="2178"/>
      <c r="G560" s="2178"/>
      <c r="H560" s="2178"/>
      <c r="I560" s="2178"/>
      <c r="J560" s="2178"/>
      <c r="K560" s="2178"/>
      <c r="L560" s="2178"/>
      <c r="M560" s="2178"/>
      <c r="N560" s="2178"/>
      <c r="O560" s="2178"/>
      <c r="P560" s="2178"/>
      <c r="Q560" s="2178"/>
      <c r="R560" s="2178"/>
      <c r="S560" s="2178"/>
      <c r="T560" s="2178"/>
      <c r="U560" s="2178"/>
      <c r="V560" s="2178"/>
      <c r="W560" s="2178"/>
      <c r="X560" s="2178"/>
      <c r="Y560" s="2178"/>
      <c r="Z560" s="2178"/>
      <c r="AA560" s="2178"/>
      <c r="AB560" s="2178"/>
      <c r="AC560" s="2178"/>
      <c r="AD560" s="2178"/>
      <c r="AE560" s="2178"/>
      <c r="AF560" s="2178"/>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2178"/>
      <c r="C652" s="2178"/>
      <c r="D652" s="2178"/>
      <c r="E652" s="2178"/>
      <c r="F652" s="2178"/>
      <c r="G652" s="2178"/>
      <c r="H652" s="2178"/>
      <c r="I652" s="2178"/>
      <c r="J652" s="2178"/>
      <c r="K652" s="2178"/>
      <c r="L652" s="2178"/>
      <c r="M652" s="2178"/>
      <c r="N652" s="2178"/>
      <c r="O652" s="2178"/>
      <c r="P652" s="2178"/>
      <c r="Q652" s="2178"/>
      <c r="R652" s="2178"/>
      <c r="S652" s="2178"/>
      <c r="T652" s="2178"/>
      <c r="U652" s="2178"/>
      <c r="V652" s="2178"/>
      <c r="W652" s="2178"/>
      <c r="X652" s="2178"/>
      <c r="Y652" s="2178"/>
      <c r="Z652" s="2178"/>
      <c r="AA652" s="2178"/>
      <c r="AB652" s="2178"/>
      <c r="AC652" s="2178"/>
      <c r="AD652" s="2178"/>
      <c r="AE652" s="2178"/>
      <c r="AF652" s="2178"/>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2178"/>
      <c r="C728" s="2178"/>
      <c r="D728" s="2178"/>
      <c r="E728" s="2178"/>
      <c r="F728" s="2178"/>
      <c r="G728" s="2178"/>
      <c r="H728" s="2178"/>
      <c r="I728" s="2178"/>
      <c r="J728" s="2178"/>
      <c r="K728" s="2178"/>
      <c r="L728" s="2178"/>
      <c r="M728" s="2178"/>
      <c r="N728" s="2178"/>
      <c r="O728" s="2178"/>
      <c r="P728" s="2178"/>
      <c r="Q728" s="2178"/>
      <c r="R728" s="2178"/>
      <c r="S728" s="2178"/>
      <c r="T728" s="2178"/>
      <c r="U728" s="2178"/>
      <c r="V728" s="2178"/>
      <c r="W728" s="2178"/>
      <c r="X728" s="2178"/>
      <c r="Y728" s="2178"/>
      <c r="Z728" s="2178"/>
      <c r="AA728" s="2178"/>
      <c r="AB728" s="2178"/>
      <c r="AC728" s="2178"/>
      <c r="AD728" s="2178"/>
      <c r="AE728" s="2178"/>
      <c r="AF728" s="2178"/>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2178"/>
      <c r="C819" s="2178"/>
      <c r="D819" s="2178"/>
      <c r="E819" s="2178"/>
      <c r="F819" s="2178"/>
      <c r="G819" s="2178"/>
      <c r="H819" s="2178"/>
      <c r="I819" s="2178"/>
      <c r="J819" s="2178"/>
      <c r="K819" s="2178"/>
      <c r="L819" s="2178"/>
      <c r="M819" s="2178"/>
      <c r="N819" s="2178"/>
      <c r="O819" s="2178"/>
      <c r="P819" s="2178"/>
      <c r="Q819" s="2178"/>
      <c r="R819" s="2178"/>
      <c r="S819" s="2178"/>
      <c r="T819" s="2178"/>
      <c r="U819" s="2178"/>
      <c r="V819" s="2178"/>
      <c r="W819" s="2178"/>
      <c r="X819" s="2178"/>
      <c r="Y819" s="2178"/>
      <c r="Z819" s="2178"/>
      <c r="AA819" s="2178"/>
      <c r="AB819" s="2178"/>
      <c r="AC819" s="2178"/>
      <c r="AD819" s="2178"/>
      <c r="AE819" s="2178"/>
      <c r="AF819" s="2178"/>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2178"/>
      <c r="C897" s="2178"/>
      <c r="D897" s="2178"/>
      <c r="E897" s="2178"/>
      <c r="F897" s="2178"/>
      <c r="G897" s="2178"/>
      <c r="H897" s="2178"/>
      <c r="I897" s="2178"/>
      <c r="J897" s="2178"/>
      <c r="K897" s="2178"/>
      <c r="L897" s="2178"/>
      <c r="M897" s="2178"/>
      <c r="N897" s="2178"/>
      <c r="O897" s="2178"/>
      <c r="P897" s="2178"/>
      <c r="Q897" s="2178"/>
      <c r="R897" s="2178"/>
      <c r="S897" s="2178"/>
      <c r="T897" s="2178"/>
      <c r="U897" s="2178"/>
      <c r="V897" s="2178"/>
      <c r="W897" s="2178"/>
      <c r="X897" s="2178"/>
      <c r="Y897" s="2178"/>
      <c r="Z897" s="2178"/>
      <c r="AA897" s="2178"/>
      <c r="AB897" s="2178"/>
      <c r="AC897" s="2178"/>
      <c r="AD897" s="2178"/>
      <c r="AE897" s="2178"/>
      <c r="AF897" s="2178"/>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2178"/>
      <c r="C983" s="2178"/>
      <c r="D983" s="2178"/>
      <c r="E983" s="2178"/>
      <c r="F983" s="2178"/>
      <c r="G983" s="2178"/>
      <c r="H983" s="2178"/>
      <c r="I983" s="2178"/>
      <c r="J983" s="2178"/>
      <c r="K983" s="2178"/>
      <c r="L983" s="2178"/>
      <c r="M983" s="2178"/>
      <c r="N983" s="2178"/>
      <c r="O983" s="2178"/>
      <c r="P983" s="2178"/>
      <c r="Q983" s="2178"/>
      <c r="R983" s="2178"/>
      <c r="S983" s="2178"/>
      <c r="T983" s="2178"/>
      <c r="U983" s="2178"/>
      <c r="V983" s="2178"/>
      <c r="W983" s="2178"/>
      <c r="X983" s="2178"/>
      <c r="Y983" s="2178"/>
      <c r="Z983" s="2178"/>
      <c r="AA983" s="2178"/>
      <c r="AB983" s="2178"/>
      <c r="AC983" s="2178"/>
      <c r="AD983" s="2178"/>
      <c r="AE983" s="2178"/>
      <c r="AF983" s="2178"/>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2178"/>
      <c r="C1082" s="2178"/>
      <c r="D1082" s="2178"/>
      <c r="E1082" s="2178"/>
      <c r="F1082" s="2178"/>
      <c r="G1082" s="2178"/>
      <c r="H1082" s="2178"/>
      <c r="I1082" s="2178"/>
      <c r="J1082" s="2178"/>
      <c r="K1082" s="2178"/>
      <c r="L1082" s="2178"/>
      <c r="M1082" s="2178"/>
      <c r="N1082" s="2178"/>
      <c r="O1082" s="2178"/>
      <c r="P1082" s="2178"/>
      <c r="Q1082" s="2178"/>
      <c r="R1082" s="2178"/>
      <c r="S1082" s="2178"/>
      <c r="T1082" s="2178"/>
      <c r="U1082" s="2178"/>
      <c r="V1082" s="2178"/>
      <c r="W1082" s="2178"/>
      <c r="X1082" s="2178"/>
      <c r="Y1082" s="2178"/>
      <c r="Z1082" s="2178"/>
      <c r="AA1082" s="2178"/>
      <c r="AB1082" s="2178"/>
      <c r="AC1082" s="2178"/>
      <c r="AD1082" s="2178"/>
      <c r="AE1082" s="2178"/>
      <c r="AF1082" s="2178"/>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2178"/>
      <c r="C1179" s="2178"/>
      <c r="D1179" s="2178"/>
      <c r="E1179" s="2178"/>
      <c r="F1179" s="2178"/>
      <c r="G1179" s="2178"/>
      <c r="H1179" s="2178"/>
      <c r="I1179" s="2178"/>
      <c r="J1179" s="2178"/>
      <c r="K1179" s="2178"/>
      <c r="L1179" s="2178"/>
      <c r="M1179" s="2178"/>
      <c r="N1179" s="2178"/>
      <c r="O1179" s="2178"/>
      <c r="P1179" s="2178"/>
      <c r="Q1179" s="2178"/>
      <c r="R1179" s="2178"/>
      <c r="S1179" s="2178"/>
      <c r="T1179" s="2178"/>
      <c r="U1179" s="2178"/>
      <c r="V1179" s="2178"/>
      <c r="W1179" s="2178"/>
      <c r="X1179" s="2178"/>
      <c r="Y1179" s="2178"/>
      <c r="Z1179" s="2178"/>
      <c r="AA1179" s="2178"/>
      <c r="AB1179" s="2178"/>
      <c r="AC1179" s="2178"/>
      <c r="AD1179" s="2178"/>
      <c r="AE1179" s="2178"/>
      <c r="AF1179" s="2178"/>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2178"/>
      <c r="C1313" s="2178"/>
      <c r="D1313" s="2178"/>
      <c r="E1313" s="2178"/>
      <c r="F1313" s="2178"/>
      <c r="G1313" s="2178"/>
      <c r="H1313" s="2178"/>
      <c r="I1313" s="2178"/>
      <c r="J1313" s="2178"/>
      <c r="K1313" s="2178"/>
      <c r="L1313" s="2178"/>
      <c r="M1313" s="2178"/>
      <c r="N1313" s="2178"/>
      <c r="O1313" s="2178"/>
      <c r="P1313" s="2178"/>
      <c r="Q1313" s="2178"/>
      <c r="R1313" s="2178"/>
      <c r="S1313" s="2178"/>
      <c r="T1313" s="2178"/>
      <c r="U1313" s="2178"/>
      <c r="V1313" s="2178"/>
      <c r="W1313" s="2178"/>
      <c r="X1313" s="2178"/>
      <c r="Y1313" s="2178"/>
      <c r="Z1313" s="2178"/>
      <c r="AA1313" s="2178"/>
      <c r="AB1313" s="2178"/>
      <c r="AC1313" s="2178"/>
      <c r="AD1313" s="2178"/>
      <c r="AE1313" s="2178"/>
      <c r="AF1313" s="2178"/>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2178"/>
      <c r="C1431" s="2178"/>
      <c r="D1431" s="2178"/>
      <c r="E1431" s="2178"/>
      <c r="F1431" s="2178"/>
      <c r="G1431" s="2178"/>
      <c r="H1431" s="2178"/>
      <c r="I1431" s="2178"/>
      <c r="J1431" s="2178"/>
      <c r="K1431" s="2178"/>
      <c r="L1431" s="2178"/>
      <c r="M1431" s="2178"/>
      <c r="N1431" s="2178"/>
      <c r="O1431" s="2178"/>
      <c r="P1431" s="2178"/>
      <c r="Q1431" s="2178"/>
      <c r="R1431" s="2178"/>
      <c r="S1431" s="2178"/>
      <c r="T1431" s="2178"/>
      <c r="U1431" s="2178"/>
      <c r="V1431" s="2178"/>
      <c r="W1431" s="2178"/>
      <c r="X1431" s="2178"/>
      <c r="Y1431" s="2178"/>
      <c r="Z1431" s="2178"/>
      <c r="AA1431" s="2178"/>
      <c r="AB1431" s="2178"/>
      <c r="AC1431" s="2178"/>
      <c r="AD1431" s="2178"/>
      <c r="AE1431" s="2178"/>
      <c r="AF1431" s="2178"/>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2178"/>
      <c r="C1535" s="2178"/>
      <c r="D1535" s="2178"/>
      <c r="E1535" s="2178"/>
      <c r="F1535" s="2178"/>
      <c r="G1535" s="2178"/>
      <c r="H1535" s="2178"/>
      <c r="I1535" s="2178"/>
      <c r="J1535" s="2178"/>
      <c r="K1535" s="2178"/>
      <c r="L1535" s="2178"/>
      <c r="M1535" s="2178"/>
      <c r="N1535" s="2178"/>
      <c r="O1535" s="2178"/>
      <c r="P1535" s="2178"/>
      <c r="Q1535" s="2178"/>
      <c r="R1535" s="2178"/>
      <c r="S1535" s="2178"/>
      <c r="T1535" s="2178"/>
      <c r="U1535" s="2178"/>
      <c r="V1535" s="2178"/>
      <c r="W1535" s="2178"/>
      <c r="X1535" s="2178"/>
      <c r="Y1535" s="2178"/>
      <c r="Z1535" s="2178"/>
      <c r="AA1535" s="2178"/>
      <c r="AB1535" s="2178"/>
      <c r="AC1535" s="2178"/>
      <c r="AD1535" s="2178"/>
      <c r="AE1535" s="2178"/>
      <c r="AF1535" s="2178"/>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2178"/>
      <c r="C1628" s="2178"/>
      <c r="D1628" s="2178"/>
      <c r="E1628" s="2178"/>
      <c r="F1628" s="2178"/>
      <c r="G1628" s="2178"/>
      <c r="H1628" s="2178"/>
      <c r="I1628" s="2178"/>
      <c r="J1628" s="2178"/>
      <c r="K1628" s="2178"/>
      <c r="L1628" s="2178"/>
      <c r="M1628" s="2178"/>
      <c r="N1628" s="2178"/>
      <c r="O1628" s="2178"/>
      <c r="P1628" s="2178"/>
      <c r="Q1628" s="2178"/>
      <c r="R1628" s="2178"/>
      <c r="S1628" s="2178"/>
      <c r="T1628" s="2178"/>
      <c r="U1628" s="2178"/>
      <c r="V1628" s="2178"/>
      <c r="W1628" s="2178"/>
      <c r="X1628" s="2178"/>
      <c r="Y1628" s="2178"/>
      <c r="Z1628" s="2178"/>
      <c r="AA1628" s="2178"/>
      <c r="AB1628" s="2178"/>
      <c r="AC1628" s="2178"/>
      <c r="AD1628" s="2178"/>
      <c r="AE1628" s="2178"/>
      <c r="AF1628" s="2178"/>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2178"/>
      <c r="C1778" s="2178"/>
      <c r="D1778" s="2178"/>
      <c r="E1778" s="2178"/>
      <c r="F1778" s="2178"/>
      <c r="G1778" s="2178"/>
      <c r="H1778" s="2178"/>
      <c r="I1778" s="2178"/>
      <c r="J1778" s="2178"/>
      <c r="K1778" s="2178"/>
      <c r="L1778" s="2178"/>
      <c r="M1778" s="2178"/>
      <c r="N1778" s="2178"/>
      <c r="O1778" s="2178"/>
      <c r="P1778" s="2178"/>
      <c r="Q1778" s="2178"/>
      <c r="R1778" s="2178"/>
      <c r="S1778" s="2178"/>
      <c r="T1778" s="2178"/>
      <c r="U1778" s="2178"/>
      <c r="V1778" s="2178"/>
      <c r="W1778" s="2178"/>
      <c r="X1778" s="2178"/>
      <c r="Y1778" s="2178"/>
      <c r="Z1778" s="2178"/>
      <c r="AA1778" s="2178"/>
      <c r="AB1778" s="2178"/>
      <c r="AC1778" s="2178"/>
      <c r="AD1778" s="2178"/>
      <c r="AE1778" s="2178"/>
      <c r="AF1778" s="2178"/>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2178"/>
      <c r="C1928" s="2178"/>
      <c r="D1928" s="2178"/>
      <c r="E1928" s="2178"/>
      <c r="F1928" s="2178"/>
      <c r="G1928" s="2178"/>
      <c r="H1928" s="2178"/>
      <c r="I1928" s="2178"/>
      <c r="J1928" s="2178"/>
      <c r="K1928" s="2178"/>
      <c r="L1928" s="2178"/>
      <c r="M1928" s="2178"/>
      <c r="N1928" s="2178"/>
      <c r="O1928" s="2178"/>
      <c r="P1928" s="2178"/>
      <c r="Q1928" s="2178"/>
      <c r="R1928" s="2178"/>
      <c r="S1928" s="2178"/>
      <c r="T1928" s="2178"/>
      <c r="U1928" s="2178"/>
      <c r="V1928" s="2178"/>
      <c r="W1928" s="2178"/>
      <c r="X1928" s="2178"/>
      <c r="Y1928" s="2178"/>
      <c r="Z1928" s="2178"/>
      <c r="AA1928" s="2178"/>
      <c r="AB1928" s="2178"/>
      <c r="AC1928" s="2178"/>
      <c r="AD1928" s="2178"/>
      <c r="AE1928" s="2178"/>
      <c r="AF1928" s="2178"/>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2178"/>
      <c r="C2078" s="2178"/>
      <c r="D2078" s="2178"/>
      <c r="E2078" s="2178"/>
      <c r="F2078" s="2178"/>
      <c r="G2078" s="2178"/>
      <c r="H2078" s="2178"/>
      <c r="I2078" s="2178"/>
      <c r="J2078" s="2178"/>
      <c r="K2078" s="2178"/>
      <c r="L2078" s="2178"/>
      <c r="M2078" s="2178"/>
      <c r="N2078" s="2178"/>
      <c r="O2078" s="2178"/>
      <c r="P2078" s="2178"/>
      <c r="Q2078" s="2178"/>
      <c r="R2078" s="2178"/>
      <c r="S2078" s="2178"/>
      <c r="T2078" s="2178"/>
      <c r="U2078" s="2178"/>
      <c r="V2078" s="2178"/>
      <c r="W2078" s="2178"/>
      <c r="X2078" s="2178"/>
      <c r="Y2078" s="2178"/>
      <c r="Z2078" s="2178"/>
      <c r="AA2078" s="2178"/>
      <c r="AB2078" s="2178"/>
      <c r="AC2078" s="2178"/>
      <c r="AD2078" s="2178"/>
      <c r="AE2078" s="2178"/>
      <c r="AF2078" s="2178"/>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2178"/>
      <c r="C2228" s="2178"/>
      <c r="D2228" s="2178"/>
      <c r="E2228" s="2178"/>
      <c r="F2228" s="2178"/>
      <c r="G2228" s="2178"/>
      <c r="H2228" s="2178"/>
      <c r="I2228" s="2178"/>
      <c r="J2228" s="2178"/>
      <c r="K2228" s="2178"/>
      <c r="L2228" s="2178"/>
      <c r="M2228" s="2178"/>
      <c r="N2228" s="2178"/>
      <c r="O2228" s="2178"/>
      <c r="P2228" s="2178"/>
      <c r="Q2228" s="2178"/>
      <c r="R2228" s="2178"/>
      <c r="S2228" s="2178"/>
      <c r="T2228" s="2178"/>
      <c r="U2228" s="2178"/>
      <c r="V2228" s="2178"/>
      <c r="W2228" s="2178"/>
      <c r="X2228" s="2178"/>
      <c r="Y2228" s="2178"/>
      <c r="Z2228" s="2178"/>
      <c r="AA2228" s="2178"/>
      <c r="AB2228" s="2178"/>
      <c r="AC2228" s="2178"/>
      <c r="AD2228" s="2178"/>
      <c r="AE2228" s="2178"/>
      <c r="AF2228" s="2178"/>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2178"/>
      <c r="C2378" s="2178"/>
      <c r="D2378" s="2178"/>
      <c r="E2378" s="2178"/>
      <c r="F2378" s="2178"/>
      <c r="G2378" s="2178"/>
      <c r="H2378" s="2178"/>
      <c r="I2378" s="2178"/>
      <c r="J2378" s="2178"/>
      <c r="K2378" s="2178"/>
      <c r="L2378" s="2178"/>
      <c r="M2378" s="2178"/>
      <c r="N2378" s="2178"/>
      <c r="O2378" s="2178"/>
      <c r="P2378" s="2178"/>
      <c r="Q2378" s="2178"/>
      <c r="R2378" s="2178"/>
      <c r="S2378" s="2178"/>
      <c r="T2378" s="2178"/>
      <c r="U2378" s="2178"/>
      <c r="V2378" s="2178"/>
      <c r="W2378" s="2178"/>
      <c r="X2378" s="2178"/>
      <c r="Y2378" s="2178"/>
      <c r="Z2378" s="2178"/>
      <c r="AA2378" s="2178"/>
      <c r="AB2378" s="2178"/>
      <c r="AC2378" s="2178"/>
      <c r="AD2378" s="2178"/>
      <c r="AE2378" s="2178"/>
      <c r="AF2378" s="2178"/>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2178"/>
      <c r="C2528" s="2178"/>
      <c r="D2528" s="2178"/>
      <c r="E2528" s="2178"/>
      <c r="F2528" s="2178"/>
      <c r="G2528" s="2178"/>
      <c r="H2528" s="2178"/>
      <c r="I2528" s="2178"/>
      <c r="J2528" s="2178"/>
      <c r="K2528" s="2178"/>
      <c r="L2528" s="2178"/>
      <c r="M2528" s="2178"/>
      <c r="N2528" s="2178"/>
      <c r="O2528" s="2178"/>
      <c r="P2528" s="2178"/>
      <c r="Q2528" s="2178"/>
      <c r="R2528" s="2178"/>
      <c r="S2528" s="2178"/>
      <c r="T2528" s="2178"/>
      <c r="U2528" s="2178"/>
      <c r="V2528" s="2178"/>
      <c r="W2528" s="2178"/>
      <c r="X2528" s="2178"/>
      <c r="Y2528" s="2178"/>
      <c r="Z2528" s="2178"/>
      <c r="AA2528" s="2178"/>
      <c r="AB2528" s="2178"/>
      <c r="AC2528" s="2178"/>
      <c r="AD2528" s="2178"/>
      <c r="AE2528" s="2178"/>
      <c r="AF2528" s="2178"/>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2178"/>
      <c r="C2678" s="2178"/>
      <c r="D2678" s="2178"/>
      <c r="E2678" s="2178"/>
      <c r="F2678" s="2178"/>
      <c r="G2678" s="2178"/>
      <c r="H2678" s="2178"/>
      <c r="I2678" s="2178"/>
      <c r="J2678" s="2178"/>
      <c r="K2678" s="2178"/>
      <c r="L2678" s="2178"/>
      <c r="M2678" s="2178"/>
      <c r="N2678" s="2178"/>
      <c r="O2678" s="2178"/>
      <c r="P2678" s="2178"/>
      <c r="Q2678" s="2178"/>
      <c r="R2678" s="2178"/>
      <c r="S2678" s="2178"/>
      <c r="T2678" s="2178"/>
      <c r="U2678" s="2178"/>
      <c r="V2678" s="2178"/>
      <c r="W2678" s="2178"/>
      <c r="X2678" s="2178"/>
      <c r="Y2678" s="2178"/>
      <c r="Z2678" s="2178"/>
      <c r="AA2678" s="2178"/>
      <c r="AB2678" s="2178"/>
      <c r="AC2678" s="2178"/>
      <c r="AD2678" s="2178"/>
      <c r="AE2678" s="2178"/>
      <c r="AF2678" s="2178"/>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2178"/>
      <c r="C2828" s="2178"/>
      <c r="D2828" s="2178"/>
      <c r="E2828" s="2178"/>
      <c r="F2828" s="2178"/>
      <c r="G2828" s="2178"/>
      <c r="H2828" s="2178"/>
      <c r="I2828" s="2178"/>
      <c r="J2828" s="2178"/>
      <c r="K2828" s="2178"/>
      <c r="L2828" s="2178"/>
      <c r="M2828" s="2178"/>
      <c r="N2828" s="2178"/>
      <c r="O2828" s="2178"/>
      <c r="P2828" s="2178"/>
      <c r="Q2828" s="2178"/>
      <c r="R2828" s="2178"/>
      <c r="S2828" s="2178"/>
      <c r="T2828" s="2178"/>
      <c r="U2828" s="2178"/>
      <c r="V2828" s="2178"/>
      <c r="W2828" s="2178"/>
      <c r="X2828" s="2178"/>
      <c r="Y2828" s="2178"/>
      <c r="Z2828" s="2178"/>
      <c r="AA2828" s="2178"/>
      <c r="AB2828" s="2178"/>
      <c r="AC2828" s="2178"/>
      <c r="AD2828" s="2178"/>
      <c r="AE2828" s="2178"/>
      <c r="AF2828" s="2178"/>
    </row>
  </sheetData>
  <mergeCells count="24">
    <mergeCell ref="B91:AG91"/>
    <mergeCell ref="B2228:AF2228"/>
    <mergeCell ref="B2378:AF2378"/>
    <mergeCell ref="B2528:AF2528"/>
    <mergeCell ref="B2678:AF2678"/>
    <mergeCell ref="B1778:AF1778"/>
    <mergeCell ref="B1928:AF1928"/>
    <mergeCell ref="B728:AF728"/>
    <mergeCell ref="B156:AF156"/>
    <mergeCell ref="B292:AF292"/>
    <mergeCell ref="B378:AF378"/>
    <mergeCell ref="B560:AF560"/>
    <mergeCell ref="B652:AF652"/>
    <mergeCell ref="B1082:AF1082"/>
    <mergeCell ref="B1179:AF1179"/>
    <mergeCell ref="B1313:AF1313"/>
    <mergeCell ref="B2828:AF2828"/>
    <mergeCell ref="B2078:AF2078"/>
    <mergeCell ref="B819:AF819"/>
    <mergeCell ref="B897:AF897"/>
    <mergeCell ref="B983:AF983"/>
    <mergeCell ref="B1431:AF1431"/>
    <mergeCell ref="B1535:AF1535"/>
    <mergeCell ref="B1628:AF1628"/>
  </mergeCells>
  <pageMargins left="0.75" right="0.75" top="1" bottom="1" header="0.5" footer="0.5"/>
  <pageSetup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BA9D7-77E8-4352-A46F-431FEBF7FB49}">
  <sheetPr codeName="Sheet44"/>
  <dimension ref="A1:AH2828"/>
  <sheetViews>
    <sheetView workbookViewId="0">
      <pane xSplit="2" ySplit="1" topLeftCell="C2" activePane="bottomRight" state="frozen"/>
      <selection pane="topRight" activeCell="C1" sqref="C1"/>
      <selection pane="bottomLeft" activeCell="A2" sqref="A2"/>
      <selection pane="bottomRight" activeCell="AD50" sqref="AD50"/>
    </sheetView>
  </sheetViews>
  <sheetFormatPr baseColWidth="10" defaultColWidth="9.33203125" defaultRowHeight="15" customHeight="1"/>
  <cols>
    <col min="1" max="1" width="20.6640625" style="28" hidden="1" customWidth="1"/>
    <col min="2" max="2" width="45.6640625" style="28" customWidth="1"/>
    <col min="3" max="16384" width="9.33203125" style="28"/>
  </cols>
  <sheetData>
    <row r="1" spans="1:33" ht="15" customHeight="1" thickBot="1">
      <c r="B1" s="50" t="s">
        <v>2046</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2047</v>
      </c>
      <c r="D3" s="48" t="s">
        <v>311</v>
      </c>
      <c r="E3" s="47"/>
      <c r="F3" s="47"/>
      <c r="G3" s="47"/>
    </row>
    <row r="4" spans="1:33" ht="15" customHeight="1">
      <c r="C4" s="48" t="s">
        <v>2048</v>
      </c>
      <c r="D4" s="48" t="s">
        <v>2049</v>
      </c>
      <c r="E4" s="47"/>
      <c r="F4" s="47"/>
      <c r="G4" s="48" t="s">
        <v>207</v>
      </c>
    </row>
    <row r="5" spans="1:33" ht="15" customHeight="1">
      <c r="C5" s="48" t="s">
        <v>2050</v>
      </c>
      <c r="D5" s="48" t="s">
        <v>2051</v>
      </c>
      <c r="E5" s="47"/>
      <c r="F5" s="47"/>
      <c r="G5" s="47"/>
    </row>
    <row r="6" spans="1:33" ht="15" customHeight="1">
      <c r="C6" s="48" t="s">
        <v>2052</v>
      </c>
      <c r="D6" s="47"/>
      <c r="E6" s="48" t="s">
        <v>2053</v>
      </c>
      <c r="F6" s="47"/>
      <c r="G6" s="47"/>
    </row>
    <row r="7" spans="1:33" ht="12" customHeight="1"/>
    <row r="8" spans="1:33" ht="12" customHeight="1"/>
    <row r="9" spans="1:33" ht="12" customHeight="1"/>
    <row r="10" spans="1:33" ht="15" customHeight="1">
      <c r="A10" s="34" t="s">
        <v>3393</v>
      </c>
      <c r="B10" s="46" t="s">
        <v>3394</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2058</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2059</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2061</v>
      </c>
      <c r="AG12" s="29"/>
    </row>
    <row r="13" spans="1:33" ht="15" customHeight="1" thickBot="1">
      <c r="B13" s="42" t="s">
        <v>2763</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B15" s="33" t="s">
        <v>3222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row>
    <row r="16" spans="1:33" ht="15" customHeight="1">
      <c r="B16" s="33" t="s">
        <v>3395</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A17" s="34" t="s">
        <v>3396</v>
      </c>
      <c r="B17" s="37" t="s">
        <v>3228</v>
      </c>
      <c r="C17" s="36">
        <v>5.2520999999999998E-2</v>
      </c>
      <c r="D17" s="36">
        <v>4.5821000000000001E-2</v>
      </c>
      <c r="E17" s="36">
        <v>4.4066000000000001E-2</v>
      </c>
      <c r="F17" s="36">
        <v>4.2341999999999998E-2</v>
      </c>
      <c r="G17" s="36">
        <v>4.0676999999999998E-2</v>
      </c>
      <c r="H17" s="36">
        <v>3.9100000000000003E-2</v>
      </c>
      <c r="I17" s="36">
        <v>3.7637999999999998E-2</v>
      </c>
      <c r="J17" s="36">
        <v>3.6316000000000001E-2</v>
      </c>
      <c r="K17" s="36">
        <v>3.5157000000000001E-2</v>
      </c>
      <c r="L17" s="36">
        <v>3.4180000000000002E-2</v>
      </c>
      <c r="M17" s="36">
        <v>3.3403000000000002E-2</v>
      </c>
      <c r="N17" s="36">
        <v>3.2836999999999998E-2</v>
      </c>
      <c r="O17" s="36">
        <v>3.2494000000000002E-2</v>
      </c>
      <c r="P17" s="36">
        <v>3.2378999999999998E-2</v>
      </c>
      <c r="Q17" s="36">
        <v>3.2378999999999998E-2</v>
      </c>
      <c r="R17" s="36">
        <v>3.2378999999999998E-2</v>
      </c>
      <c r="S17" s="36">
        <v>3.2378999999999998E-2</v>
      </c>
      <c r="T17" s="36">
        <v>3.2378999999999998E-2</v>
      </c>
      <c r="U17" s="36">
        <v>3.2378999999999998E-2</v>
      </c>
      <c r="V17" s="36">
        <v>3.2378999999999998E-2</v>
      </c>
      <c r="W17" s="36">
        <v>3.2378999999999998E-2</v>
      </c>
      <c r="X17" s="36">
        <v>3.2378999999999998E-2</v>
      </c>
      <c r="Y17" s="36">
        <v>3.2378999999999998E-2</v>
      </c>
      <c r="Z17" s="36">
        <v>3.2378999999999998E-2</v>
      </c>
      <c r="AA17" s="36">
        <v>3.2378999999999998E-2</v>
      </c>
      <c r="AB17" s="36">
        <v>3.2378999999999998E-2</v>
      </c>
      <c r="AC17" s="36">
        <v>3.2378999999999998E-2</v>
      </c>
      <c r="AD17" s="36">
        <v>3.2378999999999998E-2</v>
      </c>
      <c r="AE17" s="36">
        <v>3.2378999999999998E-2</v>
      </c>
      <c r="AF17" s="35">
        <v>-1.7125999999999999E-2</v>
      </c>
      <c r="AG17" s="29"/>
    </row>
    <row r="18" spans="1:33" ht="15" customHeight="1">
      <c r="A18" s="34" t="s">
        <v>3397</v>
      </c>
      <c r="B18" s="37" t="s">
        <v>3226</v>
      </c>
      <c r="C18" s="36">
        <v>431.73095699999999</v>
      </c>
      <c r="D18" s="36">
        <v>435.26531999999997</v>
      </c>
      <c r="E18" s="36">
        <v>432.32354700000002</v>
      </c>
      <c r="F18" s="36">
        <v>431.24005099999999</v>
      </c>
      <c r="G18" s="36">
        <v>431.36041299999999</v>
      </c>
      <c r="H18" s="36">
        <v>431.59802200000001</v>
      </c>
      <c r="I18" s="36">
        <v>431.774902</v>
      </c>
      <c r="J18" s="36">
        <v>431.91558800000001</v>
      </c>
      <c r="K18" s="36">
        <v>431.897919</v>
      </c>
      <c r="L18" s="36">
        <v>432.387878</v>
      </c>
      <c r="M18" s="36">
        <v>434.469604</v>
      </c>
      <c r="N18" s="36">
        <v>435.18463100000002</v>
      </c>
      <c r="O18" s="36">
        <v>436.21130399999998</v>
      </c>
      <c r="P18" s="36">
        <v>437.57266199999998</v>
      </c>
      <c r="Q18" s="36">
        <v>438.874664</v>
      </c>
      <c r="R18" s="36">
        <v>441.29333500000001</v>
      </c>
      <c r="S18" s="36">
        <v>443.60015900000002</v>
      </c>
      <c r="T18" s="36">
        <v>445.80703699999998</v>
      </c>
      <c r="U18" s="36">
        <v>447.95318600000002</v>
      </c>
      <c r="V18" s="36">
        <v>449.73614500000002</v>
      </c>
      <c r="W18" s="36">
        <v>451.66342200000003</v>
      </c>
      <c r="X18" s="36">
        <v>453.477844</v>
      </c>
      <c r="Y18" s="36">
        <v>455.11724900000002</v>
      </c>
      <c r="Z18" s="36">
        <v>456.80197099999998</v>
      </c>
      <c r="AA18" s="36">
        <v>458.39038099999999</v>
      </c>
      <c r="AB18" s="36">
        <v>459.95562699999999</v>
      </c>
      <c r="AC18" s="36">
        <v>461.45980800000001</v>
      </c>
      <c r="AD18" s="36">
        <v>462.98791499999999</v>
      </c>
      <c r="AE18" s="36">
        <v>464.54254200000003</v>
      </c>
      <c r="AF18" s="35">
        <v>2.6199999999999999E-3</v>
      </c>
      <c r="AG18" s="29"/>
    </row>
    <row r="19" spans="1:33" ht="15" customHeight="1">
      <c r="A19" s="34" t="s">
        <v>3398</v>
      </c>
      <c r="B19" s="37" t="s">
        <v>2345</v>
      </c>
      <c r="C19" s="36">
        <v>66.059119999999993</v>
      </c>
      <c r="D19" s="36">
        <v>68.531723</v>
      </c>
      <c r="E19" s="36">
        <v>89.311324999999997</v>
      </c>
      <c r="F19" s="36">
        <v>90.111892999999995</v>
      </c>
      <c r="G19" s="36">
        <v>91.120743000000004</v>
      </c>
      <c r="H19" s="36">
        <v>92.048293999999999</v>
      </c>
      <c r="I19" s="36">
        <v>92.735764000000003</v>
      </c>
      <c r="J19" s="36">
        <v>93.483283999999998</v>
      </c>
      <c r="K19" s="36">
        <v>94.072609</v>
      </c>
      <c r="L19" s="36">
        <v>94.596664000000004</v>
      </c>
      <c r="M19" s="36">
        <v>95.717467999999997</v>
      </c>
      <c r="N19" s="36">
        <v>96.025017000000005</v>
      </c>
      <c r="O19" s="36">
        <v>96.312042000000005</v>
      </c>
      <c r="P19" s="36">
        <v>96.563461000000004</v>
      </c>
      <c r="Q19" s="36">
        <v>96.768990000000002</v>
      </c>
      <c r="R19" s="36">
        <v>97.289398000000006</v>
      </c>
      <c r="S19" s="36">
        <v>97.767516999999998</v>
      </c>
      <c r="T19" s="36">
        <v>98.168610000000001</v>
      </c>
      <c r="U19" s="36">
        <v>98.467140000000001</v>
      </c>
      <c r="V19" s="36">
        <v>98.593643</v>
      </c>
      <c r="W19" s="36">
        <v>98.762816999999998</v>
      </c>
      <c r="X19" s="36">
        <v>98.913284000000004</v>
      </c>
      <c r="Y19" s="36">
        <v>99.031966999999995</v>
      </c>
      <c r="Z19" s="36">
        <v>99.153121999999996</v>
      </c>
      <c r="AA19" s="36">
        <v>99.256103999999993</v>
      </c>
      <c r="AB19" s="36">
        <v>99.342513999999994</v>
      </c>
      <c r="AC19" s="36">
        <v>99.404114000000007</v>
      </c>
      <c r="AD19" s="36">
        <v>99.471305999999998</v>
      </c>
      <c r="AE19" s="36">
        <v>99.547318000000004</v>
      </c>
      <c r="AF19" s="35">
        <v>1.4754E-2</v>
      </c>
      <c r="AG19" s="29"/>
    </row>
    <row r="20" spans="1:33" ht="15" customHeight="1">
      <c r="A20" s="34" t="s">
        <v>3399</v>
      </c>
      <c r="B20" s="37" t="s">
        <v>3400</v>
      </c>
      <c r="C20" s="36">
        <v>120.277817</v>
      </c>
      <c r="D20" s="36">
        <v>121.35955</v>
      </c>
      <c r="E20" s="36">
        <v>120.920723</v>
      </c>
      <c r="F20" s="36">
        <v>120.90621899999999</v>
      </c>
      <c r="G20" s="36">
        <v>121.146332</v>
      </c>
      <c r="H20" s="36">
        <v>121.266068</v>
      </c>
      <c r="I20" s="36">
        <v>121.230324</v>
      </c>
      <c r="J20" s="36">
        <v>121.232536</v>
      </c>
      <c r="K20" s="36">
        <v>121.176979</v>
      </c>
      <c r="L20" s="36">
        <v>121.28653</v>
      </c>
      <c r="M20" s="36">
        <v>121.83015399999999</v>
      </c>
      <c r="N20" s="36">
        <v>122.12159699999999</v>
      </c>
      <c r="O20" s="36">
        <v>122.50928500000001</v>
      </c>
      <c r="P20" s="36">
        <v>123.013672</v>
      </c>
      <c r="Q20" s="36">
        <v>123.512154</v>
      </c>
      <c r="R20" s="36">
        <v>124.315956</v>
      </c>
      <c r="S20" s="36">
        <v>125.08865400000001</v>
      </c>
      <c r="T20" s="36">
        <v>125.83419000000001</v>
      </c>
      <c r="U20" s="36">
        <v>126.5746</v>
      </c>
      <c r="V20" s="36">
        <v>127.235077</v>
      </c>
      <c r="W20" s="36">
        <v>127.938751</v>
      </c>
      <c r="X20" s="36">
        <v>128.61431899999999</v>
      </c>
      <c r="Y20" s="36">
        <v>129.232361</v>
      </c>
      <c r="Z20" s="36">
        <v>129.86409</v>
      </c>
      <c r="AA20" s="36">
        <v>130.47139000000001</v>
      </c>
      <c r="AB20" s="36">
        <v>131.07183800000001</v>
      </c>
      <c r="AC20" s="36">
        <v>131.65202300000001</v>
      </c>
      <c r="AD20" s="36">
        <v>132.241974</v>
      </c>
      <c r="AE20" s="36">
        <v>132.835846</v>
      </c>
      <c r="AF20" s="35">
        <v>3.5530000000000002E-3</v>
      </c>
      <c r="AG20" s="29"/>
    </row>
    <row r="21" spans="1:33" ht="15" customHeight="1">
      <c r="A21" s="34" t="s">
        <v>3401</v>
      </c>
      <c r="B21" s="37" t="s">
        <v>3402</v>
      </c>
      <c r="C21" s="36">
        <v>29.752386000000001</v>
      </c>
      <c r="D21" s="36">
        <v>15.927314000000001</v>
      </c>
      <c r="E21" s="36">
        <v>18.013905000000001</v>
      </c>
      <c r="F21" s="36">
        <v>20.165668</v>
      </c>
      <c r="G21" s="36">
        <v>22.333731</v>
      </c>
      <c r="H21" s="36">
        <v>24.415763999999999</v>
      </c>
      <c r="I21" s="36">
        <v>26.379314000000001</v>
      </c>
      <c r="J21" s="36">
        <v>28.171804000000002</v>
      </c>
      <c r="K21" s="36">
        <v>29.777445</v>
      </c>
      <c r="L21" s="36">
        <v>31.213978000000001</v>
      </c>
      <c r="M21" s="36">
        <v>32.423713999999997</v>
      </c>
      <c r="N21" s="36">
        <v>33.365437</v>
      </c>
      <c r="O21" s="36">
        <v>34.011406000000001</v>
      </c>
      <c r="P21" s="36">
        <v>34.367095999999997</v>
      </c>
      <c r="Q21" s="36">
        <v>34.547156999999999</v>
      </c>
      <c r="R21" s="36">
        <v>34.789741999999997</v>
      </c>
      <c r="S21" s="36">
        <v>35.020294</v>
      </c>
      <c r="T21" s="36">
        <v>35.2575</v>
      </c>
      <c r="U21" s="36">
        <v>35.503219999999999</v>
      </c>
      <c r="V21" s="36">
        <v>35.742485000000002</v>
      </c>
      <c r="W21" s="36">
        <v>35.989243000000002</v>
      </c>
      <c r="X21" s="36">
        <v>36.227820999999999</v>
      </c>
      <c r="Y21" s="36">
        <v>36.449264999999997</v>
      </c>
      <c r="Z21" s="36">
        <v>36.675964</v>
      </c>
      <c r="AA21" s="36">
        <v>36.899124</v>
      </c>
      <c r="AB21" s="36">
        <v>37.121631999999998</v>
      </c>
      <c r="AC21" s="36">
        <v>37.338917000000002</v>
      </c>
      <c r="AD21" s="36">
        <v>37.560276000000002</v>
      </c>
      <c r="AE21" s="36">
        <v>37.784179999999999</v>
      </c>
      <c r="AF21" s="35">
        <v>8.5719999999999998E-3</v>
      </c>
      <c r="AG21" s="29"/>
    </row>
    <row r="22" spans="1:33" ht="15" customHeight="1">
      <c r="A22" s="34" t="s">
        <v>3403</v>
      </c>
      <c r="B22" s="37" t="s">
        <v>3232</v>
      </c>
      <c r="C22" s="36">
        <v>647.87280299999998</v>
      </c>
      <c r="D22" s="36">
        <v>641.12976100000003</v>
      </c>
      <c r="E22" s="36">
        <v>660.61358600000005</v>
      </c>
      <c r="F22" s="36">
        <v>662.46618699999999</v>
      </c>
      <c r="G22" s="36">
        <v>666.00183100000004</v>
      </c>
      <c r="H22" s="36">
        <v>669.36724900000002</v>
      </c>
      <c r="I22" s="36">
        <v>672.15801999999996</v>
      </c>
      <c r="J22" s="36">
        <v>674.83953899999995</v>
      </c>
      <c r="K22" s="36">
        <v>676.96014400000001</v>
      </c>
      <c r="L22" s="36">
        <v>679.51928699999996</v>
      </c>
      <c r="M22" s="36">
        <v>684.47430399999996</v>
      </c>
      <c r="N22" s="36">
        <v>686.72949200000005</v>
      </c>
      <c r="O22" s="36">
        <v>689.07647699999995</v>
      </c>
      <c r="P22" s="36">
        <v>691.54925500000002</v>
      </c>
      <c r="Q22" s="36">
        <v>693.73541299999999</v>
      </c>
      <c r="R22" s="36">
        <v>697.72088599999995</v>
      </c>
      <c r="S22" s="36">
        <v>701.50897199999997</v>
      </c>
      <c r="T22" s="36">
        <v>705.09973100000002</v>
      </c>
      <c r="U22" s="36">
        <v>708.53057899999999</v>
      </c>
      <c r="V22" s="36">
        <v>711.33972200000005</v>
      </c>
      <c r="W22" s="36">
        <v>714.38665800000001</v>
      </c>
      <c r="X22" s="36">
        <v>717.26568599999996</v>
      </c>
      <c r="Y22" s="36">
        <v>719.86328100000003</v>
      </c>
      <c r="Z22" s="36">
        <v>722.52752699999996</v>
      </c>
      <c r="AA22" s="36">
        <v>725.04937700000005</v>
      </c>
      <c r="AB22" s="36">
        <v>727.52404799999999</v>
      </c>
      <c r="AC22" s="36">
        <v>729.88726799999995</v>
      </c>
      <c r="AD22" s="36">
        <v>732.29388400000005</v>
      </c>
      <c r="AE22" s="36">
        <v>734.74224900000002</v>
      </c>
      <c r="AF22" s="35">
        <v>4.5040000000000002E-3</v>
      </c>
      <c r="AG22" s="29"/>
    </row>
    <row r="23" spans="1:33" ht="15" customHeight="1">
      <c r="A23" s="34" t="s">
        <v>3404</v>
      </c>
      <c r="B23" s="37" t="s">
        <v>3234</v>
      </c>
      <c r="C23" s="36">
        <v>119.72618900000001</v>
      </c>
      <c r="D23" s="36">
        <v>114.557648</v>
      </c>
      <c r="E23" s="36">
        <v>114.535568</v>
      </c>
      <c r="F23" s="36">
        <v>115.092072</v>
      </c>
      <c r="G23" s="36">
        <v>115.925201</v>
      </c>
      <c r="H23" s="36">
        <v>116.655388</v>
      </c>
      <c r="I23" s="36">
        <v>117.17130299999999</v>
      </c>
      <c r="J23" s="36">
        <v>117.722115</v>
      </c>
      <c r="K23" s="36">
        <v>118.15763099999999</v>
      </c>
      <c r="L23" s="36">
        <v>118.630661</v>
      </c>
      <c r="M23" s="36">
        <v>119.63172900000001</v>
      </c>
      <c r="N23" s="36">
        <v>120.062653</v>
      </c>
      <c r="O23" s="36">
        <v>120.49071499999999</v>
      </c>
      <c r="P23" s="36">
        <v>120.905434</v>
      </c>
      <c r="Q23" s="36">
        <v>121.282265</v>
      </c>
      <c r="R23" s="36">
        <v>121.97422</v>
      </c>
      <c r="S23" s="36">
        <v>122.57285299999999</v>
      </c>
      <c r="T23" s="36">
        <v>123.15619700000001</v>
      </c>
      <c r="U23" s="36">
        <v>123.62479399999999</v>
      </c>
      <c r="V23" s="36">
        <v>123.922798</v>
      </c>
      <c r="W23" s="36">
        <v>124.273949</v>
      </c>
      <c r="X23" s="36">
        <v>124.631767</v>
      </c>
      <c r="Y23" s="36">
        <v>124.969543</v>
      </c>
      <c r="Z23" s="36">
        <v>125.292213</v>
      </c>
      <c r="AA23" s="36">
        <v>124.785606</v>
      </c>
      <c r="AB23" s="36">
        <v>124.350471</v>
      </c>
      <c r="AC23" s="36">
        <v>123.988342</v>
      </c>
      <c r="AD23" s="36">
        <v>123.710442</v>
      </c>
      <c r="AE23" s="36">
        <v>123.49084499999999</v>
      </c>
      <c r="AF23" s="35">
        <v>1.106E-3</v>
      </c>
      <c r="AG23" s="29"/>
    </row>
    <row r="24" spans="1:33" ht="15" customHeight="1">
      <c r="A24" s="34" t="s">
        <v>3405</v>
      </c>
      <c r="B24" s="37" t="s">
        <v>3238</v>
      </c>
      <c r="C24" s="36">
        <v>0</v>
      </c>
      <c r="D24" s="36">
        <v>0</v>
      </c>
      <c r="E24" s="36">
        <v>0</v>
      </c>
      <c r="F24" s="36">
        <v>0</v>
      </c>
      <c r="G24" s="36">
        <v>0</v>
      </c>
      <c r="H24" s="36">
        <v>0</v>
      </c>
      <c r="I24" s="36">
        <v>0</v>
      </c>
      <c r="J24" s="36">
        <v>0</v>
      </c>
      <c r="K24" s="36">
        <v>0</v>
      </c>
      <c r="L24" s="36">
        <v>0</v>
      </c>
      <c r="M24" s="36">
        <v>0</v>
      </c>
      <c r="N24" s="36">
        <v>0</v>
      </c>
      <c r="O24" s="36">
        <v>0</v>
      </c>
      <c r="P24" s="36">
        <v>0</v>
      </c>
      <c r="Q24" s="36">
        <v>0</v>
      </c>
      <c r="R24" s="36">
        <v>0</v>
      </c>
      <c r="S24" s="36">
        <v>0</v>
      </c>
      <c r="T24" s="36">
        <v>0</v>
      </c>
      <c r="U24" s="36">
        <v>0</v>
      </c>
      <c r="V24" s="36">
        <v>0</v>
      </c>
      <c r="W24" s="36">
        <v>0</v>
      </c>
      <c r="X24" s="36">
        <v>0</v>
      </c>
      <c r="Y24" s="36">
        <v>0</v>
      </c>
      <c r="Z24" s="36">
        <v>0</v>
      </c>
      <c r="AA24" s="36">
        <v>0</v>
      </c>
      <c r="AB24" s="36">
        <v>0</v>
      </c>
      <c r="AC24" s="36">
        <v>0</v>
      </c>
      <c r="AD24" s="36">
        <v>0</v>
      </c>
      <c r="AE24" s="36">
        <v>0</v>
      </c>
      <c r="AF24" s="35" t="s">
        <v>1278</v>
      </c>
      <c r="AG24" s="29"/>
    </row>
    <row r="25" spans="1:33" ht="15" customHeight="1">
      <c r="A25" s="34" t="s">
        <v>3406</v>
      </c>
      <c r="B25" s="37" t="s">
        <v>3240</v>
      </c>
      <c r="C25" s="36">
        <v>174.98010300000001</v>
      </c>
      <c r="D25" s="36">
        <v>181.74844400000001</v>
      </c>
      <c r="E25" s="36">
        <v>183.58869899999999</v>
      </c>
      <c r="F25" s="36">
        <v>186.056152</v>
      </c>
      <c r="G25" s="36">
        <v>188.83300800000001</v>
      </c>
      <c r="H25" s="36">
        <v>191.39752200000001</v>
      </c>
      <c r="I25" s="36">
        <v>193.72015400000001</v>
      </c>
      <c r="J25" s="36">
        <v>195.865036</v>
      </c>
      <c r="K25" s="36">
        <v>197.84787</v>
      </c>
      <c r="L25" s="36">
        <v>199.86785900000001</v>
      </c>
      <c r="M25" s="36">
        <v>201.849976</v>
      </c>
      <c r="N25" s="36">
        <v>203.685181</v>
      </c>
      <c r="O25" s="36">
        <v>205.25036600000001</v>
      </c>
      <c r="P25" s="36">
        <v>206.74641399999999</v>
      </c>
      <c r="Q25" s="36">
        <v>208.113495</v>
      </c>
      <c r="R25" s="36">
        <v>209.77368200000001</v>
      </c>
      <c r="S25" s="36">
        <v>211.38942</v>
      </c>
      <c r="T25" s="36">
        <v>212.99632299999999</v>
      </c>
      <c r="U25" s="36">
        <v>214.666382</v>
      </c>
      <c r="V25" s="36">
        <v>216.312836</v>
      </c>
      <c r="W25" s="36">
        <v>218.00500500000001</v>
      </c>
      <c r="X25" s="36">
        <v>219.649292</v>
      </c>
      <c r="Y25" s="36">
        <v>221.207504</v>
      </c>
      <c r="Z25" s="36">
        <v>222.80244400000001</v>
      </c>
      <c r="AA25" s="36">
        <v>224.370926</v>
      </c>
      <c r="AB25" s="36">
        <v>225.92688000000001</v>
      </c>
      <c r="AC25" s="36">
        <v>227.44676200000001</v>
      </c>
      <c r="AD25" s="36">
        <v>228.98820499999999</v>
      </c>
      <c r="AE25" s="36">
        <v>230.54426599999999</v>
      </c>
      <c r="AF25" s="35">
        <v>9.8980000000000005E-3</v>
      </c>
      <c r="AG25" s="29"/>
    </row>
    <row r="26" spans="1:33" ht="15" customHeight="1">
      <c r="A26" s="34" t="s">
        <v>3407</v>
      </c>
      <c r="B26" s="37" t="s">
        <v>3242</v>
      </c>
      <c r="C26" s="36">
        <v>249.03689600000001</v>
      </c>
      <c r="D26" s="36">
        <v>255.06663499999999</v>
      </c>
      <c r="E26" s="36">
        <v>256.70727499999998</v>
      </c>
      <c r="F26" s="36">
        <v>259.26110799999998</v>
      </c>
      <c r="G26" s="36">
        <v>262.29107699999997</v>
      </c>
      <c r="H26" s="36">
        <v>264.94671599999998</v>
      </c>
      <c r="I26" s="36">
        <v>267.09936499999998</v>
      </c>
      <c r="J26" s="36">
        <v>269.12316900000002</v>
      </c>
      <c r="K26" s="36">
        <v>270.85363799999999</v>
      </c>
      <c r="L26" s="36">
        <v>272.56469700000002</v>
      </c>
      <c r="M26" s="36">
        <v>274.59539799999999</v>
      </c>
      <c r="N26" s="36">
        <v>276.34252900000001</v>
      </c>
      <c r="O26" s="36">
        <v>277.80487099999999</v>
      </c>
      <c r="P26" s="36">
        <v>279.16427599999997</v>
      </c>
      <c r="Q26" s="36">
        <v>280.36184700000001</v>
      </c>
      <c r="R26" s="36">
        <v>282.06970200000001</v>
      </c>
      <c r="S26" s="36">
        <v>283.71215799999999</v>
      </c>
      <c r="T26" s="36">
        <v>285.311127</v>
      </c>
      <c r="U26" s="36">
        <v>286.93713400000001</v>
      </c>
      <c r="V26" s="36">
        <v>288.47421300000002</v>
      </c>
      <c r="W26" s="36">
        <v>290.11599699999999</v>
      </c>
      <c r="X26" s="36">
        <v>291.69601399999999</v>
      </c>
      <c r="Y26" s="36">
        <v>293.13372800000002</v>
      </c>
      <c r="Z26" s="36">
        <v>294.60513300000002</v>
      </c>
      <c r="AA26" s="36">
        <v>296.03231799999998</v>
      </c>
      <c r="AB26" s="36">
        <v>297.44515999999999</v>
      </c>
      <c r="AC26" s="36">
        <v>298.81329299999999</v>
      </c>
      <c r="AD26" s="36">
        <v>300.20611600000001</v>
      </c>
      <c r="AE26" s="36">
        <v>301.61502100000001</v>
      </c>
      <c r="AF26" s="35">
        <v>6.8649999999999996E-3</v>
      </c>
      <c r="AG26" s="29"/>
    </row>
    <row r="27" spans="1:33" ht="15" customHeight="1">
      <c r="A27" s="34" t="s">
        <v>3408</v>
      </c>
      <c r="B27" s="33" t="s">
        <v>3244</v>
      </c>
      <c r="C27" s="32">
        <v>1191.615967</v>
      </c>
      <c r="D27" s="32">
        <v>1192.5024410000001</v>
      </c>
      <c r="E27" s="32">
        <v>1215.445068</v>
      </c>
      <c r="F27" s="32">
        <v>1222.8754879999999</v>
      </c>
      <c r="G27" s="32">
        <v>1233.051025</v>
      </c>
      <c r="H27" s="32">
        <v>1242.366943</v>
      </c>
      <c r="I27" s="32">
        <v>1250.1489260000001</v>
      </c>
      <c r="J27" s="32">
        <v>1257.5498050000001</v>
      </c>
      <c r="K27" s="32">
        <v>1263.819336</v>
      </c>
      <c r="L27" s="32">
        <v>1270.5825199999999</v>
      </c>
      <c r="M27" s="32">
        <v>1280.5513920000001</v>
      </c>
      <c r="N27" s="32">
        <v>1286.8198239999999</v>
      </c>
      <c r="O27" s="32">
        <v>1292.622437</v>
      </c>
      <c r="P27" s="32">
        <v>1298.365356</v>
      </c>
      <c r="Q27" s="32">
        <v>1303.4930420000001</v>
      </c>
      <c r="R27" s="32">
        <v>1311.538452</v>
      </c>
      <c r="S27" s="32">
        <v>1319.1834719999999</v>
      </c>
      <c r="T27" s="32">
        <v>1326.5633539999999</v>
      </c>
      <c r="U27" s="32">
        <v>1333.7589109999999</v>
      </c>
      <c r="V27" s="32">
        <v>1340.049561</v>
      </c>
      <c r="W27" s="32">
        <v>1346.7814940000001</v>
      </c>
      <c r="X27" s="32">
        <v>1353.242798</v>
      </c>
      <c r="Y27" s="32">
        <v>1359.174072</v>
      </c>
      <c r="Z27" s="32">
        <v>1365.2272949999999</v>
      </c>
      <c r="AA27" s="32">
        <v>1370.2382809999999</v>
      </c>
      <c r="AB27" s="32">
        <v>1375.246582</v>
      </c>
      <c r="AC27" s="32">
        <v>1380.1357419999999</v>
      </c>
      <c r="AD27" s="32">
        <v>1385.1987300000001</v>
      </c>
      <c r="AE27" s="32">
        <v>1390.3923339999999</v>
      </c>
      <c r="AF27" s="31">
        <v>5.5250000000000004E-3</v>
      </c>
      <c r="AG27" s="29"/>
    </row>
    <row r="28" spans="1:33" ht="15" customHeight="1">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row>
    <row r="29" spans="1:33" ht="15" customHeight="1">
      <c r="B29" s="33" t="s">
        <v>3409</v>
      </c>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row>
    <row r="30" spans="1:33" ht="15" customHeight="1">
      <c r="A30" s="34" t="s">
        <v>3410</v>
      </c>
      <c r="B30" s="37" t="s">
        <v>3226</v>
      </c>
      <c r="C30" s="36">
        <v>398.22903400000001</v>
      </c>
      <c r="D30" s="36">
        <v>392.40237400000001</v>
      </c>
      <c r="E30" s="36">
        <v>382.71301299999999</v>
      </c>
      <c r="F30" s="36">
        <v>382.25430299999999</v>
      </c>
      <c r="G30" s="36">
        <v>380.36743200000001</v>
      </c>
      <c r="H30" s="36">
        <v>376.19537400000002</v>
      </c>
      <c r="I30" s="36">
        <v>374.92507899999998</v>
      </c>
      <c r="J30" s="36">
        <v>378.88085899999999</v>
      </c>
      <c r="K30" s="36">
        <v>380.57910199999998</v>
      </c>
      <c r="L30" s="36">
        <v>378.15936299999998</v>
      </c>
      <c r="M30" s="36">
        <v>375.21069299999999</v>
      </c>
      <c r="N30" s="36">
        <v>373.5224</v>
      </c>
      <c r="O30" s="36">
        <v>372.09875499999998</v>
      </c>
      <c r="P30" s="36">
        <v>372.27310199999999</v>
      </c>
      <c r="Q30" s="36">
        <v>373.82455399999998</v>
      </c>
      <c r="R30" s="36">
        <v>376.673157</v>
      </c>
      <c r="S30" s="36">
        <v>380.11990400000002</v>
      </c>
      <c r="T30" s="36">
        <v>382.75689699999998</v>
      </c>
      <c r="U30" s="36">
        <v>385.95413200000002</v>
      </c>
      <c r="V30" s="36">
        <v>389.87820399999998</v>
      </c>
      <c r="W30" s="36">
        <v>392.74517800000001</v>
      </c>
      <c r="X30" s="36">
        <v>395.00915500000002</v>
      </c>
      <c r="Y30" s="36">
        <v>397.27270499999997</v>
      </c>
      <c r="Z30" s="36">
        <v>400.03967299999999</v>
      </c>
      <c r="AA30" s="36">
        <v>402.85168499999997</v>
      </c>
      <c r="AB30" s="36">
        <v>405.53808600000002</v>
      </c>
      <c r="AC30" s="36">
        <v>407.58914199999998</v>
      </c>
      <c r="AD30" s="36">
        <v>409.22262599999999</v>
      </c>
      <c r="AE30" s="36">
        <v>412.46481299999999</v>
      </c>
      <c r="AF30" s="35">
        <v>1.255E-3</v>
      </c>
      <c r="AG30" s="29"/>
    </row>
    <row r="31" spans="1:33" ht="15" customHeight="1">
      <c r="A31" s="34" t="s">
        <v>3411</v>
      </c>
      <c r="B31" s="37" t="s">
        <v>2345</v>
      </c>
      <c r="C31" s="36">
        <v>15.925979999999999</v>
      </c>
      <c r="D31" s="36">
        <v>16.104175999999999</v>
      </c>
      <c r="E31" s="36">
        <v>26.208683000000001</v>
      </c>
      <c r="F31" s="36">
        <v>26.641974999999999</v>
      </c>
      <c r="G31" s="36">
        <v>26.941082000000002</v>
      </c>
      <c r="H31" s="36">
        <v>27.012893999999999</v>
      </c>
      <c r="I31" s="36">
        <v>27.241817000000001</v>
      </c>
      <c r="J31" s="36">
        <v>27.874137999999999</v>
      </c>
      <c r="K31" s="36">
        <v>28.309792000000002</v>
      </c>
      <c r="L31" s="36">
        <v>28.417335999999999</v>
      </c>
      <c r="M31" s="36">
        <v>28.459441999999999</v>
      </c>
      <c r="N31" s="36">
        <v>28.556915</v>
      </c>
      <c r="O31" s="36">
        <v>28.626728</v>
      </c>
      <c r="P31" s="36">
        <v>28.792559000000001</v>
      </c>
      <c r="Q31" s="36">
        <v>29.063704000000001</v>
      </c>
      <c r="R31" s="36">
        <v>29.462157999999999</v>
      </c>
      <c r="S31" s="36">
        <v>29.906448000000001</v>
      </c>
      <c r="T31" s="36">
        <v>30.281220999999999</v>
      </c>
      <c r="U31" s="36">
        <v>30.701145</v>
      </c>
      <c r="V31" s="36">
        <v>31.190007999999999</v>
      </c>
      <c r="W31" s="36">
        <v>31.596461999999999</v>
      </c>
      <c r="X31" s="36">
        <v>31.95722</v>
      </c>
      <c r="Y31" s="36">
        <v>32.318958000000002</v>
      </c>
      <c r="Z31" s="36">
        <v>32.727386000000003</v>
      </c>
      <c r="AA31" s="36">
        <v>33.149971000000001</v>
      </c>
      <c r="AB31" s="36">
        <v>33.564490999999997</v>
      </c>
      <c r="AC31" s="36">
        <v>33.925559999999997</v>
      </c>
      <c r="AD31" s="36">
        <v>34.252997999999998</v>
      </c>
      <c r="AE31" s="36">
        <v>34.731022000000003</v>
      </c>
      <c r="AF31" s="35">
        <v>2.8237000000000002E-2</v>
      </c>
      <c r="AG31" s="29"/>
    </row>
    <row r="32" spans="1:33" ht="15" customHeight="1">
      <c r="A32" s="34" t="s">
        <v>3412</v>
      </c>
      <c r="B32" s="37" t="s">
        <v>3400</v>
      </c>
      <c r="C32" s="36">
        <v>124.17533899999999</v>
      </c>
      <c r="D32" s="36">
        <v>122.801605</v>
      </c>
      <c r="E32" s="36">
        <v>120.46698000000001</v>
      </c>
      <c r="F32" s="36">
        <v>120.853149</v>
      </c>
      <c r="G32" s="36">
        <v>120.560425</v>
      </c>
      <c r="H32" s="36">
        <v>119.314392</v>
      </c>
      <c r="I32" s="36">
        <v>118.90158099999999</v>
      </c>
      <c r="J32" s="36">
        <v>120.283646</v>
      </c>
      <c r="K32" s="36">
        <v>120.893906</v>
      </c>
      <c r="L32" s="36">
        <v>120.13046300000001</v>
      </c>
      <c r="M32" s="36">
        <v>119.21526299999999</v>
      </c>
      <c r="N32" s="36">
        <v>118.760559</v>
      </c>
      <c r="O32" s="36">
        <v>118.43781300000001</v>
      </c>
      <c r="P32" s="36">
        <v>118.69594600000001</v>
      </c>
      <c r="Q32" s="36">
        <v>119.44458</v>
      </c>
      <c r="R32" s="36">
        <v>120.649078</v>
      </c>
      <c r="S32" s="36">
        <v>122.05875399999999</v>
      </c>
      <c r="T32" s="36">
        <v>123.207565</v>
      </c>
      <c r="U32" s="36">
        <v>124.57878100000001</v>
      </c>
      <c r="V32" s="36">
        <v>126.22034499999999</v>
      </c>
      <c r="W32" s="36">
        <v>127.465225</v>
      </c>
      <c r="X32" s="36">
        <v>128.518066</v>
      </c>
      <c r="Y32" s="36">
        <v>129.55896000000001</v>
      </c>
      <c r="Z32" s="36">
        <v>130.78317300000001</v>
      </c>
      <c r="AA32" s="36">
        <v>132.02664200000001</v>
      </c>
      <c r="AB32" s="36">
        <v>133.22749300000001</v>
      </c>
      <c r="AC32" s="36">
        <v>134.192261</v>
      </c>
      <c r="AD32" s="36">
        <v>135.01527400000001</v>
      </c>
      <c r="AE32" s="36">
        <v>136.399597</v>
      </c>
      <c r="AF32" s="35">
        <v>3.359E-3</v>
      </c>
      <c r="AG32" s="29"/>
    </row>
    <row r="33" spans="1:33" ht="15" customHeight="1">
      <c r="A33" s="34" t="s">
        <v>3413</v>
      </c>
      <c r="B33" s="37" t="s">
        <v>3414</v>
      </c>
      <c r="C33" s="36">
        <v>877.12268100000006</v>
      </c>
      <c r="D33" s="36">
        <v>838.28491199999996</v>
      </c>
      <c r="E33" s="36">
        <v>803.33203100000003</v>
      </c>
      <c r="F33" s="36">
        <v>885.28497300000004</v>
      </c>
      <c r="G33" s="36">
        <v>896.76684599999999</v>
      </c>
      <c r="H33" s="36">
        <v>910.66851799999995</v>
      </c>
      <c r="I33" s="36">
        <v>920.57629399999996</v>
      </c>
      <c r="J33" s="36">
        <v>929.12377900000001</v>
      </c>
      <c r="K33" s="36">
        <v>935.57904099999996</v>
      </c>
      <c r="L33" s="36">
        <v>940.43713400000001</v>
      </c>
      <c r="M33" s="36">
        <v>939.12109399999997</v>
      </c>
      <c r="N33" s="36">
        <v>942.23821999999996</v>
      </c>
      <c r="O33" s="36">
        <v>949.38445999999999</v>
      </c>
      <c r="P33" s="36">
        <v>956.40106200000002</v>
      </c>
      <c r="Q33" s="36">
        <v>963.487122</v>
      </c>
      <c r="R33" s="36">
        <v>972.20831299999998</v>
      </c>
      <c r="S33" s="36">
        <v>983.47558600000002</v>
      </c>
      <c r="T33" s="36">
        <v>994.22546399999999</v>
      </c>
      <c r="U33" s="36">
        <v>1006.13031</v>
      </c>
      <c r="V33" s="36">
        <v>1018.477905</v>
      </c>
      <c r="W33" s="36">
        <v>1028.916504</v>
      </c>
      <c r="X33" s="36">
        <v>1031.2604980000001</v>
      </c>
      <c r="Y33" s="36">
        <v>1046.4487300000001</v>
      </c>
      <c r="Z33" s="36">
        <v>1067.1621090000001</v>
      </c>
      <c r="AA33" s="36">
        <v>1078.100342</v>
      </c>
      <c r="AB33" s="36">
        <v>1093.349976</v>
      </c>
      <c r="AC33" s="36">
        <v>1105.9754640000001</v>
      </c>
      <c r="AD33" s="36">
        <v>1118.7026370000001</v>
      </c>
      <c r="AE33" s="36">
        <v>1132.0561520000001</v>
      </c>
      <c r="AF33" s="35">
        <v>9.1540000000000007E-3</v>
      </c>
      <c r="AG33" s="29"/>
    </row>
    <row r="34" spans="1:33" ht="12" customHeight="1">
      <c r="A34" s="34" t="s">
        <v>3415</v>
      </c>
      <c r="B34" s="37" t="s">
        <v>3402</v>
      </c>
      <c r="C34" s="36">
        <v>50.129589000000003</v>
      </c>
      <c r="D34" s="36">
        <v>26.268929</v>
      </c>
      <c r="E34" s="36">
        <v>29.216578999999999</v>
      </c>
      <c r="F34" s="36">
        <v>32.777683000000003</v>
      </c>
      <c r="G34" s="36">
        <v>36.096397000000003</v>
      </c>
      <c r="H34" s="36">
        <v>38.955849000000001</v>
      </c>
      <c r="I34" s="36">
        <v>41.855933999999998</v>
      </c>
      <c r="J34" s="36">
        <v>45.165923999999997</v>
      </c>
      <c r="K34" s="36">
        <v>47.923813000000003</v>
      </c>
      <c r="L34" s="36">
        <v>49.742634000000002</v>
      </c>
      <c r="M34" s="36">
        <v>51.045906000000002</v>
      </c>
      <c r="N34" s="36">
        <v>52.083545999999998</v>
      </c>
      <c r="O34" s="36">
        <v>52.691352999999999</v>
      </c>
      <c r="P34" s="36">
        <v>53.056812000000001</v>
      </c>
      <c r="Q34" s="36">
        <v>53.377541000000001</v>
      </c>
      <c r="R34" s="36">
        <v>53.895325</v>
      </c>
      <c r="S34" s="36">
        <v>54.515915</v>
      </c>
      <c r="T34" s="36">
        <v>55.016876000000003</v>
      </c>
      <c r="U34" s="36">
        <v>55.612679</v>
      </c>
      <c r="V34" s="36">
        <v>56.328826999999997</v>
      </c>
      <c r="W34" s="36">
        <v>56.871670000000002</v>
      </c>
      <c r="X34" s="36">
        <v>57.324516000000003</v>
      </c>
      <c r="Y34" s="36">
        <v>57.773651000000001</v>
      </c>
      <c r="Z34" s="36">
        <v>58.306206000000003</v>
      </c>
      <c r="AA34" s="36">
        <v>58.860320999999999</v>
      </c>
      <c r="AB34" s="36">
        <v>59.395080999999998</v>
      </c>
      <c r="AC34" s="36">
        <v>59.828186000000002</v>
      </c>
      <c r="AD34" s="36">
        <v>60.197830000000003</v>
      </c>
      <c r="AE34" s="36">
        <v>60.825980999999999</v>
      </c>
      <c r="AF34" s="35">
        <v>6.9309999999999997E-3</v>
      </c>
      <c r="AG34" s="29"/>
    </row>
    <row r="35" spans="1:33" ht="12" customHeight="1">
      <c r="A35" s="34" t="s">
        <v>3416</v>
      </c>
      <c r="B35" s="37" t="s">
        <v>3232</v>
      </c>
      <c r="C35" s="36">
        <v>1465.582764</v>
      </c>
      <c r="D35" s="36">
        <v>1395.861938</v>
      </c>
      <c r="E35" s="36">
        <v>1361.9372559999999</v>
      </c>
      <c r="F35" s="36">
        <v>1447.812134</v>
      </c>
      <c r="G35" s="36">
        <v>1460.732178</v>
      </c>
      <c r="H35" s="36">
        <v>1472.1469729999999</v>
      </c>
      <c r="I35" s="36">
        <v>1483.500732</v>
      </c>
      <c r="J35" s="36">
        <v>1501.3282469999999</v>
      </c>
      <c r="K35" s="36">
        <v>1513.2856449999999</v>
      </c>
      <c r="L35" s="36">
        <v>1516.8869629999999</v>
      </c>
      <c r="M35" s="36">
        <v>1513.0523679999999</v>
      </c>
      <c r="N35" s="36">
        <v>1515.161621</v>
      </c>
      <c r="O35" s="36">
        <v>1521.2392580000001</v>
      </c>
      <c r="P35" s="36">
        <v>1529.2193600000001</v>
      </c>
      <c r="Q35" s="36">
        <v>1539.19751</v>
      </c>
      <c r="R35" s="36">
        <v>1552.887939</v>
      </c>
      <c r="S35" s="36">
        <v>1570.0766599999999</v>
      </c>
      <c r="T35" s="36">
        <v>1585.4880370000001</v>
      </c>
      <c r="U35" s="36">
        <v>1602.9770510000001</v>
      </c>
      <c r="V35" s="36">
        <v>1622.095337</v>
      </c>
      <c r="W35" s="36">
        <v>1637.5950929999999</v>
      </c>
      <c r="X35" s="36">
        <v>1644.069336</v>
      </c>
      <c r="Y35" s="36">
        <v>1663.373047</v>
      </c>
      <c r="Z35" s="36">
        <v>1689.0185550000001</v>
      </c>
      <c r="AA35" s="36">
        <v>1704.989014</v>
      </c>
      <c r="AB35" s="36">
        <v>1725.0751949999999</v>
      </c>
      <c r="AC35" s="36">
        <v>1741.5104980000001</v>
      </c>
      <c r="AD35" s="36">
        <v>1757.3914789999999</v>
      </c>
      <c r="AE35" s="36">
        <v>1776.477539</v>
      </c>
      <c r="AF35" s="35">
        <v>6.894E-3</v>
      </c>
      <c r="AG35" s="29"/>
    </row>
    <row r="36" spans="1:33" ht="12" customHeight="1">
      <c r="A36" s="34" t="s">
        <v>3417</v>
      </c>
      <c r="B36" s="37" t="s">
        <v>3234</v>
      </c>
      <c r="C36" s="36">
        <v>215.09570299999999</v>
      </c>
      <c r="D36" s="36">
        <v>200.60623200000001</v>
      </c>
      <c r="E36" s="36">
        <v>197.28491199999999</v>
      </c>
      <c r="F36" s="36">
        <v>198.24241599999999</v>
      </c>
      <c r="G36" s="36">
        <v>198.35534699999999</v>
      </c>
      <c r="H36" s="36">
        <v>197.14042699999999</v>
      </c>
      <c r="I36" s="36">
        <v>196.92001300000001</v>
      </c>
      <c r="J36" s="36">
        <v>198.91241500000001</v>
      </c>
      <c r="K36" s="36">
        <v>199.90763899999999</v>
      </c>
      <c r="L36" s="36">
        <v>199.15048200000001</v>
      </c>
      <c r="M36" s="36">
        <v>198.11352500000001</v>
      </c>
      <c r="N36" s="36">
        <v>197.491409</v>
      </c>
      <c r="O36" s="36">
        <v>196.78921500000001</v>
      </c>
      <c r="P36" s="36">
        <v>196.58514400000001</v>
      </c>
      <c r="Q36" s="36">
        <v>196.97163399999999</v>
      </c>
      <c r="R36" s="36">
        <v>197.905182</v>
      </c>
      <c r="S36" s="36">
        <v>198.86511200000001</v>
      </c>
      <c r="T36" s="36">
        <v>199.61163300000001</v>
      </c>
      <c r="U36" s="36">
        <v>200.39137299999999</v>
      </c>
      <c r="V36" s="36">
        <v>201.36689799999999</v>
      </c>
      <c r="W36" s="36">
        <v>201.893036</v>
      </c>
      <c r="X36" s="36">
        <v>202.29002399999999</v>
      </c>
      <c r="Y36" s="36">
        <v>202.79025300000001</v>
      </c>
      <c r="Z36" s="36">
        <v>203.458878</v>
      </c>
      <c r="AA36" s="36">
        <v>202.03196700000001</v>
      </c>
      <c r="AB36" s="36">
        <v>200.86987300000001</v>
      </c>
      <c r="AC36" s="36">
        <v>199.75556900000001</v>
      </c>
      <c r="AD36" s="36">
        <v>198.74359100000001</v>
      </c>
      <c r="AE36" s="36">
        <v>198.59123199999999</v>
      </c>
      <c r="AF36" s="35">
        <v>-2.8470000000000001E-3</v>
      </c>
      <c r="AG36" s="29"/>
    </row>
    <row r="37" spans="1:33" ht="12" customHeight="1">
      <c r="A37" s="34" t="s">
        <v>3418</v>
      </c>
      <c r="B37" s="37" t="s">
        <v>3242</v>
      </c>
      <c r="C37" s="36">
        <v>260.33200099999999</v>
      </c>
      <c r="D37" s="36">
        <v>262.11892699999999</v>
      </c>
      <c r="E37" s="36">
        <v>260.165009</v>
      </c>
      <c r="F37" s="36">
        <v>263.80447400000003</v>
      </c>
      <c r="G37" s="36">
        <v>265.87133799999998</v>
      </c>
      <c r="H37" s="36">
        <v>265.77175899999997</v>
      </c>
      <c r="I37" s="36">
        <v>267.36648600000001</v>
      </c>
      <c r="J37" s="36">
        <v>272.92312600000002</v>
      </c>
      <c r="K37" s="36">
        <v>276.56497200000001</v>
      </c>
      <c r="L37" s="36">
        <v>276.87716699999999</v>
      </c>
      <c r="M37" s="36">
        <v>276.549103</v>
      </c>
      <c r="N37" s="36">
        <v>276.93249500000002</v>
      </c>
      <c r="O37" s="36">
        <v>277.23330700000002</v>
      </c>
      <c r="P37" s="36">
        <v>278.53656000000001</v>
      </c>
      <c r="Q37" s="36">
        <v>280.85638399999999</v>
      </c>
      <c r="R37" s="36">
        <v>284.286316</v>
      </c>
      <c r="S37" s="36">
        <v>288.20575000000002</v>
      </c>
      <c r="T37" s="36">
        <v>291.540863</v>
      </c>
      <c r="U37" s="36">
        <v>295.47744799999998</v>
      </c>
      <c r="V37" s="36">
        <v>300.08148199999999</v>
      </c>
      <c r="W37" s="36">
        <v>303.69912699999998</v>
      </c>
      <c r="X37" s="36">
        <v>306.86340300000001</v>
      </c>
      <c r="Y37" s="36">
        <v>310.02810699999998</v>
      </c>
      <c r="Z37" s="36">
        <v>313.65683000000001</v>
      </c>
      <c r="AA37" s="36">
        <v>317.43075599999997</v>
      </c>
      <c r="AB37" s="36">
        <v>321.12274200000002</v>
      </c>
      <c r="AC37" s="36">
        <v>324.26965300000001</v>
      </c>
      <c r="AD37" s="36">
        <v>327.088684</v>
      </c>
      <c r="AE37" s="36">
        <v>331.34307899999999</v>
      </c>
      <c r="AF37" s="35">
        <v>8.6510000000000007E-3</v>
      </c>
      <c r="AG37" s="29"/>
    </row>
    <row r="38" spans="1:33" ht="12" customHeight="1">
      <c r="A38" s="34" t="s">
        <v>3419</v>
      </c>
      <c r="B38" s="33" t="s">
        <v>3244</v>
      </c>
      <c r="C38" s="32">
        <v>1941.0104980000001</v>
      </c>
      <c r="D38" s="32">
        <v>1858.5870359999999</v>
      </c>
      <c r="E38" s="32">
        <v>1819.387207</v>
      </c>
      <c r="F38" s="32">
        <v>1909.859009</v>
      </c>
      <c r="G38" s="32">
        <v>1924.958862</v>
      </c>
      <c r="H38" s="32">
        <v>1935.059082</v>
      </c>
      <c r="I38" s="32">
        <v>1947.787231</v>
      </c>
      <c r="J38" s="32">
        <v>1973.163818</v>
      </c>
      <c r="K38" s="32">
        <v>1989.7581789999999</v>
      </c>
      <c r="L38" s="32">
        <v>1992.914673</v>
      </c>
      <c r="M38" s="32">
        <v>1987.714966</v>
      </c>
      <c r="N38" s="32">
        <v>1989.5855710000001</v>
      </c>
      <c r="O38" s="32">
        <v>1995.2617190000001</v>
      </c>
      <c r="P38" s="32">
        <v>2004.341064</v>
      </c>
      <c r="Q38" s="32">
        <v>2017.025635</v>
      </c>
      <c r="R38" s="32">
        <v>2035.079346</v>
      </c>
      <c r="S38" s="32">
        <v>2057.147461</v>
      </c>
      <c r="T38" s="32">
        <v>2076.6403810000002</v>
      </c>
      <c r="U38" s="32">
        <v>2098.8459469999998</v>
      </c>
      <c r="V38" s="32">
        <v>2123.5437010000001</v>
      </c>
      <c r="W38" s="32">
        <v>2143.1872560000002</v>
      </c>
      <c r="X38" s="32">
        <v>2153.2226559999999</v>
      </c>
      <c r="Y38" s="32">
        <v>2176.1914059999999</v>
      </c>
      <c r="Z38" s="32">
        <v>2206.1342770000001</v>
      </c>
      <c r="AA38" s="32">
        <v>2224.4516600000002</v>
      </c>
      <c r="AB38" s="32">
        <v>2247.0678710000002</v>
      </c>
      <c r="AC38" s="32">
        <v>2265.5356449999999</v>
      </c>
      <c r="AD38" s="32">
        <v>2283.2236330000001</v>
      </c>
      <c r="AE38" s="32">
        <v>2306.411865</v>
      </c>
      <c r="AF38" s="31">
        <v>6.1789999999999996E-3</v>
      </c>
      <c r="AG38" s="29"/>
    </row>
    <row r="39" spans="1:33" ht="12" customHeight="1">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row>
    <row r="40" spans="1:33" ht="12" customHeight="1">
      <c r="B40" s="33" t="s">
        <v>3420</v>
      </c>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row>
    <row r="41" spans="1:33" ht="12" customHeight="1">
      <c r="A41" s="34" t="s">
        <v>3421</v>
      </c>
      <c r="B41" s="37" t="s">
        <v>3228</v>
      </c>
      <c r="C41" s="36">
        <v>8.005884</v>
      </c>
      <c r="D41" s="36">
        <v>6.7675400000000003</v>
      </c>
      <c r="E41" s="36">
        <v>6.2905569999999997</v>
      </c>
      <c r="F41" s="36">
        <v>6.0060409999999997</v>
      </c>
      <c r="G41" s="36">
        <v>5.832808</v>
      </c>
      <c r="H41" s="36">
        <v>5.6038110000000003</v>
      </c>
      <c r="I41" s="36">
        <v>5.4242800000000004</v>
      </c>
      <c r="J41" s="36">
        <v>5.2160399999999996</v>
      </c>
      <c r="K41" s="36">
        <v>5.0442159999999996</v>
      </c>
      <c r="L41" s="36">
        <v>4.8604409999999998</v>
      </c>
      <c r="M41" s="36">
        <v>4.7780269999999998</v>
      </c>
      <c r="N41" s="36">
        <v>4.7285959999999996</v>
      </c>
      <c r="O41" s="36">
        <v>4.6493270000000004</v>
      </c>
      <c r="P41" s="36">
        <v>4.5995229999999996</v>
      </c>
      <c r="Q41" s="36">
        <v>4.5430070000000002</v>
      </c>
      <c r="R41" s="36">
        <v>4.533487</v>
      </c>
      <c r="S41" s="36">
        <v>4.5010669999999999</v>
      </c>
      <c r="T41" s="36">
        <v>4.4503789999999999</v>
      </c>
      <c r="U41" s="36">
        <v>4.3772339999999996</v>
      </c>
      <c r="V41" s="36">
        <v>4.3529749999999998</v>
      </c>
      <c r="W41" s="36">
        <v>4.3334020000000004</v>
      </c>
      <c r="X41" s="36">
        <v>4.3414770000000003</v>
      </c>
      <c r="Y41" s="36">
        <v>4.3475070000000002</v>
      </c>
      <c r="Z41" s="36">
        <v>4.333361</v>
      </c>
      <c r="AA41" s="36">
        <v>4.3297239999999997</v>
      </c>
      <c r="AB41" s="36">
        <v>4.3119690000000004</v>
      </c>
      <c r="AC41" s="36">
        <v>4.315658</v>
      </c>
      <c r="AD41" s="36">
        <v>4.3247960000000001</v>
      </c>
      <c r="AE41" s="36">
        <v>4.3316169999999996</v>
      </c>
      <c r="AF41" s="35">
        <v>-2.1697999999999999E-2</v>
      </c>
      <c r="AG41" s="29"/>
    </row>
    <row r="42" spans="1:33" ht="12" customHeight="1">
      <c r="A42" s="34" t="s">
        <v>3422</v>
      </c>
      <c r="B42" s="37" t="s">
        <v>3226</v>
      </c>
      <c r="C42" s="36">
        <v>222.08575400000001</v>
      </c>
      <c r="D42" s="36">
        <v>217.055328</v>
      </c>
      <c r="E42" s="36">
        <v>213.395645</v>
      </c>
      <c r="F42" s="36">
        <v>207.54452499999999</v>
      </c>
      <c r="G42" s="36">
        <v>201.75645399999999</v>
      </c>
      <c r="H42" s="36">
        <v>195.11248800000001</v>
      </c>
      <c r="I42" s="36">
        <v>190.440674</v>
      </c>
      <c r="J42" s="36">
        <v>185.95742799999999</v>
      </c>
      <c r="K42" s="36">
        <v>183.48275799999999</v>
      </c>
      <c r="L42" s="36">
        <v>181.68798799999999</v>
      </c>
      <c r="M42" s="36">
        <v>180.853027</v>
      </c>
      <c r="N42" s="36">
        <v>179.99667400000001</v>
      </c>
      <c r="O42" s="36">
        <v>178.85867300000001</v>
      </c>
      <c r="P42" s="36">
        <v>178.46107499999999</v>
      </c>
      <c r="Q42" s="36">
        <v>178.12063599999999</v>
      </c>
      <c r="R42" s="36">
        <v>177.77709999999999</v>
      </c>
      <c r="S42" s="36">
        <v>177.377441</v>
      </c>
      <c r="T42" s="36">
        <v>177.40747099999999</v>
      </c>
      <c r="U42" s="36">
        <v>177.173813</v>
      </c>
      <c r="V42" s="36">
        <v>177.32626300000001</v>
      </c>
      <c r="W42" s="36">
        <v>177.69258099999999</v>
      </c>
      <c r="X42" s="36">
        <v>178.52229299999999</v>
      </c>
      <c r="Y42" s="36">
        <v>179.24115</v>
      </c>
      <c r="Z42" s="36">
        <v>179.58523600000001</v>
      </c>
      <c r="AA42" s="36">
        <v>180.03317300000001</v>
      </c>
      <c r="AB42" s="36">
        <v>179.78195199999999</v>
      </c>
      <c r="AC42" s="36">
        <v>179.737213</v>
      </c>
      <c r="AD42" s="36">
        <v>179.985657</v>
      </c>
      <c r="AE42" s="36">
        <v>180.526703</v>
      </c>
      <c r="AF42" s="35">
        <v>-7.3720000000000001E-3</v>
      </c>
      <c r="AG42" s="29"/>
    </row>
    <row r="43" spans="1:33" ht="12" customHeight="1">
      <c r="A43" s="34" t="s">
        <v>3423</v>
      </c>
      <c r="B43" s="37" t="s">
        <v>3400</v>
      </c>
      <c r="C43" s="36">
        <v>48.508167</v>
      </c>
      <c r="D43" s="36">
        <v>47.684356999999999</v>
      </c>
      <c r="E43" s="36">
        <v>47.170108999999997</v>
      </c>
      <c r="F43" s="36">
        <v>46.597244000000003</v>
      </c>
      <c r="G43" s="36">
        <v>46.201523000000002</v>
      </c>
      <c r="H43" s="36">
        <v>45.401249</v>
      </c>
      <c r="I43" s="36">
        <v>44.935692000000003</v>
      </c>
      <c r="J43" s="36">
        <v>44.316066999999997</v>
      </c>
      <c r="K43" s="36">
        <v>44.08276</v>
      </c>
      <c r="L43" s="36">
        <v>43.909213999999999</v>
      </c>
      <c r="M43" s="36">
        <v>43.982799999999997</v>
      </c>
      <c r="N43" s="36">
        <v>44.087353</v>
      </c>
      <c r="O43" s="36">
        <v>44.103188000000003</v>
      </c>
      <c r="P43" s="36">
        <v>44.168166999999997</v>
      </c>
      <c r="Q43" s="36">
        <v>44.273705</v>
      </c>
      <c r="R43" s="36">
        <v>44.396416000000002</v>
      </c>
      <c r="S43" s="36">
        <v>44.431499000000002</v>
      </c>
      <c r="T43" s="36">
        <v>44.544201000000001</v>
      </c>
      <c r="U43" s="36">
        <v>44.496952</v>
      </c>
      <c r="V43" s="36">
        <v>44.513710000000003</v>
      </c>
      <c r="W43" s="36">
        <v>44.640555999999997</v>
      </c>
      <c r="X43" s="36">
        <v>44.878543999999998</v>
      </c>
      <c r="Y43" s="36">
        <v>45.107123999999999</v>
      </c>
      <c r="Z43" s="36">
        <v>45.162399000000001</v>
      </c>
      <c r="AA43" s="36">
        <v>45.317574</v>
      </c>
      <c r="AB43" s="36">
        <v>45.281802999999996</v>
      </c>
      <c r="AC43" s="36">
        <v>45.425735000000003</v>
      </c>
      <c r="AD43" s="36">
        <v>45.641067999999997</v>
      </c>
      <c r="AE43" s="36">
        <v>45.871310999999999</v>
      </c>
      <c r="AF43" s="35">
        <v>-1.9940000000000001E-3</v>
      </c>
      <c r="AG43" s="29"/>
    </row>
    <row r="44" spans="1:33" ht="12" customHeight="1">
      <c r="A44" s="34" t="s">
        <v>3424</v>
      </c>
      <c r="B44" s="37" t="s">
        <v>3402</v>
      </c>
      <c r="C44" s="36">
        <v>27.182154000000001</v>
      </c>
      <c r="D44" s="36">
        <v>14.101213</v>
      </c>
      <c r="E44" s="36">
        <v>16.038578000000001</v>
      </c>
      <c r="F44" s="36">
        <v>17.572921999999998</v>
      </c>
      <c r="G44" s="36">
        <v>19.090907999999999</v>
      </c>
      <c r="H44" s="36">
        <v>20.262682000000002</v>
      </c>
      <c r="I44" s="36">
        <v>21.380752999999999</v>
      </c>
      <c r="J44" s="36">
        <v>22.191289999999999</v>
      </c>
      <c r="K44" s="36">
        <v>23.194054000000001</v>
      </c>
      <c r="L44" s="36">
        <v>24.106794000000001</v>
      </c>
      <c r="M44" s="36">
        <v>25.001332999999999</v>
      </c>
      <c r="N44" s="36">
        <v>25.672173999999998</v>
      </c>
      <c r="O44" s="36">
        <v>26.022687999999999</v>
      </c>
      <c r="P44" s="36">
        <v>26.184282</v>
      </c>
      <c r="Q44" s="36">
        <v>26.193919999999999</v>
      </c>
      <c r="R44" s="36">
        <v>26.171358000000001</v>
      </c>
      <c r="S44" s="36">
        <v>26.090824000000001</v>
      </c>
      <c r="T44" s="36">
        <v>26.039331000000001</v>
      </c>
      <c r="U44" s="36">
        <v>25.905166999999999</v>
      </c>
      <c r="V44" s="36">
        <v>25.840612</v>
      </c>
      <c r="W44" s="36">
        <v>25.848913</v>
      </c>
      <c r="X44" s="36">
        <v>25.856224000000001</v>
      </c>
      <c r="Y44" s="36">
        <v>25.856933999999999</v>
      </c>
      <c r="Z44" s="36">
        <v>25.756682999999999</v>
      </c>
      <c r="AA44" s="36">
        <v>25.733414</v>
      </c>
      <c r="AB44" s="36">
        <v>25.625924999999999</v>
      </c>
      <c r="AC44" s="36">
        <v>25.652685000000002</v>
      </c>
      <c r="AD44" s="36">
        <v>25.700144000000002</v>
      </c>
      <c r="AE44" s="36">
        <v>25.707941000000002</v>
      </c>
      <c r="AF44" s="35">
        <v>-1.9889999999999999E-3</v>
      </c>
      <c r="AG44" s="29"/>
    </row>
    <row r="45" spans="1:33" ht="12" customHeight="1">
      <c r="A45" s="34" t="s">
        <v>3425</v>
      </c>
      <c r="B45" s="37" t="s">
        <v>3232</v>
      </c>
      <c r="C45" s="36">
        <v>305.78198200000003</v>
      </c>
      <c r="D45" s="36">
        <v>285.60845899999998</v>
      </c>
      <c r="E45" s="36">
        <v>282.89489700000001</v>
      </c>
      <c r="F45" s="36">
        <v>277.72076399999997</v>
      </c>
      <c r="G45" s="36">
        <v>272.88168300000001</v>
      </c>
      <c r="H45" s="36">
        <v>266.38021900000001</v>
      </c>
      <c r="I45" s="36">
        <v>262.18139600000001</v>
      </c>
      <c r="J45" s="36">
        <v>257.68081699999999</v>
      </c>
      <c r="K45" s="36">
        <v>255.80380199999999</v>
      </c>
      <c r="L45" s="36">
        <v>254.564438</v>
      </c>
      <c r="M45" s="36">
        <v>254.61518899999999</v>
      </c>
      <c r="N45" s="36">
        <v>254.484802</v>
      </c>
      <c r="O45" s="36">
        <v>253.63386499999999</v>
      </c>
      <c r="P45" s="36">
        <v>253.41304</v>
      </c>
      <c r="Q45" s="36">
        <v>253.131271</v>
      </c>
      <c r="R45" s="36">
        <v>252.87835699999999</v>
      </c>
      <c r="S45" s="36">
        <v>252.40083300000001</v>
      </c>
      <c r="T45" s="36">
        <v>252.44139100000001</v>
      </c>
      <c r="U45" s="36">
        <v>251.95315600000001</v>
      </c>
      <c r="V45" s="36">
        <v>252.033569</v>
      </c>
      <c r="W45" s="36">
        <v>252.51544200000001</v>
      </c>
      <c r="X45" s="36">
        <v>253.59854100000001</v>
      </c>
      <c r="Y45" s="36">
        <v>254.55270400000001</v>
      </c>
      <c r="Z45" s="36">
        <v>254.83767700000001</v>
      </c>
      <c r="AA45" s="36">
        <v>255.413895</v>
      </c>
      <c r="AB45" s="36">
        <v>255.00164799999999</v>
      </c>
      <c r="AC45" s="36">
        <v>255.13128699999999</v>
      </c>
      <c r="AD45" s="36">
        <v>255.65167199999999</v>
      </c>
      <c r="AE45" s="36">
        <v>256.43756100000002</v>
      </c>
      <c r="AF45" s="35">
        <v>-6.2659999999999999E-3</v>
      </c>
      <c r="AG45" s="29"/>
    </row>
    <row r="46" spans="1:33" ht="12" customHeight="1">
      <c r="A46" s="34" t="s">
        <v>3426</v>
      </c>
      <c r="B46" s="37" t="s">
        <v>3234</v>
      </c>
      <c r="C46" s="36">
        <v>564.92944299999999</v>
      </c>
      <c r="D46" s="36">
        <v>538.40069600000004</v>
      </c>
      <c r="E46" s="36">
        <v>534.04022199999997</v>
      </c>
      <c r="F46" s="36">
        <v>532.53564500000005</v>
      </c>
      <c r="G46" s="36">
        <v>530.77587900000003</v>
      </c>
      <c r="H46" s="36">
        <v>525.39257799999996</v>
      </c>
      <c r="I46" s="36">
        <v>523.00500499999998</v>
      </c>
      <c r="J46" s="36">
        <v>520.27093500000001</v>
      </c>
      <c r="K46" s="36">
        <v>518.94732699999997</v>
      </c>
      <c r="L46" s="36">
        <v>517.41424600000005</v>
      </c>
      <c r="M46" s="36">
        <v>517.70159899999999</v>
      </c>
      <c r="N46" s="36">
        <v>517.85839799999997</v>
      </c>
      <c r="O46" s="36">
        <v>517.27954099999999</v>
      </c>
      <c r="P46" s="36">
        <v>517.17846699999996</v>
      </c>
      <c r="Q46" s="36">
        <v>517.54766800000004</v>
      </c>
      <c r="R46" s="36">
        <v>518.38464399999998</v>
      </c>
      <c r="S46" s="36">
        <v>518.702271</v>
      </c>
      <c r="T46" s="36">
        <v>519.91119400000002</v>
      </c>
      <c r="U46" s="36">
        <v>520.04199200000005</v>
      </c>
      <c r="V46" s="36">
        <v>520.50732400000004</v>
      </c>
      <c r="W46" s="36">
        <v>521.44311500000003</v>
      </c>
      <c r="X46" s="36">
        <v>523.69226100000003</v>
      </c>
      <c r="Y46" s="36">
        <v>525.85235599999999</v>
      </c>
      <c r="Z46" s="36">
        <v>526.95910600000002</v>
      </c>
      <c r="AA46" s="36">
        <v>528.07531700000004</v>
      </c>
      <c r="AB46" s="36">
        <v>527.75451699999996</v>
      </c>
      <c r="AC46" s="36">
        <v>528.15801999999996</v>
      </c>
      <c r="AD46" s="36">
        <v>529.20696999999996</v>
      </c>
      <c r="AE46" s="36">
        <v>530.93670699999996</v>
      </c>
      <c r="AF46" s="35">
        <v>-2.2139999999999998E-3</v>
      </c>
      <c r="AG46" s="29"/>
    </row>
    <row r="47" spans="1:33" ht="12" customHeight="1">
      <c r="A47" s="34" t="s">
        <v>3427</v>
      </c>
      <c r="B47" s="37" t="s">
        <v>3428</v>
      </c>
      <c r="C47" s="36">
        <v>2058.1088869999999</v>
      </c>
      <c r="D47" s="36">
        <v>2092.7683109999998</v>
      </c>
      <c r="E47" s="36">
        <v>2081.4267580000001</v>
      </c>
      <c r="F47" s="36">
        <v>2090.5629880000001</v>
      </c>
      <c r="G47" s="36">
        <v>2120.1450199999999</v>
      </c>
      <c r="H47" s="36">
        <v>2120.570557</v>
      </c>
      <c r="I47" s="36">
        <v>2152.6892090000001</v>
      </c>
      <c r="J47" s="36">
        <v>2157.732422</v>
      </c>
      <c r="K47" s="36">
        <v>2169.5029300000001</v>
      </c>
      <c r="L47" s="36">
        <v>2181.5991210000002</v>
      </c>
      <c r="M47" s="36">
        <v>2211.1008299999999</v>
      </c>
      <c r="N47" s="36">
        <v>2229.0566410000001</v>
      </c>
      <c r="O47" s="36">
        <v>2246.7282709999999</v>
      </c>
      <c r="P47" s="36">
        <v>2257.5561520000001</v>
      </c>
      <c r="Q47" s="36">
        <v>2286.3718260000001</v>
      </c>
      <c r="R47" s="36">
        <v>2304.4689939999998</v>
      </c>
      <c r="S47" s="36">
        <v>2314.0822750000002</v>
      </c>
      <c r="T47" s="36">
        <v>2334.6286620000001</v>
      </c>
      <c r="U47" s="36">
        <v>2333.602539</v>
      </c>
      <c r="V47" s="36">
        <v>2335.8422850000002</v>
      </c>
      <c r="W47" s="36">
        <v>2353.1972660000001</v>
      </c>
      <c r="X47" s="36">
        <v>2370.9484859999998</v>
      </c>
      <c r="Y47" s="36">
        <v>2396.3051759999998</v>
      </c>
      <c r="Z47" s="36">
        <v>2404.6779790000001</v>
      </c>
      <c r="AA47" s="36">
        <v>2414.688721</v>
      </c>
      <c r="AB47" s="36">
        <v>2416.2065429999998</v>
      </c>
      <c r="AC47" s="36">
        <v>2445.2197270000001</v>
      </c>
      <c r="AD47" s="36">
        <v>2460.186279</v>
      </c>
      <c r="AE47" s="36">
        <v>2468.7202149999998</v>
      </c>
      <c r="AF47" s="35">
        <v>6.5180000000000004E-3</v>
      </c>
      <c r="AG47" s="29"/>
    </row>
    <row r="48" spans="1:33" ht="12" customHeight="1">
      <c r="A48" s="34" t="s">
        <v>3429</v>
      </c>
      <c r="B48" s="37" t="s">
        <v>3238</v>
      </c>
      <c r="C48" s="36">
        <v>9.3246649999999995</v>
      </c>
      <c r="D48" s="36">
        <v>8.7132170000000002</v>
      </c>
      <c r="E48" s="36">
        <v>8.7916790000000002</v>
      </c>
      <c r="F48" s="36">
        <v>8.8830880000000008</v>
      </c>
      <c r="G48" s="36">
        <v>8.9492630000000002</v>
      </c>
      <c r="H48" s="36">
        <v>9.0005629999999996</v>
      </c>
      <c r="I48" s="36">
        <v>9.0669339999999998</v>
      </c>
      <c r="J48" s="36">
        <v>9.1327370000000005</v>
      </c>
      <c r="K48" s="36">
        <v>9.1895480000000003</v>
      </c>
      <c r="L48" s="36">
        <v>9.2291089999999993</v>
      </c>
      <c r="M48" s="36">
        <v>9.2595220000000005</v>
      </c>
      <c r="N48" s="36">
        <v>9.2757290000000001</v>
      </c>
      <c r="O48" s="36">
        <v>9.2730420000000002</v>
      </c>
      <c r="P48" s="36">
        <v>9.2681489999999993</v>
      </c>
      <c r="Q48" s="36">
        <v>9.2613000000000003</v>
      </c>
      <c r="R48" s="36">
        <v>9.2596729999999994</v>
      </c>
      <c r="S48" s="36">
        <v>9.2620290000000001</v>
      </c>
      <c r="T48" s="36">
        <v>9.2720800000000008</v>
      </c>
      <c r="U48" s="36">
        <v>9.2808200000000003</v>
      </c>
      <c r="V48" s="36">
        <v>9.2918350000000007</v>
      </c>
      <c r="W48" s="36">
        <v>9.3023190000000007</v>
      </c>
      <c r="X48" s="36">
        <v>9.3293820000000007</v>
      </c>
      <c r="Y48" s="36">
        <v>9.3531840000000006</v>
      </c>
      <c r="Z48" s="36">
        <v>9.3740260000000006</v>
      </c>
      <c r="AA48" s="36">
        <v>9.3908830000000005</v>
      </c>
      <c r="AB48" s="36">
        <v>9.3927460000000007</v>
      </c>
      <c r="AC48" s="36">
        <v>9.3887549999999997</v>
      </c>
      <c r="AD48" s="36">
        <v>9.3916249999999994</v>
      </c>
      <c r="AE48" s="36">
        <v>9.4071949999999998</v>
      </c>
      <c r="AF48" s="35">
        <v>3.1500000000000001E-4</v>
      </c>
      <c r="AG48" s="29"/>
    </row>
    <row r="49" spans="1:33" ht="12" customHeight="1">
      <c r="A49" s="34" t="s">
        <v>3430</v>
      </c>
      <c r="B49" s="37" t="s">
        <v>3240</v>
      </c>
      <c r="C49" s="36">
        <v>5.9800620000000002</v>
      </c>
      <c r="D49" s="36">
        <v>6.3602689999999997</v>
      </c>
      <c r="E49" s="36">
        <v>6.3671769999999999</v>
      </c>
      <c r="F49" s="36">
        <v>6.4168250000000002</v>
      </c>
      <c r="G49" s="36">
        <v>6.4966860000000004</v>
      </c>
      <c r="H49" s="36">
        <v>6.5008720000000002</v>
      </c>
      <c r="I49" s="36">
        <v>6.5382199999999999</v>
      </c>
      <c r="J49" s="36">
        <v>6.5302629999999997</v>
      </c>
      <c r="K49" s="36">
        <v>6.5491039999999998</v>
      </c>
      <c r="L49" s="36">
        <v>6.5649189999999997</v>
      </c>
      <c r="M49" s="36">
        <v>6.6143470000000004</v>
      </c>
      <c r="N49" s="36">
        <v>6.6622209999999997</v>
      </c>
      <c r="O49" s="36">
        <v>6.6910160000000003</v>
      </c>
      <c r="P49" s="36">
        <v>6.698455</v>
      </c>
      <c r="Q49" s="36">
        <v>6.7116530000000001</v>
      </c>
      <c r="R49" s="36">
        <v>6.7306710000000001</v>
      </c>
      <c r="S49" s="36">
        <v>6.7286359999999998</v>
      </c>
      <c r="T49" s="36">
        <v>6.7382799999999996</v>
      </c>
      <c r="U49" s="36">
        <v>6.7137310000000001</v>
      </c>
      <c r="V49" s="36">
        <v>6.6947349999999997</v>
      </c>
      <c r="W49" s="36">
        <v>6.6972889999999996</v>
      </c>
      <c r="X49" s="36">
        <v>6.7147459999999999</v>
      </c>
      <c r="Y49" s="36">
        <v>6.7325850000000003</v>
      </c>
      <c r="Z49" s="36">
        <v>6.7173489999999996</v>
      </c>
      <c r="AA49" s="36">
        <v>6.7231519999999998</v>
      </c>
      <c r="AB49" s="36">
        <v>6.6993929999999997</v>
      </c>
      <c r="AC49" s="36">
        <v>6.7123390000000001</v>
      </c>
      <c r="AD49" s="36">
        <v>6.7344439999999999</v>
      </c>
      <c r="AE49" s="36">
        <v>6.7525589999999998</v>
      </c>
      <c r="AF49" s="35">
        <v>4.3480000000000003E-3</v>
      </c>
      <c r="AG49" s="29"/>
    </row>
    <row r="50" spans="1:33" ht="15" customHeight="1">
      <c r="A50" s="34" t="s">
        <v>3431</v>
      </c>
      <c r="B50" s="37" t="s">
        <v>3432</v>
      </c>
      <c r="C50" s="36">
        <v>259.82714800000002</v>
      </c>
      <c r="D50" s="36">
        <v>260.23825099999999</v>
      </c>
      <c r="E50" s="36">
        <v>260.22250400000001</v>
      </c>
      <c r="F50" s="36">
        <v>258.337219</v>
      </c>
      <c r="G50" s="36">
        <v>256.042664</v>
      </c>
      <c r="H50" s="36">
        <v>251.69624300000001</v>
      </c>
      <c r="I50" s="36">
        <v>249.28836100000001</v>
      </c>
      <c r="J50" s="36">
        <v>246.81170700000001</v>
      </c>
      <c r="K50" s="36">
        <v>245.97264100000001</v>
      </c>
      <c r="L50" s="36">
        <v>245.599884</v>
      </c>
      <c r="M50" s="36">
        <v>246.419342</v>
      </c>
      <c r="N50" s="36">
        <v>247.05015599999999</v>
      </c>
      <c r="O50" s="36">
        <v>247.03405799999999</v>
      </c>
      <c r="P50" s="36">
        <v>247.417191</v>
      </c>
      <c r="Q50" s="36">
        <v>247.893799</v>
      </c>
      <c r="R50" s="36">
        <v>248.65271000000001</v>
      </c>
      <c r="S50" s="36">
        <v>249.23623699999999</v>
      </c>
      <c r="T50" s="36">
        <v>250.23529099999999</v>
      </c>
      <c r="U50" s="36">
        <v>250.64030500000001</v>
      </c>
      <c r="V50" s="36">
        <v>251.46783400000001</v>
      </c>
      <c r="W50" s="36">
        <v>252.68817100000001</v>
      </c>
      <c r="X50" s="36">
        <v>254.748154</v>
      </c>
      <c r="Y50" s="36">
        <v>256.67275999999998</v>
      </c>
      <c r="Z50" s="36">
        <v>257.88913000000002</v>
      </c>
      <c r="AA50" s="36">
        <v>259.357056</v>
      </c>
      <c r="AB50" s="36">
        <v>259.66577100000001</v>
      </c>
      <c r="AC50" s="36">
        <v>260.475098</v>
      </c>
      <c r="AD50" s="36">
        <v>261.79760700000003</v>
      </c>
      <c r="AE50" s="36">
        <v>263.59271200000001</v>
      </c>
      <c r="AF50" s="35">
        <v>5.1400000000000003E-4</v>
      </c>
      <c r="AG50" s="29"/>
    </row>
    <row r="51" spans="1:33" ht="15" customHeight="1">
      <c r="A51" s="34" t="s">
        <v>3433</v>
      </c>
      <c r="B51" s="37" t="s">
        <v>3434</v>
      </c>
      <c r="C51" s="36">
        <v>0</v>
      </c>
      <c r="D51" s="36">
        <v>0</v>
      </c>
      <c r="E51" s="36">
        <v>0</v>
      </c>
      <c r="F51" s="36">
        <v>0</v>
      </c>
      <c r="G51" s="36">
        <v>0</v>
      </c>
      <c r="H51" s="36">
        <v>0</v>
      </c>
      <c r="I51" s="36">
        <v>0</v>
      </c>
      <c r="J51" s="36">
        <v>0</v>
      </c>
      <c r="K51" s="36">
        <v>0</v>
      </c>
      <c r="L51" s="36">
        <v>0</v>
      </c>
      <c r="M51" s="36">
        <v>0</v>
      </c>
      <c r="N51" s="36">
        <v>0</v>
      </c>
      <c r="O51" s="36">
        <v>0</v>
      </c>
      <c r="P51" s="36">
        <v>0</v>
      </c>
      <c r="Q51" s="36">
        <v>0</v>
      </c>
      <c r="R51" s="36">
        <v>0</v>
      </c>
      <c r="S51" s="36">
        <v>0</v>
      </c>
      <c r="T51" s="36">
        <v>0</v>
      </c>
      <c r="U51" s="36">
        <v>0</v>
      </c>
      <c r="V51" s="36">
        <v>0</v>
      </c>
      <c r="W51" s="36">
        <v>0</v>
      </c>
      <c r="X51" s="36">
        <v>0</v>
      </c>
      <c r="Y51" s="36">
        <v>0</v>
      </c>
      <c r="Z51" s="36">
        <v>0</v>
      </c>
      <c r="AA51" s="36">
        <v>0</v>
      </c>
      <c r="AB51" s="36">
        <v>0</v>
      </c>
      <c r="AC51" s="36">
        <v>0</v>
      </c>
      <c r="AD51" s="36">
        <v>0</v>
      </c>
      <c r="AE51" s="36">
        <v>0</v>
      </c>
      <c r="AF51" s="35" t="s">
        <v>1278</v>
      </c>
      <c r="AG51" s="29"/>
    </row>
    <row r="52" spans="1:33" ht="15" customHeight="1">
      <c r="A52" s="34" t="s">
        <v>3435</v>
      </c>
      <c r="B52" s="33" t="s">
        <v>3244</v>
      </c>
      <c r="C52" s="32">
        <v>3203.9521479999999</v>
      </c>
      <c r="D52" s="32">
        <v>3192.0891109999998</v>
      </c>
      <c r="E52" s="32">
        <v>3173.743164</v>
      </c>
      <c r="F52" s="32">
        <v>3174.4562989999999</v>
      </c>
      <c r="G52" s="32">
        <v>3195.29126</v>
      </c>
      <c r="H52" s="32">
        <v>3179.5410160000001</v>
      </c>
      <c r="I52" s="32">
        <v>3202.7690429999998</v>
      </c>
      <c r="J52" s="32">
        <v>3198.1589359999998</v>
      </c>
      <c r="K52" s="32">
        <v>3205.9650879999999</v>
      </c>
      <c r="L52" s="32">
        <v>3214.9716800000001</v>
      </c>
      <c r="M52" s="32">
        <v>3245.710693</v>
      </c>
      <c r="N52" s="32">
        <v>3264.3876949999999</v>
      </c>
      <c r="O52" s="32">
        <v>3280.6396479999999</v>
      </c>
      <c r="P52" s="32">
        <v>3291.5314939999998</v>
      </c>
      <c r="Q52" s="32">
        <v>3320.9174800000001</v>
      </c>
      <c r="R52" s="32">
        <v>3340.375</v>
      </c>
      <c r="S52" s="32">
        <v>3350.4121089999999</v>
      </c>
      <c r="T52" s="32">
        <v>3373.226807</v>
      </c>
      <c r="U52" s="32">
        <v>3372.232422</v>
      </c>
      <c r="V52" s="32">
        <v>3375.8376459999999</v>
      </c>
      <c r="W52" s="32">
        <v>3395.8435060000002</v>
      </c>
      <c r="X52" s="32">
        <v>3419.0314939999998</v>
      </c>
      <c r="Y52" s="32">
        <v>3449.4689939999998</v>
      </c>
      <c r="Z52" s="32">
        <v>3460.455078</v>
      </c>
      <c r="AA52" s="32">
        <v>3473.6489259999998</v>
      </c>
      <c r="AB52" s="32">
        <v>3474.720703</v>
      </c>
      <c r="AC52" s="32">
        <v>3505.0852049999999</v>
      </c>
      <c r="AD52" s="32">
        <v>3522.9685060000002</v>
      </c>
      <c r="AE52" s="32">
        <v>3535.8469239999999</v>
      </c>
      <c r="AF52" s="31">
        <v>3.5260000000000001E-3</v>
      </c>
      <c r="AG52" s="29"/>
    </row>
    <row r="53" spans="1:33" ht="15" customHeight="1">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row>
    <row r="54" spans="1:33" ht="15" customHeight="1">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row>
    <row r="55" spans="1:33" ht="15" customHeight="1">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row>
    <row r="56" spans="1:33" ht="15" customHeight="1">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row>
    <row r="57" spans="1:33" ht="15" customHeight="1">
      <c r="B57" s="33" t="s">
        <v>2695</v>
      </c>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row>
    <row r="58" spans="1:33" ht="15" customHeight="1">
      <c r="A58" s="34" t="s">
        <v>3436</v>
      </c>
      <c r="B58" s="37" t="s">
        <v>3395</v>
      </c>
      <c r="C58" s="53">
        <v>545.77941899999996</v>
      </c>
      <c r="D58" s="53">
        <v>545.04199200000005</v>
      </c>
      <c r="E58" s="53">
        <v>550.01971400000002</v>
      </c>
      <c r="F58" s="53">
        <v>557.38793899999996</v>
      </c>
      <c r="G58" s="53">
        <v>565.90930200000003</v>
      </c>
      <c r="H58" s="53">
        <v>573.49780299999998</v>
      </c>
      <c r="I58" s="53">
        <v>580.22204599999998</v>
      </c>
      <c r="J58" s="53">
        <v>586.10894800000005</v>
      </c>
      <c r="K58" s="53">
        <v>591.38091999999995</v>
      </c>
      <c r="L58" s="53">
        <v>596.96917699999995</v>
      </c>
      <c r="M58" s="53">
        <v>602.595642</v>
      </c>
      <c r="N58" s="53">
        <v>607.97412099999997</v>
      </c>
      <c r="O58" s="53">
        <v>612.47906499999999</v>
      </c>
      <c r="P58" s="53">
        <v>616.59069799999997</v>
      </c>
      <c r="Q58" s="53">
        <v>620.11560099999997</v>
      </c>
      <c r="R58" s="53">
        <v>624.81359899999995</v>
      </c>
      <c r="S58" s="53">
        <v>629.28332499999999</v>
      </c>
      <c r="T58" s="53">
        <v>633.78015100000005</v>
      </c>
      <c r="U58" s="53">
        <v>638.52819799999997</v>
      </c>
      <c r="V58" s="53">
        <v>643.14386000000002</v>
      </c>
      <c r="W58" s="53">
        <v>647.884277</v>
      </c>
      <c r="X58" s="53">
        <v>652.48028599999998</v>
      </c>
      <c r="Y58" s="53">
        <v>656.705017</v>
      </c>
      <c r="Z58" s="53">
        <v>661.02770999999996</v>
      </c>
      <c r="AA58" s="53">
        <v>665.25878899999998</v>
      </c>
      <c r="AB58" s="53">
        <v>669.47393799999998</v>
      </c>
      <c r="AC58" s="53">
        <v>673.57128899999998</v>
      </c>
      <c r="AD58" s="53">
        <v>677.73211700000002</v>
      </c>
      <c r="AE58" s="53">
        <v>681.94012499999997</v>
      </c>
      <c r="AF58" s="35">
        <v>7.986E-3</v>
      </c>
      <c r="AG58" s="29"/>
    </row>
    <row r="59" spans="1:33" ht="15" customHeight="1">
      <c r="A59" s="34" t="s">
        <v>3437</v>
      </c>
      <c r="B59" s="37" t="s">
        <v>3409</v>
      </c>
      <c r="C59" s="53">
        <v>1413.121948</v>
      </c>
      <c r="D59" s="53">
        <v>1382.275513</v>
      </c>
      <c r="E59" s="53">
        <v>1372.0482179999999</v>
      </c>
      <c r="F59" s="53">
        <v>1393.881226</v>
      </c>
      <c r="G59" s="53">
        <v>1407.64624</v>
      </c>
      <c r="H59" s="53">
        <v>1408.921509</v>
      </c>
      <c r="I59" s="53">
        <v>1419.6782229999999</v>
      </c>
      <c r="J59" s="53">
        <v>1453.1917719999999</v>
      </c>
      <c r="K59" s="53">
        <v>1475.315308</v>
      </c>
      <c r="L59" s="53">
        <v>1477.5269780000001</v>
      </c>
      <c r="M59" s="53">
        <v>1475.791504</v>
      </c>
      <c r="N59" s="53">
        <v>1478.003052</v>
      </c>
      <c r="O59" s="53">
        <v>1479.7020259999999</v>
      </c>
      <c r="P59" s="53">
        <v>1486.9007570000001</v>
      </c>
      <c r="Q59" s="53">
        <v>1499.7144780000001</v>
      </c>
      <c r="R59" s="53">
        <v>1518.9849850000001</v>
      </c>
      <c r="S59" s="53">
        <v>1541.0629879999999</v>
      </c>
      <c r="T59" s="53">
        <v>1559.6639399999999</v>
      </c>
      <c r="U59" s="53">
        <v>1581.4187010000001</v>
      </c>
      <c r="V59" s="53">
        <v>1606.935547</v>
      </c>
      <c r="W59" s="53">
        <v>1626.979736</v>
      </c>
      <c r="X59" s="53">
        <v>1644.369751</v>
      </c>
      <c r="Y59" s="53">
        <v>1661.7089840000001</v>
      </c>
      <c r="Z59" s="53">
        <v>1681.636475</v>
      </c>
      <c r="AA59" s="53">
        <v>1702.3267820000001</v>
      </c>
      <c r="AB59" s="53">
        <v>1722.484741</v>
      </c>
      <c r="AC59" s="53">
        <v>1739.528442</v>
      </c>
      <c r="AD59" s="53">
        <v>1754.6632079999999</v>
      </c>
      <c r="AE59" s="53">
        <v>1777.8819579999999</v>
      </c>
      <c r="AF59" s="35">
        <v>8.2349999999999993E-3</v>
      </c>
      <c r="AG59" s="29"/>
    </row>
    <row r="60" spans="1:33" ht="15" customHeight="1">
      <c r="A60" s="34" t="s">
        <v>3438</v>
      </c>
      <c r="B60" s="37" t="s">
        <v>3420</v>
      </c>
      <c r="C60" s="53">
        <v>722.17889400000001</v>
      </c>
      <c r="D60" s="53">
        <v>701.53491199999996</v>
      </c>
      <c r="E60" s="53">
        <v>702.08783000000005</v>
      </c>
      <c r="F60" s="53">
        <v>704.14086899999995</v>
      </c>
      <c r="G60" s="53">
        <v>709.14672900000005</v>
      </c>
      <c r="H60" s="53">
        <v>706.46862799999997</v>
      </c>
      <c r="I60" s="53">
        <v>708.540527</v>
      </c>
      <c r="J60" s="53">
        <v>706.82507299999997</v>
      </c>
      <c r="K60" s="53">
        <v>708.71057099999996</v>
      </c>
      <c r="L60" s="53">
        <v>711.20165999999995</v>
      </c>
      <c r="M60" s="53">
        <v>717.27392599999996</v>
      </c>
      <c r="N60" s="53">
        <v>723.07965100000001</v>
      </c>
      <c r="O60" s="53">
        <v>726.81701699999996</v>
      </c>
      <c r="P60" s="53">
        <v>728.95288100000005</v>
      </c>
      <c r="Q60" s="53">
        <v>731.61682099999996</v>
      </c>
      <c r="R60" s="53">
        <v>734.78875700000003</v>
      </c>
      <c r="S60" s="53">
        <v>736.19036900000003</v>
      </c>
      <c r="T60" s="53">
        <v>739.040527</v>
      </c>
      <c r="U60" s="53">
        <v>738.38262899999995</v>
      </c>
      <c r="V60" s="53">
        <v>738.59167500000001</v>
      </c>
      <c r="W60" s="53">
        <v>740.92687999999998</v>
      </c>
      <c r="X60" s="53">
        <v>745.11071800000002</v>
      </c>
      <c r="Y60" s="53">
        <v>749.238159</v>
      </c>
      <c r="Z60" s="53">
        <v>749.89691200000004</v>
      </c>
      <c r="AA60" s="53">
        <v>752.70733600000005</v>
      </c>
      <c r="AB60" s="53">
        <v>752.01501499999995</v>
      </c>
      <c r="AC60" s="53">
        <v>755.05639599999995</v>
      </c>
      <c r="AD60" s="53">
        <v>759.27368200000001</v>
      </c>
      <c r="AE60" s="53">
        <v>763.39056400000004</v>
      </c>
      <c r="AF60" s="35">
        <v>1.9840000000000001E-3</v>
      </c>
      <c r="AG60" s="29"/>
    </row>
    <row r="61" spans="1:33" ht="15" customHeight="1">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row>
    <row r="62" spans="1:33" ht="15" customHeight="1">
      <c r="B62" s="33" t="s">
        <v>3439</v>
      </c>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row>
    <row r="63" spans="1:33" ht="15" customHeight="1">
      <c r="B63" s="33" t="s">
        <v>2904</v>
      </c>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row>
    <row r="64" spans="1:33" ht="15" customHeight="1">
      <c r="A64" s="34" t="s">
        <v>3440</v>
      </c>
      <c r="B64" s="37" t="s">
        <v>3395</v>
      </c>
      <c r="C64" s="38">
        <v>2.1833290000000001</v>
      </c>
      <c r="D64" s="38">
        <v>2.1879089999999999</v>
      </c>
      <c r="E64" s="38">
        <v>2.2098209999999998</v>
      </c>
      <c r="F64" s="38">
        <v>2.19394</v>
      </c>
      <c r="G64" s="38">
        <v>2.1788850000000002</v>
      </c>
      <c r="H64" s="38">
        <v>2.1662979999999998</v>
      </c>
      <c r="I64" s="38">
        <v>2.154604</v>
      </c>
      <c r="J64" s="38">
        <v>2.145591</v>
      </c>
      <c r="K64" s="38">
        <v>2.1370650000000002</v>
      </c>
      <c r="L64" s="38">
        <v>2.1283889999999999</v>
      </c>
      <c r="M64" s="38">
        <v>2.1250589999999998</v>
      </c>
      <c r="N64" s="38">
        <v>2.1165699999999998</v>
      </c>
      <c r="O64" s="38">
        <v>2.1104759999999998</v>
      </c>
      <c r="P64" s="38">
        <v>2.1057169999999998</v>
      </c>
      <c r="Q64" s="38">
        <v>2.1020159999999999</v>
      </c>
      <c r="R64" s="38">
        <v>2.0990869999999999</v>
      </c>
      <c r="S64" s="38">
        <v>2.0963270000000001</v>
      </c>
      <c r="T64" s="38">
        <v>2.0930970000000002</v>
      </c>
      <c r="U64" s="38">
        <v>2.0888019999999998</v>
      </c>
      <c r="V64" s="38">
        <v>2.0835919999999999</v>
      </c>
      <c r="W64" s="38">
        <v>2.078738</v>
      </c>
      <c r="X64" s="38">
        <v>2.073998</v>
      </c>
      <c r="Y64" s="38">
        <v>2.0696870000000001</v>
      </c>
      <c r="Z64" s="38">
        <v>2.0653100000000002</v>
      </c>
      <c r="AA64" s="38">
        <v>2.059707</v>
      </c>
      <c r="AB64" s="38">
        <v>2.0542199999999999</v>
      </c>
      <c r="AC64" s="38">
        <v>2.0489820000000001</v>
      </c>
      <c r="AD64" s="38">
        <v>2.0438740000000002</v>
      </c>
      <c r="AE64" s="38">
        <v>2.0388769999999998</v>
      </c>
      <c r="AF64" s="35">
        <v>-2.4420000000000002E-3</v>
      </c>
      <c r="AG64" s="29"/>
    </row>
    <row r="65" spans="1:33" ht="15" customHeight="1">
      <c r="A65" s="34" t="s">
        <v>3441</v>
      </c>
      <c r="B65" s="37" t="s">
        <v>3409</v>
      </c>
      <c r="C65" s="38">
        <v>1.3735619999999999</v>
      </c>
      <c r="D65" s="38">
        <v>1.3445849999999999</v>
      </c>
      <c r="E65" s="38">
        <v>1.3260369999999999</v>
      </c>
      <c r="F65" s="38">
        <v>1.3701730000000001</v>
      </c>
      <c r="G65" s="38">
        <v>1.367502</v>
      </c>
      <c r="H65" s="38">
        <v>1.3734329999999999</v>
      </c>
      <c r="I65" s="38">
        <v>1.3719920000000001</v>
      </c>
      <c r="J65" s="38">
        <v>1.3578140000000001</v>
      </c>
      <c r="K65" s="38">
        <v>1.3487</v>
      </c>
      <c r="L65" s="38">
        <v>1.3488180000000001</v>
      </c>
      <c r="M65" s="38">
        <v>1.346881</v>
      </c>
      <c r="N65" s="38">
        <v>1.346131</v>
      </c>
      <c r="O65" s="38">
        <v>1.3484210000000001</v>
      </c>
      <c r="P65" s="38">
        <v>1.3479989999999999</v>
      </c>
      <c r="Q65" s="38">
        <v>1.34494</v>
      </c>
      <c r="R65" s="38">
        <v>1.339763</v>
      </c>
      <c r="S65" s="38">
        <v>1.334889</v>
      </c>
      <c r="T65" s="38">
        <v>1.331467</v>
      </c>
      <c r="U65" s="38">
        <v>1.3271919999999999</v>
      </c>
      <c r="V65" s="38">
        <v>1.3214870000000001</v>
      </c>
      <c r="W65" s="38">
        <v>1.31728</v>
      </c>
      <c r="X65" s="38">
        <v>1.3094520000000001</v>
      </c>
      <c r="Y65" s="38">
        <v>1.3096099999999999</v>
      </c>
      <c r="Z65" s="38">
        <v>1.3118970000000001</v>
      </c>
      <c r="AA65" s="38">
        <v>1.306713</v>
      </c>
      <c r="AB65" s="38">
        <v>1.3045500000000001</v>
      </c>
      <c r="AC65" s="38">
        <v>1.3023849999999999</v>
      </c>
      <c r="AD65" s="38">
        <v>1.3012319999999999</v>
      </c>
      <c r="AE65" s="38">
        <v>1.2972809999999999</v>
      </c>
      <c r="AF65" s="35">
        <v>-2.039E-3</v>
      </c>
      <c r="AG65" s="29"/>
    </row>
    <row r="66" spans="1:33" ht="15" customHeight="1">
      <c r="A66" s="34" t="s">
        <v>3442</v>
      </c>
      <c r="B66" s="37" t="s">
        <v>3420</v>
      </c>
      <c r="C66" s="38">
        <v>4.4365079999999999</v>
      </c>
      <c r="D66" s="38">
        <v>4.5501500000000004</v>
      </c>
      <c r="E66" s="38">
        <v>4.5204360000000001</v>
      </c>
      <c r="F66" s="38">
        <v>4.5082690000000003</v>
      </c>
      <c r="G66" s="38">
        <v>4.5058259999999999</v>
      </c>
      <c r="H66" s="38">
        <v>4.5006120000000003</v>
      </c>
      <c r="I66" s="38">
        <v>4.5202340000000003</v>
      </c>
      <c r="J66" s="38">
        <v>4.5246829999999996</v>
      </c>
      <c r="K66" s="38">
        <v>4.5236590000000003</v>
      </c>
      <c r="L66" s="38">
        <v>4.5204779999999998</v>
      </c>
      <c r="M66" s="38">
        <v>4.5250640000000004</v>
      </c>
      <c r="N66" s="38">
        <v>4.5145619999999997</v>
      </c>
      <c r="O66" s="38">
        <v>4.5137080000000003</v>
      </c>
      <c r="P66" s="38">
        <v>4.5154240000000003</v>
      </c>
      <c r="Q66" s="38">
        <v>4.5391490000000001</v>
      </c>
      <c r="R66" s="38">
        <v>4.5460339999999997</v>
      </c>
      <c r="S66" s="38">
        <v>4.5510130000000002</v>
      </c>
      <c r="T66" s="38">
        <v>4.5643320000000003</v>
      </c>
      <c r="U66" s="38">
        <v>4.5670529999999996</v>
      </c>
      <c r="V66" s="38">
        <v>4.5706420000000003</v>
      </c>
      <c r="W66" s="38">
        <v>4.5832369999999996</v>
      </c>
      <c r="X66" s="38">
        <v>4.588622</v>
      </c>
      <c r="Y66" s="38">
        <v>4.6039690000000002</v>
      </c>
      <c r="Z66" s="38">
        <v>4.6145740000000002</v>
      </c>
      <c r="AA66" s="38">
        <v>4.6148730000000002</v>
      </c>
      <c r="AB66" s="38">
        <v>4.6205470000000002</v>
      </c>
      <c r="AC66" s="38">
        <v>4.64215</v>
      </c>
      <c r="AD66" s="38">
        <v>4.6399189999999999</v>
      </c>
      <c r="AE66" s="38">
        <v>4.631767</v>
      </c>
      <c r="AF66" s="35">
        <v>1.539E-3</v>
      </c>
      <c r="AG66" s="29"/>
    </row>
    <row r="67" spans="1:33" ht="12" customHeight="1">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row>
    <row r="68" spans="1:33" ht="15" customHeight="1">
      <c r="B68" s="33" t="s">
        <v>2915</v>
      </c>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row>
    <row r="69" spans="1:33" ht="15" customHeight="1">
      <c r="B69" s="33" t="s">
        <v>2801</v>
      </c>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row>
    <row r="70" spans="1:33" ht="15" customHeight="1">
      <c r="A70" s="34" t="s">
        <v>3443</v>
      </c>
      <c r="B70" s="37" t="s">
        <v>3395</v>
      </c>
      <c r="C70" s="53">
        <v>79.839989000000003</v>
      </c>
      <c r="D70" s="53">
        <v>78.261870999999999</v>
      </c>
      <c r="E70" s="53">
        <v>79.459007</v>
      </c>
      <c r="F70" s="53">
        <v>77.818352000000004</v>
      </c>
      <c r="G70" s="53">
        <v>75.698302999999996</v>
      </c>
      <c r="H70" s="53">
        <v>73.263221999999999</v>
      </c>
      <c r="I70" s="53">
        <v>71.294715999999994</v>
      </c>
      <c r="J70" s="53">
        <v>70.013396999999998</v>
      </c>
      <c r="K70" s="53">
        <v>69.119591</v>
      </c>
      <c r="L70" s="53">
        <v>68.723656000000005</v>
      </c>
      <c r="M70" s="53">
        <v>68.754433000000006</v>
      </c>
      <c r="N70" s="53">
        <v>68.807381000000007</v>
      </c>
      <c r="O70" s="53">
        <v>68.807006999999999</v>
      </c>
      <c r="P70" s="53">
        <v>68.942718999999997</v>
      </c>
      <c r="Q70" s="53">
        <v>69.009536999999995</v>
      </c>
      <c r="R70" s="53">
        <v>69.117981</v>
      </c>
      <c r="S70" s="53">
        <v>69.207099999999997</v>
      </c>
      <c r="T70" s="53">
        <v>69.409760000000006</v>
      </c>
      <c r="U70" s="53">
        <v>69.643035999999995</v>
      </c>
      <c r="V70" s="53">
        <v>69.925612999999998</v>
      </c>
      <c r="W70" s="53">
        <v>70.212363999999994</v>
      </c>
      <c r="X70" s="53">
        <v>70.404517999999996</v>
      </c>
      <c r="Y70" s="53">
        <v>70.394645999999995</v>
      </c>
      <c r="Z70" s="53">
        <v>70.497512999999998</v>
      </c>
      <c r="AA70" s="53">
        <v>70.436942999999999</v>
      </c>
      <c r="AB70" s="53">
        <v>70.532578000000001</v>
      </c>
      <c r="AC70" s="53">
        <v>70.595557999999997</v>
      </c>
      <c r="AD70" s="53">
        <v>70.721169000000003</v>
      </c>
      <c r="AE70" s="53">
        <v>70.749634</v>
      </c>
      <c r="AF70" s="35">
        <v>-4.3080000000000002E-3</v>
      </c>
      <c r="AG70" s="29"/>
    </row>
    <row r="71" spans="1:33" ht="15" customHeight="1">
      <c r="A71" s="34" t="s">
        <v>3444</v>
      </c>
      <c r="B71" s="37" t="s">
        <v>3409</v>
      </c>
      <c r="C71" s="53">
        <v>81.519592000000003</v>
      </c>
      <c r="D71" s="53">
        <v>77.419876000000002</v>
      </c>
      <c r="E71" s="53">
        <v>76.806313000000003</v>
      </c>
      <c r="F71" s="53">
        <v>75.389717000000005</v>
      </c>
      <c r="G71" s="53">
        <v>72.954620000000006</v>
      </c>
      <c r="H71" s="53">
        <v>69.711806999999993</v>
      </c>
      <c r="I71" s="53">
        <v>67.561508000000003</v>
      </c>
      <c r="J71" s="53">
        <v>67.033157000000003</v>
      </c>
      <c r="K71" s="53">
        <v>66.504913000000002</v>
      </c>
      <c r="L71" s="53">
        <v>65.663291999999998</v>
      </c>
      <c r="M71" s="53">
        <v>64.909820999999994</v>
      </c>
      <c r="N71" s="53">
        <v>64.582633999999999</v>
      </c>
      <c r="O71" s="53">
        <v>64.229668000000004</v>
      </c>
      <c r="P71" s="53">
        <v>64.222831999999997</v>
      </c>
      <c r="Q71" s="53">
        <v>64.381232999999995</v>
      </c>
      <c r="R71" s="53">
        <v>64.630286999999996</v>
      </c>
      <c r="S71" s="53">
        <v>64.987869000000003</v>
      </c>
      <c r="T71" s="53">
        <v>65.348785000000007</v>
      </c>
      <c r="U71" s="53">
        <v>65.829375999999996</v>
      </c>
      <c r="V71" s="53">
        <v>66.538498000000004</v>
      </c>
      <c r="W71" s="53">
        <v>67.048309000000003</v>
      </c>
      <c r="X71" s="53">
        <v>67.396606000000006</v>
      </c>
      <c r="Y71" s="53">
        <v>67.534285999999994</v>
      </c>
      <c r="Z71" s="53">
        <v>67.909537999999998</v>
      </c>
      <c r="AA71" s="53">
        <v>68.049064999999999</v>
      </c>
      <c r="AB71" s="53">
        <v>68.353622000000001</v>
      </c>
      <c r="AC71" s="53">
        <v>68.552482999999995</v>
      </c>
      <c r="AD71" s="53">
        <v>68.738929999999996</v>
      </c>
      <c r="AE71" s="53">
        <v>69.115891000000005</v>
      </c>
      <c r="AF71" s="35">
        <v>-5.8780000000000004E-3</v>
      </c>
      <c r="AG71" s="29"/>
    </row>
    <row r="72" spans="1:33" ht="15" customHeight="1">
      <c r="A72" s="34" t="s">
        <v>3445</v>
      </c>
      <c r="B72" s="37" t="s">
        <v>3420</v>
      </c>
      <c r="C72" s="53">
        <v>80.892775999999998</v>
      </c>
      <c r="D72" s="53">
        <v>76.498313999999993</v>
      </c>
      <c r="E72" s="53">
        <v>75.891463999999999</v>
      </c>
      <c r="F72" s="53">
        <v>73.210921999999997</v>
      </c>
      <c r="G72" s="53">
        <v>69.958534</v>
      </c>
      <c r="H72" s="53">
        <v>66.063721000000001</v>
      </c>
      <c r="I72" s="53">
        <v>63.332614999999997</v>
      </c>
      <c r="J72" s="53">
        <v>61.270645000000002</v>
      </c>
      <c r="K72" s="53">
        <v>60.018135000000001</v>
      </c>
      <c r="L72" s="53">
        <v>59.213196000000003</v>
      </c>
      <c r="M72" s="53">
        <v>58.847060999999997</v>
      </c>
      <c r="N72" s="53">
        <v>58.661068</v>
      </c>
      <c r="O72" s="53">
        <v>58.335312000000002</v>
      </c>
      <c r="P72" s="53">
        <v>58.204566999999997</v>
      </c>
      <c r="Q72" s="53">
        <v>58.056975999999999</v>
      </c>
      <c r="R72" s="53">
        <v>57.869281999999998</v>
      </c>
      <c r="S72" s="53">
        <v>57.664642000000001</v>
      </c>
      <c r="T72" s="53">
        <v>57.654159999999997</v>
      </c>
      <c r="U72" s="53">
        <v>57.556984</v>
      </c>
      <c r="V72" s="53">
        <v>57.630553999999997</v>
      </c>
      <c r="W72" s="53">
        <v>57.755271999999998</v>
      </c>
      <c r="X72" s="53">
        <v>57.970920999999997</v>
      </c>
      <c r="Y72" s="53">
        <v>58.001511000000001</v>
      </c>
      <c r="Z72" s="53">
        <v>58.016731</v>
      </c>
      <c r="AA72" s="53">
        <v>57.948582000000002</v>
      </c>
      <c r="AB72" s="53">
        <v>57.796917000000001</v>
      </c>
      <c r="AC72" s="53">
        <v>57.722163999999999</v>
      </c>
      <c r="AD72" s="53">
        <v>57.812759</v>
      </c>
      <c r="AE72" s="53">
        <v>57.875912</v>
      </c>
      <c r="AF72" s="35">
        <v>-1.1887E-2</v>
      </c>
      <c r="AG72" s="29"/>
    </row>
    <row r="73" spans="1:33" ht="15" customHeight="1">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1:33" ht="15" customHeight="1">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row>
    <row r="75" spans="1:33" ht="12" customHeight="1">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1:33" ht="15" customHeight="1">
      <c r="B76" s="33" t="s">
        <v>3446</v>
      </c>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1:33" ht="15" customHeight="1">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1:33" ht="15" customHeight="1">
      <c r="B78" s="33" t="s">
        <v>3379</v>
      </c>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1:33" ht="15" customHeight="1">
      <c r="B79" s="33" t="s">
        <v>2918</v>
      </c>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row>
    <row r="80" spans="1:33" ht="15" customHeight="1">
      <c r="A80" s="34" t="s">
        <v>3447</v>
      </c>
      <c r="B80" s="37" t="s">
        <v>2551</v>
      </c>
      <c r="C80" s="38">
        <v>3.2399999999999998E-2</v>
      </c>
      <c r="D80" s="38">
        <v>3.2399999999999998E-2</v>
      </c>
      <c r="E80" s="38">
        <v>3.2399999999999998E-2</v>
      </c>
      <c r="F80" s="38">
        <v>3.2399999999999998E-2</v>
      </c>
      <c r="G80" s="38">
        <v>3.2399999999999998E-2</v>
      </c>
      <c r="H80" s="38">
        <v>3.2399999999999998E-2</v>
      </c>
      <c r="I80" s="38">
        <v>3.2399999999999998E-2</v>
      </c>
      <c r="J80" s="38">
        <v>3.2399999999999998E-2</v>
      </c>
      <c r="K80" s="38">
        <v>3.2399999999999998E-2</v>
      </c>
      <c r="L80" s="38">
        <v>3.2399999999999998E-2</v>
      </c>
      <c r="M80" s="38">
        <v>3.2399999999999998E-2</v>
      </c>
      <c r="N80" s="38">
        <v>3.2399999999999998E-2</v>
      </c>
      <c r="O80" s="38">
        <v>3.2399999999999998E-2</v>
      </c>
      <c r="P80" s="38">
        <v>3.2399999999999998E-2</v>
      </c>
      <c r="Q80" s="38">
        <v>3.2399999999999998E-2</v>
      </c>
      <c r="R80" s="38">
        <v>3.2399999999999998E-2</v>
      </c>
      <c r="S80" s="38">
        <v>3.2399999999999998E-2</v>
      </c>
      <c r="T80" s="38">
        <v>3.2399999999999998E-2</v>
      </c>
      <c r="U80" s="38">
        <v>3.2399999999999998E-2</v>
      </c>
      <c r="V80" s="38">
        <v>3.2399999999999998E-2</v>
      </c>
      <c r="W80" s="38">
        <v>3.2399999999999998E-2</v>
      </c>
      <c r="X80" s="38">
        <v>3.2399999999999998E-2</v>
      </c>
      <c r="Y80" s="38">
        <v>3.2399999999999998E-2</v>
      </c>
      <c r="Z80" s="38">
        <v>3.2399999999999998E-2</v>
      </c>
      <c r="AA80" s="38">
        <v>3.2399999999999998E-2</v>
      </c>
      <c r="AB80" s="38">
        <v>3.2399999999999998E-2</v>
      </c>
      <c r="AC80" s="38">
        <v>3.2399999999999998E-2</v>
      </c>
      <c r="AD80" s="38">
        <v>3.2399999999999998E-2</v>
      </c>
      <c r="AE80" s="38">
        <v>3.2399999999999998E-2</v>
      </c>
      <c r="AF80" s="35">
        <v>0</v>
      </c>
      <c r="AG80" s="29"/>
    </row>
    <row r="81" spans="1:34" ht="15" customHeight="1">
      <c r="A81" s="34" t="s">
        <v>3448</v>
      </c>
      <c r="B81" s="37" t="s">
        <v>2553</v>
      </c>
      <c r="C81" s="38">
        <v>0.21662000000000001</v>
      </c>
      <c r="D81" s="38">
        <v>0.21689700000000001</v>
      </c>
      <c r="E81" s="38">
        <v>0.217116</v>
      </c>
      <c r="F81" s="38">
        <v>0.21726200000000001</v>
      </c>
      <c r="G81" s="38">
        <v>0.21740499999999999</v>
      </c>
      <c r="H81" s="38">
        <v>0.21754799999999999</v>
      </c>
      <c r="I81" s="38">
        <v>0.217697</v>
      </c>
      <c r="J81" s="38">
        <v>0.21785599999999999</v>
      </c>
      <c r="K81" s="38">
        <v>0.218028</v>
      </c>
      <c r="L81" s="38">
        <v>0.21821099999999999</v>
      </c>
      <c r="M81" s="38">
        <v>0.21841099999999999</v>
      </c>
      <c r="N81" s="38">
        <v>0.21863099999999999</v>
      </c>
      <c r="O81" s="38">
        <v>0.21887400000000001</v>
      </c>
      <c r="P81" s="38">
        <v>0.219137</v>
      </c>
      <c r="Q81" s="38">
        <v>0.21942300000000001</v>
      </c>
      <c r="R81" s="38">
        <v>0.21972900000000001</v>
      </c>
      <c r="S81" s="38">
        <v>0.22006000000000001</v>
      </c>
      <c r="T81" s="38">
        <v>0.220413</v>
      </c>
      <c r="U81" s="38">
        <v>0.22079199999999999</v>
      </c>
      <c r="V81" s="38">
        <v>0.22120100000000001</v>
      </c>
      <c r="W81" s="38">
        <v>0.221638</v>
      </c>
      <c r="X81" s="38">
        <v>0.222105</v>
      </c>
      <c r="Y81" s="38">
        <v>0.22259999999999999</v>
      </c>
      <c r="Z81" s="38">
        <v>0.223109</v>
      </c>
      <c r="AA81" s="38">
        <v>0.22357399999999999</v>
      </c>
      <c r="AB81" s="38">
        <v>0.224055</v>
      </c>
      <c r="AC81" s="38">
        <v>0.224555</v>
      </c>
      <c r="AD81" s="38">
        <v>0.225079</v>
      </c>
      <c r="AE81" s="38">
        <v>0.22562699999999999</v>
      </c>
      <c r="AF81" s="35">
        <v>1.456E-3</v>
      </c>
      <c r="AG81" s="29"/>
    </row>
    <row r="82" spans="1:34" ht="15" customHeight="1">
      <c r="A82" s="34" t="s">
        <v>3449</v>
      </c>
      <c r="B82" s="37" t="s">
        <v>2500</v>
      </c>
      <c r="C82" s="38">
        <v>4.1000000000000002E-2</v>
      </c>
      <c r="D82" s="38">
        <v>4.1000000000000002E-2</v>
      </c>
      <c r="E82" s="38">
        <v>4.1000000000000002E-2</v>
      </c>
      <c r="F82" s="38">
        <v>4.1000000000000002E-2</v>
      </c>
      <c r="G82" s="38">
        <v>4.1000000000000002E-2</v>
      </c>
      <c r="H82" s="38">
        <v>4.1000000000000002E-2</v>
      </c>
      <c r="I82" s="38">
        <v>4.1000000000000002E-2</v>
      </c>
      <c r="J82" s="38">
        <v>4.1000000000000002E-2</v>
      </c>
      <c r="K82" s="38">
        <v>4.1000000000000002E-2</v>
      </c>
      <c r="L82" s="38">
        <v>4.1000000000000002E-2</v>
      </c>
      <c r="M82" s="38">
        <v>4.1000000000000002E-2</v>
      </c>
      <c r="N82" s="38">
        <v>4.1000000000000002E-2</v>
      </c>
      <c r="O82" s="38">
        <v>4.1000000000000002E-2</v>
      </c>
      <c r="P82" s="38">
        <v>4.1000000000000002E-2</v>
      </c>
      <c r="Q82" s="38">
        <v>4.1000000000000002E-2</v>
      </c>
      <c r="R82" s="38">
        <v>4.1000000000000002E-2</v>
      </c>
      <c r="S82" s="38">
        <v>4.1000000000000002E-2</v>
      </c>
      <c r="T82" s="38">
        <v>4.1000000000000002E-2</v>
      </c>
      <c r="U82" s="38">
        <v>4.1000000000000002E-2</v>
      </c>
      <c r="V82" s="38">
        <v>4.1000000000000002E-2</v>
      </c>
      <c r="W82" s="38">
        <v>4.1000000000000002E-2</v>
      </c>
      <c r="X82" s="38">
        <v>4.1000000000000002E-2</v>
      </c>
      <c r="Y82" s="38">
        <v>4.1000000000000002E-2</v>
      </c>
      <c r="Z82" s="38">
        <v>4.1000000000000002E-2</v>
      </c>
      <c r="AA82" s="38">
        <v>4.1000000000000002E-2</v>
      </c>
      <c r="AB82" s="38">
        <v>4.1000000000000002E-2</v>
      </c>
      <c r="AC82" s="38">
        <v>4.1000000000000002E-2</v>
      </c>
      <c r="AD82" s="38">
        <v>4.1000000000000002E-2</v>
      </c>
      <c r="AE82" s="38">
        <v>4.1000000000000002E-2</v>
      </c>
      <c r="AF82" s="35">
        <v>0</v>
      </c>
      <c r="AG82" s="29"/>
    </row>
    <row r="83" spans="1:34" ht="12" customHeight="1">
      <c r="A83" s="34" t="s">
        <v>3450</v>
      </c>
      <c r="B83" s="37" t="s">
        <v>2923</v>
      </c>
      <c r="C83" s="38">
        <v>0.1447</v>
      </c>
      <c r="D83" s="38">
        <v>0.1447</v>
      </c>
      <c r="E83" s="38">
        <v>0.1447</v>
      </c>
      <c r="F83" s="38">
        <v>0.1447</v>
      </c>
      <c r="G83" s="38">
        <v>0.1447</v>
      </c>
      <c r="H83" s="38">
        <v>0.1447</v>
      </c>
      <c r="I83" s="38">
        <v>0.1447</v>
      </c>
      <c r="J83" s="38">
        <v>0.1447</v>
      </c>
      <c r="K83" s="38">
        <v>0.1447</v>
      </c>
      <c r="L83" s="38">
        <v>0.1447</v>
      </c>
      <c r="M83" s="38">
        <v>0.1447</v>
      </c>
      <c r="N83" s="38">
        <v>0.1447</v>
      </c>
      <c r="O83" s="38">
        <v>0.1447</v>
      </c>
      <c r="P83" s="38">
        <v>0.1447</v>
      </c>
      <c r="Q83" s="38">
        <v>0.1447</v>
      </c>
      <c r="R83" s="38">
        <v>0.1447</v>
      </c>
      <c r="S83" s="38">
        <v>0.1447</v>
      </c>
      <c r="T83" s="38">
        <v>0.1447</v>
      </c>
      <c r="U83" s="38">
        <v>0.1447</v>
      </c>
      <c r="V83" s="38">
        <v>0.1447</v>
      </c>
      <c r="W83" s="38">
        <v>0.1447</v>
      </c>
      <c r="X83" s="38">
        <v>0.1447</v>
      </c>
      <c r="Y83" s="38">
        <v>0.1447</v>
      </c>
      <c r="Z83" s="38">
        <v>0.1447</v>
      </c>
      <c r="AA83" s="38">
        <v>0.1447</v>
      </c>
      <c r="AB83" s="38">
        <v>0.1447</v>
      </c>
      <c r="AC83" s="38">
        <v>0.1447</v>
      </c>
      <c r="AD83" s="38">
        <v>0.1447</v>
      </c>
      <c r="AE83" s="38">
        <v>0.1447</v>
      </c>
      <c r="AF83" s="35">
        <v>0</v>
      </c>
      <c r="AG83" s="29"/>
    </row>
    <row r="84" spans="1:34" ht="15" customHeight="1">
      <c r="A84" s="34" t="s">
        <v>3451</v>
      </c>
      <c r="B84" s="33" t="s">
        <v>2497</v>
      </c>
      <c r="C84" s="39">
        <v>0.43472</v>
      </c>
      <c r="D84" s="39">
        <v>0.43499700000000002</v>
      </c>
      <c r="E84" s="39">
        <v>0.43521599999999999</v>
      </c>
      <c r="F84" s="39">
        <v>0.43536200000000003</v>
      </c>
      <c r="G84" s="39">
        <v>0.43550499999999998</v>
      </c>
      <c r="H84" s="39">
        <v>0.43564799999999998</v>
      </c>
      <c r="I84" s="39">
        <v>0.43579699999999999</v>
      </c>
      <c r="J84" s="39">
        <v>0.43595600000000001</v>
      </c>
      <c r="K84" s="39">
        <v>0.43612800000000002</v>
      </c>
      <c r="L84" s="39">
        <v>0.436311</v>
      </c>
      <c r="M84" s="39">
        <v>0.43651099999999998</v>
      </c>
      <c r="N84" s="39">
        <v>0.43673099999999998</v>
      </c>
      <c r="O84" s="39">
        <v>0.43697399999999997</v>
      </c>
      <c r="P84" s="39">
        <v>0.43723699999999999</v>
      </c>
      <c r="Q84" s="39">
        <v>0.437523</v>
      </c>
      <c r="R84" s="39">
        <v>0.43782900000000002</v>
      </c>
      <c r="S84" s="39">
        <v>0.43815999999999999</v>
      </c>
      <c r="T84" s="39">
        <v>0.43851299999999999</v>
      </c>
      <c r="U84" s="39">
        <v>0.438892</v>
      </c>
      <c r="V84" s="39">
        <v>0.439301</v>
      </c>
      <c r="W84" s="39">
        <v>0.43973800000000002</v>
      </c>
      <c r="X84" s="39">
        <v>0.44020500000000001</v>
      </c>
      <c r="Y84" s="39">
        <v>0.44069999999999998</v>
      </c>
      <c r="Z84" s="39">
        <v>0.44120900000000002</v>
      </c>
      <c r="AA84" s="39">
        <v>0.44167400000000001</v>
      </c>
      <c r="AB84" s="39">
        <v>0.44215500000000002</v>
      </c>
      <c r="AC84" s="39">
        <v>0.44265599999999999</v>
      </c>
      <c r="AD84" s="39">
        <v>0.44317899999999999</v>
      </c>
      <c r="AE84" s="39">
        <v>0.44372699999999998</v>
      </c>
      <c r="AF84" s="31">
        <v>7.3300000000000004E-4</v>
      </c>
      <c r="AG84" s="29"/>
    </row>
    <row r="85" spans="1:34" ht="15" customHeight="1">
      <c r="B85" s="33" t="s">
        <v>2848</v>
      </c>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row>
    <row r="86" spans="1:34" ht="15" customHeight="1">
      <c r="A86" s="34" t="s">
        <v>3452</v>
      </c>
      <c r="B86" s="37" t="s">
        <v>2551</v>
      </c>
      <c r="C86" s="38">
        <v>4.1399999999999998E-4</v>
      </c>
      <c r="D86" s="38">
        <v>4.1399999999999998E-4</v>
      </c>
      <c r="E86" s="38">
        <v>4.1399999999999998E-4</v>
      </c>
      <c r="F86" s="38">
        <v>4.1399999999999998E-4</v>
      </c>
      <c r="G86" s="38">
        <v>4.1399999999999998E-4</v>
      </c>
      <c r="H86" s="38">
        <v>4.1399999999999998E-4</v>
      </c>
      <c r="I86" s="38">
        <v>4.1399999999999998E-4</v>
      </c>
      <c r="J86" s="38">
        <v>4.1399999999999998E-4</v>
      </c>
      <c r="K86" s="38">
        <v>4.1399999999999998E-4</v>
      </c>
      <c r="L86" s="38">
        <v>4.1399999999999998E-4</v>
      </c>
      <c r="M86" s="38">
        <v>4.1399999999999998E-4</v>
      </c>
      <c r="N86" s="38">
        <v>4.1399999999999998E-4</v>
      </c>
      <c r="O86" s="38">
        <v>4.1399999999999998E-4</v>
      </c>
      <c r="P86" s="38">
        <v>4.1399999999999998E-4</v>
      </c>
      <c r="Q86" s="38">
        <v>4.1399999999999998E-4</v>
      </c>
      <c r="R86" s="38">
        <v>4.1399999999999998E-4</v>
      </c>
      <c r="S86" s="38">
        <v>4.1399999999999998E-4</v>
      </c>
      <c r="T86" s="38">
        <v>4.1399999999999998E-4</v>
      </c>
      <c r="U86" s="38">
        <v>4.1399999999999998E-4</v>
      </c>
      <c r="V86" s="38">
        <v>4.1399999999999998E-4</v>
      </c>
      <c r="W86" s="38">
        <v>4.1399999999999998E-4</v>
      </c>
      <c r="X86" s="38">
        <v>4.1399999999999998E-4</v>
      </c>
      <c r="Y86" s="38">
        <v>4.1399999999999998E-4</v>
      </c>
      <c r="Z86" s="38">
        <v>4.1399999999999998E-4</v>
      </c>
      <c r="AA86" s="38">
        <v>4.1399999999999998E-4</v>
      </c>
      <c r="AB86" s="38">
        <v>4.1399999999999998E-4</v>
      </c>
      <c r="AC86" s="38">
        <v>4.1399999999999998E-4</v>
      </c>
      <c r="AD86" s="38">
        <v>4.1399999999999998E-4</v>
      </c>
      <c r="AE86" s="38">
        <v>4.1399999999999998E-4</v>
      </c>
      <c r="AF86" s="35">
        <v>0</v>
      </c>
      <c r="AG86" s="29"/>
    </row>
    <row r="87" spans="1:34" ht="15" customHeight="1">
      <c r="A87" s="34" t="s">
        <v>3453</v>
      </c>
      <c r="B87" s="37" t="s">
        <v>2553</v>
      </c>
      <c r="C87" s="38">
        <v>0.76938600000000001</v>
      </c>
      <c r="D87" s="38">
        <v>0.770818</v>
      </c>
      <c r="E87" s="38">
        <v>0.77199300000000004</v>
      </c>
      <c r="F87" s="38">
        <v>0.77278100000000005</v>
      </c>
      <c r="G87" s="38">
        <v>0.77355700000000005</v>
      </c>
      <c r="H87" s="38">
        <v>0.77433600000000002</v>
      </c>
      <c r="I87" s="38">
        <v>0.775146</v>
      </c>
      <c r="J87" s="38">
        <v>0.77601299999999995</v>
      </c>
      <c r="K87" s="38">
        <v>0.77694799999999997</v>
      </c>
      <c r="L87" s="38">
        <v>0.77795099999999995</v>
      </c>
      <c r="M87" s="38">
        <v>0.77903900000000004</v>
      </c>
      <c r="N87" s="38">
        <v>0.78024000000000004</v>
      </c>
      <c r="O87" s="38">
        <v>0.781559</v>
      </c>
      <c r="P87" s="38">
        <v>0.78298199999999996</v>
      </c>
      <c r="Q87" s="38">
        <v>0.78452299999999997</v>
      </c>
      <c r="R87" s="38">
        <v>0.78617099999999995</v>
      </c>
      <c r="S87" s="38">
        <v>0.78793999999999997</v>
      </c>
      <c r="T87" s="38">
        <v>0.78982399999999997</v>
      </c>
      <c r="U87" s="38">
        <v>0.79183899999999996</v>
      </c>
      <c r="V87" s="38">
        <v>0.79399799999999998</v>
      </c>
      <c r="W87" s="38">
        <v>0.79629000000000005</v>
      </c>
      <c r="X87" s="38">
        <v>0.79872699999999996</v>
      </c>
      <c r="Y87" s="38">
        <v>0.80129099999999998</v>
      </c>
      <c r="Z87" s="38">
        <v>0.80393999999999999</v>
      </c>
      <c r="AA87" s="38">
        <v>0.80649999999999999</v>
      </c>
      <c r="AB87" s="38">
        <v>0.80915099999999995</v>
      </c>
      <c r="AC87" s="38">
        <v>0.81191100000000005</v>
      </c>
      <c r="AD87" s="38">
        <v>0.81479500000000005</v>
      </c>
      <c r="AE87" s="38">
        <v>0.81781300000000001</v>
      </c>
      <c r="AF87" s="35">
        <v>2.1819999999999999E-3</v>
      </c>
      <c r="AG87" s="29"/>
    </row>
    <row r="88" spans="1:34" ht="15" customHeight="1">
      <c r="A88" s="34" t="s">
        <v>3454</v>
      </c>
      <c r="B88" s="37" t="s">
        <v>2500</v>
      </c>
      <c r="C88" s="38">
        <v>0.21027899999999999</v>
      </c>
      <c r="D88" s="38">
        <v>0.21027899999999999</v>
      </c>
      <c r="E88" s="38">
        <v>0.21027899999999999</v>
      </c>
      <c r="F88" s="38">
        <v>0.21027899999999999</v>
      </c>
      <c r="G88" s="38">
        <v>0.21027899999999999</v>
      </c>
      <c r="H88" s="38">
        <v>0.21027899999999999</v>
      </c>
      <c r="I88" s="38">
        <v>0.21027899999999999</v>
      </c>
      <c r="J88" s="38">
        <v>0.21027899999999999</v>
      </c>
      <c r="K88" s="38">
        <v>0.21027899999999999</v>
      </c>
      <c r="L88" s="38">
        <v>0.21027899999999999</v>
      </c>
      <c r="M88" s="38">
        <v>0.21027899999999999</v>
      </c>
      <c r="N88" s="38">
        <v>0.21027899999999999</v>
      </c>
      <c r="O88" s="38">
        <v>0.21027899999999999</v>
      </c>
      <c r="P88" s="38">
        <v>0.21027899999999999</v>
      </c>
      <c r="Q88" s="38">
        <v>0.21027899999999999</v>
      </c>
      <c r="R88" s="38">
        <v>0.21027899999999999</v>
      </c>
      <c r="S88" s="38">
        <v>0.21027899999999999</v>
      </c>
      <c r="T88" s="38">
        <v>0.21027899999999999</v>
      </c>
      <c r="U88" s="38">
        <v>0.21027899999999999</v>
      </c>
      <c r="V88" s="38">
        <v>0.21027899999999999</v>
      </c>
      <c r="W88" s="38">
        <v>0.21027899999999999</v>
      </c>
      <c r="X88" s="38">
        <v>0.21027899999999999</v>
      </c>
      <c r="Y88" s="38">
        <v>0.21027899999999999</v>
      </c>
      <c r="Z88" s="38">
        <v>0.21027899999999999</v>
      </c>
      <c r="AA88" s="38">
        <v>0.21027899999999999</v>
      </c>
      <c r="AB88" s="38">
        <v>0.21027899999999999</v>
      </c>
      <c r="AC88" s="38">
        <v>0.21027899999999999</v>
      </c>
      <c r="AD88" s="38">
        <v>0.21027899999999999</v>
      </c>
      <c r="AE88" s="38">
        <v>0.21027899999999999</v>
      </c>
      <c r="AF88" s="35">
        <v>0</v>
      </c>
      <c r="AG88" s="29"/>
    </row>
    <row r="89" spans="1:34" ht="12" customHeight="1">
      <c r="A89" s="34" t="s">
        <v>3455</v>
      </c>
      <c r="B89" s="37" t="s">
        <v>2923</v>
      </c>
      <c r="C89" s="38">
        <v>0.477406</v>
      </c>
      <c r="D89" s="38">
        <v>0.477406</v>
      </c>
      <c r="E89" s="38">
        <v>0.477406</v>
      </c>
      <c r="F89" s="38">
        <v>0.477406</v>
      </c>
      <c r="G89" s="38">
        <v>0.477406</v>
      </c>
      <c r="H89" s="38">
        <v>0.477406</v>
      </c>
      <c r="I89" s="38">
        <v>0.477406</v>
      </c>
      <c r="J89" s="38">
        <v>0.477406</v>
      </c>
      <c r="K89" s="38">
        <v>0.477406</v>
      </c>
      <c r="L89" s="38">
        <v>0.477406</v>
      </c>
      <c r="M89" s="38">
        <v>0.477406</v>
      </c>
      <c r="N89" s="38">
        <v>0.477406</v>
      </c>
      <c r="O89" s="38">
        <v>0.477406</v>
      </c>
      <c r="P89" s="38">
        <v>0.477406</v>
      </c>
      <c r="Q89" s="38">
        <v>0.477406</v>
      </c>
      <c r="R89" s="38">
        <v>0.477406</v>
      </c>
      <c r="S89" s="38">
        <v>0.477406</v>
      </c>
      <c r="T89" s="38">
        <v>0.477406</v>
      </c>
      <c r="U89" s="38">
        <v>0.477406</v>
      </c>
      <c r="V89" s="38">
        <v>0.477406</v>
      </c>
      <c r="W89" s="38">
        <v>0.477406</v>
      </c>
      <c r="X89" s="38">
        <v>0.477406</v>
      </c>
      <c r="Y89" s="38">
        <v>0.477406</v>
      </c>
      <c r="Z89" s="38">
        <v>0.477406</v>
      </c>
      <c r="AA89" s="38">
        <v>0.477406</v>
      </c>
      <c r="AB89" s="38">
        <v>0.477406</v>
      </c>
      <c r="AC89" s="38">
        <v>0.477406</v>
      </c>
      <c r="AD89" s="38">
        <v>0.477406</v>
      </c>
      <c r="AE89" s="38">
        <v>0.477406</v>
      </c>
      <c r="AF89" s="35">
        <v>0</v>
      </c>
      <c r="AG89" s="29"/>
    </row>
    <row r="90" spans="1:34" ht="15" customHeight="1">
      <c r="A90" s="34" t="s">
        <v>3456</v>
      </c>
      <c r="B90" s="33" t="s">
        <v>2497</v>
      </c>
      <c r="C90" s="39">
        <v>1.457484</v>
      </c>
      <c r="D90" s="39">
        <v>1.4589160000000001</v>
      </c>
      <c r="E90" s="39">
        <v>1.4600919999999999</v>
      </c>
      <c r="F90" s="39">
        <v>1.460879</v>
      </c>
      <c r="G90" s="39">
        <v>1.4616560000000001</v>
      </c>
      <c r="H90" s="39">
        <v>1.4624349999999999</v>
      </c>
      <c r="I90" s="39">
        <v>1.463244</v>
      </c>
      <c r="J90" s="39">
        <v>1.4641120000000001</v>
      </c>
      <c r="K90" s="39">
        <v>1.4650460000000001</v>
      </c>
      <c r="L90" s="39">
        <v>1.4660489999999999</v>
      </c>
      <c r="M90" s="39">
        <v>1.4671380000000001</v>
      </c>
      <c r="N90" s="39">
        <v>1.4683379999999999</v>
      </c>
      <c r="O90" s="39">
        <v>1.469657</v>
      </c>
      <c r="P90" s="39">
        <v>1.4710799999999999</v>
      </c>
      <c r="Q90" s="39">
        <v>1.472621</v>
      </c>
      <c r="R90" s="39">
        <v>1.4742690000000001</v>
      </c>
      <c r="S90" s="39">
        <v>1.4760390000000001</v>
      </c>
      <c r="T90" s="39">
        <v>1.4779230000000001</v>
      </c>
      <c r="U90" s="39">
        <v>1.479938</v>
      </c>
      <c r="V90" s="39">
        <v>1.4820960000000001</v>
      </c>
      <c r="W90" s="39">
        <v>1.484388</v>
      </c>
      <c r="X90" s="39">
        <v>1.4868250000000001</v>
      </c>
      <c r="Y90" s="39">
        <v>1.48939</v>
      </c>
      <c r="Z90" s="39">
        <v>1.4920389999999999</v>
      </c>
      <c r="AA90" s="39">
        <v>1.4945980000000001</v>
      </c>
      <c r="AB90" s="39">
        <v>1.4972490000000001</v>
      </c>
      <c r="AC90" s="39">
        <v>1.5000100000000001</v>
      </c>
      <c r="AD90" s="39">
        <v>1.502893</v>
      </c>
      <c r="AE90" s="39">
        <v>1.5059119999999999</v>
      </c>
      <c r="AF90" s="31">
        <v>1.168E-3</v>
      </c>
      <c r="AG90" s="29"/>
    </row>
    <row r="91" spans="1:34" ht="15" customHeight="1">
      <c r="B91" s="33" t="s">
        <v>2854</v>
      </c>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row>
    <row r="92" spans="1:34" ht="15" customHeight="1">
      <c r="A92" s="34" t="s">
        <v>3457</v>
      </c>
      <c r="B92" s="37" t="s">
        <v>2856</v>
      </c>
      <c r="C92" s="38">
        <v>0.63210200000000005</v>
      </c>
      <c r="D92" s="38">
        <v>0.63304000000000005</v>
      </c>
      <c r="E92" s="38">
        <v>0.63380499999999995</v>
      </c>
      <c r="F92" s="38">
        <v>0.63430299999999995</v>
      </c>
      <c r="G92" s="38">
        <v>0.63477600000000001</v>
      </c>
      <c r="H92" s="38">
        <v>0.63523099999999999</v>
      </c>
      <c r="I92" s="38">
        <v>0.63569299999999995</v>
      </c>
      <c r="J92" s="38">
        <v>0.63617400000000002</v>
      </c>
      <c r="K92" s="38">
        <v>0.63668000000000002</v>
      </c>
      <c r="L92" s="38">
        <v>0.63721499999999998</v>
      </c>
      <c r="M92" s="38">
        <v>0.63778800000000002</v>
      </c>
      <c r="N92" s="38">
        <v>0.63841099999999995</v>
      </c>
      <c r="O92" s="38">
        <v>0.63908799999999999</v>
      </c>
      <c r="P92" s="38">
        <v>0.63980899999999996</v>
      </c>
      <c r="Q92" s="38">
        <v>0.64058000000000004</v>
      </c>
      <c r="R92" s="38">
        <v>0.64139400000000002</v>
      </c>
      <c r="S92" s="38">
        <v>0.64225699999999997</v>
      </c>
      <c r="T92" s="38">
        <v>0.64316499999999999</v>
      </c>
      <c r="U92" s="38">
        <v>0.64412599999999998</v>
      </c>
      <c r="V92" s="38">
        <v>0.64514499999999997</v>
      </c>
      <c r="W92" s="38">
        <v>0.64621399999999996</v>
      </c>
      <c r="X92" s="38">
        <v>0.647339</v>
      </c>
      <c r="Y92" s="38">
        <v>0.64851199999999998</v>
      </c>
      <c r="Z92" s="38">
        <v>0.64971699999999999</v>
      </c>
      <c r="AA92" s="38">
        <v>0.650926</v>
      </c>
      <c r="AB92" s="38">
        <v>0.65217099999999995</v>
      </c>
      <c r="AC92" s="38">
        <v>0.65345799999999998</v>
      </c>
      <c r="AD92" s="38">
        <v>0.65479699999999996</v>
      </c>
      <c r="AE92" s="38">
        <v>0.656192</v>
      </c>
      <c r="AF92" s="35">
        <v>1.3370000000000001E-3</v>
      </c>
      <c r="AG92" s="29"/>
    </row>
    <row r="93" spans="1:34" ht="15" customHeight="1">
      <c r="A93" s="34" t="s">
        <v>3458</v>
      </c>
      <c r="B93" s="37" t="s">
        <v>2858</v>
      </c>
      <c r="C93" s="38">
        <v>0.82538199999999995</v>
      </c>
      <c r="D93" s="38">
        <v>0.82587600000000005</v>
      </c>
      <c r="E93" s="38">
        <v>0.82628599999999996</v>
      </c>
      <c r="F93" s="38">
        <v>0.82657599999999998</v>
      </c>
      <c r="G93" s="38">
        <v>0.82687999999999995</v>
      </c>
      <c r="H93" s="38">
        <v>0.82720300000000002</v>
      </c>
      <c r="I93" s="38">
        <v>0.82755199999999995</v>
      </c>
      <c r="J93" s="38">
        <v>0.82793799999999995</v>
      </c>
      <c r="K93" s="38">
        <v>0.82836600000000005</v>
      </c>
      <c r="L93" s="38">
        <v>0.82883399999999996</v>
      </c>
      <c r="M93" s="38">
        <v>0.82935000000000003</v>
      </c>
      <c r="N93" s="38">
        <v>0.82992699999999997</v>
      </c>
      <c r="O93" s="38">
        <v>0.83057000000000003</v>
      </c>
      <c r="P93" s="38">
        <v>0.83127099999999998</v>
      </c>
      <c r="Q93" s="38">
        <v>0.83204100000000003</v>
      </c>
      <c r="R93" s="38">
        <v>0.83287500000000003</v>
      </c>
      <c r="S93" s="38">
        <v>0.83378200000000002</v>
      </c>
      <c r="T93" s="38">
        <v>0.834758</v>
      </c>
      <c r="U93" s="38">
        <v>0.835812</v>
      </c>
      <c r="V93" s="38">
        <v>0.836951</v>
      </c>
      <c r="W93" s="38">
        <v>0.83817399999999997</v>
      </c>
      <c r="X93" s="38">
        <v>0.83948599999999995</v>
      </c>
      <c r="Y93" s="38">
        <v>0.84087800000000001</v>
      </c>
      <c r="Z93" s="38">
        <v>0.84232200000000002</v>
      </c>
      <c r="AA93" s="38">
        <v>0.84367199999999998</v>
      </c>
      <c r="AB93" s="38">
        <v>0.845078</v>
      </c>
      <c r="AC93" s="38">
        <v>0.84655100000000005</v>
      </c>
      <c r="AD93" s="38">
        <v>0.84809699999999999</v>
      </c>
      <c r="AE93" s="38">
        <v>0.84972000000000003</v>
      </c>
      <c r="AF93" s="35">
        <v>1.0380000000000001E-3</v>
      </c>
      <c r="AG93" s="29"/>
    </row>
    <row r="94" spans="1:34" ht="12" customHeight="1" thickBot="1">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1:34" ht="15" customHeight="1">
      <c r="B95" s="2179" t="s">
        <v>3459</v>
      </c>
      <c r="C95" s="2180"/>
      <c r="D95" s="2180"/>
      <c r="E95" s="2180"/>
      <c r="F95" s="2180"/>
      <c r="G95" s="2180"/>
      <c r="H95" s="2180"/>
      <c r="I95" s="2180"/>
      <c r="J95" s="2180"/>
      <c r="K95" s="2180"/>
      <c r="L95" s="2180"/>
      <c r="M95" s="2180"/>
      <c r="N95" s="2180"/>
      <c r="O95" s="2180"/>
      <c r="P95" s="2180"/>
      <c r="Q95" s="2180"/>
      <c r="R95" s="2180"/>
      <c r="S95" s="2180"/>
      <c r="T95" s="2180"/>
      <c r="U95" s="2180"/>
      <c r="V95" s="2180"/>
      <c r="W95" s="2180"/>
      <c r="X95" s="2180"/>
      <c r="Y95" s="2180"/>
      <c r="Z95" s="2180"/>
      <c r="AA95" s="2180"/>
      <c r="AB95" s="2180"/>
      <c r="AC95" s="2180"/>
      <c r="AD95" s="2180"/>
      <c r="AE95" s="2180"/>
      <c r="AF95" s="2180"/>
      <c r="AG95" s="2180"/>
      <c r="AH95" s="30"/>
    </row>
    <row r="96" spans="1:34" ht="15" customHeight="1">
      <c r="B96" s="29" t="s">
        <v>3460</v>
      </c>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2:33" ht="15" customHeight="1">
      <c r="B97" s="29" t="s">
        <v>2934</v>
      </c>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2:33" ht="12" customHeight="1">
      <c r="B98" s="29" t="s">
        <v>2935</v>
      </c>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2:33" ht="15" customHeight="1">
      <c r="B99" s="29" t="s">
        <v>3461</v>
      </c>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2:33" ht="15" customHeight="1">
      <c r="B100" s="29" t="s">
        <v>2937</v>
      </c>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2:33" ht="15" customHeight="1">
      <c r="B101" s="29" t="s">
        <v>2938</v>
      </c>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2:33" ht="15" customHeight="1">
      <c r="B102" s="29" t="s">
        <v>2291</v>
      </c>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2:33" ht="15" customHeight="1">
      <c r="B103" s="29" t="s">
        <v>3218</v>
      </c>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2:33" ht="15" customHeight="1">
      <c r="B104" s="29" t="s">
        <v>3219</v>
      </c>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2:33" ht="15" customHeight="1">
      <c r="B105" s="29" t="s">
        <v>2881</v>
      </c>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2:33" ht="12" customHeight="1">
      <c r="B106" s="29" t="s">
        <v>2939</v>
      </c>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2:33" ht="15" customHeight="1">
      <c r="B107" s="29" t="s">
        <v>2940</v>
      </c>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2:33" ht="15" customHeight="1">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row>
    <row r="109" spans="2:33" ht="15" customHeight="1">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row>
    <row r="110" spans="2:33" ht="15" customHeight="1">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row>
    <row r="111" spans="2:33" ht="15" customHeight="1">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row>
    <row r="112" spans="2:33" ht="15" customHeight="1">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row>
    <row r="113" spans="2:33" ht="12" customHeight="1">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row>
    <row r="114" spans="2:33" ht="15" customHeight="1">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row>
    <row r="115" spans="2:33" ht="15" customHeight="1">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row>
    <row r="116" spans="2:33" ht="15" customHeight="1">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row>
    <row r="117" spans="2:33" ht="15" customHeight="1">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row>
    <row r="118" spans="2:33" ht="15" customHeight="1">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row>
    <row r="119" spans="2:33" ht="12" customHeight="1">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row>
    <row r="120" spans="2:33" ht="15" customHeight="1">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row>
    <row r="121" spans="2:33" ht="15" customHeight="1">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row>
    <row r="122" spans="2:33" ht="15" customHeight="1">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row>
    <row r="123" spans="2:33" ht="12" customHeight="1">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row>
    <row r="124" spans="2:33" ht="15" customHeight="1">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row>
    <row r="125" spans="2:33" ht="15" customHeight="1">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row>
    <row r="126" spans="2:33" ht="15" customHeight="1">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row>
    <row r="127" spans="2:33" ht="15" customHeight="1">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row>
    <row r="128" spans="2:33" ht="15" customHeight="1">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row>
    <row r="129" spans="1:33" ht="12" customHeight="1">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row>
    <row r="130" spans="1:33" ht="15" customHeight="1">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row>
    <row r="131" spans="1:33" ht="15" customHeight="1">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row>
    <row r="132" spans="1:33" ht="15" customHeight="1">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row>
    <row r="133" spans="1:33" ht="15" customHeight="1">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row>
    <row r="134" spans="1:33" ht="12" customHeight="1">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t="s">
        <v>2056</v>
      </c>
      <c r="AG134" s="29"/>
    </row>
    <row r="135" spans="1:33" ht="15" customHeight="1">
      <c r="A135" s="34" t="s">
        <v>3462</v>
      </c>
      <c r="B135" s="46" t="s">
        <v>3463</v>
      </c>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43" t="s">
        <v>2058</v>
      </c>
      <c r="AG135" s="29"/>
    </row>
    <row r="136" spans="1:33" ht="15" customHeight="1">
      <c r="B136" s="45" t="s">
        <v>3464</v>
      </c>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43" t="s">
        <v>2059</v>
      </c>
      <c r="AG136" s="29"/>
    </row>
    <row r="137" spans="1:33" ht="15" customHeight="1">
      <c r="B137" s="45"/>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3" t="s">
        <v>2061</v>
      </c>
      <c r="AG137" s="29"/>
    </row>
    <row r="138" spans="1:33" ht="15" customHeight="1" thickBot="1">
      <c r="B138" s="42" t="s">
        <v>2690</v>
      </c>
      <c r="C138" s="42">
        <v>2022</v>
      </c>
      <c r="D138" s="42">
        <v>2023</v>
      </c>
      <c r="E138" s="42">
        <v>2024</v>
      </c>
      <c r="F138" s="42">
        <v>2025</v>
      </c>
      <c r="G138" s="42">
        <v>2026</v>
      </c>
      <c r="H138" s="42">
        <v>2027</v>
      </c>
      <c r="I138" s="42">
        <v>2028</v>
      </c>
      <c r="J138" s="42">
        <v>2029</v>
      </c>
      <c r="K138" s="42">
        <v>2030</v>
      </c>
      <c r="L138" s="42">
        <v>2031</v>
      </c>
      <c r="M138" s="42">
        <v>2032</v>
      </c>
      <c r="N138" s="42">
        <v>2033</v>
      </c>
      <c r="O138" s="42">
        <v>2034</v>
      </c>
      <c r="P138" s="42">
        <v>2035</v>
      </c>
      <c r="Q138" s="42">
        <v>2036</v>
      </c>
      <c r="R138" s="42">
        <v>2037</v>
      </c>
      <c r="S138" s="42">
        <v>2038</v>
      </c>
      <c r="T138" s="42">
        <v>2039</v>
      </c>
      <c r="U138" s="42">
        <v>2040</v>
      </c>
      <c r="V138" s="42">
        <v>2041</v>
      </c>
      <c r="W138" s="42">
        <v>2042</v>
      </c>
      <c r="X138" s="42">
        <v>2043</v>
      </c>
      <c r="Y138" s="42">
        <v>2044</v>
      </c>
      <c r="Z138" s="42">
        <v>2045</v>
      </c>
      <c r="AA138" s="42">
        <v>2046</v>
      </c>
      <c r="AB138" s="42">
        <v>2047</v>
      </c>
      <c r="AC138" s="42">
        <v>2048</v>
      </c>
      <c r="AD138" s="42">
        <v>2049</v>
      </c>
      <c r="AE138" s="42">
        <v>2050</v>
      </c>
      <c r="AF138" s="41">
        <v>2050</v>
      </c>
      <c r="AG138" s="29"/>
    </row>
    <row r="139" spans="1:33" ht="15" customHeight="1" thickTop="1">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row>
    <row r="140" spans="1:33" ht="15" customHeight="1">
      <c r="A140" s="34" t="s">
        <v>3465</v>
      </c>
      <c r="B140" s="33" t="s">
        <v>2692</v>
      </c>
      <c r="C140" s="40">
        <v>19750.261718999998</v>
      </c>
      <c r="D140" s="40">
        <v>19903.289062</v>
      </c>
      <c r="E140" s="40">
        <v>20095.435547000001</v>
      </c>
      <c r="F140" s="40">
        <v>20409.421875</v>
      </c>
      <c r="G140" s="40">
        <v>20840.714843999998</v>
      </c>
      <c r="H140" s="40">
        <v>21273.421875</v>
      </c>
      <c r="I140" s="40">
        <v>21681.255859000001</v>
      </c>
      <c r="J140" s="40">
        <v>22051.705077999999</v>
      </c>
      <c r="K140" s="40">
        <v>22391.814452999999</v>
      </c>
      <c r="L140" s="40">
        <v>22742.044922000001</v>
      </c>
      <c r="M140" s="40">
        <v>23153.001952999999</v>
      </c>
      <c r="N140" s="40">
        <v>23603.867188</v>
      </c>
      <c r="O140" s="40">
        <v>24055.123047000001</v>
      </c>
      <c r="P140" s="40">
        <v>24510.957031000002</v>
      </c>
      <c r="Q140" s="40">
        <v>24995.804688</v>
      </c>
      <c r="R140" s="40">
        <v>25506.921875</v>
      </c>
      <c r="S140" s="40">
        <v>26032.332031000002</v>
      </c>
      <c r="T140" s="40">
        <v>26566.107422000001</v>
      </c>
      <c r="U140" s="40">
        <v>27148.945312</v>
      </c>
      <c r="V140" s="40">
        <v>27734.087890999999</v>
      </c>
      <c r="W140" s="40">
        <v>28324.492188</v>
      </c>
      <c r="X140" s="40">
        <v>28926.738281000002</v>
      </c>
      <c r="Y140" s="40">
        <v>29527.414062</v>
      </c>
      <c r="Z140" s="40">
        <v>30130</v>
      </c>
      <c r="AA140" s="40">
        <v>30747.568359000001</v>
      </c>
      <c r="AB140" s="40">
        <v>31389.150390999999</v>
      </c>
      <c r="AC140" s="40">
        <v>32039.970702999999</v>
      </c>
      <c r="AD140" s="40">
        <v>32698.533202999999</v>
      </c>
      <c r="AE140" s="40">
        <v>33404.984375</v>
      </c>
      <c r="AF140" s="31">
        <v>1.8946999999999999E-2</v>
      </c>
      <c r="AG140" s="29"/>
    </row>
    <row r="141" spans="1:33" ht="15" customHeight="1">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row>
    <row r="142" spans="1:33" ht="15" customHeight="1">
      <c r="A142" s="34" t="s">
        <v>3466</v>
      </c>
      <c r="B142" s="33" t="s">
        <v>2694</v>
      </c>
      <c r="C142" s="40">
        <v>7.7918890000000003</v>
      </c>
      <c r="D142" s="40">
        <v>7.833933</v>
      </c>
      <c r="E142" s="40">
        <v>7.7541520000000004</v>
      </c>
      <c r="F142" s="40">
        <v>7.705959</v>
      </c>
      <c r="G142" s="40">
        <v>7.7006969999999999</v>
      </c>
      <c r="H142" s="40">
        <v>7.7147709999999998</v>
      </c>
      <c r="I142" s="40">
        <v>7.7296170000000002</v>
      </c>
      <c r="J142" s="40">
        <v>7.7302030000000004</v>
      </c>
      <c r="K142" s="40">
        <v>7.7193050000000003</v>
      </c>
      <c r="L142" s="40">
        <v>7.6980769999999996</v>
      </c>
      <c r="M142" s="40">
        <v>7.6891119999999997</v>
      </c>
      <c r="N142" s="40">
        <v>7.6932130000000001</v>
      </c>
      <c r="O142" s="40">
        <v>7.7138229999999997</v>
      </c>
      <c r="P142" s="40">
        <v>7.7241109999999997</v>
      </c>
      <c r="Q142" s="40">
        <v>7.7167409999999999</v>
      </c>
      <c r="R142" s="40">
        <v>7.7152839999999996</v>
      </c>
      <c r="S142" s="40">
        <v>7.7137950000000002</v>
      </c>
      <c r="T142" s="40">
        <v>7.7072820000000002</v>
      </c>
      <c r="U142" s="40">
        <v>7.7082280000000001</v>
      </c>
      <c r="V142" s="40">
        <v>7.7024359999999996</v>
      </c>
      <c r="W142" s="40">
        <v>7.6967720000000002</v>
      </c>
      <c r="X142" s="40">
        <v>7.6840419999999998</v>
      </c>
      <c r="Y142" s="40">
        <v>7.6690050000000003</v>
      </c>
      <c r="Z142" s="40">
        <v>7.6567869999999996</v>
      </c>
      <c r="AA142" s="40">
        <v>7.6481329999999996</v>
      </c>
      <c r="AB142" s="40">
        <v>7.6442030000000001</v>
      </c>
      <c r="AC142" s="40">
        <v>7.6379380000000001</v>
      </c>
      <c r="AD142" s="40">
        <v>7.6289709999999999</v>
      </c>
      <c r="AE142" s="40">
        <v>7.624269</v>
      </c>
      <c r="AF142" s="31">
        <v>-7.76E-4</v>
      </c>
      <c r="AG142" s="29"/>
    </row>
    <row r="143" spans="1:33" ht="15" customHeight="1">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row>
    <row r="144" spans="1:33" ht="15" customHeight="1">
      <c r="B144" s="33" t="s">
        <v>2695</v>
      </c>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row>
    <row r="145" spans="1:33" ht="15" customHeight="1">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row>
    <row r="146" spans="1:33" ht="15" customHeight="1">
      <c r="B146" s="33" t="s">
        <v>2696</v>
      </c>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row>
    <row r="147" spans="1:33" ht="15" customHeight="1">
      <c r="A147" s="34" t="s">
        <v>3467</v>
      </c>
      <c r="B147" s="37" t="s">
        <v>2698</v>
      </c>
      <c r="C147" s="53">
        <v>13.497726</v>
      </c>
      <c r="D147" s="53">
        <v>13.403819</v>
      </c>
      <c r="E147" s="53">
        <v>13.516705</v>
      </c>
      <c r="F147" s="53">
        <v>13.680337</v>
      </c>
      <c r="G147" s="53">
        <v>13.896333</v>
      </c>
      <c r="H147" s="53">
        <v>14.063018</v>
      </c>
      <c r="I147" s="53">
        <v>14.207773</v>
      </c>
      <c r="J147" s="53">
        <v>14.336480999999999</v>
      </c>
      <c r="K147" s="53">
        <v>14.407422</v>
      </c>
      <c r="L147" s="53">
        <v>14.479404000000001</v>
      </c>
      <c r="M147" s="53">
        <v>14.548435</v>
      </c>
      <c r="N147" s="53">
        <v>14.609636999999999</v>
      </c>
      <c r="O147" s="53">
        <v>14.649361000000001</v>
      </c>
      <c r="P147" s="53">
        <v>14.670782000000001</v>
      </c>
      <c r="Q147" s="53">
        <v>14.657889000000001</v>
      </c>
      <c r="R147" s="53">
        <v>14.68679</v>
      </c>
      <c r="S147" s="53">
        <v>14.705038</v>
      </c>
      <c r="T147" s="53">
        <v>14.728873999999999</v>
      </c>
      <c r="U147" s="53">
        <v>14.755459</v>
      </c>
      <c r="V147" s="53">
        <v>14.778808</v>
      </c>
      <c r="W147" s="53">
        <v>14.803381999999999</v>
      </c>
      <c r="X147" s="53">
        <v>14.823413</v>
      </c>
      <c r="Y147" s="53">
        <v>14.83602</v>
      </c>
      <c r="Z147" s="53">
        <v>14.849036</v>
      </c>
      <c r="AA147" s="53">
        <v>14.858169999999999</v>
      </c>
      <c r="AB147" s="53">
        <v>14.86458</v>
      </c>
      <c r="AC147" s="53">
        <v>14.866244999999999</v>
      </c>
      <c r="AD147" s="53">
        <v>14.867912</v>
      </c>
      <c r="AE147" s="53">
        <v>14.870279</v>
      </c>
      <c r="AF147" s="35">
        <v>3.4650000000000002E-3</v>
      </c>
      <c r="AG147" s="29"/>
    </row>
    <row r="148" spans="1:33" ht="15" customHeight="1">
      <c r="A148" s="34" t="s">
        <v>3468</v>
      </c>
      <c r="B148" s="37" t="s">
        <v>2700</v>
      </c>
      <c r="C148" s="53">
        <v>1.2730729999999999</v>
      </c>
      <c r="D148" s="53">
        <v>1.2666759999999999</v>
      </c>
      <c r="E148" s="53">
        <v>1.2723949999999999</v>
      </c>
      <c r="F148" s="53">
        <v>1.284491</v>
      </c>
      <c r="G148" s="53">
        <v>1.2822690000000001</v>
      </c>
      <c r="H148" s="53">
        <v>1.280527</v>
      </c>
      <c r="I148" s="53">
        <v>1.2778640000000001</v>
      </c>
      <c r="J148" s="53">
        <v>1.2756620000000001</v>
      </c>
      <c r="K148" s="53">
        <v>1.276054</v>
      </c>
      <c r="L148" s="53">
        <v>1.2755069999999999</v>
      </c>
      <c r="M148" s="53">
        <v>1.2793509999999999</v>
      </c>
      <c r="N148" s="53">
        <v>1.2836209999999999</v>
      </c>
      <c r="O148" s="53">
        <v>1.2798149999999999</v>
      </c>
      <c r="P148" s="53">
        <v>1.2772049999999999</v>
      </c>
      <c r="Q148" s="53">
        <v>1.2876840000000001</v>
      </c>
      <c r="R148" s="53">
        <v>1.291431</v>
      </c>
      <c r="S148" s="53">
        <v>1.303685</v>
      </c>
      <c r="T148" s="53">
        <v>1.3137920000000001</v>
      </c>
      <c r="U148" s="53">
        <v>1.323259</v>
      </c>
      <c r="V148" s="53">
        <v>1.331583</v>
      </c>
      <c r="W148" s="53">
        <v>1.330149</v>
      </c>
      <c r="X148" s="53">
        <v>1.3365100000000001</v>
      </c>
      <c r="Y148" s="53">
        <v>1.339105</v>
      </c>
      <c r="Z148" s="53">
        <v>1.3374090000000001</v>
      </c>
      <c r="AA148" s="53">
        <v>1.331952</v>
      </c>
      <c r="AB148" s="53">
        <v>1.3158609999999999</v>
      </c>
      <c r="AC148" s="53">
        <v>1.295131</v>
      </c>
      <c r="AD148" s="53">
        <v>1.276068</v>
      </c>
      <c r="AE148" s="53">
        <v>1.260475</v>
      </c>
      <c r="AF148" s="35">
        <v>-3.5500000000000001E-4</v>
      </c>
      <c r="AG148" s="29"/>
    </row>
    <row r="149" spans="1:33" ht="15" customHeight="1">
      <c r="A149" s="34" t="s">
        <v>3469</v>
      </c>
      <c r="B149" s="37" t="s">
        <v>2702</v>
      </c>
      <c r="C149" s="53">
        <v>60.198039999999999</v>
      </c>
      <c r="D149" s="53">
        <v>58.703704999999999</v>
      </c>
      <c r="E149" s="53">
        <v>58.135638999999998</v>
      </c>
      <c r="F149" s="53">
        <v>58.965977000000002</v>
      </c>
      <c r="G149" s="53">
        <v>59.543697000000002</v>
      </c>
      <c r="H149" s="53">
        <v>59.648623999999998</v>
      </c>
      <c r="I149" s="53">
        <v>60.025551</v>
      </c>
      <c r="J149" s="53">
        <v>61.249268000000001</v>
      </c>
      <c r="K149" s="53">
        <v>62.119343000000001</v>
      </c>
      <c r="L149" s="53">
        <v>62.203361999999998</v>
      </c>
      <c r="M149" s="53">
        <v>61.963206999999997</v>
      </c>
      <c r="N149" s="53">
        <v>61.837746000000003</v>
      </c>
      <c r="O149" s="53">
        <v>61.849148</v>
      </c>
      <c r="P149" s="53">
        <v>62.124966000000001</v>
      </c>
      <c r="Q149" s="53">
        <v>62.631351000000002</v>
      </c>
      <c r="R149" s="53">
        <v>63.361781999999998</v>
      </c>
      <c r="S149" s="53">
        <v>64.163200000000003</v>
      </c>
      <c r="T149" s="53">
        <v>64.797348</v>
      </c>
      <c r="U149" s="53">
        <v>65.541183000000004</v>
      </c>
      <c r="V149" s="53">
        <v>66.428482000000002</v>
      </c>
      <c r="W149" s="53">
        <v>67.127419000000003</v>
      </c>
      <c r="X149" s="53">
        <v>67.698279999999997</v>
      </c>
      <c r="Y149" s="53">
        <v>68.246300000000005</v>
      </c>
      <c r="Z149" s="53">
        <v>68.884399000000002</v>
      </c>
      <c r="AA149" s="53">
        <v>69.542479999999998</v>
      </c>
      <c r="AB149" s="53">
        <v>70.169326999999996</v>
      </c>
      <c r="AC149" s="53">
        <v>70.663016999999996</v>
      </c>
      <c r="AD149" s="53">
        <v>71.065276999999995</v>
      </c>
      <c r="AE149" s="53">
        <v>71.781075000000001</v>
      </c>
      <c r="AF149" s="35">
        <v>6.3049999999999998E-3</v>
      </c>
      <c r="AG149" s="29"/>
    </row>
    <row r="150" spans="1:33" ht="15" customHeight="1">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row>
    <row r="151" spans="1:33" ht="15" customHeight="1">
      <c r="B151" s="33" t="s">
        <v>2703</v>
      </c>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row>
    <row r="152" spans="1:33" ht="15" customHeight="1">
      <c r="A152" s="34" t="s">
        <v>3470</v>
      </c>
      <c r="B152" s="37" t="s">
        <v>2705</v>
      </c>
      <c r="C152" s="53">
        <v>36.971260000000001</v>
      </c>
      <c r="D152" s="53">
        <v>37.517204</v>
      </c>
      <c r="E152" s="53">
        <v>37.987701000000001</v>
      </c>
      <c r="F152" s="53">
        <v>38.368648999999998</v>
      </c>
      <c r="G152" s="53">
        <v>38.901401999999997</v>
      </c>
      <c r="H152" s="53">
        <v>39.507095</v>
      </c>
      <c r="I152" s="53">
        <v>40.189185999999999</v>
      </c>
      <c r="J152" s="53">
        <v>40.766975000000002</v>
      </c>
      <c r="K152" s="53">
        <v>41.372826000000003</v>
      </c>
      <c r="L152" s="53">
        <v>42.084515000000003</v>
      </c>
      <c r="M152" s="53">
        <v>42.720573000000002</v>
      </c>
      <c r="N152" s="53">
        <v>43.148899</v>
      </c>
      <c r="O152" s="53">
        <v>43.615077999999997</v>
      </c>
      <c r="P152" s="53">
        <v>44.134768999999999</v>
      </c>
      <c r="Q152" s="53">
        <v>44.644523999999997</v>
      </c>
      <c r="R152" s="53">
        <v>45.202266999999999</v>
      </c>
      <c r="S152" s="53">
        <v>45.796622999999997</v>
      </c>
      <c r="T152" s="53">
        <v>46.356673999999998</v>
      </c>
      <c r="U152" s="53">
        <v>46.963661000000002</v>
      </c>
      <c r="V152" s="53">
        <v>47.557094999999997</v>
      </c>
      <c r="W152" s="53">
        <v>48.154758000000001</v>
      </c>
      <c r="X152" s="53">
        <v>48.747512999999998</v>
      </c>
      <c r="Y152" s="53">
        <v>49.346184000000001</v>
      </c>
      <c r="Z152" s="53">
        <v>49.934894999999997</v>
      </c>
      <c r="AA152" s="53">
        <v>50.492119000000002</v>
      </c>
      <c r="AB152" s="53">
        <v>51.071693000000003</v>
      </c>
      <c r="AC152" s="53">
        <v>51.655574999999999</v>
      </c>
      <c r="AD152" s="53">
        <v>52.234870999999998</v>
      </c>
      <c r="AE152" s="53">
        <v>52.811340000000001</v>
      </c>
      <c r="AF152" s="35">
        <v>1.2817E-2</v>
      </c>
      <c r="AG152" s="29"/>
    </row>
    <row r="153" spans="1:33" ht="15" customHeight="1">
      <c r="A153" s="34" t="s">
        <v>3471</v>
      </c>
      <c r="B153" s="37" t="s">
        <v>1473</v>
      </c>
      <c r="C153" s="53">
        <v>5.2023830000000002</v>
      </c>
      <c r="D153" s="53">
        <v>5.1628410000000002</v>
      </c>
      <c r="E153" s="53">
        <v>5.134849</v>
      </c>
      <c r="F153" s="53">
        <v>5.1219789999999996</v>
      </c>
      <c r="G153" s="53">
        <v>5.1657380000000002</v>
      </c>
      <c r="H153" s="53">
        <v>5.209543</v>
      </c>
      <c r="I153" s="53">
        <v>5.2867810000000004</v>
      </c>
      <c r="J153" s="53">
        <v>5.3651049999999998</v>
      </c>
      <c r="K153" s="53">
        <v>5.3864530000000004</v>
      </c>
      <c r="L153" s="53">
        <v>5.4395790000000002</v>
      </c>
      <c r="M153" s="53">
        <v>5.4774010000000004</v>
      </c>
      <c r="N153" s="53">
        <v>5.5232419999999998</v>
      </c>
      <c r="O153" s="53">
        <v>5.5442030000000004</v>
      </c>
      <c r="P153" s="53">
        <v>5.5442020000000003</v>
      </c>
      <c r="Q153" s="53">
        <v>5.5800340000000004</v>
      </c>
      <c r="R153" s="53">
        <v>5.6064170000000004</v>
      </c>
      <c r="S153" s="53">
        <v>5.630433</v>
      </c>
      <c r="T153" s="53">
        <v>5.6692400000000003</v>
      </c>
      <c r="U153" s="53">
        <v>5.6997229999999997</v>
      </c>
      <c r="V153" s="53">
        <v>5.7353709999999998</v>
      </c>
      <c r="W153" s="53">
        <v>5.7765899999999997</v>
      </c>
      <c r="X153" s="53">
        <v>5.822991</v>
      </c>
      <c r="Y153" s="53">
        <v>5.8675680000000003</v>
      </c>
      <c r="Z153" s="53">
        <v>5.9114469999999999</v>
      </c>
      <c r="AA153" s="53">
        <v>5.9577549999999997</v>
      </c>
      <c r="AB153" s="53">
        <v>6.0076260000000001</v>
      </c>
      <c r="AC153" s="53">
        <v>6.0816489999999996</v>
      </c>
      <c r="AD153" s="53">
        <v>6.16</v>
      </c>
      <c r="AE153" s="53">
        <v>6.2378390000000001</v>
      </c>
      <c r="AF153" s="35">
        <v>6.5040000000000002E-3</v>
      </c>
      <c r="AG153" s="29"/>
    </row>
    <row r="154" spans="1:33" ht="15" customHeight="1">
      <c r="A154" s="34" t="s">
        <v>3472</v>
      </c>
      <c r="B154" s="37" t="s">
        <v>2708</v>
      </c>
      <c r="C154" s="53">
        <v>4.7726870000000003</v>
      </c>
      <c r="D154" s="53">
        <v>4.768281</v>
      </c>
      <c r="E154" s="53">
        <v>4.7502089999999999</v>
      </c>
      <c r="F154" s="53">
        <v>4.7184429999999997</v>
      </c>
      <c r="G154" s="53">
        <v>4.7636700000000003</v>
      </c>
      <c r="H154" s="53">
        <v>4.8195389999999998</v>
      </c>
      <c r="I154" s="53">
        <v>4.827782</v>
      </c>
      <c r="J154" s="53">
        <v>4.7962590000000001</v>
      </c>
      <c r="K154" s="53">
        <v>4.7696579999999997</v>
      </c>
      <c r="L154" s="53">
        <v>4.760999</v>
      </c>
      <c r="M154" s="53">
        <v>4.7600049999999996</v>
      </c>
      <c r="N154" s="53">
        <v>4.746111</v>
      </c>
      <c r="O154" s="53">
        <v>4.72607</v>
      </c>
      <c r="P154" s="53">
        <v>4.6876179999999996</v>
      </c>
      <c r="Q154" s="53">
        <v>4.6220800000000004</v>
      </c>
      <c r="R154" s="53">
        <v>4.5487460000000004</v>
      </c>
      <c r="S154" s="53">
        <v>4.4603919999999997</v>
      </c>
      <c r="T154" s="53">
        <v>4.3775019999999998</v>
      </c>
      <c r="U154" s="53">
        <v>4.3018559999999999</v>
      </c>
      <c r="V154" s="53">
        <v>4.2271869999999998</v>
      </c>
      <c r="W154" s="53">
        <v>4.148377</v>
      </c>
      <c r="X154" s="53">
        <v>4.0688599999999999</v>
      </c>
      <c r="Y154" s="53">
        <v>3.9822760000000001</v>
      </c>
      <c r="Z154" s="53">
        <v>3.8943829999999999</v>
      </c>
      <c r="AA154" s="53">
        <v>3.8130639999999998</v>
      </c>
      <c r="AB154" s="53">
        <v>3.735852</v>
      </c>
      <c r="AC154" s="53">
        <v>3.656927</v>
      </c>
      <c r="AD154" s="53">
        <v>3.5764109999999998</v>
      </c>
      <c r="AE154" s="53">
        <v>3.5035120000000002</v>
      </c>
      <c r="AF154" s="35">
        <v>-1.098E-2</v>
      </c>
      <c r="AG154" s="29"/>
    </row>
    <row r="155" spans="1:33" ht="15" customHeight="1">
      <c r="A155" s="34" t="s">
        <v>3473</v>
      </c>
      <c r="B155" s="37" t="s">
        <v>2710</v>
      </c>
      <c r="C155" s="53">
        <v>3.2051379999999998</v>
      </c>
      <c r="D155" s="53">
        <v>2.8957009999999999</v>
      </c>
      <c r="E155" s="53">
        <v>2.8083300000000002</v>
      </c>
      <c r="F155" s="53">
        <v>2.8497150000000002</v>
      </c>
      <c r="G155" s="53">
        <v>2.816039</v>
      </c>
      <c r="H155" s="53">
        <v>2.796478</v>
      </c>
      <c r="I155" s="53">
        <v>2.8257490000000001</v>
      </c>
      <c r="J155" s="53">
        <v>2.8658160000000001</v>
      </c>
      <c r="K155" s="53">
        <v>2.8654839999999999</v>
      </c>
      <c r="L155" s="53">
        <v>2.850994</v>
      </c>
      <c r="M155" s="53">
        <v>2.8695339999999998</v>
      </c>
      <c r="N155" s="53">
        <v>2.906952</v>
      </c>
      <c r="O155" s="53">
        <v>2.9420700000000002</v>
      </c>
      <c r="P155" s="53">
        <v>2.9501819999999999</v>
      </c>
      <c r="Q155" s="53">
        <v>2.9244439999999998</v>
      </c>
      <c r="R155" s="53">
        <v>2.9350800000000001</v>
      </c>
      <c r="S155" s="53">
        <v>2.9315449999999998</v>
      </c>
      <c r="T155" s="53">
        <v>2.9417450000000001</v>
      </c>
      <c r="U155" s="53">
        <v>2.9662440000000001</v>
      </c>
      <c r="V155" s="53">
        <v>3.0006200000000001</v>
      </c>
      <c r="W155" s="53">
        <v>3.0173920000000001</v>
      </c>
      <c r="X155" s="53">
        <v>3.026402</v>
      </c>
      <c r="Y155" s="53">
        <v>3.0213380000000001</v>
      </c>
      <c r="Z155" s="53">
        <v>2.9958480000000001</v>
      </c>
      <c r="AA155" s="53">
        <v>2.9777770000000001</v>
      </c>
      <c r="AB155" s="53">
        <v>2.9746739999999998</v>
      </c>
      <c r="AC155" s="53">
        <v>2.9604330000000001</v>
      </c>
      <c r="AD155" s="53">
        <v>2.9549820000000002</v>
      </c>
      <c r="AE155" s="53">
        <v>2.9780190000000002</v>
      </c>
      <c r="AF155" s="35">
        <v>-2.6210000000000001E-3</v>
      </c>
      <c r="AG155" s="29"/>
    </row>
    <row r="156" spans="1:33" ht="15" customHeight="1">
      <c r="A156" s="34" t="s">
        <v>3474</v>
      </c>
      <c r="B156" s="2182" t="s">
        <v>2712</v>
      </c>
      <c r="C156" s="2186">
        <v>2.3089230000000001</v>
      </c>
      <c r="D156" s="2186">
        <v>2.247725</v>
      </c>
      <c r="E156" s="2186">
        <v>2.2373949999999998</v>
      </c>
      <c r="F156" s="2186">
        <v>2.2376680000000002</v>
      </c>
      <c r="G156" s="2186">
        <v>2.28064</v>
      </c>
      <c r="H156" s="2186">
        <v>2.3295210000000002</v>
      </c>
      <c r="I156" s="2186">
        <v>2.3537729999999999</v>
      </c>
      <c r="J156" s="2186">
        <v>2.3760940000000002</v>
      </c>
      <c r="K156" s="2186">
        <v>2.4047079999999998</v>
      </c>
      <c r="L156" s="2186">
        <v>2.4375520000000002</v>
      </c>
      <c r="M156" s="2186">
        <v>2.5053640000000001</v>
      </c>
      <c r="N156" s="2186">
        <v>2.5519940000000001</v>
      </c>
      <c r="O156" s="2186">
        <v>2.593934</v>
      </c>
      <c r="P156" s="2186">
        <v>2.647478</v>
      </c>
      <c r="Q156" s="2186">
        <v>2.7100620000000002</v>
      </c>
      <c r="R156" s="2186">
        <v>2.7737500000000002</v>
      </c>
      <c r="S156" s="2186">
        <v>2.8402409999999998</v>
      </c>
      <c r="T156" s="2186">
        <v>2.9036010000000001</v>
      </c>
      <c r="U156" s="2186">
        <v>2.9663089999999999</v>
      </c>
      <c r="V156" s="2186">
        <v>3.048111</v>
      </c>
      <c r="W156" s="2186">
        <v>3.1233960000000001</v>
      </c>
      <c r="X156" s="2186">
        <v>3.1878920000000002</v>
      </c>
      <c r="Y156" s="2186">
        <v>3.2387679999999999</v>
      </c>
      <c r="Z156" s="2186">
        <v>3.2749969999999999</v>
      </c>
      <c r="AA156" s="2186">
        <v>3.3359510000000001</v>
      </c>
      <c r="AB156" s="2186">
        <v>3.4057460000000002</v>
      </c>
      <c r="AC156" s="2186">
        <v>3.462253</v>
      </c>
      <c r="AD156" s="2186">
        <v>3.4993509999999999</v>
      </c>
      <c r="AE156" s="2186">
        <v>3.622808</v>
      </c>
      <c r="AF156" s="2184">
        <v>1.6218E-2</v>
      </c>
      <c r="AG156" s="29"/>
    </row>
    <row r="157" spans="1:33" ht="15" customHeight="1">
      <c r="A157" s="34" t="s">
        <v>3475</v>
      </c>
      <c r="B157" s="37" t="s">
        <v>2714</v>
      </c>
      <c r="C157" s="53">
        <v>11.561839000000001</v>
      </c>
      <c r="D157" s="53">
        <v>11.336771000000001</v>
      </c>
      <c r="E157" s="53">
        <v>11.107556000000001</v>
      </c>
      <c r="F157" s="53">
        <v>11.105114</v>
      </c>
      <c r="G157" s="53">
        <v>11.160956000000001</v>
      </c>
      <c r="H157" s="53">
        <v>11.214765</v>
      </c>
      <c r="I157" s="53">
        <v>11.256301000000001</v>
      </c>
      <c r="J157" s="53">
        <v>11.277329999999999</v>
      </c>
      <c r="K157" s="53">
        <v>11.297758</v>
      </c>
      <c r="L157" s="53">
        <v>11.349151000000001</v>
      </c>
      <c r="M157" s="53">
        <v>11.393056</v>
      </c>
      <c r="N157" s="53">
        <v>11.430351</v>
      </c>
      <c r="O157" s="53">
        <v>11.471984000000001</v>
      </c>
      <c r="P157" s="53">
        <v>11.516674</v>
      </c>
      <c r="Q157" s="53">
        <v>11.535958000000001</v>
      </c>
      <c r="R157" s="53">
        <v>11.572089</v>
      </c>
      <c r="S157" s="53">
        <v>11.569609</v>
      </c>
      <c r="T157" s="53">
        <v>11.594084000000001</v>
      </c>
      <c r="U157" s="53">
        <v>11.624423</v>
      </c>
      <c r="V157" s="53">
        <v>11.644671000000001</v>
      </c>
      <c r="W157" s="53">
        <v>11.662483</v>
      </c>
      <c r="X157" s="53">
        <v>11.668182</v>
      </c>
      <c r="Y157" s="53">
        <v>11.65094</v>
      </c>
      <c r="Z157" s="53">
        <v>11.620244</v>
      </c>
      <c r="AA157" s="53">
        <v>11.621252999999999</v>
      </c>
      <c r="AB157" s="53">
        <v>11.650370000000001</v>
      </c>
      <c r="AC157" s="53">
        <v>11.630488</v>
      </c>
      <c r="AD157" s="53">
        <v>11.622486</v>
      </c>
      <c r="AE157" s="53">
        <v>11.660546</v>
      </c>
      <c r="AF157" s="35">
        <v>3.0400000000000002E-4</v>
      </c>
      <c r="AG157" s="29"/>
    </row>
    <row r="158" spans="1:33" ht="15" customHeight="1">
      <c r="A158" s="34" t="s">
        <v>3476</v>
      </c>
      <c r="B158" s="37" t="s">
        <v>2716</v>
      </c>
      <c r="C158" s="53">
        <v>3.670048</v>
      </c>
      <c r="D158" s="53">
        <v>3.5729329999999999</v>
      </c>
      <c r="E158" s="53">
        <v>3.4961600000000002</v>
      </c>
      <c r="F158" s="53">
        <v>3.4476559999999998</v>
      </c>
      <c r="G158" s="53">
        <v>3.4065639999999999</v>
      </c>
      <c r="H158" s="53">
        <v>3.3639420000000002</v>
      </c>
      <c r="I158" s="53">
        <v>3.342673</v>
      </c>
      <c r="J158" s="53">
        <v>3.324738</v>
      </c>
      <c r="K158" s="53">
        <v>3.3166850000000001</v>
      </c>
      <c r="L158" s="53">
        <v>3.314651</v>
      </c>
      <c r="M158" s="53">
        <v>3.2789820000000001</v>
      </c>
      <c r="N158" s="53">
        <v>3.2211069999999999</v>
      </c>
      <c r="O158" s="53">
        <v>3.1682480000000002</v>
      </c>
      <c r="P158" s="53">
        <v>3.1210369999999998</v>
      </c>
      <c r="Q158" s="53">
        <v>3.0777920000000001</v>
      </c>
      <c r="R158" s="53">
        <v>3.0382669999999998</v>
      </c>
      <c r="S158" s="53">
        <v>3.0014509999999999</v>
      </c>
      <c r="T158" s="53">
        <v>2.9646949999999999</v>
      </c>
      <c r="U158" s="53">
        <v>2.945376</v>
      </c>
      <c r="V158" s="53">
        <v>2.9129770000000001</v>
      </c>
      <c r="W158" s="53">
        <v>2.866209</v>
      </c>
      <c r="X158" s="53">
        <v>2.8311839999999999</v>
      </c>
      <c r="Y158" s="53">
        <v>2.8049379999999999</v>
      </c>
      <c r="Z158" s="53">
        <v>2.8051750000000002</v>
      </c>
      <c r="AA158" s="53">
        <v>2.801596</v>
      </c>
      <c r="AB158" s="53">
        <v>2.7906040000000001</v>
      </c>
      <c r="AC158" s="53">
        <v>2.77189</v>
      </c>
      <c r="AD158" s="53">
        <v>2.7784719999999998</v>
      </c>
      <c r="AE158" s="53">
        <v>2.7758609999999999</v>
      </c>
      <c r="AF158" s="35">
        <v>-9.9229999999999995E-3</v>
      </c>
      <c r="AG158" s="29"/>
    </row>
    <row r="159" spans="1:33" ht="15" customHeight="1">
      <c r="A159" s="34" t="s">
        <v>3477</v>
      </c>
      <c r="B159" s="37" t="s">
        <v>2718</v>
      </c>
      <c r="C159" s="53">
        <v>49.431980000000003</v>
      </c>
      <c r="D159" s="53">
        <v>45.542847000000002</v>
      </c>
      <c r="E159" s="53">
        <v>45.268478000000002</v>
      </c>
      <c r="F159" s="53">
        <v>45.772998999999999</v>
      </c>
      <c r="G159" s="53">
        <v>46.596305999999998</v>
      </c>
      <c r="H159" s="53">
        <v>47.511482000000001</v>
      </c>
      <c r="I159" s="53">
        <v>48.341670999999998</v>
      </c>
      <c r="J159" s="53">
        <v>48.947563000000002</v>
      </c>
      <c r="K159" s="53">
        <v>49.451210000000003</v>
      </c>
      <c r="L159" s="53">
        <v>49.984763999999998</v>
      </c>
      <c r="M159" s="53">
        <v>50.786850000000001</v>
      </c>
      <c r="N159" s="53">
        <v>51.546658000000001</v>
      </c>
      <c r="O159" s="53">
        <v>52.473503000000001</v>
      </c>
      <c r="P159" s="53">
        <v>53.500832000000003</v>
      </c>
      <c r="Q159" s="53">
        <v>54.566921000000001</v>
      </c>
      <c r="R159" s="53">
        <v>55.570480000000003</v>
      </c>
      <c r="S159" s="53">
        <v>56.594906000000002</v>
      </c>
      <c r="T159" s="53">
        <v>57.661358</v>
      </c>
      <c r="U159" s="53">
        <v>58.780006</v>
      </c>
      <c r="V159" s="53">
        <v>59.951134000000003</v>
      </c>
      <c r="W159" s="53">
        <v>61.276443</v>
      </c>
      <c r="X159" s="53">
        <v>62.630623</v>
      </c>
      <c r="Y159" s="53">
        <v>63.883408000000003</v>
      </c>
      <c r="Z159" s="53">
        <v>65.010422000000005</v>
      </c>
      <c r="AA159" s="53">
        <v>66.182777000000002</v>
      </c>
      <c r="AB159" s="53">
        <v>67.481407000000004</v>
      </c>
      <c r="AC159" s="53">
        <v>68.607985999999997</v>
      </c>
      <c r="AD159" s="53">
        <v>69.677291999999994</v>
      </c>
      <c r="AE159" s="53">
        <v>71.018249999999995</v>
      </c>
      <c r="AF159" s="35">
        <v>1.3025E-2</v>
      </c>
      <c r="AG159" s="29"/>
    </row>
    <row r="160" spans="1:33" ht="15" customHeight="1">
      <c r="A160" s="34" t="s">
        <v>3478</v>
      </c>
      <c r="B160" s="37" t="s">
        <v>1467</v>
      </c>
      <c r="C160" s="53">
        <v>19.264809</v>
      </c>
      <c r="D160" s="53">
        <v>18.741296999999999</v>
      </c>
      <c r="E160" s="53">
        <v>18.580164</v>
      </c>
      <c r="F160" s="53">
        <v>19.106950999999999</v>
      </c>
      <c r="G160" s="53">
        <v>19.788723000000001</v>
      </c>
      <c r="H160" s="53">
        <v>20.448235</v>
      </c>
      <c r="I160" s="53">
        <v>20.962799</v>
      </c>
      <c r="J160" s="53">
        <v>21.293015</v>
      </c>
      <c r="K160" s="53">
        <v>21.646908</v>
      </c>
      <c r="L160" s="53">
        <v>22.018677</v>
      </c>
      <c r="M160" s="53">
        <v>22.502756000000002</v>
      </c>
      <c r="N160" s="53">
        <v>22.901508</v>
      </c>
      <c r="O160" s="53">
        <v>23.365362000000001</v>
      </c>
      <c r="P160" s="53">
        <v>23.852315999999998</v>
      </c>
      <c r="Q160" s="53">
        <v>24.282225</v>
      </c>
      <c r="R160" s="53">
        <v>24.675756</v>
      </c>
      <c r="S160" s="53">
        <v>25.086183999999999</v>
      </c>
      <c r="T160" s="53">
        <v>25.41581</v>
      </c>
      <c r="U160" s="53">
        <v>25.891514000000001</v>
      </c>
      <c r="V160" s="53">
        <v>26.308672000000001</v>
      </c>
      <c r="W160" s="53">
        <v>26.708492</v>
      </c>
      <c r="X160" s="53">
        <v>27.117981</v>
      </c>
      <c r="Y160" s="53">
        <v>27.452486</v>
      </c>
      <c r="Z160" s="53">
        <v>27.759568999999999</v>
      </c>
      <c r="AA160" s="53">
        <v>28.15616</v>
      </c>
      <c r="AB160" s="53">
        <v>28.628588000000001</v>
      </c>
      <c r="AC160" s="53">
        <v>28.928305000000002</v>
      </c>
      <c r="AD160" s="53">
        <v>29.306732</v>
      </c>
      <c r="AE160" s="53">
        <v>29.912195000000001</v>
      </c>
      <c r="AF160" s="35">
        <v>1.5838000000000001E-2</v>
      </c>
      <c r="AG160" s="29"/>
    </row>
    <row r="161" spans="1:33" ht="15" customHeight="1">
      <c r="A161" s="34" t="s">
        <v>3479</v>
      </c>
      <c r="B161" s="37" t="s">
        <v>1484</v>
      </c>
      <c r="C161" s="53">
        <v>2.2993489999999999</v>
      </c>
      <c r="D161" s="53">
        <v>2.3204880000000001</v>
      </c>
      <c r="E161" s="53">
        <v>2.3293729999999999</v>
      </c>
      <c r="F161" s="53">
        <v>2.378593</v>
      </c>
      <c r="G161" s="53">
        <v>2.433573</v>
      </c>
      <c r="H161" s="53">
        <v>2.472235</v>
      </c>
      <c r="I161" s="53">
        <v>2.5103409999999999</v>
      </c>
      <c r="J161" s="53">
        <v>2.498831</v>
      </c>
      <c r="K161" s="53">
        <v>2.5165310000000001</v>
      </c>
      <c r="L161" s="53">
        <v>2.5069659999999998</v>
      </c>
      <c r="M161" s="53">
        <v>2.530135</v>
      </c>
      <c r="N161" s="53">
        <v>2.5424329999999999</v>
      </c>
      <c r="O161" s="53">
        <v>2.5593889999999999</v>
      </c>
      <c r="P161" s="53">
        <v>2.5815510000000002</v>
      </c>
      <c r="Q161" s="53">
        <v>2.5815679999999999</v>
      </c>
      <c r="R161" s="53">
        <v>2.6030259999999998</v>
      </c>
      <c r="S161" s="53">
        <v>2.6360899999999998</v>
      </c>
      <c r="T161" s="53">
        <v>2.63124</v>
      </c>
      <c r="U161" s="53">
        <v>2.6559430000000002</v>
      </c>
      <c r="V161" s="53">
        <v>2.6759590000000002</v>
      </c>
      <c r="W161" s="53">
        <v>2.6888489999999998</v>
      </c>
      <c r="X161" s="53">
        <v>2.6992750000000001</v>
      </c>
      <c r="Y161" s="53">
        <v>2.7089780000000001</v>
      </c>
      <c r="Z161" s="53">
        <v>2.7078060000000002</v>
      </c>
      <c r="AA161" s="53">
        <v>2.7159420000000001</v>
      </c>
      <c r="AB161" s="53">
        <v>2.7323</v>
      </c>
      <c r="AC161" s="53">
        <v>2.729714</v>
      </c>
      <c r="AD161" s="53">
        <v>2.735338</v>
      </c>
      <c r="AE161" s="53">
        <v>2.767541</v>
      </c>
      <c r="AF161" s="35">
        <v>6.6410000000000002E-3</v>
      </c>
      <c r="AG161" s="29"/>
    </row>
    <row r="162" spans="1:33" ht="15" customHeight="1">
      <c r="A162" s="34" t="s">
        <v>3480</v>
      </c>
      <c r="B162" s="37" t="s">
        <v>2722</v>
      </c>
      <c r="C162" s="53">
        <v>6.1126199999999997</v>
      </c>
      <c r="D162" s="53">
        <v>5.6792059999999998</v>
      </c>
      <c r="E162" s="53">
        <v>5.4263599999999999</v>
      </c>
      <c r="F162" s="53">
        <v>5.651967</v>
      </c>
      <c r="G162" s="53">
        <v>5.8235140000000003</v>
      </c>
      <c r="H162" s="53">
        <v>5.9791379999999998</v>
      </c>
      <c r="I162" s="53">
        <v>6.1051970000000004</v>
      </c>
      <c r="J162" s="53">
        <v>6.1549259999999997</v>
      </c>
      <c r="K162" s="53">
        <v>6.2495659999999997</v>
      </c>
      <c r="L162" s="53">
        <v>6.3720290000000004</v>
      </c>
      <c r="M162" s="53">
        <v>6.4928920000000003</v>
      </c>
      <c r="N162" s="53">
        <v>6.5699990000000001</v>
      </c>
      <c r="O162" s="53">
        <v>6.7157679999999997</v>
      </c>
      <c r="P162" s="53">
        <v>6.8336480000000002</v>
      </c>
      <c r="Q162" s="53">
        <v>6.9216240000000004</v>
      </c>
      <c r="R162" s="53">
        <v>7.0453530000000004</v>
      </c>
      <c r="S162" s="53">
        <v>7.1166</v>
      </c>
      <c r="T162" s="53">
        <v>7.1995990000000001</v>
      </c>
      <c r="U162" s="53">
        <v>7.3179290000000004</v>
      </c>
      <c r="V162" s="53">
        <v>7.415095</v>
      </c>
      <c r="W162" s="53">
        <v>7.5061270000000002</v>
      </c>
      <c r="X162" s="53">
        <v>7.604609</v>
      </c>
      <c r="Y162" s="53">
        <v>7.6760419999999998</v>
      </c>
      <c r="Z162" s="53">
        <v>7.729349</v>
      </c>
      <c r="AA162" s="53">
        <v>7.8132349999999997</v>
      </c>
      <c r="AB162" s="53">
        <v>7.919969</v>
      </c>
      <c r="AC162" s="53">
        <v>7.9622919999999997</v>
      </c>
      <c r="AD162" s="53">
        <v>8.0313730000000003</v>
      </c>
      <c r="AE162" s="53">
        <v>8.1762739999999994</v>
      </c>
      <c r="AF162" s="35">
        <v>1.0442999999999999E-2</v>
      </c>
      <c r="AG162" s="29"/>
    </row>
    <row r="163" spans="1:33" ht="15" customHeight="1">
      <c r="A163" s="34" t="s">
        <v>3481</v>
      </c>
      <c r="B163" s="37" t="s">
        <v>2724</v>
      </c>
      <c r="C163" s="53">
        <v>9.7057739999999999</v>
      </c>
      <c r="D163" s="53">
        <v>9.5975509999999993</v>
      </c>
      <c r="E163" s="53">
        <v>9.6375069999999994</v>
      </c>
      <c r="F163" s="53">
        <v>9.8503319999999999</v>
      </c>
      <c r="G163" s="53">
        <v>10.280419999999999</v>
      </c>
      <c r="H163" s="53">
        <v>10.707700000000001</v>
      </c>
      <c r="I163" s="53">
        <v>11.029987999999999</v>
      </c>
      <c r="J163" s="53">
        <v>11.287796</v>
      </c>
      <c r="K163" s="53">
        <v>11.491643</v>
      </c>
      <c r="L163" s="53">
        <v>11.728956999999999</v>
      </c>
      <c r="M163" s="53">
        <v>12.027969000000001</v>
      </c>
      <c r="N163" s="53">
        <v>12.306148</v>
      </c>
      <c r="O163" s="53">
        <v>12.609669</v>
      </c>
      <c r="P163" s="53">
        <v>12.917624</v>
      </c>
      <c r="Q163" s="53">
        <v>13.18859</v>
      </c>
      <c r="R163" s="53">
        <v>13.451544999999999</v>
      </c>
      <c r="S163" s="53">
        <v>13.728603</v>
      </c>
      <c r="T163" s="53">
        <v>13.982514</v>
      </c>
      <c r="U163" s="53">
        <v>14.25508</v>
      </c>
      <c r="V163" s="53">
        <v>14.486955999999999</v>
      </c>
      <c r="W163" s="53">
        <v>14.762522000000001</v>
      </c>
      <c r="X163" s="53">
        <v>15.051629</v>
      </c>
      <c r="Y163" s="53">
        <v>15.306683</v>
      </c>
      <c r="Z163" s="53">
        <v>15.558109999999999</v>
      </c>
      <c r="AA163" s="53">
        <v>15.849868000000001</v>
      </c>
      <c r="AB163" s="53">
        <v>16.174092999999999</v>
      </c>
      <c r="AC163" s="53">
        <v>16.424427000000001</v>
      </c>
      <c r="AD163" s="53">
        <v>16.715229000000001</v>
      </c>
      <c r="AE163" s="53">
        <v>17.118763000000001</v>
      </c>
      <c r="AF163" s="35">
        <v>2.0473000000000002E-2</v>
      </c>
      <c r="AG163" s="29"/>
    </row>
    <row r="164" spans="1:33" ht="15" customHeight="1">
      <c r="A164" s="34" t="s">
        <v>3482</v>
      </c>
      <c r="B164" s="37" t="s">
        <v>1469</v>
      </c>
      <c r="C164" s="53">
        <v>1.147065</v>
      </c>
      <c r="D164" s="53">
        <v>1.144053</v>
      </c>
      <c r="E164" s="53">
        <v>1.186922</v>
      </c>
      <c r="F164" s="53">
        <v>1.226057</v>
      </c>
      <c r="G164" s="53">
        <v>1.251217</v>
      </c>
      <c r="H164" s="53">
        <v>1.2891619999999999</v>
      </c>
      <c r="I164" s="53">
        <v>1.3172729999999999</v>
      </c>
      <c r="J164" s="53">
        <v>1.351461</v>
      </c>
      <c r="K164" s="53">
        <v>1.3891690000000001</v>
      </c>
      <c r="L164" s="53">
        <v>1.4107259999999999</v>
      </c>
      <c r="M164" s="53">
        <v>1.451759</v>
      </c>
      <c r="N164" s="53">
        <v>1.482928</v>
      </c>
      <c r="O164" s="53">
        <v>1.4805349999999999</v>
      </c>
      <c r="P164" s="53">
        <v>1.519495</v>
      </c>
      <c r="Q164" s="53">
        <v>1.590441</v>
      </c>
      <c r="R164" s="53">
        <v>1.575834</v>
      </c>
      <c r="S164" s="53">
        <v>1.6048899999999999</v>
      </c>
      <c r="T164" s="53">
        <v>1.602455</v>
      </c>
      <c r="U164" s="53">
        <v>1.6625620000000001</v>
      </c>
      <c r="V164" s="53">
        <v>1.730661</v>
      </c>
      <c r="W164" s="53">
        <v>1.7509950000000001</v>
      </c>
      <c r="X164" s="53">
        <v>1.7624690000000001</v>
      </c>
      <c r="Y164" s="53">
        <v>1.760783</v>
      </c>
      <c r="Z164" s="53">
        <v>1.764303</v>
      </c>
      <c r="AA164" s="53">
        <v>1.7771159999999999</v>
      </c>
      <c r="AB164" s="53">
        <v>1.8022260000000001</v>
      </c>
      <c r="AC164" s="53">
        <v>1.8118719999999999</v>
      </c>
      <c r="AD164" s="53">
        <v>1.8247930000000001</v>
      </c>
      <c r="AE164" s="53">
        <v>1.8496170000000001</v>
      </c>
      <c r="AF164" s="35">
        <v>1.721E-2</v>
      </c>
      <c r="AG164" s="29"/>
    </row>
    <row r="165" spans="1:33" ht="15" customHeight="1">
      <c r="A165" s="34" t="s">
        <v>3483</v>
      </c>
      <c r="B165" s="37" t="s">
        <v>2727</v>
      </c>
      <c r="C165" s="53">
        <v>30.167171</v>
      </c>
      <c r="D165" s="53">
        <v>26.801549999999999</v>
      </c>
      <c r="E165" s="53">
        <v>26.688316</v>
      </c>
      <c r="F165" s="53">
        <v>26.666048</v>
      </c>
      <c r="G165" s="53">
        <v>26.807585</v>
      </c>
      <c r="H165" s="53">
        <v>27.063248000000002</v>
      </c>
      <c r="I165" s="53">
        <v>27.378872000000001</v>
      </c>
      <c r="J165" s="53">
        <v>27.654548999999999</v>
      </c>
      <c r="K165" s="53">
        <v>27.804300000000001</v>
      </c>
      <c r="L165" s="53">
        <v>27.966087000000002</v>
      </c>
      <c r="M165" s="53">
        <v>28.284094</v>
      </c>
      <c r="N165" s="53">
        <v>28.645149</v>
      </c>
      <c r="O165" s="53">
        <v>29.108142999999998</v>
      </c>
      <c r="P165" s="53">
        <v>29.648513999999999</v>
      </c>
      <c r="Q165" s="53">
        <v>30.284697000000001</v>
      </c>
      <c r="R165" s="53">
        <v>30.894725999999999</v>
      </c>
      <c r="S165" s="53">
        <v>31.508721999999999</v>
      </c>
      <c r="T165" s="53">
        <v>32.245547999999999</v>
      </c>
      <c r="U165" s="53">
        <v>32.888492999999997</v>
      </c>
      <c r="V165" s="53">
        <v>33.642463999999997</v>
      </c>
      <c r="W165" s="53">
        <v>34.567951000000001</v>
      </c>
      <c r="X165" s="53">
        <v>35.512642</v>
      </c>
      <c r="Y165" s="53">
        <v>36.43092</v>
      </c>
      <c r="Z165" s="53">
        <v>37.250853999999997</v>
      </c>
      <c r="AA165" s="53">
        <v>38.026618999999997</v>
      </c>
      <c r="AB165" s="53">
        <v>38.852817999999999</v>
      </c>
      <c r="AC165" s="53">
        <v>39.679684000000002</v>
      </c>
      <c r="AD165" s="53">
        <v>40.370556000000001</v>
      </c>
      <c r="AE165" s="53">
        <v>41.106051999999998</v>
      </c>
      <c r="AF165" s="35">
        <v>1.1110999999999999E-2</v>
      </c>
      <c r="AG165" s="29"/>
    </row>
    <row r="166" spans="1:33" ht="15" customHeight="1">
      <c r="A166" s="34" t="s">
        <v>3484</v>
      </c>
      <c r="B166" s="37" t="s">
        <v>2729</v>
      </c>
      <c r="C166" s="53">
        <v>1.682849</v>
      </c>
      <c r="D166" s="53">
        <v>1.7770699999999999</v>
      </c>
      <c r="E166" s="53">
        <v>1.819059</v>
      </c>
      <c r="F166" s="53">
        <v>1.803104</v>
      </c>
      <c r="G166" s="53">
        <v>1.760669</v>
      </c>
      <c r="H166" s="53">
        <v>1.7500599999999999</v>
      </c>
      <c r="I166" s="53">
        <v>1.742232</v>
      </c>
      <c r="J166" s="53">
        <v>1.725096</v>
      </c>
      <c r="K166" s="53">
        <v>1.7000820000000001</v>
      </c>
      <c r="L166" s="53">
        <v>1.648291</v>
      </c>
      <c r="M166" s="53">
        <v>1.652166</v>
      </c>
      <c r="N166" s="53">
        <v>1.613909</v>
      </c>
      <c r="O166" s="53">
        <v>1.6038479999999999</v>
      </c>
      <c r="P166" s="53">
        <v>1.5992569999999999</v>
      </c>
      <c r="Q166" s="53">
        <v>1.566613</v>
      </c>
      <c r="R166" s="53">
        <v>1.531917</v>
      </c>
      <c r="S166" s="53">
        <v>1.5316149999999999</v>
      </c>
      <c r="T166" s="53">
        <v>1.5058419999999999</v>
      </c>
      <c r="U166" s="53">
        <v>1.4875929999999999</v>
      </c>
      <c r="V166" s="53">
        <v>1.4636210000000001</v>
      </c>
      <c r="W166" s="53">
        <v>1.4436279999999999</v>
      </c>
      <c r="X166" s="53">
        <v>1.4203380000000001</v>
      </c>
      <c r="Y166" s="53">
        <v>1.398323</v>
      </c>
      <c r="Z166" s="53">
        <v>1.377481</v>
      </c>
      <c r="AA166" s="53">
        <v>1.354231</v>
      </c>
      <c r="AB166" s="53">
        <v>1.329861</v>
      </c>
      <c r="AC166" s="53">
        <v>1.2994049999999999</v>
      </c>
      <c r="AD166" s="53">
        <v>1.273784</v>
      </c>
      <c r="AE166" s="53">
        <v>1.2525790000000001</v>
      </c>
      <c r="AF166" s="35">
        <v>-1.0489999999999999E-2</v>
      </c>
      <c r="AG166" s="29"/>
    </row>
    <row r="167" spans="1:33" ht="15" customHeight="1">
      <c r="A167" s="34" t="s">
        <v>3485</v>
      </c>
      <c r="B167" s="37" t="s">
        <v>2731</v>
      </c>
      <c r="C167" s="53">
        <v>6.1282000000000003E-2</v>
      </c>
      <c r="D167" s="53">
        <v>8.3483000000000002E-2</v>
      </c>
      <c r="E167" s="53">
        <v>8.4354999999999999E-2</v>
      </c>
      <c r="F167" s="53">
        <v>8.5384000000000002E-2</v>
      </c>
      <c r="G167" s="53">
        <v>8.6385000000000003E-2</v>
      </c>
      <c r="H167" s="53">
        <v>0.10412399999999999</v>
      </c>
      <c r="I167" s="53">
        <v>0.116535</v>
      </c>
      <c r="J167" s="53">
        <v>0.13503100000000001</v>
      </c>
      <c r="K167" s="53">
        <v>0.136379</v>
      </c>
      <c r="L167" s="53">
        <v>0.120619</v>
      </c>
      <c r="M167" s="53">
        <v>0.14010700000000001</v>
      </c>
      <c r="N167" s="53">
        <v>0.153754</v>
      </c>
      <c r="O167" s="53">
        <v>0.15625600000000001</v>
      </c>
      <c r="P167" s="53">
        <v>0.182617</v>
      </c>
      <c r="Q167" s="53">
        <v>0.185922</v>
      </c>
      <c r="R167" s="53">
        <v>0.18923200000000001</v>
      </c>
      <c r="S167" s="53">
        <v>0.212365</v>
      </c>
      <c r="T167" s="53">
        <v>0.21637400000000001</v>
      </c>
      <c r="U167" s="53">
        <v>0.22083</v>
      </c>
      <c r="V167" s="53">
        <v>0.22291800000000001</v>
      </c>
      <c r="W167" s="53">
        <v>0.229597</v>
      </c>
      <c r="X167" s="53">
        <v>0.23132800000000001</v>
      </c>
      <c r="Y167" s="53">
        <v>0.23317099999999999</v>
      </c>
      <c r="Z167" s="53">
        <v>0.23463899999999999</v>
      </c>
      <c r="AA167" s="53">
        <v>0.232575</v>
      </c>
      <c r="AB167" s="53">
        <v>0.23013</v>
      </c>
      <c r="AC167" s="53">
        <v>0.22680700000000001</v>
      </c>
      <c r="AD167" s="53">
        <v>0.221998</v>
      </c>
      <c r="AE167" s="53">
        <v>0.21698799999999999</v>
      </c>
      <c r="AF167" s="35">
        <v>4.6191000000000003E-2</v>
      </c>
      <c r="AG167" s="29"/>
    </row>
    <row r="168" spans="1:33" ht="15" customHeight="1">
      <c r="A168" s="34" t="s">
        <v>3486</v>
      </c>
      <c r="B168" s="37" t="s">
        <v>2733</v>
      </c>
      <c r="C168" s="53">
        <v>1.621567</v>
      </c>
      <c r="D168" s="53">
        <v>1.6935880000000001</v>
      </c>
      <c r="E168" s="53">
        <v>1.734704</v>
      </c>
      <c r="F168" s="53">
        <v>1.7177199999999999</v>
      </c>
      <c r="G168" s="53">
        <v>1.674285</v>
      </c>
      <c r="H168" s="53">
        <v>1.6459360000000001</v>
      </c>
      <c r="I168" s="53">
        <v>1.6256969999999999</v>
      </c>
      <c r="J168" s="53">
        <v>1.5900650000000001</v>
      </c>
      <c r="K168" s="53">
        <v>1.5637030000000001</v>
      </c>
      <c r="L168" s="53">
        <v>1.5276719999999999</v>
      </c>
      <c r="M168" s="53">
        <v>1.5120579999999999</v>
      </c>
      <c r="N168" s="53">
        <v>1.4601550000000001</v>
      </c>
      <c r="O168" s="53">
        <v>1.447592</v>
      </c>
      <c r="P168" s="53">
        <v>1.4166399999999999</v>
      </c>
      <c r="Q168" s="53">
        <v>1.3806909999999999</v>
      </c>
      <c r="R168" s="53">
        <v>1.3426849999999999</v>
      </c>
      <c r="S168" s="53">
        <v>1.31925</v>
      </c>
      <c r="T168" s="53">
        <v>1.2894680000000001</v>
      </c>
      <c r="U168" s="53">
        <v>1.2667630000000001</v>
      </c>
      <c r="V168" s="53">
        <v>1.2407029999999999</v>
      </c>
      <c r="W168" s="53">
        <v>1.2140310000000001</v>
      </c>
      <c r="X168" s="53">
        <v>1.1890099999999999</v>
      </c>
      <c r="Y168" s="53">
        <v>1.165152</v>
      </c>
      <c r="Z168" s="53">
        <v>1.1428419999999999</v>
      </c>
      <c r="AA168" s="53">
        <v>1.1216569999999999</v>
      </c>
      <c r="AB168" s="53">
        <v>1.099731</v>
      </c>
      <c r="AC168" s="53">
        <v>1.0725979999999999</v>
      </c>
      <c r="AD168" s="53">
        <v>1.0517860000000001</v>
      </c>
      <c r="AE168" s="53">
        <v>1.03559</v>
      </c>
      <c r="AF168" s="35">
        <v>-1.5886999999999998E-2</v>
      </c>
      <c r="AG168" s="29"/>
    </row>
    <row r="169" spans="1:33" ht="15" customHeight="1">
      <c r="A169" s="34" t="s">
        <v>3487</v>
      </c>
      <c r="B169" s="37" t="s">
        <v>2735</v>
      </c>
      <c r="C169" s="53">
        <v>12.832386</v>
      </c>
      <c r="D169" s="53">
        <v>12.548660999999999</v>
      </c>
      <c r="E169" s="53">
        <v>12.416409</v>
      </c>
      <c r="F169" s="53">
        <v>12.569960999999999</v>
      </c>
      <c r="G169" s="53">
        <v>12.872004</v>
      </c>
      <c r="H169" s="53">
        <v>13.140416</v>
      </c>
      <c r="I169" s="53">
        <v>13.367391</v>
      </c>
      <c r="J169" s="53">
        <v>13.570385</v>
      </c>
      <c r="K169" s="53">
        <v>13.754975</v>
      </c>
      <c r="L169" s="53">
        <v>13.978166999999999</v>
      </c>
      <c r="M169" s="53">
        <v>14.274470000000001</v>
      </c>
      <c r="N169" s="53">
        <v>14.518435</v>
      </c>
      <c r="O169" s="53">
        <v>14.747802999999999</v>
      </c>
      <c r="P169" s="53">
        <v>15.015105999999999</v>
      </c>
      <c r="Q169" s="53">
        <v>15.249879</v>
      </c>
      <c r="R169" s="53">
        <v>15.491777000000001</v>
      </c>
      <c r="S169" s="53">
        <v>15.727192000000001</v>
      </c>
      <c r="T169" s="53">
        <v>15.927156999999999</v>
      </c>
      <c r="U169" s="53">
        <v>16.13287</v>
      </c>
      <c r="V169" s="53">
        <v>16.376270000000002</v>
      </c>
      <c r="W169" s="53">
        <v>16.620716000000002</v>
      </c>
      <c r="X169" s="53">
        <v>16.889982</v>
      </c>
      <c r="Y169" s="53">
        <v>17.117058</v>
      </c>
      <c r="Z169" s="53">
        <v>17.318171</v>
      </c>
      <c r="AA169" s="53">
        <v>17.546064000000001</v>
      </c>
      <c r="AB169" s="53">
        <v>17.788423999999999</v>
      </c>
      <c r="AC169" s="53">
        <v>17.996191</v>
      </c>
      <c r="AD169" s="53">
        <v>18.21172</v>
      </c>
      <c r="AE169" s="53">
        <v>18.543082999999999</v>
      </c>
      <c r="AF169" s="35">
        <v>1.3233999999999999E-2</v>
      </c>
      <c r="AG169" s="29"/>
    </row>
    <row r="170" spans="1:33" ht="15" customHeight="1">
      <c r="A170" s="34" t="s">
        <v>3488</v>
      </c>
      <c r="B170" s="37" t="s">
        <v>1479</v>
      </c>
      <c r="C170" s="53">
        <v>4.4471160000000003</v>
      </c>
      <c r="D170" s="53">
        <v>4.2054559999999999</v>
      </c>
      <c r="E170" s="53">
        <v>4.1154849999999996</v>
      </c>
      <c r="F170" s="53">
        <v>4.1543859999999997</v>
      </c>
      <c r="G170" s="53">
        <v>4.2117310000000003</v>
      </c>
      <c r="H170" s="53">
        <v>4.2238949999999997</v>
      </c>
      <c r="I170" s="53">
        <v>4.2378749999999998</v>
      </c>
      <c r="J170" s="53">
        <v>4.2514149999999997</v>
      </c>
      <c r="K170" s="53">
        <v>4.2252850000000004</v>
      </c>
      <c r="L170" s="53">
        <v>4.2072240000000001</v>
      </c>
      <c r="M170" s="53">
        <v>4.2117389999999997</v>
      </c>
      <c r="N170" s="53">
        <v>4.1943619999999999</v>
      </c>
      <c r="O170" s="53">
        <v>4.1606019999999999</v>
      </c>
      <c r="P170" s="53">
        <v>4.149184</v>
      </c>
      <c r="Q170" s="53">
        <v>4.1320249999999996</v>
      </c>
      <c r="R170" s="53">
        <v>4.1247509999999998</v>
      </c>
      <c r="S170" s="53">
        <v>4.1346249999999998</v>
      </c>
      <c r="T170" s="53">
        <v>4.1297819999999996</v>
      </c>
      <c r="U170" s="53">
        <v>4.1349010000000002</v>
      </c>
      <c r="V170" s="53">
        <v>4.1399210000000002</v>
      </c>
      <c r="W170" s="53">
        <v>4.1242939999999999</v>
      </c>
      <c r="X170" s="53">
        <v>4.0845719999999996</v>
      </c>
      <c r="Y170" s="53">
        <v>4.0683470000000002</v>
      </c>
      <c r="Z170" s="53">
        <v>4.063377</v>
      </c>
      <c r="AA170" s="53">
        <v>4.0509409999999999</v>
      </c>
      <c r="AB170" s="53">
        <v>4.0364769999999996</v>
      </c>
      <c r="AC170" s="53">
        <v>4.008375</v>
      </c>
      <c r="AD170" s="53">
        <v>3.9790839999999998</v>
      </c>
      <c r="AE170" s="53">
        <v>3.9558749999999998</v>
      </c>
      <c r="AF170" s="35">
        <v>-4.1720000000000004E-3</v>
      </c>
      <c r="AG170" s="29"/>
    </row>
    <row r="171" spans="1:33" ht="15" customHeight="1">
      <c r="A171" s="34" t="s">
        <v>3489</v>
      </c>
      <c r="B171" s="37" t="s">
        <v>1477</v>
      </c>
      <c r="C171" s="53">
        <v>0.782748</v>
      </c>
      <c r="D171" s="53">
        <v>0.73072499999999996</v>
      </c>
      <c r="E171" s="53">
        <v>0.71182900000000005</v>
      </c>
      <c r="F171" s="53">
        <v>0.70837700000000003</v>
      </c>
      <c r="G171" s="53">
        <v>0.72436599999999995</v>
      </c>
      <c r="H171" s="53">
        <v>0.72526999999999997</v>
      </c>
      <c r="I171" s="53">
        <v>0.72970199999999996</v>
      </c>
      <c r="J171" s="53">
        <v>0.73363199999999995</v>
      </c>
      <c r="K171" s="53">
        <v>0.72822299999999995</v>
      </c>
      <c r="L171" s="53">
        <v>0.72558900000000004</v>
      </c>
      <c r="M171" s="53">
        <v>0.72632600000000003</v>
      </c>
      <c r="N171" s="53">
        <v>0.73295399999999999</v>
      </c>
      <c r="O171" s="53">
        <v>0.73675299999999999</v>
      </c>
      <c r="P171" s="53">
        <v>0.743313</v>
      </c>
      <c r="Q171" s="53">
        <v>0.74125099999999999</v>
      </c>
      <c r="R171" s="53">
        <v>0.74265400000000004</v>
      </c>
      <c r="S171" s="53">
        <v>0.747332</v>
      </c>
      <c r="T171" s="53">
        <v>0.75383699999999998</v>
      </c>
      <c r="U171" s="53">
        <v>0.76100400000000001</v>
      </c>
      <c r="V171" s="53">
        <v>0.76471900000000004</v>
      </c>
      <c r="W171" s="53">
        <v>0.76969699999999996</v>
      </c>
      <c r="X171" s="53">
        <v>0.76795599999999997</v>
      </c>
      <c r="Y171" s="53">
        <v>0.76894300000000004</v>
      </c>
      <c r="Z171" s="53">
        <v>0.77139100000000005</v>
      </c>
      <c r="AA171" s="53">
        <v>0.776725</v>
      </c>
      <c r="AB171" s="53">
        <v>0.77754699999999999</v>
      </c>
      <c r="AC171" s="53">
        <v>0.77368499999999996</v>
      </c>
      <c r="AD171" s="53">
        <v>0.77289699999999995</v>
      </c>
      <c r="AE171" s="53">
        <v>0.77422299999999999</v>
      </c>
      <c r="AF171" s="35">
        <v>-3.9100000000000002E-4</v>
      </c>
      <c r="AG171" s="29"/>
    </row>
    <row r="172" spans="1:33" ht="15" customHeight="1">
      <c r="A172" s="34" t="s">
        <v>3490</v>
      </c>
      <c r="B172" s="37" t="s">
        <v>1465</v>
      </c>
      <c r="C172" s="53">
        <v>0.27267999999999998</v>
      </c>
      <c r="D172" s="53">
        <v>0.26640599999999998</v>
      </c>
      <c r="E172" s="53">
        <v>0.26371</v>
      </c>
      <c r="F172" s="53">
        <v>0.27166699999999999</v>
      </c>
      <c r="G172" s="53">
        <v>0.27695599999999998</v>
      </c>
      <c r="H172" s="53">
        <v>0.27702399999999999</v>
      </c>
      <c r="I172" s="53">
        <v>0.278117</v>
      </c>
      <c r="J172" s="53">
        <v>0.27924599999999999</v>
      </c>
      <c r="K172" s="53">
        <v>0.28010699999999999</v>
      </c>
      <c r="L172" s="53">
        <v>0.282057</v>
      </c>
      <c r="M172" s="53">
        <v>0.28205200000000002</v>
      </c>
      <c r="N172" s="53">
        <v>0.27877299999999999</v>
      </c>
      <c r="O172" s="53">
        <v>0.27740799999999999</v>
      </c>
      <c r="P172" s="53">
        <v>0.27927299999999999</v>
      </c>
      <c r="Q172" s="53">
        <v>0.277451</v>
      </c>
      <c r="R172" s="53">
        <v>0.27726299999999998</v>
      </c>
      <c r="S172" s="53">
        <v>0.278086</v>
      </c>
      <c r="T172" s="53">
        <v>0.277916</v>
      </c>
      <c r="U172" s="53">
        <v>0.27738600000000002</v>
      </c>
      <c r="V172" s="53">
        <v>0.27653800000000001</v>
      </c>
      <c r="W172" s="53">
        <v>0.27488200000000002</v>
      </c>
      <c r="X172" s="53">
        <v>0.27131300000000003</v>
      </c>
      <c r="Y172" s="53">
        <v>0.26957799999999998</v>
      </c>
      <c r="Z172" s="53">
        <v>0.26854699999999998</v>
      </c>
      <c r="AA172" s="53">
        <v>0.26644000000000001</v>
      </c>
      <c r="AB172" s="53">
        <v>0.26391100000000001</v>
      </c>
      <c r="AC172" s="53">
        <v>0.26033400000000001</v>
      </c>
      <c r="AD172" s="53">
        <v>0.25647500000000001</v>
      </c>
      <c r="AE172" s="53">
        <v>0.25290800000000002</v>
      </c>
      <c r="AF172" s="35">
        <v>-2.6849999999999999E-3</v>
      </c>
      <c r="AG172" s="29"/>
    </row>
    <row r="173" spans="1:33" ht="15" customHeight="1">
      <c r="A173" s="34" t="s">
        <v>3491</v>
      </c>
      <c r="B173" s="37" t="s">
        <v>2740</v>
      </c>
      <c r="C173" s="53">
        <v>3.3916879999999998</v>
      </c>
      <c r="D173" s="53">
        <v>3.2083240000000002</v>
      </c>
      <c r="E173" s="53">
        <v>3.1399460000000001</v>
      </c>
      <c r="F173" s="53">
        <v>3.1743420000000002</v>
      </c>
      <c r="G173" s="53">
        <v>3.2104089999999998</v>
      </c>
      <c r="H173" s="53">
        <v>3.2216010000000002</v>
      </c>
      <c r="I173" s="53">
        <v>3.2300559999999998</v>
      </c>
      <c r="J173" s="53">
        <v>3.2385359999999999</v>
      </c>
      <c r="K173" s="53">
        <v>3.216955</v>
      </c>
      <c r="L173" s="53">
        <v>3.1995770000000001</v>
      </c>
      <c r="M173" s="53">
        <v>3.2033610000000001</v>
      </c>
      <c r="N173" s="53">
        <v>3.1826349999999999</v>
      </c>
      <c r="O173" s="53">
        <v>3.1464409999999998</v>
      </c>
      <c r="P173" s="53">
        <v>3.1265990000000001</v>
      </c>
      <c r="Q173" s="53">
        <v>3.1133229999999998</v>
      </c>
      <c r="R173" s="53">
        <v>3.1048330000000002</v>
      </c>
      <c r="S173" s="53">
        <v>3.1092080000000002</v>
      </c>
      <c r="T173" s="53">
        <v>3.0980300000000001</v>
      </c>
      <c r="U173" s="53">
        <v>3.0965120000000002</v>
      </c>
      <c r="V173" s="53">
        <v>3.0986639999999999</v>
      </c>
      <c r="W173" s="53">
        <v>3.0797150000000002</v>
      </c>
      <c r="X173" s="53">
        <v>3.0453030000000001</v>
      </c>
      <c r="Y173" s="53">
        <v>3.029827</v>
      </c>
      <c r="Z173" s="53">
        <v>3.0234390000000002</v>
      </c>
      <c r="AA173" s="53">
        <v>3.0077759999999998</v>
      </c>
      <c r="AB173" s="53">
        <v>2.9950199999999998</v>
      </c>
      <c r="AC173" s="53">
        <v>2.9743560000000002</v>
      </c>
      <c r="AD173" s="53">
        <v>2.9497119999999999</v>
      </c>
      <c r="AE173" s="53">
        <v>2.928744</v>
      </c>
      <c r="AF173" s="35">
        <v>-5.228E-3</v>
      </c>
      <c r="AG173" s="29"/>
    </row>
    <row r="174" spans="1:33" ht="15" customHeight="1">
      <c r="A174" s="34" t="s">
        <v>3492</v>
      </c>
      <c r="B174" s="37" t="s">
        <v>2742</v>
      </c>
      <c r="C174" s="53">
        <v>8.2903900000000004</v>
      </c>
      <c r="D174" s="53">
        <v>8.3129899999999992</v>
      </c>
      <c r="E174" s="53">
        <v>8.4657230000000006</v>
      </c>
      <c r="F174" s="53">
        <v>8.8152159999999995</v>
      </c>
      <c r="G174" s="53">
        <v>9.2854200000000002</v>
      </c>
      <c r="H174" s="53">
        <v>9.6582530000000002</v>
      </c>
      <c r="I174" s="53">
        <v>9.9816660000000006</v>
      </c>
      <c r="J174" s="53">
        <v>10.256558999999999</v>
      </c>
      <c r="K174" s="53">
        <v>10.473623999999999</v>
      </c>
      <c r="L174" s="53">
        <v>10.681931000000001</v>
      </c>
      <c r="M174" s="53">
        <v>10.929802</v>
      </c>
      <c r="N174" s="53">
        <v>11.190794</v>
      </c>
      <c r="O174" s="53">
        <v>11.484966</v>
      </c>
      <c r="P174" s="53">
        <v>11.818647</v>
      </c>
      <c r="Q174" s="53">
        <v>12.159954000000001</v>
      </c>
      <c r="R174" s="53">
        <v>12.503016000000001</v>
      </c>
      <c r="S174" s="53">
        <v>12.838901999999999</v>
      </c>
      <c r="T174" s="53">
        <v>13.180372</v>
      </c>
      <c r="U174" s="53">
        <v>13.567498000000001</v>
      </c>
      <c r="V174" s="53">
        <v>13.968647000000001</v>
      </c>
      <c r="W174" s="53">
        <v>14.361314999999999</v>
      </c>
      <c r="X174" s="53">
        <v>14.734819</v>
      </c>
      <c r="Y174" s="53">
        <v>15.112935999999999</v>
      </c>
      <c r="Z174" s="53">
        <v>15.516258000000001</v>
      </c>
      <c r="AA174" s="53">
        <v>15.941139</v>
      </c>
      <c r="AB174" s="53">
        <v>16.361279</v>
      </c>
      <c r="AC174" s="53">
        <v>16.746545999999999</v>
      </c>
      <c r="AD174" s="53">
        <v>17.142310999999999</v>
      </c>
      <c r="AE174" s="53">
        <v>17.593830000000001</v>
      </c>
      <c r="AF174" s="35">
        <v>2.7237999999999998E-2</v>
      </c>
      <c r="AG174" s="29"/>
    </row>
    <row r="175" spans="1:33" ht="15" customHeight="1">
      <c r="A175" s="34" t="s">
        <v>3493</v>
      </c>
      <c r="B175" s="37" t="s">
        <v>1464</v>
      </c>
      <c r="C175" s="53">
        <v>2.187351</v>
      </c>
      <c r="D175" s="53">
        <v>2.1748280000000002</v>
      </c>
      <c r="E175" s="53">
        <v>2.1558760000000001</v>
      </c>
      <c r="F175" s="53">
        <v>2.2366389999999998</v>
      </c>
      <c r="G175" s="53">
        <v>2.3816290000000002</v>
      </c>
      <c r="H175" s="53">
        <v>2.4832519999999998</v>
      </c>
      <c r="I175" s="53">
        <v>2.5702509999999998</v>
      </c>
      <c r="J175" s="53">
        <v>2.635958</v>
      </c>
      <c r="K175" s="53">
        <v>2.6811210000000001</v>
      </c>
      <c r="L175" s="53">
        <v>2.7386119999999998</v>
      </c>
      <c r="M175" s="53">
        <v>2.8360289999999999</v>
      </c>
      <c r="N175" s="53">
        <v>2.8946459999999998</v>
      </c>
      <c r="O175" s="53">
        <v>2.969665</v>
      </c>
      <c r="P175" s="53">
        <v>3.0432000000000001</v>
      </c>
      <c r="Q175" s="53">
        <v>3.1235499999999998</v>
      </c>
      <c r="R175" s="53">
        <v>3.2243719999999998</v>
      </c>
      <c r="S175" s="53">
        <v>3.3220839999999998</v>
      </c>
      <c r="T175" s="53">
        <v>3.390285</v>
      </c>
      <c r="U175" s="53">
        <v>3.4960239999999998</v>
      </c>
      <c r="V175" s="53">
        <v>3.6154850000000001</v>
      </c>
      <c r="W175" s="53">
        <v>3.7209110000000001</v>
      </c>
      <c r="X175" s="53">
        <v>3.8112970000000002</v>
      </c>
      <c r="Y175" s="53">
        <v>3.8914490000000002</v>
      </c>
      <c r="Z175" s="53">
        <v>3.9642770000000001</v>
      </c>
      <c r="AA175" s="53">
        <v>4.0526989999999996</v>
      </c>
      <c r="AB175" s="53">
        <v>4.1575870000000004</v>
      </c>
      <c r="AC175" s="53">
        <v>4.2452579999999998</v>
      </c>
      <c r="AD175" s="53">
        <v>4.3375240000000002</v>
      </c>
      <c r="AE175" s="53">
        <v>4.4701690000000003</v>
      </c>
      <c r="AF175" s="35">
        <v>2.5855E-2</v>
      </c>
      <c r="AG175" s="29"/>
    </row>
    <row r="176" spans="1:33" ht="15" customHeight="1">
      <c r="A176" s="34" t="s">
        <v>3494</v>
      </c>
      <c r="B176" s="37" t="s">
        <v>1482</v>
      </c>
      <c r="C176" s="53">
        <v>0.97065900000000005</v>
      </c>
      <c r="D176" s="53">
        <v>0.97314000000000001</v>
      </c>
      <c r="E176" s="53">
        <v>0.992255</v>
      </c>
      <c r="F176" s="53">
        <v>1.036462</v>
      </c>
      <c r="G176" s="53">
        <v>1.0900369999999999</v>
      </c>
      <c r="H176" s="53">
        <v>1.1318870000000001</v>
      </c>
      <c r="I176" s="53">
        <v>1.1719379999999999</v>
      </c>
      <c r="J176" s="53">
        <v>1.2104360000000001</v>
      </c>
      <c r="K176" s="53">
        <v>1.235554</v>
      </c>
      <c r="L176" s="53">
        <v>1.261876</v>
      </c>
      <c r="M176" s="53">
        <v>1.2849839999999999</v>
      </c>
      <c r="N176" s="53">
        <v>1.3152470000000001</v>
      </c>
      <c r="O176" s="53">
        <v>1.3528039999999999</v>
      </c>
      <c r="P176" s="53">
        <v>1.397934</v>
      </c>
      <c r="Q176" s="53">
        <v>1.425219</v>
      </c>
      <c r="R176" s="53">
        <v>1.462655</v>
      </c>
      <c r="S176" s="53">
        <v>1.488491</v>
      </c>
      <c r="T176" s="53">
        <v>1.532321</v>
      </c>
      <c r="U176" s="53">
        <v>1.553561</v>
      </c>
      <c r="V176" s="53">
        <v>1.582927</v>
      </c>
      <c r="W176" s="53">
        <v>1.627434</v>
      </c>
      <c r="X176" s="53">
        <v>1.663764</v>
      </c>
      <c r="Y176" s="53">
        <v>1.694275</v>
      </c>
      <c r="Z176" s="53">
        <v>1.7337020000000001</v>
      </c>
      <c r="AA176" s="53">
        <v>1.779261</v>
      </c>
      <c r="AB176" s="53">
        <v>1.8197159999999999</v>
      </c>
      <c r="AC176" s="53">
        <v>1.846697</v>
      </c>
      <c r="AD176" s="53">
        <v>1.880112</v>
      </c>
      <c r="AE176" s="53">
        <v>1.928142</v>
      </c>
      <c r="AF176" s="35">
        <v>2.4815E-2</v>
      </c>
      <c r="AG176" s="29"/>
    </row>
    <row r="177" spans="1:33" ht="15" customHeight="1">
      <c r="A177" s="34" t="s">
        <v>3495</v>
      </c>
      <c r="B177" s="37" t="s">
        <v>1486</v>
      </c>
      <c r="C177" s="53">
        <v>5.1323800000000004</v>
      </c>
      <c r="D177" s="53">
        <v>5.1650229999999997</v>
      </c>
      <c r="E177" s="53">
        <v>5.3175920000000003</v>
      </c>
      <c r="F177" s="53">
        <v>5.5421139999999998</v>
      </c>
      <c r="G177" s="53">
        <v>5.8137540000000003</v>
      </c>
      <c r="H177" s="53">
        <v>6.0431140000000001</v>
      </c>
      <c r="I177" s="53">
        <v>6.2394769999999999</v>
      </c>
      <c r="J177" s="53">
        <v>6.4101660000000003</v>
      </c>
      <c r="K177" s="53">
        <v>6.5569490000000004</v>
      </c>
      <c r="L177" s="53">
        <v>6.6814429999999998</v>
      </c>
      <c r="M177" s="53">
        <v>6.8087900000000001</v>
      </c>
      <c r="N177" s="53">
        <v>6.9809020000000004</v>
      </c>
      <c r="O177" s="53">
        <v>7.1624980000000003</v>
      </c>
      <c r="P177" s="53">
        <v>7.3775130000000004</v>
      </c>
      <c r="Q177" s="53">
        <v>7.611186</v>
      </c>
      <c r="R177" s="53">
        <v>7.8159879999999999</v>
      </c>
      <c r="S177" s="53">
        <v>8.0283270000000009</v>
      </c>
      <c r="T177" s="53">
        <v>8.2577669999999994</v>
      </c>
      <c r="U177" s="53">
        <v>8.5179139999999993</v>
      </c>
      <c r="V177" s="53">
        <v>8.7702360000000006</v>
      </c>
      <c r="W177" s="53">
        <v>9.0129699999999993</v>
      </c>
      <c r="X177" s="53">
        <v>9.2597579999999997</v>
      </c>
      <c r="Y177" s="53">
        <v>9.5272109999999994</v>
      </c>
      <c r="Z177" s="53">
        <v>9.8182799999999997</v>
      </c>
      <c r="AA177" s="53">
        <v>10.109178999999999</v>
      </c>
      <c r="AB177" s="53">
        <v>10.383974</v>
      </c>
      <c r="AC177" s="53">
        <v>10.654591999999999</v>
      </c>
      <c r="AD177" s="53">
        <v>10.924675000000001</v>
      </c>
      <c r="AE177" s="53">
        <v>11.19552</v>
      </c>
      <c r="AF177" s="35">
        <v>2.8247000000000001E-2</v>
      </c>
      <c r="AG177" s="29"/>
    </row>
    <row r="178" spans="1:33" ht="15" customHeight="1">
      <c r="A178" s="34" t="s">
        <v>3496</v>
      </c>
      <c r="B178" s="37" t="s">
        <v>2747</v>
      </c>
      <c r="C178" s="53">
        <v>21.825529</v>
      </c>
      <c r="D178" s="53">
        <v>21.404240000000001</v>
      </c>
      <c r="E178" s="53">
        <v>21.247699999999998</v>
      </c>
      <c r="F178" s="53">
        <v>21.639766999999999</v>
      </c>
      <c r="G178" s="53">
        <v>22.354834</v>
      </c>
      <c r="H178" s="53">
        <v>22.958829999999999</v>
      </c>
      <c r="I178" s="53">
        <v>23.312875999999999</v>
      </c>
      <c r="J178" s="53">
        <v>23.584226999999998</v>
      </c>
      <c r="K178" s="53">
        <v>23.752950999999999</v>
      </c>
      <c r="L178" s="53">
        <v>24.003592000000001</v>
      </c>
      <c r="M178" s="53">
        <v>24.516331000000001</v>
      </c>
      <c r="N178" s="53">
        <v>24.954951999999999</v>
      </c>
      <c r="O178" s="53">
        <v>25.319241000000002</v>
      </c>
      <c r="P178" s="53">
        <v>25.807338999999999</v>
      </c>
      <c r="Q178" s="53">
        <v>26.341049000000002</v>
      </c>
      <c r="R178" s="53">
        <v>26.924982</v>
      </c>
      <c r="S178" s="53">
        <v>27.521725</v>
      </c>
      <c r="T178" s="53">
        <v>27.961743999999999</v>
      </c>
      <c r="U178" s="53">
        <v>28.381401</v>
      </c>
      <c r="V178" s="53">
        <v>28.929047000000001</v>
      </c>
      <c r="W178" s="53">
        <v>29.390516000000002</v>
      </c>
      <c r="X178" s="53">
        <v>29.77685</v>
      </c>
      <c r="Y178" s="53">
        <v>30.027495999999999</v>
      </c>
      <c r="Z178" s="53">
        <v>30.158404999999998</v>
      </c>
      <c r="AA178" s="53">
        <v>30.312483</v>
      </c>
      <c r="AB178" s="53">
        <v>30.569244000000001</v>
      </c>
      <c r="AC178" s="53">
        <v>30.691236</v>
      </c>
      <c r="AD178" s="53">
        <v>30.714855</v>
      </c>
      <c r="AE178" s="53">
        <v>31.150348999999999</v>
      </c>
      <c r="AF178" s="35">
        <v>1.2786E-2</v>
      </c>
      <c r="AG178" s="29"/>
    </row>
    <row r="179" spans="1:33" ht="15" customHeight="1">
      <c r="A179" s="34" t="s">
        <v>3497</v>
      </c>
      <c r="B179" s="37" t="s">
        <v>2749</v>
      </c>
      <c r="C179" s="53">
        <v>15.857888000000001</v>
      </c>
      <c r="D179" s="53">
        <v>15.402652</v>
      </c>
      <c r="E179" s="53">
        <v>15.245317</v>
      </c>
      <c r="F179" s="53">
        <v>15.293476</v>
      </c>
      <c r="G179" s="53">
        <v>15.726604</v>
      </c>
      <c r="H179" s="53">
        <v>16.101503000000001</v>
      </c>
      <c r="I179" s="53">
        <v>16.177040000000002</v>
      </c>
      <c r="J179" s="53">
        <v>16.216698000000001</v>
      </c>
      <c r="K179" s="53">
        <v>16.264555000000001</v>
      </c>
      <c r="L179" s="53">
        <v>16.378993999999999</v>
      </c>
      <c r="M179" s="53">
        <v>16.678626999999999</v>
      </c>
      <c r="N179" s="53">
        <v>16.851990000000001</v>
      </c>
      <c r="O179" s="53">
        <v>16.99419</v>
      </c>
      <c r="P179" s="53">
        <v>17.181643000000001</v>
      </c>
      <c r="Q179" s="53">
        <v>17.322596000000001</v>
      </c>
      <c r="R179" s="53">
        <v>17.461748</v>
      </c>
      <c r="S179" s="53">
        <v>17.602798</v>
      </c>
      <c r="T179" s="53">
        <v>17.671493999999999</v>
      </c>
      <c r="U179" s="53">
        <v>17.758997000000001</v>
      </c>
      <c r="V179" s="53">
        <v>17.881180000000001</v>
      </c>
      <c r="W179" s="53">
        <v>17.953129000000001</v>
      </c>
      <c r="X179" s="53">
        <v>17.969094999999999</v>
      </c>
      <c r="Y179" s="53">
        <v>17.939705</v>
      </c>
      <c r="Z179" s="53">
        <v>17.882598999999999</v>
      </c>
      <c r="AA179" s="53">
        <v>17.897296999999998</v>
      </c>
      <c r="AB179" s="53">
        <v>17.930315</v>
      </c>
      <c r="AC179" s="53">
        <v>17.937636999999999</v>
      </c>
      <c r="AD179" s="53">
        <v>17.878547999999999</v>
      </c>
      <c r="AE179" s="53">
        <v>17.932120999999999</v>
      </c>
      <c r="AF179" s="35">
        <v>4.4000000000000003E-3</v>
      </c>
      <c r="AG179" s="29"/>
    </row>
    <row r="180" spans="1:33" ht="15" customHeight="1">
      <c r="A180" s="34" t="s">
        <v>3498</v>
      </c>
      <c r="B180" s="37" t="s">
        <v>2751</v>
      </c>
      <c r="C180" s="53">
        <v>54.002594000000002</v>
      </c>
      <c r="D180" s="53">
        <v>55.417416000000003</v>
      </c>
      <c r="E180" s="53">
        <v>57.500458000000002</v>
      </c>
      <c r="F180" s="53">
        <v>60.093581999999998</v>
      </c>
      <c r="G180" s="53">
        <v>62.967284999999997</v>
      </c>
      <c r="H180" s="53">
        <v>65.528762999999998</v>
      </c>
      <c r="I180" s="53">
        <v>67.844359999999995</v>
      </c>
      <c r="J180" s="53">
        <v>69.679351999999994</v>
      </c>
      <c r="K180" s="53">
        <v>71.235878</v>
      </c>
      <c r="L180" s="53">
        <v>72.965096000000003</v>
      </c>
      <c r="M180" s="53">
        <v>75.002228000000002</v>
      </c>
      <c r="N180" s="53">
        <v>77.080207999999999</v>
      </c>
      <c r="O180" s="53">
        <v>79.271179000000004</v>
      </c>
      <c r="P180" s="53">
        <v>81.452454000000003</v>
      </c>
      <c r="Q180" s="53">
        <v>83.713798999999995</v>
      </c>
      <c r="R180" s="53">
        <v>86.234443999999996</v>
      </c>
      <c r="S180" s="53">
        <v>88.835030000000003</v>
      </c>
      <c r="T180" s="53">
        <v>91.554184000000006</v>
      </c>
      <c r="U180" s="53">
        <v>94.556426999999999</v>
      </c>
      <c r="V180" s="53">
        <v>97.548714000000004</v>
      </c>
      <c r="W180" s="53">
        <v>100.372589</v>
      </c>
      <c r="X180" s="53">
        <v>103.351089</v>
      </c>
      <c r="Y180" s="53">
        <v>106.27401</v>
      </c>
      <c r="Z180" s="53">
        <v>109.093636</v>
      </c>
      <c r="AA180" s="53">
        <v>112.004745</v>
      </c>
      <c r="AB180" s="53">
        <v>115.01171100000001</v>
      </c>
      <c r="AC180" s="53">
        <v>117.964027</v>
      </c>
      <c r="AD180" s="53">
        <v>121.161674</v>
      </c>
      <c r="AE180" s="53">
        <v>124.70706199999999</v>
      </c>
      <c r="AF180" s="35">
        <v>3.0342000000000001E-2</v>
      </c>
      <c r="AG180" s="29"/>
    </row>
    <row r="181" spans="1:33" ht="15" customHeight="1">
      <c r="A181" s="34" t="s">
        <v>3499</v>
      </c>
      <c r="B181" s="37" t="s">
        <v>2753</v>
      </c>
      <c r="C181" s="53">
        <v>39.692855999999999</v>
      </c>
      <c r="D181" s="53">
        <v>41.470005</v>
      </c>
      <c r="E181" s="53">
        <v>42.164603999999997</v>
      </c>
      <c r="F181" s="53">
        <v>42.026660999999997</v>
      </c>
      <c r="G181" s="53">
        <v>42.445591</v>
      </c>
      <c r="H181" s="53">
        <v>43.647781000000002</v>
      </c>
      <c r="I181" s="53">
        <v>44.641635999999998</v>
      </c>
      <c r="J181" s="53">
        <v>45.353489000000003</v>
      </c>
      <c r="K181" s="53">
        <v>46.234561999999997</v>
      </c>
      <c r="L181" s="53">
        <v>47.418289000000001</v>
      </c>
      <c r="M181" s="53">
        <v>48.972526999999999</v>
      </c>
      <c r="N181" s="53">
        <v>50.410881000000003</v>
      </c>
      <c r="O181" s="53">
        <v>51.563526000000003</v>
      </c>
      <c r="P181" s="53">
        <v>52.779949000000002</v>
      </c>
      <c r="Q181" s="53">
        <v>53.930655999999999</v>
      </c>
      <c r="R181" s="53">
        <v>54.881000999999998</v>
      </c>
      <c r="S181" s="53">
        <v>55.856464000000003</v>
      </c>
      <c r="T181" s="53">
        <v>56.874577000000002</v>
      </c>
      <c r="U181" s="53">
        <v>58.091647999999999</v>
      </c>
      <c r="V181" s="53">
        <v>59.526694999999997</v>
      </c>
      <c r="W181" s="53">
        <v>60.914318000000002</v>
      </c>
      <c r="X181" s="53">
        <v>62.177624000000002</v>
      </c>
      <c r="Y181" s="53">
        <v>63.306854000000001</v>
      </c>
      <c r="Z181" s="53">
        <v>64.452606000000003</v>
      </c>
      <c r="AA181" s="53">
        <v>65.849602000000004</v>
      </c>
      <c r="AB181" s="53">
        <v>67.325057999999999</v>
      </c>
      <c r="AC181" s="53">
        <v>68.701560999999998</v>
      </c>
      <c r="AD181" s="53">
        <v>70.048889000000003</v>
      </c>
      <c r="AE181" s="53">
        <v>71.654831000000001</v>
      </c>
      <c r="AF181" s="35">
        <v>2.1319999999999999E-2</v>
      </c>
      <c r="AG181" s="29"/>
    </row>
    <row r="182" spans="1:33" ht="15" customHeight="1">
      <c r="A182" s="34" t="s">
        <v>3500</v>
      </c>
      <c r="B182" s="37" t="s">
        <v>2755</v>
      </c>
      <c r="C182" s="53">
        <v>8.6366680000000002</v>
      </c>
      <c r="D182" s="53">
        <v>8.5612119999999994</v>
      </c>
      <c r="E182" s="53">
        <v>8.5845179999999992</v>
      </c>
      <c r="F182" s="53">
        <v>8.7177190000000007</v>
      </c>
      <c r="G182" s="53">
        <v>8.8511129999999998</v>
      </c>
      <c r="H182" s="53">
        <v>8.9654389999999999</v>
      </c>
      <c r="I182" s="53">
        <v>9.0563599999999997</v>
      </c>
      <c r="J182" s="53">
        <v>9.1190920000000002</v>
      </c>
      <c r="K182" s="53">
        <v>9.1575399999999991</v>
      </c>
      <c r="L182" s="53">
        <v>9.1468299999999996</v>
      </c>
      <c r="M182" s="53">
        <v>9.2587799999999998</v>
      </c>
      <c r="N182" s="53">
        <v>9.4400700000000004</v>
      </c>
      <c r="O182" s="53">
        <v>9.6090769999999992</v>
      </c>
      <c r="P182" s="53">
        <v>9.7887900000000005</v>
      </c>
      <c r="Q182" s="53">
        <v>9.9692930000000004</v>
      </c>
      <c r="R182" s="53">
        <v>10.161377999999999</v>
      </c>
      <c r="S182" s="53">
        <v>10.373096</v>
      </c>
      <c r="T182" s="53">
        <v>10.576425</v>
      </c>
      <c r="U182" s="53">
        <v>10.794048999999999</v>
      </c>
      <c r="V182" s="53">
        <v>11.016588</v>
      </c>
      <c r="W182" s="53">
        <v>11.211</v>
      </c>
      <c r="X182" s="53">
        <v>11.419149000000001</v>
      </c>
      <c r="Y182" s="53">
        <v>11.61792</v>
      </c>
      <c r="Z182" s="53">
        <v>11.803307</v>
      </c>
      <c r="AA182" s="53">
        <v>11.993223</v>
      </c>
      <c r="AB182" s="53">
        <v>12.19365</v>
      </c>
      <c r="AC182" s="53">
        <v>12.391105</v>
      </c>
      <c r="AD182" s="53">
        <v>12.577318</v>
      </c>
      <c r="AE182" s="53">
        <v>12.817639</v>
      </c>
      <c r="AF182" s="35">
        <v>1.4200000000000001E-2</v>
      </c>
      <c r="AG182" s="29"/>
    </row>
    <row r="183" spans="1:33" ht="15" customHeight="1">
      <c r="A183" s="34" t="s">
        <v>3501</v>
      </c>
      <c r="B183" s="37" t="s">
        <v>1475</v>
      </c>
      <c r="C183" s="53">
        <v>12.989666</v>
      </c>
      <c r="D183" s="53">
        <v>12.755262</v>
      </c>
      <c r="E183" s="53">
        <v>12.606475</v>
      </c>
      <c r="F183" s="53">
        <v>12.1601</v>
      </c>
      <c r="G183" s="53">
        <v>11.932327000000001</v>
      </c>
      <c r="H183" s="53">
        <v>11.811977000000001</v>
      </c>
      <c r="I183" s="53">
        <v>11.772449</v>
      </c>
      <c r="J183" s="53">
        <v>11.774907000000001</v>
      </c>
      <c r="K183" s="53">
        <v>11.801123</v>
      </c>
      <c r="L183" s="53">
        <v>11.799314000000001</v>
      </c>
      <c r="M183" s="53">
        <v>11.889355</v>
      </c>
      <c r="N183" s="53">
        <v>11.999556999999999</v>
      </c>
      <c r="O183" s="53">
        <v>12.100042999999999</v>
      </c>
      <c r="P183" s="53">
        <v>12.171023</v>
      </c>
      <c r="Q183" s="53">
        <v>12.202059</v>
      </c>
      <c r="R183" s="53">
        <v>12.268112</v>
      </c>
      <c r="S183" s="53">
        <v>12.333688</v>
      </c>
      <c r="T183" s="53">
        <v>12.398439</v>
      </c>
      <c r="U183" s="53">
        <v>12.477065</v>
      </c>
      <c r="V183" s="53">
        <v>12.534775</v>
      </c>
      <c r="W183" s="53">
        <v>12.597605</v>
      </c>
      <c r="X183" s="53">
        <v>12.656910999999999</v>
      </c>
      <c r="Y183" s="53">
        <v>12.686629999999999</v>
      </c>
      <c r="Z183" s="53">
        <v>12.722234</v>
      </c>
      <c r="AA183" s="53">
        <v>12.771768</v>
      </c>
      <c r="AB183" s="53">
        <v>12.836311</v>
      </c>
      <c r="AC183" s="53">
        <v>12.880858999999999</v>
      </c>
      <c r="AD183" s="53">
        <v>12.906007000000001</v>
      </c>
      <c r="AE183" s="53">
        <v>13.008544000000001</v>
      </c>
      <c r="AF183" s="35">
        <v>5.1999999999999997E-5</v>
      </c>
      <c r="AG183" s="29"/>
    </row>
    <row r="184" spans="1:33" ht="15" customHeight="1">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row>
    <row r="185" spans="1:33" ht="12" customHeight="1">
      <c r="A185" s="34" t="s">
        <v>3502</v>
      </c>
      <c r="B185" s="33" t="s">
        <v>2758</v>
      </c>
      <c r="C185" s="40">
        <v>372.35098299999999</v>
      </c>
      <c r="D185" s="40">
        <v>368.273438</v>
      </c>
      <c r="E185" s="40">
        <v>369.88119499999999</v>
      </c>
      <c r="F185" s="40">
        <v>374.82702599999999</v>
      </c>
      <c r="G185" s="40">
        <v>382.22119099999998</v>
      </c>
      <c r="H185" s="40">
        <v>389.53146400000003</v>
      </c>
      <c r="I185" s="40">
        <v>396.06900000000002</v>
      </c>
      <c r="J185" s="40">
        <v>402.11251800000002</v>
      </c>
      <c r="K185" s="40">
        <v>407.26812699999999</v>
      </c>
      <c r="L185" s="40">
        <v>412.40817299999998</v>
      </c>
      <c r="M185" s="40">
        <v>418.96878099999998</v>
      </c>
      <c r="N185" s="40">
        <v>425.06146200000001</v>
      </c>
      <c r="O185" s="40">
        <v>431.16790800000001</v>
      </c>
      <c r="P185" s="40">
        <v>437.93911700000001</v>
      </c>
      <c r="Q185" s="40">
        <v>444.82672100000002</v>
      </c>
      <c r="R185" s="40">
        <v>452.17022700000001</v>
      </c>
      <c r="S185" s="40">
        <v>459.75228900000002</v>
      </c>
      <c r="T185" s="40">
        <v>467.08892800000001</v>
      </c>
      <c r="U185" s="40">
        <v>475.24993899999998</v>
      </c>
      <c r="V185" s="40">
        <v>484.001465</v>
      </c>
      <c r="W185" s="40">
        <v>492.27569599999998</v>
      </c>
      <c r="X185" s="40">
        <v>500.32229599999999</v>
      </c>
      <c r="Y185" s="40">
        <v>507.76611300000002</v>
      </c>
      <c r="Z185" s="40">
        <v>514.90637200000003</v>
      </c>
      <c r="AA185" s="40">
        <v>522.63641399999995</v>
      </c>
      <c r="AB185" s="40">
        <v>530.850098</v>
      </c>
      <c r="AC185" s="40">
        <v>538.26855499999999</v>
      </c>
      <c r="AD185" s="40">
        <v>545.60736099999997</v>
      </c>
      <c r="AE185" s="40">
        <v>555.13592500000004</v>
      </c>
      <c r="AF185" s="31">
        <v>1.4366E-2</v>
      </c>
      <c r="AG185" s="29"/>
    </row>
    <row r="186" spans="1:33" ht="12" customHeight="1">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row>
    <row r="187" spans="1:33" ht="12" customHeight="1" thickBot="1">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row>
    <row r="188" spans="1:33" ht="12" customHeight="1">
      <c r="B188" s="54" t="s">
        <v>2584</v>
      </c>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29"/>
    </row>
    <row r="189" spans="1:33" ht="12" customHeight="1">
      <c r="B189" s="29" t="s">
        <v>2759</v>
      </c>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row>
    <row r="190" spans="1:33" ht="12" customHeight="1">
      <c r="B190" s="29" t="s">
        <v>2760</v>
      </c>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row>
    <row r="191" spans="1:33" ht="12" customHeight="1">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row>
    <row r="192" spans="1:33" ht="12" customHeight="1">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row>
    <row r="193" spans="2:33" ht="12" customHeight="1">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row>
    <row r="194" spans="2:33" ht="12" customHeight="1">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row>
    <row r="195" spans="2:33" ht="12" customHeight="1">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row>
    <row r="196" spans="2:33" ht="12" customHeight="1">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row>
    <row r="197" spans="2:33" ht="12" customHeight="1">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row>
    <row r="198" spans="2:33" ht="12" customHeight="1">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row>
    <row r="199" spans="2:33" ht="12" customHeight="1">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row>
    <row r="200" spans="2:33" ht="15" customHeight="1">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row>
    <row r="201" spans="2:33" ht="15" customHeight="1">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row>
    <row r="202" spans="2:33" ht="15" customHeight="1">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row>
    <row r="203" spans="2:33" ht="15" customHeight="1">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row>
    <row r="204" spans="2:33" ht="15" customHeight="1">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row>
    <row r="205" spans="2:33" ht="15" customHeight="1">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row>
    <row r="206" spans="2:33" ht="15" customHeight="1">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row>
    <row r="207" spans="2:33" ht="15" customHeight="1">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row>
    <row r="208" spans="2:33" ht="15" customHeight="1">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row>
    <row r="209" spans="2:33" ht="15" customHeight="1">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row>
    <row r="210" spans="2:33" ht="15" customHeight="1">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row>
    <row r="211" spans="2:33" ht="15" customHeight="1">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row>
    <row r="212" spans="2:33" ht="15" customHeight="1">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row>
    <row r="213" spans="2:33" ht="15" customHeight="1">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row>
    <row r="214" spans="2:33" ht="15" customHeight="1">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row>
    <row r="215" spans="2:33" ht="15" customHeight="1">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row>
    <row r="216" spans="2:33" ht="15" customHeight="1">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row>
    <row r="217" spans="2:33" ht="15" customHeight="1">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row>
    <row r="218" spans="2:33" ht="15" customHeight="1">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row>
    <row r="219" spans="2:33" ht="12" customHeight="1">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row>
    <row r="220" spans="2:33" ht="15" customHeight="1">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row>
    <row r="221" spans="2:33" ht="15" customHeight="1">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row>
    <row r="222" spans="2:33" ht="15" customHeight="1">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row>
    <row r="223" spans="2:33" ht="15" customHeight="1">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row>
    <row r="224" spans="2:33" ht="15" customHeight="1">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row>
    <row r="225" spans="2:33" ht="15" customHeight="1">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row>
    <row r="226" spans="2:33" ht="15" customHeight="1">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row>
    <row r="227" spans="2:33" ht="15" customHeight="1">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row>
    <row r="228" spans="2:33" ht="15" customHeight="1">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row>
    <row r="229" spans="2:33" ht="15" customHeight="1">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row>
    <row r="230" spans="2:33" ht="15" customHeight="1">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row>
    <row r="231" spans="2:33" ht="15" customHeight="1">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row>
    <row r="232" spans="2:33" ht="15" customHeight="1">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row>
    <row r="233" spans="2:33" ht="15" customHeight="1">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row>
    <row r="234" spans="2:33" ht="12" customHeight="1">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row>
    <row r="235" spans="2:33" ht="15" customHeight="1">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row>
    <row r="236" spans="2:33" ht="12" customHeight="1">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row>
    <row r="237" spans="2:33" ht="15" customHeight="1">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row>
    <row r="238" spans="2:33" ht="15" customHeight="1">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row>
    <row r="239" spans="2:33" ht="15" customHeight="1">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row>
    <row r="240" spans="2:33" ht="15" customHeight="1">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row>
    <row r="241" spans="2:33" ht="12" customHeight="1">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row>
    <row r="242" spans="2:33" ht="15" customHeight="1">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row>
    <row r="243" spans="2:33" ht="15" customHeight="1">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row>
    <row r="244" spans="2:33" ht="15" customHeight="1">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row>
    <row r="245" spans="2:33" ht="12" customHeight="1">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row>
    <row r="246" spans="2:33" ht="15" customHeight="1">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row>
    <row r="247" spans="2:33" ht="15" customHeight="1">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row>
    <row r="248" spans="2:33" ht="15" customHeight="1">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row>
    <row r="249" spans="2:33" ht="15" customHeight="1">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row>
    <row r="250" spans="2:33" ht="12" customHeight="1">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row>
    <row r="251" spans="2:33" ht="15" customHeight="1">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row>
    <row r="252" spans="2:33" ht="15" customHeight="1">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row>
    <row r="253" spans="2:33" ht="12" customHeight="1">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row>
    <row r="254" spans="2:33" ht="15" customHeight="1">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row>
    <row r="255" spans="2:33" ht="15" customHeight="1">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row>
    <row r="256" spans="2:33" ht="15" customHeight="1">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row>
    <row r="257" spans="2:33" ht="12" customHeight="1">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row>
    <row r="258" spans="2:33" ht="15" customHeight="1">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row>
    <row r="259" spans="2:33" ht="15" customHeight="1">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row>
    <row r="260" spans="2:33" ht="15" customHeight="1">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row>
    <row r="261" spans="2:33" ht="12" customHeight="1">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row>
    <row r="262" spans="2:33" ht="15" customHeight="1">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row>
    <row r="263" spans="2:33" ht="15" customHeight="1">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row>
    <row r="264" spans="2:33" ht="12" customHeight="1">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row>
    <row r="265" spans="2:33" ht="15" customHeight="1">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row>
    <row r="266" spans="2:33" ht="15" customHeight="1">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row>
    <row r="267" spans="2:33" ht="15" customHeight="1">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row>
    <row r="268" spans="2:33" ht="15" customHeight="1">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row>
    <row r="269" spans="2:33" ht="15" customHeight="1">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row>
    <row r="270" spans="2:33" ht="15" customHeight="1">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row>
    <row r="271" spans="2:33" ht="15" customHeight="1">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row>
    <row r="272" spans="2:33" ht="15" customHeight="1">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row>
    <row r="273" spans="1:33" ht="15" customHeight="1">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row>
    <row r="274" spans="1:33" ht="15" customHeight="1">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row>
    <row r="275" spans="1:33" ht="15" customHeight="1">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row>
    <row r="276" spans="1:33" ht="15" customHeight="1">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row>
    <row r="277" spans="1:33" ht="15" customHeight="1">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row>
    <row r="278" spans="1:33" ht="15" customHeight="1">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row>
    <row r="279" spans="1:33" ht="15" customHeight="1">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row>
    <row r="280" spans="1:33" ht="15" customHeight="1">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row>
    <row r="281" spans="1:33" ht="15" customHeight="1">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row>
    <row r="282" spans="1:33" ht="15" customHeight="1">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row>
    <row r="283" spans="1:33" ht="15" customHeight="1">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row>
    <row r="284" spans="1:33" ht="15" customHeight="1">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t="s">
        <v>2056</v>
      </c>
      <c r="AG284" s="29"/>
    </row>
    <row r="285" spans="1:33" ht="15" customHeight="1">
      <c r="A285" s="34" t="s">
        <v>3503</v>
      </c>
      <c r="B285" s="46" t="s">
        <v>3504</v>
      </c>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43" t="s">
        <v>2058</v>
      </c>
      <c r="AG285" s="29"/>
    </row>
    <row r="286" spans="1:33" ht="15" customHeight="1">
      <c r="B286" s="45" t="s">
        <v>3505</v>
      </c>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43" t="s">
        <v>2059</v>
      </c>
      <c r="AG286" s="29"/>
    </row>
    <row r="287" spans="1:33" ht="15" customHeight="1">
      <c r="B287" s="45"/>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3" t="s">
        <v>2061</v>
      </c>
      <c r="AG287" s="29"/>
    </row>
    <row r="288" spans="1:33" ht="15" customHeight="1" thickBot="1">
      <c r="B288" s="42" t="s">
        <v>2690</v>
      </c>
      <c r="C288" s="42">
        <v>2022</v>
      </c>
      <c r="D288" s="42">
        <v>2023</v>
      </c>
      <c r="E288" s="42">
        <v>2024</v>
      </c>
      <c r="F288" s="42">
        <v>2025</v>
      </c>
      <c r="G288" s="42">
        <v>2026</v>
      </c>
      <c r="H288" s="42">
        <v>2027</v>
      </c>
      <c r="I288" s="42">
        <v>2028</v>
      </c>
      <c r="J288" s="42">
        <v>2029</v>
      </c>
      <c r="K288" s="42">
        <v>2030</v>
      </c>
      <c r="L288" s="42">
        <v>2031</v>
      </c>
      <c r="M288" s="42">
        <v>2032</v>
      </c>
      <c r="N288" s="42">
        <v>2033</v>
      </c>
      <c r="O288" s="42">
        <v>2034</v>
      </c>
      <c r="P288" s="42">
        <v>2035</v>
      </c>
      <c r="Q288" s="42">
        <v>2036</v>
      </c>
      <c r="R288" s="42">
        <v>2037</v>
      </c>
      <c r="S288" s="42">
        <v>2038</v>
      </c>
      <c r="T288" s="42">
        <v>2039</v>
      </c>
      <c r="U288" s="42">
        <v>2040</v>
      </c>
      <c r="V288" s="42">
        <v>2041</v>
      </c>
      <c r="W288" s="42">
        <v>2042</v>
      </c>
      <c r="X288" s="42">
        <v>2043</v>
      </c>
      <c r="Y288" s="42">
        <v>2044</v>
      </c>
      <c r="Z288" s="42">
        <v>2045</v>
      </c>
      <c r="AA288" s="42">
        <v>2046</v>
      </c>
      <c r="AB288" s="42">
        <v>2047</v>
      </c>
      <c r="AC288" s="42">
        <v>2048</v>
      </c>
      <c r="AD288" s="42">
        <v>2049</v>
      </c>
      <c r="AE288" s="42">
        <v>2050</v>
      </c>
      <c r="AF288" s="41">
        <v>2050</v>
      </c>
      <c r="AG288" s="29"/>
    </row>
    <row r="289" spans="1:33" ht="15" customHeight="1" thickTop="1">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row>
    <row r="290" spans="1:33" ht="15" customHeight="1">
      <c r="A290" s="34" t="s">
        <v>3506</v>
      </c>
      <c r="B290" s="33" t="s">
        <v>2692</v>
      </c>
      <c r="C290" s="40">
        <v>19750.261718999998</v>
      </c>
      <c r="D290" s="40">
        <v>19903.289062</v>
      </c>
      <c r="E290" s="40">
        <v>20095.435547000001</v>
      </c>
      <c r="F290" s="40">
        <v>20409.421875</v>
      </c>
      <c r="G290" s="40">
        <v>20840.714843999998</v>
      </c>
      <c r="H290" s="40">
        <v>21273.421875</v>
      </c>
      <c r="I290" s="40">
        <v>21681.255859000001</v>
      </c>
      <c r="J290" s="40">
        <v>22051.705077999999</v>
      </c>
      <c r="K290" s="40">
        <v>22391.814452999999</v>
      </c>
      <c r="L290" s="40">
        <v>22742.044922000001</v>
      </c>
      <c r="M290" s="40">
        <v>23153.001952999999</v>
      </c>
      <c r="N290" s="40">
        <v>23603.867188</v>
      </c>
      <c r="O290" s="40">
        <v>24055.123047000001</v>
      </c>
      <c r="P290" s="40">
        <v>24510.957031000002</v>
      </c>
      <c r="Q290" s="40">
        <v>24995.804688</v>
      </c>
      <c r="R290" s="40">
        <v>25506.921875</v>
      </c>
      <c r="S290" s="40">
        <v>26032.332031000002</v>
      </c>
      <c r="T290" s="40">
        <v>26566.107422000001</v>
      </c>
      <c r="U290" s="40">
        <v>27148.945312</v>
      </c>
      <c r="V290" s="40">
        <v>27734.087890999999</v>
      </c>
      <c r="W290" s="40">
        <v>28324.492188</v>
      </c>
      <c r="X290" s="40">
        <v>28926.738281000002</v>
      </c>
      <c r="Y290" s="40">
        <v>29527.414062</v>
      </c>
      <c r="Z290" s="40">
        <v>30130</v>
      </c>
      <c r="AA290" s="40">
        <v>30747.568359000001</v>
      </c>
      <c r="AB290" s="40">
        <v>31389.150390999999</v>
      </c>
      <c r="AC290" s="40">
        <v>32039.970702999999</v>
      </c>
      <c r="AD290" s="40">
        <v>32698.533202999999</v>
      </c>
      <c r="AE290" s="40">
        <v>33404.984375</v>
      </c>
      <c r="AF290" s="31">
        <v>1.8946999999999999E-2</v>
      </c>
      <c r="AG290" s="29"/>
    </row>
    <row r="291" spans="1:33" ht="15" customHeight="1">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row>
    <row r="292" spans="1:33" ht="15" customHeight="1">
      <c r="A292" s="34" t="s">
        <v>3507</v>
      </c>
      <c r="B292" s="2187" t="s">
        <v>2694</v>
      </c>
      <c r="C292" s="2188">
        <v>20.233689999999999</v>
      </c>
      <c r="D292" s="2188">
        <v>20.310682</v>
      </c>
      <c r="E292" s="2188">
        <v>20.079644999999999</v>
      </c>
      <c r="F292" s="2188">
        <v>19.943666</v>
      </c>
      <c r="G292" s="2188">
        <v>19.919011999999999</v>
      </c>
      <c r="H292" s="2188">
        <v>19.932255000000001</v>
      </c>
      <c r="I292" s="2188">
        <v>19.943956</v>
      </c>
      <c r="J292" s="2188">
        <v>19.916573</v>
      </c>
      <c r="K292" s="2188">
        <v>19.853318999999999</v>
      </c>
      <c r="L292" s="2188">
        <v>19.765791</v>
      </c>
      <c r="M292" s="2188">
        <v>19.720676000000001</v>
      </c>
      <c r="N292" s="2188">
        <v>19.712543</v>
      </c>
      <c r="O292" s="2188">
        <v>19.742273000000001</v>
      </c>
      <c r="P292" s="2188">
        <v>19.733695999999998</v>
      </c>
      <c r="Q292" s="2188">
        <v>19.677813</v>
      </c>
      <c r="R292" s="2188">
        <v>19.642545999999999</v>
      </c>
      <c r="S292" s="2188">
        <v>19.611654000000001</v>
      </c>
      <c r="T292" s="2188">
        <v>19.563572000000001</v>
      </c>
      <c r="U292" s="2188">
        <v>19.536719999999999</v>
      </c>
      <c r="V292" s="2188">
        <v>19.499813</v>
      </c>
      <c r="W292" s="2188">
        <v>19.457367000000001</v>
      </c>
      <c r="X292" s="2188">
        <v>19.398436</v>
      </c>
      <c r="Y292" s="2188">
        <v>19.335647999999999</v>
      </c>
      <c r="Z292" s="2188">
        <v>19.279888</v>
      </c>
      <c r="AA292" s="2188">
        <v>19.234518000000001</v>
      </c>
      <c r="AB292" s="2188">
        <v>19.201917999999999</v>
      </c>
      <c r="AC292" s="2188">
        <v>19.162893</v>
      </c>
      <c r="AD292" s="2188">
        <v>19.118357</v>
      </c>
      <c r="AE292" s="2188">
        <v>19.085940999999998</v>
      </c>
      <c r="AF292" s="2189">
        <v>-2.0830000000000002E-3</v>
      </c>
      <c r="AG292" s="29"/>
    </row>
    <row r="293" spans="1:33" ht="15" customHeight="1">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row>
    <row r="294" spans="1:33" ht="15" customHeight="1">
      <c r="B294" s="33" t="s">
        <v>2695</v>
      </c>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row>
    <row r="295" spans="1:33" ht="15" customHeight="1">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row>
    <row r="296" spans="1:33" ht="15" customHeight="1">
      <c r="B296" s="33" t="s">
        <v>2696</v>
      </c>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row>
    <row r="297" spans="1:33" ht="15" customHeight="1">
      <c r="A297" s="34" t="s">
        <v>3508</v>
      </c>
      <c r="B297" s="37" t="s">
        <v>2698</v>
      </c>
      <c r="C297" s="53">
        <v>26.536522000000001</v>
      </c>
      <c r="D297" s="53">
        <v>26.531483000000001</v>
      </c>
      <c r="E297" s="53">
        <v>26.686899</v>
      </c>
      <c r="F297" s="53">
        <v>26.959413999999999</v>
      </c>
      <c r="G297" s="53">
        <v>27.311705</v>
      </c>
      <c r="H297" s="53">
        <v>27.624331000000002</v>
      </c>
      <c r="I297" s="53">
        <v>27.778198</v>
      </c>
      <c r="J297" s="53">
        <v>28.055349</v>
      </c>
      <c r="K297" s="53">
        <v>28.223658</v>
      </c>
      <c r="L297" s="53">
        <v>28.450544000000001</v>
      </c>
      <c r="M297" s="53">
        <v>28.680686999999999</v>
      </c>
      <c r="N297" s="53">
        <v>28.871502</v>
      </c>
      <c r="O297" s="53">
        <v>29.068791999999998</v>
      </c>
      <c r="P297" s="53">
        <v>29.229323999999998</v>
      </c>
      <c r="Q297" s="53">
        <v>29.358898</v>
      </c>
      <c r="R297" s="53">
        <v>29.540913</v>
      </c>
      <c r="S297" s="53">
        <v>29.709378999999998</v>
      </c>
      <c r="T297" s="53">
        <v>29.857144999999999</v>
      </c>
      <c r="U297" s="53">
        <v>30.008419</v>
      </c>
      <c r="V297" s="53">
        <v>30.154389999999999</v>
      </c>
      <c r="W297" s="53">
        <v>30.321178</v>
      </c>
      <c r="X297" s="53">
        <v>30.477678000000001</v>
      </c>
      <c r="Y297" s="53">
        <v>30.619965000000001</v>
      </c>
      <c r="Z297" s="53">
        <v>30.764306999999999</v>
      </c>
      <c r="AA297" s="53">
        <v>30.900124000000002</v>
      </c>
      <c r="AB297" s="53">
        <v>31.032198000000001</v>
      </c>
      <c r="AC297" s="53">
        <v>31.158481999999999</v>
      </c>
      <c r="AD297" s="53">
        <v>31.284973000000001</v>
      </c>
      <c r="AE297" s="53">
        <v>31.411963</v>
      </c>
      <c r="AF297" s="35">
        <v>6.0419999999999996E-3</v>
      </c>
      <c r="AG297" s="29"/>
    </row>
    <row r="298" spans="1:33" ht="15" customHeight="1">
      <c r="A298" s="34" t="s">
        <v>3509</v>
      </c>
      <c r="B298" s="37" t="s">
        <v>2700</v>
      </c>
      <c r="C298" s="53">
        <v>37.266700999999998</v>
      </c>
      <c r="D298" s="53">
        <v>36.996799000000003</v>
      </c>
      <c r="E298" s="53">
        <v>37.650447999999997</v>
      </c>
      <c r="F298" s="53">
        <v>38.223457000000003</v>
      </c>
      <c r="G298" s="53">
        <v>39.149006</v>
      </c>
      <c r="H298" s="53">
        <v>39.910274999999999</v>
      </c>
      <c r="I298" s="53">
        <v>41.101436999999997</v>
      </c>
      <c r="J298" s="53">
        <v>42.083027000000001</v>
      </c>
      <c r="K298" s="53">
        <v>43.542019000000003</v>
      </c>
      <c r="L298" s="53">
        <v>44.952472999999998</v>
      </c>
      <c r="M298" s="53">
        <v>46.261474999999997</v>
      </c>
      <c r="N298" s="53">
        <v>47.562072999999998</v>
      </c>
      <c r="O298" s="53">
        <v>48.673881999999999</v>
      </c>
      <c r="P298" s="53">
        <v>49.683632000000003</v>
      </c>
      <c r="Q298" s="53">
        <v>50.699962999999997</v>
      </c>
      <c r="R298" s="53">
        <v>51.647198000000003</v>
      </c>
      <c r="S298" s="53">
        <v>52.495277000000002</v>
      </c>
      <c r="T298" s="53">
        <v>53.398643</v>
      </c>
      <c r="U298" s="53">
        <v>54.129631000000003</v>
      </c>
      <c r="V298" s="53">
        <v>54.935886000000004</v>
      </c>
      <c r="W298" s="53">
        <v>55.939064000000002</v>
      </c>
      <c r="X298" s="53">
        <v>57.077559999999998</v>
      </c>
      <c r="Y298" s="53">
        <v>58.212626999999998</v>
      </c>
      <c r="Z298" s="53">
        <v>59.094890999999997</v>
      </c>
      <c r="AA298" s="53">
        <v>60.159984999999999</v>
      </c>
      <c r="AB298" s="53">
        <v>60.969256999999999</v>
      </c>
      <c r="AC298" s="53">
        <v>62.097282</v>
      </c>
      <c r="AD298" s="53">
        <v>63.339134000000001</v>
      </c>
      <c r="AE298" s="53">
        <v>64.592346000000006</v>
      </c>
      <c r="AF298" s="35">
        <v>1.9837E-2</v>
      </c>
      <c r="AG298" s="29"/>
    </row>
    <row r="299" spans="1:33" ht="15" customHeight="1">
      <c r="A299" s="34" t="s">
        <v>3510</v>
      </c>
      <c r="B299" s="37" t="s">
        <v>2702</v>
      </c>
      <c r="C299" s="53">
        <v>155.847656</v>
      </c>
      <c r="D299" s="53">
        <v>150.339279</v>
      </c>
      <c r="E299" s="53">
        <v>147.296021</v>
      </c>
      <c r="F299" s="53">
        <v>147.742493</v>
      </c>
      <c r="G299" s="53">
        <v>147.38504</v>
      </c>
      <c r="H299" s="53">
        <v>145.49310299999999</v>
      </c>
      <c r="I299" s="53">
        <v>144.66774000000001</v>
      </c>
      <c r="J299" s="53">
        <v>146.00649999999999</v>
      </c>
      <c r="K299" s="53">
        <v>145.82586699999999</v>
      </c>
      <c r="L299" s="53">
        <v>143.19657900000001</v>
      </c>
      <c r="M299" s="53">
        <v>140.325073</v>
      </c>
      <c r="N299" s="53">
        <v>137.97692900000001</v>
      </c>
      <c r="O299" s="53">
        <v>135.810654</v>
      </c>
      <c r="P299" s="53">
        <v>134.07492099999999</v>
      </c>
      <c r="Q299" s="53">
        <v>132.863922</v>
      </c>
      <c r="R299" s="53">
        <v>132.245285</v>
      </c>
      <c r="S299" s="53">
        <v>131.84252900000001</v>
      </c>
      <c r="T299" s="53">
        <v>131.21066300000001</v>
      </c>
      <c r="U299" s="53">
        <v>130.78436300000001</v>
      </c>
      <c r="V299" s="53">
        <v>130.63253800000001</v>
      </c>
      <c r="W299" s="53">
        <v>129.95043899999999</v>
      </c>
      <c r="X299" s="53">
        <v>129.04605100000001</v>
      </c>
      <c r="Y299" s="53">
        <v>128.130707</v>
      </c>
      <c r="Z299" s="53">
        <v>127.400665</v>
      </c>
      <c r="AA299" s="53">
        <v>126.710464</v>
      </c>
      <c r="AB299" s="53">
        <v>125.947945</v>
      </c>
      <c r="AC299" s="53">
        <v>124.934479</v>
      </c>
      <c r="AD299" s="53">
        <v>123.775261</v>
      </c>
      <c r="AE299" s="53">
        <v>123.168823</v>
      </c>
      <c r="AF299" s="35">
        <v>-8.3689999999999997E-3</v>
      </c>
      <c r="AG299" s="29"/>
    </row>
    <row r="300" spans="1:33" ht="15" customHeight="1">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row>
    <row r="301" spans="1:33" ht="15" customHeight="1">
      <c r="B301" s="33" t="s">
        <v>2703</v>
      </c>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row>
    <row r="302" spans="1:33" ht="15" customHeight="1">
      <c r="A302" s="34" t="s">
        <v>3511</v>
      </c>
      <c r="B302" s="37" t="s">
        <v>2705</v>
      </c>
      <c r="C302" s="53">
        <v>95.941017000000002</v>
      </c>
      <c r="D302" s="53">
        <v>96.915999999999997</v>
      </c>
      <c r="E302" s="53">
        <v>97.435005000000004</v>
      </c>
      <c r="F302" s="53">
        <v>97.812447000000006</v>
      </c>
      <c r="G302" s="53">
        <v>98.712975</v>
      </c>
      <c r="H302" s="53">
        <v>99.800781000000001</v>
      </c>
      <c r="I302" s="53">
        <v>100.883842</v>
      </c>
      <c r="J302" s="53">
        <v>101.702347</v>
      </c>
      <c r="K302" s="53">
        <v>102.525856</v>
      </c>
      <c r="L302" s="53">
        <v>103.543617</v>
      </c>
      <c r="M302" s="53">
        <v>104.359917</v>
      </c>
      <c r="N302" s="53">
        <v>104.84774</v>
      </c>
      <c r="O302" s="53">
        <v>105.409233</v>
      </c>
      <c r="P302" s="53">
        <v>106.110657</v>
      </c>
      <c r="Q302" s="53">
        <v>106.836586</v>
      </c>
      <c r="R302" s="53">
        <v>107.60202</v>
      </c>
      <c r="S302" s="53">
        <v>108.327072</v>
      </c>
      <c r="T302" s="53">
        <v>109.02151499999999</v>
      </c>
      <c r="U302" s="53">
        <v>109.69343600000001</v>
      </c>
      <c r="V302" s="53">
        <v>110.323677</v>
      </c>
      <c r="W302" s="53">
        <v>111.08523599999999</v>
      </c>
      <c r="X302" s="53">
        <v>111.81502500000001</v>
      </c>
      <c r="Y302" s="53">
        <v>112.525848</v>
      </c>
      <c r="Z302" s="53">
        <v>113.19573200000001</v>
      </c>
      <c r="AA302" s="53">
        <v>113.79413599999999</v>
      </c>
      <c r="AB302" s="53">
        <v>114.42408</v>
      </c>
      <c r="AC302" s="53">
        <v>115.069847</v>
      </c>
      <c r="AD302" s="53">
        <v>115.697548</v>
      </c>
      <c r="AE302" s="53">
        <v>116.308784</v>
      </c>
      <c r="AF302" s="35">
        <v>6.8989999999999998E-3</v>
      </c>
      <c r="AG302" s="29"/>
    </row>
    <row r="303" spans="1:33" ht="15" customHeight="1">
      <c r="A303" s="34" t="s">
        <v>3512</v>
      </c>
      <c r="B303" s="37" t="s">
        <v>1473</v>
      </c>
      <c r="C303" s="53">
        <v>15.111667000000001</v>
      </c>
      <c r="D303" s="53">
        <v>14.795192999999999</v>
      </c>
      <c r="E303" s="53">
        <v>14.505877</v>
      </c>
      <c r="F303" s="53">
        <v>14.354115999999999</v>
      </c>
      <c r="G303" s="53">
        <v>14.323432</v>
      </c>
      <c r="H303" s="53">
        <v>14.358993999999999</v>
      </c>
      <c r="I303" s="53">
        <v>14.445935</v>
      </c>
      <c r="J303" s="53">
        <v>14.539645</v>
      </c>
      <c r="K303" s="53">
        <v>14.532101000000001</v>
      </c>
      <c r="L303" s="53">
        <v>14.509993</v>
      </c>
      <c r="M303" s="53">
        <v>14.499523</v>
      </c>
      <c r="N303" s="53">
        <v>14.498749999999999</v>
      </c>
      <c r="O303" s="53">
        <v>14.481586</v>
      </c>
      <c r="P303" s="53">
        <v>14.431107000000001</v>
      </c>
      <c r="Q303" s="53">
        <v>14.415444000000001</v>
      </c>
      <c r="R303" s="53">
        <v>14.421862000000001</v>
      </c>
      <c r="S303" s="53">
        <v>14.456129000000001</v>
      </c>
      <c r="T303" s="53">
        <v>14.498438999999999</v>
      </c>
      <c r="U303" s="53">
        <v>14.540882999999999</v>
      </c>
      <c r="V303" s="53">
        <v>14.598084999999999</v>
      </c>
      <c r="W303" s="53">
        <v>14.654935</v>
      </c>
      <c r="X303" s="53">
        <v>14.724232000000001</v>
      </c>
      <c r="Y303" s="53">
        <v>14.798025000000001</v>
      </c>
      <c r="Z303" s="53">
        <v>14.872892999999999</v>
      </c>
      <c r="AA303" s="53">
        <v>14.951604</v>
      </c>
      <c r="AB303" s="53">
        <v>15.041759000000001</v>
      </c>
      <c r="AC303" s="53">
        <v>15.191545</v>
      </c>
      <c r="AD303" s="53">
        <v>15.353514000000001</v>
      </c>
      <c r="AE303" s="53">
        <v>15.516033</v>
      </c>
      <c r="AF303" s="35">
        <v>9.4399999999999996E-4</v>
      </c>
      <c r="AG303" s="29"/>
    </row>
    <row r="304" spans="1:33" ht="12" customHeight="1">
      <c r="A304" s="34" t="s">
        <v>3513</v>
      </c>
      <c r="B304" s="37" t="s">
        <v>2708</v>
      </c>
      <c r="C304" s="53">
        <v>6.3520190000000003</v>
      </c>
      <c r="D304" s="53">
        <v>6.1959200000000001</v>
      </c>
      <c r="E304" s="53">
        <v>6.0751429999999997</v>
      </c>
      <c r="F304" s="53">
        <v>6.0204680000000002</v>
      </c>
      <c r="G304" s="53">
        <v>6.0761960000000004</v>
      </c>
      <c r="H304" s="53">
        <v>6.1564750000000004</v>
      </c>
      <c r="I304" s="53">
        <v>6.1937790000000001</v>
      </c>
      <c r="J304" s="53">
        <v>6.1759740000000001</v>
      </c>
      <c r="K304" s="53">
        <v>6.1271969999999998</v>
      </c>
      <c r="L304" s="53">
        <v>6.0963060000000002</v>
      </c>
      <c r="M304" s="53">
        <v>6.0943350000000001</v>
      </c>
      <c r="N304" s="53">
        <v>6.0825550000000002</v>
      </c>
      <c r="O304" s="53">
        <v>6.0520519999999998</v>
      </c>
      <c r="P304" s="53">
        <v>6.0041190000000002</v>
      </c>
      <c r="Q304" s="53">
        <v>5.940893</v>
      </c>
      <c r="R304" s="53">
        <v>5.8623669999999999</v>
      </c>
      <c r="S304" s="53">
        <v>5.7727500000000003</v>
      </c>
      <c r="T304" s="53">
        <v>5.6728339999999999</v>
      </c>
      <c r="U304" s="53">
        <v>5.5903780000000003</v>
      </c>
      <c r="V304" s="53">
        <v>5.5088619999999997</v>
      </c>
      <c r="W304" s="53">
        <v>5.419969</v>
      </c>
      <c r="X304" s="53">
        <v>5.331753</v>
      </c>
      <c r="Y304" s="53">
        <v>5.2332070000000002</v>
      </c>
      <c r="Z304" s="53">
        <v>5.1324940000000003</v>
      </c>
      <c r="AA304" s="53">
        <v>5.038748</v>
      </c>
      <c r="AB304" s="53">
        <v>4.9510490000000003</v>
      </c>
      <c r="AC304" s="53">
        <v>4.8606069999999999</v>
      </c>
      <c r="AD304" s="53">
        <v>4.7677949999999996</v>
      </c>
      <c r="AE304" s="53">
        <v>4.6846360000000002</v>
      </c>
      <c r="AF304" s="35">
        <v>-1.0815999999999999E-2</v>
      </c>
      <c r="AG304" s="29"/>
    </row>
    <row r="305" spans="1:33" ht="12" customHeight="1">
      <c r="A305" s="34" t="s">
        <v>3514</v>
      </c>
      <c r="B305" s="37" t="s">
        <v>2710</v>
      </c>
      <c r="C305" s="53">
        <v>8.4906260000000007</v>
      </c>
      <c r="D305" s="53">
        <v>7.71211</v>
      </c>
      <c r="E305" s="53">
        <v>7.4712059999999996</v>
      </c>
      <c r="F305" s="53">
        <v>7.5771810000000004</v>
      </c>
      <c r="G305" s="53">
        <v>7.4468670000000001</v>
      </c>
      <c r="H305" s="53">
        <v>7.3939830000000004</v>
      </c>
      <c r="I305" s="53">
        <v>7.4780680000000004</v>
      </c>
      <c r="J305" s="53">
        <v>7.6056460000000001</v>
      </c>
      <c r="K305" s="53">
        <v>7.7018599999999999</v>
      </c>
      <c r="L305" s="53">
        <v>7.7545799999999998</v>
      </c>
      <c r="M305" s="53">
        <v>7.8283880000000003</v>
      </c>
      <c r="N305" s="53">
        <v>7.9196720000000003</v>
      </c>
      <c r="O305" s="53">
        <v>8.0741479999999992</v>
      </c>
      <c r="P305" s="53">
        <v>8.1713489999999993</v>
      </c>
      <c r="Q305" s="53">
        <v>8.1642010000000003</v>
      </c>
      <c r="R305" s="53">
        <v>8.2249219999999994</v>
      </c>
      <c r="S305" s="53">
        <v>8.2690739999999998</v>
      </c>
      <c r="T305" s="53">
        <v>8.3161450000000006</v>
      </c>
      <c r="U305" s="53">
        <v>8.3945559999999997</v>
      </c>
      <c r="V305" s="53">
        <v>8.5013629999999996</v>
      </c>
      <c r="W305" s="53">
        <v>8.5938280000000002</v>
      </c>
      <c r="X305" s="53">
        <v>8.6590150000000001</v>
      </c>
      <c r="Y305" s="53">
        <v>8.6793399999999998</v>
      </c>
      <c r="Z305" s="53">
        <v>8.6411709999999999</v>
      </c>
      <c r="AA305" s="53">
        <v>8.6203869999999991</v>
      </c>
      <c r="AB305" s="53">
        <v>8.6448549999999997</v>
      </c>
      <c r="AC305" s="53">
        <v>8.6408909999999999</v>
      </c>
      <c r="AD305" s="53">
        <v>8.6611940000000001</v>
      </c>
      <c r="AE305" s="53">
        <v>8.764818</v>
      </c>
      <c r="AF305" s="35">
        <v>1.1360000000000001E-3</v>
      </c>
      <c r="AG305" s="29"/>
    </row>
    <row r="306" spans="1:33" ht="12" customHeight="1">
      <c r="A306" s="34" t="s">
        <v>3515</v>
      </c>
      <c r="B306" s="37" t="s">
        <v>2712</v>
      </c>
      <c r="C306" s="53">
        <v>6.6834119999999997</v>
      </c>
      <c r="D306" s="53">
        <v>6.6080740000000002</v>
      </c>
      <c r="E306" s="53">
        <v>6.6287050000000001</v>
      </c>
      <c r="F306" s="53">
        <v>6.6735009999999999</v>
      </c>
      <c r="G306" s="53">
        <v>6.8523800000000001</v>
      </c>
      <c r="H306" s="53">
        <v>7.0429389999999996</v>
      </c>
      <c r="I306" s="53">
        <v>7.1328889999999996</v>
      </c>
      <c r="J306" s="53">
        <v>7.2270450000000004</v>
      </c>
      <c r="K306" s="53">
        <v>7.2975329999999996</v>
      </c>
      <c r="L306" s="53">
        <v>7.3679519999999998</v>
      </c>
      <c r="M306" s="53">
        <v>7.5452919999999999</v>
      </c>
      <c r="N306" s="53">
        <v>7.6375039999999998</v>
      </c>
      <c r="O306" s="53">
        <v>7.7181879999999996</v>
      </c>
      <c r="P306" s="53">
        <v>7.8558789999999998</v>
      </c>
      <c r="Q306" s="53">
        <v>7.9963439999999997</v>
      </c>
      <c r="R306" s="53">
        <v>8.1368989999999997</v>
      </c>
      <c r="S306" s="53">
        <v>8.2896140000000003</v>
      </c>
      <c r="T306" s="53">
        <v>8.4194169999999993</v>
      </c>
      <c r="U306" s="53">
        <v>8.5412389999999991</v>
      </c>
      <c r="V306" s="53">
        <v>8.7158940000000005</v>
      </c>
      <c r="W306" s="53">
        <v>8.8839000000000006</v>
      </c>
      <c r="X306" s="53">
        <v>9.015409</v>
      </c>
      <c r="Y306" s="53">
        <v>9.1065810000000003</v>
      </c>
      <c r="Z306" s="53">
        <v>9.1554210000000005</v>
      </c>
      <c r="AA306" s="53">
        <v>9.2709849999999996</v>
      </c>
      <c r="AB306" s="53">
        <v>9.4102180000000004</v>
      </c>
      <c r="AC306" s="53">
        <v>9.5128260000000004</v>
      </c>
      <c r="AD306" s="53">
        <v>9.5604449999999996</v>
      </c>
      <c r="AE306" s="53">
        <v>9.8419360000000005</v>
      </c>
      <c r="AF306" s="35">
        <v>1.3918E-2</v>
      </c>
      <c r="AG306" s="29"/>
    </row>
    <row r="307" spans="1:33" ht="12" customHeight="1">
      <c r="A307" s="34" t="s">
        <v>3516</v>
      </c>
      <c r="B307" s="37" t="s">
        <v>2714</v>
      </c>
      <c r="C307" s="53">
        <v>21.507207999999999</v>
      </c>
      <c r="D307" s="53">
        <v>20.849986999999999</v>
      </c>
      <c r="E307" s="53">
        <v>20.284137999999999</v>
      </c>
      <c r="F307" s="53">
        <v>20.108077999999999</v>
      </c>
      <c r="G307" s="53">
        <v>20.076150999999999</v>
      </c>
      <c r="H307" s="53">
        <v>20.084377</v>
      </c>
      <c r="I307" s="53">
        <v>20.068895000000001</v>
      </c>
      <c r="J307" s="53">
        <v>20.073350999999999</v>
      </c>
      <c r="K307" s="53">
        <v>20.017766999999999</v>
      </c>
      <c r="L307" s="53">
        <v>19.992224</v>
      </c>
      <c r="M307" s="53">
        <v>20.011623</v>
      </c>
      <c r="N307" s="53">
        <v>20.020222</v>
      </c>
      <c r="O307" s="53">
        <v>20.026793999999999</v>
      </c>
      <c r="P307" s="53">
        <v>20.055855000000001</v>
      </c>
      <c r="Q307" s="53">
        <v>20.056184999999999</v>
      </c>
      <c r="R307" s="53">
        <v>20.105141</v>
      </c>
      <c r="S307" s="53">
        <v>20.140975999999998</v>
      </c>
      <c r="T307" s="53">
        <v>20.168662999999999</v>
      </c>
      <c r="U307" s="53">
        <v>20.193548</v>
      </c>
      <c r="V307" s="53">
        <v>20.216968999999999</v>
      </c>
      <c r="W307" s="53">
        <v>20.256405000000001</v>
      </c>
      <c r="X307" s="53">
        <v>20.281207999999999</v>
      </c>
      <c r="Y307" s="53">
        <v>20.276755999999999</v>
      </c>
      <c r="Z307" s="53">
        <v>20.244005000000001</v>
      </c>
      <c r="AA307" s="53">
        <v>20.237518000000001</v>
      </c>
      <c r="AB307" s="53">
        <v>20.263093999999999</v>
      </c>
      <c r="AC307" s="53">
        <v>20.227198000000001</v>
      </c>
      <c r="AD307" s="53">
        <v>20.205511000000001</v>
      </c>
      <c r="AE307" s="53">
        <v>20.251132999999999</v>
      </c>
      <c r="AF307" s="35">
        <v>-2.147E-3</v>
      </c>
      <c r="AG307" s="29"/>
    </row>
    <row r="308" spans="1:33" ht="12" customHeight="1">
      <c r="A308" s="34" t="s">
        <v>3517</v>
      </c>
      <c r="B308" s="37" t="s">
        <v>2716</v>
      </c>
      <c r="C308" s="53">
        <v>11.754329</v>
      </c>
      <c r="D308" s="53">
        <v>11.497185</v>
      </c>
      <c r="E308" s="53">
        <v>11.303121000000001</v>
      </c>
      <c r="F308" s="53">
        <v>11.198798999999999</v>
      </c>
      <c r="G308" s="53">
        <v>11.117435</v>
      </c>
      <c r="H308" s="53">
        <v>11.030039</v>
      </c>
      <c r="I308" s="53">
        <v>11.011917</v>
      </c>
      <c r="J308" s="53">
        <v>11.004413</v>
      </c>
      <c r="K308" s="53">
        <v>11.029458999999999</v>
      </c>
      <c r="L308" s="53">
        <v>11.074605</v>
      </c>
      <c r="M308" s="53">
        <v>11.007027000000001</v>
      </c>
      <c r="N308" s="53">
        <v>10.863671</v>
      </c>
      <c r="O308" s="53">
        <v>10.735719</v>
      </c>
      <c r="P308" s="53">
        <v>10.625546999999999</v>
      </c>
      <c r="Q308" s="53">
        <v>10.527668</v>
      </c>
      <c r="R308" s="53">
        <v>10.441414999999999</v>
      </c>
      <c r="S308" s="53">
        <v>10.363466000000001</v>
      </c>
      <c r="T308" s="53">
        <v>10.284762000000001</v>
      </c>
      <c r="U308" s="53">
        <v>10.265864000000001</v>
      </c>
      <c r="V308" s="53">
        <v>10.201217</v>
      </c>
      <c r="W308" s="53">
        <v>10.086364</v>
      </c>
      <c r="X308" s="53">
        <v>10.011974</v>
      </c>
      <c r="Y308" s="53">
        <v>9.968102</v>
      </c>
      <c r="Z308" s="53">
        <v>10.018549999999999</v>
      </c>
      <c r="AA308" s="53">
        <v>10.055977</v>
      </c>
      <c r="AB308" s="53">
        <v>10.067297999999999</v>
      </c>
      <c r="AC308" s="53">
        <v>10.051017999999999</v>
      </c>
      <c r="AD308" s="53">
        <v>10.126979</v>
      </c>
      <c r="AE308" s="53">
        <v>10.170287999999999</v>
      </c>
      <c r="AF308" s="35">
        <v>-5.156E-3</v>
      </c>
      <c r="AG308" s="29"/>
    </row>
    <row r="309" spans="1:33" ht="12" customHeight="1">
      <c r="A309" s="34" t="s">
        <v>3518</v>
      </c>
      <c r="B309" s="37" t="s">
        <v>2718</v>
      </c>
      <c r="C309" s="53">
        <v>111.88726800000001</v>
      </c>
      <c r="D309" s="53">
        <v>103.085579</v>
      </c>
      <c r="E309" s="53">
        <v>100.753525</v>
      </c>
      <c r="F309" s="53">
        <v>101.351715</v>
      </c>
      <c r="G309" s="53">
        <v>102.791382</v>
      </c>
      <c r="H309" s="53">
        <v>104.622345</v>
      </c>
      <c r="I309" s="53">
        <v>105.959625</v>
      </c>
      <c r="J309" s="53">
        <v>107.041382</v>
      </c>
      <c r="K309" s="53">
        <v>107.684479</v>
      </c>
      <c r="L309" s="53">
        <v>108.40347300000001</v>
      </c>
      <c r="M309" s="53">
        <v>109.226669</v>
      </c>
      <c r="N309" s="53">
        <v>110.07564499999999</v>
      </c>
      <c r="O309" s="53">
        <v>111.171936</v>
      </c>
      <c r="P309" s="53">
        <v>112.305672</v>
      </c>
      <c r="Q309" s="53">
        <v>113.450165</v>
      </c>
      <c r="R309" s="53">
        <v>114.807877</v>
      </c>
      <c r="S309" s="53">
        <v>116.12857099999999</v>
      </c>
      <c r="T309" s="53">
        <v>117.54509</v>
      </c>
      <c r="U309" s="53">
        <v>119.08474699999999</v>
      </c>
      <c r="V309" s="53">
        <v>120.790871</v>
      </c>
      <c r="W309" s="53">
        <v>122.749695</v>
      </c>
      <c r="X309" s="53">
        <v>124.808533</v>
      </c>
      <c r="Y309" s="53">
        <v>126.633347</v>
      </c>
      <c r="Z309" s="53">
        <v>128.14591999999999</v>
      </c>
      <c r="AA309" s="53">
        <v>129.73843400000001</v>
      </c>
      <c r="AB309" s="53">
        <v>131.60580400000001</v>
      </c>
      <c r="AC309" s="53">
        <v>133.14657600000001</v>
      </c>
      <c r="AD309" s="53">
        <v>134.42877200000001</v>
      </c>
      <c r="AE309" s="53">
        <v>136.26109299999999</v>
      </c>
      <c r="AF309" s="35">
        <v>7.0629999999999998E-3</v>
      </c>
      <c r="AG309" s="29"/>
    </row>
    <row r="310" spans="1:33" ht="12" customHeight="1">
      <c r="A310" s="34" t="s">
        <v>3519</v>
      </c>
      <c r="B310" s="37" t="s">
        <v>1467</v>
      </c>
      <c r="C310" s="53">
        <v>42.452083999999999</v>
      </c>
      <c r="D310" s="53">
        <v>40.081958999999998</v>
      </c>
      <c r="E310" s="53">
        <v>38.536205000000002</v>
      </c>
      <c r="F310" s="53">
        <v>39.180053999999998</v>
      </c>
      <c r="G310" s="53">
        <v>39.996066999999996</v>
      </c>
      <c r="H310" s="53">
        <v>40.660941999999999</v>
      </c>
      <c r="I310" s="53">
        <v>40.967982999999997</v>
      </c>
      <c r="J310" s="53">
        <v>41.103122999999997</v>
      </c>
      <c r="K310" s="53">
        <v>41.102046999999999</v>
      </c>
      <c r="L310" s="53">
        <v>41.291446999999998</v>
      </c>
      <c r="M310" s="53">
        <v>41.515881</v>
      </c>
      <c r="N310" s="53">
        <v>41.608055</v>
      </c>
      <c r="O310" s="53">
        <v>41.722194999999999</v>
      </c>
      <c r="P310" s="53">
        <v>41.677520999999999</v>
      </c>
      <c r="Q310" s="53">
        <v>41.726578000000003</v>
      </c>
      <c r="R310" s="53">
        <v>41.747672999999999</v>
      </c>
      <c r="S310" s="53">
        <v>41.747363999999997</v>
      </c>
      <c r="T310" s="53">
        <v>41.768410000000003</v>
      </c>
      <c r="U310" s="53">
        <v>41.826842999999997</v>
      </c>
      <c r="V310" s="53">
        <v>41.797676000000003</v>
      </c>
      <c r="W310" s="53">
        <v>41.756270999999998</v>
      </c>
      <c r="X310" s="53">
        <v>41.762748999999999</v>
      </c>
      <c r="Y310" s="53">
        <v>41.642059000000003</v>
      </c>
      <c r="Z310" s="53">
        <v>41.456547</v>
      </c>
      <c r="AA310" s="53">
        <v>41.419338000000003</v>
      </c>
      <c r="AB310" s="53">
        <v>41.488480000000003</v>
      </c>
      <c r="AC310" s="53">
        <v>41.275509</v>
      </c>
      <c r="AD310" s="53">
        <v>41.187533999999999</v>
      </c>
      <c r="AE310" s="53">
        <v>41.455539999999999</v>
      </c>
      <c r="AF310" s="35">
        <v>-8.4800000000000001E-4</v>
      </c>
      <c r="AG310" s="29"/>
    </row>
    <row r="311" spans="1:33" ht="12" customHeight="1">
      <c r="A311" s="34" t="s">
        <v>3520</v>
      </c>
      <c r="B311" s="37" t="s">
        <v>1484</v>
      </c>
      <c r="C311" s="53">
        <v>6.7932649999999999</v>
      </c>
      <c r="D311" s="53">
        <v>6.7634270000000001</v>
      </c>
      <c r="E311" s="53">
        <v>6.6263589999999999</v>
      </c>
      <c r="F311" s="53">
        <v>6.7179659999999997</v>
      </c>
      <c r="G311" s="53">
        <v>6.8083689999999999</v>
      </c>
      <c r="H311" s="53">
        <v>6.8401209999999999</v>
      </c>
      <c r="I311" s="53">
        <v>6.8755800000000002</v>
      </c>
      <c r="J311" s="53">
        <v>6.837275</v>
      </c>
      <c r="K311" s="53">
        <v>6.8057689999999997</v>
      </c>
      <c r="L311" s="53">
        <v>6.7377000000000002</v>
      </c>
      <c r="M311" s="53">
        <v>6.7301659999999996</v>
      </c>
      <c r="N311" s="53">
        <v>6.6612080000000002</v>
      </c>
      <c r="O311" s="53">
        <v>6.6291929999999999</v>
      </c>
      <c r="P311" s="53">
        <v>6.6021460000000003</v>
      </c>
      <c r="Q311" s="53">
        <v>6.5866569999999998</v>
      </c>
      <c r="R311" s="53">
        <v>6.572038</v>
      </c>
      <c r="S311" s="53">
        <v>6.5757139999999996</v>
      </c>
      <c r="T311" s="53">
        <v>6.5448829999999996</v>
      </c>
      <c r="U311" s="53">
        <v>6.5314439999999996</v>
      </c>
      <c r="V311" s="53">
        <v>6.5065989999999996</v>
      </c>
      <c r="W311" s="53">
        <v>6.4829590000000001</v>
      </c>
      <c r="X311" s="53">
        <v>6.4578689999999996</v>
      </c>
      <c r="Y311" s="53">
        <v>6.42516</v>
      </c>
      <c r="Z311" s="53">
        <v>6.3689349999999996</v>
      </c>
      <c r="AA311" s="53">
        <v>6.3386800000000001</v>
      </c>
      <c r="AB311" s="53">
        <v>6.3224640000000001</v>
      </c>
      <c r="AC311" s="53">
        <v>6.2653530000000002</v>
      </c>
      <c r="AD311" s="53">
        <v>6.2277589999999998</v>
      </c>
      <c r="AE311" s="53">
        <v>6.2500359999999997</v>
      </c>
      <c r="AF311" s="35">
        <v>-2.9719999999999998E-3</v>
      </c>
      <c r="AG311" s="29"/>
    </row>
    <row r="312" spans="1:33" ht="12" customHeight="1">
      <c r="A312" s="34" t="s">
        <v>3521</v>
      </c>
      <c r="B312" s="37" t="s">
        <v>2722</v>
      </c>
      <c r="C312" s="53">
        <v>25.236613999999999</v>
      </c>
      <c r="D312" s="53">
        <v>23.199438000000001</v>
      </c>
      <c r="E312" s="53">
        <v>21.949871000000002</v>
      </c>
      <c r="F312" s="53">
        <v>22.418551999999998</v>
      </c>
      <c r="G312" s="53">
        <v>22.859545000000001</v>
      </c>
      <c r="H312" s="53">
        <v>23.200531000000002</v>
      </c>
      <c r="I312" s="53">
        <v>23.283460999999999</v>
      </c>
      <c r="J312" s="53">
        <v>23.352114</v>
      </c>
      <c r="K312" s="53">
        <v>23.352383</v>
      </c>
      <c r="L312" s="53">
        <v>23.484076999999999</v>
      </c>
      <c r="M312" s="53">
        <v>23.578728000000002</v>
      </c>
      <c r="N312" s="53">
        <v>23.604109000000001</v>
      </c>
      <c r="O312" s="53">
        <v>23.600757999999999</v>
      </c>
      <c r="P312" s="53">
        <v>23.404019999999999</v>
      </c>
      <c r="Q312" s="53">
        <v>23.354272999999999</v>
      </c>
      <c r="R312" s="53">
        <v>23.275946000000001</v>
      </c>
      <c r="S312" s="53">
        <v>23.128032999999999</v>
      </c>
      <c r="T312" s="53">
        <v>23.032624999999999</v>
      </c>
      <c r="U312" s="53">
        <v>22.938621999999999</v>
      </c>
      <c r="V312" s="53">
        <v>22.787749999999999</v>
      </c>
      <c r="W312" s="53">
        <v>22.655166999999999</v>
      </c>
      <c r="X312" s="53">
        <v>22.576875999999999</v>
      </c>
      <c r="Y312" s="53">
        <v>22.405971999999998</v>
      </c>
      <c r="Z312" s="53">
        <v>22.194799</v>
      </c>
      <c r="AA312" s="53">
        <v>22.065203</v>
      </c>
      <c r="AB312" s="53">
        <v>22.001493</v>
      </c>
      <c r="AC312" s="53">
        <v>21.766293000000001</v>
      </c>
      <c r="AD312" s="53">
        <v>21.605936</v>
      </c>
      <c r="AE312" s="53">
        <v>21.653433</v>
      </c>
      <c r="AF312" s="35">
        <v>-5.4539999999999996E-3</v>
      </c>
      <c r="AG312" s="29"/>
    </row>
    <row r="313" spans="1:33" ht="12" customHeight="1">
      <c r="A313" s="34" t="s">
        <v>3522</v>
      </c>
      <c r="B313" s="37" t="s">
        <v>2724</v>
      </c>
      <c r="C313" s="53">
        <v>8.2500509999999991</v>
      </c>
      <c r="D313" s="53">
        <v>7.9649989999999997</v>
      </c>
      <c r="E313" s="53">
        <v>7.7786819999999999</v>
      </c>
      <c r="F313" s="53">
        <v>7.8016709999999998</v>
      </c>
      <c r="G313" s="53">
        <v>8.0097249999999995</v>
      </c>
      <c r="H313" s="53">
        <v>8.2407789999999999</v>
      </c>
      <c r="I313" s="53">
        <v>8.3896099999999993</v>
      </c>
      <c r="J313" s="53">
        <v>8.4657020000000003</v>
      </c>
      <c r="K313" s="53">
        <v>8.4739930000000001</v>
      </c>
      <c r="L313" s="53">
        <v>8.569248</v>
      </c>
      <c r="M313" s="53">
        <v>8.6638389999999994</v>
      </c>
      <c r="N313" s="53">
        <v>8.7669069999999998</v>
      </c>
      <c r="O313" s="53">
        <v>8.8785869999999996</v>
      </c>
      <c r="P313" s="53">
        <v>9.0218939999999996</v>
      </c>
      <c r="Q313" s="53">
        <v>9.1155170000000005</v>
      </c>
      <c r="R313" s="53">
        <v>9.2115650000000002</v>
      </c>
      <c r="S313" s="53">
        <v>9.3398280000000007</v>
      </c>
      <c r="T313" s="53">
        <v>9.4918270000000007</v>
      </c>
      <c r="U313" s="53">
        <v>9.6568269999999998</v>
      </c>
      <c r="V313" s="53">
        <v>9.7932140000000008</v>
      </c>
      <c r="W313" s="53">
        <v>9.9140169999999994</v>
      </c>
      <c r="X313" s="53">
        <v>10.04443</v>
      </c>
      <c r="Y313" s="53">
        <v>10.157135999999999</v>
      </c>
      <c r="Z313" s="53">
        <v>10.272022</v>
      </c>
      <c r="AA313" s="53">
        <v>10.414602</v>
      </c>
      <c r="AB313" s="53">
        <v>10.572198</v>
      </c>
      <c r="AC313" s="53">
        <v>10.674213</v>
      </c>
      <c r="AD313" s="53">
        <v>10.802279</v>
      </c>
      <c r="AE313" s="53">
        <v>11.002223000000001</v>
      </c>
      <c r="AF313" s="35">
        <v>1.0333999999999999E-2</v>
      </c>
      <c r="AG313" s="29"/>
    </row>
    <row r="314" spans="1:33" ht="12" customHeight="1">
      <c r="A314" s="34" t="s">
        <v>3523</v>
      </c>
      <c r="B314" s="37" t="s">
        <v>1469</v>
      </c>
      <c r="C314" s="53">
        <v>2.1721550000000001</v>
      </c>
      <c r="D314" s="53">
        <v>2.1540940000000002</v>
      </c>
      <c r="E314" s="53">
        <v>2.1812930000000001</v>
      </c>
      <c r="F314" s="53">
        <v>2.2418619999999998</v>
      </c>
      <c r="G314" s="53">
        <v>2.3184269999999998</v>
      </c>
      <c r="H314" s="53">
        <v>2.3795090000000001</v>
      </c>
      <c r="I314" s="53">
        <v>2.41933</v>
      </c>
      <c r="J314" s="53">
        <v>2.4480339999999998</v>
      </c>
      <c r="K314" s="53">
        <v>2.4699040000000001</v>
      </c>
      <c r="L314" s="53">
        <v>2.5004240000000002</v>
      </c>
      <c r="M314" s="53">
        <v>2.5431490000000001</v>
      </c>
      <c r="N314" s="53">
        <v>2.575831</v>
      </c>
      <c r="O314" s="53">
        <v>2.6136590000000002</v>
      </c>
      <c r="P314" s="53">
        <v>2.6494610000000001</v>
      </c>
      <c r="Q314" s="53">
        <v>2.6701299999999999</v>
      </c>
      <c r="R314" s="53">
        <v>2.6881240000000002</v>
      </c>
      <c r="S314" s="53">
        <v>2.703789</v>
      </c>
      <c r="T314" s="53">
        <v>2.6990729999999998</v>
      </c>
      <c r="U314" s="53">
        <v>2.6999490000000002</v>
      </c>
      <c r="V314" s="53">
        <v>2.7101130000000002</v>
      </c>
      <c r="W314" s="53">
        <v>2.704129</v>
      </c>
      <c r="X314" s="53">
        <v>2.683576</v>
      </c>
      <c r="Y314" s="53">
        <v>2.6537929999999998</v>
      </c>
      <c r="Z314" s="53">
        <v>2.6207929999999999</v>
      </c>
      <c r="AA314" s="53">
        <v>2.600854</v>
      </c>
      <c r="AB314" s="53">
        <v>2.5923229999999999</v>
      </c>
      <c r="AC314" s="53">
        <v>2.5696539999999999</v>
      </c>
      <c r="AD314" s="53">
        <v>2.5515629999999998</v>
      </c>
      <c r="AE314" s="53">
        <v>2.5498460000000001</v>
      </c>
      <c r="AF314" s="35">
        <v>5.7419999999999997E-3</v>
      </c>
      <c r="AG314" s="29"/>
    </row>
    <row r="315" spans="1:33" ht="12" customHeight="1">
      <c r="A315" s="34" t="s">
        <v>3524</v>
      </c>
      <c r="B315" s="37" t="s">
        <v>2727</v>
      </c>
      <c r="C315" s="53">
        <v>69.435181</v>
      </c>
      <c r="D315" s="53">
        <v>63.003619999999998</v>
      </c>
      <c r="E315" s="53">
        <v>62.217319000000003</v>
      </c>
      <c r="F315" s="53">
        <v>62.171658000000001</v>
      </c>
      <c r="G315" s="53">
        <v>62.795315000000002</v>
      </c>
      <c r="H315" s="53">
        <v>63.961399</v>
      </c>
      <c r="I315" s="53">
        <v>64.991646000000003</v>
      </c>
      <c r="J315" s="53">
        <v>65.938254999999998</v>
      </c>
      <c r="K315" s="53">
        <v>66.582436000000001</v>
      </c>
      <c r="L315" s="53">
        <v>67.112021999999996</v>
      </c>
      <c r="M315" s="53">
        <v>67.710792999999995</v>
      </c>
      <c r="N315" s="53">
        <v>68.467590000000001</v>
      </c>
      <c r="O315" s="53">
        <v>69.449744999999993</v>
      </c>
      <c r="P315" s="53">
        <v>70.628151000000003</v>
      </c>
      <c r="Q315" s="53">
        <v>71.723586999999995</v>
      </c>
      <c r="R315" s="53">
        <v>73.060203999999999</v>
      </c>
      <c r="S315" s="53">
        <v>74.381202999999999</v>
      </c>
      <c r="T315" s="53">
        <v>75.776679999999999</v>
      </c>
      <c r="U315" s="53">
        <v>77.257903999999996</v>
      </c>
      <c r="V315" s="53">
        <v>78.993195</v>
      </c>
      <c r="W315" s="53">
        <v>80.993423000000007</v>
      </c>
      <c r="X315" s="53">
        <v>83.045783999999998</v>
      </c>
      <c r="Y315" s="53">
        <v>84.991287</v>
      </c>
      <c r="Z315" s="53">
        <v>86.689376999999993</v>
      </c>
      <c r="AA315" s="53">
        <v>88.319091999999998</v>
      </c>
      <c r="AB315" s="53">
        <v>90.117332000000005</v>
      </c>
      <c r="AC315" s="53">
        <v>91.871071000000001</v>
      </c>
      <c r="AD315" s="53">
        <v>93.241234000000006</v>
      </c>
      <c r="AE315" s="53">
        <v>94.805556999999993</v>
      </c>
      <c r="AF315" s="35">
        <v>1.1185E-2</v>
      </c>
      <c r="AG315" s="29"/>
    </row>
    <row r="316" spans="1:33" ht="12" customHeight="1">
      <c r="A316" s="34" t="s">
        <v>3525</v>
      </c>
      <c r="B316" s="37" t="s">
        <v>2729</v>
      </c>
      <c r="C316" s="53">
        <v>56.736987999999997</v>
      </c>
      <c r="D316" s="53">
        <v>61.878773000000002</v>
      </c>
      <c r="E316" s="53">
        <v>62.068275</v>
      </c>
      <c r="F316" s="53">
        <v>61.841518000000001</v>
      </c>
      <c r="G316" s="53">
        <v>61.629936000000001</v>
      </c>
      <c r="H316" s="53">
        <v>61.288074000000002</v>
      </c>
      <c r="I316" s="53">
        <v>61.210636000000001</v>
      </c>
      <c r="J316" s="53">
        <v>60.666817000000002</v>
      </c>
      <c r="K316" s="53">
        <v>60.197730999999997</v>
      </c>
      <c r="L316" s="53">
        <v>59.749138000000002</v>
      </c>
      <c r="M316" s="53">
        <v>59.209068000000002</v>
      </c>
      <c r="N316" s="53">
        <v>58.820338999999997</v>
      </c>
      <c r="O316" s="53">
        <v>58.625183</v>
      </c>
      <c r="P316" s="53">
        <v>58.603889000000002</v>
      </c>
      <c r="Q316" s="53">
        <v>58.150581000000003</v>
      </c>
      <c r="R316" s="53">
        <v>58.097267000000002</v>
      </c>
      <c r="S316" s="53">
        <v>57.850360999999999</v>
      </c>
      <c r="T316" s="53">
        <v>57.891402999999997</v>
      </c>
      <c r="U316" s="53">
        <v>57.620604999999998</v>
      </c>
      <c r="V316" s="53">
        <v>57.339610999999998</v>
      </c>
      <c r="W316" s="53">
        <v>57.374969</v>
      </c>
      <c r="X316" s="53">
        <v>57.386848000000001</v>
      </c>
      <c r="Y316" s="53">
        <v>57.442844000000001</v>
      </c>
      <c r="Z316" s="53">
        <v>57.423518999999999</v>
      </c>
      <c r="AA316" s="53">
        <v>57.554085000000001</v>
      </c>
      <c r="AB316" s="53">
        <v>57.672221999999998</v>
      </c>
      <c r="AC316" s="53">
        <v>57.671546999999997</v>
      </c>
      <c r="AD316" s="53">
        <v>57.802512999999998</v>
      </c>
      <c r="AE316" s="53">
        <v>58.185177000000003</v>
      </c>
      <c r="AF316" s="35">
        <v>9.01E-4</v>
      </c>
      <c r="AG316" s="29"/>
    </row>
    <row r="317" spans="1:33" ht="12" customHeight="1">
      <c r="A317" s="34" t="s">
        <v>3526</v>
      </c>
      <c r="B317" s="37" t="s">
        <v>2731</v>
      </c>
      <c r="C317" s="53">
        <v>50.052188999999998</v>
      </c>
      <c r="D317" s="53">
        <v>54.789566000000001</v>
      </c>
      <c r="E317" s="53">
        <v>54.732754</v>
      </c>
      <c r="F317" s="53">
        <v>54.502051999999999</v>
      </c>
      <c r="G317" s="53">
        <v>54.362513999999997</v>
      </c>
      <c r="H317" s="53">
        <v>54.051147</v>
      </c>
      <c r="I317" s="53">
        <v>54.010680999999998</v>
      </c>
      <c r="J317" s="53">
        <v>53.523150999999999</v>
      </c>
      <c r="K317" s="53">
        <v>53.098399999999998</v>
      </c>
      <c r="L317" s="53">
        <v>52.692570000000003</v>
      </c>
      <c r="M317" s="53">
        <v>52.211711999999999</v>
      </c>
      <c r="N317" s="53">
        <v>51.867232999999999</v>
      </c>
      <c r="O317" s="53">
        <v>51.710011000000002</v>
      </c>
      <c r="P317" s="53">
        <v>51.742046000000002</v>
      </c>
      <c r="Q317" s="53">
        <v>51.335762000000003</v>
      </c>
      <c r="R317" s="53">
        <v>51.341808</v>
      </c>
      <c r="S317" s="53">
        <v>51.172398000000001</v>
      </c>
      <c r="T317" s="53">
        <v>51.266883999999997</v>
      </c>
      <c r="U317" s="53">
        <v>51.034897000000001</v>
      </c>
      <c r="V317" s="53">
        <v>50.809699999999999</v>
      </c>
      <c r="W317" s="53">
        <v>50.888905000000001</v>
      </c>
      <c r="X317" s="53">
        <v>50.937538000000004</v>
      </c>
      <c r="Y317" s="53">
        <v>51.030163000000002</v>
      </c>
      <c r="Z317" s="53">
        <v>51.046554999999998</v>
      </c>
      <c r="AA317" s="53">
        <v>51.199879000000003</v>
      </c>
      <c r="AB317" s="53">
        <v>51.346801999999997</v>
      </c>
      <c r="AC317" s="53">
        <v>51.404961</v>
      </c>
      <c r="AD317" s="53">
        <v>51.559772000000002</v>
      </c>
      <c r="AE317" s="53">
        <v>51.939853999999997</v>
      </c>
      <c r="AF317" s="35">
        <v>1.323E-3</v>
      </c>
      <c r="AG317" s="29"/>
    </row>
    <row r="318" spans="1:33" ht="12" customHeight="1">
      <c r="A318" s="34" t="s">
        <v>3527</v>
      </c>
      <c r="B318" s="37" t="s">
        <v>2733</v>
      </c>
      <c r="C318" s="53">
        <v>6.6847989999999999</v>
      </c>
      <c r="D318" s="53">
        <v>7.089207</v>
      </c>
      <c r="E318" s="53">
        <v>7.3355199999999998</v>
      </c>
      <c r="F318" s="53">
        <v>7.3394680000000001</v>
      </c>
      <c r="G318" s="53">
        <v>7.2674209999999997</v>
      </c>
      <c r="H318" s="53">
        <v>7.2369260000000004</v>
      </c>
      <c r="I318" s="53">
        <v>7.1999550000000001</v>
      </c>
      <c r="J318" s="53">
        <v>7.1436650000000004</v>
      </c>
      <c r="K318" s="53">
        <v>7.0993329999999997</v>
      </c>
      <c r="L318" s="53">
        <v>7.0565660000000001</v>
      </c>
      <c r="M318" s="53">
        <v>6.997357</v>
      </c>
      <c r="N318" s="53">
        <v>6.9531039999999997</v>
      </c>
      <c r="O318" s="53">
        <v>6.9151730000000002</v>
      </c>
      <c r="P318" s="53">
        <v>6.8618430000000004</v>
      </c>
      <c r="Q318" s="53">
        <v>6.8148200000000001</v>
      </c>
      <c r="R318" s="53">
        <v>6.7554610000000004</v>
      </c>
      <c r="S318" s="53">
        <v>6.6779630000000001</v>
      </c>
      <c r="T318" s="53">
        <v>6.6245190000000003</v>
      </c>
      <c r="U318" s="53">
        <v>6.5857080000000003</v>
      </c>
      <c r="V318" s="53">
        <v>6.5299120000000004</v>
      </c>
      <c r="W318" s="53">
        <v>6.4860670000000002</v>
      </c>
      <c r="X318" s="53">
        <v>6.4493099999999997</v>
      </c>
      <c r="Y318" s="53">
        <v>6.4126820000000002</v>
      </c>
      <c r="Z318" s="53">
        <v>6.3769640000000001</v>
      </c>
      <c r="AA318" s="53">
        <v>6.3542059999999996</v>
      </c>
      <c r="AB318" s="53">
        <v>6.3254200000000003</v>
      </c>
      <c r="AC318" s="53">
        <v>6.2665850000000001</v>
      </c>
      <c r="AD318" s="53">
        <v>6.2427390000000003</v>
      </c>
      <c r="AE318" s="53">
        <v>6.2453219999999998</v>
      </c>
      <c r="AF318" s="35">
        <v>-2.4260000000000002E-3</v>
      </c>
      <c r="AG318" s="29"/>
    </row>
    <row r="319" spans="1:33" ht="12" customHeight="1">
      <c r="A319" s="34" t="s">
        <v>3528</v>
      </c>
      <c r="B319" s="37" t="s">
        <v>2735</v>
      </c>
      <c r="C319" s="53">
        <v>25.812049999999999</v>
      </c>
      <c r="D319" s="53">
        <v>25.224771</v>
      </c>
      <c r="E319" s="53">
        <v>25.008614000000001</v>
      </c>
      <c r="F319" s="53">
        <v>25.332232999999999</v>
      </c>
      <c r="G319" s="53">
        <v>25.971539</v>
      </c>
      <c r="H319" s="53">
        <v>26.525877000000001</v>
      </c>
      <c r="I319" s="53">
        <v>26.994243999999998</v>
      </c>
      <c r="J319" s="53">
        <v>27.447977000000002</v>
      </c>
      <c r="K319" s="53">
        <v>27.823757000000001</v>
      </c>
      <c r="L319" s="53">
        <v>28.276696999999999</v>
      </c>
      <c r="M319" s="53">
        <v>28.885904</v>
      </c>
      <c r="N319" s="53">
        <v>29.455973</v>
      </c>
      <c r="O319" s="53">
        <v>30.001064</v>
      </c>
      <c r="P319" s="53">
        <v>30.669499999999999</v>
      </c>
      <c r="Q319" s="53">
        <v>31.256001999999999</v>
      </c>
      <c r="R319" s="53">
        <v>31.871079999999999</v>
      </c>
      <c r="S319" s="53">
        <v>32.478515999999999</v>
      </c>
      <c r="T319" s="53">
        <v>33.028010999999999</v>
      </c>
      <c r="U319" s="53">
        <v>33.607143000000001</v>
      </c>
      <c r="V319" s="53">
        <v>34.270580000000002</v>
      </c>
      <c r="W319" s="53">
        <v>34.923656000000001</v>
      </c>
      <c r="X319" s="53">
        <v>35.633716999999997</v>
      </c>
      <c r="Y319" s="53">
        <v>36.263415999999999</v>
      </c>
      <c r="Z319" s="53">
        <v>36.845008999999997</v>
      </c>
      <c r="AA319" s="53">
        <v>37.490699999999997</v>
      </c>
      <c r="AB319" s="53">
        <v>38.173157000000003</v>
      </c>
      <c r="AC319" s="53">
        <v>38.784691000000002</v>
      </c>
      <c r="AD319" s="53">
        <v>39.419094000000001</v>
      </c>
      <c r="AE319" s="53">
        <v>40.311915999999997</v>
      </c>
      <c r="AF319" s="35">
        <v>1.6049000000000001E-2</v>
      </c>
      <c r="AG319" s="29"/>
    </row>
    <row r="320" spans="1:33" ht="12" customHeight="1">
      <c r="A320" s="34" t="s">
        <v>3529</v>
      </c>
      <c r="B320" s="37" t="s">
        <v>1479</v>
      </c>
      <c r="C320" s="53">
        <v>12.425621</v>
      </c>
      <c r="D320" s="53">
        <v>11.852798999999999</v>
      </c>
      <c r="E320" s="53">
        <v>11.712151</v>
      </c>
      <c r="F320" s="53">
        <v>11.855604</v>
      </c>
      <c r="G320" s="53">
        <v>12.112843</v>
      </c>
      <c r="H320" s="53">
        <v>12.339846</v>
      </c>
      <c r="I320" s="53">
        <v>12.518328</v>
      </c>
      <c r="J320" s="53">
        <v>12.665183000000001</v>
      </c>
      <c r="K320" s="53">
        <v>12.821884000000001</v>
      </c>
      <c r="L320" s="53">
        <v>12.967072</v>
      </c>
      <c r="M320" s="53">
        <v>13.151903000000001</v>
      </c>
      <c r="N320" s="53">
        <v>13.314117</v>
      </c>
      <c r="O320" s="53">
        <v>13.423819999999999</v>
      </c>
      <c r="P320" s="53">
        <v>13.620919000000001</v>
      </c>
      <c r="Q320" s="53">
        <v>13.763144</v>
      </c>
      <c r="R320" s="53">
        <v>13.960144</v>
      </c>
      <c r="S320" s="53">
        <v>14.141123</v>
      </c>
      <c r="T320" s="53">
        <v>14.351478</v>
      </c>
      <c r="U320" s="53">
        <v>14.539474</v>
      </c>
      <c r="V320" s="53">
        <v>14.726113</v>
      </c>
      <c r="W320" s="53">
        <v>14.895422</v>
      </c>
      <c r="X320" s="53">
        <v>14.971342</v>
      </c>
      <c r="Y320" s="53">
        <v>15.130051999999999</v>
      </c>
      <c r="Z320" s="53">
        <v>15.325888000000001</v>
      </c>
      <c r="AA320" s="53">
        <v>15.510503999999999</v>
      </c>
      <c r="AB320" s="53">
        <v>15.682745000000001</v>
      </c>
      <c r="AC320" s="53">
        <v>15.811227000000001</v>
      </c>
      <c r="AD320" s="53">
        <v>15.939921999999999</v>
      </c>
      <c r="AE320" s="53">
        <v>16.097290000000001</v>
      </c>
      <c r="AF320" s="35">
        <v>9.2890000000000004E-3</v>
      </c>
      <c r="AG320" s="29"/>
    </row>
    <row r="321" spans="1:33" ht="12" customHeight="1">
      <c r="A321" s="34" t="s">
        <v>3530</v>
      </c>
      <c r="B321" s="37" t="s">
        <v>1477</v>
      </c>
      <c r="C321" s="53">
        <v>3.2555710000000002</v>
      </c>
      <c r="D321" s="53">
        <v>3.0389979999999999</v>
      </c>
      <c r="E321" s="53">
        <v>2.9579390000000001</v>
      </c>
      <c r="F321" s="53">
        <v>2.9321640000000002</v>
      </c>
      <c r="G321" s="53">
        <v>2.9904449999999998</v>
      </c>
      <c r="H321" s="53">
        <v>3.014618</v>
      </c>
      <c r="I321" s="53">
        <v>3.0261680000000002</v>
      </c>
      <c r="J321" s="53">
        <v>3.041058</v>
      </c>
      <c r="K321" s="53">
        <v>3.0435919999999999</v>
      </c>
      <c r="L321" s="53">
        <v>3.0495480000000001</v>
      </c>
      <c r="M321" s="53">
        <v>3.0654849999999998</v>
      </c>
      <c r="N321" s="53">
        <v>3.0954229999999998</v>
      </c>
      <c r="O321" s="53">
        <v>3.123186</v>
      </c>
      <c r="P321" s="53">
        <v>3.1513719999999998</v>
      </c>
      <c r="Q321" s="53">
        <v>3.167783</v>
      </c>
      <c r="R321" s="53">
        <v>3.1861619999999999</v>
      </c>
      <c r="S321" s="53">
        <v>3.2130239999999999</v>
      </c>
      <c r="T321" s="53">
        <v>3.2512029999999998</v>
      </c>
      <c r="U321" s="53">
        <v>3.2947570000000002</v>
      </c>
      <c r="V321" s="53">
        <v>3.3227880000000001</v>
      </c>
      <c r="W321" s="53">
        <v>3.3590390000000001</v>
      </c>
      <c r="X321" s="53">
        <v>3.3671139999999999</v>
      </c>
      <c r="Y321" s="53">
        <v>3.3856799999999998</v>
      </c>
      <c r="Z321" s="53">
        <v>3.4109099999999999</v>
      </c>
      <c r="AA321" s="53">
        <v>3.4513980000000002</v>
      </c>
      <c r="AB321" s="53">
        <v>3.4718930000000001</v>
      </c>
      <c r="AC321" s="53">
        <v>3.4720659999999999</v>
      </c>
      <c r="AD321" s="53">
        <v>3.4862739999999999</v>
      </c>
      <c r="AE321" s="53">
        <v>3.5112040000000002</v>
      </c>
      <c r="AF321" s="35">
        <v>2.7030000000000001E-3</v>
      </c>
      <c r="AG321" s="29"/>
    </row>
    <row r="322" spans="1:33" ht="12" customHeight="1">
      <c r="A322" s="34" t="s">
        <v>3531</v>
      </c>
      <c r="B322" s="37" t="s">
        <v>1465</v>
      </c>
      <c r="C322" s="53">
        <v>1.185999</v>
      </c>
      <c r="D322" s="53">
        <v>1.1358729999999999</v>
      </c>
      <c r="E322" s="53">
        <v>1.1252690000000001</v>
      </c>
      <c r="F322" s="53">
        <v>1.142503</v>
      </c>
      <c r="G322" s="53">
        <v>1.1545449999999999</v>
      </c>
      <c r="H322" s="53">
        <v>1.173621</v>
      </c>
      <c r="I322" s="53">
        <v>1.1912240000000001</v>
      </c>
      <c r="J322" s="53">
        <v>1.202836</v>
      </c>
      <c r="K322" s="53">
        <v>1.235447</v>
      </c>
      <c r="L322" s="53">
        <v>1.2517389999999999</v>
      </c>
      <c r="M322" s="53">
        <v>1.2644759999999999</v>
      </c>
      <c r="N322" s="53">
        <v>1.267857</v>
      </c>
      <c r="O322" s="53">
        <v>1.2810649999999999</v>
      </c>
      <c r="P322" s="53">
        <v>1.3055060000000001</v>
      </c>
      <c r="Q322" s="53">
        <v>1.3244990000000001</v>
      </c>
      <c r="R322" s="53">
        <v>1.3522069999999999</v>
      </c>
      <c r="S322" s="53">
        <v>1.3729260000000001</v>
      </c>
      <c r="T322" s="53">
        <v>1.395359</v>
      </c>
      <c r="U322" s="53">
        <v>1.403659</v>
      </c>
      <c r="V322" s="53">
        <v>1.4128890000000001</v>
      </c>
      <c r="W322" s="53">
        <v>1.430558</v>
      </c>
      <c r="X322" s="53">
        <v>1.441192</v>
      </c>
      <c r="Y322" s="53">
        <v>1.4615290000000001</v>
      </c>
      <c r="Z322" s="53">
        <v>1.483708</v>
      </c>
      <c r="AA322" s="53">
        <v>1.502129</v>
      </c>
      <c r="AB322" s="53">
        <v>1.5190900000000001</v>
      </c>
      <c r="AC322" s="53">
        <v>1.533366</v>
      </c>
      <c r="AD322" s="53">
        <v>1.5467029999999999</v>
      </c>
      <c r="AE322" s="53">
        <v>1.5628610000000001</v>
      </c>
      <c r="AF322" s="35">
        <v>9.9030000000000003E-3</v>
      </c>
      <c r="AG322" s="29"/>
    </row>
    <row r="323" spans="1:33" ht="12" customHeight="1">
      <c r="A323" s="34" t="s">
        <v>3532</v>
      </c>
      <c r="B323" s="37" t="s">
        <v>2740</v>
      </c>
      <c r="C323" s="53">
        <v>7.9840499999999999</v>
      </c>
      <c r="D323" s="53">
        <v>7.6779279999999996</v>
      </c>
      <c r="E323" s="53">
        <v>7.6289439999999997</v>
      </c>
      <c r="F323" s="53">
        <v>7.7809369999999998</v>
      </c>
      <c r="G323" s="53">
        <v>7.9678519999999997</v>
      </c>
      <c r="H323" s="53">
        <v>8.1516070000000003</v>
      </c>
      <c r="I323" s="53">
        <v>8.3009369999999993</v>
      </c>
      <c r="J323" s="53">
        <v>8.4212889999999998</v>
      </c>
      <c r="K323" s="53">
        <v>8.5428460000000008</v>
      </c>
      <c r="L323" s="53">
        <v>8.6657849999999996</v>
      </c>
      <c r="M323" s="53">
        <v>8.8219410000000007</v>
      </c>
      <c r="N323" s="53">
        <v>8.9508369999999999</v>
      </c>
      <c r="O323" s="53">
        <v>9.0195690000000006</v>
      </c>
      <c r="P323" s="53">
        <v>9.1640409999999992</v>
      </c>
      <c r="Q323" s="53">
        <v>9.2708619999999993</v>
      </c>
      <c r="R323" s="53">
        <v>9.4217759999999995</v>
      </c>
      <c r="S323" s="53">
        <v>9.5551729999999999</v>
      </c>
      <c r="T323" s="53">
        <v>9.7049160000000008</v>
      </c>
      <c r="U323" s="53">
        <v>9.8410580000000003</v>
      </c>
      <c r="V323" s="53">
        <v>9.990437</v>
      </c>
      <c r="W323" s="53">
        <v>10.105824999999999</v>
      </c>
      <c r="X323" s="53">
        <v>10.163036</v>
      </c>
      <c r="Y323" s="53">
        <v>10.282844000000001</v>
      </c>
      <c r="Z323" s="53">
        <v>10.431269</v>
      </c>
      <c r="AA323" s="53">
        <v>10.556976000000001</v>
      </c>
      <c r="AB323" s="53">
        <v>10.691762000000001</v>
      </c>
      <c r="AC323" s="53">
        <v>10.805795</v>
      </c>
      <c r="AD323" s="53">
        <v>10.906943999999999</v>
      </c>
      <c r="AE323" s="53">
        <v>11.023224000000001</v>
      </c>
      <c r="AF323" s="35">
        <v>1.1587E-2</v>
      </c>
      <c r="AG323" s="29"/>
    </row>
    <row r="324" spans="1:33" ht="12" customHeight="1">
      <c r="A324" s="34" t="s">
        <v>3533</v>
      </c>
      <c r="B324" s="37" t="s">
        <v>2742</v>
      </c>
      <c r="C324" s="53">
        <v>33.458961000000002</v>
      </c>
      <c r="D324" s="53">
        <v>33.121262000000002</v>
      </c>
      <c r="E324" s="53">
        <v>33.060341000000001</v>
      </c>
      <c r="F324" s="53">
        <v>33.919288999999999</v>
      </c>
      <c r="G324" s="53">
        <v>35.286082999999998</v>
      </c>
      <c r="H324" s="53">
        <v>36.085479999999997</v>
      </c>
      <c r="I324" s="53">
        <v>36.377589999999998</v>
      </c>
      <c r="J324" s="53">
        <v>36.618091999999997</v>
      </c>
      <c r="K324" s="53">
        <v>36.565055999999998</v>
      </c>
      <c r="L324" s="53">
        <v>36.565463999999999</v>
      </c>
      <c r="M324" s="53">
        <v>36.864123999999997</v>
      </c>
      <c r="N324" s="53">
        <v>36.987822999999999</v>
      </c>
      <c r="O324" s="53">
        <v>37.200600000000001</v>
      </c>
      <c r="P324" s="53">
        <v>37.440711999999998</v>
      </c>
      <c r="Q324" s="53">
        <v>37.691383000000002</v>
      </c>
      <c r="R324" s="53">
        <v>38.217407000000001</v>
      </c>
      <c r="S324" s="53">
        <v>38.672629999999998</v>
      </c>
      <c r="T324" s="53">
        <v>39.032046999999999</v>
      </c>
      <c r="U324" s="53">
        <v>39.384791999999997</v>
      </c>
      <c r="V324" s="53">
        <v>39.806412000000002</v>
      </c>
      <c r="W324" s="53">
        <v>40.250427000000002</v>
      </c>
      <c r="X324" s="53">
        <v>40.593089999999997</v>
      </c>
      <c r="Y324" s="53">
        <v>40.894314000000001</v>
      </c>
      <c r="Z324" s="53">
        <v>41.197056000000003</v>
      </c>
      <c r="AA324" s="53">
        <v>41.570929999999997</v>
      </c>
      <c r="AB324" s="53">
        <v>41.954051999999997</v>
      </c>
      <c r="AC324" s="53">
        <v>42.200538999999999</v>
      </c>
      <c r="AD324" s="53">
        <v>42.478988999999999</v>
      </c>
      <c r="AE324" s="53">
        <v>42.970627</v>
      </c>
      <c r="AF324" s="35">
        <v>8.9759999999999996E-3</v>
      </c>
      <c r="AG324" s="29"/>
    </row>
    <row r="325" spans="1:33" ht="15" customHeight="1">
      <c r="A325" s="34" t="s">
        <v>3534</v>
      </c>
      <c r="B325" s="37" t="s">
        <v>1464</v>
      </c>
      <c r="C325" s="53">
        <v>17.784246</v>
      </c>
      <c r="D325" s="53">
        <v>17.475573000000001</v>
      </c>
      <c r="E325" s="53">
        <v>17.175404</v>
      </c>
      <c r="F325" s="53">
        <v>17.526423999999999</v>
      </c>
      <c r="G325" s="53">
        <v>18.346767</v>
      </c>
      <c r="H325" s="53">
        <v>18.762533000000001</v>
      </c>
      <c r="I325" s="53">
        <v>18.842998999999999</v>
      </c>
      <c r="J325" s="53">
        <v>18.914031999999999</v>
      </c>
      <c r="K325" s="53">
        <v>18.78772</v>
      </c>
      <c r="L325" s="53">
        <v>18.718385999999999</v>
      </c>
      <c r="M325" s="53">
        <v>18.906154999999998</v>
      </c>
      <c r="N325" s="53">
        <v>18.881166</v>
      </c>
      <c r="O325" s="53">
        <v>18.885968999999999</v>
      </c>
      <c r="P325" s="53">
        <v>18.934398999999999</v>
      </c>
      <c r="Q325" s="53">
        <v>18.983294000000001</v>
      </c>
      <c r="R325" s="53">
        <v>19.241752999999999</v>
      </c>
      <c r="S325" s="53">
        <v>19.415037000000002</v>
      </c>
      <c r="T325" s="53">
        <v>19.467663000000002</v>
      </c>
      <c r="U325" s="53">
        <v>19.553196</v>
      </c>
      <c r="V325" s="53">
        <v>19.701328</v>
      </c>
      <c r="W325" s="53">
        <v>19.865604000000001</v>
      </c>
      <c r="X325" s="53">
        <v>19.939384</v>
      </c>
      <c r="Y325" s="53">
        <v>19.958178</v>
      </c>
      <c r="Z325" s="53">
        <v>19.924934</v>
      </c>
      <c r="AA325" s="53">
        <v>19.962389000000002</v>
      </c>
      <c r="AB325" s="53">
        <v>20.059868000000002</v>
      </c>
      <c r="AC325" s="53">
        <v>20.080179000000001</v>
      </c>
      <c r="AD325" s="53">
        <v>20.114440999999999</v>
      </c>
      <c r="AE325" s="53">
        <v>20.324149999999999</v>
      </c>
      <c r="AF325" s="35">
        <v>4.7790000000000003E-3</v>
      </c>
      <c r="AG325" s="29"/>
    </row>
    <row r="326" spans="1:33" ht="15" customHeight="1">
      <c r="A326" s="34" t="s">
        <v>3535</v>
      </c>
      <c r="B326" s="37" t="s">
        <v>1482</v>
      </c>
      <c r="C326" s="53">
        <v>4.4113059999999997</v>
      </c>
      <c r="D326" s="53">
        <v>4.3961269999999999</v>
      </c>
      <c r="E326" s="53">
        <v>4.4354550000000001</v>
      </c>
      <c r="F326" s="53">
        <v>4.5748300000000004</v>
      </c>
      <c r="G326" s="53">
        <v>4.7268330000000001</v>
      </c>
      <c r="H326" s="53">
        <v>4.8387060000000002</v>
      </c>
      <c r="I326" s="53">
        <v>4.8972119999999997</v>
      </c>
      <c r="J326" s="53">
        <v>4.9513870000000004</v>
      </c>
      <c r="K326" s="53">
        <v>4.9491310000000004</v>
      </c>
      <c r="L326" s="53">
        <v>4.9744200000000003</v>
      </c>
      <c r="M326" s="53">
        <v>4.9930120000000002</v>
      </c>
      <c r="N326" s="53">
        <v>5.0368539999999999</v>
      </c>
      <c r="O326" s="53">
        <v>5.1029020000000003</v>
      </c>
      <c r="P326" s="53">
        <v>5.1439880000000002</v>
      </c>
      <c r="Q326" s="53">
        <v>5.1903550000000003</v>
      </c>
      <c r="R326" s="53">
        <v>5.2471800000000002</v>
      </c>
      <c r="S326" s="53">
        <v>5.3084530000000001</v>
      </c>
      <c r="T326" s="53">
        <v>5.3881110000000003</v>
      </c>
      <c r="U326" s="53">
        <v>5.4315049999999996</v>
      </c>
      <c r="V326" s="53">
        <v>5.5029750000000002</v>
      </c>
      <c r="W326" s="53">
        <v>5.5882069999999997</v>
      </c>
      <c r="X326" s="53">
        <v>5.6542479999999999</v>
      </c>
      <c r="Y326" s="53">
        <v>5.6986080000000001</v>
      </c>
      <c r="Z326" s="53">
        <v>5.7755200000000002</v>
      </c>
      <c r="AA326" s="53">
        <v>5.8669919999999998</v>
      </c>
      <c r="AB326" s="53">
        <v>5.9431900000000004</v>
      </c>
      <c r="AC326" s="53">
        <v>5.9697839999999998</v>
      </c>
      <c r="AD326" s="53">
        <v>6.0178659999999997</v>
      </c>
      <c r="AE326" s="53">
        <v>6.1111110000000002</v>
      </c>
      <c r="AF326" s="35">
        <v>1.1709000000000001E-2</v>
      </c>
      <c r="AG326" s="29"/>
    </row>
    <row r="327" spans="1:33" ht="15" customHeight="1">
      <c r="A327" s="34" t="s">
        <v>3536</v>
      </c>
      <c r="B327" s="37" t="s">
        <v>1486</v>
      </c>
      <c r="C327" s="53">
        <v>11.263411</v>
      </c>
      <c r="D327" s="53">
        <v>11.249560000000001</v>
      </c>
      <c r="E327" s="53">
        <v>11.449484</v>
      </c>
      <c r="F327" s="53">
        <v>11.818037</v>
      </c>
      <c r="G327" s="53">
        <v>12.212481</v>
      </c>
      <c r="H327" s="53">
        <v>12.484242999999999</v>
      </c>
      <c r="I327" s="53">
        <v>12.637381</v>
      </c>
      <c r="J327" s="53">
        <v>12.752670999999999</v>
      </c>
      <c r="K327" s="53">
        <v>12.828203</v>
      </c>
      <c r="L327" s="53">
        <v>12.872659000000001</v>
      </c>
      <c r="M327" s="53">
        <v>12.964957</v>
      </c>
      <c r="N327" s="53">
        <v>13.069803</v>
      </c>
      <c r="O327" s="53">
        <v>13.211726000000001</v>
      </c>
      <c r="P327" s="53">
        <v>13.362327000000001</v>
      </c>
      <c r="Q327" s="53">
        <v>13.517735</v>
      </c>
      <c r="R327" s="53">
        <v>13.728476000000001</v>
      </c>
      <c r="S327" s="53">
        <v>13.94914</v>
      </c>
      <c r="T327" s="53">
        <v>14.176273</v>
      </c>
      <c r="U327" s="53">
        <v>14.400091</v>
      </c>
      <c r="V327" s="53">
        <v>14.602105999999999</v>
      </c>
      <c r="W327" s="53">
        <v>14.796614999999999</v>
      </c>
      <c r="X327" s="53">
        <v>14.999459</v>
      </c>
      <c r="Y327" s="53">
        <v>15.237529</v>
      </c>
      <c r="Z327" s="53">
        <v>15.496601999999999</v>
      </c>
      <c r="AA327" s="53">
        <v>15.741547000000001</v>
      </c>
      <c r="AB327" s="53">
        <v>15.950995000000001</v>
      </c>
      <c r="AC327" s="53">
        <v>16.150577999999999</v>
      </c>
      <c r="AD327" s="53">
        <v>16.346682000000001</v>
      </c>
      <c r="AE327" s="53">
        <v>16.535366</v>
      </c>
      <c r="AF327" s="35">
        <v>1.3807E-2</v>
      </c>
      <c r="AG327" s="29"/>
    </row>
    <row r="328" spans="1:33" ht="15" customHeight="1">
      <c r="A328" s="34" t="s">
        <v>3537</v>
      </c>
      <c r="B328" s="37" t="s">
        <v>2747</v>
      </c>
      <c r="C328" s="53">
        <v>35.507919000000001</v>
      </c>
      <c r="D328" s="53">
        <v>34.704926</v>
      </c>
      <c r="E328" s="53">
        <v>34.335662999999997</v>
      </c>
      <c r="F328" s="53">
        <v>34.842860999999999</v>
      </c>
      <c r="G328" s="53">
        <v>35.841392999999997</v>
      </c>
      <c r="H328" s="53">
        <v>36.682808000000001</v>
      </c>
      <c r="I328" s="53">
        <v>37.168205</v>
      </c>
      <c r="J328" s="53">
        <v>37.594048000000001</v>
      </c>
      <c r="K328" s="53">
        <v>37.826855000000002</v>
      </c>
      <c r="L328" s="53">
        <v>38.126491999999999</v>
      </c>
      <c r="M328" s="53">
        <v>38.922049999999999</v>
      </c>
      <c r="N328" s="53">
        <v>39.595398000000003</v>
      </c>
      <c r="O328" s="53">
        <v>40.181483999999998</v>
      </c>
      <c r="P328" s="53">
        <v>40.903537999999998</v>
      </c>
      <c r="Q328" s="53">
        <v>41.715935000000002</v>
      </c>
      <c r="R328" s="53">
        <v>42.606673999999998</v>
      </c>
      <c r="S328" s="53">
        <v>43.437705999999999</v>
      </c>
      <c r="T328" s="53">
        <v>44.237186000000001</v>
      </c>
      <c r="U328" s="53">
        <v>44.968918000000002</v>
      </c>
      <c r="V328" s="53">
        <v>45.906086000000002</v>
      </c>
      <c r="W328" s="53">
        <v>46.626742999999998</v>
      </c>
      <c r="X328" s="53">
        <v>47.235988999999996</v>
      </c>
      <c r="Y328" s="53">
        <v>47.635680999999998</v>
      </c>
      <c r="Z328" s="53">
        <v>47.852158000000003</v>
      </c>
      <c r="AA328" s="53">
        <v>48.127758</v>
      </c>
      <c r="AB328" s="53">
        <v>48.552791999999997</v>
      </c>
      <c r="AC328" s="53">
        <v>48.754573999999998</v>
      </c>
      <c r="AD328" s="53">
        <v>48.803493000000003</v>
      </c>
      <c r="AE328" s="53">
        <v>49.509605000000001</v>
      </c>
      <c r="AF328" s="35">
        <v>1.1943E-2</v>
      </c>
      <c r="AG328" s="29"/>
    </row>
    <row r="329" spans="1:33" ht="15" customHeight="1">
      <c r="A329" s="34" t="s">
        <v>3538</v>
      </c>
      <c r="B329" s="37" t="s">
        <v>2749</v>
      </c>
      <c r="C329" s="53">
        <v>35.362053000000003</v>
      </c>
      <c r="D329" s="53">
        <v>34.681956999999997</v>
      </c>
      <c r="E329" s="53">
        <v>34.549129000000001</v>
      </c>
      <c r="F329" s="53">
        <v>34.797809999999998</v>
      </c>
      <c r="G329" s="53">
        <v>35.931660000000001</v>
      </c>
      <c r="H329" s="53">
        <v>36.934772000000002</v>
      </c>
      <c r="I329" s="53">
        <v>37.279263</v>
      </c>
      <c r="J329" s="53">
        <v>37.575733</v>
      </c>
      <c r="K329" s="53">
        <v>37.820239999999998</v>
      </c>
      <c r="L329" s="53">
        <v>38.311024000000003</v>
      </c>
      <c r="M329" s="53">
        <v>39.171337000000001</v>
      </c>
      <c r="N329" s="53">
        <v>39.804698999999999</v>
      </c>
      <c r="O329" s="53">
        <v>40.308689000000001</v>
      </c>
      <c r="P329" s="53">
        <v>40.913241999999997</v>
      </c>
      <c r="Q329" s="53">
        <v>41.528846999999999</v>
      </c>
      <c r="R329" s="53">
        <v>42.122627000000001</v>
      </c>
      <c r="S329" s="53">
        <v>42.740828999999998</v>
      </c>
      <c r="T329" s="53">
        <v>43.207068999999997</v>
      </c>
      <c r="U329" s="53">
        <v>43.659045999999996</v>
      </c>
      <c r="V329" s="53">
        <v>44.205024999999999</v>
      </c>
      <c r="W329" s="53">
        <v>44.668289000000001</v>
      </c>
      <c r="X329" s="53">
        <v>45.013621999999998</v>
      </c>
      <c r="Y329" s="53">
        <v>45.247405999999998</v>
      </c>
      <c r="Z329" s="53">
        <v>45.416758999999999</v>
      </c>
      <c r="AA329" s="53">
        <v>45.773319000000001</v>
      </c>
      <c r="AB329" s="53">
        <v>46.180278999999999</v>
      </c>
      <c r="AC329" s="53">
        <v>46.535961</v>
      </c>
      <c r="AD329" s="53">
        <v>46.728274999999996</v>
      </c>
      <c r="AE329" s="53">
        <v>47.223286000000002</v>
      </c>
      <c r="AF329" s="35">
        <v>1.0383999999999999E-2</v>
      </c>
      <c r="AG329" s="29"/>
    </row>
    <row r="330" spans="1:33" ht="15" customHeight="1">
      <c r="A330" s="34" t="s">
        <v>3539</v>
      </c>
      <c r="B330" s="37" t="s">
        <v>2751</v>
      </c>
      <c r="C330" s="53">
        <v>51.164185000000003</v>
      </c>
      <c r="D330" s="53">
        <v>51.779468999999999</v>
      </c>
      <c r="E330" s="53">
        <v>53.008536999999997</v>
      </c>
      <c r="F330" s="53">
        <v>54.508118000000003</v>
      </c>
      <c r="G330" s="53">
        <v>56.181567999999999</v>
      </c>
      <c r="H330" s="53">
        <v>57.584969000000001</v>
      </c>
      <c r="I330" s="53">
        <v>58.648113000000002</v>
      </c>
      <c r="J330" s="53">
        <v>59.380257</v>
      </c>
      <c r="K330" s="53">
        <v>59.694408000000003</v>
      </c>
      <c r="L330" s="53">
        <v>60.287762000000001</v>
      </c>
      <c r="M330" s="53">
        <v>60.978316999999997</v>
      </c>
      <c r="N330" s="53">
        <v>61.691288</v>
      </c>
      <c r="O330" s="53">
        <v>62.497326000000001</v>
      </c>
      <c r="P330" s="53">
        <v>63.251700999999997</v>
      </c>
      <c r="Q330" s="53">
        <v>64.064719999999994</v>
      </c>
      <c r="R330" s="53">
        <v>65.055717000000001</v>
      </c>
      <c r="S330" s="53">
        <v>66.066254000000001</v>
      </c>
      <c r="T330" s="53">
        <v>67.083236999999997</v>
      </c>
      <c r="U330" s="53">
        <v>68.377494999999996</v>
      </c>
      <c r="V330" s="53">
        <v>69.613747000000004</v>
      </c>
      <c r="W330" s="53">
        <v>70.602378999999999</v>
      </c>
      <c r="X330" s="53">
        <v>71.679801999999995</v>
      </c>
      <c r="Y330" s="53">
        <v>72.661727999999997</v>
      </c>
      <c r="Z330" s="53">
        <v>73.509253999999999</v>
      </c>
      <c r="AA330" s="53">
        <v>74.367064999999997</v>
      </c>
      <c r="AB330" s="53">
        <v>75.235106999999999</v>
      </c>
      <c r="AC330" s="53">
        <v>76.025443999999993</v>
      </c>
      <c r="AD330" s="53">
        <v>76.952385000000007</v>
      </c>
      <c r="AE330" s="53">
        <v>78.078238999999996</v>
      </c>
      <c r="AF330" s="35">
        <v>1.521E-2</v>
      </c>
      <c r="AG330" s="29"/>
    </row>
    <row r="331" spans="1:33" ht="12" customHeight="1">
      <c r="A331" s="34" t="s">
        <v>3540</v>
      </c>
      <c r="B331" s="37" t="s">
        <v>2753</v>
      </c>
      <c r="C331" s="53">
        <v>34.579746</v>
      </c>
      <c r="D331" s="53">
        <v>35.603191000000002</v>
      </c>
      <c r="E331" s="53">
        <v>35.915768</v>
      </c>
      <c r="F331" s="53">
        <v>35.512405000000001</v>
      </c>
      <c r="G331" s="53">
        <v>35.474552000000003</v>
      </c>
      <c r="H331" s="53">
        <v>35.795848999999997</v>
      </c>
      <c r="I331" s="53">
        <v>35.94717</v>
      </c>
      <c r="J331" s="53">
        <v>35.793354000000001</v>
      </c>
      <c r="K331" s="53">
        <v>35.600037</v>
      </c>
      <c r="L331" s="53">
        <v>35.749580000000002</v>
      </c>
      <c r="M331" s="53">
        <v>36.324184000000002</v>
      </c>
      <c r="N331" s="53">
        <v>36.737003000000001</v>
      </c>
      <c r="O331" s="53">
        <v>37.032344999999999</v>
      </c>
      <c r="P331" s="53">
        <v>37.397976</v>
      </c>
      <c r="Q331" s="53">
        <v>37.654152000000003</v>
      </c>
      <c r="R331" s="53">
        <v>37.851630999999998</v>
      </c>
      <c r="S331" s="53">
        <v>38.058159000000003</v>
      </c>
      <c r="T331" s="53">
        <v>38.110743999999997</v>
      </c>
      <c r="U331" s="53">
        <v>38.255862999999998</v>
      </c>
      <c r="V331" s="53">
        <v>38.523730999999998</v>
      </c>
      <c r="W331" s="53">
        <v>38.849570999999997</v>
      </c>
      <c r="X331" s="53">
        <v>39.072208000000003</v>
      </c>
      <c r="Y331" s="53">
        <v>39.196250999999997</v>
      </c>
      <c r="Z331" s="53">
        <v>39.300944999999999</v>
      </c>
      <c r="AA331" s="53">
        <v>39.523262000000003</v>
      </c>
      <c r="AB331" s="53">
        <v>39.780631999999997</v>
      </c>
      <c r="AC331" s="53">
        <v>39.974350000000001</v>
      </c>
      <c r="AD331" s="53">
        <v>40.130504999999999</v>
      </c>
      <c r="AE331" s="53">
        <v>40.412823000000003</v>
      </c>
      <c r="AF331" s="35">
        <v>5.5830000000000003E-3</v>
      </c>
      <c r="AG331" s="29"/>
    </row>
    <row r="332" spans="1:33" ht="15" customHeight="1">
      <c r="A332" s="34" t="s">
        <v>3541</v>
      </c>
      <c r="B332" s="37" t="s">
        <v>2755</v>
      </c>
      <c r="C332" s="53">
        <v>16.359459000000001</v>
      </c>
      <c r="D332" s="53">
        <v>16.289684000000001</v>
      </c>
      <c r="E332" s="53">
        <v>16.404118</v>
      </c>
      <c r="F332" s="53">
        <v>16.721896999999998</v>
      </c>
      <c r="G332" s="53">
        <v>17.055443</v>
      </c>
      <c r="H332" s="53">
        <v>17.366596000000001</v>
      </c>
      <c r="I332" s="53">
        <v>17.641770999999999</v>
      </c>
      <c r="J332" s="53">
        <v>17.877008</v>
      </c>
      <c r="K332" s="53">
        <v>18.060879</v>
      </c>
      <c r="L332" s="53">
        <v>18.140823000000001</v>
      </c>
      <c r="M332" s="53">
        <v>18.473316000000001</v>
      </c>
      <c r="N332" s="53">
        <v>18.976884999999999</v>
      </c>
      <c r="O332" s="53">
        <v>19.45853</v>
      </c>
      <c r="P332" s="53">
        <v>19.983920999999999</v>
      </c>
      <c r="Q332" s="53">
        <v>20.516586</v>
      </c>
      <c r="R332" s="53">
        <v>21.104676999999999</v>
      </c>
      <c r="S332" s="53">
        <v>21.743855</v>
      </c>
      <c r="T332" s="53">
        <v>22.374001</v>
      </c>
      <c r="U332" s="53">
        <v>23.012333000000002</v>
      </c>
      <c r="V332" s="53">
        <v>23.670266999999999</v>
      </c>
      <c r="W332" s="53">
        <v>24.297514</v>
      </c>
      <c r="X332" s="53">
        <v>24.966208000000002</v>
      </c>
      <c r="Y332" s="53">
        <v>25.627265999999999</v>
      </c>
      <c r="Z332" s="53">
        <v>26.266964000000002</v>
      </c>
      <c r="AA332" s="53">
        <v>26.924398</v>
      </c>
      <c r="AB332" s="53">
        <v>27.613309999999998</v>
      </c>
      <c r="AC332" s="53">
        <v>28.309830000000002</v>
      </c>
      <c r="AD332" s="53">
        <v>28.991637999999998</v>
      </c>
      <c r="AE332" s="53">
        <v>29.809941999999999</v>
      </c>
      <c r="AF332" s="35">
        <v>2.1661E-2</v>
      </c>
      <c r="AG332" s="29"/>
    </row>
    <row r="333" spans="1:33" ht="12" customHeight="1">
      <c r="A333" s="34" t="s">
        <v>3542</v>
      </c>
      <c r="B333" s="37" t="s">
        <v>1475</v>
      </c>
      <c r="C333" s="53">
        <v>19.941872</v>
      </c>
      <c r="D333" s="53">
        <v>19.630520000000001</v>
      </c>
      <c r="E333" s="53">
        <v>19.518212999999999</v>
      </c>
      <c r="F333" s="53">
        <v>18.957407</v>
      </c>
      <c r="G333" s="53">
        <v>18.768073999999999</v>
      </c>
      <c r="H333" s="53">
        <v>18.756495999999999</v>
      </c>
      <c r="I333" s="53">
        <v>18.849636</v>
      </c>
      <c r="J333" s="53">
        <v>18.937349000000001</v>
      </c>
      <c r="K333" s="53">
        <v>19.03022</v>
      </c>
      <c r="L333" s="53">
        <v>19.183872000000001</v>
      </c>
      <c r="M333" s="53">
        <v>19.477519999999998</v>
      </c>
      <c r="N333" s="53">
        <v>19.740931</v>
      </c>
      <c r="O333" s="53">
        <v>19.983709000000001</v>
      </c>
      <c r="P333" s="53">
        <v>20.155419999999999</v>
      </c>
      <c r="Q333" s="53">
        <v>20.308993999999998</v>
      </c>
      <c r="R333" s="53">
        <v>20.560936000000002</v>
      </c>
      <c r="S333" s="53">
        <v>20.857126000000001</v>
      </c>
      <c r="T333" s="53">
        <v>21.119968</v>
      </c>
      <c r="U333" s="53">
        <v>21.420347</v>
      </c>
      <c r="V333" s="53">
        <v>21.688345000000002</v>
      </c>
      <c r="W333" s="53">
        <v>21.939743</v>
      </c>
      <c r="X333" s="53">
        <v>22.201481000000001</v>
      </c>
      <c r="Y333" s="53">
        <v>22.421562000000002</v>
      </c>
      <c r="Z333" s="53">
        <v>22.656521000000001</v>
      </c>
      <c r="AA333" s="53">
        <v>22.913595000000001</v>
      </c>
      <c r="AB333" s="53">
        <v>23.200763999999999</v>
      </c>
      <c r="AC333" s="53">
        <v>23.452997</v>
      </c>
      <c r="AD333" s="53">
        <v>23.675460999999999</v>
      </c>
      <c r="AE333" s="53">
        <v>24.044397</v>
      </c>
      <c r="AF333" s="35">
        <v>6.7039999999999999E-3</v>
      </c>
      <c r="AG333" s="29"/>
    </row>
    <row r="334" spans="1:33" ht="15" customHeight="1">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row>
    <row r="335" spans="1:33" ht="12" customHeight="1">
      <c r="A335" s="34" t="s">
        <v>3543</v>
      </c>
      <c r="B335" s="33" t="s">
        <v>2758</v>
      </c>
      <c r="C335" s="40">
        <v>818.72735599999999</v>
      </c>
      <c r="D335" s="40">
        <v>806.294983</v>
      </c>
      <c r="E335" s="40">
        <v>801.67089799999997</v>
      </c>
      <c r="F335" s="40">
        <v>806.31073000000004</v>
      </c>
      <c r="G335" s="40">
        <v>815.49560499999995</v>
      </c>
      <c r="H335" s="40">
        <v>822.87835700000005</v>
      </c>
      <c r="I335" s="40">
        <v>829.35723900000005</v>
      </c>
      <c r="J335" s="40">
        <v>836.07055700000001</v>
      </c>
      <c r="K335" s="40">
        <v>839.94885299999999</v>
      </c>
      <c r="L335" s="40">
        <v>842.70025599999997</v>
      </c>
      <c r="M335" s="40">
        <v>847.29779099999996</v>
      </c>
      <c r="N335" s="40">
        <v>851.48071300000004</v>
      </c>
      <c r="O335" s="40">
        <v>855.93579099999999</v>
      </c>
      <c r="P335" s="40">
        <v>861.48895300000004</v>
      </c>
      <c r="Q335" s="40">
        <v>866.96069299999999</v>
      </c>
      <c r="R335" s="40">
        <v>874.48406999999997</v>
      </c>
      <c r="S335" s="40">
        <v>881.84136999999998</v>
      </c>
      <c r="T335" s="40">
        <v>888.82855199999995</v>
      </c>
      <c r="U335" s="40">
        <v>896.07305899999994</v>
      </c>
      <c r="V335" s="40">
        <v>904.32965100000001</v>
      </c>
      <c r="W335" s="40">
        <v>912.36975099999995</v>
      </c>
      <c r="X335" s="40">
        <v>920.00268600000004</v>
      </c>
      <c r="Y335" s="40">
        <v>926.705017</v>
      </c>
      <c r="Z335" s="40">
        <v>932.46020499999997</v>
      </c>
      <c r="AA335" s="40">
        <v>939.23394800000005</v>
      </c>
      <c r="AB335" s="40">
        <v>946.40258800000004</v>
      </c>
      <c r="AC335" s="40">
        <v>952.41192599999999</v>
      </c>
      <c r="AD335" s="40">
        <v>958.12341300000003</v>
      </c>
      <c r="AE335" s="40">
        <v>967.61511199999995</v>
      </c>
      <c r="AF335" s="31">
        <v>5.9849999999999999E-3</v>
      </c>
      <c r="AG335" s="29"/>
    </row>
    <row r="336" spans="1:33" ht="15" customHeight="1">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row>
    <row r="337" spans="2:33" ht="15" customHeight="1" thickBot="1">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row>
    <row r="338" spans="2:33" ht="15" customHeight="1">
      <c r="B338" s="54" t="s">
        <v>2584</v>
      </c>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29"/>
    </row>
    <row r="339" spans="2:33" ht="15" customHeight="1">
      <c r="B339" s="29" t="s">
        <v>2759</v>
      </c>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row>
    <row r="340" spans="2:33" ht="12" customHeight="1">
      <c r="B340" s="29" t="s">
        <v>2760</v>
      </c>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row>
    <row r="341" spans="2:33" ht="15" customHeight="1">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row>
    <row r="342" spans="2:33" ht="15" customHeight="1">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row>
    <row r="343" spans="2:33" ht="15" customHeight="1">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row>
    <row r="344" spans="2:33" ht="15" customHeight="1">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row>
    <row r="345" spans="2:33" ht="15" customHeight="1">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row>
    <row r="346" spans="2:33" ht="15" customHeight="1">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row>
    <row r="347" spans="2:33" ht="15" customHeight="1">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row>
    <row r="348" spans="2:33" ht="15" customHeight="1">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row>
    <row r="349" spans="2:33" ht="15" customHeight="1">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row>
    <row r="350" spans="2:33" ht="15" customHeight="1">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row>
    <row r="351" spans="2:33" ht="15" customHeight="1">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row>
    <row r="352" spans="2:33" ht="15" customHeight="1">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row>
    <row r="353" spans="2:33" ht="15" customHeight="1">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row>
    <row r="354" spans="2:33" ht="15" customHeight="1">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row>
    <row r="355" spans="2:33" ht="15" customHeight="1">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row>
    <row r="356" spans="2:33" ht="15" customHeight="1">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row>
    <row r="357" spans="2:33" ht="15" customHeight="1">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row>
    <row r="358" spans="2:33" ht="15" customHeight="1">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row>
    <row r="359" spans="2:33" ht="15" customHeight="1">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row>
    <row r="360" spans="2:33" ht="15" customHeight="1">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row>
    <row r="361" spans="2:33" ht="15" customHeight="1">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row>
    <row r="362" spans="2:33" ht="15" customHeight="1">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row>
    <row r="363" spans="2:33" ht="15" customHeight="1">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row>
    <row r="364" spans="2:33" ht="15" customHeight="1">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row>
    <row r="365" spans="2:33" ht="15" customHeight="1">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row>
    <row r="366" spans="2:33" ht="15" customHeight="1">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row>
    <row r="367" spans="2:33" ht="15" customHeight="1">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row>
    <row r="368" spans="2:33" ht="15" customHeight="1">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row>
    <row r="369" spans="2:33" ht="15" customHeight="1">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row>
    <row r="370" spans="2:33" ht="15" customHeight="1">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row>
    <row r="371" spans="2:33" ht="15" customHeight="1">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row>
    <row r="372" spans="2:33" ht="15" customHeight="1">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row>
    <row r="373" spans="2:33" ht="15" customHeight="1">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row>
    <row r="374" spans="2:33" ht="12" customHeight="1">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row>
    <row r="375" spans="2:33" ht="15" customHeight="1">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row>
    <row r="376" spans="2:33" ht="12" customHeight="1">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row>
    <row r="377" spans="2:33" ht="15" customHeight="1">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row>
    <row r="378" spans="2:33" ht="15" customHeight="1">
      <c r="B378" s="2185"/>
      <c r="C378" s="2185"/>
      <c r="D378" s="2185"/>
      <c r="E378" s="2185"/>
      <c r="F378" s="2185"/>
      <c r="G378" s="2185"/>
      <c r="H378" s="2185"/>
      <c r="I378" s="2185"/>
      <c r="J378" s="2185"/>
      <c r="K378" s="2185"/>
      <c r="L378" s="2185"/>
      <c r="M378" s="2185"/>
      <c r="N378" s="2185"/>
      <c r="O378" s="2185"/>
      <c r="P378" s="2185"/>
      <c r="Q378" s="2185"/>
      <c r="R378" s="2185"/>
      <c r="S378" s="2185"/>
      <c r="T378" s="2185"/>
      <c r="U378" s="2185"/>
      <c r="V378" s="2185"/>
      <c r="W378" s="2185"/>
      <c r="X378" s="2185"/>
      <c r="Y378" s="2185"/>
      <c r="Z378" s="2185"/>
      <c r="AA378" s="2185"/>
      <c r="AB378" s="2185"/>
      <c r="AC378" s="2185"/>
      <c r="AD378" s="2185"/>
      <c r="AE378" s="2185"/>
      <c r="AF378" s="2185"/>
      <c r="AG378" s="29"/>
    </row>
    <row r="379" spans="2:33" ht="15" customHeight="1">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row>
    <row r="380" spans="2:33" ht="15" customHeight="1">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row>
    <row r="381" spans="2:33" ht="12" customHeight="1">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row>
    <row r="382" spans="2:33" ht="12" customHeight="1">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row>
    <row r="383" spans="2:33" ht="12" customHeight="1">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row>
    <row r="384" spans="2:33" ht="12" customHeight="1">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row>
    <row r="385" spans="2:33" ht="12" customHeight="1">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row>
    <row r="386" spans="2:33" ht="12" customHeight="1">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row>
    <row r="387" spans="2:33" ht="12" customHeight="1">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row>
    <row r="388" spans="2:33" ht="12" customHeight="1">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row>
    <row r="389" spans="2:33" ht="12" customHeight="1">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row>
    <row r="390" spans="2:33" ht="12" customHeight="1">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row>
    <row r="391" spans="2:33" ht="12" customHeight="1">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row>
    <row r="392" spans="2:33" ht="12" customHeight="1">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row>
    <row r="393" spans="2:33" ht="12" customHeight="1">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row>
    <row r="394" spans="2:33" ht="12" customHeight="1">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row>
    <row r="395" spans="2:33" ht="12" customHeight="1">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row>
    <row r="396" spans="2:33" ht="12" customHeight="1">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row>
    <row r="397" spans="2:33" ht="12" customHeight="1">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row>
    <row r="398" spans="2:33" ht="12" customHeight="1">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row>
    <row r="399" spans="2:33" ht="12" customHeight="1">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row>
    <row r="400" spans="2:33" ht="12" customHeight="1">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row>
    <row r="401" spans="2:33" ht="12" customHeight="1">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row>
    <row r="402" spans="2:33" ht="12" customHeight="1">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row>
    <row r="403" spans="2:33" ht="12" customHeight="1">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row>
    <row r="404" spans="2:33" ht="12" customHeight="1">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row>
    <row r="405" spans="2:33" ht="12" customHeight="1">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row>
    <row r="406" spans="2:33" ht="12" customHeight="1">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row>
    <row r="407" spans="2:33" ht="12" customHeight="1">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row>
    <row r="408" spans="2:33" ht="12" customHeight="1">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row>
    <row r="409" spans="2:33" ht="12" customHeight="1">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row>
    <row r="410" spans="2:33" ht="12" customHeight="1">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row>
    <row r="411" spans="2:33" ht="12" customHeight="1">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row>
    <row r="412" spans="2:33" ht="12" customHeight="1">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row>
    <row r="413" spans="2:33" ht="12" customHeight="1">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row>
    <row r="414" spans="2:33" ht="12" customHeight="1">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row>
    <row r="415" spans="2:33" ht="12" customHeight="1">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row>
    <row r="416" spans="2:33" ht="12" customHeight="1">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row>
    <row r="417" spans="2:33" ht="12" customHeight="1">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row>
    <row r="418" spans="2:33" ht="12" customHeight="1">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row>
    <row r="419" spans="2:33" ht="12" customHeight="1">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row>
    <row r="420" spans="2:33" ht="12" customHeight="1">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row>
    <row r="421" spans="2:33" ht="12" customHeight="1">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row>
    <row r="422" spans="2:33" ht="12" customHeight="1">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row>
    <row r="423" spans="2:33" ht="12" customHeight="1">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row>
    <row r="424" spans="2:33" ht="12" customHeight="1">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row>
    <row r="425" spans="2:33" ht="12" customHeight="1">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row>
    <row r="426" spans="2:33" ht="12" customHeight="1">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row>
    <row r="427" spans="2:33" ht="12" customHeight="1">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row>
    <row r="428" spans="2:33" ht="12" customHeight="1">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row>
    <row r="429" spans="2:33" ht="12" customHeight="1">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row>
    <row r="430" spans="2:33" ht="12" customHeight="1">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row>
    <row r="431" spans="2:33" ht="12" customHeight="1">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row>
    <row r="432" spans="2:33" ht="12" customHeight="1">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row>
    <row r="433" spans="1:33" ht="12" customHeight="1">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row>
    <row r="434" spans="1:33" ht="12" customHeight="1">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t="s">
        <v>2056</v>
      </c>
      <c r="AG434" s="29"/>
    </row>
    <row r="435" spans="1:33" ht="12" customHeight="1">
      <c r="A435" s="34" t="s">
        <v>3544</v>
      </c>
      <c r="B435" s="46" t="s">
        <v>3545</v>
      </c>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43" t="s">
        <v>2058</v>
      </c>
      <c r="AG435" s="29"/>
    </row>
    <row r="436" spans="1:33" ht="12" customHeight="1">
      <c r="B436" s="45" t="s">
        <v>3546</v>
      </c>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43" t="s">
        <v>2059</v>
      </c>
      <c r="AG436" s="29"/>
    </row>
    <row r="437" spans="1:33" ht="12" customHeight="1">
      <c r="B437" s="45"/>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3" t="s">
        <v>2061</v>
      </c>
      <c r="AG437" s="29"/>
    </row>
    <row r="438" spans="1:33" ht="12" customHeight="1" thickBot="1">
      <c r="B438" s="42" t="s">
        <v>2690</v>
      </c>
      <c r="C438" s="42">
        <v>2022</v>
      </c>
      <c r="D438" s="42">
        <v>2023</v>
      </c>
      <c r="E438" s="42">
        <v>2024</v>
      </c>
      <c r="F438" s="42">
        <v>2025</v>
      </c>
      <c r="G438" s="42">
        <v>2026</v>
      </c>
      <c r="H438" s="42">
        <v>2027</v>
      </c>
      <c r="I438" s="42">
        <v>2028</v>
      </c>
      <c r="J438" s="42">
        <v>2029</v>
      </c>
      <c r="K438" s="42">
        <v>2030</v>
      </c>
      <c r="L438" s="42">
        <v>2031</v>
      </c>
      <c r="M438" s="42">
        <v>2032</v>
      </c>
      <c r="N438" s="42">
        <v>2033</v>
      </c>
      <c r="O438" s="42">
        <v>2034</v>
      </c>
      <c r="P438" s="42">
        <v>2035</v>
      </c>
      <c r="Q438" s="42">
        <v>2036</v>
      </c>
      <c r="R438" s="42">
        <v>2037</v>
      </c>
      <c r="S438" s="42">
        <v>2038</v>
      </c>
      <c r="T438" s="42">
        <v>2039</v>
      </c>
      <c r="U438" s="42">
        <v>2040</v>
      </c>
      <c r="V438" s="42">
        <v>2041</v>
      </c>
      <c r="W438" s="42">
        <v>2042</v>
      </c>
      <c r="X438" s="42">
        <v>2043</v>
      </c>
      <c r="Y438" s="42">
        <v>2044</v>
      </c>
      <c r="Z438" s="42">
        <v>2045</v>
      </c>
      <c r="AA438" s="42">
        <v>2046</v>
      </c>
      <c r="AB438" s="42">
        <v>2047</v>
      </c>
      <c r="AC438" s="42">
        <v>2048</v>
      </c>
      <c r="AD438" s="42">
        <v>2049</v>
      </c>
      <c r="AE438" s="42">
        <v>2050</v>
      </c>
      <c r="AF438" s="41">
        <v>2050</v>
      </c>
      <c r="AG438" s="29"/>
    </row>
    <row r="439" spans="1:33" ht="12" customHeight="1" thickTop="1">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row>
    <row r="440" spans="1:33" ht="12" customHeight="1">
      <c r="A440" s="34" t="s">
        <v>3547</v>
      </c>
      <c r="B440" s="33" t="s">
        <v>2692</v>
      </c>
      <c r="C440" s="40">
        <v>19750.261718999998</v>
      </c>
      <c r="D440" s="40">
        <v>19903.289062</v>
      </c>
      <c r="E440" s="40">
        <v>20095.435547000001</v>
      </c>
      <c r="F440" s="40">
        <v>20409.421875</v>
      </c>
      <c r="G440" s="40">
        <v>20840.714843999998</v>
      </c>
      <c r="H440" s="40">
        <v>21273.421875</v>
      </c>
      <c r="I440" s="40">
        <v>21681.255859000001</v>
      </c>
      <c r="J440" s="40">
        <v>22051.705077999999</v>
      </c>
      <c r="K440" s="40">
        <v>22391.814452999999</v>
      </c>
      <c r="L440" s="40">
        <v>22742.044922000001</v>
      </c>
      <c r="M440" s="40">
        <v>23153.001952999999</v>
      </c>
      <c r="N440" s="40">
        <v>23603.867188</v>
      </c>
      <c r="O440" s="40">
        <v>24055.123047000001</v>
      </c>
      <c r="P440" s="40">
        <v>24510.957031000002</v>
      </c>
      <c r="Q440" s="40">
        <v>24995.804688</v>
      </c>
      <c r="R440" s="40">
        <v>25506.921875</v>
      </c>
      <c r="S440" s="40">
        <v>26032.332031000002</v>
      </c>
      <c r="T440" s="40">
        <v>26566.107422000001</v>
      </c>
      <c r="U440" s="40">
        <v>27148.945312</v>
      </c>
      <c r="V440" s="40">
        <v>27734.087890999999</v>
      </c>
      <c r="W440" s="40">
        <v>28324.492188</v>
      </c>
      <c r="X440" s="40">
        <v>28926.738281000002</v>
      </c>
      <c r="Y440" s="40">
        <v>29527.414062</v>
      </c>
      <c r="Z440" s="40">
        <v>30130</v>
      </c>
      <c r="AA440" s="40">
        <v>30747.568359000001</v>
      </c>
      <c r="AB440" s="40">
        <v>31389.150390999999</v>
      </c>
      <c r="AC440" s="40">
        <v>32039.970702999999</v>
      </c>
      <c r="AD440" s="40">
        <v>32698.533202999999</v>
      </c>
      <c r="AE440" s="40">
        <v>33404.984375</v>
      </c>
      <c r="AF440" s="31">
        <v>1.8946999999999999E-2</v>
      </c>
      <c r="AG440" s="29"/>
    </row>
    <row r="441" spans="1:33" ht="12" customHeight="1">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row>
    <row r="442" spans="1:33" ht="12" customHeight="1">
      <c r="A442" s="34" t="s">
        <v>3548</v>
      </c>
      <c r="B442" s="33" t="s">
        <v>2694</v>
      </c>
      <c r="C442" s="40">
        <v>22.973493999999999</v>
      </c>
      <c r="D442" s="40">
        <v>23.102072</v>
      </c>
      <c r="E442" s="40">
        <v>22.859306</v>
      </c>
      <c r="F442" s="40">
        <v>22.740879</v>
      </c>
      <c r="G442" s="40">
        <v>22.770327000000002</v>
      </c>
      <c r="H442" s="40">
        <v>22.855519999999999</v>
      </c>
      <c r="I442" s="40">
        <v>22.918997000000001</v>
      </c>
      <c r="J442" s="40">
        <v>22.92811</v>
      </c>
      <c r="K442" s="40">
        <v>22.894158999999998</v>
      </c>
      <c r="L442" s="40">
        <v>22.832412999999999</v>
      </c>
      <c r="M442" s="40">
        <v>22.808453</v>
      </c>
      <c r="N442" s="40">
        <v>22.832888000000001</v>
      </c>
      <c r="O442" s="40">
        <v>22.911459000000001</v>
      </c>
      <c r="P442" s="40">
        <v>22.963111999999999</v>
      </c>
      <c r="Q442" s="40">
        <v>22.963270000000001</v>
      </c>
      <c r="R442" s="40">
        <v>22.975843000000001</v>
      </c>
      <c r="S442" s="40">
        <v>22.999085999999998</v>
      </c>
      <c r="T442" s="40">
        <v>23.007166000000002</v>
      </c>
      <c r="U442" s="40">
        <v>23.028172000000001</v>
      </c>
      <c r="V442" s="40">
        <v>23.030106</v>
      </c>
      <c r="W442" s="40">
        <v>23.037437000000001</v>
      </c>
      <c r="X442" s="40">
        <v>23.020530999999998</v>
      </c>
      <c r="Y442" s="40">
        <v>22.997219000000001</v>
      </c>
      <c r="Z442" s="40">
        <v>22.987172999999999</v>
      </c>
      <c r="AA442" s="40">
        <v>22.98875</v>
      </c>
      <c r="AB442" s="40">
        <v>23.004467000000002</v>
      </c>
      <c r="AC442" s="40">
        <v>23.013062000000001</v>
      </c>
      <c r="AD442" s="40">
        <v>23.012115000000001</v>
      </c>
      <c r="AE442" s="40">
        <v>23.020053999999998</v>
      </c>
      <c r="AF442" s="31">
        <v>7.2000000000000002E-5</v>
      </c>
      <c r="AG442" s="29"/>
    </row>
    <row r="443" spans="1:33" ht="12" customHeight="1">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row>
    <row r="444" spans="1:33" ht="12" customHeight="1">
      <c r="B444" s="33" t="s">
        <v>2695</v>
      </c>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row>
    <row r="445" spans="1:33" ht="12" customHeight="1">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row>
    <row r="446" spans="1:33" ht="12" customHeight="1">
      <c r="B446" s="33" t="s">
        <v>2696</v>
      </c>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row>
    <row r="447" spans="1:33" ht="12" customHeight="1">
      <c r="A447" s="34" t="s">
        <v>3549</v>
      </c>
      <c r="B447" s="37" t="s">
        <v>2698</v>
      </c>
      <c r="C447" s="53">
        <v>59.442810000000001</v>
      </c>
      <c r="D447" s="53">
        <v>60.015366</v>
      </c>
      <c r="E447" s="53">
        <v>60.533011999999999</v>
      </c>
      <c r="F447" s="53">
        <v>61.279342999999997</v>
      </c>
      <c r="G447" s="53">
        <v>62.110061999999999</v>
      </c>
      <c r="H447" s="53">
        <v>62.897331000000001</v>
      </c>
      <c r="I447" s="53">
        <v>63.633999000000003</v>
      </c>
      <c r="J447" s="53">
        <v>64.313004000000006</v>
      </c>
      <c r="K447" s="53">
        <v>64.955368000000007</v>
      </c>
      <c r="L447" s="53">
        <v>65.642700000000005</v>
      </c>
      <c r="M447" s="53">
        <v>66.286216999999994</v>
      </c>
      <c r="N447" s="53">
        <v>66.850066999999996</v>
      </c>
      <c r="O447" s="53">
        <v>67.374190999999996</v>
      </c>
      <c r="P447" s="53">
        <v>67.887450999999999</v>
      </c>
      <c r="Q447" s="53">
        <v>68.383751000000004</v>
      </c>
      <c r="R447" s="53">
        <v>68.959952999999999</v>
      </c>
      <c r="S447" s="53">
        <v>69.522011000000006</v>
      </c>
      <c r="T447" s="53">
        <v>70.074134999999998</v>
      </c>
      <c r="U447" s="53">
        <v>70.655922000000004</v>
      </c>
      <c r="V447" s="53">
        <v>71.228172000000001</v>
      </c>
      <c r="W447" s="53">
        <v>71.800697</v>
      </c>
      <c r="X447" s="53">
        <v>72.354361999999995</v>
      </c>
      <c r="Y447" s="53">
        <v>72.879836999999995</v>
      </c>
      <c r="Z447" s="53">
        <v>73.419487000000004</v>
      </c>
      <c r="AA447" s="53">
        <v>73.947327000000001</v>
      </c>
      <c r="AB447" s="53">
        <v>74.466239999999999</v>
      </c>
      <c r="AC447" s="53">
        <v>74.968795999999998</v>
      </c>
      <c r="AD447" s="53">
        <v>75.475539999999995</v>
      </c>
      <c r="AE447" s="53">
        <v>75.984298999999993</v>
      </c>
      <c r="AF447" s="35">
        <v>8.8070000000000006E-3</v>
      </c>
      <c r="AG447" s="29"/>
    </row>
    <row r="448" spans="1:33" ht="12" customHeight="1">
      <c r="A448" s="34" t="s">
        <v>3550</v>
      </c>
      <c r="B448" s="37" t="s">
        <v>2700</v>
      </c>
      <c r="C448" s="53">
        <v>25.706538999999999</v>
      </c>
      <c r="D448" s="53">
        <v>25.096498</v>
      </c>
      <c r="E448" s="53">
        <v>25.175101999999999</v>
      </c>
      <c r="F448" s="53">
        <v>24.844086000000001</v>
      </c>
      <c r="G448" s="53">
        <v>24.411566000000001</v>
      </c>
      <c r="H448" s="53">
        <v>23.825852999999999</v>
      </c>
      <c r="I448" s="53">
        <v>23.373076999999999</v>
      </c>
      <c r="J448" s="53">
        <v>22.792147</v>
      </c>
      <c r="K448" s="53">
        <v>22.619102000000002</v>
      </c>
      <c r="L448" s="53">
        <v>22.382428999999998</v>
      </c>
      <c r="M448" s="53">
        <v>22.256080999999998</v>
      </c>
      <c r="N448" s="53">
        <v>22.153303000000001</v>
      </c>
      <c r="O448" s="53">
        <v>21.926262000000001</v>
      </c>
      <c r="P448" s="53">
        <v>21.757815999999998</v>
      </c>
      <c r="Q448" s="53">
        <v>21.574812000000001</v>
      </c>
      <c r="R448" s="53">
        <v>21.412272999999999</v>
      </c>
      <c r="S448" s="53">
        <v>21.167036</v>
      </c>
      <c r="T448" s="53">
        <v>21.000795</v>
      </c>
      <c r="U448" s="53">
        <v>20.819433</v>
      </c>
      <c r="V448" s="53">
        <v>20.688628999999999</v>
      </c>
      <c r="W448" s="53">
        <v>20.560568</v>
      </c>
      <c r="X448" s="53">
        <v>20.478380000000001</v>
      </c>
      <c r="Y448" s="53">
        <v>20.379698000000001</v>
      </c>
      <c r="Z448" s="53">
        <v>20.221088000000002</v>
      </c>
      <c r="AA448" s="53">
        <v>20.091469</v>
      </c>
      <c r="AB448" s="53">
        <v>19.878081999999999</v>
      </c>
      <c r="AC448" s="53">
        <v>19.705227000000001</v>
      </c>
      <c r="AD448" s="53">
        <v>19.565178</v>
      </c>
      <c r="AE448" s="53">
        <v>19.445025999999999</v>
      </c>
      <c r="AF448" s="35">
        <v>-9.92E-3</v>
      </c>
      <c r="AG448" s="29"/>
    </row>
    <row r="449" spans="1:33" ht="12" customHeight="1">
      <c r="A449" s="34" t="s">
        <v>3551</v>
      </c>
      <c r="B449" s="37" t="s">
        <v>2702</v>
      </c>
      <c r="C449" s="53">
        <v>158.90261799999999</v>
      </c>
      <c r="D449" s="53">
        <v>153.91421500000001</v>
      </c>
      <c r="E449" s="53">
        <v>151.56565900000001</v>
      </c>
      <c r="F449" s="53">
        <v>153.022491</v>
      </c>
      <c r="G449" s="53">
        <v>153.72009299999999</v>
      </c>
      <c r="H449" s="53">
        <v>153.127441</v>
      </c>
      <c r="I449" s="53">
        <v>153.487213</v>
      </c>
      <c r="J449" s="53">
        <v>156.26371800000001</v>
      </c>
      <c r="K449" s="53">
        <v>158.040741</v>
      </c>
      <c r="L449" s="53">
        <v>157.355682</v>
      </c>
      <c r="M449" s="53">
        <v>156.23831200000001</v>
      </c>
      <c r="N449" s="53">
        <v>155.586975</v>
      </c>
      <c r="O449" s="53">
        <v>155.00325000000001</v>
      </c>
      <c r="P449" s="53">
        <v>154.88949600000001</v>
      </c>
      <c r="Q449" s="53">
        <v>155.31161499999999</v>
      </c>
      <c r="R449" s="53">
        <v>156.46061700000001</v>
      </c>
      <c r="S449" s="53">
        <v>157.86378500000001</v>
      </c>
      <c r="T449" s="53">
        <v>158.92654400000001</v>
      </c>
      <c r="U449" s="53">
        <v>160.07534799999999</v>
      </c>
      <c r="V449" s="53">
        <v>161.57214400000001</v>
      </c>
      <c r="W449" s="53">
        <v>162.621002</v>
      </c>
      <c r="X449" s="53">
        <v>163.379974</v>
      </c>
      <c r="Y449" s="53">
        <v>164.11703499999999</v>
      </c>
      <c r="Z449" s="53">
        <v>165.078506</v>
      </c>
      <c r="AA449" s="53">
        <v>166.08171100000001</v>
      </c>
      <c r="AB449" s="53">
        <v>166.99087499999999</v>
      </c>
      <c r="AC449" s="53">
        <v>167.59265099999999</v>
      </c>
      <c r="AD449" s="53">
        <v>167.98834199999999</v>
      </c>
      <c r="AE449" s="53">
        <v>169.13194300000001</v>
      </c>
      <c r="AF449" s="35">
        <v>2.2309999999999999E-3</v>
      </c>
      <c r="AG449" s="29"/>
    </row>
    <row r="450" spans="1:33" ht="12" customHeight="1">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row>
    <row r="451" spans="1:33" ht="12" customHeight="1">
      <c r="B451" s="33" t="s">
        <v>2703</v>
      </c>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row>
    <row r="452" spans="1:33" ht="12" customHeight="1">
      <c r="A452" s="34" t="s">
        <v>3552</v>
      </c>
      <c r="B452" s="37" t="s">
        <v>2705</v>
      </c>
      <c r="C452" s="53">
        <v>188.67825300000001</v>
      </c>
      <c r="D452" s="53">
        <v>191.88348400000001</v>
      </c>
      <c r="E452" s="53">
        <v>193.658951</v>
      </c>
      <c r="F452" s="53">
        <v>195.17832899999999</v>
      </c>
      <c r="G452" s="53">
        <v>197.37411499999999</v>
      </c>
      <c r="H452" s="53">
        <v>200.083191</v>
      </c>
      <c r="I452" s="53">
        <v>202.78201300000001</v>
      </c>
      <c r="J452" s="53">
        <v>205.11691300000001</v>
      </c>
      <c r="K452" s="53">
        <v>207.20593299999999</v>
      </c>
      <c r="L452" s="53">
        <v>209.29040499999999</v>
      </c>
      <c r="M452" s="53">
        <v>210.964462</v>
      </c>
      <c r="N452" s="53">
        <v>212.45481899999999</v>
      </c>
      <c r="O452" s="53">
        <v>214.07867400000001</v>
      </c>
      <c r="P452" s="53">
        <v>215.91532900000001</v>
      </c>
      <c r="Q452" s="53">
        <v>217.82023599999999</v>
      </c>
      <c r="R452" s="53">
        <v>219.89205899999999</v>
      </c>
      <c r="S452" s="53">
        <v>221.644699</v>
      </c>
      <c r="T452" s="53">
        <v>223.29229699999999</v>
      </c>
      <c r="U452" s="53">
        <v>224.87623600000001</v>
      </c>
      <c r="V452" s="53">
        <v>226.374313</v>
      </c>
      <c r="W452" s="53">
        <v>228.22004699999999</v>
      </c>
      <c r="X452" s="53">
        <v>229.98207099999999</v>
      </c>
      <c r="Y452" s="53">
        <v>231.67695599999999</v>
      </c>
      <c r="Z452" s="53">
        <v>233.28909300000001</v>
      </c>
      <c r="AA452" s="53">
        <v>234.78460699999999</v>
      </c>
      <c r="AB452" s="53">
        <v>236.30758700000001</v>
      </c>
      <c r="AC452" s="53">
        <v>237.87133800000001</v>
      </c>
      <c r="AD452" s="53">
        <v>239.43504300000001</v>
      </c>
      <c r="AE452" s="53">
        <v>240.97155799999999</v>
      </c>
      <c r="AF452" s="35">
        <v>8.7749999999999998E-3</v>
      </c>
      <c r="AG452" s="29"/>
    </row>
    <row r="453" spans="1:33" ht="12" customHeight="1">
      <c r="A453" s="34" t="s">
        <v>3553</v>
      </c>
      <c r="B453" s="37" t="s">
        <v>1473</v>
      </c>
      <c r="C453" s="53">
        <v>14.697421</v>
      </c>
      <c r="D453" s="53">
        <v>14.535019999999999</v>
      </c>
      <c r="E453" s="53">
        <v>14.413360000000001</v>
      </c>
      <c r="F453" s="53">
        <v>14.398554000000001</v>
      </c>
      <c r="G453" s="53">
        <v>14.476556</v>
      </c>
      <c r="H453" s="53">
        <v>14.622282999999999</v>
      </c>
      <c r="I453" s="53">
        <v>14.845452999999999</v>
      </c>
      <c r="J453" s="53">
        <v>15.018205999999999</v>
      </c>
      <c r="K453" s="53">
        <v>15.152779000000001</v>
      </c>
      <c r="L453" s="53">
        <v>15.287107000000001</v>
      </c>
      <c r="M453" s="53">
        <v>15.421605</v>
      </c>
      <c r="N453" s="53">
        <v>15.573839</v>
      </c>
      <c r="O453" s="53">
        <v>15.677443999999999</v>
      </c>
      <c r="P453" s="53">
        <v>15.753017</v>
      </c>
      <c r="Q453" s="53">
        <v>15.861685</v>
      </c>
      <c r="R453" s="53">
        <v>16.011278000000001</v>
      </c>
      <c r="S453" s="53">
        <v>16.153365999999998</v>
      </c>
      <c r="T453" s="53">
        <v>16.261437999999998</v>
      </c>
      <c r="U453" s="53">
        <v>16.402742</v>
      </c>
      <c r="V453" s="53">
        <v>16.562042000000002</v>
      </c>
      <c r="W453" s="53">
        <v>16.741831000000001</v>
      </c>
      <c r="X453" s="53">
        <v>16.933754</v>
      </c>
      <c r="Y453" s="53">
        <v>17.129072000000001</v>
      </c>
      <c r="Z453" s="53">
        <v>17.320326000000001</v>
      </c>
      <c r="AA453" s="53">
        <v>17.516628000000001</v>
      </c>
      <c r="AB453" s="53">
        <v>17.734848</v>
      </c>
      <c r="AC453" s="53">
        <v>18.027899000000001</v>
      </c>
      <c r="AD453" s="53">
        <v>18.337295999999998</v>
      </c>
      <c r="AE453" s="53">
        <v>18.649799000000002</v>
      </c>
      <c r="AF453" s="35">
        <v>8.5419999999999992E-3</v>
      </c>
      <c r="AG453" s="29"/>
    </row>
    <row r="454" spans="1:33" ht="12" customHeight="1">
      <c r="A454" s="34" t="s">
        <v>3554</v>
      </c>
      <c r="B454" s="37" t="s">
        <v>2708</v>
      </c>
      <c r="C454" s="53">
        <v>4.9081440000000001</v>
      </c>
      <c r="D454" s="53">
        <v>4.8394329999999997</v>
      </c>
      <c r="E454" s="53">
        <v>4.8011499999999998</v>
      </c>
      <c r="F454" s="53">
        <v>4.772386</v>
      </c>
      <c r="G454" s="53">
        <v>4.796373</v>
      </c>
      <c r="H454" s="53">
        <v>4.8488369999999996</v>
      </c>
      <c r="I454" s="53">
        <v>4.8622360000000002</v>
      </c>
      <c r="J454" s="53">
        <v>4.8177110000000001</v>
      </c>
      <c r="K454" s="53">
        <v>4.7678839999999996</v>
      </c>
      <c r="L454" s="53">
        <v>4.7360990000000003</v>
      </c>
      <c r="M454" s="53">
        <v>4.7287860000000004</v>
      </c>
      <c r="N454" s="53">
        <v>4.7121500000000003</v>
      </c>
      <c r="O454" s="53">
        <v>4.6992219999999998</v>
      </c>
      <c r="P454" s="53">
        <v>4.6537439999999997</v>
      </c>
      <c r="Q454" s="53">
        <v>4.5737449999999997</v>
      </c>
      <c r="R454" s="53">
        <v>4.5145609999999996</v>
      </c>
      <c r="S454" s="53">
        <v>4.4523929999999998</v>
      </c>
      <c r="T454" s="53">
        <v>4.3730330000000004</v>
      </c>
      <c r="U454" s="53">
        <v>4.3084790000000002</v>
      </c>
      <c r="V454" s="53">
        <v>4.2445500000000003</v>
      </c>
      <c r="W454" s="53">
        <v>4.1704639999999999</v>
      </c>
      <c r="X454" s="53">
        <v>4.0973769999999998</v>
      </c>
      <c r="Y454" s="53">
        <v>4.0202109999999998</v>
      </c>
      <c r="Z454" s="53">
        <v>3.9410080000000001</v>
      </c>
      <c r="AA454" s="53">
        <v>3.865926</v>
      </c>
      <c r="AB454" s="53">
        <v>3.7954249999999998</v>
      </c>
      <c r="AC454" s="53">
        <v>3.7225700000000002</v>
      </c>
      <c r="AD454" s="53">
        <v>3.6482619999999999</v>
      </c>
      <c r="AE454" s="53">
        <v>3.5816789999999998</v>
      </c>
      <c r="AF454" s="35">
        <v>-1.1188999999999999E-2</v>
      </c>
      <c r="AG454" s="29"/>
    </row>
    <row r="455" spans="1:33" ht="12" customHeight="1">
      <c r="A455" s="34" t="s">
        <v>3555</v>
      </c>
      <c r="B455" s="37" t="s">
        <v>2710</v>
      </c>
      <c r="C455" s="53">
        <v>14.866139</v>
      </c>
      <c r="D455" s="53">
        <v>13.496079999999999</v>
      </c>
      <c r="E455" s="53">
        <v>13.077695</v>
      </c>
      <c r="F455" s="53">
        <v>13.277964000000001</v>
      </c>
      <c r="G455" s="53">
        <v>13.066314999999999</v>
      </c>
      <c r="H455" s="53">
        <v>12.975676</v>
      </c>
      <c r="I455" s="53">
        <v>13.090439</v>
      </c>
      <c r="J455" s="53">
        <v>13.27037</v>
      </c>
      <c r="K455" s="53">
        <v>13.359336000000001</v>
      </c>
      <c r="L455" s="53">
        <v>13.366879000000001</v>
      </c>
      <c r="M455" s="53">
        <v>13.440042</v>
      </c>
      <c r="N455" s="53">
        <v>13.540452999999999</v>
      </c>
      <c r="O455" s="53">
        <v>13.717264999999999</v>
      </c>
      <c r="P455" s="53">
        <v>13.770574999999999</v>
      </c>
      <c r="Q455" s="53">
        <v>13.655037</v>
      </c>
      <c r="R455" s="53">
        <v>13.666264</v>
      </c>
      <c r="S455" s="53">
        <v>13.640298</v>
      </c>
      <c r="T455" s="53">
        <v>13.643518</v>
      </c>
      <c r="U455" s="53">
        <v>13.65123</v>
      </c>
      <c r="V455" s="53">
        <v>13.703611</v>
      </c>
      <c r="W455" s="53">
        <v>13.752385</v>
      </c>
      <c r="X455" s="53">
        <v>13.758251</v>
      </c>
      <c r="Y455" s="53">
        <v>13.693498</v>
      </c>
      <c r="Z455" s="53">
        <v>13.536267</v>
      </c>
      <c r="AA455" s="53">
        <v>13.407843</v>
      </c>
      <c r="AB455" s="53">
        <v>13.346666000000001</v>
      </c>
      <c r="AC455" s="53">
        <v>13.245181000000001</v>
      </c>
      <c r="AD455" s="53">
        <v>13.181585</v>
      </c>
      <c r="AE455" s="53">
        <v>13.24405</v>
      </c>
      <c r="AF455" s="35">
        <v>-4.1180000000000001E-3</v>
      </c>
      <c r="AG455" s="29"/>
    </row>
    <row r="456" spans="1:33" ht="12" customHeight="1">
      <c r="A456" s="34" t="s">
        <v>3556</v>
      </c>
      <c r="B456" s="37" t="s">
        <v>2712</v>
      </c>
      <c r="C456" s="53">
        <v>17.926176000000002</v>
      </c>
      <c r="D456" s="53">
        <v>17.690473999999998</v>
      </c>
      <c r="E456" s="53">
        <v>17.744484</v>
      </c>
      <c r="F456" s="53">
        <v>17.862303000000001</v>
      </c>
      <c r="G456" s="53">
        <v>18.315168</v>
      </c>
      <c r="H456" s="53">
        <v>18.80986</v>
      </c>
      <c r="I456" s="53">
        <v>18.991844</v>
      </c>
      <c r="J456" s="53">
        <v>19.192926</v>
      </c>
      <c r="K456" s="53">
        <v>19.363479999999999</v>
      </c>
      <c r="L456" s="53">
        <v>19.502234999999999</v>
      </c>
      <c r="M456" s="53">
        <v>19.916035000000001</v>
      </c>
      <c r="N456" s="53">
        <v>20.094282</v>
      </c>
      <c r="O456" s="53">
        <v>20.245476</v>
      </c>
      <c r="P456" s="53">
        <v>20.538630999999999</v>
      </c>
      <c r="Q456" s="53">
        <v>20.834796999999998</v>
      </c>
      <c r="R456" s="53">
        <v>21.113372999999999</v>
      </c>
      <c r="S456" s="53">
        <v>21.438635000000001</v>
      </c>
      <c r="T456" s="53">
        <v>21.695059000000001</v>
      </c>
      <c r="U456" s="53">
        <v>21.92643</v>
      </c>
      <c r="V456" s="53">
        <v>22.291170000000001</v>
      </c>
      <c r="W456" s="53">
        <v>22.640561999999999</v>
      </c>
      <c r="X456" s="53">
        <v>22.893543000000001</v>
      </c>
      <c r="Y456" s="53">
        <v>23.041636</v>
      </c>
      <c r="Z456" s="53">
        <v>23.083614000000001</v>
      </c>
      <c r="AA456" s="53">
        <v>23.291733000000001</v>
      </c>
      <c r="AB456" s="53">
        <v>23.557613</v>
      </c>
      <c r="AC456" s="53">
        <v>23.730672999999999</v>
      </c>
      <c r="AD456" s="53">
        <v>23.765581000000001</v>
      </c>
      <c r="AE456" s="53">
        <v>24.379507</v>
      </c>
      <c r="AF456" s="35">
        <v>1.1042E-2</v>
      </c>
      <c r="AG456" s="29"/>
    </row>
    <row r="457" spans="1:33" ht="12" customHeight="1">
      <c r="A457" s="34" t="s">
        <v>3557</v>
      </c>
      <c r="B457" s="37" t="s">
        <v>2714</v>
      </c>
      <c r="C457" s="53">
        <v>36.788871999999998</v>
      </c>
      <c r="D457" s="53">
        <v>35.731372999999998</v>
      </c>
      <c r="E457" s="53">
        <v>34.846428000000003</v>
      </c>
      <c r="F457" s="53">
        <v>34.643703000000002</v>
      </c>
      <c r="G457" s="53">
        <v>34.714848000000003</v>
      </c>
      <c r="H457" s="53">
        <v>34.839840000000002</v>
      </c>
      <c r="I457" s="53">
        <v>34.955128000000002</v>
      </c>
      <c r="J457" s="53">
        <v>35.067794999999997</v>
      </c>
      <c r="K457" s="53">
        <v>35.157451999999999</v>
      </c>
      <c r="L457" s="53">
        <v>35.310130999999998</v>
      </c>
      <c r="M457" s="53">
        <v>35.507145000000001</v>
      </c>
      <c r="N457" s="53">
        <v>35.652264000000002</v>
      </c>
      <c r="O457" s="53">
        <v>35.813755</v>
      </c>
      <c r="P457" s="53">
        <v>35.994545000000002</v>
      </c>
      <c r="Q457" s="53">
        <v>36.142906000000004</v>
      </c>
      <c r="R457" s="53">
        <v>36.299895999999997</v>
      </c>
      <c r="S457" s="53">
        <v>36.437454000000002</v>
      </c>
      <c r="T457" s="53">
        <v>36.564124999999997</v>
      </c>
      <c r="U457" s="53">
        <v>36.673920000000003</v>
      </c>
      <c r="V457" s="53">
        <v>36.785637000000001</v>
      </c>
      <c r="W457" s="53">
        <v>36.95731</v>
      </c>
      <c r="X457" s="53">
        <v>37.095382999999998</v>
      </c>
      <c r="Y457" s="53">
        <v>37.171805999999997</v>
      </c>
      <c r="Z457" s="53">
        <v>37.194293999999999</v>
      </c>
      <c r="AA457" s="53">
        <v>37.260570999999999</v>
      </c>
      <c r="AB457" s="53">
        <v>37.381802</v>
      </c>
      <c r="AC457" s="53">
        <v>37.397635999999999</v>
      </c>
      <c r="AD457" s="53">
        <v>37.436619</v>
      </c>
      <c r="AE457" s="53">
        <v>37.595489999999998</v>
      </c>
      <c r="AF457" s="35">
        <v>7.7499999999999997E-4</v>
      </c>
      <c r="AG457" s="29"/>
    </row>
    <row r="458" spans="1:33" ht="12" customHeight="1">
      <c r="A458" s="34" t="s">
        <v>3558</v>
      </c>
      <c r="B458" s="37" t="s">
        <v>2716</v>
      </c>
      <c r="C458" s="53">
        <v>20.292027999999998</v>
      </c>
      <c r="D458" s="53">
        <v>19.940311000000001</v>
      </c>
      <c r="E458" s="53">
        <v>19.692764</v>
      </c>
      <c r="F458" s="53">
        <v>19.591373000000001</v>
      </c>
      <c r="G458" s="53">
        <v>19.523319000000001</v>
      </c>
      <c r="H458" s="53">
        <v>19.464431999999999</v>
      </c>
      <c r="I458" s="53">
        <v>19.528095</v>
      </c>
      <c r="J458" s="53">
        <v>19.594100999999998</v>
      </c>
      <c r="K458" s="53">
        <v>19.721713999999999</v>
      </c>
      <c r="L458" s="53">
        <v>19.875793000000002</v>
      </c>
      <c r="M458" s="53">
        <v>19.846291999999998</v>
      </c>
      <c r="N458" s="53">
        <v>19.683060000000001</v>
      </c>
      <c r="O458" s="53">
        <v>19.556732</v>
      </c>
      <c r="P458" s="53">
        <v>19.452978000000002</v>
      </c>
      <c r="Q458" s="53">
        <v>19.348745000000001</v>
      </c>
      <c r="R458" s="53">
        <v>19.279612</v>
      </c>
      <c r="S458" s="53">
        <v>19.198383</v>
      </c>
      <c r="T458" s="53">
        <v>19.114516999999999</v>
      </c>
      <c r="U458" s="53">
        <v>19.121347</v>
      </c>
      <c r="V458" s="53">
        <v>19.042873</v>
      </c>
      <c r="W458" s="53">
        <v>18.898973000000002</v>
      </c>
      <c r="X458" s="53">
        <v>18.825880000000002</v>
      </c>
      <c r="Y458" s="53">
        <v>18.808495000000001</v>
      </c>
      <c r="Z458" s="53">
        <v>18.965630000000001</v>
      </c>
      <c r="AA458" s="53">
        <v>19.098848</v>
      </c>
      <c r="AB458" s="53">
        <v>19.183064000000002</v>
      </c>
      <c r="AC458" s="53">
        <v>19.21829</v>
      </c>
      <c r="AD458" s="53">
        <v>19.429607000000001</v>
      </c>
      <c r="AE458" s="53">
        <v>19.578903</v>
      </c>
      <c r="AF458" s="35">
        <v>-1.2769999999999999E-3</v>
      </c>
      <c r="AG458" s="29"/>
    </row>
    <row r="459" spans="1:33" ht="12" customHeight="1">
      <c r="A459" s="34" t="s">
        <v>3559</v>
      </c>
      <c r="B459" s="37" t="s">
        <v>2718</v>
      </c>
      <c r="C459" s="53">
        <v>194.27526900000001</v>
      </c>
      <c r="D459" s="53">
        <v>180.94485499999999</v>
      </c>
      <c r="E459" s="53">
        <v>178.23822000000001</v>
      </c>
      <c r="F459" s="53">
        <v>180.81321700000001</v>
      </c>
      <c r="G459" s="53">
        <v>184.713593</v>
      </c>
      <c r="H459" s="53">
        <v>188.82560699999999</v>
      </c>
      <c r="I459" s="53">
        <v>192.367828</v>
      </c>
      <c r="J459" s="53">
        <v>194.916382</v>
      </c>
      <c r="K459" s="53">
        <v>196.99804700000001</v>
      </c>
      <c r="L459" s="53">
        <v>199.382904</v>
      </c>
      <c r="M459" s="53">
        <v>202.337738</v>
      </c>
      <c r="N459" s="53">
        <v>205.401398</v>
      </c>
      <c r="O459" s="53">
        <v>208.885437</v>
      </c>
      <c r="P459" s="53">
        <v>212.30413799999999</v>
      </c>
      <c r="Q459" s="53">
        <v>215.07200599999999</v>
      </c>
      <c r="R459" s="53">
        <v>218.17053200000001</v>
      </c>
      <c r="S459" s="53">
        <v>221.01092499999999</v>
      </c>
      <c r="T459" s="53">
        <v>224.28478999999999</v>
      </c>
      <c r="U459" s="53">
        <v>227.976868</v>
      </c>
      <c r="V459" s="53">
        <v>231.68948399999999</v>
      </c>
      <c r="W459" s="53">
        <v>235.81390400000001</v>
      </c>
      <c r="X459" s="53">
        <v>239.945831</v>
      </c>
      <c r="Y459" s="53">
        <v>243.62713600000001</v>
      </c>
      <c r="Z459" s="53">
        <v>246.82540900000001</v>
      </c>
      <c r="AA459" s="53">
        <v>250.499908</v>
      </c>
      <c r="AB459" s="53">
        <v>254.51388499999999</v>
      </c>
      <c r="AC459" s="53">
        <v>257.70727499999998</v>
      </c>
      <c r="AD459" s="53">
        <v>260.86340300000001</v>
      </c>
      <c r="AE459" s="53">
        <v>265.21646099999998</v>
      </c>
      <c r="AF459" s="35">
        <v>1.1179E-2</v>
      </c>
      <c r="AG459" s="29"/>
    </row>
    <row r="460" spans="1:33" ht="12" customHeight="1">
      <c r="A460" s="34" t="s">
        <v>3560</v>
      </c>
      <c r="B460" s="37" t="s">
        <v>1467</v>
      </c>
      <c r="C460" s="53">
        <v>90.742751999999996</v>
      </c>
      <c r="D460" s="53">
        <v>86.464554000000007</v>
      </c>
      <c r="E460" s="53">
        <v>83.936965999999998</v>
      </c>
      <c r="F460" s="53">
        <v>86.181290000000004</v>
      </c>
      <c r="G460" s="53">
        <v>89.099022000000005</v>
      </c>
      <c r="H460" s="53">
        <v>91.661254999999997</v>
      </c>
      <c r="I460" s="53">
        <v>93.710357999999999</v>
      </c>
      <c r="J460" s="53">
        <v>94.958022999999997</v>
      </c>
      <c r="K460" s="53">
        <v>96.101791000000006</v>
      </c>
      <c r="L460" s="53">
        <v>97.617073000000005</v>
      </c>
      <c r="M460" s="53">
        <v>99.235809000000003</v>
      </c>
      <c r="N460" s="53">
        <v>100.737984</v>
      </c>
      <c r="O460" s="53">
        <v>102.557266</v>
      </c>
      <c r="P460" s="53">
        <v>104.171623</v>
      </c>
      <c r="Q460" s="53">
        <v>105.246475</v>
      </c>
      <c r="R460" s="53">
        <v>106.47283899999999</v>
      </c>
      <c r="S460" s="53">
        <v>107.35865</v>
      </c>
      <c r="T460" s="53">
        <v>108.68514999999999</v>
      </c>
      <c r="U460" s="53">
        <v>110.229057</v>
      </c>
      <c r="V460" s="53">
        <v>111.44725</v>
      </c>
      <c r="W460" s="53">
        <v>112.67910000000001</v>
      </c>
      <c r="X460" s="53">
        <v>113.83472399999999</v>
      </c>
      <c r="Y460" s="53">
        <v>114.71405</v>
      </c>
      <c r="Z460" s="53">
        <v>115.476997</v>
      </c>
      <c r="AA460" s="53">
        <v>116.805916</v>
      </c>
      <c r="AB460" s="53">
        <v>118.237793</v>
      </c>
      <c r="AC460" s="53">
        <v>118.941002</v>
      </c>
      <c r="AD460" s="53">
        <v>120.179474</v>
      </c>
      <c r="AE460" s="53">
        <v>122.282387</v>
      </c>
      <c r="AF460" s="35">
        <v>1.0711E-2</v>
      </c>
      <c r="AG460" s="29"/>
    </row>
    <row r="461" spans="1:33" ht="12" customHeight="1">
      <c r="A461" s="34" t="s">
        <v>3561</v>
      </c>
      <c r="B461" s="37" t="s">
        <v>1484</v>
      </c>
      <c r="C461" s="53">
        <v>9.4210320000000003</v>
      </c>
      <c r="D461" s="53">
        <v>9.4758709999999997</v>
      </c>
      <c r="E461" s="53">
        <v>9.3674759999999999</v>
      </c>
      <c r="F461" s="53">
        <v>9.5801119999999997</v>
      </c>
      <c r="G461" s="53">
        <v>9.7928840000000008</v>
      </c>
      <c r="H461" s="53">
        <v>9.9231300000000005</v>
      </c>
      <c r="I461" s="53">
        <v>9.9783840000000001</v>
      </c>
      <c r="J461" s="53">
        <v>9.9860969999999991</v>
      </c>
      <c r="K461" s="53">
        <v>9.9579070000000005</v>
      </c>
      <c r="L461" s="53">
        <v>10.013674999999999</v>
      </c>
      <c r="M461" s="53">
        <v>9.9760469999999994</v>
      </c>
      <c r="N461" s="53">
        <v>9.9437639999999998</v>
      </c>
      <c r="O461" s="53">
        <v>9.9981340000000003</v>
      </c>
      <c r="P461" s="53">
        <v>9.9894979999999993</v>
      </c>
      <c r="Q461" s="53">
        <v>9.9266760000000005</v>
      </c>
      <c r="R461" s="53">
        <v>9.946472</v>
      </c>
      <c r="S461" s="53">
        <v>9.8767840000000007</v>
      </c>
      <c r="T461" s="53">
        <v>9.9336579999999994</v>
      </c>
      <c r="U461" s="53">
        <v>9.9454809999999991</v>
      </c>
      <c r="V461" s="53">
        <v>9.9400469999999999</v>
      </c>
      <c r="W461" s="53">
        <v>9.9202779999999997</v>
      </c>
      <c r="X461" s="53">
        <v>9.8955870000000008</v>
      </c>
      <c r="Y461" s="53">
        <v>9.8678539999999995</v>
      </c>
      <c r="Z461" s="53">
        <v>9.8006049999999991</v>
      </c>
      <c r="AA461" s="53">
        <v>9.7886389999999999</v>
      </c>
      <c r="AB461" s="53">
        <v>9.7869790000000005</v>
      </c>
      <c r="AC461" s="53">
        <v>9.7203630000000008</v>
      </c>
      <c r="AD461" s="53">
        <v>9.6847220000000007</v>
      </c>
      <c r="AE461" s="53">
        <v>9.7437609999999992</v>
      </c>
      <c r="AF461" s="35">
        <v>1.204E-3</v>
      </c>
      <c r="AG461" s="29"/>
    </row>
    <row r="462" spans="1:33" ht="12" customHeight="1">
      <c r="A462" s="34" t="s">
        <v>3562</v>
      </c>
      <c r="B462" s="37" t="s">
        <v>2722</v>
      </c>
      <c r="C462" s="53">
        <v>47.991982</v>
      </c>
      <c r="D462" s="53">
        <v>44.387732999999997</v>
      </c>
      <c r="E462" s="53">
        <v>42.144722000000002</v>
      </c>
      <c r="F462" s="53">
        <v>43.732731000000001</v>
      </c>
      <c r="G462" s="53">
        <v>45.222816000000002</v>
      </c>
      <c r="H462" s="53">
        <v>46.490551000000004</v>
      </c>
      <c r="I462" s="53">
        <v>47.640529999999998</v>
      </c>
      <c r="J462" s="53">
        <v>48.289684000000001</v>
      </c>
      <c r="K462" s="53">
        <v>48.956699</v>
      </c>
      <c r="L462" s="53">
        <v>49.821800000000003</v>
      </c>
      <c r="M462" s="53">
        <v>50.662906999999997</v>
      </c>
      <c r="N462" s="53">
        <v>51.424793000000001</v>
      </c>
      <c r="O462" s="53">
        <v>52.293087</v>
      </c>
      <c r="P462" s="53">
        <v>53.181007000000001</v>
      </c>
      <c r="Q462" s="53">
        <v>53.704211999999998</v>
      </c>
      <c r="R462" s="53">
        <v>54.351982</v>
      </c>
      <c r="S462" s="53">
        <v>54.761294999999997</v>
      </c>
      <c r="T462" s="53">
        <v>55.430183</v>
      </c>
      <c r="U462" s="53">
        <v>56.381633999999998</v>
      </c>
      <c r="V462" s="53">
        <v>57.101765</v>
      </c>
      <c r="W462" s="53">
        <v>57.811805999999997</v>
      </c>
      <c r="X462" s="53">
        <v>58.453457</v>
      </c>
      <c r="Y462" s="53">
        <v>58.934078</v>
      </c>
      <c r="Z462" s="53">
        <v>59.351188999999998</v>
      </c>
      <c r="AA462" s="53">
        <v>60.127811000000001</v>
      </c>
      <c r="AB462" s="53">
        <v>60.900191999999997</v>
      </c>
      <c r="AC462" s="53">
        <v>61.238419</v>
      </c>
      <c r="AD462" s="53">
        <v>61.966991</v>
      </c>
      <c r="AE462" s="53">
        <v>63.141396</v>
      </c>
      <c r="AF462" s="35">
        <v>9.8460000000000006E-3</v>
      </c>
      <c r="AG462" s="29"/>
    </row>
    <row r="463" spans="1:33" ht="12" customHeight="1">
      <c r="A463" s="34" t="s">
        <v>3563</v>
      </c>
      <c r="B463" s="37" t="s">
        <v>2724</v>
      </c>
      <c r="C463" s="53">
        <v>27.67643</v>
      </c>
      <c r="D463" s="53">
        <v>26.96245</v>
      </c>
      <c r="E463" s="53">
        <v>26.707142000000001</v>
      </c>
      <c r="F463" s="53">
        <v>26.990627</v>
      </c>
      <c r="G463" s="53">
        <v>27.943348</v>
      </c>
      <c r="H463" s="53">
        <v>28.900597000000001</v>
      </c>
      <c r="I463" s="53">
        <v>29.617584000000001</v>
      </c>
      <c r="J463" s="53">
        <v>30.079439000000001</v>
      </c>
      <c r="K463" s="53">
        <v>30.480723999999999</v>
      </c>
      <c r="L463" s="53">
        <v>30.974599999999999</v>
      </c>
      <c r="M463" s="53">
        <v>31.646073999999999</v>
      </c>
      <c r="N463" s="53">
        <v>32.286259000000001</v>
      </c>
      <c r="O463" s="53">
        <v>33.025764000000002</v>
      </c>
      <c r="P463" s="53">
        <v>33.668532999999996</v>
      </c>
      <c r="Q463" s="53">
        <v>34.237160000000003</v>
      </c>
      <c r="R463" s="53">
        <v>34.768219000000002</v>
      </c>
      <c r="S463" s="53">
        <v>35.248908999999998</v>
      </c>
      <c r="T463" s="53">
        <v>35.830539999999999</v>
      </c>
      <c r="U463" s="53">
        <v>36.479621999999999</v>
      </c>
      <c r="V463" s="53">
        <v>37.024726999999999</v>
      </c>
      <c r="W463" s="53">
        <v>37.590145</v>
      </c>
      <c r="X463" s="53">
        <v>38.192326000000001</v>
      </c>
      <c r="Y463" s="53">
        <v>38.706927999999998</v>
      </c>
      <c r="Z463" s="53">
        <v>39.214362999999999</v>
      </c>
      <c r="AA463" s="53">
        <v>39.841751000000002</v>
      </c>
      <c r="AB463" s="53">
        <v>40.541469999999997</v>
      </c>
      <c r="AC463" s="53">
        <v>41.041519000000001</v>
      </c>
      <c r="AD463" s="53">
        <v>41.643005000000002</v>
      </c>
      <c r="AE463" s="53">
        <v>42.524138999999998</v>
      </c>
      <c r="AF463" s="35">
        <v>1.5457E-2</v>
      </c>
      <c r="AG463" s="29"/>
    </row>
    <row r="464" spans="1:33" ht="12" customHeight="1">
      <c r="A464" s="34" t="s">
        <v>3564</v>
      </c>
      <c r="B464" s="37" t="s">
        <v>1469</v>
      </c>
      <c r="C464" s="53">
        <v>5.6533040000000003</v>
      </c>
      <c r="D464" s="53">
        <v>5.6384970000000001</v>
      </c>
      <c r="E464" s="53">
        <v>5.717619</v>
      </c>
      <c r="F464" s="53">
        <v>5.8778259999999998</v>
      </c>
      <c r="G464" s="53">
        <v>6.139977</v>
      </c>
      <c r="H464" s="53">
        <v>6.3469810000000004</v>
      </c>
      <c r="I464" s="53">
        <v>6.4738579999999999</v>
      </c>
      <c r="J464" s="53">
        <v>6.6028039999999999</v>
      </c>
      <c r="K464" s="53">
        <v>6.7064649999999997</v>
      </c>
      <c r="L464" s="53">
        <v>6.8070009999999996</v>
      </c>
      <c r="M464" s="53">
        <v>6.9507789999999998</v>
      </c>
      <c r="N464" s="53">
        <v>7.0831660000000003</v>
      </c>
      <c r="O464" s="53">
        <v>7.2402819999999997</v>
      </c>
      <c r="P464" s="53">
        <v>7.3325870000000002</v>
      </c>
      <c r="Q464" s="53">
        <v>7.378425</v>
      </c>
      <c r="R464" s="53">
        <v>7.4061659999999998</v>
      </c>
      <c r="S464" s="53">
        <v>7.4716659999999999</v>
      </c>
      <c r="T464" s="53">
        <v>7.490767</v>
      </c>
      <c r="U464" s="53">
        <v>7.4223210000000002</v>
      </c>
      <c r="V464" s="53">
        <v>7.3807140000000002</v>
      </c>
      <c r="W464" s="53">
        <v>7.3568680000000004</v>
      </c>
      <c r="X464" s="53">
        <v>7.2933560000000002</v>
      </c>
      <c r="Y464" s="53">
        <v>7.2051819999999998</v>
      </c>
      <c r="Z464" s="53">
        <v>7.1108409999999997</v>
      </c>
      <c r="AA464" s="53">
        <v>7.047714</v>
      </c>
      <c r="AB464" s="53">
        <v>7.0091530000000004</v>
      </c>
      <c r="AC464" s="53">
        <v>6.9407009999999998</v>
      </c>
      <c r="AD464" s="53">
        <v>6.8847569999999996</v>
      </c>
      <c r="AE464" s="53">
        <v>6.8730909999999996</v>
      </c>
      <c r="AF464" s="35">
        <v>7.0020000000000004E-3</v>
      </c>
      <c r="AG464" s="29"/>
    </row>
    <row r="465" spans="1:33" ht="12" customHeight="1">
      <c r="A465" s="34" t="s">
        <v>3565</v>
      </c>
      <c r="B465" s="37" t="s">
        <v>2727</v>
      </c>
      <c r="C465" s="53">
        <v>103.532509</v>
      </c>
      <c r="D465" s="53">
        <v>94.480309000000005</v>
      </c>
      <c r="E465" s="53">
        <v>94.301254</v>
      </c>
      <c r="F465" s="53">
        <v>94.631927000000005</v>
      </c>
      <c r="G465" s="53">
        <v>95.614570999999998</v>
      </c>
      <c r="H465" s="53">
        <v>97.164351999999994</v>
      </c>
      <c r="I465" s="53">
        <v>98.657477999999998</v>
      </c>
      <c r="J465" s="53">
        <v>99.958350999999993</v>
      </c>
      <c r="K465" s="53">
        <v>100.896263</v>
      </c>
      <c r="L465" s="53">
        <v>101.765823</v>
      </c>
      <c r="M465" s="53">
        <v>103.10193599999999</v>
      </c>
      <c r="N465" s="53">
        <v>104.663414</v>
      </c>
      <c r="O465" s="53">
        <v>106.328163</v>
      </c>
      <c r="P465" s="53">
        <v>108.13252300000001</v>
      </c>
      <c r="Q465" s="53">
        <v>109.825531</v>
      </c>
      <c r="R465" s="53">
        <v>111.697701</v>
      </c>
      <c r="S465" s="53">
        <v>113.652275</v>
      </c>
      <c r="T465" s="53">
        <v>115.59963999999999</v>
      </c>
      <c r="U465" s="53">
        <v>117.747818</v>
      </c>
      <c r="V465" s="53">
        <v>120.242233</v>
      </c>
      <c r="W465" s="53">
        <v>123.134804</v>
      </c>
      <c r="X465" s="53">
        <v>126.111115</v>
      </c>
      <c r="Y465" s="53">
        <v>128.91308599999999</v>
      </c>
      <c r="Z465" s="53">
        <v>131.34841900000001</v>
      </c>
      <c r="AA465" s="53">
        <v>133.693985</v>
      </c>
      <c r="AB465" s="53">
        <v>136.276093</v>
      </c>
      <c r="AC465" s="53">
        <v>138.76628099999999</v>
      </c>
      <c r="AD465" s="53">
        <v>140.68391399999999</v>
      </c>
      <c r="AE465" s="53">
        <v>142.934067</v>
      </c>
      <c r="AF465" s="35">
        <v>1.1584000000000001E-2</v>
      </c>
      <c r="AG465" s="29"/>
    </row>
    <row r="466" spans="1:33" ht="12" customHeight="1">
      <c r="A466" s="34" t="s">
        <v>3566</v>
      </c>
      <c r="B466" s="37" t="s">
        <v>2729</v>
      </c>
      <c r="C466" s="53">
        <v>103.92739899999999</v>
      </c>
      <c r="D466" s="53">
        <v>112.269569</v>
      </c>
      <c r="E466" s="53">
        <v>111.739929</v>
      </c>
      <c r="F466" s="53">
        <v>110.428169</v>
      </c>
      <c r="G466" s="53">
        <v>109.376144</v>
      </c>
      <c r="H466" s="53">
        <v>108.728714</v>
      </c>
      <c r="I466" s="53">
        <v>107.839806</v>
      </c>
      <c r="J466" s="53">
        <v>106.927139</v>
      </c>
      <c r="K466" s="53">
        <v>105.573151</v>
      </c>
      <c r="L466" s="53">
        <v>104.23118599999999</v>
      </c>
      <c r="M466" s="53">
        <v>103.20652800000001</v>
      </c>
      <c r="N466" s="53">
        <v>102.382195</v>
      </c>
      <c r="O466" s="53">
        <v>101.727203</v>
      </c>
      <c r="P466" s="53">
        <v>101.03949</v>
      </c>
      <c r="Q466" s="53">
        <v>100.27121699999999</v>
      </c>
      <c r="R466" s="53">
        <v>99.517632000000006</v>
      </c>
      <c r="S466" s="53">
        <v>98.656875999999997</v>
      </c>
      <c r="T466" s="53">
        <v>97.802689000000001</v>
      </c>
      <c r="U466" s="53">
        <v>96.898810999999995</v>
      </c>
      <c r="V466" s="53">
        <v>96.003838000000002</v>
      </c>
      <c r="W466" s="53">
        <v>95.588577000000001</v>
      </c>
      <c r="X466" s="53">
        <v>95.149437000000006</v>
      </c>
      <c r="Y466" s="53">
        <v>94.703827000000004</v>
      </c>
      <c r="Z466" s="53">
        <v>94.143921000000006</v>
      </c>
      <c r="AA466" s="53">
        <v>93.818511999999998</v>
      </c>
      <c r="AB466" s="53">
        <v>93.538657999999998</v>
      </c>
      <c r="AC466" s="53">
        <v>93.071472</v>
      </c>
      <c r="AD466" s="53">
        <v>92.793892</v>
      </c>
      <c r="AE466" s="53">
        <v>92.912041000000002</v>
      </c>
      <c r="AF466" s="35">
        <v>-3.993E-3</v>
      </c>
      <c r="AG466" s="29"/>
    </row>
    <row r="467" spans="1:33" ht="12" customHeight="1">
      <c r="A467" s="34" t="s">
        <v>3567</v>
      </c>
      <c r="B467" s="37" t="s">
        <v>2731</v>
      </c>
      <c r="C467" s="53">
        <v>96.578293000000002</v>
      </c>
      <c r="D467" s="53">
        <v>104.622314</v>
      </c>
      <c r="E467" s="53">
        <v>103.981804</v>
      </c>
      <c r="F467" s="53">
        <v>102.790657</v>
      </c>
      <c r="G467" s="53">
        <v>101.94574</v>
      </c>
      <c r="H467" s="53">
        <v>101.487404</v>
      </c>
      <c r="I467" s="53">
        <v>100.752815</v>
      </c>
      <c r="J467" s="53">
        <v>100.02578699999999</v>
      </c>
      <c r="K467" s="53">
        <v>98.842292999999998</v>
      </c>
      <c r="L467" s="53">
        <v>97.645415999999997</v>
      </c>
      <c r="M467" s="53">
        <v>96.802161999999996</v>
      </c>
      <c r="N467" s="53">
        <v>96.149963</v>
      </c>
      <c r="O467" s="53">
        <v>95.618622000000002</v>
      </c>
      <c r="P467" s="53">
        <v>95.097137000000004</v>
      </c>
      <c r="Q467" s="53">
        <v>94.462981999999997</v>
      </c>
      <c r="R467" s="53">
        <v>93.840087999999994</v>
      </c>
      <c r="S467" s="53">
        <v>93.137680000000003</v>
      </c>
      <c r="T467" s="53">
        <v>92.421042999999997</v>
      </c>
      <c r="U467" s="53">
        <v>91.663535999999993</v>
      </c>
      <c r="V467" s="53">
        <v>90.924476999999996</v>
      </c>
      <c r="W467" s="53">
        <v>90.631538000000006</v>
      </c>
      <c r="X467" s="53">
        <v>90.304908999999995</v>
      </c>
      <c r="Y467" s="53">
        <v>89.970412999999994</v>
      </c>
      <c r="Z467" s="53">
        <v>89.521286000000003</v>
      </c>
      <c r="AA467" s="53">
        <v>89.296081999999998</v>
      </c>
      <c r="AB467" s="53">
        <v>89.119415000000004</v>
      </c>
      <c r="AC467" s="53">
        <v>88.771507</v>
      </c>
      <c r="AD467" s="53">
        <v>88.587081999999995</v>
      </c>
      <c r="AE467" s="53">
        <v>88.779555999999999</v>
      </c>
      <c r="AF467" s="35">
        <v>-3.003E-3</v>
      </c>
      <c r="AG467" s="29"/>
    </row>
    <row r="468" spans="1:33" ht="12" customHeight="1">
      <c r="A468" s="34" t="s">
        <v>3568</v>
      </c>
      <c r="B468" s="37" t="s">
        <v>2733</v>
      </c>
      <c r="C468" s="53">
        <v>7.3491030000000004</v>
      </c>
      <c r="D468" s="53">
        <v>7.6472559999999996</v>
      </c>
      <c r="E468" s="53">
        <v>7.7581220000000002</v>
      </c>
      <c r="F468" s="53">
        <v>7.6375099999999998</v>
      </c>
      <c r="G468" s="53">
        <v>7.4304030000000001</v>
      </c>
      <c r="H468" s="53">
        <v>7.2413090000000002</v>
      </c>
      <c r="I468" s="53">
        <v>7.0869920000000004</v>
      </c>
      <c r="J468" s="53">
        <v>6.9013499999999999</v>
      </c>
      <c r="K468" s="53">
        <v>6.730855</v>
      </c>
      <c r="L468" s="53">
        <v>6.5857700000000001</v>
      </c>
      <c r="M468" s="53">
        <v>6.4043650000000003</v>
      </c>
      <c r="N468" s="53">
        <v>6.2322300000000004</v>
      </c>
      <c r="O468" s="53">
        <v>6.1085830000000003</v>
      </c>
      <c r="P468" s="53">
        <v>5.9423519999999996</v>
      </c>
      <c r="Q468" s="53">
        <v>5.808236</v>
      </c>
      <c r="R468" s="53">
        <v>5.6775440000000001</v>
      </c>
      <c r="S468" s="53">
        <v>5.5191929999999996</v>
      </c>
      <c r="T468" s="53">
        <v>5.3816470000000001</v>
      </c>
      <c r="U468" s="53">
        <v>5.2352730000000003</v>
      </c>
      <c r="V468" s="53">
        <v>5.0793590000000002</v>
      </c>
      <c r="W468" s="53">
        <v>4.9570400000000001</v>
      </c>
      <c r="X468" s="53">
        <v>4.8445289999999996</v>
      </c>
      <c r="Y468" s="53">
        <v>4.7334139999999998</v>
      </c>
      <c r="Z468" s="53">
        <v>4.6226330000000004</v>
      </c>
      <c r="AA468" s="53">
        <v>4.5224320000000002</v>
      </c>
      <c r="AB468" s="53">
        <v>4.4192400000000003</v>
      </c>
      <c r="AC468" s="53">
        <v>4.2999669999999997</v>
      </c>
      <c r="AD468" s="53">
        <v>4.2068099999999999</v>
      </c>
      <c r="AE468" s="53">
        <v>4.132485</v>
      </c>
      <c r="AF468" s="35">
        <v>-2.0351000000000001E-2</v>
      </c>
      <c r="AG468" s="29"/>
    </row>
    <row r="469" spans="1:33" ht="12" customHeight="1">
      <c r="A469" s="34" t="s">
        <v>3569</v>
      </c>
      <c r="B469" s="37" t="s">
        <v>2735</v>
      </c>
      <c r="C469" s="53">
        <v>73.882874000000001</v>
      </c>
      <c r="D469" s="53">
        <v>72.136229999999998</v>
      </c>
      <c r="E469" s="53">
        <v>71.376487999999995</v>
      </c>
      <c r="F469" s="53">
        <v>72.155929999999998</v>
      </c>
      <c r="G469" s="53">
        <v>73.770522999999997</v>
      </c>
      <c r="H469" s="53">
        <v>75.197463999999997</v>
      </c>
      <c r="I469" s="53">
        <v>76.331985000000003</v>
      </c>
      <c r="J469" s="53">
        <v>77.358620000000002</v>
      </c>
      <c r="K469" s="53">
        <v>78.129752999999994</v>
      </c>
      <c r="L469" s="53">
        <v>79.044182000000006</v>
      </c>
      <c r="M469" s="53">
        <v>80.299850000000006</v>
      </c>
      <c r="N469" s="53">
        <v>81.431579999999997</v>
      </c>
      <c r="O469" s="53">
        <v>82.423232999999996</v>
      </c>
      <c r="P469" s="53">
        <v>83.622321999999997</v>
      </c>
      <c r="Q469" s="53">
        <v>84.591369999999998</v>
      </c>
      <c r="R469" s="53">
        <v>85.539291000000006</v>
      </c>
      <c r="S469" s="53">
        <v>86.431976000000006</v>
      </c>
      <c r="T469" s="53">
        <v>87.142525000000006</v>
      </c>
      <c r="U469" s="53">
        <v>87.963531000000003</v>
      </c>
      <c r="V469" s="53">
        <v>88.986014999999995</v>
      </c>
      <c r="W469" s="53">
        <v>89.957642000000007</v>
      </c>
      <c r="X469" s="53">
        <v>91.047020000000003</v>
      </c>
      <c r="Y469" s="53">
        <v>91.898917999999995</v>
      </c>
      <c r="Z469" s="53">
        <v>92.611846999999997</v>
      </c>
      <c r="AA469" s="53">
        <v>93.471419999999995</v>
      </c>
      <c r="AB469" s="53">
        <v>94.408707000000007</v>
      </c>
      <c r="AC469" s="53">
        <v>95.149665999999996</v>
      </c>
      <c r="AD469" s="53">
        <v>95.927261000000001</v>
      </c>
      <c r="AE469" s="53">
        <v>97.309982000000005</v>
      </c>
      <c r="AF469" s="35">
        <v>9.8849999999999997E-3</v>
      </c>
      <c r="AG469" s="29"/>
    </row>
    <row r="470" spans="1:33" ht="12" customHeight="1">
      <c r="A470" s="34" t="s">
        <v>3570</v>
      </c>
      <c r="B470" s="37" t="s">
        <v>1479</v>
      </c>
      <c r="C470" s="53">
        <v>19.303066000000001</v>
      </c>
      <c r="D470" s="53">
        <v>18.338715000000001</v>
      </c>
      <c r="E470" s="53">
        <v>18.043182000000002</v>
      </c>
      <c r="F470" s="53">
        <v>18.175930000000001</v>
      </c>
      <c r="G470" s="53">
        <v>18.531753999999999</v>
      </c>
      <c r="H470" s="53">
        <v>18.821546999999999</v>
      </c>
      <c r="I470" s="53">
        <v>19.055159</v>
      </c>
      <c r="J470" s="53">
        <v>19.221657</v>
      </c>
      <c r="K470" s="53">
        <v>19.356397999999999</v>
      </c>
      <c r="L470" s="53">
        <v>19.510386</v>
      </c>
      <c r="M470" s="53">
        <v>19.727034</v>
      </c>
      <c r="N470" s="53">
        <v>19.881723000000001</v>
      </c>
      <c r="O470" s="53">
        <v>19.989364999999999</v>
      </c>
      <c r="P470" s="53">
        <v>20.200523</v>
      </c>
      <c r="Q470" s="53">
        <v>20.364449</v>
      </c>
      <c r="R470" s="53">
        <v>20.594035999999999</v>
      </c>
      <c r="S470" s="53">
        <v>20.837547000000001</v>
      </c>
      <c r="T470" s="53">
        <v>21.077559000000001</v>
      </c>
      <c r="U470" s="53">
        <v>21.321058000000001</v>
      </c>
      <c r="V470" s="53">
        <v>21.561581</v>
      </c>
      <c r="W470" s="53">
        <v>21.759674</v>
      </c>
      <c r="X470" s="53">
        <v>21.826225000000001</v>
      </c>
      <c r="Y470" s="53">
        <v>22.012502999999999</v>
      </c>
      <c r="Z470" s="53">
        <v>22.254562</v>
      </c>
      <c r="AA470" s="53">
        <v>22.477314</v>
      </c>
      <c r="AB470" s="53">
        <v>22.683937</v>
      </c>
      <c r="AC470" s="53">
        <v>22.823948000000001</v>
      </c>
      <c r="AD470" s="53">
        <v>22.967323</v>
      </c>
      <c r="AE470" s="53">
        <v>23.152155</v>
      </c>
      <c r="AF470" s="35">
        <v>6.515E-3</v>
      </c>
      <c r="AG470" s="29"/>
    </row>
    <row r="471" spans="1:33" ht="12" customHeight="1">
      <c r="A471" s="34" t="s">
        <v>3571</v>
      </c>
      <c r="B471" s="37" t="s">
        <v>1477</v>
      </c>
      <c r="C471" s="53">
        <v>5.5932370000000002</v>
      </c>
      <c r="D471" s="53">
        <v>5.2149159999999997</v>
      </c>
      <c r="E471" s="53">
        <v>5.0618319999999999</v>
      </c>
      <c r="F471" s="53">
        <v>4.9931089999999996</v>
      </c>
      <c r="G471" s="53">
        <v>5.0783519999999998</v>
      </c>
      <c r="H471" s="53">
        <v>5.1115060000000003</v>
      </c>
      <c r="I471" s="53">
        <v>5.1289749999999996</v>
      </c>
      <c r="J471" s="53">
        <v>5.1254099999999996</v>
      </c>
      <c r="K471" s="53">
        <v>5.1124910000000003</v>
      </c>
      <c r="L471" s="53">
        <v>5.1060460000000001</v>
      </c>
      <c r="M471" s="53">
        <v>5.1044859999999996</v>
      </c>
      <c r="N471" s="53">
        <v>5.1151540000000004</v>
      </c>
      <c r="O471" s="53">
        <v>5.1419249999999996</v>
      </c>
      <c r="P471" s="53">
        <v>5.1728069999999997</v>
      </c>
      <c r="Q471" s="53">
        <v>5.1650489999999998</v>
      </c>
      <c r="R471" s="53">
        <v>5.193568</v>
      </c>
      <c r="S471" s="53">
        <v>5.1916599999999997</v>
      </c>
      <c r="T471" s="53">
        <v>5.2544389999999996</v>
      </c>
      <c r="U471" s="53">
        <v>5.3003689999999999</v>
      </c>
      <c r="V471" s="53">
        <v>5.3219989999999999</v>
      </c>
      <c r="W471" s="53">
        <v>5.3581839999999996</v>
      </c>
      <c r="X471" s="53">
        <v>5.3493380000000004</v>
      </c>
      <c r="Y471" s="53">
        <v>5.3591430000000004</v>
      </c>
      <c r="Z471" s="53">
        <v>5.3763160000000001</v>
      </c>
      <c r="AA471" s="53">
        <v>5.4202940000000002</v>
      </c>
      <c r="AB471" s="53">
        <v>5.4302530000000004</v>
      </c>
      <c r="AC471" s="53">
        <v>5.4088440000000002</v>
      </c>
      <c r="AD471" s="53">
        <v>5.4095149999999999</v>
      </c>
      <c r="AE471" s="53">
        <v>5.4260149999999996</v>
      </c>
      <c r="AF471" s="35">
        <v>-1.083E-3</v>
      </c>
      <c r="AG471" s="29"/>
    </row>
    <row r="472" spans="1:33" ht="12" customHeight="1">
      <c r="A472" s="34" t="s">
        <v>3572</v>
      </c>
      <c r="B472" s="37" t="s">
        <v>1465</v>
      </c>
      <c r="C472" s="53">
        <v>1.8457779999999999</v>
      </c>
      <c r="D472" s="53">
        <v>1.7606520000000001</v>
      </c>
      <c r="E472" s="53">
        <v>1.7398579999999999</v>
      </c>
      <c r="F472" s="53">
        <v>1.758311</v>
      </c>
      <c r="G472" s="53">
        <v>1.7738719999999999</v>
      </c>
      <c r="H472" s="53">
        <v>1.7938559999999999</v>
      </c>
      <c r="I472" s="53">
        <v>1.8098650000000001</v>
      </c>
      <c r="J472" s="53">
        <v>1.831135</v>
      </c>
      <c r="K472" s="53">
        <v>1.8380399999999999</v>
      </c>
      <c r="L472" s="53">
        <v>1.864366</v>
      </c>
      <c r="M472" s="53">
        <v>1.8808</v>
      </c>
      <c r="N472" s="53">
        <v>1.888927</v>
      </c>
      <c r="O472" s="53">
        <v>1.89646</v>
      </c>
      <c r="P472" s="53">
        <v>1.916507</v>
      </c>
      <c r="Q472" s="53">
        <v>1.9461900000000001</v>
      </c>
      <c r="R472" s="53">
        <v>1.9636359999999999</v>
      </c>
      <c r="S472" s="53">
        <v>1.9932209999999999</v>
      </c>
      <c r="T472" s="53">
        <v>1.9956940000000001</v>
      </c>
      <c r="U472" s="53">
        <v>2.0124019999999998</v>
      </c>
      <c r="V472" s="53">
        <v>2.030983</v>
      </c>
      <c r="W472" s="53">
        <v>2.0463960000000001</v>
      </c>
      <c r="X472" s="53">
        <v>2.0529630000000001</v>
      </c>
      <c r="Y472" s="53">
        <v>2.0713689999999998</v>
      </c>
      <c r="Z472" s="53">
        <v>2.094217</v>
      </c>
      <c r="AA472" s="53">
        <v>2.1100910000000002</v>
      </c>
      <c r="AB472" s="53">
        <v>2.1273580000000001</v>
      </c>
      <c r="AC472" s="53">
        <v>2.138868</v>
      </c>
      <c r="AD472" s="53">
        <v>2.1490450000000001</v>
      </c>
      <c r="AE472" s="53">
        <v>2.1630769999999999</v>
      </c>
      <c r="AF472" s="35">
        <v>5.6820000000000004E-3</v>
      </c>
      <c r="AG472" s="29"/>
    </row>
    <row r="473" spans="1:33" ht="12" customHeight="1">
      <c r="A473" s="34" t="s">
        <v>3573</v>
      </c>
      <c r="B473" s="37" t="s">
        <v>2740</v>
      </c>
      <c r="C473" s="53">
        <v>11.864051</v>
      </c>
      <c r="D473" s="53">
        <v>11.363146</v>
      </c>
      <c r="E473" s="53">
        <v>11.241493</v>
      </c>
      <c r="F473" s="53">
        <v>11.424509</v>
      </c>
      <c r="G473" s="53">
        <v>11.67953</v>
      </c>
      <c r="H473" s="53">
        <v>11.916183999999999</v>
      </c>
      <c r="I473" s="53">
        <v>12.116318</v>
      </c>
      <c r="J473" s="53">
        <v>12.265110999999999</v>
      </c>
      <c r="K473" s="53">
        <v>12.405867000000001</v>
      </c>
      <c r="L473" s="53">
        <v>12.539973</v>
      </c>
      <c r="M473" s="53">
        <v>12.741747999999999</v>
      </c>
      <c r="N473" s="53">
        <v>12.877643000000001</v>
      </c>
      <c r="O473" s="53">
        <v>12.950977999999999</v>
      </c>
      <c r="P473" s="53">
        <v>13.11121</v>
      </c>
      <c r="Q473" s="53">
        <v>13.253211</v>
      </c>
      <c r="R473" s="53">
        <v>13.436831</v>
      </c>
      <c r="S473" s="53">
        <v>13.652666999999999</v>
      </c>
      <c r="T473" s="53">
        <v>13.827426000000001</v>
      </c>
      <c r="U473" s="53">
        <v>14.008286</v>
      </c>
      <c r="V473" s="53">
        <v>14.208600000000001</v>
      </c>
      <c r="W473" s="53">
        <v>14.355093999999999</v>
      </c>
      <c r="X473" s="53">
        <v>14.423925000000001</v>
      </c>
      <c r="Y473" s="53">
        <v>14.581989999999999</v>
      </c>
      <c r="Z473" s="53">
        <v>14.784029</v>
      </c>
      <c r="AA473" s="53">
        <v>14.946929000000001</v>
      </c>
      <c r="AB473" s="53">
        <v>15.126326000000001</v>
      </c>
      <c r="AC473" s="53">
        <v>15.276236000000001</v>
      </c>
      <c r="AD473" s="53">
        <v>15.408763</v>
      </c>
      <c r="AE473" s="53">
        <v>15.563064000000001</v>
      </c>
      <c r="AF473" s="35">
        <v>9.7400000000000004E-3</v>
      </c>
      <c r="AG473" s="29"/>
    </row>
    <row r="474" spans="1:33" ht="12" customHeight="1">
      <c r="A474" s="34" t="s">
        <v>3574</v>
      </c>
      <c r="B474" s="37" t="s">
        <v>2742</v>
      </c>
      <c r="C474" s="53">
        <v>78.242598999999998</v>
      </c>
      <c r="D474" s="53">
        <v>77.352219000000005</v>
      </c>
      <c r="E474" s="53">
        <v>77.044548000000006</v>
      </c>
      <c r="F474" s="53">
        <v>78.982506000000001</v>
      </c>
      <c r="G474" s="53">
        <v>81.967849999999999</v>
      </c>
      <c r="H474" s="53">
        <v>83.506523000000001</v>
      </c>
      <c r="I474" s="53">
        <v>83.843124000000003</v>
      </c>
      <c r="J474" s="53">
        <v>84.026259999999994</v>
      </c>
      <c r="K474" s="53">
        <v>83.612388999999993</v>
      </c>
      <c r="L474" s="53">
        <v>83.293532999999996</v>
      </c>
      <c r="M474" s="53">
        <v>83.657982000000004</v>
      </c>
      <c r="N474" s="53">
        <v>83.438202000000004</v>
      </c>
      <c r="O474" s="53">
        <v>83.313643999999996</v>
      </c>
      <c r="P474" s="53">
        <v>83.362319999999997</v>
      </c>
      <c r="Q474" s="53">
        <v>83.378135999999998</v>
      </c>
      <c r="R474" s="53">
        <v>83.915413000000001</v>
      </c>
      <c r="S474" s="53">
        <v>84.215912000000003</v>
      </c>
      <c r="T474" s="53">
        <v>84.424446000000003</v>
      </c>
      <c r="U474" s="53">
        <v>84.598067999999998</v>
      </c>
      <c r="V474" s="53">
        <v>84.914878999999999</v>
      </c>
      <c r="W474" s="53">
        <v>85.306061</v>
      </c>
      <c r="X474" s="53">
        <v>85.467788999999996</v>
      </c>
      <c r="Y474" s="53">
        <v>85.519119000000003</v>
      </c>
      <c r="Z474" s="53">
        <v>85.548286000000004</v>
      </c>
      <c r="AA474" s="53">
        <v>85.747864000000007</v>
      </c>
      <c r="AB474" s="53">
        <v>85.981171000000003</v>
      </c>
      <c r="AC474" s="53">
        <v>85.958122000000003</v>
      </c>
      <c r="AD474" s="53">
        <v>86.007050000000007</v>
      </c>
      <c r="AE474" s="53">
        <v>86.462563000000003</v>
      </c>
      <c r="AF474" s="35">
        <v>3.5739999999999999E-3</v>
      </c>
      <c r="AG474" s="29"/>
    </row>
    <row r="475" spans="1:33" ht="15" customHeight="1">
      <c r="A475" s="34" t="s">
        <v>3575</v>
      </c>
      <c r="B475" s="37" t="s">
        <v>1464</v>
      </c>
      <c r="C475" s="53">
        <v>45.708495999999997</v>
      </c>
      <c r="D475" s="53">
        <v>44.818641999999997</v>
      </c>
      <c r="E475" s="53">
        <v>43.914360000000002</v>
      </c>
      <c r="F475" s="53">
        <v>44.628501999999997</v>
      </c>
      <c r="G475" s="53">
        <v>46.411503000000003</v>
      </c>
      <c r="H475" s="53">
        <v>47.199238000000001</v>
      </c>
      <c r="I475" s="53">
        <v>47.042858000000003</v>
      </c>
      <c r="J475" s="53">
        <v>46.938769999999998</v>
      </c>
      <c r="K475" s="53">
        <v>46.329650999999998</v>
      </c>
      <c r="L475" s="53">
        <v>45.872214999999997</v>
      </c>
      <c r="M475" s="53">
        <v>45.976315</v>
      </c>
      <c r="N475" s="53">
        <v>45.501190000000001</v>
      </c>
      <c r="O475" s="53">
        <v>45.082123000000003</v>
      </c>
      <c r="P475" s="53">
        <v>44.816249999999997</v>
      </c>
      <c r="Q475" s="53">
        <v>44.504162000000001</v>
      </c>
      <c r="R475" s="53">
        <v>44.649773000000003</v>
      </c>
      <c r="S475" s="53">
        <v>44.546452000000002</v>
      </c>
      <c r="T475" s="53">
        <v>44.254547000000002</v>
      </c>
      <c r="U475" s="53">
        <v>43.999701999999999</v>
      </c>
      <c r="V475" s="53">
        <v>43.886420999999999</v>
      </c>
      <c r="W475" s="53">
        <v>43.824581000000002</v>
      </c>
      <c r="X475" s="53">
        <v>43.552784000000003</v>
      </c>
      <c r="Y475" s="53">
        <v>43.160151999999997</v>
      </c>
      <c r="Z475" s="53">
        <v>42.661273999999999</v>
      </c>
      <c r="AA475" s="53">
        <v>42.326968999999998</v>
      </c>
      <c r="AB475" s="53">
        <v>42.117747999999999</v>
      </c>
      <c r="AC475" s="53">
        <v>41.749957999999999</v>
      </c>
      <c r="AD475" s="53">
        <v>41.413490000000003</v>
      </c>
      <c r="AE475" s="53">
        <v>41.438141000000002</v>
      </c>
      <c r="AF475" s="35">
        <v>-3.4970000000000001E-3</v>
      </c>
      <c r="AG475" s="29"/>
    </row>
    <row r="476" spans="1:33" ht="15" customHeight="1">
      <c r="A476" s="34" t="s">
        <v>3576</v>
      </c>
      <c r="B476" s="37" t="s">
        <v>1482</v>
      </c>
      <c r="C476" s="53">
        <v>8.0036919999999991</v>
      </c>
      <c r="D476" s="53">
        <v>7.9132980000000002</v>
      </c>
      <c r="E476" s="53">
        <v>7.9489320000000001</v>
      </c>
      <c r="F476" s="53">
        <v>8.1478590000000004</v>
      </c>
      <c r="G476" s="53">
        <v>8.3993690000000001</v>
      </c>
      <c r="H476" s="53">
        <v>8.5208169999999992</v>
      </c>
      <c r="I476" s="53">
        <v>8.6210170000000002</v>
      </c>
      <c r="J476" s="53">
        <v>8.6402370000000008</v>
      </c>
      <c r="K476" s="53">
        <v>8.6156190000000006</v>
      </c>
      <c r="L476" s="53">
        <v>8.6069359999999993</v>
      </c>
      <c r="M476" s="53">
        <v>8.6463850000000004</v>
      </c>
      <c r="N476" s="53">
        <v>8.7133839999999996</v>
      </c>
      <c r="O476" s="53">
        <v>8.7771699999999999</v>
      </c>
      <c r="P476" s="53">
        <v>8.8580079999999999</v>
      </c>
      <c r="Q476" s="53">
        <v>8.8796289999999996</v>
      </c>
      <c r="R476" s="53">
        <v>8.9454609999999999</v>
      </c>
      <c r="S476" s="53">
        <v>8.9964759999999995</v>
      </c>
      <c r="T476" s="53">
        <v>9.0652729999999995</v>
      </c>
      <c r="U476" s="53">
        <v>9.0605189999999993</v>
      </c>
      <c r="V476" s="53">
        <v>9.1017600000000005</v>
      </c>
      <c r="W476" s="53">
        <v>9.1961080000000006</v>
      </c>
      <c r="X476" s="53">
        <v>9.2482349999999993</v>
      </c>
      <c r="Y476" s="53">
        <v>9.2647750000000002</v>
      </c>
      <c r="Z476" s="53">
        <v>9.3294259999999998</v>
      </c>
      <c r="AA476" s="53">
        <v>9.4153859999999998</v>
      </c>
      <c r="AB476" s="53">
        <v>9.4766279999999998</v>
      </c>
      <c r="AC476" s="53">
        <v>9.461411</v>
      </c>
      <c r="AD476" s="53">
        <v>9.4782630000000001</v>
      </c>
      <c r="AE476" s="53">
        <v>9.5649840000000008</v>
      </c>
      <c r="AF476" s="35">
        <v>6.3850000000000001E-3</v>
      </c>
      <c r="AG476" s="29"/>
    </row>
    <row r="477" spans="1:33" ht="15" customHeight="1">
      <c r="A477" s="34" t="s">
        <v>3577</v>
      </c>
      <c r="B477" s="37" t="s">
        <v>1486</v>
      </c>
      <c r="C477" s="53">
        <v>24.530412999999999</v>
      </c>
      <c r="D477" s="53">
        <v>24.620273999999998</v>
      </c>
      <c r="E477" s="53">
        <v>25.181253000000002</v>
      </c>
      <c r="F477" s="53">
        <v>26.206143999999998</v>
      </c>
      <c r="G477" s="53">
        <v>27.156980999999998</v>
      </c>
      <c r="H477" s="53">
        <v>27.786469</v>
      </c>
      <c r="I477" s="53">
        <v>28.179248999999999</v>
      </c>
      <c r="J477" s="53">
        <v>28.447255999999999</v>
      </c>
      <c r="K477" s="53">
        <v>28.667116</v>
      </c>
      <c r="L477" s="53">
        <v>28.814384</v>
      </c>
      <c r="M477" s="53">
        <v>29.03528</v>
      </c>
      <c r="N477" s="53">
        <v>29.223624999999998</v>
      </c>
      <c r="O477" s="53">
        <v>29.454357000000002</v>
      </c>
      <c r="P477" s="53">
        <v>29.688061000000001</v>
      </c>
      <c r="Q477" s="53">
        <v>29.994347000000001</v>
      </c>
      <c r="R477" s="53">
        <v>30.320179</v>
      </c>
      <c r="S477" s="53">
        <v>30.672985000000001</v>
      </c>
      <c r="T477" s="53">
        <v>31.104628000000002</v>
      </c>
      <c r="U477" s="53">
        <v>31.537848</v>
      </c>
      <c r="V477" s="53">
        <v>31.926694999999999</v>
      </c>
      <c r="W477" s="53">
        <v>32.285373999999997</v>
      </c>
      <c r="X477" s="53">
        <v>32.666770999999997</v>
      </c>
      <c r="Y477" s="53">
        <v>33.094195999999997</v>
      </c>
      <c r="Z477" s="53">
        <v>33.557586999999998</v>
      </c>
      <c r="AA477" s="53">
        <v>34.005507999999999</v>
      </c>
      <c r="AB477" s="53">
        <v>34.386791000000002</v>
      </c>
      <c r="AC477" s="53">
        <v>34.746754000000003</v>
      </c>
      <c r="AD477" s="53">
        <v>35.115291999999997</v>
      </c>
      <c r="AE477" s="53">
        <v>35.459437999999999</v>
      </c>
      <c r="AF477" s="35">
        <v>1.3247E-2</v>
      </c>
      <c r="AG477" s="29"/>
    </row>
    <row r="478" spans="1:33" ht="15" customHeight="1">
      <c r="A478" s="34" t="s">
        <v>3578</v>
      </c>
      <c r="B478" s="37" t="s">
        <v>2747</v>
      </c>
      <c r="C478" s="53">
        <v>108.23170500000001</v>
      </c>
      <c r="D478" s="53">
        <v>106.227272</v>
      </c>
      <c r="E478" s="53">
        <v>105.490227</v>
      </c>
      <c r="F478" s="53">
        <v>107.397133</v>
      </c>
      <c r="G478" s="53">
        <v>110.852707</v>
      </c>
      <c r="H478" s="53">
        <v>113.687271</v>
      </c>
      <c r="I478" s="53">
        <v>115.21547700000001</v>
      </c>
      <c r="J478" s="53">
        <v>116.393631</v>
      </c>
      <c r="K478" s="53">
        <v>117.079041</v>
      </c>
      <c r="L478" s="53">
        <v>118.077675</v>
      </c>
      <c r="M478" s="53">
        <v>120.456749</v>
      </c>
      <c r="N478" s="53">
        <v>122.476944</v>
      </c>
      <c r="O478" s="53">
        <v>124.098007</v>
      </c>
      <c r="P478" s="53">
        <v>126.275871</v>
      </c>
      <c r="Q478" s="53">
        <v>128.71447800000001</v>
      </c>
      <c r="R478" s="53">
        <v>131.375519</v>
      </c>
      <c r="S478" s="53">
        <v>133.983429</v>
      </c>
      <c r="T478" s="53">
        <v>135.84655799999999</v>
      </c>
      <c r="U478" s="53">
        <v>137.44345100000001</v>
      </c>
      <c r="V478" s="53">
        <v>139.64804100000001</v>
      </c>
      <c r="W478" s="53">
        <v>141.59660299999999</v>
      </c>
      <c r="X478" s="53">
        <v>143.16906700000001</v>
      </c>
      <c r="Y478" s="53">
        <v>144.06744399999999</v>
      </c>
      <c r="Z478" s="53">
        <v>144.37207000000001</v>
      </c>
      <c r="AA478" s="53">
        <v>144.785583</v>
      </c>
      <c r="AB478" s="53">
        <v>145.68121300000001</v>
      </c>
      <c r="AC478" s="53">
        <v>145.953766</v>
      </c>
      <c r="AD478" s="53">
        <v>145.754211</v>
      </c>
      <c r="AE478" s="53">
        <v>147.502228</v>
      </c>
      <c r="AF478" s="35">
        <v>1.1117E-2</v>
      </c>
      <c r="AG478" s="29"/>
    </row>
    <row r="479" spans="1:33" ht="15" customHeight="1">
      <c r="A479" s="34" t="s">
        <v>3579</v>
      </c>
      <c r="B479" s="37" t="s">
        <v>2749</v>
      </c>
      <c r="C479" s="53">
        <v>109.14041899999999</v>
      </c>
      <c r="D479" s="53">
        <v>107.152435</v>
      </c>
      <c r="E479" s="53">
        <v>106.781792</v>
      </c>
      <c r="F479" s="53">
        <v>107.62093400000001</v>
      </c>
      <c r="G479" s="53">
        <v>111.04424299999999</v>
      </c>
      <c r="H479" s="53">
        <v>113.93568399999999</v>
      </c>
      <c r="I479" s="53">
        <v>114.84876300000001</v>
      </c>
      <c r="J479" s="53">
        <v>115.61261</v>
      </c>
      <c r="K479" s="53">
        <v>116.33284</v>
      </c>
      <c r="L479" s="53">
        <v>117.649895</v>
      </c>
      <c r="M479" s="53">
        <v>120.07357</v>
      </c>
      <c r="N479" s="53">
        <v>121.77795399999999</v>
      </c>
      <c r="O479" s="53">
        <v>122.965813</v>
      </c>
      <c r="P479" s="53">
        <v>124.415817</v>
      </c>
      <c r="Q479" s="53">
        <v>125.764786</v>
      </c>
      <c r="R479" s="53">
        <v>127.038933</v>
      </c>
      <c r="S479" s="53">
        <v>128.220642</v>
      </c>
      <c r="T479" s="53">
        <v>128.948746</v>
      </c>
      <c r="U479" s="53">
        <v>129.56890899999999</v>
      </c>
      <c r="V479" s="53">
        <v>130.46165500000001</v>
      </c>
      <c r="W479" s="53">
        <v>131.25071700000001</v>
      </c>
      <c r="X479" s="53">
        <v>131.65687600000001</v>
      </c>
      <c r="Y479" s="53">
        <v>131.720688</v>
      </c>
      <c r="Z479" s="53">
        <v>131.58100899999999</v>
      </c>
      <c r="AA479" s="53">
        <v>131.99028000000001</v>
      </c>
      <c r="AB479" s="53">
        <v>132.54707300000001</v>
      </c>
      <c r="AC479" s="53">
        <v>132.969604</v>
      </c>
      <c r="AD479" s="53">
        <v>132.91894500000001</v>
      </c>
      <c r="AE479" s="53">
        <v>133.725739</v>
      </c>
      <c r="AF479" s="35">
        <v>7.2820000000000003E-3</v>
      </c>
      <c r="AG479" s="29"/>
    </row>
    <row r="480" spans="1:33" ht="15" customHeight="1">
      <c r="A480" s="34" t="s">
        <v>3580</v>
      </c>
      <c r="B480" s="37" t="s">
        <v>2751</v>
      </c>
      <c r="C480" s="53">
        <v>49.897269999999999</v>
      </c>
      <c r="D480" s="53">
        <v>50.429988999999999</v>
      </c>
      <c r="E480" s="53">
        <v>51.605750999999998</v>
      </c>
      <c r="F480" s="53">
        <v>53.119548999999999</v>
      </c>
      <c r="G480" s="53">
        <v>54.930683000000002</v>
      </c>
      <c r="H480" s="53">
        <v>56.388022999999997</v>
      </c>
      <c r="I480" s="53">
        <v>57.598269999999999</v>
      </c>
      <c r="J480" s="53">
        <v>58.41404</v>
      </c>
      <c r="K480" s="53">
        <v>58.876567999999999</v>
      </c>
      <c r="L480" s="53">
        <v>59.455005999999997</v>
      </c>
      <c r="M480" s="53">
        <v>60.271538</v>
      </c>
      <c r="N480" s="53">
        <v>61.142715000000003</v>
      </c>
      <c r="O480" s="53">
        <v>62.050842000000003</v>
      </c>
      <c r="P480" s="53">
        <v>62.919376</v>
      </c>
      <c r="Q480" s="53">
        <v>63.827041999999999</v>
      </c>
      <c r="R480" s="53">
        <v>64.944480999999996</v>
      </c>
      <c r="S480" s="53">
        <v>65.977706999999995</v>
      </c>
      <c r="T480" s="53">
        <v>67.014786000000001</v>
      </c>
      <c r="U480" s="53">
        <v>68.184021000000001</v>
      </c>
      <c r="V480" s="53">
        <v>69.302711000000002</v>
      </c>
      <c r="W480" s="53">
        <v>70.365478999999993</v>
      </c>
      <c r="X480" s="53">
        <v>71.490921</v>
      </c>
      <c r="Y480" s="53">
        <v>72.531341999999995</v>
      </c>
      <c r="Z480" s="53">
        <v>73.450035</v>
      </c>
      <c r="AA480" s="53">
        <v>74.397391999999996</v>
      </c>
      <c r="AB480" s="53">
        <v>75.384033000000002</v>
      </c>
      <c r="AC480" s="53">
        <v>76.311615000000003</v>
      </c>
      <c r="AD480" s="53">
        <v>77.353911999999994</v>
      </c>
      <c r="AE480" s="53">
        <v>78.566283999999996</v>
      </c>
      <c r="AF480" s="35">
        <v>1.6345999999999999E-2</v>
      </c>
      <c r="AG480" s="29"/>
    </row>
    <row r="481" spans="1:33" ht="15" customHeight="1">
      <c r="A481" s="34" t="s">
        <v>3581</v>
      </c>
      <c r="B481" s="37" t="s">
        <v>2753</v>
      </c>
      <c r="C481" s="53">
        <v>412.46954299999999</v>
      </c>
      <c r="D481" s="53">
        <v>417.84661899999998</v>
      </c>
      <c r="E481" s="53">
        <v>417.85815400000001</v>
      </c>
      <c r="F481" s="53">
        <v>413.81973299999999</v>
      </c>
      <c r="G481" s="53">
        <v>412.52285799999999</v>
      </c>
      <c r="H481" s="53">
        <v>417.11337300000002</v>
      </c>
      <c r="I481" s="53">
        <v>419.58798200000001</v>
      </c>
      <c r="J481" s="53">
        <v>419.07464599999997</v>
      </c>
      <c r="K481" s="53">
        <v>418.90780599999999</v>
      </c>
      <c r="L481" s="53">
        <v>421.700806</v>
      </c>
      <c r="M481" s="53">
        <v>430.04614299999997</v>
      </c>
      <c r="N481" s="53">
        <v>437.16494799999998</v>
      </c>
      <c r="O481" s="53">
        <v>441.66705300000001</v>
      </c>
      <c r="P481" s="53">
        <v>446.799622</v>
      </c>
      <c r="Q481" s="53">
        <v>451.401276</v>
      </c>
      <c r="R481" s="53">
        <v>453.90783699999997</v>
      </c>
      <c r="S481" s="53">
        <v>457.70700099999999</v>
      </c>
      <c r="T481" s="53">
        <v>460.00509599999998</v>
      </c>
      <c r="U481" s="53">
        <v>463.176849</v>
      </c>
      <c r="V481" s="53">
        <v>467.918274</v>
      </c>
      <c r="W481" s="53">
        <v>473.26403800000003</v>
      </c>
      <c r="X481" s="53">
        <v>477.46594199999998</v>
      </c>
      <c r="Y481" s="53">
        <v>480.451324</v>
      </c>
      <c r="Z481" s="53">
        <v>483.43206800000002</v>
      </c>
      <c r="AA481" s="53">
        <v>487.93753099999998</v>
      </c>
      <c r="AB481" s="53">
        <v>492.90521200000001</v>
      </c>
      <c r="AC481" s="53">
        <v>497.14135700000003</v>
      </c>
      <c r="AD481" s="53">
        <v>501.00238000000002</v>
      </c>
      <c r="AE481" s="53">
        <v>506.53317299999998</v>
      </c>
      <c r="AF481" s="35">
        <v>7.3639999999999999E-3</v>
      </c>
      <c r="AG481" s="29"/>
    </row>
    <row r="482" spans="1:33" ht="15" customHeight="1">
      <c r="A482" s="34" t="s">
        <v>3582</v>
      </c>
      <c r="B482" s="37" t="s">
        <v>2755</v>
      </c>
      <c r="C482" s="53">
        <v>32.509932999999997</v>
      </c>
      <c r="D482" s="53">
        <v>32.481377000000002</v>
      </c>
      <c r="E482" s="53">
        <v>32.833106999999998</v>
      </c>
      <c r="F482" s="53">
        <v>33.609543000000002</v>
      </c>
      <c r="G482" s="53">
        <v>34.385447999999997</v>
      </c>
      <c r="H482" s="53">
        <v>35.122959000000002</v>
      </c>
      <c r="I482" s="53">
        <v>35.795670000000001</v>
      </c>
      <c r="J482" s="53">
        <v>36.381976999999999</v>
      </c>
      <c r="K482" s="53">
        <v>36.852085000000002</v>
      </c>
      <c r="L482" s="53">
        <v>37.107292000000001</v>
      </c>
      <c r="M482" s="53">
        <v>37.881068999999997</v>
      </c>
      <c r="N482" s="53">
        <v>38.956699</v>
      </c>
      <c r="O482" s="53">
        <v>39.993153</v>
      </c>
      <c r="P482" s="53">
        <v>41.090831999999999</v>
      </c>
      <c r="Q482" s="53">
        <v>42.185177000000003</v>
      </c>
      <c r="R482" s="53">
        <v>43.409602999999997</v>
      </c>
      <c r="S482" s="53">
        <v>44.693469999999998</v>
      </c>
      <c r="T482" s="53">
        <v>45.923470000000002</v>
      </c>
      <c r="U482" s="53">
        <v>47.174526</v>
      </c>
      <c r="V482" s="53">
        <v>48.462924999999998</v>
      </c>
      <c r="W482" s="53">
        <v>49.727463</v>
      </c>
      <c r="X482" s="53">
        <v>51.068665000000003</v>
      </c>
      <c r="Y482" s="53">
        <v>52.388336000000002</v>
      </c>
      <c r="Z482" s="53">
        <v>53.653872999999997</v>
      </c>
      <c r="AA482" s="53">
        <v>54.952621000000001</v>
      </c>
      <c r="AB482" s="53">
        <v>56.319107000000002</v>
      </c>
      <c r="AC482" s="53">
        <v>57.70438</v>
      </c>
      <c r="AD482" s="53">
        <v>59.055832000000002</v>
      </c>
      <c r="AE482" s="53">
        <v>60.682223999999998</v>
      </c>
      <c r="AF482" s="35">
        <v>2.2540000000000001E-2</v>
      </c>
      <c r="AG482" s="29"/>
    </row>
    <row r="483" spans="1:33" ht="12" customHeight="1">
      <c r="A483" s="34" t="s">
        <v>3583</v>
      </c>
      <c r="B483" s="37" t="s">
        <v>1475</v>
      </c>
      <c r="C483" s="53">
        <v>28.530221999999998</v>
      </c>
      <c r="D483" s="53">
        <v>28.084686000000001</v>
      </c>
      <c r="E483" s="53">
        <v>27.915248999999999</v>
      </c>
      <c r="F483" s="53">
        <v>27.11204</v>
      </c>
      <c r="G483" s="53">
        <v>26.846796000000001</v>
      </c>
      <c r="H483" s="53">
        <v>26.827812000000002</v>
      </c>
      <c r="I483" s="53">
        <v>26.96913</v>
      </c>
      <c r="J483" s="53">
        <v>27.153708000000002</v>
      </c>
      <c r="K483" s="53">
        <v>27.330691999999999</v>
      </c>
      <c r="L483" s="53">
        <v>27.488153000000001</v>
      </c>
      <c r="M483" s="53">
        <v>27.865621999999998</v>
      </c>
      <c r="N483" s="53">
        <v>28.223472999999998</v>
      </c>
      <c r="O483" s="53">
        <v>28.523486999999999</v>
      </c>
      <c r="P483" s="53">
        <v>28.722027000000001</v>
      </c>
      <c r="Q483" s="53">
        <v>28.886514999999999</v>
      </c>
      <c r="R483" s="53">
        <v>29.179107999999999</v>
      </c>
      <c r="S483" s="53">
        <v>29.493807</v>
      </c>
      <c r="T483" s="53">
        <v>29.719836999999998</v>
      </c>
      <c r="U483" s="53">
        <v>29.982514999999999</v>
      </c>
      <c r="V483" s="53">
        <v>30.196697</v>
      </c>
      <c r="W483" s="53">
        <v>30.448183</v>
      </c>
      <c r="X483" s="53">
        <v>30.703773000000002</v>
      </c>
      <c r="Y483" s="53">
        <v>30.891449000000001</v>
      </c>
      <c r="Z483" s="53">
        <v>31.089817</v>
      </c>
      <c r="AA483" s="53">
        <v>31.31391</v>
      </c>
      <c r="AB483" s="53">
        <v>31.580679</v>
      </c>
      <c r="AC483" s="53">
        <v>31.804566999999999</v>
      </c>
      <c r="AD483" s="53">
        <v>31.983345</v>
      </c>
      <c r="AE483" s="53">
        <v>32.355583000000003</v>
      </c>
      <c r="AF483" s="35">
        <v>4.5040000000000002E-3</v>
      </c>
      <c r="AG483" s="29"/>
    </row>
    <row r="484" spans="1:33" ht="15" customHeight="1">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row>
    <row r="485" spans="1:33" ht="15" customHeight="1">
      <c r="A485" s="34" t="s">
        <v>3584</v>
      </c>
      <c r="B485" s="33" t="s">
        <v>2758</v>
      </c>
      <c r="C485" s="40">
        <v>1752.619263</v>
      </c>
      <c r="D485" s="40">
        <v>1740.4061280000001</v>
      </c>
      <c r="E485" s="40">
        <v>1734.4351810000001</v>
      </c>
      <c r="F485" s="40">
        <v>1742.1051030000001</v>
      </c>
      <c r="G485" s="40">
        <v>1761.450928</v>
      </c>
      <c r="H485" s="40">
        <v>1783.649658</v>
      </c>
      <c r="I485" s="40">
        <v>1799.002686</v>
      </c>
      <c r="J485" s="40">
        <v>1810.9277340000001</v>
      </c>
      <c r="K485" s="40">
        <v>1819.392578</v>
      </c>
      <c r="L485" s="40">
        <v>1829.6904300000001</v>
      </c>
      <c r="M485" s="40">
        <v>1850.4289550000001</v>
      </c>
      <c r="N485" s="40">
        <v>1868.5789789999999</v>
      </c>
      <c r="O485" s="40">
        <v>1883.7294919999999</v>
      </c>
      <c r="P485" s="40">
        <v>1901.365845</v>
      </c>
      <c r="Q485" s="40">
        <v>1917.9636230000001</v>
      </c>
      <c r="R485" s="40">
        <v>1935.2022710000001</v>
      </c>
      <c r="S485" s="40">
        <v>1952.747192</v>
      </c>
      <c r="T485" s="40">
        <v>1967.135986</v>
      </c>
      <c r="U485" s="40">
        <v>1982.7998050000001</v>
      </c>
      <c r="V485" s="40">
        <v>2001.6392820000001</v>
      </c>
      <c r="W485" s="40">
        <v>2021.442139</v>
      </c>
      <c r="X485" s="40">
        <v>2038.790405</v>
      </c>
      <c r="Y485" s="40">
        <v>2052.7302249999998</v>
      </c>
      <c r="Z485" s="40">
        <v>2065.0122070000002</v>
      </c>
      <c r="AA485" s="40">
        <v>2080.7387699999999</v>
      </c>
      <c r="AB485" s="40">
        <v>2098.1857909999999</v>
      </c>
      <c r="AC485" s="40">
        <v>2112.076172</v>
      </c>
      <c r="AD485" s="40">
        <v>2124.890625</v>
      </c>
      <c r="AE485" s="40">
        <v>2146.9804690000001</v>
      </c>
      <c r="AF485" s="31">
        <v>7.2750000000000002E-3</v>
      </c>
      <c r="AG485" s="29"/>
    </row>
    <row r="486" spans="1:33" ht="15" customHeight="1">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row>
    <row r="487" spans="1:33" ht="15" customHeight="1" thickBot="1">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row>
    <row r="488" spans="1:33" ht="15" customHeight="1">
      <c r="B488" s="54" t="s">
        <v>2584</v>
      </c>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29"/>
    </row>
    <row r="489" spans="1:33" ht="15" customHeight="1">
      <c r="B489" s="29" t="s">
        <v>2759</v>
      </c>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row>
    <row r="490" spans="1:33" ht="15" customHeight="1">
      <c r="B490" s="29" t="s">
        <v>2760</v>
      </c>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row>
    <row r="491" spans="1:33" ht="15" customHeight="1">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row>
    <row r="492" spans="1:33" ht="15" customHeight="1">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row>
    <row r="493" spans="1:33" ht="15" customHeight="1">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row>
    <row r="494" spans="1:33" ht="15" customHeight="1">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row>
    <row r="495" spans="1:33" ht="15" customHeight="1">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row>
    <row r="496" spans="1:33" ht="15" customHeight="1">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row>
    <row r="497" spans="2:33" ht="15" customHeight="1">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row>
    <row r="498" spans="2:33" ht="15" customHeight="1">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row>
    <row r="499" spans="2:33" ht="15" customHeight="1">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row>
    <row r="500" spans="2:33" ht="12" customHeight="1">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row>
    <row r="501" spans="2:33" ht="15" customHeight="1">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row>
    <row r="502" spans="2:33" ht="15" customHeight="1">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row>
    <row r="503" spans="2:33" ht="12" customHeight="1">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row>
    <row r="504" spans="2:33" ht="15" customHeight="1">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row>
    <row r="505" spans="2:33" ht="15" customHeight="1">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row>
    <row r="506" spans="2:33" ht="15" customHeight="1">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row>
    <row r="507" spans="2:33" ht="15" customHeight="1">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row>
    <row r="508" spans="2:33" ht="15" customHeight="1">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row>
    <row r="509" spans="2:33" ht="15" customHeight="1">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row>
    <row r="510" spans="2:33" ht="15" customHeight="1">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row>
    <row r="511" spans="2:33" ht="15" customHeight="1">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row>
    <row r="512" spans="2:33" ht="15" customHeight="1">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row>
    <row r="513" spans="2:33" ht="15" customHeight="1">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row>
    <row r="514" spans="2:33" ht="15" customHeight="1">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row>
    <row r="515" spans="2:33" ht="15" customHeight="1">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row>
    <row r="516" spans="2:33" ht="15" customHeight="1">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row>
    <row r="517" spans="2:33" ht="12" customHeight="1">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row>
    <row r="518" spans="2:33" ht="15" customHeight="1">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row>
    <row r="519" spans="2:33" ht="15" customHeight="1">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row>
    <row r="520" spans="2:33" ht="12" customHeight="1">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row>
    <row r="521" spans="2:33" ht="12" customHeight="1">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row>
    <row r="522" spans="2:33" ht="15" customHeight="1">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row>
    <row r="523" spans="2:33" ht="15" customHeight="1">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row>
    <row r="524" spans="2:33" ht="15" customHeight="1">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row>
    <row r="525" spans="2:33" ht="15" customHeight="1">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row>
    <row r="526" spans="2:33" ht="15" customHeight="1">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row>
    <row r="527" spans="2:33" ht="15" customHeight="1">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row>
    <row r="528" spans="2:33" ht="15" customHeight="1">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row>
    <row r="529" spans="2:33" ht="15" customHeight="1">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row>
    <row r="530" spans="2:33" ht="15" customHeight="1">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row>
    <row r="531" spans="2:33" ht="15" customHeight="1">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row>
    <row r="532" spans="2:33" ht="15" customHeight="1">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row>
    <row r="533" spans="2:33" ht="15" customHeight="1">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row>
    <row r="534" spans="2:33" ht="15" customHeight="1">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row>
    <row r="535" spans="2:33" ht="12" customHeight="1">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row>
    <row r="536" spans="2:33" ht="15" customHeight="1">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row>
    <row r="537" spans="2:33" ht="15" customHeight="1">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row>
    <row r="538" spans="2:33" ht="15" customHeight="1">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row>
    <row r="539" spans="2:33" ht="15" customHeight="1">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row>
    <row r="540" spans="2:33" ht="15" customHeight="1">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row>
    <row r="541" spans="2:33" ht="15" customHeight="1">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row>
    <row r="542" spans="2:33" ht="15" customHeight="1">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row>
    <row r="543" spans="2:33" ht="15" customHeight="1">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row>
    <row r="544" spans="2:33" ht="15" customHeight="1">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row>
    <row r="545" spans="2:33" ht="15" customHeight="1">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row>
    <row r="546" spans="2:33" ht="15" customHeight="1">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row>
    <row r="547" spans="2:33" ht="15" customHeight="1">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row>
    <row r="548" spans="2:33" ht="15" customHeight="1">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row>
    <row r="549" spans="2:33" ht="15" customHeight="1">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row>
    <row r="550" spans="2:33" ht="15" customHeight="1">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row>
    <row r="551" spans="2:33" ht="15" customHeight="1">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row>
    <row r="552" spans="2:33" ht="12" customHeight="1">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row>
    <row r="553" spans="2:33" ht="15" customHeight="1">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row>
    <row r="554" spans="2:33" ht="15" customHeight="1">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row>
    <row r="555" spans="2:33" ht="15" customHeight="1">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row>
    <row r="556" spans="2:33" ht="15" customHeight="1">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row>
    <row r="557" spans="2:33" ht="15" customHeight="1">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row>
    <row r="558" spans="2:33" ht="15" customHeight="1">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row>
    <row r="559" spans="2:33" ht="15" customHeight="1">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row>
    <row r="560" spans="2:33" ht="15" customHeight="1">
      <c r="B560" s="2185"/>
      <c r="C560" s="2185"/>
      <c r="D560" s="2185"/>
      <c r="E560" s="2185"/>
      <c r="F560" s="2185"/>
      <c r="G560" s="2185"/>
      <c r="H560" s="2185"/>
      <c r="I560" s="2185"/>
      <c r="J560" s="2185"/>
      <c r="K560" s="2185"/>
      <c r="L560" s="2185"/>
      <c r="M560" s="2185"/>
      <c r="N560" s="2185"/>
      <c r="O560" s="2185"/>
      <c r="P560" s="2185"/>
      <c r="Q560" s="2185"/>
      <c r="R560" s="2185"/>
      <c r="S560" s="2185"/>
      <c r="T560" s="2185"/>
      <c r="U560" s="2185"/>
      <c r="V560" s="2185"/>
      <c r="W560" s="2185"/>
      <c r="X560" s="2185"/>
      <c r="Y560" s="2185"/>
      <c r="Z560" s="2185"/>
      <c r="AA560" s="2185"/>
      <c r="AB560" s="2185"/>
      <c r="AC560" s="2185"/>
      <c r="AD560" s="2185"/>
      <c r="AE560" s="2185"/>
      <c r="AF560" s="2185"/>
      <c r="AG560" s="29"/>
    </row>
    <row r="561" spans="2:33" ht="15" customHeight="1">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row>
    <row r="562" spans="2:33" ht="15" customHeight="1">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row>
    <row r="563" spans="2:33" ht="15" customHeight="1">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row>
    <row r="564" spans="2:33" ht="15" customHeight="1">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row>
    <row r="565" spans="2:33" ht="15" customHeight="1">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row>
    <row r="566" spans="2:33" ht="15" customHeight="1">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row>
    <row r="567" spans="2:33" ht="15" customHeight="1">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row>
    <row r="568" spans="2:33" ht="15" customHeight="1">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row>
    <row r="569" spans="2:33" ht="15" customHeight="1">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row>
    <row r="570" spans="2:33" ht="15" customHeight="1">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row>
    <row r="571" spans="2:33" ht="15" customHeight="1">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row>
    <row r="572" spans="2:33" ht="15" customHeight="1">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row>
    <row r="573" spans="2:33" ht="15" customHeight="1">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row>
    <row r="574" spans="2:33" ht="15" customHeight="1">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row>
    <row r="575" spans="2:33" ht="15" customHeight="1">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row>
    <row r="576" spans="2:33" ht="15" customHeight="1">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row>
    <row r="577" spans="1:33" ht="15" customHeight="1">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row>
    <row r="578" spans="1:33" ht="12" customHeight="1">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row>
    <row r="579" spans="1:33" ht="12" customHeight="1">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row>
    <row r="580" spans="1:33" ht="12" customHeight="1">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row>
    <row r="581" spans="1:33" ht="12" customHeight="1">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row>
    <row r="582" spans="1:33" ht="12" customHeight="1">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row>
    <row r="583" spans="1:33" ht="12" customHeight="1">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row>
    <row r="584" spans="1:33" ht="12" customHeight="1">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t="s">
        <v>2056</v>
      </c>
      <c r="AG584" s="29"/>
    </row>
    <row r="585" spans="1:33" ht="12" customHeight="1">
      <c r="A585" s="34" t="s">
        <v>3585</v>
      </c>
      <c r="B585" s="46" t="s">
        <v>3586</v>
      </c>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43" t="s">
        <v>2058</v>
      </c>
      <c r="AG585" s="29"/>
    </row>
    <row r="586" spans="1:33" ht="12" customHeight="1">
      <c r="B586" s="45" t="s">
        <v>3587</v>
      </c>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43" t="s">
        <v>2059</v>
      </c>
      <c r="AG586" s="29"/>
    </row>
    <row r="587" spans="1:33" ht="12" customHeight="1">
      <c r="B587" s="45"/>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3" t="s">
        <v>2061</v>
      </c>
      <c r="AG587" s="29"/>
    </row>
    <row r="588" spans="1:33" ht="12" customHeight="1" thickBot="1">
      <c r="B588" s="42" t="s">
        <v>2690</v>
      </c>
      <c r="C588" s="42">
        <v>2022</v>
      </c>
      <c r="D588" s="42">
        <v>2023</v>
      </c>
      <c r="E588" s="42">
        <v>2024</v>
      </c>
      <c r="F588" s="42">
        <v>2025</v>
      </c>
      <c r="G588" s="42">
        <v>2026</v>
      </c>
      <c r="H588" s="42">
        <v>2027</v>
      </c>
      <c r="I588" s="42">
        <v>2028</v>
      </c>
      <c r="J588" s="42">
        <v>2029</v>
      </c>
      <c r="K588" s="42">
        <v>2030</v>
      </c>
      <c r="L588" s="42">
        <v>2031</v>
      </c>
      <c r="M588" s="42">
        <v>2032</v>
      </c>
      <c r="N588" s="42">
        <v>2033</v>
      </c>
      <c r="O588" s="42">
        <v>2034</v>
      </c>
      <c r="P588" s="42">
        <v>2035</v>
      </c>
      <c r="Q588" s="42">
        <v>2036</v>
      </c>
      <c r="R588" s="42">
        <v>2037</v>
      </c>
      <c r="S588" s="42">
        <v>2038</v>
      </c>
      <c r="T588" s="42">
        <v>2039</v>
      </c>
      <c r="U588" s="42">
        <v>2040</v>
      </c>
      <c r="V588" s="42">
        <v>2041</v>
      </c>
      <c r="W588" s="42">
        <v>2042</v>
      </c>
      <c r="X588" s="42">
        <v>2043</v>
      </c>
      <c r="Y588" s="42">
        <v>2044</v>
      </c>
      <c r="Z588" s="42">
        <v>2045</v>
      </c>
      <c r="AA588" s="42">
        <v>2046</v>
      </c>
      <c r="AB588" s="42">
        <v>2047</v>
      </c>
      <c r="AC588" s="42">
        <v>2048</v>
      </c>
      <c r="AD588" s="42">
        <v>2049</v>
      </c>
      <c r="AE588" s="42">
        <v>2050</v>
      </c>
      <c r="AF588" s="41">
        <v>2050</v>
      </c>
      <c r="AG588" s="29"/>
    </row>
    <row r="589" spans="1:33" ht="12" customHeight="1" thickTop="1">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row>
    <row r="590" spans="1:33" ht="12" customHeight="1">
      <c r="A590" s="34" t="s">
        <v>3588</v>
      </c>
      <c r="B590" s="33" t="s">
        <v>2692</v>
      </c>
      <c r="C590" s="40">
        <v>19750.261718999998</v>
      </c>
      <c r="D590" s="40">
        <v>19903.289062</v>
      </c>
      <c r="E590" s="40">
        <v>20095.435547000001</v>
      </c>
      <c r="F590" s="40">
        <v>20409.421875</v>
      </c>
      <c r="G590" s="40">
        <v>20840.714843999998</v>
      </c>
      <c r="H590" s="40">
        <v>21273.421875</v>
      </c>
      <c r="I590" s="40">
        <v>21681.255859000001</v>
      </c>
      <c r="J590" s="40">
        <v>22051.705077999999</v>
      </c>
      <c r="K590" s="40">
        <v>22391.814452999999</v>
      </c>
      <c r="L590" s="40">
        <v>22742.044922000001</v>
      </c>
      <c r="M590" s="40">
        <v>23153.001952999999</v>
      </c>
      <c r="N590" s="40">
        <v>23603.867188</v>
      </c>
      <c r="O590" s="40">
        <v>24055.123047000001</v>
      </c>
      <c r="P590" s="40">
        <v>24510.957031000002</v>
      </c>
      <c r="Q590" s="40">
        <v>24995.804688</v>
      </c>
      <c r="R590" s="40">
        <v>25506.921875</v>
      </c>
      <c r="S590" s="40">
        <v>26032.332031000002</v>
      </c>
      <c r="T590" s="40">
        <v>26566.107422000001</v>
      </c>
      <c r="U590" s="40">
        <v>27148.945312</v>
      </c>
      <c r="V590" s="40">
        <v>27734.087890999999</v>
      </c>
      <c r="W590" s="40">
        <v>28324.492188</v>
      </c>
      <c r="X590" s="40">
        <v>28926.738281000002</v>
      </c>
      <c r="Y590" s="40">
        <v>29527.414062</v>
      </c>
      <c r="Z590" s="40">
        <v>30130</v>
      </c>
      <c r="AA590" s="40">
        <v>30747.568359000001</v>
      </c>
      <c r="AB590" s="40">
        <v>31389.150390999999</v>
      </c>
      <c r="AC590" s="40">
        <v>32039.970702999999</v>
      </c>
      <c r="AD590" s="40">
        <v>32698.533202999999</v>
      </c>
      <c r="AE590" s="40">
        <v>33404.984375</v>
      </c>
      <c r="AF590" s="31">
        <v>1.8946999999999999E-2</v>
      </c>
      <c r="AG590" s="29"/>
    </row>
    <row r="591" spans="1:33" ht="12" customHeight="1">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row>
    <row r="592" spans="1:33" ht="12" customHeight="1">
      <c r="A592" s="34" t="s">
        <v>3589</v>
      </c>
      <c r="B592" s="33" t="s">
        <v>2694</v>
      </c>
      <c r="C592" s="40">
        <v>10.877644999999999</v>
      </c>
      <c r="D592" s="40">
        <v>10.950808</v>
      </c>
      <c r="E592" s="40">
        <v>10.865932000000001</v>
      </c>
      <c r="F592" s="40">
        <v>10.833019</v>
      </c>
      <c r="G592" s="40">
        <v>10.869581</v>
      </c>
      <c r="H592" s="40">
        <v>10.926399</v>
      </c>
      <c r="I592" s="40">
        <v>10.979715000000001</v>
      </c>
      <c r="J592" s="40">
        <v>11.012055999999999</v>
      </c>
      <c r="K592" s="40">
        <v>11.02863</v>
      </c>
      <c r="L592" s="40">
        <v>11.032684</v>
      </c>
      <c r="M592" s="40">
        <v>11.053960999999999</v>
      </c>
      <c r="N592" s="40">
        <v>11.096717</v>
      </c>
      <c r="O592" s="40">
        <v>11.163212</v>
      </c>
      <c r="P592" s="40">
        <v>11.217059000000001</v>
      </c>
      <c r="Q592" s="40">
        <v>11.243356</v>
      </c>
      <c r="R592" s="40">
        <v>11.274388</v>
      </c>
      <c r="S592" s="40">
        <v>11.315326000000001</v>
      </c>
      <c r="T592" s="40">
        <v>11.352544999999999</v>
      </c>
      <c r="U592" s="40">
        <v>11.398687000000001</v>
      </c>
      <c r="V592" s="40">
        <v>11.433216</v>
      </c>
      <c r="W592" s="40">
        <v>11.468909999999999</v>
      </c>
      <c r="X592" s="40">
        <v>11.493255</v>
      </c>
      <c r="Y592" s="40">
        <v>11.515843</v>
      </c>
      <c r="Z592" s="40">
        <v>11.544435999999999</v>
      </c>
      <c r="AA592" s="40">
        <v>11.578329</v>
      </c>
      <c r="AB592" s="40">
        <v>11.619135</v>
      </c>
      <c r="AC592" s="40">
        <v>11.656917</v>
      </c>
      <c r="AD592" s="40">
        <v>11.690789000000001</v>
      </c>
      <c r="AE592" s="40">
        <v>11.729400999999999</v>
      </c>
      <c r="AF592" s="31">
        <v>2.696E-3</v>
      </c>
      <c r="AG592" s="29"/>
    </row>
    <row r="593" spans="1:33" ht="12" customHeight="1">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row>
    <row r="594" spans="1:33" ht="12" customHeight="1">
      <c r="B594" s="33" t="s">
        <v>2695</v>
      </c>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row>
    <row r="595" spans="1:33" ht="12" customHeight="1">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row>
    <row r="596" spans="1:33" ht="12" customHeight="1">
      <c r="B596" s="33" t="s">
        <v>2696</v>
      </c>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row>
    <row r="597" spans="1:33" ht="12" customHeight="1">
      <c r="A597" s="34" t="s">
        <v>3590</v>
      </c>
      <c r="B597" s="37" t="s">
        <v>2698</v>
      </c>
      <c r="C597" s="53">
        <v>59.098624999999998</v>
      </c>
      <c r="D597" s="53">
        <v>59.757213999999998</v>
      </c>
      <c r="E597" s="53">
        <v>60.401240999999999</v>
      </c>
      <c r="F597" s="53">
        <v>61.342830999999997</v>
      </c>
      <c r="G597" s="53">
        <v>62.446486999999998</v>
      </c>
      <c r="H597" s="53">
        <v>63.485309999999998</v>
      </c>
      <c r="I597" s="53">
        <v>64.559691999999998</v>
      </c>
      <c r="J597" s="53">
        <v>65.436249000000004</v>
      </c>
      <c r="K597" s="53">
        <v>66.422020000000003</v>
      </c>
      <c r="L597" s="53">
        <v>67.585837999999995</v>
      </c>
      <c r="M597" s="53">
        <v>68.610718000000006</v>
      </c>
      <c r="N597" s="53">
        <v>69.446869000000007</v>
      </c>
      <c r="O597" s="53">
        <v>70.259079</v>
      </c>
      <c r="P597" s="53">
        <v>71.177634999999995</v>
      </c>
      <c r="Q597" s="53">
        <v>71.973938000000004</v>
      </c>
      <c r="R597" s="53">
        <v>72.900124000000005</v>
      </c>
      <c r="S597" s="53">
        <v>73.820755000000005</v>
      </c>
      <c r="T597" s="53">
        <v>74.816299000000001</v>
      </c>
      <c r="U597" s="53">
        <v>75.747046999999995</v>
      </c>
      <c r="V597" s="53">
        <v>76.669189000000003</v>
      </c>
      <c r="W597" s="53">
        <v>77.645493000000002</v>
      </c>
      <c r="X597" s="53">
        <v>78.599281000000005</v>
      </c>
      <c r="Y597" s="53">
        <v>79.526955000000001</v>
      </c>
      <c r="Z597" s="53">
        <v>80.478783000000007</v>
      </c>
      <c r="AA597" s="53">
        <v>81.430000000000007</v>
      </c>
      <c r="AB597" s="53">
        <v>82.373901000000004</v>
      </c>
      <c r="AC597" s="53">
        <v>83.316627999999994</v>
      </c>
      <c r="AD597" s="53">
        <v>84.273482999999999</v>
      </c>
      <c r="AE597" s="53">
        <v>85.242064999999997</v>
      </c>
      <c r="AF597" s="35">
        <v>1.3167999999999999E-2</v>
      </c>
      <c r="AG597" s="29"/>
    </row>
    <row r="598" spans="1:33" ht="12" customHeight="1">
      <c r="A598" s="34" t="s">
        <v>3591</v>
      </c>
      <c r="B598" s="37" t="s">
        <v>2700</v>
      </c>
      <c r="C598" s="53">
        <v>26.008458999999998</v>
      </c>
      <c r="D598" s="53">
        <v>25.061765999999999</v>
      </c>
      <c r="E598" s="53">
        <v>24.557421000000001</v>
      </c>
      <c r="F598" s="53">
        <v>24.26088</v>
      </c>
      <c r="G598" s="53">
        <v>24.291975000000001</v>
      </c>
      <c r="H598" s="53">
        <v>23.967361</v>
      </c>
      <c r="I598" s="53">
        <v>23.739857000000001</v>
      </c>
      <c r="J598" s="53">
        <v>23.384823000000001</v>
      </c>
      <c r="K598" s="53">
        <v>23.183803999999999</v>
      </c>
      <c r="L598" s="53">
        <v>22.941932999999999</v>
      </c>
      <c r="M598" s="53">
        <v>22.903168000000001</v>
      </c>
      <c r="N598" s="53">
        <v>22.821764000000002</v>
      </c>
      <c r="O598" s="53">
        <v>22.655207000000001</v>
      </c>
      <c r="P598" s="53">
        <v>22.596062</v>
      </c>
      <c r="Q598" s="53">
        <v>22.567989000000001</v>
      </c>
      <c r="R598" s="53">
        <v>22.520346</v>
      </c>
      <c r="S598" s="53">
        <v>22.474886000000001</v>
      </c>
      <c r="T598" s="53">
        <v>22.494710999999999</v>
      </c>
      <c r="U598" s="53">
        <v>22.374058000000002</v>
      </c>
      <c r="V598" s="53">
        <v>22.277781000000001</v>
      </c>
      <c r="W598" s="53">
        <v>22.248974</v>
      </c>
      <c r="X598" s="53">
        <v>22.292657999999999</v>
      </c>
      <c r="Y598" s="53">
        <v>22.325496999999999</v>
      </c>
      <c r="Z598" s="53">
        <v>22.272545000000001</v>
      </c>
      <c r="AA598" s="53">
        <v>22.261313999999999</v>
      </c>
      <c r="AB598" s="53">
        <v>22.134474000000001</v>
      </c>
      <c r="AC598" s="53">
        <v>22.086317000000001</v>
      </c>
      <c r="AD598" s="53">
        <v>22.077331999999998</v>
      </c>
      <c r="AE598" s="53">
        <v>22.087629</v>
      </c>
      <c r="AF598" s="35">
        <v>-5.8190000000000004E-3</v>
      </c>
      <c r="AG598" s="29"/>
    </row>
    <row r="599" spans="1:33" ht="12" customHeight="1">
      <c r="A599" s="34" t="s">
        <v>3592</v>
      </c>
      <c r="B599" s="37" t="s">
        <v>2702</v>
      </c>
      <c r="C599" s="53">
        <v>99.126609999999999</v>
      </c>
      <c r="D599" s="53">
        <v>96.581444000000005</v>
      </c>
      <c r="E599" s="53">
        <v>95.882507000000004</v>
      </c>
      <c r="F599" s="53">
        <v>97.640761999999995</v>
      </c>
      <c r="G599" s="53">
        <v>99.043921999999995</v>
      </c>
      <c r="H599" s="53">
        <v>99.326415999999995</v>
      </c>
      <c r="I599" s="53">
        <v>100.18190800000001</v>
      </c>
      <c r="J599" s="53">
        <v>102.686386</v>
      </c>
      <c r="K599" s="53">
        <v>104.229546</v>
      </c>
      <c r="L599" s="53">
        <v>104.439667</v>
      </c>
      <c r="M599" s="53">
        <v>104.371979</v>
      </c>
      <c r="N599" s="53">
        <v>104.697281</v>
      </c>
      <c r="O599" s="53">
        <v>104.88736</v>
      </c>
      <c r="P599" s="53">
        <v>105.718788</v>
      </c>
      <c r="Q599" s="53">
        <v>106.848579</v>
      </c>
      <c r="R599" s="53">
        <v>108.389236</v>
      </c>
      <c r="S599" s="53">
        <v>110.27937300000001</v>
      </c>
      <c r="T599" s="53">
        <v>111.628471</v>
      </c>
      <c r="U599" s="53">
        <v>112.965919</v>
      </c>
      <c r="V599" s="53">
        <v>114.55789900000001</v>
      </c>
      <c r="W599" s="53">
        <v>116.101868</v>
      </c>
      <c r="X599" s="53">
        <v>117.420593</v>
      </c>
      <c r="Y599" s="53">
        <v>118.71154</v>
      </c>
      <c r="Z599" s="53">
        <v>120.168221</v>
      </c>
      <c r="AA599" s="53">
        <v>121.629288</v>
      </c>
      <c r="AB599" s="53">
        <v>123.046959</v>
      </c>
      <c r="AC599" s="53">
        <v>124.280067</v>
      </c>
      <c r="AD599" s="53">
        <v>125.35916899999999</v>
      </c>
      <c r="AE599" s="53">
        <v>127.00155599999999</v>
      </c>
      <c r="AF599" s="35">
        <v>8.8889999999999993E-3</v>
      </c>
      <c r="AG599" s="29"/>
    </row>
    <row r="600" spans="1:33" ht="15" customHeight="1">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row>
    <row r="601" spans="1:33" ht="15" customHeight="1">
      <c r="B601" s="33" t="s">
        <v>2703</v>
      </c>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row>
    <row r="602" spans="1:33" ht="15" customHeight="1">
      <c r="A602" s="34" t="s">
        <v>3593</v>
      </c>
      <c r="B602" s="37" t="s">
        <v>2705</v>
      </c>
      <c r="C602" s="53">
        <v>130.90751599999999</v>
      </c>
      <c r="D602" s="53">
        <v>133.742355</v>
      </c>
      <c r="E602" s="53">
        <v>134.752411</v>
      </c>
      <c r="F602" s="53">
        <v>135.747986</v>
      </c>
      <c r="G602" s="53">
        <v>137.14814799999999</v>
      </c>
      <c r="H602" s="53">
        <v>138.547775</v>
      </c>
      <c r="I602" s="53">
        <v>140.13258400000001</v>
      </c>
      <c r="J602" s="53">
        <v>141.480988</v>
      </c>
      <c r="K602" s="53">
        <v>142.99041700000001</v>
      </c>
      <c r="L602" s="53">
        <v>144.588089</v>
      </c>
      <c r="M602" s="53">
        <v>145.90306100000001</v>
      </c>
      <c r="N602" s="53">
        <v>147.12226899999999</v>
      </c>
      <c r="O602" s="53">
        <v>148.50254799999999</v>
      </c>
      <c r="P602" s="53">
        <v>149.96032700000001</v>
      </c>
      <c r="Q602" s="53">
        <v>151.700119</v>
      </c>
      <c r="R602" s="53">
        <v>153.30946399999999</v>
      </c>
      <c r="S602" s="53">
        <v>155.04170199999999</v>
      </c>
      <c r="T602" s="53">
        <v>156.86627200000001</v>
      </c>
      <c r="U602" s="53">
        <v>158.833099</v>
      </c>
      <c r="V602" s="53">
        <v>160.758881</v>
      </c>
      <c r="W602" s="53">
        <v>162.53353899999999</v>
      </c>
      <c r="X602" s="53">
        <v>164.29586800000001</v>
      </c>
      <c r="Y602" s="53">
        <v>166.02488700000001</v>
      </c>
      <c r="Z602" s="53">
        <v>167.78758199999999</v>
      </c>
      <c r="AA602" s="53">
        <v>169.50610399999999</v>
      </c>
      <c r="AB602" s="53">
        <v>171.21322599999999</v>
      </c>
      <c r="AC602" s="53">
        <v>172.90605199999999</v>
      </c>
      <c r="AD602" s="53">
        <v>174.644104</v>
      </c>
      <c r="AE602" s="53">
        <v>176.391479</v>
      </c>
      <c r="AF602" s="35">
        <v>1.0707E-2</v>
      </c>
      <c r="AG602" s="29"/>
    </row>
    <row r="603" spans="1:33" ht="15" customHeight="1">
      <c r="A603" s="34" t="s">
        <v>3594</v>
      </c>
      <c r="B603" s="37" t="s">
        <v>1473</v>
      </c>
      <c r="C603" s="53">
        <v>5.0570029999999999</v>
      </c>
      <c r="D603" s="53">
        <v>5.0472570000000001</v>
      </c>
      <c r="E603" s="53">
        <v>5.0526580000000001</v>
      </c>
      <c r="F603" s="53">
        <v>5.069655</v>
      </c>
      <c r="G603" s="53">
        <v>5.118995</v>
      </c>
      <c r="H603" s="53">
        <v>5.2040189999999997</v>
      </c>
      <c r="I603" s="53">
        <v>5.3075700000000001</v>
      </c>
      <c r="J603" s="53">
        <v>5.3925799999999997</v>
      </c>
      <c r="K603" s="53">
        <v>5.46774</v>
      </c>
      <c r="L603" s="53">
        <v>5.5437599999999998</v>
      </c>
      <c r="M603" s="53">
        <v>5.5948580000000003</v>
      </c>
      <c r="N603" s="53">
        <v>5.6597369999999998</v>
      </c>
      <c r="O603" s="53">
        <v>5.6945209999999999</v>
      </c>
      <c r="P603" s="53">
        <v>5.7466359999999996</v>
      </c>
      <c r="Q603" s="53">
        <v>5.8007179999999998</v>
      </c>
      <c r="R603" s="53">
        <v>5.8648449999999999</v>
      </c>
      <c r="S603" s="53">
        <v>5.9193749999999996</v>
      </c>
      <c r="T603" s="53">
        <v>5.9802160000000004</v>
      </c>
      <c r="U603" s="53">
        <v>6.0735479999999997</v>
      </c>
      <c r="V603" s="53">
        <v>6.1738150000000003</v>
      </c>
      <c r="W603" s="53">
        <v>6.2569379999999999</v>
      </c>
      <c r="X603" s="53">
        <v>6.3434869999999997</v>
      </c>
      <c r="Y603" s="53">
        <v>6.4318869999999997</v>
      </c>
      <c r="Z603" s="53">
        <v>6.52034</v>
      </c>
      <c r="AA603" s="53">
        <v>6.6137569999999997</v>
      </c>
      <c r="AB603" s="53">
        <v>6.7156029999999998</v>
      </c>
      <c r="AC603" s="53">
        <v>6.8421510000000003</v>
      </c>
      <c r="AD603" s="53">
        <v>6.9752489999999998</v>
      </c>
      <c r="AE603" s="53">
        <v>7.1101289999999997</v>
      </c>
      <c r="AF603" s="35">
        <v>1.2244E-2</v>
      </c>
      <c r="AG603" s="29"/>
    </row>
    <row r="604" spans="1:33" ht="15" customHeight="1">
      <c r="A604" s="34" t="s">
        <v>3595</v>
      </c>
      <c r="B604" s="37" t="s">
        <v>2708</v>
      </c>
      <c r="C604" s="53">
        <v>2.4059889999999999</v>
      </c>
      <c r="D604" s="53">
        <v>2.3692030000000002</v>
      </c>
      <c r="E604" s="53">
        <v>2.3556460000000001</v>
      </c>
      <c r="F604" s="53">
        <v>2.3536350000000001</v>
      </c>
      <c r="G604" s="53">
        <v>2.3942890000000001</v>
      </c>
      <c r="H604" s="53">
        <v>2.4437160000000002</v>
      </c>
      <c r="I604" s="53">
        <v>2.4739629999999999</v>
      </c>
      <c r="J604" s="53">
        <v>2.4844620000000002</v>
      </c>
      <c r="K604" s="53">
        <v>2.4766240000000002</v>
      </c>
      <c r="L604" s="53">
        <v>2.48889</v>
      </c>
      <c r="M604" s="53">
        <v>2.5000930000000001</v>
      </c>
      <c r="N604" s="53">
        <v>2.50562</v>
      </c>
      <c r="O604" s="53">
        <v>2.5146199999999999</v>
      </c>
      <c r="P604" s="53">
        <v>2.506262</v>
      </c>
      <c r="Q604" s="53">
        <v>2.4951430000000001</v>
      </c>
      <c r="R604" s="53">
        <v>2.4810759999999998</v>
      </c>
      <c r="S604" s="53">
        <v>2.472153</v>
      </c>
      <c r="T604" s="53">
        <v>2.4421569999999999</v>
      </c>
      <c r="U604" s="53">
        <v>2.4352640000000001</v>
      </c>
      <c r="V604" s="53">
        <v>2.427962</v>
      </c>
      <c r="W604" s="53">
        <v>2.4066890000000001</v>
      </c>
      <c r="X604" s="53">
        <v>2.3864179999999999</v>
      </c>
      <c r="Y604" s="53">
        <v>2.361777</v>
      </c>
      <c r="Z604" s="53">
        <v>2.3358439999999998</v>
      </c>
      <c r="AA604" s="53">
        <v>2.3112210000000002</v>
      </c>
      <c r="AB604" s="53">
        <v>2.2899069999999999</v>
      </c>
      <c r="AC604" s="53">
        <v>2.2655479999999999</v>
      </c>
      <c r="AD604" s="53">
        <v>2.2396690000000001</v>
      </c>
      <c r="AE604" s="53">
        <v>2.217765</v>
      </c>
      <c r="AF604" s="35">
        <v>-2.905E-3</v>
      </c>
      <c r="AG604" s="29"/>
    </row>
    <row r="605" spans="1:33" ht="15" customHeight="1">
      <c r="A605" s="34" t="s">
        <v>3596</v>
      </c>
      <c r="B605" s="37" t="s">
        <v>2710</v>
      </c>
      <c r="C605" s="53">
        <v>7.9030370000000003</v>
      </c>
      <c r="D605" s="53">
        <v>7.1112469999999997</v>
      </c>
      <c r="E605" s="53">
        <v>6.8643580000000002</v>
      </c>
      <c r="F605" s="53">
        <v>6.9632550000000002</v>
      </c>
      <c r="G605" s="53">
        <v>6.8292830000000002</v>
      </c>
      <c r="H605" s="53">
        <v>6.7857510000000003</v>
      </c>
      <c r="I605" s="53">
        <v>6.8888290000000003</v>
      </c>
      <c r="J605" s="53">
        <v>6.9779450000000001</v>
      </c>
      <c r="K605" s="53">
        <v>6.9726189999999999</v>
      </c>
      <c r="L605" s="53">
        <v>6.9502899999999999</v>
      </c>
      <c r="M605" s="53">
        <v>7.0105469999999999</v>
      </c>
      <c r="N605" s="53">
        <v>7.0953749999999998</v>
      </c>
      <c r="O605" s="53">
        <v>7.1605990000000004</v>
      </c>
      <c r="P605" s="53">
        <v>7.191789</v>
      </c>
      <c r="Q605" s="53">
        <v>7.1538810000000002</v>
      </c>
      <c r="R605" s="53">
        <v>7.1798520000000003</v>
      </c>
      <c r="S605" s="53">
        <v>7.1724949999999996</v>
      </c>
      <c r="T605" s="53">
        <v>7.1808940000000003</v>
      </c>
      <c r="U605" s="53">
        <v>7.2449630000000003</v>
      </c>
      <c r="V605" s="53">
        <v>7.3334429999999999</v>
      </c>
      <c r="W605" s="53">
        <v>7.3796020000000002</v>
      </c>
      <c r="X605" s="53">
        <v>7.4056699999999998</v>
      </c>
      <c r="Y605" s="53">
        <v>7.3936630000000001</v>
      </c>
      <c r="Z605" s="53">
        <v>7.331772</v>
      </c>
      <c r="AA605" s="53">
        <v>7.287839</v>
      </c>
      <c r="AB605" s="53">
        <v>7.2833420000000002</v>
      </c>
      <c r="AC605" s="53">
        <v>7.2513420000000002</v>
      </c>
      <c r="AD605" s="53">
        <v>7.2404830000000002</v>
      </c>
      <c r="AE605" s="53">
        <v>7.2992080000000001</v>
      </c>
      <c r="AF605" s="35">
        <v>-2.8349999999999998E-3</v>
      </c>
      <c r="AG605" s="29"/>
    </row>
    <row r="606" spans="1:33" ht="12" customHeight="1">
      <c r="A606" s="34" t="s">
        <v>3597</v>
      </c>
      <c r="B606" s="37" t="s">
        <v>2712</v>
      </c>
      <c r="C606" s="53">
        <v>5.7401330000000002</v>
      </c>
      <c r="D606" s="53">
        <v>5.6777800000000003</v>
      </c>
      <c r="E606" s="53">
        <v>5.708189</v>
      </c>
      <c r="F606" s="53">
        <v>5.752186</v>
      </c>
      <c r="G606" s="53">
        <v>5.9169390000000002</v>
      </c>
      <c r="H606" s="53">
        <v>6.1055590000000004</v>
      </c>
      <c r="I606" s="53">
        <v>6.2089299999999996</v>
      </c>
      <c r="J606" s="53">
        <v>6.3059079999999996</v>
      </c>
      <c r="K606" s="53">
        <v>6.3979369999999998</v>
      </c>
      <c r="L606" s="53">
        <v>6.4805419999999998</v>
      </c>
      <c r="M606" s="53">
        <v>6.6509109999999998</v>
      </c>
      <c r="N606" s="53">
        <v>6.7366869999999999</v>
      </c>
      <c r="O606" s="53">
        <v>6.8215399999999997</v>
      </c>
      <c r="P606" s="53">
        <v>6.9678100000000001</v>
      </c>
      <c r="Q606" s="53">
        <v>7.1130719999999998</v>
      </c>
      <c r="R606" s="53">
        <v>7.2475120000000004</v>
      </c>
      <c r="S606" s="53">
        <v>7.4046209999999997</v>
      </c>
      <c r="T606" s="53">
        <v>7.5422469999999997</v>
      </c>
      <c r="U606" s="53">
        <v>7.6921210000000002</v>
      </c>
      <c r="V606" s="53">
        <v>7.8911930000000003</v>
      </c>
      <c r="W606" s="53">
        <v>8.0684550000000002</v>
      </c>
      <c r="X606" s="53">
        <v>8.212942</v>
      </c>
      <c r="Y606" s="53">
        <v>8.3215880000000002</v>
      </c>
      <c r="Z606" s="53">
        <v>8.3945229999999995</v>
      </c>
      <c r="AA606" s="53">
        <v>8.5299980000000009</v>
      </c>
      <c r="AB606" s="53">
        <v>8.6890260000000001</v>
      </c>
      <c r="AC606" s="53">
        <v>8.8125859999999996</v>
      </c>
      <c r="AD606" s="53">
        <v>8.8859879999999993</v>
      </c>
      <c r="AE606" s="53">
        <v>9.1782559999999993</v>
      </c>
      <c r="AF606" s="35">
        <v>1.6903999999999999E-2</v>
      </c>
      <c r="AG606" s="29"/>
    </row>
    <row r="607" spans="1:33" ht="15" customHeight="1">
      <c r="A607" s="34" t="s">
        <v>3598</v>
      </c>
      <c r="B607" s="37" t="s">
        <v>2714</v>
      </c>
      <c r="C607" s="53">
        <v>9.8561700000000005</v>
      </c>
      <c r="D607" s="53">
        <v>9.5544550000000008</v>
      </c>
      <c r="E607" s="53">
        <v>9.3245159999999991</v>
      </c>
      <c r="F607" s="53">
        <v>9.2675339999999995</v>
      </c>
      <c r="G607" s="53">
        <v>9.2847089999999994</v>
      </c>
      <c r="H607" s="53">
        <v>9.3176679999999994</v>
      </c>
      <c r="I607" s="53">
        <v>9.3674970000000002</v>
      </c>
      <c r="J607" s="53">
        <v>9.4098380000000006</v>
      </c>
      <c r="K607" s="53">
        <v>9.4661849999999994</v>
      </c>
      <c r="L607" s="53">
        <v>9.5286480000000005</v>
      </c>
      <c r="M607" s="53">
        <v>9.5842270000000003</v>
      </c>
      <c r="N607" s="53">
        <v>9.6404540000000001</v>
      </c>
      <c r="O607" s="53">
        <v>9.6867230000000006</v>
      </c>
      <c r="P607" s="53">
        <v>9.7772959999999998</v>
      </c>
      <c r="Q607" s="53">
        <v>9.8544359999999998</v>
      </c>
      <c r="R607" s="53">
        <v>9.9286049999999992</v>
      </c>
      <c r="S607" s="53">
        <v>10.025501</v>
      </c>
      <c r="T607" s="53">
        <v>10.112837000000001</v>
      </c>
      <c r="U607" s="53">
        <v>10.211797000000001</v>
      </c>
      <c r="V607" s="53">
        <v>10.313751</v>
      </c>
      <c r="W607" s="53">
        <v>10.413709000000001</v>
      </c>
      <c r="X607" s="53">
        <v>10.505796</v>
      </c>
      <c r="Y607" s="53">
        <v>10.5838</v>
      </c>
      <c r="Z607" s="53">
        <v>10.649348</v>
      </c>
      <c r="AA607" s="53">
        <v>10.724240999999999</v>
      </c>
      <c r="AB607" s="53">
        <v>10.813541000000001</v>
      </c>
      <c r="AC607" s="53">
        <v>10.872602000000001</v>
      </c>
      <c r="AD607" s="53">
        <v>10.938326999999999</v>
      </c>
      <c r="AE607" s="53">
        <v>11.038327000000001</v>
      </c>
      <c r="AF607" s="35">
        <v>4.0540000000000003E-3</v>
      </c>
      <c r="AG607" s="29"/>
    </row>
    <row r="608" spans="1:33" ht="15" customHeight="1">
      <c r="A608" s="34" t="s">
        <v>3599</v>
      </c>
      <c r="B608" s="37" t="s">
        <v>2716</v>
      </c>
      <c r="C608" s="53">
        <v>10.920774</v>
      </c>
      <c r="D608" s="53">
        <v>10.795814</v>
      </c>
      <c r="E608" s="53">
        <v>10.711805999999999</v>
      </c>
      <c r="F608" s="53">
        <v>10.717257999999999</v>
      </c>
      <c r="G608" s="53">
        <v>10.744059999999999</v>
      </c>
      <c r="H608" s="53">
        <v>10.754358</v>
      </c>
      <c r="I608" s="53">
        <v>10.834737000000001</v>
      </c>
      <c r="J608" s="53">
        <v>10.934748000000001</v>
      </c>
      <c r="K608" s="53">
        <v>11.071954</v>
      </c>
      <c r="L608" s="53">
        <v>11.231873999999999</v>
      </c>
      <c r="M608" s="53">
        <v>11.26667</v>
      </c>
      <c r="N608" s="53">
        <v>11.229834</v>
      </c>
      <c r="O608" s="53">
        <v>11.192897</v>
      </c>
      <c r="P608" s="53">
        <v>11.184748000000001</v>
      </c>
      <c r="Q608" s="53">
        <v>11.211687</v>
      </c>
      <c r="R608" s="53">
        <v>11.228149999999999</v>
      </c>
      <c r="S608" s="53">
        <v>11.277659</v>
      </c>
      <c r="T608" s="53">
        <v>11.313318000000001</v>
      </c>
      <c r="U608" s="53">
        <v>11.436598999999999</v>
      </c>
      <c r="V608" s="53">
        <v>11.509592</v>
      </c>
      <c r="W608" s="53">
        <v>11.506541</v>
      </c>
      <c r="X608" s="53">
        <v>11.551517</v>
      </c>
      <c r="Y608" s="53">
        <v>11.630960999999999</v>
      </c>
      <c r="Z608" s="53">
        <v>11.825098000000001</v>
      </c>
      <c r="AA608" s="53">
        <v>12.005864000000001</v>
      </c>
      <c r="AB608" s="53">
        <v>12.159058</v>
      </c>
      <c r="AC608" s="53">
        <v>12.278183</v>
      </c>
      <c r="AD608" s="53">
        <v>12.513078</v>
      </c>
      <c r="AE608" s="53">
        <v>12.711211</v>
      </c>
      <c r="AF608" s="35">
        <v>5.437E-3</v>
      </c>
      <c r="AG608" s="29"/>
    </row>
    <row r="609" spans="1:33" ht="15" customHeight="1">
      <c r="A609" s="34" t="s">
        <v>3600</v>
      </c>
      <c r="B609" s="37" t="s">
        <v>2718</v>
      </c>
      <c r="C609" s="53">
        <v>55.588341</v>
      </c>
      <c r="D609" s="53">
        <v>51.941952000000001</v>
      </c>
      <c r="E609" s="53">
        <v>51.122642999999997</v>
      </c>
      <c r="F609" s="53">
        <v>52.272644</v>
      </c>
      <c r="G609" s="53">
        <v>53.338740999999999</v>
      </c>
      <c r="H609" s="53">
        <v>54.440437000000003</v>
      </c>
      <c r="I609" s="53">
        <v>55.476410000000001</v>
      </c>
      <c r="J609" s="53">
        <v>56.106754000000002</v>
      </c>
      <c r="K609" s="53">
        <v>56.887065999999997</v>
      </c>
      <c r="L609" s="53">
        <v>57.681831000000003</v>
      </c>
      <c r="M609" s="53">
        <v>58.644936000000001</v>
      </c>
      <c r="N609" s="53">
        <v>59.614159000000001</v>
      </c>
      <c r="O609" s="53">
        <v>60.766342000000002</v>
      </c>
      <c r="P609" s="53">
        <v>62.436526999999998</v>
      </c>
      <c r="Q609" s="53">
        <v>63.690097999999999</v>
      </c>
      <c r="R609" s="53">
        <v>65.107208</v>
      </c>
      <c r="S609" s="53">
        <v>66.455551</v>
      </c>
      <c r="T609" s="53">
        <v>67.741378999999995</v>
      </c>
      <c r="U609" s="53">
        <v>69.510131999999999</v>
      </c>
      <c r="V609" s="53">
        <v>71.184853000000004</v>
      </c>
      <c r="W609" s="53">
        <v>72.942749000000006</v>
      </c>
      <c r="X609" s="53">
        <v>74.438309000000004</v>
      </c>
      <c r="Y609" s="53">
        <v>75.844604000000004</v>
      </c>
      <c r="Z609" s="53">
        <v>77.145874000000006</v>
      </c>
      <c r="AA609" s="53">
        <v>78.809143000000006</v>
      </c>
      <c r="AB609" s="53">
        <v>80.331429</v>
      </c>
      <c r="AC609" s="53">
        <v>81.632651999999993</v>
      </c>
      <c r="AD609" s="53">
        <v>83.250152999999997</v>
      </c>
      <c r="AE609" s="53">
        <v>85.020156999999998</v>
      </c>
      <c r="AF609" s="35">
        <v>1.5291000000000001E-2</v>
      </c>
      <c r="AG609" s="29"/>
    </row>
    <row r="610" spans="1:33" ht="15" customHeight="1">
      <c r="A610" s="34" t="s">
        <v>3601</v>
      </c>
      <c r="B610" s="37" t="s">
        <v>1467</v>
      </c>
      <c r="C610" s="53">
        <v>30.949978000000002</v>
      </c>
      <c r="D610" s="53">
        <v>29.417072000000001</v>
      </c>
      <c r="E610" s="53">
        <v>28.525304999999999</v>
      </c>
      <c r="F610" s="53">
        <v>29.589086999999999</v>
      </c>
      <c r="G610" s="53">
        <v>30.436785</v>
      </c>
      <c r="H610" s="53">
        <v>31.245038999999998</v>
      </c>
      <c r="I610" s="53">
        <v>31.952916999999999</v>
      </c>
      <c r="J610" s="53">
        <v>32.315674000000001</v>
      </c>
      <c r="K610" s="53">
        <v>32.885998000000001</v>
      </c>
      <c r="L610" s="53">
        <v>33.450142</v>
      </c>
      <c r="M610" s="53">
        <v>34.031852999999998</v>
      </c>
      <c r="N610" s="53">
        <v>34.568309999999997</v>
      </c>
      <c r="O610" s="53">
        <v>35.198825999999997</v>
      </c>
      <c r="P610" s="53">
        <v>36.294376</v>
      </c>
      <c r="Q610" s="53">
        <v>36.927413999999999</v>
      </c>
      <c r="R610" s="53">
        <v>37.713214999999998</v>
      </c>
      <c r="S610" s="53">
        <v>38.376389000000003</v>
      </c>
      <c r="T610" s="53">
        <v>38.910953999999997</v>
      </c>
      <c r="U610" s="53">
        <v>39.857036999999998</v>
      </c>
      <c r="V610" s="53">
        <v>40.606506000000003</v>
      </c>
      <c r="W610" s="53">
        <v>41.398121000000003</v>
      </c>
      <c r="X610" s="53">
        <v>41.886516999999998</v>
      </c>
      <c r="Y610" s="53">
        <v>42.316147000000001</v>
      </c>
      <c r="Z610" s="53">
        <v>42.725231000000001</v>
      </c>
      <c r="AA610" s="53">
        <v>43.506034999999997</v>
      </c>
      <c r="AB610" s="53">
        <v>44.078003000000002</v>
      </c>
      <c r="AC610" s="53">
        <v>44.450190999999997</v>
      </c>
      <c r="AD610" s="53">
        <v>45.280602000000002</v>
      </c>
      <c r="AE610" s="53">
        <v>46.160319999999999</v>
      </c>
      <c r="AF610" s="35">
        <v>1.4378999999999999E-2</v>
      </c>
      <c r="AG610" s="29"/>
    </row>
    <row r="611" spans="1:33" ht="15" customHeight="1">
      <c r="A611" s="34" t="s">
        <v>3602</v>
      </c>
      <c r="B611" s="37" t="s">
        <v>1484</v>
      </c>
      <c r="C611" s="53">
        <v>2.1796340000000001</v>
      </c>
      <c r="D611" s="53">
        <v>2.2054100000000001</v>
      </c>
      <c r="E611" s="53">
        <v>2.2082670000000002</v>
      </c>
      <c r="F611" s="53">
        <v>2.2693539999999999</v>
      </c>
      <c r="G611" s="53">
        <v>2.328306</v>
      </c>
      <c r="H611" s="53">
        <v>2.3572479999999998</v>
      </c>
      <c r="I611" s="53">
        <v>2.3792249999999999</v>
      </c>
      <c r="J611" s="53">
        <v>2.3875259999999998</v>
      </c>
      <c r="K611" s="53">
        <v>2.4088910000000001</v>
      </c>
      <c r="L611" s="53">
        <v>2.4058299999999999</v>
      </c>
      <c r="M611" s="53">
        <v>2.4182769999999998</v>
      </c>
      <c r="N611" s="53">
        <v>2.4607269999999999</v>
      </c>
      <c r="O611" s="53">
        <v>2.4933869999999998</v>
      </c>
      <c r="P611" s="53">
        <v>2.5346679999999999</v>
      </c>
      <c r="Q611" s="53">
        <v>2.56731</v>
      </c>
      <c r="R611" s="53">
        <v>2.597353</v>
      </c>
      <c r="S611" s="53">
        <v>2.6289150000000001</v>
      </c>
      <c r="T611" s="53">
        <v>2.6666029999999998</v>
      </c>
      <c r="U611" s="53">
        <v>2.7309380000000001</v>
      </c>
      <c r="V611" s="53">
        <v>2.7917100000000001</v>
      </c>
      <c r="W611" s="53">
        <v>2.830524</v>
      </c>
      <c r="X611" s="53">
        <v>2.8677869999999999</v>
      </c>
      <c r="Y611" s="53">
        <v>2.9030079999999998</v>
      </c>
      <c r="Z611" s="53">
        <v>2.9294560000000001</v>
      </c>
      <c r="AA611" s="53">
        <v>2.9713319999999999</v>
      </c>
      <c r="AB611" s="53">
        <v>3.0204589999999998</v>
      </c>
      <c r="AC611" s="53">
        <v>3.0470440000000001</v>
      </c>
      <c r="AD611" s="53">
        <v>3.0834959999999998</v>
      </c>
      <c r="AE611" s="53">
        <v>3.150979</v>
      </c>
      <c r="AF611" s="35">
        <v>1.325E-2</v>
      </c>
      <c r="AG611" s="29"/>
    </row>
    <row r="612" spans="1:33" ht="15" customHeight="1">
      <c r="A612" s="34" t="s">
        <v>3603</v>
      </c>
      <c r="B612" s="37" t="s">
        <v>2722</v>
      </c>
      <c r="C612" s="53">
        <v>17.061095999999999</v>
      </c>
      <c r="D612" s="53">
        <v>15.535584</v>
      </c>
      <c r="E612" s="53">
        <v>14.435347</v>
      </c>
      <c r="F612" s="53">
        <v>15.042588</v>
      </c>
      <c r="G612" s="53">
        <v>15.290725999999999</v>
      </c>
      <c r="H612" s="53">
        <v>15.578340000000001</v>
      </c>
      <c r="I612" s="53">
        <v>15.863848000000001</v>
      </c>
      <c r="J612" s="53">
        <v>15.920610999999999</v>
      </c>
      <c r="K612" s="53">
        <v>16.193816999999999</v>
      </c>
      <c r="L612" s="53">
        <v>16.439959000000002</v>
      </c>
      <c r="M612" s="53">
        <v>16.613320999999999</v>
      </c>
      <c r="N612" s="53">
        <v>16.736433000000002</v>
      </c>
      <c r="O612" s="53">
        <v>16.957787</v>
      </c>
      <c r="P612" s="53">
        <v>17.647247</v>
      </c>
      <c r="Q612" s="53">
        <v>17.923421999999999</v>
      </c>
      <c r="R612" s="53">
        <v>18.386862000000001</v>
      </c>
      <c r="S612" s="53">
        <v>18.730803999999999</v>
      </c>
      <c r="T612" s="53">
        <v>19.018898</v>
      </c>
      <c r="U612" s="53">
        <v>19.613657</v>
      </c>
      <c r="V612" s="53">
        <v>19.990614000000001</v>
      </c>
      <c r="W612" s="53">
        <v>20.516956</v>
      </c>
      <c r="X612" s="53">
        <v>20.789404000000001</v>
      </c>
      <c r="Y612" s="53">
        <v>21.060576999999999</v>
      </c>
      <c r="Z612" s="53">
        <v>21.332041</v>
      </c>
      <c r="AA612" s="53">
        <v>21.880489000000001</v>
      </c>
      <c r="AB612" s="53">
        <v>22.143822</v>
      </c>
      <c r="AC612" s="53">
        <v>22.330759</v>
      </c>
      <c r="AD612" s="53">
        <v>22.924233999999998</v>
      </c>
      <c r="AE612" s="53">
        <v>23.406683000000001</v>
      </c>
      <c r="AF612" s="35">
        <v>1.1358E-2</v>
      </c>
      <c r="AG612" s="29"/>
    </row>
    <row r="613" spans="1:33" ht="15" customHeight="1">
      <c r="A613" s="34" t="s">
        <v>3604</v>
      </c>
      <c r="B613" s="37" t="s">
        <v>2724</v>
      </c>
      <c r="C613" s="53">
        <v>3.9929619999999999</v>
      </c>
      <c r="D613" s="53">
        <v>3.966815</v>
      </c>
      <c r="E613" s="53">
        <v>4.0167960000000003</v>
      </c>
      <c r="F613" s="53">
        <v>4.1335040000000003</v>
      </c>
      <c r="G613" s="53">
        <v>4.3331039999999996</v>
      </c>
      <c r="H613" s="53">
        <v>4.5362390000000001</v>
      </c>
      <c r="I613" s="53">
        <v>4.7232120000000002</v>
      </c>
      <c r="J613" s="53">
        <v>4.8463839999999996</v>
      </c>
      <c r="K613" s="53">
        <v>4.971279</v>
      </c>
      <c r="L613" s="53">
        <v>5.1068850000000001</v>
      </c>
      <c r="M613" s="53">
        <v>5.2683730000000004</v>
      </c>
      <c r="N613" s="53">
        <v>5.4406090000000003</v>
      </c>
      <c r="O613" s="53">
        <v>5.5960340000000004</v>
      </c>
      <c r="P613" s="53">
        <v>5.7449479999999999</v>
      </c>
      <c r="Q613" s="53">
        <v>5.9102709999999998</v>
      </c>
      <c r="R613" s="53">
        <v>6.0525260000000003</v>
      </c>
      <c r="S613" s="53">
        <v>6.1977979999999997</v>
      </c>
      <c r="T613" s="53">
        <v>6.3448060000000002</v>
      </c>
      <c r="U613" s="53">
        <v>6.546996</v>
      </c>
      <c r="V613" s="53">
        <v>6.7336150000000004</v>
      </c>
      <c r="W613" s="53">
        <v>6.8987270000000001</v>
      </c>
      <c r="X613" s="53">
        <v>7.075787</v>
      </c>
      <c r="Y613" s="53">
        <v>7.2366720000000004</v>
      </c>
      <c r="Z613" s="53">
        <v>7.3995699999999998</v>
      </c>
      <c r="AA613" s="53">
        <v>7.5869359999999997</v>
      </c>
      <c r="AB613" s="53">
        <v>7.7939530000000001</v>
      </c>
      <c r="AC613" s="53">
        <v>7.9606260000000004</v>
      </c>
      <c r="AD613" s="53">
        <v>8.1493179999999992</v>
      </c>
      <c r="AE613" s="53">
        <v>8.3951840000000004</v>
      </c>
      <c r="AF613" s="35">
        <v>2.6896E-2</v>
      </c>
      <c r="AG613" s="29"/>
    </row>
    <row r="614" spans="1:33" ht="15" customHeight="1">
      <c r="A614" s="34" t="s">
        <v>3605</v>
      </c>
      <c r="B614" s="37" t="s">
        <v>1469</v>
      </c>
      <c r="C614" s="53">
        <v>7.7162860000000002</v>
      </c>
      <c r="D614" s="53">
        <v>7.709263</v>
      </c>
      <c r="E614" s="53">
        <v>7.8648949999999997</v>
      </c>
      <c r="F614" s="53">
        <v>8.1436410000000006</v>
      </c>
      <c r="G614" s="53">
        <v>8.484648</v>
      </c>
      <c r="H614" s="53">
        <v>8.7732119999999991</v>
      </c>
      <c r="I614" s="53">
        <v>8.9866329999999994</v>
      </c>
      <c r="J614" s="53">
        <v>9.1611530000000005</v>
      </c>
      <c r="K614" s="53">
        <v>9.3120100000000008</v>
      </c>
      <c r="L614" s="53">
        <v>9.4974659999999993</v>
      </c>
      <c r="M614" s="53">
        <v>9.731878</v>
      </c>
      <c r="N614" s="53">
        <v>9.9305420000000009</v>
      </c>
      <c r="O614" s="53">
        <v>10.151617999999999</v>
      </c>
      <c r="P614" s="53">
        <v>10.367514999999999</v>
      </c>
      <c r="Q614" s="53">
        <v>10.526408999999999</v>
      </c>
      <c r="R614" s="53">
        <v>10.676473</v>
      </c>
      <c r="S614" s="53">
        <v>10.818872000000001</v>
      </c>
      <c r="T614" s="53">
        <v>10.880646</v>
      </c>
      <c r="U614" s="53">
        <v>10.965446999999999</v>
      </c>
      <c r="V614" s="53">
        <v>11.090569</v>
      </c>
      <c r="W614" s="53">
        <v>11.151911999999999</v>
      </c>
      <c r="X614" s="53">
        <v>11.153539</v>
      </c>
      <c r="Y614" s="53">
        <v>11.115888999999999</v>
      </c>
      <c r="Z614" s="53">
        <v>11.064164</v>
      </c>
      <c r="AA614" s="53">
        <v>11.067276</v>
      </c>
      <c r="AB614" s="53">
        <v>11.119769</v>
      </c>
      <c r="AC614" s="53">
        <v>11.111763</v>
      </c>
      <c r="AD614" s="53">
        <v>11.123552</v>
      </c>
      <c r="AE614" s="53">
        <v>11.207477000000001</v>
      </c>
      <c r="AF614" s="35">
        <v>1.342E-2</v>
      </c>
      <c r="AG614" s="29"/>
    </row>
    <row r="615" spans="1:33" ht="15" customHeight="1">
      <c r="A615" s="34" t="s">
        <v>3606</v>
      </c>
      <c r="B615" s="37" t="s">
        <v>2727</v>
      </c>
      <c r="C615" s="53">
        <v>24.638365</v>
      </c>
      <c r="D615" s="53">
        <v>22.524878999999999</v>
      </c>
      <c r="E615" s="53">
        <v>22.597335999999999</v>
      </c>
      <c r="F615" s="53">
        <v>22.683558000000001</v>
      </c>
      <c r="G615" s="53">
        <v>22.901956999999999</v>
      </c>
      <c r="H615" s="53">
        <v>23.195395999999999</v>
      </c>
      <c r="I615" s="53">
        <v>23.523491</v>
      </c>
      <c r="J615" s="53">
        <v>23.791080000000001</v>
      </c>
      <c r="K615" s="53">
        <v>24.001068</v>
      </c>
      <c r="L615" s="53">
        <v>24.231691000000001</v>
      </c>
      <c r="M615" s="53">
        <v>24.613085000000002</v>
      </c>
      <c r="N615" s="53">
        <v>25.045850999999999</v>
      </c>
      <c r="O615" s="53">
        <v>25.567513999999999</v>
      </c>
      <c r="P615" s="53">
        <v>26.142150999999998</v>
      </c>
      <c r="Q615" s="53">
        <v>26.762684</v>
      </c>
      <c r="R615" s="53">
        <v>27.393996999999999</v>
      </c>
      <c r="S615" s="53">
        <v>28.079160999999999</v>
      </c>
      <c r="T615" s="53">
        <v>28.830427</v>
      </c>
      <c r="U615" s="53">
        <v>29.653096999999999</v>
      </c>
      <c r="V615" s="53">
        <v>30.578347999999998</v>
      </c>
      <c r="W615" s="53">
        <v>31.544630000000002</v>
      </c>
      <c r="X615" s="53">
        <v>32.551788000000002</v>
      </c>
      <c r="Y615" s="53">
        <v>33.528454000000004</v>
      </c>
      <c r="Z615" s="53">
        <v>34.420647000000002</v>
      </c>
      <c r="AA615" s="53">
        <v>35.303111999999999</v>
      </c>
      <c r="AB615" s="53">
        <v>36.253425999999997</v>
      </c>
      <c r="AC615" s="53">
        <v>37.182461000000004</v>
      </c>
      <c r="AD615" s="53">
        <v>37.969555</v>
      </c>
      <c r="AE615" s="53">
        <v>38.859836999999999</v>
      </c>
      <c r="AF615" s="35">
        <v>1.6407000000000001E-2</v>
      </c>
      <c r="AG615" s="29"/>
    </row>
    <row r="616" spans="1:33" ht="15" customHeight="1">
      <c r="A616" s="34" t="s">
        <v>3607</v>
      </c>
      <c r="B616" s="37" t="s">
        <v>2729</v>
      </c>
      <c r="C616" s="53">
        <v>44.383037999999999</v>
      </c>
      <c r="D616" s="53">
        <v>48.986069000000001</v>
      </c>
      <c r="E616" s="53">
        <v>49.508366000000002</v>
      </c>
      <c r="F616" s="53">
        <v>49.825108</v>
      </c>
      <c r="G616" s="53">
        <v>49.909560999999997</v>
      </c>
      <c r="H616" s="53">
        <v>50.184531999999997</v>
      </c>
      <c r="I616" s="53">
        <v>50.505817</v>
      </c>
      <c r="J616" s="53">
        <v>50.624664000000003</v>
      </c>
      <c r="K616" s="53">
        <v>50.687491999999999</v>
      </c>
      <c r="L616" s="53">
        <v>50.758643999999997</v>
      </c>
      <c r="M616" s="53">
        <v>50.765732</v>
      </c>
      <c r="N616" s="53">
        <v>50.709674999999997</v>
      </c>
      <c r="O616" s="53">
        <v>50.678364000000002</v>
      </c>
      <c r="P616" s="53">
        <v>50.581916999999997</v>
      </c>
      <c r="Q616" s="53">
        <v>50.905380000000001</v>
      </c>
      <c r="R616" s="53">
        <v>50.978530999999997</v>
      </c>
      <c r="S616" s="53">
        <v>51.228157000000003</v>
      </c>
      <c r="T616" s="53">
        <v>51.502566999999999</v>
      </c>
      <c r="U616" s="53">
        <v>52.017375999999999</v>
      </c>
      <c r="V616" s="53">
        <v>52.539341</v>
      </c>
      <c r="W616" s="53">
        <v>52.965136999999999</v>
      </c>
      <c r="X616" s="53">
        <v>53.446795999999999</v>
      </c>
      <c r="Y616" s="53">
        <v>53.925102000000003</v>
      </c>
      <c r="Z616" s="53">
        <v>54.381686999999999</v>
      </c>
      <c r="AA616" s="53">
        <v>54.986217000000003</v>
      </c>
      <c r="AB616" s="53">
        <v>55.629784000000001</v>
      </c>
      <c r="AC616" s="53">
        <v>56.124825000000001</v>
      </c>
      <c r="AD616" s="53">
        <v>56.750881</v>
      </c>
      <c r="AE616" s="53">
        <v>57.633232</v>
      </c>
      <c r="AF616" s="35">
        <v>9.3740000000000004E-3</v>
      </c>
      <c r="AG616" s="29"/>
    </row>
    <row r="617" spans="1:33" ht="15" customHeight="1">
      <c r="A617" s="34" t="s">
        <v>3608</v>
      </c>
      <c r="B617" s="37" t="s">
        <v>2731</v>
      </c>
      <c r="C617" s="53">
        <v>41.793716000000003</v>
      </c>
      <c r="D617" s="53">
        <v>46.245285000000003</v>
      </c>
      <c r="E617" s="53">
        <v>46.692467000000001</v>
      </c>
      <c r="F617" s="53">
        <v>47.014217000000002</v>
      </c>
      <c r="G617" s="53">
        <v>47.140602000000001</v>
      </c>
      <c r="H617" s="53">
        <v>47.431477000000001</v>
      </c>
      <c r="I617" s="53">
        <v>47.763492999999997</v>
      </c>
      <c r="J617" s="53">
        <v>47.908695000000002</v>
      </c>
      <c r="K617" s="53">
        <v>48.003776999999999</v>
      </c>
      <c r="L617" s="53">
        <v>48.094276000000001</v>
      </c>
      <c r="M617" s="53">
        <v>48.130637999999998</v>
      </c>
      <c r="N617" s="53">
        <v>48.096088000000002</v>
      </c>
      <c r="O617" s="53">
        <v>48.088287000000001</v>
      </c>
      <c r="P617" s="53">
        <v>48.035339</v>
      </c>
      <c r="Q617" s="53">
        <v>48.378677000000003</v>
      </c>
      <c r="R617" s="53">
        <v>48.500286000000003</v>
      </c>
      <c r="S617" s="53">
        <v>48.777453999999999</v>
      </c>
      <c r="T617" s="53">
        <v>49.076774999999998</v>
      </c>
      <c r="U617" s="53">
        <v>49.648215999999998</v>
      </c>
      <c r="V617" s="53">
        <v>50.231960000000001</v>
      </c>
      <c r="W617" s="53">
        <v>50.689430000000002</v>
      </c>
      <c r="X617" s="53">
        <v>51.199120000000001</v>
      </c>
      <c r="Y617" s="53">
        <v>51.707306000000003</v>
      </c>
      <c r="Z617" s="53">
        <v>52.191997999999998</v>
      </c>
      <c r="AA617" s="53">
        <v>52.822738999999999</v>
      </c>
      <c r="AB617" s="53">
        <v>53.496513</v>
      </c>
      <c r="AC617" s="53">
        <v>54.028435000000002</v>
      </c>
      <c r="AD617" s="53">
        <v>54.679676000000001</v>
      </c>
      <c r="AE617" s="53">
        <v>55.578803999999998</v>
      </c>
      <c r="AF617" s="35">
        <v>1.0233000000000001E-2</v>
      </c>
      <c r="AG617" s="29"/>
    </row>
    <row r="618" spans="1:33" ht="12" customHeight="1">
      <c r="A618" s="34" t="s">
        <v>3609</v>
      </c>
      <c r="B618" s="37" t="s">
        <v>2733</v>
      </c>
      <c r="C618" s="53">
        <v>2.5893220000000001</v>
      </c>
      <c r="D618" s="53">
        <v>2.7407819999999998</v>
      </c>
      <c r="E618" s="53">
        <v>2.8158979999999998</v>
      </c>
      <c r="F618" s="53">
        <v>2.810889</v>
      </c>
      <c r="G618" s="53">
        <v>2.768958</v>
      </c>
      <c r="H618" s="53">
        <v>2.7530570000000001</v>
      </c>
      <c r="I618" s="53">
        <v>2.742324</v>
      </c>
      <c r="J618" s="53">
        <v>2.7159689999999999</v>
      </c>
      <c r="K618" s="53">
        <v>2.6837149999999999</v>
      </c>
      <c r="L618" s="53">
        <v>2.6643669999999999</v>
      </c>
      <c r="M618" s="53">
        <v>2.6350950000000002</v>
      </c>
      <c r="N618" s="53">
        <v>2.613585</v>
      </c>
      <c r="O618" s="53">
        <v>2.5900780000000001</v>
      </c>
      <c r="P618" s="53">
        <v>2.546576</v>
      </c>
      <c r="Q618" s="53">
        <v>2.5267029999999999</v>
      </c>
      <c r="R618" s="53">
        <v>2.4782440000000001</v>
      </c>
      <c r="S618" s="53">
        <v>2.450704</v>
      </c>
      <c r="T618" s="53">
        <v>2.4257919999999999</v>
      </c>
      <c r="U618" s="53">
        <v>2.3691589999999998</v>
      </c>
      <c r="V618" s="53">
        <v>2.3073800000000002</v>
      </c>
      <c r="W618" s="53">
        <v>2.275706</v>
      </c>
      <c r="X618" s="53">
        <v>2.2476759999999998</v>
      </c>
      <c r="Y618" s="53">
        <v>2.2177959999999999</v>
      </c>
      <c r="Z618" s="53">
        <v>2.1896900000000001</v>
      </c>
      <c r="AA618" s="53">
        <v>2.1634790000000002</v>
      </c>
      <c r="AB618" s="53">
        <v>2.1332689999999999</v>
      </c>
      <c r="AC618" s="53">
        <v>2.0963889999999998</v>
      </c>
      <c r="AD618" s="53">
        <v>2.071205</v>
      </c>
      <c r="AE618" s="53">
        <v>2.054427</v>
      </c>
      <c r="AF618" s="35">
        <v>-8.2299999999999995E-3</v>
      </c>
      <c r="AG618" s="29"/>
    </row>
    <row r="619" spans="1:33" ht="15" customHeight="1">
      <c r="A619" s="34" t="s">
        <v>3610</v>
      </c>
      <c r="B619" s="37" t="s">
        <v>2735</v>
      </c>
      <c r="C619" s="53">
        <v>19.605157999999999</v>
      </c>
      <c r="D619" s="53">
        <v>19.162759999999999</v>
      </c>
      <c r="E619" s="53">
        <v>18.956036000000001</v>
      </c>
      <c r="F619" s="53">
        <v>19.145071000000002</v>
      </c>
      <c r="G619" s="53">
        <v>19.576564999999999</v>
      </c>
      <c r="H619" s="53">
        <v>19.971401</v>
      </c>
      <c r="I619" s="53">
        <v>20.335754000000001</v>
      </c>
      <c r="J619" s="53">
        <v>20.650054999999998</v>
      </c>
      <c r="K619" s="53">
        <v>20.927858000000001</v>
      </c>
      <c r="L619" s="53">
        <v>21.229106999999999</v>
      </c>
      <c r="M619" s="53">
        <v>21.586672</v>
      </c>
      <c r="N619" s="53">
        <v>21.934785999999999</v>
      </c>
      <c r="O619" s="53">
        <v>22.214258000000001</v>
      </c>
      <c r="P619" s="53">
        <v>22.572613</v>
      </c>
      <c r="Q619" s="53">
        <v>22.894563999999999</v>
      </c>
      <c r="R619" s="53">
        <v>23.199406</v>
      </c>
      <c r="S619" s="53">
        <v>23.523257999999998</v>
      </c>
      <c r="T619" s="53">
        <v>23.811198999999998</v>
      </c>
      <c r="U619" s="53">
        <v>24.173862</v>
      </c>
      <c r="V619" s="53">
        <v>24.595044999999999</v>
      </c>
      <c r="W619" s="53">
        <v>24.942088999999999</v>
      </c>
      <c r="X619" s="53">
        <v>25.330606</v>
      </c>
      <c r="Y619" s="53">
        <v>25.658548</v>
      </c>
      <c r="Z619" s="53">
        <v>25.955964999999999</v>
      </c>
      <c r="AA619" s="53">
        <v>26.298013999999998</v>
      </c>
      <c r="AB619" s="53">
        <v>26.663838999999999</v>
      </c>
      <c r="AC619" s="53">
        <v>26.967967999999999</v>
      </c>
      <c r="AD619" s="53">
        <v>27.286004999999999</v>
      </c>
      <c r="AE619" s="53">
        <v>27.77947</v>
      </c>
      <c r="AF619" s="35">
        <v>1.2524E-2</v>
      </c>
      <c r="AG619" s="29"/>
    </row>
    <row r="620" spans="1:33" ht="15" customHeight="1">
      <c r="A620" s="34" t="s">
        <v>3611</v>
      </c>
      <c r="B620" s="37" t="s">
        <v>1479</v>
      </c>
      <c r="C620" s="53">
        <v>9.2058129999999991</v>
      </c>
      <c r="D620" s="53">
        <v>8.7241040000000005</v>
      </c>
      <c r="E620" s="53">
        <v>8.5756549999999994</v>
      </c>
      <c r="F620" s="53">
        <v>8.6835660000000008</v>
      </c>
      <c r="G620" s="53">
        <v>8.8358589999999992</v>
      </c>
      <c r="H620" s="53">
        <v>8.9410589999999992</v>
      </c>
      <c r="I620" s="53">
        <v>9.0363980000000002</v>
      </c>
      <c r="J620" s="53">
        <v>9.1137999999999995</v>
      </c>
      <c r="K620" s="53">
        <v>9.1257339999999996</v>
      </c>
      <c r="L620" s="53">
        <v>9.15123</v>
      </c>
      <c r="M620" s="53">
        <v>9.1713909999999998</v>
      </c>
      <c r="N620" s="53">
        <v>9.1848449999999993</v>
      </c>
      <c r="O620" s="53">
        <v>9.1320350000000001</v>
      </c>
      <c r="P620" s="53">
        <v>9.1545699999999997</v>
      </c>
      <c r="Q620" s="53">
        <v>9.1528220000000005</v>
      </c>
      <c r="R620" s="53">
        <v>9.1448800000000006</v>
      </c>
      <c r="S620" s="53">
        <v>9.1516509999999993</v>
      </c>
      <c r="T620" s="53">
        <v>9.1557919999999999</v>
      </c>
      <c r="U620" s="53">
        <v>9.1674150000000001</v>
      </c>
      <c r="V620" s="53">
        <v>9.1803760000000008</v>
      </c>
      <c r="W620" s="53">
        <v>9.1641639999999995</v>
      </c>
      <c r="X620" s="53">
        <v>9.0941290000000006</v>
      </c>
      <c r="Y620" s="53">
        <v>9.0710979999999992</v>
      </c>
      <c r="Z620" s="53">
        <v>9.0709320000000009</v>
      </c>
      <c r="AA620" s="53">
        <v>9.0548920000000006</v>
      </c>
      <c r="AB620" s="53">
        <v>9.0384390000000003</v>
      </c>
      <c r="AC620" s="53">
        <v>8.9989190000000008</v>
      </c>
      <c r="AD620" s="53">
        <v>8.9549269999999996</v>
      </c>
      <c r="AE620" s="53">
        <v>8.9241109999999999</v>
      </c>
      <c r="AF620" s="35">
        <v>-1.109E-3</v>
      </c>
      <c r="AG620" s="29"/>
    </row>
    <row r="621" spans="1:33" ht="15" customHeight="1">
      <c r="A621" s="34" t="s">
        <v>3612</v>
      </c>
      <c r="B621" s="37" t="s">
        <v>1477</v>
      </c>
      <c r="C621" s="53">
        <v>1.2533840000000001</v>
      </c>
      <c r="D621" s="53">
        <v>1.1667080000000001</v>
      </c>
      <c r="E621" s="53">
        <v>1.1386179999999999</v>
      </c>
      <c r="F621" s="53">
        <v>1.132504</v>
      </c>
      <c r="G621" s="53">
        <v>1.1559740000000001</v>
      </c>
      <c r="H621" s="53">
        <v>1.164285</v>
      </c>
      <c r="I621" s="53">
        <v>1.1670039999999999</v>
      </c>
      <c r="J621" s="53">
        <v>1.168258</v>
      </c>
      <c r="K621" s="53">
        <v>1.161035</v>
      </c>
      <c r="L621" s="53">
        <v>1.157449</v>
      </c>
      <c r="M621" s="53">
        <v>1.1516599999999999</v>
      </c>
      <c r="N621" s="53">
        <v>1.1522669999999999</v>
      </c>
      <c r="O621" s="53">
        <v>1.1498699999999999</v>
      </c>
      <c r="P621" s="53">
        <v>1.1527270000000001</v>
      </c>
      <c r="Q621" s="53">
        <v>1.1509210000000001</v>
      </c>
      <c r="R621" s="53">
        <v>1.147543</v>
      </c>
      <c r="S621" s="53">
        <v>1.148304</v>
      </c>
      <c r="T621" s="53">
        <v>1.1578090000000001</v>
      </c>
      <c r="U621" s="53">
        <v>1.168444</v>
      </c>
      <c r="V621" s="53">
        <v>1.1736770000000001</v>
      </c>
      <c r="W621" s="53">
        <v>1.1784760000000001</v>
      </c>
      <c r="X621" s="53">
        <v>1.1735310000000001</v>
      </c>
      <c r="Y621" s="53">
        <v>1.1722570000000001</v>
      </c>
      <c r="Z621" s="53">
        <v>1.173657</v>
      </c>
      <c r="AA621" s="53">
        <v>1.180315</v>
      </c>
      <c r="AB621" s="53">
        <v>1.179791</v>
      </c>
      <c r="AC621" s="53">
        <v>1.1719029999999999</v>
      </c>
      <c r="AD621" s="53">
        <v>1.1688130000000001</v>
      </c>
      <c r="AE621" s="53">
        <v>1.1690940000000001</v>
      </c>
      <c r="AF621" s="35">
        <v>-2.483E-3</v>
      </c>
      <c r="AG621" s="29"/>
    </row>
    <row r="622" spans="1:33" ht="15" customHeight="1">
      <c r="A622" s="34" t="s">
        <v>3613</v>
      </c>
      <c r="B622" s="37" t="s">
        <v>1465</v>
      </c>
      <c r="C622" s="53">
        <v>1.6581129999999999</v>
      </c>
      <c r="D622" s="53">
        <v>1.5521119999999999</v>
      </c>
      <c r="E622" s="53">
        <v>1.494864</v>
      </c>
      <c r="F622" s="53">
        <v>1.4987630000000001</v>
      </c>
      <c r="G622" s="53">
        <v>1.500408</v>
      </c>
      <c r="H622" s="53">
        <v>1.4831300000000001</v>
      </c>
      <c r="I622" s="53">
        <v>1.4724440000000001</v>
      </c>
      <c r="J622" s="53">
        <v>1.464035</v>
      </c>
      <c r="K622" s="53">
        <v>1.455335</v>
      </c>
      <c r="L622" s="53">
        <v>1.4509529999999999</v>
      </c>
      <c r="M622" s="53">
        <v>1.4399409999999999</v>
      </c>
      <c r="N622" s="53">
        <v>1.423316</v>
      </c>
      <c r="O622" s="53">
        <v>1.406447</v>
      </c>
      <c r="P622" s="53">
        <v>1.4107799999999999</v>
      </c>
      <c r="Q622" s="53">
        <v>1.407519</v>
      </c>
      <c r="R622" s="53">
        <v>1.3993690000000001</v>
      </c>
      <c r="S622" s="53">
        <v>1.3805289999999999</v>
      </c>
      <c r="T622" s="53">
        <v>1.3670599999999999</v>
      </c>
      <c r="U622" s="53">
        <v>1.3575440000000001</v>
      </c>
      <c r="V622" s="53">
        <v>1.3491850000000001</v>
      </c>
      <c r="W622" s="53">
        <v>1.3389200000000001</v>
      </c>
      <c r="X622" s="53">
        <v>1.322006</v>
      </c>
      <c r="Y622" s="53">
        <v>1.312851</v>
      </c>
      <c r="Z622" s="53">
        <v>1.3046720000000001</v>
      </c>
      <c r="AA622" s="53">
        <v>1.293156</v>
      </c>
      <c r="AB622" s="53">
        <v>1.2820290000000001</v>
      </c>
      <c r="AC622" s="53">
        <v>1.268194</v>
      </c>
      <c r="AD622" s="53">
        <v>1.252667</v>
      </c>
      <c r="AE622" s="53">
        <v>1.2393209999999999</v>
      </c>
      <c r="AF622" s="35">
        <v>-1.0343E-2</v>
      </c>
      <c r="AG622" s="29"/>
    </row>
    <row r="623" spans="1:33" ht="15" customHeight="1">
      <c r="A623" s="34" t="s">
        <v>3614</v>
      </c>
      <c r="B623" s="37" t="s">
        <v>2740</v>
      </c>
      <c r="C623" s="53">
        <v>6.2943160000000002</v>
      </c>
      <c r="D623" s="53">
        <v>6.0052849999999998</v>
      </c>
      <c r="E623" s="53">
        <v>5.9421730000000004</v>
      </c>
      <c r="F623" s="53">
        <v>6.0522989999999997</v>
      </c>
      <c r="G623" s="53">
        <v>6.1794779999999996</v>
      </c>
      <c r="H623" s="53">
        <v>6.2936439999999996</v>
      </c>
      <c r="I623" s="53">
        <v>6.3969490000000002</v>
      </c>
      <c r="J623" s="53">
        <v>6.4815060000000004</v>
      </c>
      <c r="K623" s="53">
        <v>6.5093639999999997</v>
      </c>
      <c r="L623" s="53">
        <v>6.5428290000000002</v>
      </c>
      <c r="M623" s="53">
        <v>6.5797910000000002</v>
      </c>
      <c r="N623" s="53">
        <v>6.6092630000000003</v>
      </c>
      <c r="O623" s="53">
        <v>6.5757180000000002</v>
      </c>
      <c r="P623" s="53">
        <v>6.5910630000000001</v>
      </c>
      <c r="Q623" s="53">
        <v>6.5943829999999997</v>
      </c>
      <c r="R623" s="53">
        <v>6.597969</v>
      </c>
      <c r="S623" s="53">
        <v>6.6228179999999996</v>
      </c>
      <c r="T623" s="53">
        <v>6.6309240000000003</v>
      </c>
      <c r="U623" s="53">
        <v>6.6414260000000001</v>
      </c>
      <c r="V623" s="53">
        <v>6.6575150000000001</v>
      </c>
      <c r="W623" s="53">
        <v>6.6467689999999999</v>
      </c>
      <c r="X623" s="53">
        <v>6.5985909999999999</v>
      </c>
      <c r="Y623" s="53">
        <v>6.5859909999999999</v>
      </c>
      <c r="Z623" s="53">
        <v>6.5926030000000004</v>
      </c>
      <c r="AA623" s="53">
        <v>6.5814209999999997</v>
      </c>
      <c r="AB623" s="53">
        <v>6.576619</v>
      </c>
      <c r="AC623" s="53">
        <v>6.5588220000000002</v>
      </c>
      <c r="AD623" s="53">
        <v>6.5334469999999998</v>
      </c>
      <c r="AE623" s="53">
        <v>6.5156960000000002</v>
      </c>
      <c r="AF623" s="35">
        <v>1.235E-3</v>
      </c>
      <c r="AG623" s="29"/>
    </row>
    <row r="624" spans="1:33" ht="15" customHeight="1">
      <c r="A624" s="34" t="s">
        <v>3615</v>
      </c>
      <c r="B624" s="37" t="s">
        <v>2742</v>
      </c>
      <c r="C624" s="53">
        <v>14.639291999999999</v>
      </c>
      <c r="D624" s="53">
        <v>14.547529000000001</v>
      </c>
      <c r="E624" s="53">
        <v>14.652407</v>
      </c>
      <c r="F624" s="53">
        <v>15.127764000000001</v>
      </c>
      <c r="G624" s="53">
        <v>15.806938000000001</v>
      </c>
      <c r="H624" s="53">
        <v>16.274425999999998</v>
      </c>
      <c r="I624" s="53">
        <v>16.586455999999998</v>
      </c>
      <c r="J624" s="53">
        <v>16.795089999999998</v>
      </c>
      <c r="K624" s="53">
        <v>16.921883000000001</v>
      </c>
      <c r="L624" s="53">
        <v>17.083221000000002</v>
      </c>
      <c r="M624" s="53">
        <v>17.291363</v>
      </c>
      <c r="N624" s="53">
        <v>17.417494000000001</v>
      </c>
      <c r="O624" s="53">
        <v>17.610813</v>
      </c>
      <c r="P624" s="53">
        <v>17.826419999999999</v>
      </c>
      <c r="Q624" s="53">
        <v>18.087150999999999</v>
      </c>
      <c r="R624" s="53">
        <v>18.353489</v>
      </c>
      <c r="S624" s="53">
        <v>18.610181999999998</v>
      </c>
      <c r="T624" s="53">
        <v>18.817677</v>
      </c>
      <c r="U624" s="53">
        <v>19.097935</v>
      </c>
      <c r="V624" s="53">
        <v>19.416059000000001</v>
      </c>
      <c r="W624" s="53">
        <v>19.712730000000001</v>
      </c>
      <c r="X624" s="53">
        <v>19.957135999999998</v>
      </c>
      <c r="Y624" s="53">
        <v>20.163332</v>
      </c>
      <c r="Z624" s="53">
        <v>20.383894000000002</v>
      </c>
      <c r="AA624" s="53">
        <v>20.643340999999999</v>
      </c>
      <c r="AB624" s="53">
        <v>20.910029999999999</v>
      </c>
      <c r="AC624" s="53">
        <v>21.095500999999999</v>
      </c>
      <c r="AD624" s="53">
        <v>21.301558</v>
      </c>
      <c r="AE624" s="53">
        <v>21.613865000000001</v>
      </c>
      <c r="AF624" s="35">
        <v>1.4012E-2</v>
      </c>
      <c r="AG624" s="29"/>
    </row>
    <row r="625" spans="1:33" ht="15" customHeight="1">
      <c r="A625" s="34" t="s">
        <v>3616</v>
      </c>
      <c r="B625" s="37" t="s">
        <v>1464</v>
      </c>
      <c r="C625" s="53">
        <v>5.8286619999999996</v>
      </c>
      <c r="D625" s="53">
        <v>5.8109200000000003</v>
      </c>
      <c r="E625" s="53">
        <v>5.8095999999999997</v>
      </c>
      <c r="F625" s="53">
        <v>6.0185750000000002</v>
      </c>
      <c r="G625" s="53">
        <v>6.4111469999999997</v>
      </c>
      <c r="H625" s="53">
        <v>6.6617189999999997</v>
      </c>
      <c r="I625" s="53">
        <v>6.8156299999999996</v>
      </c>
      <c r="J625" s="53">
        <v>6.9430269999999998</v>
      </c>
      <c r="K625" s="53">
        <v>7.0076409999999996</v>
      </c>
      <c r="L625" s="53">
        <v>7.1029289999999996</v>
      </c>
      <c r="M625" s="53">
        <v>7.2547730000000001</v>
      </c>
      <c r="N625" s="53">
        <v>7.3127199999999997</v>
      </c>
      <c r="O625" s="53">
        <v>7.4054029999999997</v>
      </c>
      <c r="P625" s="53">
        <v>7.4986189999999997</v>
      </c>
      <c r="Q625" s="53">
        <v>7.6335879999999996</v>
      </c>
      <c r="R625" s="53">
        <v>7.7920090000000002</v>
      </c>
      <c r="S625" s="53">
        <v>7.9100029999999997</v>
      </c>
      <c r="T625" s="53">
        <v>7.9718869999999997</v>
      </c>
      <c r="U625" s="53">
        <v>8.10778</v>
      </c>
      <c r="V625" s="53">
        <v>8.2714040000000004</v>
      </c>
      <c r="W625" s="53">
        <v>8.4158930000000005</v>
      </c>
      <c r="X625" s="53">
        <v>8.5225190000000008</v>
      </c>
      <c r="Y625" s="53">
        <v>8.5977300000000003</v>
      </c>
      <c r="Z625" s="53">
        <v>8.6523199999999996</v>
      </c>
      <c r="AA625" s="53">
        <v>8.7411790000000007</v>
      </c>
      <c r="AB625" s="53">
        <v>8.862368</v>
      </c>
      <c r="AC625" s="53">
        <v>8.9454980000000006</v>
      </c>
      <c r="AD625" s="53">
        <v>9.0346969999999995</v>
      </c>
      <c r="AE625" s="53">
        <v>9.2032579999999999</v>
      </c>
      <c r="AF625" s="35">
        <v>1.6447E-2</v>
      </c>
      <c r="AG625" s="29"/>
    </row>
    <row r="626" spans="1:33" ht="15" customHeight="1">
      <c r="A626" s="34" t="s">
        <v>3617</v>
      </c>
      <c r="B626" s="37" t="s">
        <v>1482</v>
      </c>
      <c r="C626" s="53">
        <v>3.2853020000000002</v>
      </c>
      <c r="D626" s="53">
        <v>3.2366999999999999</v>
      </c>
      <c r="E626" s="53">
        <v>3.2522509999999998</v>
      </c>
      <c r="F626" s="53">
        <v>3.3410329999999999</v>
      </c>
      <c r="G626" s="53">
        <v>3.4480270000000002</v>
      </c>
      <c r="H626" s="53">
        <v>3.5224950000000002</v>
      </c>
      <c r="I626" s="53">
        <v>3.579024</v>
      </c>
      <c r="J626" s="53">
        <v>3.6006930000000001</v>
      </c>
      <c r="K626" s="53">
        <v>3.6054059999999999</v>
      </c>
      <c r="L626" s="53">
        <v>3.621032</v>
      </c>
      <c r="M626" s="53">
        <v>3.6446529999999999</v>
      </c>
      <c r="N626" s="53">
        <v>3.674315</v>
      </c>
      <c r="O626" s="53">
        <v>3.7281810000000002</v>
      </c>
      <c r="P626" s="53">
        <v>3.7803209999999998</v>
      </c>
      <c r="Q626" s="53">
        <v>3.8222269999999998</v>
      </c>
      <c r="R626" s="53">
        <v>3.853437</v>
      </c>
      <c r="S626" s="53">
        <v>3.9041269999999999</v>
      </c>
      <c r="T626" s="53">
        <v>3.9338570000000002</v>
      </c>
      <c r="U626" s="53">
        <v>3.9655969999999998</v>
      </c>
      <c r="V626" s="53">
        <v>4.0177829999999997</v>
      </c>
      <c r="W626" s="53">
        <v>4.0793619999999997</v>
      </c>
      <c r="X626" s="53">
        <v>4.1227999999999998</v>
      </c>
      <c r="Y626" s="53">
        <v>4.1481349999999999</v>
      </c>
      <c r="Z626" s="53">
        <v>4.1977779999999996</v>
      </c>
      <c r="AA626" s="53">
        <v>4.255719</v>
      </c>
      <c r="AB626" s="53">
        <v>4.3061530000000001</v>
      </c>
      <c r="AC626" s="53">
        <v>4.319763</v>
      </c>
      <c r="AD626" s="53">
        <v>4.3480239999999997</v>
      </c>
      <c r="AE626" s="53">
        <v>4.4085179999999999</v>
      </c>
      <c r="AF626" s="35">
        <v>1.0558E-2</v>
      </c>
      <c r="AG626" s="29"/>
    </row>
    <row r="627" spans="1:33" ht="15" customHeight="1">
      <c r="A627" s="34" t="s">
        <v>3618</v>
      </c>
      <c r="B627" s="37" t="s">
        <v>1486</v>
      </c>
      <c r="C627" s="53">
        <v>5.5253269999999999</v>
      </c>
      <c r="D627" s="53">
        <v>5.4999079999999996</v>
      </c>
      <c r="E627" s="53">
        <v>5.5905560000000003</v>
      </c>
      <c r="F627" s="53">
        <v>5.7681560000000003</v>
      </c>
      <c r="G627" s="53">
        <v>5.9477650000000004</v>
      </c>
      <c r="H627" s="53">
        <v>6.090211</v>
      </c>
      <c r="I627" s="53">
        <v>6.1918030000000002</v>
      </c>
      <c r="J627" s="53">
        <v>6.2513690000000004</v>
      </c>
      <c r="K627" s="53">
        <v>6.3088360000000003</v>
      </c>
      <c r="L627" s="53">
        <v>6.3592599999999999</v>
      </c>
      <c r="M627" s="53">
        <v>6.3919370000000004</v>
      </c>
      <c r="N627" s="53">
        <v>6.4304589999999999</v>
      </c>
      <c r="O627" s="53">
        <v>6.4772290000000003</v>
      </c>
      <c r="P627" s="53">
        <v>6.5474800000000002</v>
      </c>
      <c r="Q627" s="53">
        <v>6.6313339999999998</v>
      </c>
      <c r="R627" s="53">
        <v>6.7080419999999998</v>
      </c>
      <c r="S627" s="53">
        <v>6.7960529999999997</v>
      </c>
      <c r="T627" s="53">
        <v>6.9119330000000003</v>
      </c>
      <c r="U627" s="53">
        <v>7.0245579999999999</v>
      </c>
      <c r="V627" s="53">
        <v>7.1268719999999997</v>
      </c>
      <c r="W627" s="53">
        <v>7.2174759999999996</v>
      </c>
      <c r="X627" s="53">
        <v>7.3118169999999996</v>
      </c>
      <c r="Y627" s="53">
        <v>7.4174670000000003</v>
      </c>
      <c r="Z627" s="53">
        <v>7.5337959999999997</v>
      </c>
      <c r="AA627" s="53">
        <v>7.6464410000000003</v>
      </c>
      <c r="AB627" s="53">
        <v>7.7415099999999999</v>
      </c>
      <c r="AC627" s="53">
        <v>7.8302389999999997</v>
      </c>
      <c r="AD627" s="53">
        <v>7.9188359999999998</v>
      </c>
      <c r="AE627" s="53">
        <v>8.0020900000000008</v>
      </c>
      <c r="AF627" s="35">
        <v>1.3315E-2</v>
      </c>
      <c r="AG627" s="29"/>
    </row>
    <row r="628" spans="1:33" ht="15" customHeight="1">
      <c r="A628" s="34" t="s">
        <v>3619</v>
      </c>
      <c r="B628" s="37" t="s">
        <v>2747</v>
      </c>
      <c r="C628" s="53">
        <v>26.263902999999999</v>
      </c>
      <c r="D628" s="53">
        <v>25.778378</v>
      </c>
      <c r="E628" s="53">
        <v>25.600653000000001</v>
      </c>
      <c r="F628" s="53">
        <v>26.108156000000001</v>
      </c>
      <c r="G628" s="53">
        <v>26.972094999999999</v>
      </c>
      <c r="H628" s="53">
        <v>27.804348000000001</v>
      </c>
      <c r="I628" s="53">
        <v>28.333677000000002</v>
      </c>
      <c r="J628" s="53">
        <v>28.676231000000001</v>
      </c>
      <c r="K628" s="53">
        <v>28.958808999999999</v>
      </c>
      <c r="L628" s="53">
        <v>29.369781</v>
      </c>
      <c r="M628" s="53">
        <v>30.002516</v>
      </c>
      <c r="N628" s="53">
        <v>30.501324</v>
      </c>
      <c r="O628" s="53">
        <v>30.871873999999998</v>
      </c>
      <c r="P628" s="53">
        <v>31.426459999999999</v>
      </c>
      <c r="Q628" s="53">
        <v>32.048949999999998</v>
      </c>
      <c r="R628" s="53">
        <v>32.698509000000001</v>
      </c>
      <c r="S628" s="53">
        <v>33.380661000000003</v>
      </c>
      <c r="T628" s="53">
        <v>33.833035000000002</v>
      </c>
      <c r="U628" s="53">
        <v>34.365077999999997</v>
      </c>
      <c r="V628" s="53">
        <v>35.053019999999997</v>
      </c>
      <c r="W628" s="53">
        <v>35.571102000000003</v>
      </c>
      <c r="X628" s="53">
        <v>35.997912999999997</v>
      </c>
      <c r="Y628" s="53">
        <v>36.258194000000003</v>
      </c>
      <c r="Z628" s="53">
        <v>36.377533</v>
      </c>
      <c r="AA628" s="53">
        <v>36.525753000000002</v>
      </c>
      <c r="AB628" s="53">
        <v>36.805618000000003</v>
      </c>
      <c r="AC628" s="53">
        <v>36.913567</v>
      </c>
      <c r="AD628" s="53">
        <v>36.903663999999999</v>
      </c>
      <c r="AE628" s="53">
        <v>37.388680000000001</v>
      </c>
      <c r="AF628" s="35">
        <v>1.2692999999999999E-2</v>
      </c>
      <c r="AG628" s="29"/>
    </row>
    <row r="629" spans="1:33" ht="15" customHeight="1">
      <c r="A629" s="34" t="s">
        <v>3620</v>
      </c>
      <c r="B629" s="37" t="s">
        <v>2749</v>
      </c>
      <c r="C629" s="53">
        <v>62.577381000000003</v>
      </c>
      <c r="D629" s="53">
        <v>61.677455999999999</v>
      </c>
      <c r="E629" s="53">
        <v>61.762852000000002</v>
      </c>
      <c r="F629" s="53">
        <v>62.561539000000003</v>
      </c>
      <c r="G629" s="53">
        <v>64.904724000000002</v>
      </c>
      <c r="H629" s="53">
        <v>66.976112000000001</v>
      </c>
      <c r="I629" s="53">
        <v>67.902229000000005</v>
      </c>
      <c r="J629" s="53">
        <v>68.719093000000001</v>
      </c>
      <c r="K629" s="53">
        <v>69.544739000000007</v>
      </c>
      <c r="L629" s="53">
        <v>70.767937000000003</v>
      </c>
      <c r="M629" s="53">
        <v>72.724388000000005</v>
      </c>
      <c r="N629" s="53">
        <v>74.237838999999994</v>
      </c>
      <c r="O629" s="53">
        <v>75.531761000000003</v>
      </c>
      <c r="P629" s="53">
        <v>77.034958000000003</v>
      </c>
      <c r="Q629" s="53">
        <v>78.441947999999996</v>
      </c>
      <c r="R629" s="53">
        <v>79.813147999999998</v>
      </c>
      <c r="S629" s="53">
        <v>81.183646999999993</v>
      </c>
      <c r="T629" s="53">
        <v>82.327727999999993</v>
      </c>
      <c r="U629" s="53">
        <v>83.482613000000001</v>
      </c>
      <c r="V629" s="53">
        <v>84.827895999999996</v>
      </c>
      <c r="W629" s="53">
        <v>86.018707000000006</v>
      </c>
      <c r="X629" s="53">
        <v>86.969513000000006</v>
      </c>
      <c r="Y629" s="53">
        <v>87.710967999999994</v>
      </c>
      <c r="Z629" s="53">
        <v>88.333549000000005</v>
      </c>
      <c r="AA629" s="53">
        <v>89.337745999999996</v>
      </c>
      <c r="AB629" s="53">
        <v>90.451515000000001</v>
      </c>
      <c r="AC629" s="53">
        <v>91.471100000000007</v>
      </c>
      <c r="AD629" s="53">
        <v>92.175072</v>
      </c>
      <c r="AE629" s="53">
        <v>93.486305000000002</v>
      </c>
      <c r="AF629" s="35">
        <v>1.4439E-2</v>
      </c>
      <c r="AG629" s="29"/>
    </row>
    <row r="630" spans="1:33" ht="15" customHeight="1">
      <c r="A630" s="34" t="s">
        <v>3621</v>
      </c>
      <c r="B630" s="37" t="s">
        <v>2751</v>
      </c>
      <c r="C630" s="53">
        <v>36.211368999999998</v>
      </c>
      <c r="D630" s="53">
        <v>36.885283999999999</v>
      </c>
      <c r="E630" s="53">
        <v>38.040005000000001</v>
      </c>
      <c r="F630" s="53">
        <v>39.316113000000001</v>
      </c>
      <c r="G630" s="53">
        <v>40.719462999999998</v>
      </c>
      <c r="H630" s="53">
        <v>42.122692000000001</v>
      </c>
      <c r="I630" s="53">
        <v>43.234886000000003</v>
      </c>
      <c r="J630" s="53">
        <v>43.892620000000001</v>
      </c>
      <c r="K630" s="53">
        <v>44.359138000000002</v>
      </c>
      <c r="L630" s="53">
        <v>44.998309999999996</v>
      </c>
      <c r="M630" s="53">
        <v>45.66357</v>
      </c>
      <c r="N630" s="53">
        <v>46.432944999999997</v>
      </c>
      <c r="O630" s="53">
        <v>47.184024999999998</v>
      </c>
      <c r="P630" s="53">
        <v>47.970768</v>
      </c>
      <c r="Q630" s="53">
        <v>48.952618000000001</v>
      </c>
      <c r="R630" s="53">
        <v>50.032169000000003</v>
      </c>
      <c r="S630" s="53">
        <v>51.221336000000001</v>
      </c>
      <c r="T630" s="53">
        <v>52.381577</v>
      </c>
      <c r="U630" s="53">
        <v>53.828732000000002</v>
      </c>
      <c r="V630" s="53">
        <v>55.251559999999998</v>
      </c>
      <c r="W630" s="53">
        <v>56.427647</v>
      </c>
      <c r="X630" s="53">
        <v>57.705212000000003</v>
      </c>
      <c r="Y630" s="53">
        <v>58.937237000000003</v>
      </c>
      <c r="Z630" s="53">
        <v>60.097866000000003</v>
      </c>
      <c r="AA630" s="53">
        <v>61.288395000000001</v>
      </c>
      <c r="AB630" s="53">
        <v>62.520763000000002</v>
      </c>
      <c r="AC630" s="53">
        <v>63.687747999999999</v>
      </c>
      <c r="AD630" s="53">
        <v>64.980225000000004</v>
      </c>
      <c r="AE630" s="53">
        <v>66.446762000000007</v>
      </c>
      <c r="AF630" s="35">
        <v>2.1916000000000001E-2</v>
      </c>
      <c r="AG630" s="29"/>
    </row>
    <row r="631" spans="1:33" ht="12" customHeight="1">
      <c r="A631" s="34" t="s">
        <v>3622</v>
      </c>
      <c r="B631" s="37" t="s">
        <v>2753</v>
      </c>
      <c r="C631" s="53">
        <v>68.006873999999996</v>
      </c>
      <c r="D631" s="53">
        <v>69.930297999999993</v>
      </c>
      <c r="E631" s="53">
        <v>70.595764000000003</v>
      </c>
      <c r="F631" s="53">
        <v>70.250061000000002</v>
      </c>
      <c r="G631" s="53">
        <v>70.494063999999995</v>
      </c>
      <c r="H631" s="53">
        <v>71.752983</v>
      </c>
      <c r="I631" s="53">
        <v>72.727356</v>
      </c>
      <c r="J631" s="53">
        <v>73.243423000000007</v>
      </c>
      <c r="K631" s="53">
        <v>73.956183999999993</v>
      </c>
      <c r="L631" s="53">
        <v>75.163466999999997</v>
      </c>
      <c r="M631" s="53">
        <v>77.005111999999997</v>
      </c>
      <c r="N631" s="53">
        <v>78.655670000000001</v>
      </c>
      <c r="O631" s="53">
        <v>79.896324000000007</v>
      </c>
      <c r="P631" s="53">
        <v>81.275672999999998</v>
      </c>
      <c r="Q631" s="53">
        <v>82.612403999999998</v>
      </c>
      <c r="R631" s="53">
        <v>83.442718999999997</v>
      </c>
      <c r="S631" s="53">
        <v>84.496146999999993</v>
      </c>
      <c r="T631" s="53">
        <v>85.459343000000004</v>
      </c>
      <c r="U631" s="53">
        <v>86.743354999999994</v>
      </c>
      <c r="V631" s="53">
        <v>88.334236000000004</v>
      </c>
      <c r="W631" s="53">
        <v>89.846466000000007</v>
      </c>
      <c r="X631" s="53">
        <v>91.156127999999995</v>
      </c>
      <c r="Y631" s="53">
        <v>92.238242999999997</v>
      </c>
      <c r="Z631" s="53">
        <v>93.346489000000005</v>
      </c>
      <c r="AA631" s="53">
        <v>94.784987999999998</v>
      </c>
      <c r="AB631" s="53">
        <v>96.323227000000003</v>
      </c>
      <c r="AC631" s="53">
        <v>97.700599999999994</v>
      </c>
      <c r="AD631" s="53">
        <v>99.016768999999996</v>
      </c>
      <c r="AE631" s="53">
        <v>100.676811</v>
      </c>
      <c r="AF631" s="35">
        <v>1.4109999999999999E-2</v>
      </c>
      <c r="AG631" s="29"/>
    </row>
    <row r="632" spans="1:33" ht="15" customHeight="1">
      <c r="A632" s="34" t="s">
        <v>3623</v>
      </c>
      <c r="B632" s="37" t="s">
        <v>2755</v>
      </c>
      <c r="C632" s="53">
        <v>12.791795</v>
      </c>
      <c r="D632" s="53">
        <v>12.755997000000001</v>
      </c>
      <c r="E632" s="53">
        <v>12.89171</v>
      </c>
      <c r="F632" s="53">
        <v>13.171379</v>
      </c>
      <c r="G632" s="53">
        <v>13.436453</v>
      </c>
      <c r="H632" s="53">
        <v>13.655158999999999</v>
      </c>
      <c r="I632" s="53">
        <v>13.807759000000001</v>
      </c>
      <c r="J632" s="53">
        <v>13.881792000000001</v>
      </c>
      <c r="K632" s="53">
        <v>13.955181</v>
      </c>
      <c r="L632" s="53">
        <v>13.946408999999999</v>
      </c>
      <c r="M632" s="53">
        <v>14.108479000000001</v>
      </c>
      <c r="N632" s="53">
        <v>14.380283</v>
      </c>
      <c r="O632" s="53">
        <v>14.622149</v>
      </c>
      <c r="P632" s="53">
        <v>14.895333000000001</v>
      </c>
      <c r="Q632" s="53">
        <v>15.201179</v>
      </c>
      <c r="R632" s="53">
        <v>15.434816</v>
      </c>
      <c r="S632" s="53">
        <v>15.737781999999999</v>
      </c>
      <c r="T632" s="53">
        <v>16.025082000000001</v>
      </c>
      <c r="U632" s="53">
        <v>16.375979999999998</v>
      </c>
      <c r="V632" s="53">
        <v>16.735430000000001</v>
      </c>
      <c r="W632" s="53">
        <v>17.023168999999999</v>
      </c>
      <c r="X632" s="53">
        <v>17.330252000000002</v>
      </c>
      <c r="Y632" s="53">
        <v>17.615245999999999</v>
      </c>
      <c r="Z632" s="53">
        <v>17.887955000000002</v>
      </c>
      <c r="AA632" s="53">
        <v>18.169409000000002</v>
      </c>
      <c r="AB632" s="53">
        <v>18.469536000000002</v>
      </c>
      <c r="AC632" s="53">
        <v>18.760393000000001</v>
      </c>
      <c r="AD632" s="53">
        <v>19.034023000000001</v>
      </c>
      <c r="AE632" s="53">
        <v>19.389544999999998</v>
      </c>
      <c r="AF632" s="35">
        <v>1.4966E-2</v>
      </c>
      <c r="AG632" s="29"/>
    </row>
    <row r="633" spans="1:33" ht="15" customHeight="1">
      <c r="A633" s="34" t="s">
        <v>3624</v>
      </c>
      <c r="B633" s="37" t="s">
        <v>1475</v>
      </c>
      <c r="C633" s="53">
        <v>12.086295</v>
      </c>
      <c r="D633" s="53">
        <v>11.923314</v>
      </c>
      <c r="E633" s="53">
        <v>11.909919</v>
      </c>
      <c r="F633" s="53">
        <v>11.557449999999999</v>
      </c>
      <c r="G633" s="53">
        <v>11.396799</v>
      </c>
      <c r="H633" s="53">
        <v>11.389956</v>
      </c>
      <c r="I633" s="53">
        <v>11.500805</v>
      </c>
      <c r="J633" s="53">
        <v>11.608309999999999</v>
      </c>
      <c r="K633" s="53">
        <v>11.731028999999999</v>
      </c>
      <c r="L633" s="53">
        <v>11.868081999999999</v>
      </c>
      <c r="M633" s="53">
        <v>12.058691</v>
      </c>
      <c r="N633" s="53">
        <v>12.267780999999999</v>
      </c>
      <c r="O633" s="53">
        <v>12.465249</v>
      </c>
      <c r="P633" s="53">
        <v>12.633274</v>
      </c>
      <c r="Q633" s="53">
        <v>12.789946</v>
      </c>
      <c r="R633" s="53">
        <v>12.953690999999999</v>
      </c>
      <c r="S633" s="53">
        <v>13.151503999999999</v>
      </c>
      <c r="T633" s="53">
        <v>13.298370999999999</v>
      </c>
      <c r="U633" s="53">
        <v>13.499447999999999</v>
      </c>
      <c r="V633" s="53">
        <v>13.680244</v>
      </c>
      <c r="W633" s="53">
        <v>13.861815999999999</v>
      </c>
      <c r="X633" s="53">
        <v>14.043087999999999</v>
      </c>
      <c r="Y633" s="53">
        <v>14.189845</v>
      </c>
      <c r="Z633" s="53">
        <v>14.346489999999999</v>
      </c>
      <c r="AA633" s="53">
        <v>14.516639</v>
      </c>
      <c r="AB633" s="53">
        <v>14.71081</v>
      </c>
      <c r="AC633" s="53">
        <v>14.883048</v>
      </c>
      <c r="AD633" s="53">
        <v>15.034554</v>
      </c>
      <c r="AE633" s="53">
        <v>15.278198</v>
      </c>
      <c r="AF633" s="35">
        <v>8.4049999999999993E-3</v>
      </c>
      <c r="AG633" s="29"/>
    </row>
    <row r="634" spans="1:33" ht="12" customHeight="1">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row>
    <row r="635" spans="1:33" ht="15" customHeight="1">
      <c r="A635" s="34" t="s">
        <v>3625</v>
      </c>
      <c r="B635" s="33" t="s">
        <v>2758</v>
      </c>
      <c r="C635" s="40">
        <v>718.38366699999995</v>
      </c>
      <c r="D635" s="40">
        <v>718.01159700000005</v>
      </c>
      <c r="E635" s="40">
        <v>719.22674600000005</v>
      </c>
      <c r="F635" s="40">
        <v>727.13482699999997</v>
      </c>
      <c r="G635" s="40">
        <v>738.61010699999997</v>
      </c>
      <c r="H635" s="40">
        <v>749.45098900000005</v>
      </c>
      <c r="I635" s="40">
        <v>759.14300500000002</v>
      </c>
      <c r="J635" s="40">
        <v>767.80578600000001</v>
      </c>
      <c r="K635" s="40">
        <v>775.73394800000005</v>
      </c>
      <c r="L635" s="40">
        <v>783.79754600000001</v>
      </c>
      <c r="M635" s="40">
        <v>793.41906700000004</v>
      </c>
      <c r="N635" s="40">
        <v>802.29272500000002</v>
      </c>
      <c r="O635" s="40">
        <v>810.34832800000004</v>
      </c>
      <c r="P635" s="40">
        <v>820.63586399999997</v>
      </c>
      <c r="Q635" s="40">
        <v>831.49670400000002</v>
      </c>
      <c r="R635" s="40">
        <v>842.20782499999996</v>
      </c>
      <c r="S635" s="40">
        <v>854.02838099999997</v>
      </c>
      <c r="T635" s="40">
        <v>864.73120100000006</v>
      </c>
      <c r="U635" s="40">
        <v>877.27636700000005</v>
      </c>
      <c r="V635" s="40">
        <v>890.71154799999999</v>
      </c>
      <c r="W635" s="40">
        <v>903.037598</v>
      </c>
      <c r="X635" s="40">
        <v>914.48333700000001</v>
      </c>
      <c r="Y635" s="40">
        <v>924.92498799999998</v>
      </c>
      <c r="Z635" s="40">
        <v>935.09240699999998</v>
      </c>
      <c r="AA635" s="40">
        <v>946.71417199999996</v>
      </c>
      <c r="AB635" s="40">
        <v>958.57403599999998</v>
      </c>
      <c r="AC635" s="40">
        <v>969.14776600000005</v>
      </c>
      <c r="AD635" s="40">
        <v>979.83471699999996</v>
      </c>
      <c r="AE635" s="40">
        <v>993.91485599999999</v>
      </c>
      <c r="AF635" s="31">
        <v>1.1662E-2</v>
      </c>
      <c r="AG635" s="29"/>
    </row>
    <row r="636" spans="1:33" ht="15" customHeight="1">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row>
    <row r="637" spans="1:33" ht="15" customHeight="1" thickBot="1">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row>
    <row r="638" spans="1:33" ht="15" customHeight="1">
      <c r="B638" s="54" t="s">
        <v>2584</v>
      </c>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29"/>
    </row>
    <row r="639" spans="1:33" ht="15" customHeight="1">
      <c r="B639" s="29" t="s">
        <v>2759</v>
      </c>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row>
    <row r="640" spans="1:33" ht="15" customHeight="1">
      <c r="B640" s="29" t="s">
        <v>2760</v>
      </c>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row>
    <row r="641" spans="2:33" ht="15" customHeight="1">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row>
    <row r="642" spans="2:33" ht="15" customHeight="1">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row>
    <row r="643" spans="2:33" ht="15" customHeight="1">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row>
    <row r="644" spans="2:33" ht="15" customHeight="1">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row>
    <row r="645" spans="2:33" ht="15" customHeight="1">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row>
    <row r="646" spans="2:33" ht="15" customHeight="1">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row>
    <row r="647" spans="2:33" ht="15" customHeight="1">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row>
    <row r="648" spans="2:33" ht="15" customHeight="1">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row>
    <row r="649" spans="2:33" ht="15" customHeight="1">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row>
    <row r="650" spans="2:33" ht="15" customHeight="1">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row>
    <row r="651" spans="2:33" ht="15" customHeight="1">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row>
    <row r="652" spans="2:33" ht="15" customHeight="1">
      <c r="B652" s="2185"/>
      <c r="C652" s="2185"/>
      <c r="D652" s="2185"/>
      <c r="E652" s="2185"/>
      <c r="F652" s="2185"/>
      <c r="G652" s="2185"/>
      <c r="H652" s="2185"/>
      <c r="I652" s="2185"/>
      <c r="J652" s="2185"/>
      <c r="K652" s="2185"/>
      <c r="L652" s="2185"/>
      <c r="M652" s="2185"/>
      <c r="N652" s="2185"/>
      <c r="O652" s="2185"/>
      <c r="P652" s="2185"/>
      <c r="Q652" s="2185"/>
      <c r="R652" s="2185"/>
      <c r="S652" s="2185"/>
      <c r="T652" s="2185"/>
      <c r="U652" s="2185"/>
      <c r="V652" s="2185"/>
      <c r="W652" s="2185"/>
      <c r="X652" s="2185"/>
      <c r="Y652" s="2185"/>
      <c r="Z652" s="2185"/>
      <c r="AA652" s="2185"/>
      <c r="AB652" s="2185"/>
      <c r="AC652" s="2185"/>
      <c r="AD652" s="2185"/>
      <c r="AE652" s="2185"/>
      <c r="AF652" s="2185"/>
      <c r="AG652" s="29"/>
    </row>
    <row r="653" spans="2:33" ht="15" customHeight="1">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row>
    <row r="654" spans="2:33" ht="15" customHeight="1">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row>
    <row r="655" spans="2:33" ht="15" customHeight="1">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row>
    <row r="656" spans="2:33" ht="15" customHeight="1">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row>
    <row r="657" spans="2:33" ht="15" customHeight="1">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row>
    <row r="658" spans="2:33" ht="15" customHeight="1">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row>
    <row r="659" spans="2:33" ht="15" customHeight="1">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row>
    <row r="660" spans="2:33" ht="15" customHeight="1">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row>
    <row r="661" spans="2:33" ht="15" customHeight="1">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row>
    <row r="662" spans="2:33" ht="15" customHeight="1">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row>
    <row r="663" spans="2:33" ht="15" customHeight="1">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row>
    <row r="664" spans="2:33" ht="15" customHeight="1">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row>
    <row r="665" spans="2:33" ht="12" customHeight="1">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row>
    <row r="666" spans="2:33" ht="12" customHeight="1">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row>
    <row r="667" spans="2:33" ht="12" customHeight="1">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row>
    <row r="668" spans="2:33" ht="12" customHeight="1">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row>
    <row r="669" spans="2:33" ht="12" customHeight="1">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row>
    <row r="670" spans="2:33" ht="12" customHeight="1">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row>
    <row r="671" spans="2:33" ht="12" customHeight="1">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row>
    <row r="672" spans="2:33" ht="12" customHeight="1">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row>
    <row r="673" spans="2:33" ht="12" customHeight="1">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row>
    <row r="674" spans="2:33" ht="12" customHeight="1">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row>
    <row r="675" spans="2:33" ht="15" customHeight="1">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row>
    <row r="676" spans="2:33" ht="15" customHeight="1">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row>
    <row r="677" spans="2:33" ht="15" customHeight="1">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row>
    <row r="678" spans="2:33" ht="15" customHeight="1">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row>
    <row r="679" spans="2:33" ht="15" customHeight="1">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row>
    <row r="680" spans="2:33" ht="15" customHeight="1">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row>
    <row r="681" spans="2:33" ht="12" customHeight="1">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row>
    <row r="682" spans="2:33" ht="15" customHeight="1">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row>
    <row r="683" spans="2:33" ht="15" customHeight="1">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row>
    <row r="684" spans="2:33" ht="15" customHeight="1">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row>
    <row r="685" spans="2:33" ht="15" customHeight="1">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row>
    <row r="686" spans="2:33" ht="15" customHeight="1">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row>
    <row r="687" spans="2:33" ht="15" customHeight="1">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row>
    <row r="688" spans="2:33" ht="15" customHeight="1">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row>
    <row r="689" spans="2:33" ht="15" customHeight="1">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row>
    <row r="690" spans="2:33" ht="15" customHeight="1">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row>
    <row r="691" spans="2:33" ht="15" customHeight="1">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row>
    <row r="692" spans="2:33" ht="15" customHeight="1">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row>
    <row r="693" spans="2:33" ht="15" customHeight="1">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row>
    <row r="694" spans="2:33" ht="12" customHeight="1">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row>
    <row r="695" spans="2:33" ht="15" customHeight="1">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row>
    <row r="696" spans="2:33" ht="15" customHeight="1">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row>
    <row r="697" spans="2:33" ht="15" customHeight="1">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row>
    <row r="698" spans="2:33" ht="15" customHeight="1">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row>
    <row r="699" spans="2:33" ht="15" customHeight="1">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row>
    <row r="700" spans="2:33" ht="15" customHeight="1">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row>
    <row r="701" spans="2:33" ht="15" customHeight="1">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row>
    <row r="702" spans="2:33" ht="15" customHeight="1">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row>
    <row r="703" spans="2:33" ht="15" customHeight="1">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row>
    <row r="704" spans="2:33" ht="15" customHeight="1">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row>
    <row r="705" spans="2:33" ht="15" customHeight="1">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row>
    <row r="706" spans="2:33" ht="15" customHeight="1">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row>
    <row r="707" spans="2:33" ht="15" customHeight="1">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row>
    <row r="708" spans="2:33" ht="12" customHeight="1">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row>
    <row r="709" spans="2:33" ht="15" customHeight="1">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row>
    <row r="710" spans="2:33" ht="15" customHeight="1">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row>
    <row r="711" spans="2:33" ht="12" customHeight="1">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row>
    <row r="712" spans="2:33" ht="15" customHeight="1">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row>
    <row r="713" spans="2:33" ht="15" customHeight="1">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row>
    <row r="714" spans="2:33" ht="15" customHeight="1">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row>
    <row r="715" spans="2:33" ht="15" customHeight="1">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row>
    <row r="716" spans="2:33" ht="15" customHeight="1">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row>
    <row r="717" spans="2:33" ht="15" customHeight="1">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row>
    <row r="718" spans="2:33" ht="15" customHeight="1">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row>
    <row r="719" spans="2:33" ht="15" customHeight="1">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row>
    <row r="720" spans="2:33" ht="15" customHeight="1">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row>
    <row r="721" spans="1:33" ht="15" customHeight="1">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row>
    <row r="722" spans="1:33" ht="15" customHeight="1">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row>
    <row r="723" spans="1:33" ht="15" customHeight="1">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row>
    <row r="724" spans="1:33" ht="15" customHeight="1">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row>
    <row r="725" spans="1:33" ht="15" customHeight="1">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row>
    <row r="726" spans="1:33" ht="15" customHeight="1">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row>
    <row r="727" spans="1:33" ht="15" customHeight="1">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row>
    <row r="728" spans="1:33" ht="15" customHeight="1">
      <c r="B728" s="2185"/>
      <c r="C728" s="2185"/>
      <c r="D728" s="2185"/>
      <c r="E728" s="2185"/>
      <c r="F728" s="2185"/>
      <c r="G728" s="2185"/>
      <c r="H728" s="2185"/>
      <c r="I728" s="2185"/>
      <c r="J728" s="2185"/>
      <c r="K728" s="2185"/>
      <c r="L728" s="2185"/>
      <c r="M728" s="2185"/>
      <c r="N728" s="2185"/>
      <c r="O728" s="2185"/>
      <c r="P728" s="2185"/>
      <c r="Q728" s="2185"/>
      <c r="R728" s="2185"/>
      <c r="S728" s="2185"/>
      <c r="T728" s="2185"/>
      <c r="U728" s="2185"/>
      <c r="V728" s="2185"/>
      <c r="W728" s="2185"/>
      <c r="X728" s="2185"/>
      <c r="Y728" s="2185"/>
      <c r="Z728" s="2185"/>
      <c r="AA728" s="2185"/>
      <c r="AB728" s="2185"/>
      <c r="AC728" s="2185"/>
      <c r="AD728" s="2185"/>
      <c r="AE728" s="2185"/>
      <c r="AF728" s="2185"/>
      <c r="AG728" s="29"/>
    </row>
    <row r="729" spans="1:33" ht="15" customHeight="1">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row>
    <row r="730" spans="1:33" ht="15" customHeight="1">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row>
    <row r="731" spans="1:33" ht="15" customHeight="1">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row>
    <row r="732" spans="1:33" ht="15" customHeight="1">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row>
    <row r="733" spans="1:33" ht="15" customHeight="1">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row>
    <row r="734" spans="1:33" ht="15" customHeight="1">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t="s">
        <v>2056</v>
      </c>
      <c r="AG734" s="29"/>
    </row>
    <row r="735" spans="1:33" ht="15" customHeight="1">
      <c r="A735" s="34" t="s">
        <v>3626</v>
      </c>
      <c r="B735" s="46" t="s">
        <v>3627</v>
      </c>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43" t="s">
        <v>2058</v>
      </c>
      <c r="AG735" s="29"/>
    </row>
    <row r="736" spans="1:33" ht="15" customHeight="1">
      <c r="B736" s="45" t="s">
        <v>3628</v>
      </c>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43" t="s">
        <v>2059</v>
      </c>
      <c r="AG736" s="29"/>
    </row>
    <row r="737" spans="1:33" ht="15" customHeight="1">
      <c r="B737" s="45"/>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3" t="s">
        <v>2061</v>
      </c>
      <c r="AG737" s="29"/>
    </row>
    <row r="738" spans="1:33" ht="15" customHeight="1" thickBot="1">
      <c r="B738" s="42" t="s">
        <v>2690</v>
      </c>
      <c r="C738" s="42">
        <v>2022</v>
      </c>
      <c r="D738" s="42">
        <v>2023</v>
      </c>
      <c r="E738" s="42">
        <v>2024</v>
      </c>
      <c r="F738" s="42">
        <v>2025</v>
      </c>
      <c r="G738" s="42">
        <v>2026</v>
      </c>
      <c r="H738" s="42">
        <v>2027</v>
      </c>
      <c r="I738" s="42">
        <v>2028</v>
      </c>
      <c r="J738" s="42">
        <v>2029</v>
      </c>
      <c r="K738" s="42">
        <v>2030</v>
      </c>
      <c r="L738" s="42">
        <v>2031</v>
      </c>
      <c r="M738" s="42">
        <v>2032</v>
      </c>
      <c r="N738" s="42">
        <v>2033</v>
      </c>
      <c r="O738" s="42">
        <v>2034</v>
      </c>
      <c r="P738" s="42">
        <v>2035</v>
      </c>
      <c r="Q738" s="42">
        <v>2036</v>
      </c>
      <c r="R738" s="42">
        <v>2037</v>
      </c>
      <c r="S738" s="42">
        <v>2038</v>
      </c>
      <c r="T738" s="42">
        <v>2039</v>
      </c>
      <c r="U738" s="42">
        <v>2040</v>
      </c>
      <c r="V738" s="42">
        <v>2041</v>
      </c>
      <c r="W738" s="42">
        <v>2042</v>
      </c>
      <c r="X738" s="42">
        <v>2043</v>
      </c>
      <c r="Y738" s="42">
        <v>2044</v>
      </c>
      <c r="Z738" s="42">
        <v>2045</v>
      </c>
      <c r="AA738" s="42">
        <v>2046</v>
      </c>
      <c r="AB738" s="42">
        <v>2047</v>
      </c>
      <c r="AC738" s="42">
        <v>2048</v>
      </c>
      <c r="AD738" s="42">
        <v>2049</v>
      </c>
      <c r="AE738" s="42">
        <v>2050</v>
      </c>
      <c r="AF738" s="41">
        <v>2050</v>
      </c>
      <c r="AG738" s="29"/>
    </row>
    <row r="739" spans="1:33" ht="15" customHeight="1" thickTop="1">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row>
    <row r="740" spans="1:33" ht="15" customHeight="1">
      <c r="A740" s="34" t="s">
        <v>3629</v>
      </c>
      <c r="B740" s="33" t="s">
        <v>2692</v>
      </c>
      <c r="C740" s="40">
        <v>19750.261718999998</v>
      </c>
      <c r="D740" s="40">
        <v>19903.289062</v>
      </c>
      <c r="E740" s="40">
        <v>20095.435547000001</v>
      </c>
      <c r="F740" s="40">
        <v>20409.421875</v>
      </c>
      <c r="G740" s="40">
        <v>20840.714843999998</v>
      </c>
      <c r="H740" s="40">
        <v>21273.421875</v>
      </c>
      <c r="I740" s="40">
        <v>21681.255859000001</v>
      </c>
      <c r="J740" s="40">
        <v>22051.705077999999</v>
      </c>
      <c r="K740" s="40">
        <v>22391.814452999999</v>
      </c>
      <c r="L740" s="40">
        <v>22742.044922000001</v>
      </c>
      <c r="M740" s="40">
        <v>23153.001952999999</v>
      </c>
      <c r="N740" s="40">
        <v>23603.867188</v>
      </c>
      <c r="O740" s="40">
        <v>24055.123047000001</v>
      </c>
      <c r="P740" s="40">
        <v>24510.957031000002</v>
      </c>
      <c r="Q740" s="40">
        <v>24995.804688</v>
      </c>
      <c r="R740" s="40">
        <v>25506.921875</v>
      </c>
      <c r="S740" s="40">
        <v>26032.332031000002</v>
      </c>
      <c r="T740" s="40">
        <v>26566.107422000001</v>
      </c>
      <c r="U740" s="40">
        <v>27148.945312</v>
      </c>
      <c r="V740" s="40">
        <v>27734.087890999999</v>
      </c>
      <c r="W740" s="40">
        <v>28324.492188</v>
      </c>
      <c r="X740" s="40">
        <v>28926.738281000002</v>
      </c>
      <c r="Y740" s="40">
        <v>29527.414062</v>
      </c>
      <c r="Z740" s="40">
        <v>30130</v>
      </c>
      <c r="AA740" s="40">
        <v>30747.568359000001</v>
      </c>
      <c r="AB740" s="40">
        <v>31389.150390999999</v>
      </c>
      <c r="AC740" s="40">
        <v>32039.970702999999</v>
      </c>
      <c r="AD740" s="40">
        <v>32698.533202999999</v>
      </c>
      <c r="AE740" s="40">
        <v>33404.984375</v>
      </c>
      <c r="AF740" s="31">
        <v>1.8946999999999999E-2</v>
      </c>
      <c r="AG740" s="29"/>
    </row>
    <row r="741" spans="1:33" ht="12" customHeight="1">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row>
    <row r="742" spans="1:33" ht="12" customHeight="1">
      <c r="A742" s="34" t="s">
        <v>3630</v>
      </c>
      <c r="B742" s="33" t="s">
        <v>2694</v>
      </c>
      <c r="C742" s="40">
        <v>29.646315000000001</v>
      </c>
      <c r="D742" s="40">
        <v>30.032205999999999</v>
      </c>
      <c r="E742" s="40">
        <v>29.91412</v>
      </c>
      <c r="F742" s="40">
        <v>29.935547</v>
      </c>
      <c r="G742" s="40">
        <v>30.143598999999998</v>
      </c>
      <c r="H742" s="40">
        <v>30.392578</v>
      </c>
      <c r="I742" s="40">
        <v>30.639610000000001</v>
      </c>
      <c r="J742" s="40">
        <v>30.843309000000001</v>
      </c>
      <c r="K742" s="40">
        <v>30.978024999999999</v>
      </c>
      <c r="L742" s="40">
        <v>31.103764999999999</v>
      </c>
      <c r="M742" s="40">
        <v>31.291146999999999</v>
      </c>
      <c r="N742" s="40">
        <v>31.502099999999999</v>
      </c>
      <c r="O742" s="40">
        <v>31.756865999999999</v>
      </c>
      <c r="P742" s="40">
        <v>31.984881999999999</v>
      </c>
      <c r="Q742" s="40">
        <v>32.157532000000003</v>
      </c>
      <c r="R742" s="40">
        <v>32.333866</v>
      </c>
      <c r="S742" s="40">
        <v>32.522606000000003</v>
      </c>
      <c r="T742" s="40">
        <v>32.694763000000002</v>
      </c>
      <c r="U742" s="40">
        <v>32.898581999999998</v>
      </c>
      <c r="V742" s="40">
        <v>33.076897000000002</v>
      </c>
      <c r="W742" s="40">
        <v>33.258899999999997</v>
      </c>
      <c r="X742" s="40">
        <v>33.410046000000001</v>
      </c>
      <c r="Y742" s="40">
        <v>33.555366999999997</v>
      </c>
      <c r="Z742" s="40">
        <v>33.714432000000002</v>
      </c>
      <c r="AA742" s="40">
        <v>33.890785000000001</v>
      </c>
      <c r="AB742" s="40">
        <v>34.091751000000002</v>
      </c>
      <c r="AC742" s="40">
        <v>34.285961</v>
      </c>
      <c r="AD742" s="40">
        <v>34.472403999999997</v>
      </c>
      <c r="AE742" s="40">
        <v>34.683773000000002</v>
      </c>
      <c r="AF742" s="31">
        <v>5.62E-3</v>
      </c>
      <c r="AG742" s="29"/>
    </row>
    <row r="743" spans="1:33" ht="12" customHeight="1">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row>
    <row r="744" spans="1:33" ht="12" customHeight="1">
      <c r="B744" s="33" t="s">
        <v>2695</v>
      </c>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row>
    <row r="745" spans="1:33" ht="12" customHeight="1">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row>
    <row r="746" spans="1:33" ht="12" customHeight="1">
      <c r="B746" s="33" t="s">
        <v>2696</v>
      </c>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row>
    <row r="747" spans="1:33" ht="12" customHeight="1">
      <c r="A747" s="34" t="s">
        <v>3631</v>
      </c>
      <c r="B747" s="37" t="s">
        <v>2698</v>
      </c>
      <c r="C747" s="53">
        <v>73.488861</v>
      </c>
      <c r="D747" s="53">
        <v>72.922905</v>
      </c>
      <c r="E747" s="53">
        <v>73.636353</v>
      </c>
      <c r="F747" s="53">
        <v>74.764671000000007</v>
      </c>
      <c r="G747" s="53">
        <v>76.103415999999996</v>
      </c>
      <c r="H747" s="53">
        <v>77.279266000000007</v>
      </c>
      <c r="I747" s="53">
        <v>77.907814000000002</v>
      </c>
      <c r="J747" s="53">
        <v>78.757644999999997</v>
      </c>
      <c r="K747" s="53">
        <v>79.484390000000005</v>
      </c>
      <c r="L747" s="53">
        <v>79.869147999999996</v>
      </c>
      <c r="M747" s="53">
        <v>80.385529000000005</v>
      </c>
      <c r="N747" s="53">
        <v>81.019058000000001</v>
      </c>
      <c r="O747" s="53">
        <v>81.384743</v>
      </c>
      <c r="P747" s="53">
        <v>81.668655000000001</v>
      </c>
      <c r="Q747" s="53">
        <v>81.978133999999997</v>
      </c>
      <c r="R747" s="53">
        <v>82.368934999999993</v>
      </c>
      <c r="S747" s="53">
        <v>82.777884999999998</v>
      </c>
      <c r="T747" s="53">
        <v>83.136718999999999</v>
      </c>
      <c r="U747" s="53">
        <v>83.464293999999995</v>
      </c>
      <c r="V747" s="53">
        <v>83.782607999999996</v>
      </c>
      <c r="W747" s="53">
        <v>84.188582999999994</v>
      </c>
      <c r="X747" s="53">
        <v>84.584709000000004</v>
      </c>
      <c r="Y747" s="53">
        <v>84.931374000000005</v>
      </c>
      <c r="Z747" s="53">
        <v>85.287864999999996</v>
      </c>
      <c r="AA747" s="53">
        <v>85.615807000000004</v>
      </c>
      <c r="AB747" s="53">
        <v>85.931342999999998</v>
      </c>
      <c r="AC747" s="53">
        <v>86.234488999999996</v>
      </c>
      <c r="AD747" s="53">
        <v>86.540947000000003</v>
      </c>
      <c r="AE747" s="53">
        <v>86.852722</v>
      </c>
      <c r="AF747" s="35">
        <v>5.9849999999999999E-3</v>
      </c>
      <c r="AG747" s="29"/>
    </row>
    <row r="748" spans="1:33" ht="12" customHeight="1">
      <c r="A748" s="34" t="s">
        <v>3632</v>
      </c>
      <c r="B748" s="37" t="s">
        <v>2700</v>
      </c>
      <c r="C748" s="53">
        <v>24.995403</v>
      </c>
      <c r="D748" s="53">
        <v>24.714344000000001</v>
      </c>
      <c r="E748" s="53">
        <v>25.858082</v>
      </c>
      <c r="F748" s="53">
        <v>25.629401999999999</v>
      </c>
      <c r="G748" s="53">
        <v>24.966401999999999</v>
      </c>
      <c r="H748" s="53">
        <v>24.106203000000001</v>
      </c>
      <c r="I748" s="53">
        <v>23.526482000000001</v>
      </c>
      <c r="J748" s="53">
        <v>22.831039000000001</v>
      </c>
      <c r="K748" s="53">
        <v>22.664681999999999</v>
      </c>
      <c r="L748" s="53">
        <v>22.680797999999999</v>
      </c>
      <c r="M748" s="53">
        <v>22.827677000000001</v>
      </c>
      <c r="N748" s="53">
        <v>22.926086000000002</v>
      </c>
      <c r="O748" s="53">
        <v>22.943315999999999</v>
      </c>
      <c r="P748" s="53">
        <v>23.017275000000001</v>
      </c>
      <c r="Q748" s="53">
        <v>22.991543</v>
      </c>
      <c r="R748" s="53">
        <v>22.946422999999999</v>
      </c>
      <c r="S748" s="53">
        <v>22.880074</v>
      </c>
      <c r="T748" s="53">
        <v>22.776516000000001</v>
      </c>
      <c r="U748" s="53">
        <v>22.637035000000001</v>
      </c>
      <c r="V748" s="53">
        <v>22.597114999999999</v>
      </c>
      <c r="W748" s="53">
        <v>22.639025</v>
      </c>
      <c r="X748" s="53">
        <v>22.657178999999999</v>
      </c>
      <c r="Y748" s="53">
        <v>22.655704</v>
      </c>
      <c r="Z748" s="53">
        <v>22.599567</v>
      </c>
      <c r="AA748" s="53">
        <v>22.573302999999999</v>
      </c>
      <c r="AB748" s="53">
        <v>22.487587000000001</v>
      </c>
      <c r="AC748" s="53">
        <v>22.473693999999998</v>
      </c>
      <c r="AD748" s="53">
        <v>22.475641</v>
      </c>
      <c r="AE748" s="53">
        <v>22.458317000000001</v>
      </c>
      <c r="AF748" s="35">
        <v>-3.8149999999999998E-3</v>
      </c>
      <c r="AG748" s="29"/>
    </row>
    <row r="749" spans="1:33" ht="12" customHeight="1">
      <c r="A749" s="34" t="s">
        <v>3633</v>
      </c>
      <c r="B749" s="37" t="s">
        <v>2702</v>
      </c>
      <c r="C749" s="53">
        <v>251.77301</v>
      </c>
      <c r="D749" s="53">
        <v>246.73680100000001</v>
      </c>
      <c r="E749" s="53">
        <v>245.394836</v>
      </c>
      <c r="F749" s="53">
        <v>249.89224200000001</v>
      </c>
      <c r="G749" s="53">
        <v>253.22152700000001</v>
      </c>
      <c r="H749" s="53">
        <v>254.48599200000001</v>
      </c>
      <c r="I749" s="53">
        <v>256.98648100000003</v>
      </c>
      <c r="J749" s="53">
        <v>263.681152</v>
      </c>
      <c r="K749" s="53">
        <v>268.74468999999999</v>
      </c>
      <c r="L749" s="53">
        <v>270.44906600000002</v>
      </c>
      <c r="M749" s="53">
        <v>270.97961400000003</v>
      </c>
      <c r="N749" s="53">
        <v>271.97467</v>
      </c>
      <c r="O749" s="53">
        <v>272.49850500000002</v>
      </c>
      <c r="P749" s="53">
        <v>274.34832799999998</v>
      </c>
      <c r="Q749" s="53">
        <v>277.57388300000002</v>
      </c>
      <c r="R749" s="53">
        <v>281.84204099999999</v>
      </c>
      <c r="S749" s="53">
        <v>286.64416499999999</v>
      </c>
      <c r="T749" s="53">
        <v>290.65484600000002</v>
      </c>
      <c r="U749" s="53">
        <v>294.83676100000002</v>
      </c>
      <c r="V749" s="53">
        <v>299.71588100000002</v>
      </c>
      <c r="W749" s="53">
        <v>304.04315200000002</v>
      </c>
      <c r="X749" s="53">
        <v>307.89215100000001</v>
      </c>
      <c r="Y749" s="53">
        <v>311.68689000000001</v>
      </c>
      <c r="Z749" s="53">
        <v>315.94366500000001</v>
      </c>
      <c r="AA749" s="53">
        <v>320.31497200000001</v>
      </c>
      <c r="AB749" s="53">
        <v>324.57913200000002</v>
      </c>
      <c r="AC749" s="53">
        <v>328.32516500000003</v>
      </c>
      <c r="AD749" s="53">
        <v>331.70486499999998</v>
      </c>
      <c r="AE749" s="53">
        <v>336.604645</v>
      </c>
      <c r="AF749" s="35">
        <v>1.0425E-2</v>
      </c>
      <c r="AG749" s="29"/>
    </row>
    <row r="750" spans="1:33" ht="15" customHeight="1">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row>
    <row r="751" spans="1:33" ht="15" customHeight="1">
      <c r="B751" s="33" t="s">
        <v>2703</v>
      </c>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row>
    <row r="752" spans="1:33" ht="15" customHeight="1">
      <c r="A752" s="34" t="s">
        <v>3634</v>
      </c>
      <c r="B752" s="37" t="s">
        <v>2705</v>
      </c>
      <c r="C752" s="53">
        <v>120.876144</v>
      </c>
      <c r="D752" s="53">
        <v>122.315613</v>
      </c>
      <c r="E752" s="53">
        <v>123.491722</v>
      </c>
      <c r="F752" s="53">
        <v>124.50936900000001</v>
      </c>
      <c r="G752" s="53">
        <v>125.988297</v>
      </c>
      <c r="H752" s="53">
        <v>127.546829</v>
      </c>
      <c r="I752" s="53">
        <v>129.16563400000001</v>
      </c>
      <c r="J752" s="53">
        <v>130.60835299999999</v>
      </c>
      <c r="K752" s="53">
        <v>132.012711</v>
      </c>
      <c r="L752" s="53">
        <v>133.65643299999999</v>
      </c>
      <c r="M752" s="53">
        <v>135.03826900000001</v>
      </c>
      <c r="N752" s="53">
        <v>136.23500100000001</v>
      </c>
      <c r="O752" s="53">
        <v>137.52761799999999</v>
      </c>
      <c r="P752" s="53">
        <v>138.96781899999999</v>
      </c>
      <c r="Q752" s="53">
        <v>140.58120700000001</v>
      </c>
      <c r="R752" s="53">
        <v>142.10694899999999</v>
      </c>
      <c r="S752" s="53">
        <v>143.67491100000001</v>
      </c>
      <c r="T752" s="53">
        <v>145.379501</v>
      </c>
      <c r="U752" s="53">
        <v>147.073669</v>
      </c>
      <c r="V752" s="53">
        <v>148.73310900000001</v>
      </c>
      <c r="W752" s="53">
        <v>150.42671200000001</v>
      </c>
      <c r="X752" s="53">
        <v>152.10069300000001</v>
      </c>
      <c r="Y752" s="53">
        <v>153.74902299999999</v>
      </c>
      <c r="Z752" s="53">
        <v>155.40528900000001</v>
      </c>
      <c r="AA752" s="53">
        <v>157.01336699999999</v>
      </c>
      <c r="AB752" s="53">
        <v>158.631271</v>
      </c>
      <c r="AC752" s="53">
        <v>160.26101700000001</v>
      </c>
      <c r="AD752" s="53">
        <v>161.91177400000001</v>
      </c>
      <c r="AE752" s="53">
        <v>163.570267</v>
      </c>
      <c r="AF752" s="35">
        <v>1.0861000000000001E-2</v>
      </c>
      <c r="AG752" s="29"/>
    </row>
    <row r="753" spans="1:33" ht="15" customHeight="1">
      <c r="A753" s="34" t="s">
        <v>3635</v>
      </c>
      <c r="B753" s="37" t="s">
        <v>1473</v>
      </c>
      <c r="C753" s="53">
        <v>34.750979999999998</v>
      </c>
      <c r="D753" s="53">
        <v>33.616005000000001</v>
      </c>
      <c r="E753" s="53">
        <v>32.594085999999997</v>
      </c>
      <c r="F753" s="53">
        <v>31.518187999999999</v>
      </c>
      <c r="G753" s="53">
        <v>30.717027999999999</v>
      </c>
      <c r="H753" s="53">
        <v>30.058895</v>
      </c>
      <c r="I753" s="53">
        <v>29.470628999999999</v>
      </c>
      <c r="J753" s="53">
        <v>28.847538</v>
      </c>
      <c r="K753" s="53">
        <v>28.191675</v>
      </c>
      <c r="L753" s="53">
        <v>27.523015999999998</v>
      </c>
      <c r="M753" s="53">
        <v>26.904813999999998</v>
      </c>
      <c r="N753" s="53">
        <v>26.339538999999998</v>
      </c>
      <c r="O753" s="53">
        <v>25.721609000000001</v>
      </c>
      <c r="P753" s="53">
        <v>25.077572</v>
      </c>
      <c r="Q753" s="53">
        <v>24.478843999999999</v>
      </c>
      <c r="R753" s="53">
        <v>23.938215</v>
      </c>
      <c r="S753" s="53">
        <v>23.460379</v>
      </c>
      <c r="T753" s="53">
        <v>22.968685000000001</v>
      </c>
      <c r="U753" s="53">
        <v>22.556795000000001</v>
      </c>
      <c r="V753" s="53">
        <v>22.175160999999999</v>
      </c>
      <c r="W753" s="53">
        <v>21.767856999999999</v>
      </c>
      <c r="X753" s="53">
        <v>21.383343</v>
      </c>
      <c r="Y753" s="53">
        <v>21.012924000000002</v>
      </c>
      <c r="Z753" s="53">
        <v>20.650449999999999</v>
      </c>
      <c r="AA753" s="53">
        <v>20.298779</v>
      </c>
      <c r="AB753" s="53">
        <v>19.972760999999998</v>
      </c>
      <c r="AC753" s="53">
        <v>19.724319000000001</v>
      </c>
      <c r="AD753" s="53">
        <v>19.492197000000001</v>
      </c>
      <c r="AE753" s="53">
        <v>19.261305</v>
      </c>
      <c r="AF753" s="35">
        <v>-2.0854999999999999E-2</v>
      </c>
      <c r="AG753" s="29"/>
    </row>
    <row r="754" spans="1:33" ht="15" customHeight="1">
      <c r="A754" s="34" t="s">
        <v>3636</v>
      </c>
      <c r="B754" s="37" t="s">
        <v>2708</v>
      </c>
      <c r="C754" s="53">
        <v>25.210080999999999</v>
      </c>
      <c r="D754" s="53">
        <v>24.705914</v>
      </c>
      <c r="E754" s="53">
        <v>24.327362000000001</v>
      </c>
      <c r="F754" s="53">
        <v>24.334817999999999</v>
      </c>
      <c r="G754" s="53">
        <v>24.812439000000001</v>
      </c>
      <c r="H754" s="53">
        <v>25.393702999999999</v>
      </c>
      <c r="I754" s="53">
        <v>25.824974000000001</v>
      </c>
      <c r="J754" s="53">
        <v>26.053419000000002</v>
      </c>
      <c r="K754" s="53">
        <v>26.060981999999999</v>
      </c>
      <c r="L754" s="53">
        <v>26.134439</v>
      </c>
      <c r="M754" s="53">
        <v>26.336836000000002</v>
      </c>
      <c r="N754" s="53">
        <v>26.499222</v>
      </c>
      <c r="O754" s="53">
        <v>26.558657</v>
      </c>
      <c r="P754" s="53">
        <v>26.567764</v>
      </c>
      <c r="Q754" s="53">
        <v>26.520859000000002</v>
      </c>
      <c r="R754" s="53">
        <v>26.385377999999999</v>
      </c>
      <c r="S754" s="53">
        <v>26.195098999999999</v>
      </c>
      <c r="T754" s="53">
        <v>26.005693000000001</v>
      </c>
      <c r="U754" s="53">
        <v>25.888141999999998</v>
      </c>
      <c r="V754" s="53">
        <v>25.771993999999999</v>
      </c>
      <c r="W754" s="53">
        <v>25.591187999999999</v>
      </c>
      <c r="X754" s="53">
        <v>25.412068999999999</v>
      </c>
      <c r="Y754" s="53">
        <v>25.179876</v>
      </c>
      <c r="Z754" s="53">
        <v>24.935934</v>
      </c>
      <c r="AA754" s="53">
        <v>24.725372</v>
      </c>
      <c r="AB754" s="53">
        <v>24.537019999999998</v>
      </c>
      <c r="AC754" s="53">
        <v>24.327627</v>
      </c>
      <c r="AD754" s="53">
        <v>24.102512000000001</v>
      </c>
      <c r="AE754" s="53">
        <v>23.922336999999999</v>
      </c>
      <c r="AF754" s="35">
        <v>-1.8710000000000001E-3</v>
      </c>
      <c r="AG754" s="29"/>
    </row>
    <row r="755" spans="1:33" ht="15" customHeight="1">
      <c r="A755" s="34" t="s">
        <v>3637</v>
      </c>
      <c r="B755" s="37" t="s">
        <v>2710</v>
      </c>
      <c r="C755" s="53">
        <v>24.227205000000001</v>
      </c>
      <c r="D755" s="53">
        <v>22.003413999999999</v>
      </c>
      <c r="E755" s="53">
        <v>21.376415000000001</v>
      </c>
      <c r="F755" s="53">
        <v>21.722279</v>
      </c>
      <c r="G755" s="53">
        <v>21.407803999999999</v>
      </c>
      <c r="H755" s="53">
        <v>21.282647999999998</v>
      </c>
      <c r="I755" s="53">
        <v>21.591577999999998</v>
      </c>
      <c r="J755" s="53">
        <v>22.009291000000001</v>
      </c>
      <c r="K755" s="53">
        <v>22.171288000000001</v>
      </c>
      <c r="L755" s="53">
        <v>22.259561999999999</v>
      </c>
      <c r="M755" s="53">
        <v>22.581827000000001</v>
      </c>
      <c r="N755" s="53">
        <v>22.958597000000001</v>
      </c>
      <c r="O755" s="53">
        <v>23.341597</v>
      </c>
      <c r="P755" s="53">
        <v>23.542894</v>
      </c>
      <c r="Q755" s="53">
        <v>23.463562</v>
      </c>
      <c r="R755" s="53">
        <v>23.569355000000002</v>
      </c>
      <c r="S755" s="53">
        <v>23.667867999999999</v>
      </c>
      <c r="T755" s="53">
        <v>23.817848000000001</v>
      </c>
      <c r="U755" s="53">
        <v>24.044924000000002</v>
      </c>
      <c r="V755" s="53">
        <v>24.353646999999999</v>
      </c>
      <c r="W755" s="53">
        <v>24.581769999999999</v>
      </c>
      <c r="X755" s="53">
        <v>24.738934</v>
      </c>
      <c r="Y755" s="53">
        <v>24.773050000000001</v>
      </c>
      <c r="Z755" s="53">
        <v>24.648302000000001</v>
      </c>
      <c r="AA755" s="53">
        <v>24.575400999999999</v>
      </c>
      <c r="AB755" s="53">
        <v>24.626549000000001</v>
      </c>
      <c r="AC755" s="53">
        <v>24.593101999999998</v>
      </c>
      <c r="AD755" s="53">
        <v>24.631129999999999</v>
      </c>
      <c r="AE755" s="53">
        <v>24.907429</v>
      </c>
      <c r="AF755" s="35">
        <v>9.8900000000000008E-4</v>
      </c>
      <c r="AG755" s="29"/>
    </row>
    <row r="756" spans="1:33" ht="12" customHeight="1">
      <c r="A756" s="34" t="s">
        <v>3638</v>
      </c>
      <c r="B756" s="37" t="s">
        <v>2712</v>
      </c>
      <c r="C756" s="53">
        <v>13.623225</v>
      </c>
      <c r="D756" s="53">
        <v>13.402965999999999</v>
      </c>
      <c r="E756" s="53">
        <v>13.386186</v>
      </c>
      <c r="F756" s="53">
        <v>13.421958</v>
      </c>
      <c r="G756" s="53">
        <v>13.705151000000001</v>
      </c>
      <c r="H756" s="53">
        <v>14.020054999999999</v>
      </c>
      <c r="I756" s="53">
        <v>14.150922</v>
      </c>
      <c r="J756" s="53">
        <v>14.286054999999999</v>
      </c>
      <c r="K756" s="53">
        <v>14.380516</v>
      </c>
      <c r="L756" s="53">
        <v>14.474605</v>
      </c>
      <c r="M756" s="53">
        <v>14.780351</v>
      </c>
      <c r="N756" s="53">
        <v>14.917664</v>
      </c>
      <c r="O756" s="53">
        <v>15.025808</v>
      </c>
      <c r="P756" s="53">
        <v>15.262860999999999</v>
      </c>
      <c r="Q756" s="53">
        <v>15.488674</v>
      </c>
      <c r="R756" s="53">
        <v>15.734318999999999</v>
      </c>
      <c r="S756" s="53">
        <v>16.022635000000001</v>
      </c>
      <c r="T756" s="53">
        <v>16.272409</v>
      </c>
      <c r="U756" s="53">
        <v>16.510002</v>
      </c>
      <c r="V756" s="53">
        <v>16.849972000000001</v>
      </c>
      <c r="W756" s="53">
        <v>17.155114999999999</v>
      </c>
      <c r="X756" s="53">
        <v>17.391653000000002</v>
      </c>
      <c r="Y756" s="53">
        <v>17.555890999999999</v>
      </c>
      <c r="Z756" s="53">
        <v>17.641335999999999</v>
      </c>
      <c r="AA756" s="53">
        <v>17.854997999999998</v>
      </c>
      <c r="AB756" s="53">
        <v>18.112670999999999</v>
      </c>
      <c r="AC756" s="53">
        <v>18.29738</v>
      </c>
      <c r="AD756" s="53">
        <v>18.377499</v>
      </c>
      <c r="AE756" s="53">
        <v>18.907973999999999</v>
      </c>
      <c r="AF756" s="35">
        <v>1.1776E-2</v>
      </c>
      <c r="AG756" s="29"/>
    </row>
    <row r="757" spans="1:33" ht="15" customHeight="1">
      <c r="A757" s="34" t="s">
        <v>3639</v>
      </c>
      <c r="B757" s="37" t="s">
        <v>2714</v>
      </c>
      <c r="C757" s="53">
        <v>32.310921</v>
      </c>
      <c r="D757" s="53">
        <v>31.649539999999998</v>
      </c>
      <c r="E757" s="53">
        <v>30.946874999999999</v>
      </c>
      <c r="F757" s="53">
        <v>30.928331</v>
      </c>
      <c r="G757" s="53">
        <v>31.136828999999999</v>
      </c>
      <c r="H757" s="53">
        <v>31.393139000000001</v>
      </c>
      <c r="I757" s="53">
        <v>31.643367999999999</v>
      </c>
      <c r="J757" s="53">
        <v>31.87998</v>
      </c>
      <c r="K757" s="53">
        <v>32.067771999999998</v>
      </c>
      <c r="L757" s="53">
        <v>32.368136999999997</v>
      </c>
      <c r="M757" s="53">
        <v>32.677681</v>
      </c>
      <c r="N757" s="53">
        <v>32.948146999999999</v>
      </c>
      <c r="O757" s="53">
        <v>33.234005000000003</v>
      </c>
      <c r="P757" s="53">
        <v>33.515816000000001</v>
      </c>
      <c r="Q757" s="53">
        <v>33.702174999999997</v>
      </c>
      <c r="R757" s="53">
        <v>33.926310999999998</v>
      </c>
      <c r="S757" s="53">
        <v>34.118954000000002</v>
      </c>
      <c r="T757" s="53">
        <v>34.347954000000001</v>
      </c>
      <c r="U757" s="53">
        <v>34.609408999999999</v>
      </c>
      <c r="V757" s="53">
        <v>34.845661</v>
      </c>
      <c r="W757" s="53">
        <v>35.067860000000003</v>
      </c>
      <c r="X757" s="53">
        <v>35.255916999999997</v>
      </c>
      <c r="Y757" s="53">
        <v>35.382598999999999</v>
      </c>
      <c r="Z757" s="53">
        <v>35.475726999999999</v>
      </c>
      <c r="AA757" s="53">
        <v>35.659508000000002</v>
      </c>
      <c r="AB757" s="53">
        <v>35.930678999999998</v>
      </c>
      <c r="AC757" s="53">
        <v>36.055824000000001</v>
      </c>
      <c r="AD757" s="53">
        <v>36.220230000000001</v>
      </c>
      <c r="AE757" s="53">
        <v>36.528979999999997</v>
      </c>
      <c r="AF757" s="35">
        <v>4.3920000000000001E-3</v>
      </c>
      <c r="AG757" s="29"/>
    </row>
    <row r="758" spans="1:33" ht="15" customHeight="1">
      <c r="A758" s="34" t="s">
        <v>3640</v>
      </c>
      <c r="B758" s="37" t="s">
        <v>2716</v>
      </c>
      <c r="C758" s="53">
        <v>11.352563</v>
      </c>
      <c r="D758" s="53">
        <v>11.152956</v>
      </c>
      <c r="E758" s="53">
        <v>11.013603</v>
      </c>
      <c r="F758" s="53">
        <v>10.957557</v>
      </c>
      <c r="G758" s="53">
        <v>10.936522</v>
      </c>
      <c r="H758" s="53">
        <v>10.905436999999999</v>
      </c>
      <c r="I758" s="53">
        <v>10.944127</v>
      </c>
      <c r="J758" s="53">
        <v>10.997624</v>
      </c>
      <c r="K758" s="53">
        <v>11.078837</v>
      </c>
      <c r="L758" s="53">
        <v>11.194219</v>
      </c>
      <c r="M758" s="53">
        <v>11.181582000000001</v>
      </c>
      <c r="N758" s="53">
        <v>11.080295</v>
      </c>
      <c r="O758" s="53">
        <v>11.001313</v>
      </c>
      <c r="P758" s="53">
        <v>10.937728</v>
      </c>
      <c r="Q758" s="53">
        <v>10.884444999999999</v>
      </c>
      <c r="R758" s="53">
        <v>10.851927</v>
      </c>
      <c r="S758" s="53">
        <v>10.821186000000001</v>
      </c>
      <c r="T758" s="53">
        <v>10.798970000000001</v>
      </c>
      <c r="U758" s="53">
        <v>10.843213</v>
      </c>
      <c r="V758" s="53">
        <v>10.839002000000001</v>
      </c>
      <c r="W758" s="53">
        <v>10.771233000000001</v>
      </c>
      <c r="X758" s="53">
        <v>10.746886999999999</v>
      </c>
      <c r="Y758" s="53">
        <v>10.756315000000001</v>
      </c>
      <c r="Z758" s="53">
        <v>10.867929</v>
      </c>
      <c r="AA758" s="53">
        <v>10.967361</v>
      </c>
      <c r="AB758" s="53">
        <v>11.038584</v>
      </c>
      <c r="AC758" s="53">
        <v>11.078765000000001</v>
      </c>
      <c r="AD758" s="53">
        <v>11.221658</v>
      </c>
      <c r="AE758" s="53">
        <v>11.329668</v>
      </c>
      <c r="AF758" s="35">
        <v>-7.2000000000000002E-5</v>
      </c>
      <c r="AG758" s="29"/>
    </row>
    <row r="759" spans="1:33" ht="15" customHeight="1">
      <c r="A759" s="34" t="s">
        <v>3641</v>
      </c>
      <c r="B759" s="37" t="s">
        <v>2718</v>
      </c>
      <c r="C759" s="53">
        <v>170.24385100000001</v>
      </c>
      <c r="D759" s="53">
        <v>157.64987199999999</v>
      </c>
      <c r="E759" s="53">
        <v>156.260178</v>
      </c>
      <c r="F759" s="53">
        <v>157.56449900000001</v>
      </c>
      <c r="G759" s="53">
        <v>160.5103</v>
      </c>
      <c r="H759" s="53">
        <v>163.98577900000001</v>
      </c>
      <c r="I759" s="53">
        <v>167.16781599999999</v>
      </c>
      <c r="J759" s="53">
        <v>169.96264600000001</v>
      </c>
      <c r="K759" s="53">
        <v>172.13110399999999</v>
      </c>
      <c r="L759" s="53">
        <v>174.534729</v>
      </c>
      <c r="M759" s="53">
        <v>177.503784</v>
      </c>
      <c r="N759" s="53">
        <v>180.56222500000001</v>
      </c>
      <c r="O759" s="53">
        <v>184.022797</v>
      </c>
      <c r="P759" s="53">
        <v>187.55714399999999</v>
      </c>
      <c r="Q759" s="53">
        <v>191.126373</v>
      </c>
      <c r="R759" s="53">
        <v>194.802322</v>
      </c>
      <c r="S759" s="53">
        <v>198.378998</v>
      </c>
      <c r="T759" s="53">
        <v>202.277908</v>
      </c>
      <c r="U759" s="53">
        <v>206.78062399999999</v>
      </c>
      <c r="V759" s="53">
        <v>211.680069</v>
      </c>
      <c r="W759" s="53">
        <v>216.752411</v>
      </c>
      <c r="X759" s="53">
        <v>221.98402400000001</v>
      </c>
      <c r="Y759" s="53">
        <v>226.86674500000001</v>
      </c>
      <c r="Z759" s="53">
        <v>231.27539100000001</v>
      </c>
      <c r="AA759" s="53">
        <v>235.89563000000001</v>
      </c>
      <c r="AB759" s="53">
        <v>241.09577899999999</v>
      </c>
      <c r="AC759" s="53">
        <v>245.758591</v>
      </c>
      <c r="AD759" s="53">
        <v>249.99134799999999</v>
      </c>
      <c r="AE759" s="53">
        <v>255.24792500000001</v>
      </c>
      <c r="AF759" s="35">
        <v>1.457E-2</v>
      </c>
      <c r="AG759" s="29"/>
    </row>
    <row r="760" spans="1:33" ht="15" customHeight="1">
      <c r="A760" s="34" t="s">
        <v>3642</v>
      </c>
      <c r="B760" s="37" t="s">
        <v>1467</v>
      </c>
      <c r="C760" s="53">
        <v>62.657848000000001</v>
      </c>
      <c r="D760" s="53">
        <v>60.060093000000002</v>
      </c>
      <c r="E760" s="53">
        <v>58.736674999999998</v>
      </c>
      <c r="F760" s="53">
        <v>59.628310999999997</v>
      </c>
      <c r="G760" s="53">
        <v>61.385860000000001</v>
      </c>
      <c r="H760" s="53">
        <v>62.958092000000001</v>
      </c>
      <c r="I760" s="53">
        <v>64.013756000000001</v>
      </c>
      <c r="J760" s="53">
        <v>64.806137000000007</v>
      </c>
      <c r="K760" s="53">
        <v>65.392775999999998</v>
      </c>
      <c r="L760" s="53">
        <v>66.229225</v>
      </c>
      <c r="M760" s="53">
        <v>67.197556000000006</v>
      </c>
      <c r="N760" s="53">
        <v>67.993340000000003</v>
      </c>
      <c r="O760" s="53">
        <v>68.864304000000004</v>
      </c>
      <c r="P760" s="53">
        <v>69.684096999999994</v>
      </c>
      <c r="Q760" s="53">
        <v>70.466469000000004</v>
      </c>
      <c r="R760" s="53">
        <v>71.194610999999995</v>
      </c>
      <c r="S760" s="53">
        <v>71.681740000000005</v>
      </c>
      <c r="T760" s="53">
        <v>72.441543999999993</v>
      </c>
      <c r="U760" s="53">
        <v>73.377289000000005</v>
      </c>
      <c r="V760" s="53">
        <v>74.201003999999998</v>
      </c>
      <c r="W760" s="53">
        <v>74.830414000000005</v>
      </c>
      <c r="X760" s="53">
        <v>75.486846999999997</v>
      </c>
      <c r="Y760" s="53">
        <v>75.928223000000003</v>
      </c>
      <c r="Z760" s="53">
        <v>76.279883999999996</v>
      </c>
      <c r="AA760" s="53">
        <v>76.940772999999993</v>
      </c>
      <c r="AB760" s="53">
        <v>77.805083999999994</v>
      </c>
      <c r="AC760" s="53">
        <v>78.167907999999997</v>
      </c>
      <c r="AD760" s="53">
        <v>78.745498999999995</v>
      </c>
      <c r="AE760" s="53">
        <v>79.966385000000002</v>
      </c>
      <c r="AF760" s="35">
        <v>8.7489999999999998E-3</v>
      </c>
      <c r="AG760" s="29"/>
    </row>
    <row r="761" spans="1:33" ht="15" customHeight="1">
      <c r="A761" s="34" t="s">
        <v>3643</v>
      </c>
      <c r="B761" s="37" t="s">
        <v>1484</v>
      </c>
      <c r="C761" s="53">
        <v>7.1468090000000002</v>
      </c>
      <c r="D761" s="53">
        <v>7.192126</v>
      </c>
      <c r="E761" s="53">
        <v>7.1340029999999999</v>
      </c>
      <c r="F761" s="53">
        <v>7.250235</v>
      </c>
      <c r="G761" s="53">
        <v>7.4429809999999996</v>
      </c>
      <c r="H761" s="53">
        <v>7.5801629999999998</v>
      </c>
      <c r="I761" s="53">
        <v>7.6336380000000004</v>
      </c>
      <c r="J761" s="53">
        <v>7.7021990000000002</v>
      </c>
      <c r="K761" s="53">
        <v>7.732507</v>
      </c>
      <c r="L761" s="53">
        <v>7.7858409999999996</v>
      </c>
      <c r="M761" s="53">
        <v>7.8055389999999996</v>
      </c>
      <c r="N761" s="53">
        <v>7.8601279999999996</v>
      </c>
      <c r="O761" s="53">
        <v>7.9102829999999997</v>
      </c>
      <c r="P761" s="53">
        <v>7.9489219999999996</v>
      </c>
      <c r="Q761" s="53">
        <v>7.9989489999999996</v>
      </c>
      <c r="R761" s="53">
        <v>8.0531109999999995</v>
      </c>
      <c r="S761" s="53">
        <v>7.9702510000000002</v>
      </c>
      <c r="T761" s="53">
        <v>7.9937259999999997</v>
      </c>
      <c r="U761" s="53">
        <v>8.0094340000000006</v>
      </c>
      <c r="V761" s="53">
        <v>8.0111799999999995</v>
      </c>
      <c r="W761" s="53">
        <v>8.0187639999999991</v>
      </c>
      <c r="X761" s="53">
        <v>8.0186030000000006</v>
      </c>
      <c r="Y761" s="53">
        <v>8.0024309999999996</v>
      </c>
      <c r="Z761" s="53">
        <v>7.9488669999999999</v>
      </c>
      <c r="AA761" s="53">
        <v>7.94468</v>
      </c>
      <c r="AB761" s="53">
        <v>7.9534960000000003</v>
      </c>
      <c r="AC761" s="53">
        <v>7.9101590000000002</v>
      </c>
      <c r="AD761" s="53">
        <v>7.8898609999999998</v>
      </c>
      <c r="AE761" s="53">
        <v>7.9449110000000003</v>
      </c>
      <c r="AF761" s="35">
        <v>3.7880000000000001E-3</v>
      </c>
      <c r="AG761" s="29"/>
    </row>
    <row r="762" spans="1:33" ht="15" customHeight="1">
      <c r="A762" s="34" t="s">
        <v>3644</v>
      </c>
      <c r="B762" s="37" t="s">
        <v>2722</v>
      </c>
      <c r="C762" s="53">
        <v>21.385597000000001</v>
      </c>
      <c r="D762" s="53">
        <v>19.670535999999998</v>
      </c>
      <c r="E762" s="53">
        <v>18.781742000000001</v>
      </c>
      <c r="F762" s="53">
        <v>19.300509999999999</v>
      </c>
      <c r="G762" s="53">
        <v>19.927879000000001</v>
      </c>
      <c r="H762" s="53">
        <v>20.392855000000001</v>
      </c>
      <c r="I762" s="53">
        <v>20.796811999999999</v>
      </c>
      <c r="J762" s="53">
        <v>21.156122</v>
      </c>
      <c r="K762" s="53">
        <v>21.424133000000001</v>
      </c>
      <c r="L762" s="53">
        <v>21.797391999999999</v>
      </c>
      <c r="M762" s="53">
        <v>22.164705000000001</v>
      </c>
      <c r="N762" s="53">
        <v>22.485399000000001</v>
      </c>
      <c r="O762" s="53">
        <v>22.868020999999999</v>
      </c>
      <c r="P762" s="53">
        <v>23.160029999999999</v>
      </c>
      <c r="Q762" s="53">
        <v>23.461984999999999</v>
      </c>
      <c r="R762" s="53">
        <v>23.740985999999999</v>
      </c>
      <c r="S762" s="53">
        <v>23.973526</v>
      </c>
      <c r="T762" s="53">
        <v>24.438433</v>
      </c>
      <c r="U762" s="53">
        <v>24.801506</v>
      </c>
      <c r="V762" s="53">
        <v>25.109715999999999</v>
      </c>
      <c r="W762" s="53">
        <v>25.424669000000002</v>
      </c>
      <c r="X762" s="53">
        <v>25.797143999999999</v>
      </c>
      <c r="Y762" s="53">
        <v>26.079134</v>
      </c>
      <c r="Z762" s="53">
        <v>26.329205000000002</v>
      </c>
      <c r="AA762" s="53">
        <v>26.688987999999998</v>
      </c>
      <c r="AB762" s="53">
        <v>27.122108000000001</v>
      </c>
      <c r="AC762" s="53">
        <v>27.345950999999999</v>
      </c>
      <c r="AD762" s="53">
        <v>27.663321</v>
      </c>
      <c r="AE762" s="53">
        <v>28.264759000000002</v>
      </c>
      <c r="AF762" s="35">
        <v>1.001E-2</v>
      </c>
      <c r="AG762" s="29"/>
    </row>
    <row r="763" spans="1:33" ht="15" customHeight="1">
      <c r="A763" s="34" t="s">
        <v>3645</v>
      </c>
      <c r="B763" s="37" t="s">
        <v>2724</v>
      </c>
      <c r="C763" s="53">
        <v>24.906051999999999</v>
      </c>
      <c r="D763" s="53">
        <v>24.076820000000001</v>
      </c>
      <c r="E763" s="53">
        <v>23.619437999999999</v>
      </c>
      <c r="F763" s="53">
        <v>23.680990000000001</v>
      </c>
      <c r="G763" s="53">
        <v>24.330760999999999</v>
      </c>
      <c r="H763" s="53">
        <v>25.033252999999998</v>
      </c>
      <c r="I763" s="53">
        <v>25.510801000000001</v>
      </c>
      <c r="J763" s="53">
        <v>25.744833</v>
      </c>
      <c r="K763" s="53">
        <v>25.938202</v>
      </c>
      <c r="L763" s="53">
        <v>26.222422000000002</v>
      </c>
      <c r="M763" s="53">
        <v>26.578994999999999</v>
      </c>
      <c r="N763" s="53">
        <v>26.891871999999999</v>
      </c>
      <c r="O763" s="53">
        <v>27.240282000000001</v>
      </c>
      <c r="P763" s="53">
        <v>27.614453999999999</v>
      </c>
      <c r="Q763" s="53">
        <v>27.864388000000002</v>
      </c>
      <c r="R763" s="53">
        <v>28.200005000000001</v>
      </c>
      <c r="S763" s="53">
        <v>28.45797</v>
      </c>
      <c r="T763" s="53">
        <v>28.730806000000001</v>
      </c>
      <c r="U763" s="53">
        <v>29.206015000000001</v>
      </c>
      <c r="V763" s="53">
        <v>29.596329000000001</v>
      </c>
      <c r="W763" s="53">
        <v>29.898610999999999</v>
      </c>
      <c r="X763" s="53">
        <v>30.229448000000001</v>
      </c>
      <c r="Y763" s="53">
        <v>30.501819999999999</v>
      </c>
      <c r="Z763" s="53">
        <v>30.760432999999999</v>
      </c>
      <c r="AA763" s="53">
        <v>31.109894000000001</v>
      </c>
      <c r="AB763" s="53">
        <v>31.523530999999998</v>
      </c>
      <c r="AC763" s="53">
        <v>31.764462999999999</v>
      </c>
      <c r="AD763" s="53">
        <v>32.082431999999997</v>
      </c>
      <c r="AE763" s="53">
        <v>32.612831</v>
      </c>
      <c r="AF763" s="35">
        <v>9.6749999999999996E-3</v>
      </c>
      <c r="AG763" s="29"/>
    </row>
    <row r="764" spans="1:33" ht="15" customHeight="1">
      <c r="A764" s="34" t="s">
        <v>3646</v>
      </c>
      <c r="B764" s="37" t="s">
        <v>1469</v>
      </c>
      <c r="C764" s="53">
        <v>9.2193919999999991</v>
      </c>
      <c r="D764" s="53">
        <v>9.1206080000000007</v>
      </c>
      <c r="E764" s="53">
        <v>9.2014910000000008</v>
      </c>
      <c r="F764" s="53">
        <v>9.3965770000000006</v>
      </c>
      <c r="G764" s="53">
        <v>9.6842389999999998</v>
      </c>
      <c r="H764" s="53">
        <v>9.9518179999999994</v>
      </c>
      <c r="I764" s="53">
        <v>10.072502999999999</v>
      </c>
      <c r="J764" s="53">
        <v>10.202983</v>
      </c>
      <c r="K764" s="53">
        <v>10.297933</v>
      </c>
      <c r="L764" s="53">
        <v>10.423568</v>
      </c>
      <c r="M764" s="53">
        <v>10.648313999999999</v>
      </c>
      <c r="N764" s="53">
        <v>10.755939</v>
      </c>
      <c r="O764" s="53">
        <v>10.845722</v>
      </c>
      <c r="P764" s="53">
        <v>10.960694</v>
      </c>
      <c r="Q764" s="53">
        <v>11.14115</v>
      </c>
      <c r="R764" s="53">
        <v>11.200512</v>
      </c>
      <c r="S764" s="53">
        <v>11.279992</v>
      </c>
      <c r="T764" s="53">
        <v>11.278581000000001</v>
      </c>
      <c r="U764" s="53">
        <v>11.360340000000001</v>
      </c>
      <c r="V764" s="53">
        <v>11.483776000000001</v>
      </c>
      <c r="W764" s="53">
        <v>11.488377</v>
      </c>
      <c r="X764" s="53">
        <v>11.441649999999999</v>
      </c>
      <c r="Y764" s="53">
        <v>11.344837</v>
      </c>
      <c r="Z764" s="53">
        <v>11.241379999999999</v>
      </c>
      <c r="AA764" s="53">
        <v>11.197210999999999</v>
      </c>
      <c r="AB764" s="53">
        <v>11.205944000000001</v>
      </c>
      <c r="AC764" s="53">
        <v>11.147335</v>
      </c>
      <c r="AD764" s="53">
        <v>11.109883999999999</v>
      </c>
      <c r="AE764" s="53">
        <v>11.143886999999999</v>
      </c>
      <c r="AF764" s="35">
        <v>6.7939999999999997E-3</v>
      </c>
      <c r="AG764" s="29"/>
    </row>
    <row r="765" spans="1:33" ht="15" customHeight="1">
      <c r="A765" s="34" t="s">
        <v>3647</v>
      </c>
      <c r="B765" s="37" t="s">
        <v>2727</v>
      </c>
      <c r="C765" s="53">
        <v>107.585999</v>
      </c>
      <c r="D765" s="53">
        <v>97.589782999999997</v>
      </c>
      <c r="E765" s="53">
        <v>97.523499000000001</v>
      </c>
      <c r="F765" s="53">
        <v>97.936188000000001</v>
      </c>
      <c r="G765" s="53">
        <v>99.124435000000005</v>
      </c>
      <c r="H765" s="53">
        <v>101.02769499999999</v>
      </c>
      <c r="I765" s="53">
        <v>103.154068</v>
      </c>
      <c r="J765" s="53">
        <v>105.156509</v>
      </c>
      <c r="K765" s="53">
        <v>106.738319</v>
      </c>
      <c r="L765" s="53">
        <v>108.305504</v>
      </c>
      <c r="M765" s="53">
        <v>110.30622099999999</v>
      </c>
      <c r="N765" s="53">
        <v>112.568893</v>
      </c>
      <c r="O765" s="53">
        <v>115.15849300000001</v>
      </c>
      <c r="P765" s="53">
        <v>117.873047</v>
      </c>
      <c r="Q765" s="53">
        <v>120.659897</v>
      </c>
      <c r="R765" s="53">
        <v>123.60771200000001</v>
      </c>
      <c r="S765" s="53">
        <v>126.697266</v>
      </c>
      <c r="T765" s="53">
        <v>129.836365</v>
      </c>
      <c r="U765" s="53">
        <v>133.403336</v>
      </c>
      <c r="V765" s="53">
        <v>137.47906499999999</v>
      </c>
      <c r="W765" s="53">
        <v>141.921997</v>
      </c>
      <c r="X765" s="53">
        <v>146.49717699999999</v>
      </c>
      <c r="Y765" s="53">
        <v>150.93852200000001</v>
      </c>
      <c r="Z765" s="53">
        <v>154.99551400000001</v>
      </c>
      <c r="AA765" s="53">
        <v>158.954849</v>
      </c>
      <c r="AB765" s="53">
        <v>163.290695</v>
      </c>
      <c r="AC765" s="53">
        <v>167.59068300000001</v>
      </c>
      <c r="AD765" s="53">
        <v>171.24584999999999</v>
      </c>
      <c r="AE765" s="53">
        <v>175.28154000000001</v>
      </c>
      <c r="AF765" s="35">
        <v>1.7585E-2</v>
      </c>
      <c r="AG765" s="29"/>
    </row>
    <row r="766" spans="1:33" ht="15" customHeight="1">
      <c r="A766" s="34" t="s">
        <v>3648</v>
      </c>
      <c r="B766" s="37" t="s">
        <v>2729</v>
      </c>
      <c r="C766" s="53">
        <v>12.877357</v>
      </c>
      <c r="D766" s="53">
        <v>13.715256</v>
      </c>
      <c r="E766" s="53">
        <v>13.911405</v>
      </c>
      <c r="F766" s="53">
        <v>13.736522000000001</v>
      </c>
      <c r="G766" s="53">
        <v>13.542061</v>
      </c>
      <c r="H766" s="53">
        <v>13.510246</v>
      </c>
      <c r="I766" s="53">
        <v>13.373514</v>
      </c>
      <c r="J766" s="53">
        <v>13.337656000000001</v>
      </c>
      <c r="K766" s="53">
        <v>13.219609999999999</v>
      </c>
      <c r="L766" s="53">
        <v>13.072082999999999</v>
      </c>
      <c r="M766" s="53">
        <v>12.92474</v>
      </c>
      <c r="N766" s="53">
        <v>12.890243999999999</v>
      </c>
      <c r="O766" s="53">
        <v>12.821407000000001</v>
      </c>
      <c r="P766" s="53">
        <v>12.784824</v>
      </c>
      <c r="Q766" s="53">
        <v>12.660513</v>
      </c>
      <c r="R766" s="53">
        <v>12.550552</v>
      </c>
      <c r="S766" s="53">
        <v>12.411797</v>
      </c>
      <c r="T766" s="53">
        <v>12.413202999999999</v>
      </c>
      <c r="U766" s="53">
        <v>12.426508</v>
      </c>
      <c r="V766" s="53">
        <v>12.419744</v>
      </c>
      <c r="W766" s="53">
        <v>12.378054000000001</v>
      </c>
      <c r="X766" s="53">
        <v>12.337403</v>
      </c>
      <c r="Y766" s="53">
        <v>12.305605</v>
      </c>
      <c r="Z766" s="53">
        <v>12.274302</v>
      </c>
      <c r="AA766" s="53">
        <v>12.278954000000001</v>
      </c>
      <c r="AB766" s="53">
        <v>12.270697</v>
      </c>
      <c r="AC766" s="53">
        <v>12.208424000000001</v>
      </c>
      <c r="AD766" s="53">
        <v>12.194381999999999</v>
      </c>
      <c r="AE766" s="53">
        <v>12.232809</v>
      </c>
      <c r="AF766" s="35">
        <v>-1.8320000000000001E-3</v>
      </c>
      <c r="AG766" s="29"/>
    </row>
    <row r="767" spans="1:33" ht="15" customHeight="1">
      <c r="A767" s="34" t="s">
        <v>3649</v>
      </c>
      <c r="B767" s="37" t="s">
        <v>2731</v>
      </c>
      <c r="C767" s="53">
        <v>6.003698</v>
      </c>
      <c r="D767" s="53">
        <v>6.4085099999999997</v>
      </c>
      <c r="E767" s="53">
        <v>6.324649</v>
      </c>
      <c r="F767" s="53">
        <v>6.1170900000000001</v>
      </c>
      <c r="G767" s="53">
        <v>5.9509270000000001</v>
      </c>
      <c r="H767" s="53">
        <v>5.9435159999999998</v>
      </c>
      <c r="I767" s="53">
        <v>5.8266</v>
      </c>
      <c r="J767" s="53">
        <v>5.8323989999999997</v>
      </c>
      <c r="K767" s="53">
        <v>5.7075149999999999</v>
      </c>
      <c r="L767" s="53">
        <v>5.5913500000000003</v>
      </c>
      <c r="M767" s="53">
        <v>5.4869450000000004</v>
      </c>
      <c r="N767" s="53">
        <v>5.4824250000000001</v>
      </c>
      <c r="O767" s="53">
        <v>5.4186189999999996</v>
      </c>
      <c r="P767" s="53">
        <v>5.4256500000000001</v>
      </c>
      <c r="Q767" s="53">
        <v>5.3529210000000003</v>
      </c>
      <c r="R767" s="53">
        <v>5.2582659999999999</v>
      </c>
      <c r="S767" s="53">
        <v>5.2286710000000003</v>
      </c>
      <c r="T767" s="53">
        <v>5.2407640000000004</v>
      </c>
      <c r="U767" s="53">
        <v>5.2740309999999999</v>
      </c>
      <c r="V767" s="53">
        <v>5.3058730000000001</v>
      </c>
      <c r="W767" s="53">
        <v>5.2947759999999997</v>
      </c>
      <c r="X767" s="53">
        <v>5.2764569999999997</v>
      </c>
      <c r="Y767" s="53">
        <v>5.2638509999999998</v>
      </c>
      <c r="Z767" s="53">
        <v>5.2552370000000002</v>
      </c>
      <c r="AA767" s="53">
        <v>5.2615259999999999</v>
      </c>
      <c r="AB767" s="53">
        <v>5.2654249999999996</v>
      </c>
      <c r="AC767" s="53">
        <v>5.2491440000000003</v>
      </c>
      <c r="AD767" s="53">
        <v>5.2420489999999997</v>
      </c>
      <c r="AE767" s="53">
        <v>5.2576580000000002</v>
      </c>
      <c r="AF767" s="35">
        <v>-4.7280000000000004E-3</v>
      </c>
      <c r="AG767" s="29"/>
    </row>
    <row r="768" spans="1:33" ht="15" customHeight="1">
      <c r="A768" s="34" t="s">
        <v>3650</v>
      </c>
      <c r="B768" s="37" t="s">
        <v>2733</v>
      </c>
      <c r="C768" s="53">
        <v>6.873659</v>
      </c>
      <c r="D768" s="53">
        <v>7.3067460000000004</v>
      </c>
      <c r="E768" s="53">
        <v>7.5867560000000003</v>
      </c>
      <c r="F768" s="53">
        <v>7.6194319999999998</v>
      </c>
      <c r="G768" s="53">
        <v>7.5911330000000001</v>
      </c>
      <c r="H768" s="53">
        <v>7.5667309999999999</v>
      </c>
      <c r="I768" s="53">
        <v>7.5469150000000003</v>
      </c>
      <c r="J768" s="53">
        <v>7.5052570000000003</v>
      </c>
      <c r="K768" s="53">
        <v>7.5120950000000004</v>
      </c>
      <c r="L768" s="53">
        <v>7.4807319999999997</v>
      </c>
      <c r="M768" s="53">
        <v>7.4377959999999996</v>
      </c>
      <c r="N768" s="53">
        <v>7.4078189999999999</v>
      </c>
      <c r="O768" s="53">
        <v>7.4027890000000003</v>
      </c>
      <c r="P768" s="53">
        <v>7.3591740000000003</v>
      </c>
      <c r="Q768" s="53">
        <v>7.3075929999999998</v>
      </c>
      <c r="R768" s="53">
        <v>7.2922859999999998</v>
      </c>
      <c r="S768" s="53">
        <v>7.1831250000000004</v>
      </c>
      <c r="T768" s="53">
        <v>7.1724399999999999</v>
      </c>
      <c r="U768" s="53">
        <v>7.1524770000000002</v>
      </c>
      <c r="V768" s="53">
        <v>7.1138719999999998</v>
      </c>
      <c r="W768" s="53">
        <v>7.0832769999999998</v>
      </c>
      <c r="X768" s="53">
        <v>7.0609460000000004</v>
      </c>
      <c r="Y768" s="53">
        <v>7.0417540000000001</v>
      </c>
      <c r="Z768" s="53">
        <v>7.0190640000000002</v>
      </c>
      <c r="AA768" s="53">
        <v>7.0174269999999996</v>
      </c>
      <c r="AB768" s="53">
        <v>7.0052719999999997</v>
      </c>
      <c r="AC768" s="53">
        <v>6.9592799999999997</v>
      </c>
      <c r="AD768" s="53">
        <v>6.9523320000000002</v>
      </c>
      <c r="AE768" s="53">
        <v>6.9751519999999996</v>
      </c>
      <c r="AF768" s="35">
        <v>5.2400000000000005E-4</v>
      </c>
      <c r="AG768" s="29"/>
    </row>
    <row r="769" spans="1:33" ht="15" customHeight="1">
      <c r="A769" s="34" t="s">
        <v>3651</v>
      </c>
      <c r="B769" s="37" t="s">
        <v>2735</v>
      </c>
      <c r="C769" s="53">
        <v>45.189728000000002</v>
      </c>
      <c r="D769" s="53">
        <v>44.367935000000003</v>
      </c>
      <c r="E769" s="53">
        <v>44.149296</v>
      </c>
      <c r="F769" s="53">
        <v>44.895057999999999</v>
      </c>
      <c r="G769" s="53">
        <v>46.169269999999997</v>
      </c>
      <c r="H769" s="53">
        <v>47.282863999999996</v>
      </c>
      <c r="I769" s="53">
        <v>48.237606</v>
      </c>
      <c r="J769" s="53">
        <v>49.146458000000003</v>
      </c>
      <c r="K769" s="53">
        <v>49.934742</v>
      </c>
      <c r="L769" s="53">
        <v>50.853504000000001</v>
      </c>
      <c r="M769" s="53">
        <v>52.005634000000001</v>
      </c>
      <c r="N769" s="53">
        <v>53.064976000000001</v>
      </c>
      <c r="O769" s="53">
        <v>54.071818999999998</v>
      </c>
      <c r="P769" s="53">
        <v>55.253799000000001</v>
      </c>
      <c r="Q769" s="53">
        <v>56.297072999999997</v>
      </c>
      <c r="R769" s="53">
        <v>57.335442</v>
      </c>
      <c r="S769" s="53">
        <v>58.409775000000003</v>
      </c>
      <c r="T769" s="53">
        <v>59.396602999999999</v>
      </c>
      <c r="U769" s="53">
        <v>60.454070999999999</v>
      </c>
      <c r="V769" s="53">
        <v>61.664394000000001</v>
      </c>
      <c r="W769" s="53">
        <v>62.821865000000003</v>
      </c>
      <c r="X769" s="53">
        <v>64.082465999999997</v>
      </c>
      <c r="Y769" s="53">
        <v>65.197638999999995</v>
      </c>
      <c r="Z769" s="53">
        <v>66.236130000000003</v>
      </c>
      <c r="AA769" s="53">
        <v>67.391791999999995</v>
      </c>
      <c r="AB769" s="53">
        <v>68.612610000000004</v>
      </c>
      <c r="AC769" s="53">
        <v>69.701530000000005</v>
      </c>
      <c r="AD769" s="53">
        <v>70.832794000000007</v>
      </c>
      <c r="AE769" s="53">
        <v>72.42971</v>
      </c>
      <c r="AF769" s="35">
        <v>1.6990999999999999E-2</v>
      </c>
      <c r="AG769" s="29"/>
    </row>
    <row r="770" spans="1:33" ht="15" customHeight="1">
      <c r="A770" s="34" t="s">
        <v>3652</v>
      </c>
      <c r="B770" s="37" t="s">
        <v>1479</v>
      </c>
      <c r="C770" s="53">
        <v>20.702358</v>
      </c>
      <c r="D770" s="53">
        <v>19.805902</v>
      </c>
      <c r="E770" s="53">
        <v>19.590983999999999</v>
      </c>
      <c r="F770" s="53">
        <v>19.805969000000001</v>
      </c>
      <c r="G770" s="53">
        <v>20.196812000000001</v>
      </c>
      <c r="H770" s="53">
        <v>20.494530000000001</v>
      </c>
      <c r="I770" s="53">
        <v>20.774478999999999</v>
      </c>
      <c r="J770" s="53">
        <v>21.047308000000001</v>
      </c>
      <c r="K770" s="53">
        <v>21.285592999999999</v>
      </c>
      <c r="L770" s="53">
        <v>21.52495</v>
      </c>
      <c r="M770" s="53">
        <v>21.733166000000001</v>
      </c>
      <c r="N770" s="53">
        <v>21.926596</v>
      </c>
      <c r="O770" s="53">
        <v>22.119976000000001</v>
      </c>
      <c r="P770" s="53">
        <v>22.393916999999998</v>
      </c>
      <c r="Q770" s="53">
        <v>22.595053</v>
      </c>
      <c r="R770" s="53">
        <v>22.891117000000001</v>
      </c>
      <c r="S770" s="53">
        <v>23.158207000000001</v>
      </c>
      <c r="T770" s="53">
        <v>23.496700000000001</v>
      </c>
      <c r="U770" s="53">
        <v>23.883262999999999</v>
      </c>
      <c r="V770" s="53">
        <v>24.272096999999999</v>
      </c>
      <c r="W770" s="53">
        <v>24.539297000000001</v>
      </c>
      <c r="X770" s="53">
        <v>24.668479999999999</v>
      </c>
      <c r="Y770" s="53">
        <v>24.938545000000001</v>
      </c>
      <c r="Z770" s="53">
        <v>25.270420000000001</v>
      </c>
      <c r="AA770" s="53">
        <v>25.587292000000001</v>
      </c>
      <c r="AB770" s="53">
        <v>25.890221</v>
      </c>
      <c r="AC770" s="53">
        <v>26.113842000000002</v>
      </c>
      <c r="AD770" s="53">
        <v>26.341629000000001</v>
      </c>
      <c r="AE770" s="53">
        <v>26.618870000000001</v>
      </c>
      <c r="AF770" s="35">
        <v>9.018E-3</v>
      </c>
      <c r="AG770" s="29"/>
    </row>
    <row r="771" spans="1:33" ht="15" customHeight="1">
      <c r="A771" s="34" t="s">
        <v>3653</v>
      </c>
      <c r="B771" s="37" t="s">
        <v>1477</v>
      </c>
      <c r="C771" s="53">
        <v>4.1661739999999998</v>
      </c>
      <c r="D771" s="53">
        <v>3.9389690000000002</v>
      </c>
      <c r="E771" s="53">
        <v>3.8899050000000002</v>
      </c>
      <c r="F771" s="53">
        <v>3.8946580000000002</v>
      </c>
      <c r="G771" s="53">
        <v>4.0081030000000002</v>
      </c>
      <c r="H771" s="53">
        <v>4.0817160000000001</v>
      </c>
      <c r="I771" s="53">
        <v>4.1367469999999997</v>
      </c>
      <c r="J771" s="53">
        <v>4.1869680000000002</v>
      </c>
      <c r="K771" s="53">
        <v>4.2212810000000003</v>
      </c>
      <c r="L771" s="53">
        <v>4.2610039999999998</v>
      </c>
      <c r="M771" s="53">
        <v>4.3027819999999997</v>
      </c>
      <c r="N771" s="53">
        <v>4.3546969999999998</v>
      </c>
      <c r="O771" s="53">
        <v>4.4116799999999996</v>
      </c>
      <c r="P771" s="53">
        <v>4.4842370000000003</v>
      </c>
      <c r="Q771" s="53">
        <v>4.5217289999999997</v>
      </c>
      <c r="R771" s="53">
        <v>4.5768500000000003</v>
      </c>
      <c r="S771" s="53">
        <v>4.6281280000000002</v>
      </c>
      <c r="T771" s="53">
        <v>4.7195510000000001</v>
      </c>
      <c r="U771" s="53">
        <v>4.8082859999999998</v>
      </c>
      <c r="V771" s="53">
        <v>4.8753510000000002</v>
      </c>
      <c r="W771" s="53">
        <v>4.9542869999999999</v>
      </c>
      <c r="X771" s="53">
        <v>4.9908289999999997</v>
      </c>
      <c r="Y771" s="53">
        <v>5.0446920000000004</v>
      </c>
      <c r="Z771" s="53">
        <v>5.1080680000000003</v>
      </c>
      <c r="AA771" s="53">
        <v>5.1965669999999999</v>
      </c>
      <c r="AB771" s="53">
        <v>5.2540940000000003</v>
      </c>
      <c r="AC771" s="53">
        <v>5.2809629999999999</v>
      </c>
      <c r="AD771" s="53">
        <v>5.3293910000000002</v>
      </c>
      <c r="AE771" s="53">
        <v>5.3943890000000003</v>
      </c>
      <c r="AF771" s="35">
        <v>9.2700000000000005E-3</v>
      </c>
      <c r="AG771" s="29"/>
    </row>
    <row r="772" spans="1:33" ht="15" customHeight="1">
      <c r="A772" s="34" t="s">
        <v>3654</v>
      </c>
      <c r="B772" s="37" t="s">
        <v>1465</v>
      </c>
      <c r="C772" s="53">
        <v>3.2081580000000001</v>
      </c>
      <c r="D772" s="53">
        <v>3.0991339999999998</v>
      </c>
      <c r="E772" s="53">
        <v>3.0875560000000002</v>
      </c>
      <c r="F772" s="53">
        <v>3.152574</v>
      </c>
      <c r="G772" s="53">
        <v>3.2248730000000001</v>
      </c>
      <c r="H772" s="53">
        <v>3.2646139999999999</v>
      </c>
      <c r="I772" s="53">
        <v>3.3224369999999999</v>
      </c>
      <c r="J772" s="53">
        <v>3.3864580000000002</v>
      </c>
      <c r="K772" s="53">
        <v>3.4703629999999999</v>
      </c>
      <c r="L772" s="53">
        <v>3.5575920000000001</v>
      </c>
      <c r="M772" s="53">
        <v>3.5764399999999998</v>
      </c>
      <c r="N772" s="53">
        <v>3.6062289999999999</v>
      </c>
      <c r="O772" s="53">
        <v>3.6847089999999998</v>
      </c>
      <c r="P772" s="53">
        <v>3.74403</v>
      </c>
      <c r="Q772" s="53">
        <v>3.810235</v>
      </c>
      <c r="R772" s="53">
        <v>3.8972859999999998</v>
      </c>
      <c r="S772" s="53">
        <v>3.923854</v>
      </c>
      <c r="T772" s="53">
        <v>4.0223699999999996</v>
      </c>
      <c r="U772" s="53">
        <v>4.130668</v>
      </c>
      <c r="V772" s="53">
        <v>4.2460709999999997</v>
      </c>
      <c r="W772" s="53">
        <v>4.3195030000000001</v>
      </c>
      <c r="X772" s="53">
        <v>4.3799650000000003</v>
      </c>
      <c r="Y772" s="53">
        <v>4.4726169999999996</v>
      </c>
      <c r="Z772" s="53">
        <v>4.5718769999999997</v>
      </c>
      <c r="AA772" s="53">
        <v>4.670547</v>
      </c>
      <c r="AB772" s="53">
        <v>4.7672369999999997</v>
      </c>
      <c r="AC772" s="53">
        <v>4.8492360000000003</v>
      </c>
      <c r="AD772" s="53">
        <v>4.930059</v>
      </c>
      <c r="AE772" s="53">
        <v>5.0223890000000004</v>
      </c>
      <c r="AF772" s="35">
        <v>1.6136000000000001E-2</v>
      </c>
      <c r="AG772" s="29"/>
    </row>
    <row r="773" spans="1:33" ht="15" customHeight="1">
      <c r="A773" s="34" t="s">
        <v>3655</v>
      </c>
      <c r="B773" s="37" t="s">
        <v>2740</v>
      </c>
      <c r="C773" s="53">
        <v>13.328027000000001</v>
      </c>
      <c r="D773" s="53">
        <v>12.767798000000001</v>
      </c>
      <c r="E773" s="53">
        <v>12.613523000000001</v>
      </c>
      <c r="F773" s="53">
        <v>12.758737</v>
      </c>
      <c r="G773" s="53">
        <v>12.963836000000001</v>
      </c>
      <c r="H773" s="53">
        <v>13.148201</v>
      </c>
      <c r="I773" s="53">
        <v>13.315296</v>
      </c>
      <c r="J773" s="53">
        <v>13.473882</v>
      </c>
      <c r="K773" s="53">
        <v>13.593949</v>
      </c>
      <c r="L773" s="53">
        <v>13.706353999999999</v>
      </c>
      <c r="M773" s="53">
        <v>13.853945</v>
      </c>
      <c r="N773" s="53">
        <v>13.965669999999999</v>
      </c>
      <c r="O773" s="53">
        <v>14.023588999999999</v>
      </c>
      <c r="P773" s="53">
        <v>14.165649999999999</v>
      </c>
      <c r="Q773" s="53">
        <v>14.263089000000001</v>
      </c>
      <c r="R773" s="53">
        <v>14.416981</v>
      </c>
      <c r="S773" s="53">
        <v>14.606225</v>
      </c>
      <c r="T773" s="53">
        <v>14.754780999999999</v>
      </c>
      <c r="U773" s="53">
        <v>14.944307999999999</v>
      </c>
      <c r="V773" s="53">
        <v>15.150675</v>
      </c>
      <c r="W773" s="53">
        <v>15.265506999999999</v>
      </c>
      <c r="X773" s="53">
        <v>15.297686000000001</v>
      </c>
      <c r="Y773" s="53">
        <v>15.421236</v>
      </c>
      <c r="Z773" s="53">
        <v>15.590472999999999</v>
      </c>
      <c r="AA773" s="53">
        <v>15.720179</v>
      </c>
      <c r="AB773" s="53">
        <v>15.868892000000001</v>
      </c>
      <c r="AC773" s="53">
        <v>15.983643000000001</v>
      </c>
      <c r="AD773" s="53">
        <v>16.082177999999999</v>
      </c>
      <c r="AE773" s="53">
        <v>16.202090999999999</v>
      </c>
      <c r="AF773" s="35">
        <v>6.9979999999999999E-3</v>
      </c>
      <c r="AG773" s="29"/>
    </row>
    <row r="774" spans="1:33" ht="15" customHeight="1">
      <c r="A774" s="34" t="s">
        <v>3656</v>
      </c>
      <c r="B774" s="37" t="s">
        <v>2742</v>
      </c>
      <c r="C774" s="53">
        <v>25.065916000000001</v>
      </c>
      <c r="D774" s="53">
        <v>24.763750000000002</v>
      </c>
      <c r="E774" s="53">
        <v>24.706371000000001</v>
      </c>
      <c r="F774" s="53">
        <v>25.419917999999999</v>
      </c>
      <c r="G774" s="53">
        <v>26.574749000000001</v>
      </c>
      <c r="H774" s="53">
        <v>27.326042000000001</v>
      </c>
      <c r="I774" s="53">
        <v>27.716615999999998</v>
      </c>
      <c r="J774" s="53">
        <v>28.073248</v>
      </c>
      <c r="K774" s="53">
        <v>28.192934000000001</v>
      </c>
      <c r="L774" s="53">
        <v>28.381065</v>
      </c>
      <c r="M774" s="53">
        <v>28.759235</v>
      </c>
      <c r="N774" s="53">
        <v>28.926361</v>
      </c>
      <c r="O774" s="53">
        <v>29.208452000000001</v>
      </c>
      <c r="P774" s="53">
        <v>29.598251000000001</v>
      </c>
      <c r="Q774" s="53">
        <v>30.011873000000001</v>
      </c>
      <c r="R774" s="53">
        <v>30.575199000000001</v>
      </c>
      <c r="S774" s="53">
        <v>31.077976</v>
      </c>
      <c r="T774" s="53">
        <v>31.492722000000001</v>
      </c>
      <c r="U774" s="53">
        <v>32.001389000000003</v>
      </c>
      <c r="V774" s="53">
        <v>32.580756999999998</v>
      </c>
      <c r="W774" s="53">
        <v>33.138953999999998</v>
      </c>
      <c r="X774" s="53">
        <v>33.599060000000001</v>
      </c>
      <c r="Y774" s="53">
        <v>34.010551</v>
      </c>
      <c r="Z774" s="53">
        <v>34.413345</v>
      </c>
      <c r="AA774" s="53">
        <v>34.898712000000003</v>
      </c>
      <c r="AB774" s="53">
        <v>35.424427000000001</v>
      </c>
      <c r="AC774" s="53">
        <v>35.833663999999999</v>
      </c>
      <c r="AD774" s="53">
        <v>36.269607999999998</v>
      </c>
      <c r="AE774" s="53">
        <v>36.918174999999998</v>
      </c>
      <c r="AF774" s="35">
        <v>1.3924000000000001E-2</v>
      </c>
      <c r="AG774" s="29"/>
    </row>
    <row r="775" spans="1:33" ht="15" customHeight="1">
      <c r="A775" s="34" t="s">
        <v>3657</v>
      </c>
      <c r="B775" s="37" t="s">
        <v>1464</v>
      </c>
      <c r="C775" s="53">
        <v>15.67652</v>
      </c>
      <c r="D775" s="53">
        <v>15.467421999999999</v>
      </c>
      <c r="E775" s="53">
        <v>15.317765</v>
      </c>
      <c r="F775" s="53">
        <v>15.766774</v>
      </c>
      <c r="G775" s="53">
        <v>16.625875000000001</v>
      </c>
      <c r="H775" s="53">
        <v>17.138871999999999</v>
      </c>
      <c r="I775" s="53">
        <v>17.364377999999999</v>
      </c>
      <c r="J775" s="53">
        <v>17.589243</v>
      </c>
      <c r="K775" s="53">
        <v>17.629421000000001</v>
      </c>
      <c r="L775" s="53">
        <v>17.738015999999998</v>
      </c>
      <c r="M775" s="53">
        <v>18.038526999999998</v>
      </c>
      <c r="N775" s="53">
        <v>18.087263</v>
      </c>
      <c r="O775" s="53">
        <v>18.202563999999999</v>
      </c>
      <c r="P775" s="53">
        <v>18.429580999999999</v>
      </c>
      <c r="Q775" s="53">
        <v>18.627078999999998</v>
      </c>
      <c r="R775" s="53">
        <v>18.984998999999998</v>
      </c>
      <c r="S775" s="53">
        <v>19.245100000000001</v>
      </c>
      <c r="T775" s="53">
        <v>19.396239999999999</v>
      </c>
      <c r="U775" s="53">
        <v>19.657135</v>
      </c>
      <c r="V775" s="53">
        <v>19.984670999999999</v>
      </c>
      <c r="W775" s="53">
        <v>20.293513999999998</v>
      </c>
      <c r="X775" s="53">
        <v>20.503098999999999</v>
      </c>
      <c r="Y775" s="53">
        <v>20.652498000000001</v>
      </c>
      <c r="Z775" s="53">
        <v>20.751642</v>
      </c>
      <c r="AA775" s="53">
        <v>20.931712999999998</v>
      </c>
      <c r="AB775" s="53">
        <v>21.182537</v>
      </c>
      <c r="AC775" s="53">
        <v>21.346959999999999</v>
      </c>
      <c r="AD775" s="53">
        <v>21.526509999999998</v>
      </c>
      <c r="AE775" s="53">
        <v>21.896971000000001</v>
      </c>
      <c r="AF775" s="35">
        <v>1.2007E-2</v>
      </c>
      <c r="AG775" s="29"/>
    </row>
    <row r="776" spans="1:33" ht="15" customHeight="1">
      <c r="A776" s="34" t="s">
        <v>3658</v>
      </c>
      <c r="B776" s="37" t="s">
        <v>1482</v>
      </c>
      <c r="C776" s="53">
        <v>3.2261739999999999</v>
      </c>
      <c r="D776" s="53">
        <v>3.0894490000000001</v>
      </c>
      <c r="E776" s="53">
        <v>3.0294349999999999</v>
      </c>
      <c r="F776" s="53">
        <v>3.0360429999999998</v>
      </c>
      <c r="G776" s="53">
        <v>3.063517</v>
      </c>
      <c r="H776" s="53">
        <v>3.0862059999999998</v>
      </c>
      <c r="I776" s="53">
        <v>3.0732400000000002</v>
      </c>
      <c r="J776" s="53">
        <v>3.0490499999999998</v>
      </c>
      <c r="K776" s="53">
        <v>3.0172379999999999</v>
      </c>
      <c r="L776" s="53">
        <v>2.9907319999999999</v>
      </c>
      <c r="M776" s="53">
        <v>2.9400369999999998</v>
      </c>
      <c r="N776" s="53">
        <v>2.9189229999999999</v>
      </c>
      <c r="O776" s="53">
        <v>2.9127040000000002</v>
      </c>
      <c r="P776" s="53">
        <v>2.9133640000000001</v>
      </c>
      <c r="Q776" s="53">
        <v>2.9220649999999999</v>
      </c>
      <c r="R776" s="53">
        <v>2.9416060000000002</v>
      </c>
      <c r="S776" s="53">
        <v>2.9449679999999998</v>
      </c>
      <c r="T776" s="53">
        <v>2.9607250000000001</v>
      </c>
      <c r="U776" s="53">
        <v>2.9710730000000001</v>
      </c>
      <c r="V776" s="53">
        <v>2.9964620000000002</v>
      </c>
      <c r="W776" s="53">
        <v>3.0210360000000001</v>
      </c>
      <c r="X776" s="53">
        <v>3.0351270000000001</v>
      </c>
      <c r="Y776" s="53">
        <v>3.0367709999999999</v>
      </c>
      <c r="Z776" s="53">
        <v>3.0539000000000001</v>
      </c>
      <c r="AA776" s="53">
        <v>3.0795889999999999</v>
      </c>
      <c r="AB776" s="53">
        <v>3.0979130000000001</v>
      </c>
      <c r="AC776" s="53">
        <v>3.0889120000000001</v>
      </c>
      <c r="AD776" s="53">
        <v>3.0908180000000001</v>
      </c>
      <c r="AE776" s="53">
        <v>3.1153810000000002</v>
      </c>
      <c r="AF776" s="35">
        <v>-1.2470000000000001E-3</v>
      </c>
      <c r="AG776" s="29"/>
    </row>
    <row r="777" spans="1:33" ht="12" customHeight="1">
      <c r="A777" s="34" t="s">
        <v>3659</v>
      </c>
      <c r="B777" s="37" t="s">
        <v>1486</v>
      </c>
      <c r="C777" s="53">
        <v>6.1632220000000002</v>
      </c>
      <c r="D777" s="53">
        <v>6.2068779999999997</v>
      </c>
      <c r="E777" s="53">
        <v>6.3591709999999999</v>
      </c>
      <c r="F777" s="53">
        <v>6.6171009999999999</v>
      </c>
      <c r="G777" s="53">
        <v>6.8853559999999998</v>
      </c>
      <c r="H777" s="53">
        <v>7.1009630000000001</v>
      </c>
      <c r="I777" s="53">
        <v>7.2789979999999996</v>
      </c>
      <c r="J777" s="53">
        <v>7.4349559999999997</v>
      </c>
      <c r="K777" s="53">
        <v>7.5462749999999996</v>
      </c>
      <c r="L777" s="53">
        <v>7.652317</v>
      </c>
      <c r="M777" s="53">
        <v>7.7806709999999999</v>
      </c>
      <c r="N777" s="53">
        <v>7.9201759999999997</v>
      </c>
      <c r="O777" s="53">
        <v>8.0931840000000008</v>
      </c>
      <c r="P777" s="53">
        <v>8.2553059999999991</v>
      </c>
      <c r="Q777" s="53">
        <v>8.4627289999999995</v>
      </c>
      <c r="R777" s="53">
        <v>8.6485939999999992</v>
      </c>
      <c r="S777" s="53">
        <v>8.8879099999999998</v>
      </c>
      <c r="T777" s="53">
        <v>9.1357560000000007</v>
      </c>
      <c r="U777" s="53">
        <v>9.3731799999999996</v>
      </c>
      <c r="V777" s="53">
        <v>9.5996240000000004</v>
      </c>
      <c r="W777" s="53">
        <v>9.8244030000000002</v>
      </c>
      <c r="X777" s="53">
        <v>10.060834</v>
      </c>
      <c r="Y777" s="53">
        <v>10.32128</v>
      </c>
      <c r="Z777" s="53">
        <v>10.607801</v>
      </c>
      <c r="AA777" s="53">
        <v>10.887407</v>
      </c>
      <c r="AB777" s="53">
        <v>11.143974999999999</v>
      </c>
      <c r="AC777" s="53">
        <v>11.397789</v>
      </c>
      <c r="AD777" s="53">
        <v>11.652281</v>
      </c>
      <c r="AE777" s="53">
        <v>11.905825</v>
      </c>
      <c r="AF777" s="35">
        <v>2.3793999999999999E-2</v>
      </c>
      <c r="AG777" s="29"/>
    </row>
    <row r="778" spans="1:33" ht="15" customHeight="1">
      <c r="A778" s="34" t="s">
        <v>3660</v>
      </c>
      <c r="B778" s="37" t="s">
        <v>2747</v>
      </c>
      <c r="C778" s="53">
        <v>36.110008000000001</v>
      </c>
      <c r="D778" s="53">
        <v>35.421055000000003</v>
      </c>
      <c r="E778" s="53">
        <v>35.177765000000001</v>
      </c>
      <c r="F778" s="53">
        <v>35.811539000000003</v>
      </c>
      <c r="G778" s="53">
        <v>37.006596000000002</v>
      </c>
      <c r="H778" s="53">
        <v>37.998455</v>
      </c>
      <c r="I778" s="53">
        <v>38.613686000000001</v>
      </c>
      <c r="J778" s="53">
        <v>39.065975000000002</v>
      </c>
      <c r="K778" s="53">
        <v>39.343314999999997</v>
      </c>
      <c r="L778" s="53">
        <v>39.812218000000001</v>
      </c>
      <c r="M778" s="53">
        <v>40.643166000000001</v>
      </c>
      <c r="N778" s="53">
        <v>41.357692999999998</v>
      </c>
      <c r="O778" s="53">
        <v>41.970942999999998</v>
      </c>
      <c r="P778" s="53">
        <v>42.824005</v>
      </c>
      <c r="Q778" s="53">
        <v>43.729827999999998</v>
      </c>
      <c r="R778" s="53">
        <v>44.745868999999999</v>
      </c>
      <c r="S778" s="53">
        <v>45.843860999999997</v>
      </c>
      <c r="T778" s="53">
        <v>46.648952000000001</v>
      </c>
      <c r="U778" s="53">
        <v>47.464576999999998</v>
      </c>
      <c r="V778" s="53">
        <v>48.498730000000002</v>
      </c>
      <c r="W778" s="53">
        <v>49.345900999999998</v>
      </c>
      <c r="X778" s="53">
        <v>50.073008999999999</v>
      </c>
      <c r="Y778" s="53">
        <v>50.583087999999996</v>
      </c>
      <c r="Z778" s="53">
        <v>50.898766000000002</v>
      </c>
      <c r="AA778" s="53">
        <v>51.250725000000003</v>
      </c>
      <c r="AB778" s="53">
        <v>51.779815999999997</v>
      </c>
      <c r="AC778" s="53">
        <v>52.076701999999997</v>
      </c>
      <c r="AD778" s="53">
        <v>52.209384999999997</v>
      </c>
      <c r="AE778" s="53">
        <v>53.045577999999999</v>
      </c>
      <c r="AF778" s="35">
        <v>1.383E-2</v>
      </c>
      <c r="AG778" s="29"/>
    </row>
    <row r="779" spans="1:33" ht="15" customHeight="1">
      <c r="A779" s="34" t="s">
        <v>3661</v>
      </c>
      <c r="B779" s="37" t="s">
        <v>2749</v>
      </c>
      <c r="C779" s="53">
        <v>44.175800000000002</v>
      </c>
      <c r="D779" s="53">
        <v>43.424506999999998</v>
      </c>
      <c r="E779" s="53">
        <v>43.363872999999998</v>
      </c>
      <c r="F779" s="53">
        <v>43.823855999999999</v>
      </c>
      <c r="G779" s="53">
        <v>45.319344000000001</v>
      </c>
      <c r="H779" s="53">
        <v>46.649349000000001</v>
      </c>
      <c r="I779" s="53">
        <v>47.175925999999997</v>
      </c>
      <c r="J779" s="53">
        <v>47.628661999999998</v>
      </c>
      <c r="K779" s="53">
        <v>48.079594</v>
      </c>
      <c r="L779" s="53">
        <v>48.813377000000003</v>
      </c>
      <c r="M779" s="53">
        <v>50.026561999999998</v>
      </c>
      <c r="N779" s="53">
        <v>50.902821000000003</v>
      </c>
      <c r="O779" s="53">
        <v>51.645598999999997</v>
      </c>
      <c r="P779" s="53">
        <v>52.521225000000001</v>
      </c>
      <c r="Q779" s="53">
        <v>53.314929999999997</v>
      </c>
      <c r="R779" s="53">
        <v>54.126877</v>
      </c>
      <c r="S779" s="53">
        <v>54.968086</v>
      </c>
      <c r="T779" s="53">
        <v>55.685093000000002</v>
      </c>
      <c r="U779" s="53">
        <v>56.424670999999996</v>
      </c>
      <c r="V779" s="53">
        <v>57.290703000000001</v>
      </c>
      <c r="W779" s="53">
        <v>57.978634</v>
      </c>
      <c r="X779" s="53">
        <v>58.511004999999997</v>
      </c>
      <c r="Y779" s="53">
        <v>58.912987000000001</v>
      </c>
      <c r="Z779" s="53">
        <v>59.239497999999998</v>
      </c>
      <c r="AA779" s="53">
        <v>59.820999</v>
      </c>
      <c r="AB779" s="53">
        <v>60.468876000000002</v>
      </c>
      <c r="AC779" s="53">
        <v>61.042800999999997</v>
      </c>
      <c r="AD779" s="53">
        <v>61.406692999999997</v>
      </c>
      <c r="AE779" s="53">
        <v>62.174278000000001</v>
      </c>
      <c r="AF779" s="35">
        <v>1.2281E-2</v>
      </c>
      <c r="AG779" s="29"/>
    </row>
    <row r="780" spans="1:33" ht="15" customHeight="1">
      <c r="A780" s="34" t="s">
        <v>3662</v>
      </c>
      <c r="B780" s="37" t="s">
        <v>2751</v>
      </c>
      <c r="C780" s="53">
        <v>54.873748999999997</v>
      </c>
      <c r="D780" s="53">
        <v>55.727749000000003</v>
      </c>
      <c r="E780" s="53">
        <v>57.424232000000003</v>
      </c>
      <c r="F780" s="53">
        <v>59.574268000000004</v>
      </c>
      <c r="G780" s="53">
        <v>62.195210000000003</v>
      </c>
      <c r="H780" s="53">
        <v>64.434616000000005</v>
      </c>
      <c r="I780" s="53">
        <v>66.335312000000002</v>
      </c>
      <c r="J780" s="53">
        <v>67.827301000000006</v>
      </c>
      <c r="K780" s="53">
        <v>68.859459000000001</v>
      </c>
      <c r="L780" s="53">
        <v>70.227035999999998</v>
      </c>
      <c r="M780" s="53">
        <v>71.652573000000004</v>
      </c>
      <c r="N780" s="53">
        <v>73.045845</v>
      </c>
      <c r="O780" s="53">
        <v>74.684669</v>
      </c>
      <c r="P780" s="53">
        <v>76.310851999999997</v>
      </c>
      <c r="Q780" s="53">
        <v>78.029883999999996</v>
      </c>
      <c r="R780" s="53">
        <v>79.929885999999996</v>
      </c>
      <c r="S780" s="53">
        <v>82.050331</v>
      </c>
      <c r="T780" s="53">
        <v>84.180808999999996</v>
      </c>
      <c r="U780" s="53">
        <v>86.729804999999999</v>
      </c>
      <c r="V780" s="53">
        <v>89.250327999999996</v>
      </c>
      <c r="W780" s="53">
        <v>91.430449999999993</v>
      </c>
      <c r="X780" s="53">
        <v>93.770988000000003</v>
      </c>
      <c r="Y780" s="53">
        <v>96.030700999999993</v>
      </c>
      <c r="Z780" s="53">
        <v>98.169280999999998</v>
      </c>
      <c r="AA780" s="53">
        <v>100.34839599999999</v>
      </c>
      <c r="AB780" s="53">
        <v>102.57379899999999</v>
      </c>
      <c r="AC780" s="53">
        <v>104.725746</v>
      </c>
      <c r="AD780" s="53">
        <v>107.111633</v>
      </c>
      <c r="AE780" s="53">
        <v>109.827606</v>
      </c>
      <c r="AF780" s="35">
        <v>2.5090999999999999E-2</v>
      </c>
      <c r="AG780" s="29"/>
    </row>
    <row r="781" spans="1:33" ht="15" customHeight="1">
      <c r="A781" s="34" t="s">
        <v>3663</v>
      </c>
      <c r="B781" s="37" t="s">
        <v>2753</v>
      </c>
      <c r="C781" s="53">
        <v>151.02053799999999</v>
      </c>
      <c r="D781" s="53">
        <v>157.18626399999999</v>
      </c>
      <c r="E781" s="53">
        <v>160.188019</v>
      </c>
      <c r="F781" s="53">
        <v>160.42836</v>
      </c>
      <c r="G781" s="53">
        <v>162.051254</v>
      </c>
      <c r="H781" s="53">
        <v>165.622986</v>
      </c>
      <c r="I781" s="53">
        <v>168.656113</v>
      </c>
      <c r="J781" s="53">
        <v>170.550659</v>
      </c>
      <c r="K781" s="53">
        <v>172.73223899999999</v>
      </c>
      <c r="L781" s="53">
        <v>176.06445299999999</v>
      </c>
      <c r="M781" s="53">
        <v>180.723175</v>
      </c>
      <c r="N781" s="53">
        <v>184.879074</v>
      </c>
      <c r="O781" s="53">
        <v>188.17120399999999</v>
      </c>
      <c r="P781" s="53">
        <v>191.838516</v>
      </c>
      <c r="Q781" s="53">
        <v>195.52787799999999</v>
      </c>
      <c r="R781" s="53">
        <v>198.36335800000001</v>
      </c>
      <c r="S781" s="53">
        <v>201.35929899999999</v>
      </c>
      <c r="T781" s="53">
        <v>203.89347799999999</v>
      </c>
      <c r="U781" s="53">
        <v>207.60316499999999</v>
      </c>
      <c r="V781" s="53">
        <v>212.07875100000001</v>
      </c>
      <c r="W781" s="53">
        <v>216.31285099999999</v>
      </c>
      <c r="X781" s="53">
        <v>220.10102800000001</v>
      </c>
      <c r="Y781" s="53">
        <v>223.36286899999999</v>
      </c>
      <c r="Z781" s="53">
        <v>226.64825400000001</v>
      </c>
      <c r="AA781" s="53">
        <v>230.76208500000001</v>
      </c>
      <c r="AB781" s="53">
        <v>235.199173</v>
      </c>
      <c r="AC781" s="53">
        <v>239.25692699999999</v>
      </c>
      <c r="AD781" s="53">
        <v>243.190811</v>
      </c>
      <c r="AE781" s="53">
        <v>247.994507</v>
      </c>
      <c r="AF781" s="35">
        <v>1.7871999999999999E-2</v>
      </c>
      <c r="AG781" s="29"/>
    </row>
    <row r="782" spans="1:33" ht="15" customHeight="1">
      <c r="A782" s="34" t="s">
        <v>3664</v>
      </c>
      <c r="B782" s="37" t="s">
        <v>2755</v>
      </c>
      <c r="C782" s="53">
        <v>24.833784000000001</v>
      </c>
      <c r="D782" s="53">
        <v>24.944137999999999</v>
      </c>
      <c r="E782" s="53">
        <v>25.302679000000001</v>
      </c>
      <c r="F782" s="53">
        <v>25.981566999999998</v>
      </c>
      <c r="G782" s="53">
        <v>26.643578000000002</v>
      </c>
      <c r="H782" s="53">
        <v>27.236598999999998</v>
      </c>
      <c r="I782" s="53">
        <v>27.762184000000001</v>
      </c>
      <c r="J782" s="53">
        <v>28.207225999999999</v>
      </c>
      <c r="K782" s="53">
        <v>28.588868999999999</v>
      </c>
      <c r="L782" s="53">
        <v>28.831381</v>
      </c>
      <c r="M782" s="53">
        <v>29.444744</v>
      </c>
      <c r="N782" s="53">
        <v>30.270536</v>
      </c>
      <c r="O782" s="53">
        <v>31.075735000000002</v>
      </c>
      <c r="P782" s="53">
        <v>31.934711</v>
      </c>
      <c r="Q782" s="53">
        <v>32.802734000000001</v>
      </c>
      <c r="R782" s="53">
        <v>33.718474999999998</v>
      </c>
      <c r="S782" s="53">
        <v>34.715656000000003</v>
      </c>
      <c r="T782" s="53">
        <v>35.722645</v>
      </c>
      <c r="U782" s="53">
        <v>36.775222999999997</v>
      </c>
      <c r="V782" s="53">
        <v>37.861274999999999</v>
      </c>
      <c r="W782" s="53">
        <v>38.869843000000003</v>
      </c>
      <c r="X782" s="53">
        <v>39.941723000000003</v>
      </c>
      <c r="Y782" s="53">
        <v>40.998370999999999</v>
      </c>
      <c r="Z782" s="53">
        <v>42.025658</v>
      </c>
      <c r="AA782" s="53">
        <v>43.087100999999997</v>
      </c>
      <c r="AB782" s="53">
        <v>44.200783000000001</v>
      </c>
      <c r="AC782" s="53">
        <v>45.322223999999999</v>
      </c>
      <c r="AD782" s="53">
        <v>46.420493999999998</v>
      </c>
      <c r="AE782" s="53">
        <v>47.738396000000002</v>
      </c>
      <c r="AF782" s="35">
        <v>2.3615000000000001E-2</v>
      </c>
      <c r="AG782" s="29"/>
    </row>
    <row r="783" spans="1:33" ht="15" customHeight="1">
      <c r="A783" s="34" t="s">
        <v>3665</v>
      </c>
      <c r="B783" s="37" t="s">
        <v>1475</v>
      </c>
      <c r="C783" s="53">
        <v>20.950120999999999</v>
      </c>
      <c r="D783" s="53">
        <v>20.801075000000001</v>
      </c>
      <c r="E783" s="53">
        <v>20.895834000000001</v>
      </c>
      <c r="F783" s="53">
        <v>20.383551000000001</v>
      </c>
      <c r="G783" s="53">
        <v>20.244575999999999</v>
      </c>
      <c r="H783" s="53">
        <v>20.312784000000001</v>
      </c>
      <c r="I783" s="53">
        <v>20.523713999999998</v>
      </c>
      <c r="J783" s="53">
        <v>20.772283999999999</v>
      </c>
      <c r="K783" s="53">
        <v>21.022078</v>
      </c>
      <c r="L783" s="53">
        <v>21.293827</v>
      </c>
      <c r="M783" s="53">
        <v>21.707381999999999</v>
      </c>
      <c r="N783" s="53">
        <v>22.101230999999999</v>
      </c>
      <c r="O783" s="53">
        <v>22.519409</v>
      </c>
      <c r="P783" s="53">
        <v>22.849672000000002</v>
      </c>
      <c r="Q783" s="53">
        <v>23.13015</v>
      </c>
      <c r="R783" s="53">
        <v>23.502206999999999</v>
      </c>
      <c r="S783" s="53">
        <v>23.931681000000001</v>
      </c>
      <c r="T783" s="53">
        <v>24.326546</v>
      </c>
      <c r="U783" s="53">
        <v>24.776814999999999</v>
      </c>
      <c r="V783" s="53">
        <v>25.19293</v>
      </c>
      <c r="W783" s="53">
        <v>25.596405000000001</v>
      </c>
      <c r="X783" s="53">
        <v>26.007957000000001</v>
      </c>
      <c r="Y783" s="53">
        <v>26.371202</v>
      </c>
      <c r="Z783" s="53">
        <v>26.756229000000001</v>
      </c>
      <c r="AA783" s="53">
        <v>27.171381</v>
      </c>
      <c r="AB783" s="53">
        <v>27.626588999999999</v>
      </c>
      <c r="AC783" s="53">
        <v>28.043077</v>
      </c>
      <c r="AD783" s="53">
        <v>28.425820999999999</v>
      </c>
      <c r="AE783" s="53">
        <v>28.987977999999998</v>
      </c>
      <c r="AF783" s="35">
        <v>1.1665E-2</v>
      </c>
      <c r="AG783" s="29"/>
    </row>
    <row r="784" spans="1:33" ht="15" customHeight="1">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row>
    <row r="785" spans="1:33" ht="15" customHeight="1">
      <c r="A785" s="34" t="s">
        <v>3666</v>
      </c>
      <c r="B785" s="33" t="s">
        <v>2758</v>
      </c>
      <c r="C785" s="40">
        <v>1218.6513669999999</v>
      </c>
      <c r="D785" s="40">
        <v>1201.027832</v>
      </c>
      <c r="E785" s="40">
        <v>1202.9963379999999</v>
      </c>
      <c r="F785" s="40">
        <v>1215.104004</v>
      </c>
      <c r="G785" s="40">
        <v>1233.4492190000001</v>
      </c>
      <c r="H785" s="40">
        <v>1251.3264160000001</v>
      </c>
      <c r="I785" s="40">
        <v>1267.549072</v>
      </c>
      <c r="J785" s="40">
        <v>1285.571655</v>
      </c>
      <c r="K785" s="40">
        <v>1300.246948</v>
      </c>
      <c r="L785" s="40">
        <v>1314.0180660000001</v>
      </c>
      <c r="M785" s="40">
        <v>1330.818237</v>
      </c>
      <c r="N785" s="40">
        <v>1346.8258060000001</v>
      </c>
      <c r="O785" s="40">
        <v>1361.5491939999999</v>
      </c>
      <c r="P785" s="40">
        <v>1378.7738039999999</v>
      </c>
      <c r="Q785" s="40">
        <v>1396.8895259999999</v>
      </c>
      <c r="R785" s="40">
        <v>1416.211182</v>
      </c>
      <c r="S785" s="40">
        <v>1436.5688479999999</v>
      </c>
      <c r="T785" s="40">
        <v>1455.693726</v>
      </c>
      <c r="U785" s="40">
        <v>1477.7845460000001</v>
      </c>
      <c r="V785" s="40">
        <v>1502.453857</v>
      </c>
      <c r="W785" s="40">
        <v>1525.3973390000001</v>
      </c>
      <c r="X785" s="40">
        <v>1547.2407229999999</v>
      </c>
      <c r="Y785" s="40">
        <v>1567.2620850000001</v>
      </c>
      <c r="Z785" s="40">
        <v>1586.663452</v>
      </c>
      <c r="AA785" s="40">
        <v>1608.091919</v>
      </c>
      <c r="AB785" s="40">
        <v>1630.9904790000001</v>
      </c>
      <c r="AC785" s="40">
        <v>1651.454956</v>
      </c>
      <c r="AD785" s="40">
        <v>1671.0729980000001</v>
      </c>
      <c r="AE785" s="40">
        <v>1697.5595699999999</v>
      </c>
      <c r="AF785" s="31">
        <v>1.1908E-2</v>
      </c>
      <c r="AG785" s="29"/>
    </row>
    <row r="786" spans="1:33" ht="15" customHeight="1">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row>
    <row r="787" spans="1:33" ht="15" customHeight="1" thickBot="1">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row>
    <row r="788" spans="1:33" ht="15" customHeight="1">
      <c r="B788" s="54" t="s">
        <v>2584</v>
      </c>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29"/>
    </row>
    <row r="789" spans="1:33" ht="15" customHeight="1">
      <c r="B789" s="29" t="s">
        <v>2759</v>
      </c>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row>
    <row r="790" spans="1:33" ht="15" customHeight="1">
      <c r="B790" s="29" t="s">
        <v>2760</v>
      </c>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row>
    <row r="791" spans="1:33" ht="15" customHeight="1">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row>
    <row r="792" spans="1:33" ht="15" customHeight="1">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row>
    <row r="793" spans="1:33" ht="15" customHeight="1">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row>
    <row r="794" spans="1:33" ht="15" customHeight="1">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row>
    <row r="795" spans="1:33" ht="15" customHeight="1">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row>
    <row r="796" spans="1:33" ht="15" customHeight="1">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row>
    <row r="797" spans="1:33" ht="15" customHeight="1">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row>
    <row r="798" spans="1:33" ht="12" customHeight="1">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row>
    <row r="799" spans="1:33" ht="15" customHeight="1">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row>
    <row r="800" spans="1:33" ht="15" customHeight="1">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row>
    <row r="801" spans="2:33" ht="12" customHeight="1">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row>
    <row r="802" spans="2:33" ht="15" customHeight="1">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row>
    <row r="803" spans="2:33" ht="15" customHeight="1">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row>
    <row r="804" spans="2:33" ht="15" customHeight="1">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row>
    <row r="805" spans="2:33" ht="15" customHeight="1">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row>
    <row r="806" spans="2:33" ht="15" customHeight="1">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row>
    <row r="807" spans="2:33" ht="15" customHeight="1">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row>
    <row r="808" spans="2:33" ht="15" customHeight="1">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row>
    <row r="809" spans="2:33" ht="15" customHeight="1">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row>
    <row r="810" spans="2:33" ht="15" customHeight="1">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row>
    <row r="811" spans="2:33" ht="15" customHeight="1">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row>
    <row r="812" spans="2:33" ht="15" customHeight="1">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row>
    <row r="813" spans="2:33" ht="15" customHeight="1">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row>
    <row r="814" spans="2:33" ht="15" customHeight="1">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row>
    <row r="815" spans="2:33" ht="15" customHeight="1">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row>
    <row r="816" spans="2:33" ht="15" customHeight="1">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row>
    <row r="817" spans="2:33" ht="15" customHeight="1">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row>
    <row r="818" spans="2:33" ht="15" customHeight="1">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row>
    <row r="819" spans="2:33" ht="15" customHeight="1">
      <c r="B819" s="2185"/>
      <c r="C819" s="2185"/>
      <c r="D819" s="2185"/>
      <c r="E819" s="2185"/>
      <c r="F819" s="2185"/>
      <c r="G819" s="2185"/>
      <c r="H819" s="2185"/>
      <c r="I819" s="2185"/>
      <c r="J819" s="2185"/>
      <c r="K819" s="2185"/>
      <c r="L819" s="2185"/>
      <c r="M819" s="2185"/>
      <c r="N819" s="2185"/>
      <c r="O819" s="2185"/>
      <c r="P819" s="2185"/>
      <c r="Q819" s="2185"/>
      <c r="R819" s="2185"/>
      <c r="S819" s="2185"/>
      <c r="T819" s="2185"/>
      <c r="U819" s="2185"/>
      <c r="V819" s="2185"/>
      <c r="W819" s="2185"/>
      <c r="X819" s="2185"/>
      <c r="Y819" s="2185"/>
      <c r="Z819" s="2185"/>
      <c r="AA819" s="2185"/>
      <c r="AB819" s="2185"/>
      <c r="AC819" s="2185"/>
      <c r="AD819" s="2185"/>
      <c r="AE819" s="2185"/>
      <c r="AF819" s="2185"/>
      <c r="AG819" s="29"/>
    </row>
    <row r="820" spans="2:33" ht="15" customHeight="1">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row>
    <row r="821" spans="2:33" ht="15" customHeight="1">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row>
    <row r="822" spans="2:33" ht="15" customHeight="1">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row>
    <row r="823" spans="2:33" ht="15" customHeight="1">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row>
    <row r="824" spans="2:33" ht="15" customHeight="1">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row>
    <row r="825" spans="2:33" ht="15" customHeight="1">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row>
    <row r="826" spans="2:33" ht="15" customHeight="1">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row>
    <row r="827" spans="2:33" ht="15" customHeight="1">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row>
    <row r="828" spans="2:33" ht="15" customHeight="1">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row>
    <row r="829" spans="2:33" ht="15" customHeight="1">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row>
    <row r="830" spans="2:33" ht="15" customHeight="1">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row>
    <row r="831" spans="2:33" ht="15" customHeight="1">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row>
    <row r="832" spans="2:33" ht="15" customHeight="1">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row>
    <row r="833" spans="2:33" ht="12" customHeight="1">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row>
    <row r="834" spans="2:33" ht="12" customHeight="1">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row>
    <row r="835" spans="2:33" ht="12" customHeight="1">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row>
    <row r="836" spans="2:33" ht="12" customHeight="1">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row>
    <row r="837" spans="2:33" ht="12" customHeight="1">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row>
    <row r="838" spans="2:33" ht="12" customHeight="1">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row>
    <row r="839" spans="2:33" ht="12" customHeight="1">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row>
    <row r="840" spans="2:33" ht="12" customHeight="1">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row>
    <row r="841" spans="2:33" ht="12" customHeight="1">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row>
    <row r="842" spans="2:33" ht="12" customHeight="1">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row>
    <row r="843" spans="2:33" ht="12" customHeight="1">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row>
    <row r="844" spans="2:33" ht="12" customHeight="1">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row>
    <row r="845" spans="2:33" ht="12" customHeight="1">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row>
    <row r="846" spans="2:33" ht="12" customHeight="1">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row>
    <row r="847" spans="2:33" ht="12" customHeight="1">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row>
    <row r="848" spans="2:33" ht="12" customHeight="1">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row>
    <row r="849" spans="2:33" ht="12" customHeight="1">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row>
    <row r="850" spans="2:33" ht="15" customHeight="1">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row>
    <row r="851" spans="2:33" ht="15" customHeight="1">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row>
    <row r="852" spans="2:33" ht="15" customHeight="1">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row>
    <row r="853" spans="2:33" ht="15" customHeight="1">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row>
    <row r="854" spans="2:33" ht="15" customHeight="1">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row>
    <row r="855" spans="2:33" ht="15" customHeight="1">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row>
    <row r="856" spans="2:33" ht="12" customHeight="1">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row>
    <row r="857" spans="2:33" ht="15" customHeight="1">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row>
    <row r="858" spans="2:33" ht="15" customHeight="1">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row>
    <row r="859" spans="2:33" ht="15" customHeight="1">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row>
    <row r="860" spans="2:33" ht="15" customHeight="1">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row>
    <row r="861" spans="2:33" ht="15" customHeight="1">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row>
    <row r="862" spans="2:33" ht="15" customHeight="1">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row>
    <row r="863" spans="2:33" ht="15" customHeight="1">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row>
    <row r="864" spans="2:33" ht="15" customHeight="1">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row>
    <row r="865" spans="2:33" ht="15" customHeight="1">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row>
    <row r="866" spans="2:33" ht="12" customHeight="1">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row>
    <row r="867" spans="2:33" ht="15" customHeight="1">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row>
    <row r="868" spans="2:33" ht="15" customHeight="1">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row>
    <row r="869" spans="2:33" ht="15" customHeight="1">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row>
    <row r="870" spans="2:33" ht="15" customHeight="1">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row>
    <row r="871" spans="2:33" ht="15" customHeight="1">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row>
    <row r="872" spans="2:33" ht="15" customHeight="1">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row>
    <row r="873" spans="2:33" ht="15" customHeight="1">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row>
    <row r="874" spans="2:33" ht="15" customHeight="1">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row>
    <row r="875" spans="2:33" ht="15" customHeight="1">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row>
    <row r="876" spans="2:33" ht="15" customHeight="1">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row>
    <row r="877" spans="2:33" ht="12" customHeight="1">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row>
    <row r="878" spans="2:33" ht="15" customHeight="1">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row>
    <row r="879" spans="2:33" ht="15" customHeight="1">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row>
    <row r="880" spans="2:33" ht="12" customHeight="1">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row>
    <row r="881" spans="1:33" ht="15" customHeight="1">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row>
    <row r="882" spans="1:33" ht="15" customHeight="1">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row>
    <row r="883" spans="1:33" ht="15" customHeight="1">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row>
    <row r="884" spans="1:33" ht="15" customHeight="1">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t="s">
        <v>2056</v>
      </c>
      <c r="AG884" s="29"/>
    </row>
    <row r="885" spans="1:33" ht="15" customHeight="1">
      <c r="A885" s="34" t="s">
        <v>3667</v>
      </c>
      <c r="B885" s="46" t="s">
        <v>3668</v>
      </c>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43" t="s">
        <v>2058</v>
      </c>
      <c r="AG885" s="29"/>
    </row>
    <row r="886" spans="1:33" ht="15" customHeight="1">
      <c r="B886" s="45" t="s">
        <v>3669</v>
      </c>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43" t="s">
        <v>2059</v>
      </c>
      <c r="AG886" s="29"/>
    </row>
    <row r="887" spans="1:33" ht="15" customHeight="1">
      <c r="B887" s="45"/>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3" t="s">
        <v>2061</v>
      </c>
      <c r="AG887" s="29"/>
    </row>
    <row r="888" spans="1:33" ht="15" customHeight="1" thickBot="1">
      <c r="B888" s="42" t="s">
        <v>2690</v>
      </c>
      <c r="C888" s="42">
        <v>2022</v>
      </c>
      <c r="D888" s="42">
        <v>2023</v>
      </c>
      <c r="E888" s="42">
        <v>2024</v>
      </c>
      <c r="F888" s="42">
        <v>2025</v>
      </c>
      <c r="G888" s="42">
        <v>2026</v>
      </c>
      <c r="H888" s="42">
        <v>2027</v>
      </c>
      <c r="I888" s="42">
        <v>2028</v>
      </c>
      <c r="J888" s="42">
        <v>2029</v>
      </c>
      <c r="K888" s="42">
        <v>2030</v>
      </c>
      <c r="L888" s="42">
        <v>2031</v>
      </c>
      <c r="M888" s="42">
        <v>2032</v>
      </c>
      <c r="N888" s="42">
        <v>2033</v>
      </c>
      <c r="O888" s="42">
        <v>2034</v>
      </c>
      <c r="P888" s="42">
        <v>2035</v>
      </c>
      <c r="Q888" s="42">
        <v>2036</v>
      </c>
      <c r="R888" s="42">
        <v>2037</v>
      </c>
      <c r="S888" s="42">
        <v>2038</v>
      </c>
      <c r="T888" s="42">
        <v>2039</v>
      </c>
      <c r="U888" s="42">
        <v>2040</v>
      </c>
      <c r="V888" s="42">
        <v>2041</v>
      </c>
      <c r="W888" s="42">
        <v>2042</v>
      </c>
      <c r="X888" s="42">
        <v>2043</v>
      </c>
      <c r="Y888" s="42">
        <v>2044</v>
      </c>
      <c r="Z888" s="42">
        <v>2045</v>
      </c>
      <c r="AA888" s="42">
        <v>2046</v>
      </c>
      <c r="AB888" s="42">
        <v>2047</v>
      </c>
      <c r="AC888" s="42">
        <v>2048</v>
      </c>
      <c r="AD888" s="42">
        <v>2049</v>
      </c>
      <c r="AE888" s="42">
        <v>2050</v>
      </c>
      <c r="AF888" s="41">
        <v>2050</v>
      </c>
      <c r="AG888" s="29"/>
    </row>
    <row r="889" spans="1:33" ht="15" customHeight="1" thickTop="1">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row>
    <row r="890" spans="1:33" ht="15" customHeight="1">
      <c r="A890" s="34" t="s">
        <v>3670</v>
      </c>
      <c r="B890" s="33" t="s">
        <v>2692</v>
      </c>
      <c r="C890" s="40">
        <v>19750.261718999998</v>
      </c>
      <c r="D890" s="40">
        <v>19903.289062</v>
      </c>
      <c r="E890" s="40">
        <v>20095.435547000001</v>
      </c>
      <c r="F890" s="40">
        <v>20409.421875</v>
      </c>
      <c r="G890" s="40">
        <v>20840.714843999998</v>
      </c>
      <c r="H890" s="40">
        <v>21273.421875</v>
      </c>
      <c r="I890" s="40">
        <v>21681.255859000001</v>
      </c>
      <c r="J890" s="40">
        <v>22051.705077999999</v>
      </c>
      <c r="K890" s="40">
        <v>22391.814452999999</v>
      </c>
      <c r="L890" s="40">
        <v>22742.044922000001</v>
      </c>
      <c r="M890" s="40">
        <v>23153.001952999999</v>
      </c>
      <c r="N890" s="40">
        <v>23603.867188</v>
      </c>
      <c r="O890" s="40">
        <v>24055.123047000001</v>
      </c>
      <c r="P890" s="40">
        <v>24510.957031000002</v>
      </c>
      <c r="Q890" s="40">
        <v>24995.804688</v>
      </c>
      <c r="R890" s="40">
        <v>25506.921875</v>
      </c>
      <c r="S890" s="40">
        <v>26032.332031000002</v>
      </c>
      <c r="T890" s="40">
        <v>26566.107422000001</v>
      </c>
      <c r="U890" s="40">
        <v>27148.945312</v>
      </c>
      <c r="V890" s="40">
        <v>27734.087890999999</v>
      </c>
      <c r="W890" s="40">
        <v>28324.492188</v>
      </c>
      <c r="X890" s="40">
        <v>28926.738281000002</v>
      </c>
      <c r="Y890" s="40">
        <v>29527.414062</v>
      </c>
      <c r="Z890" s="40">
        <v>30130</v>
      </c>
      <c r="AA890" s="40">
        <v>30747.568359000001</v>
      </c>
      <c r="AB890" s="40">
        <v>31389.150390999999</v>
      </c>
      <c r="AC890" s="40">
        <v>32039.970702999999</v>
      </c>
      <c r="AD890" s="40">
        <v>32698.533202999999</v>
      </c>
      <c r="AE890" s="40">
        <v>33404.984375</v>
      </c>
      <c r="AF890" s="31">
        <v>1.8946999999999999E-2</v>
      </c>
      <c r="AG890" s="29"/>
    </row>
    <row r="891" spans="1:33" ht="15" customHeight="1">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row>
    <row r="892" spans="1:33" ht="15" customHeight="1">
      <c r="A892" s="34" t="s">
        <v>3671</v>
      </c>
      <c r="B892" s="33" t="s">
        <v>2694</v>
      </c>
      <c r="C892" s="40">
        <v>8.1671560000000003</v>
      </c>
      <c r="D892" s="40">
        <v>8.2268070000000009</v>
      </c>
      <c r="E892" s="40">
        <v>8.1508050000000001</v>
      </c>
      <c r="F892" s="40">
        <v>8.1175960000000007</v>
      </c>
      <c r="G892" s="40">
        <v>8.1417120000000001</v>
      </c>
      <c r="H892" s="40">
        <v>8.1866040000000009</v>
      </c>
      <c r="I892" s="40">
        <v>8.2272409999999994</v>
      </c>
      <c r="J892" s="40">
        <v>8.2468280000000007</v>
      </c>
      <c r="K892" s="40">
        <v>8.2480659999999997</v>
      </c>
      <c r="L892" s="40">
        <v>8.2417049999999996</v>
      </c>
      <c r="M892" s="40">
        <v>8.2443489999999997</v>
      </c>
      <c r="N892" s="40">
        <v>8.2647279999999999</v>
      </c>
      <c r="O892" s="40">
        <v>8.3042770000000008</v>
      </c>
      <c r="P892" s="40">
        <v>8.3317709999999998</v>
      </c>
      <c r="Q892" s="40">
        <v>8.3396860000000004</v>
      </c>
      <c r="R892" s="40">
        <v>8.3539089999999998</v>
      </c>
      <c r="S892" s="40">
        <v>8.3708910000000003</v>
      </c>
      <c r="T892" s="40">
        <v>8.3869579999999999</v>
      </c>
      <c r="U892" s="40">
        <v>8.4094499999999996</v>
      </c>
      <c r="V892" s="40">
        <v>8.4232060000000004</v>
      </c>
      <c r="W892" s="40">
        <v>8.436833</v>
      </c>
      <c r="X892" s="40">
        <v>8.4411710000000006</v>
      </c>
      <c r="Y892" s="40">
        <v>8.4437259999999998</v>
      </c>
      <c r="Z892" s="40">
        <v>8.4518380000000004</v>
      </c>
      <c r="AA892" s="40">
        <v>8.4641000000000002</v>
      </c>
      <c r="AB892" s="40">
        <v>8.4811580000000006</v>
      </c>
      <c r="AC892" s="40">
        <v>8.495412</v>
      </c>
      <c r="AD892" s="40">
        <v>8.5064499999999992</v>
      </c>
      <c r="AE892" s="40">
        <v>8.5211030000000001</v>
      </c>
      <c r="AF892" s="31">
        <v>1.516E-3</v>
      </c>
      <c r="AG892" s="29"/>
    </row>
    <row r="893" spans="1:33" ht="15" customHeight="1">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row>
    <row r="894" spans="1:33" ht="15" customHeight="1">
      <c r="B894" s="33" t="s">
        <v>2695</v>
      </c>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row>
    <row r="895" spans="1:33" ht="15" customHeight="1">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row>
    <row r="896" spans="1:33" ht="15" customHeight="1">
      <c r="B896" s="33" t="s">
        <v>2696</v>
      </c>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row>
    <row r="897" spans="1:33" ht="15" customHeight="1">
      <c r="A897" s="34" t="s">
        <v>3672</v>
      </c>
      <c r="B897" s="2182" t="s">
        <v>2698</v>
      </c>
      <c r="C897" s="2186">
        <v>25.827797</v>
      </c>
      <c r="D897" s="2186">
        <v>25.46632</v>
      </c>
      <c r="E897" s="2186">
        <v>25.566723</v>
      </c>
      <c r="F897" s="2186">
        <v>25.770250000000001</v>
      </c>
      <c r="G897" s="2186">
        <v>26.039459000000001</v>
      </c>
      <c r="H897" s="2186">
        <v>26.254384999999999</v>
      </c>
      <c r="I897" s="2186">
        <v>26.444796</v>
      </c>
      <c r="J897" s="2186">
        <v>26.565020000000001</v>
      </c>
      <c r="K897" s="2186">
        <v>26.645147000000001</v>
      </c>
      <c r="L897" s="2186">
        <v>26.718616000000001</v>
      </c>
      <c r="M897" s="2186">
        <v>26.792679</v>
      </c>
      <c r="N897" s="2186">
        <v>26.813309</v>
      </c>
      <c r="O897" s="2186">
        <v>26.797998</v>
      </c>
      <c r="P897" s="2186">
        <v>26.808287</v>
      </c>
      <c r="Q897" s="2186">
        <v>26.777788000000001</v>
      </c>
      <c r="R897" s="2186">
        <v>26.790700999999999</v>
      </c>
      <c r="S897" s="2186">
        <v>26.820152</v>
      </c>
      <c r="T897" s="2186">
        <v>26.861013</v>
      </c>
      <c r="U897" s="2186">
        <v>26.912051999999999</v>
      </c>
      <c r="V897" s="2186">
        <v>26.961288</v>
      </c>
      <c r="W897" s="2186">
        <v>26.995920000000002</v>
      </c>
      <c r="X897" s="2186">
        <v>27.025535999999999</v>
      </c>
      <c r="Y897" s="2186">
        <v>27.047543000000001</v>
      </c>
      <c r="Z897" s="2186">
        <v>27.075700999999999</v>
      </c>
      <c r="AA897" s="2186">
        <v>27.095956999999999</v>
      </c>
      <c r="AB897" s="2186">
        <v>27.108882999999999</v>
      </c>
      <c r="AC897" s="2186">
        <v>27.111287999999998</v>
      </c>
      <c r="AD897" s="2186">
        <v>27.11478</v>
      </c>
      <c r="AE897" s="2186">
        <v>27.121179999999999</v>
      </c>
      <c r="AF897" s="2184">
        <v>1.7470000000000001E-3</v>
      </c>
      <c r="AG897" s="29"/>
    </row>
    <row r="898" spans="1:33" ht="15" customHeight="1">
      <c r="A898" s="34" t="s">
        <v>3673</v>
      </c>
      <c r="B898" s="37" t="s">
        <v>2700</v>
      </c>
      <c r="C898" s="53">
        <v>12.766439</v>
      </c>
      <c r="D898" s="53">
        <v>12.417761</v>
      </c>
      <c r="E898" s="53">
        <v>12.611473</v>
      </c>
      <c r="F898" s="53">
        <v>12.403646999999999</v>
      </c>
      <c r="G898" s="53">
        <v>12.095700000000001</v>
      </c>
      <c r="H898" s="53">
        <v>11.73446</v>
      </c>
      <c r="I898" s="53">
        <v>11.491414000000001</v>
      </c>
      <c r="J898" s="53">
        <v>11.189615</v>
      </c>
      <c r="K898" s="53">
        <v>11.078919000000001</v>
      </c>
      <c r="L898" s="53">
        <v>11.059127</v>
      </c>
      <c r="M898" s="53">
        <v>11.089464</v>
      </c>
      <c r="N898" s="53">
        <v>11.052607</v>
      </c>
      <c r="O898" s="53">
        <v>11.023624</v>
      </c>
      <c r="P898" s="53">
        <v>11.019005</v>
      </c>
      <c r="Q898" s="53">
        <v>10.968695</v>
      </c>
      <c r="R898" s="53">
        <v>10.964748</v>
      </c>
      <c r="S898" s="53">
        <v>10.891582</v>
      </c>
      <c r="T898" s="53">
        <v>10.879339999999999</v>
      </c>
      <c r="U898" s="53">
        <v>10.850444</v>
      </c>
      <c r="V898" s="53">
        <v>10.847809</v>
      </c>
      <c r="W898" s="53">
        <v>10.841618</v>
      </c>
      <c r="X898" s="53">
        <v>10.852363</v>
      </c>
      <c r="Y898" s="53">
        <v>10.860690999999999</v>
      </c>
      <c r="Z898" s="53">
        <v>10.829917999999999</v>
      </c>
      <c r="AA898" s="53">
        <v>10.822585999999999</v>
      </c>
      <c r="AB898" s="53">
        <v>10.767595</v>
      </c>
      <c r="AC898" s="53">
        <v>10.741852</v>
      </c>
      <c r="AD898" s="53">
        <v>10.731356</v>
      </c>
      <c r="AE898" s="53">
        <v>10.725595999999999</v>
      </c>
      <c r="AF898" s="35">
        <v>-6.202E-3</v>
      </c>
      <c r="AG898" s="29"/>
    </row>
    <row r="899" spans="1:33" ht="15" customHeight="1">
      <c r="A899" s="34" t="s">
        <v>3674</v>
      </c>
      <c r="B899" s="37" t="s">
        <v>2702</v>
      </c>
      <c r="C899" s="53">
        <v>56.966721</v>
      </c>
      <c r="D899" s="53">
        <v>55.438068000000001</v>
      </c>
      <c r="E899" s="53">
        <v>54.796913000000004</v>
      </c>
      <c r="F899" s="53">
        <v>55.524166000000001</v>
      </c>
      <c r="G899" s="53">
        <v>56.074202999999997</v>
      </c>
      <c r="H899" s="53">
        <v>56.165832999999999</v>
      </c>
      <c r="I899" s="53">
        <v>56.523784999999997</v>
      </c>
      <c r="J899" s="53">
        <v>57.727981999999997</v>
      </c>
      <c r="K899" s="53">
        <v>58.548008000000003</v>
      </c>
      <c r="L899" s="53">
        <v>58.519260000000003</v>
      </c>
      <c r="M899" s="53">
        <v>58.290218000000003</v>
      </c>
      <c r="N899" s="53">
        <v>58.277163999999999</v>
      </c>
      <c r="O899" s="53">
        <v>58.319439000000003</v>
      </c>
      <c r="P899" s="53">
        <v>58.521984000000003</v>
      </c>
      <c r="Q899" s="53">
        <v>58.891444999999997</v>
      </c>
      <c r="R899" s="53">
        <v>59.606032999999996</v>
      </c>
      <c r="S899" s="53">
        <v>60.387802000000001</v>
      </c>
      <c r="T899" s="53">
        <v>61.039676999999998</v>
      </c>
      <c r="U899" s="53">
        <v>61.821826999999999</v>
      </c>
      <c r="V899" s="53">
        <v>62.740989999999996</v>
      </c>
      <c r="W899" s="53">
        <v>63.402805000000001</v>
      </c>
      <c r="X899" s="53">
        <v>63.954532999999998</v>
      </c>
      <c r="Y899" s="53">
        <v>64.50676</v>
      </c>
      <c r="Z899" s="53">
        <v>65.145629999999997</v>
      </c>
      <c r="AA899" s="53">
        <v>65.805167999999995</v>
      </c>
      <c r="AB899" s="53">
        <v>66.432236000000003</v>
      </c>
      <c r="AC899" s="53">
        <v>66.924880999999999</v>
      </c>
      <c r="AD899" s="53">
        <v>67.335251</v>
      </c>
      <c r="AE899" s="53">
        <v>68.045958999999996</v>
      </c>
      <c r="AF899" s="35">
        <v>6.3670000000000003E-3</v>
      </c>
      <c r="AG899" s="29"/>
    </row>
    <row r="900" spans="1:33" ht="15" customHeight="1">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row>
    <row r="901" spans="1:33" ht="15" customHeight="1">
      <c r="B901" s="33" t="s">
        <v>2703</v>
      </c>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row>
    <row r="902" spans="1:33" ht="15" customHeight="1">
      <c r="A902" s="34" t="s">
        <v>3675</v>
      </c>
      <c r="B902" s="37" t="s">
        <v>2705</v>
      </c>
      <c r="C902" s="53">
        <v>54.796078000000001</v>
      </c>
      <c r="D902" s="53">
        <v>55.619346999999998</v>
      </c>
      <c r="E902" s="53">
        <v>56.167628999999998</v>
      </c>
      <c r="F902" s="53">
        <v>56.808331000000003</v>
      </c>
      <c r="G902" s="53">
        <v>57.698746</v>
      </c>
      <c r="H902" s="53">
        <v>58.718635999999996</v>
      </c>
      <c r="I902" s="53">
        <v>59.680878</v>
      </c>
      <c r="J902" s="53">
        <v>60.589908999999999</v>
      </c>
      <c r="K902" s="53">
        <v>61.431125999999999</v>
      </c>
      <c r="L902" s="53">
        <v>62.379371999999996</v>
      </c>
      <c r="M902" s="53">
        <v>63.313602000000003</v>
      </c>
      <c r="N902" s="53">
        <v>64.091965000000002</v>
      </c>
      <c r="O902" s="53">
        <v>64.923584000000005</v>
      </c>
      <c r="P902" s="53">
        <v>65.755050999999995</v>
      </c>
      <c r="Q902" s="53">
        <v>66.599463999999998</v>
      </c>
      <c r="R902" s="53">
        <v>67.363533000000004</v>
      </c>
      <c r="S902" s="53">
        <v>67.991928000000001</v>
      </c>
      <c r="T902" s="53">
        <v>68.653244000000001</v>
      </c>
      <c r="U902" s="53">
        <v>69.267501999999993</v>
      </c>
      <c r="V902" s="53">
        <v>69.858917000000005</v>
      </c>
      <c r="W902" s="53">
        <v>70.610771</v>
      </c>
      <c r="X902" s="53">
        <v>71.318168999999997</v>
      </c>
      <c r="Y902" s="53">
        <v>71.984818000000004</v>
      </c>
      <c r="Z902" s="53">
        <v>72.632171999999997</v>
      </c>
      <c r="AA902" s="53">
        <v>73.256957999999997</v>
      </c>
      <c r="AB902" s="53">
        <v>73.885925</v>
      </c>
      <c r="AC902" s="53">
        <v>74.531470999999996</v>
      </c>
      <c r="AD902" s="53">
        <v>75.177009999999996</v>
      </c>
      <c r="AE902" s="53">
        <v>75.817093</v>
      </c>
      <c r="AF902" s="35">
        <v>1.1664000000000001E-2</v>
      </c>
      <c r="AG902" s="29"/>
    </row>
    <row r="903" spans="1:33" ht="15" customHeight="1">
      <c r="A903" s="34" t="s">
        <v>3676</v>
      </c>
      <c r="B903" s="37" t="s">
        <v>1473</v>
      </c>
      <c r="C903" s="53">
        <v>9.9643289999999993</v>
      </c>
      <c r="D903" s="53">
        <v>9.5506189999999993</v>
      </c>
      <c r="E903" s="53">
        <v>9.1752359999999999</v>
      </c>
      <c r="F903" s="53">
        <v>8.8884989999999995</v>
      </c>
      <c r="G903" s="53">
        <v>8.7157529999999994</v>
      </c>
      <c r="H903" s="53">
        <v>8.5757130000000004</v>
      </c>
      <c r="I903" s="53">
        <v>8.4548810000000003</v>
      </c>
      <c r="J903" s="53">
        <v>8.3231649999999995</v>
      </c>
      <c r="K903" s="53">
        <v>8.2128789999999992</v>
      </c>
      <c r="L903" s="53">
        <v>8.0889000000000006</v>
      </c>
      <c r="M903" s="53">
        <v>7.9871119999999998</v>
      </c>
      <c r="N903" s="53">
        <v>7.8699560000000002</v>
      </c>
      <c r="O903" s="53">
        <v>7.7397970000000003</v>
      </c>
      <c r="P903" s="53">
        <v>7.6375770000000003</v>
      </c>
      <c r="Q903" s="53">
        <v>7.5063079999999998</v>
      </c>
      <c r="R903" s="53">
        <v>7.4249299999999998</v>
      </c>
      <c r="S903" s="53">
        <v>7.3409579999999997</v>
      </c>
      <c r="T903" s="53">
        <v>7.2845449999999996</v>
      </c>
      <c r="U903" s="53">
        <v>7.2297200000000004</v>
      </c>
      <c r="V903" s="53">
        <v>7.1818809999999997</v>
      </c>
      <c r="W903" s="53">
        <v>7.1203159999999999</v>
      </c>
      <c r="X903" s="53">
        <v>7.0619940000000003</v>
      </c>
      <c r="Y903" s="53">
        <v>7.0100429999999996</v>
      </c>
      <c r="Z903" s="53">
        <v>6.9576539999999998</v>
      </c>
      <c r="AA903" s="53">
        <v>6.908614</v>
      </c>
      <c r="AB903" s="53">
        <v>6.8629410000000002</v>
      </c>
      <c r="AC903" s="53">
        <v>6.8416090000000001</v>
      </c>
      <c r="AD903" s="53">
        <v>6.8243850000000004</v>
      </c>
      <c r="AE903" s="53">
        <v>6.8063659999999997</v>
      </c>
      <c r="AF903" s="35">
        <v>-1.3520000000000001E-2</v>
      </c>
      <c r="AG903" s="29"/>
    </row>
    <row r="904" spans="1:33" ht="15" customHeight="1">
      <c r="A904" s="34" t="s">
        <v>3677</v>
      </c>
      <c r="B904" s="37" t="s">
        <v>2708</v>
      </c>
      <c r="C904" s="53">
        <v>4.2601120000000003</v>
      </c>
      <c r="D904" s="53">
        <v>4.1732529999999999</v>
      </c>
      <c r="E904" s="53">
        <v>4.1254109999999997</v>
      </c>
      <c r="F904" s="53">
        <v>4.1212900000000001</v>
      </c>
      <c r="G904" s="53">
        <v>4.1973029999999998</v>
      </c>
      <c r="H904" s="53">
        <v>4.2922219999999998</v>
      </c>
      <c r="I904" s="53">
        <v>4.3630420000000001</v>
      </c>
      <c r="J904" s="53">
        <v>4.3927560000000003</v>
      </c>
      <c r="K904" s="53">
        <v>4.3991689999999997</v>
      </c>
      <c r="L904" s="53">
        <v>4.4147249999999998</v>
      </c>
      <c r="M904" s="53">
        <v>4.4589590000000001</v>
      </c>
      <c r="N904" s="53">
        <v>4.4901200000000001</v>
      </c>
      <c r="O904" s="53">
        <v>4.5109899999999996</v>
      </c>
      <c r="P904" s="53">
        <v>4.5324410000000004</v>
      </c>
      <c r="Q904" s="53">
        <v>4.5431889999999999</v>
      </c>
      <c r="R904" s="53">
        <v>4.5322430000000002</v>
      </c>
      <c r="S904" s="53">
        <v>4.4959110000000004</v>
      </c>
      <c r="T904" s="53">
        <v>4.4072950000000004</v>
      </c>
      <c r="U904" s="53">
        <v>4.3051349999999999</v>
      </c>
      <c r="V904" s="53">
        <v>4.2050130000000001</v>
      </c>
      <c r="W904" s="53">
        <v>4.1594499999999996</v>
      </c>
      <c r="X904" s="53">
        <v>4.108771</v>
      </c>
      <c r="Y904" s="53">
        <v>4.0436540000000001</v>
      </c>
      <c r="Z904" s="53">
        <v>3.9710079999999999</v>
      </c>
      <c r="AA904" s="53">
        <v>3.899607</v>
      </c>
      <c r="AB904" s="53">
        <v>3.8346070000000001</v>
      </c>
      <c r="AC904" s="53">
        <v>3.773406</v>
      </c>
      <c r="AD904" s="53">
        <v>3.7081689999999998</v>
      </c>
      <c r="AE904" s="53">
        <v>3.6487799999999999</v>
      </c>
      <c r="AF904" s="35">
        <v>-5.5170000000000002E-3</v>
      </c>
      <c r="AG904" s="29"/>
    </row>
    <row r="905" spans="1:33" ht="15" customHeight="1">
      <c r="A905" s="34" t="s">
        <v>3678</v>
      </c>
      <c r="B905" s="37" t="s">
        <v>2710</v>
      </c>
      <c r="C905" s="53">
        <v>12.05316</v>
      </c>
      <c r="D905" s="53">
        <v>10.956791000000001</v>
      </c>
      <c r="E905" s="53">
        <v>10.656647</v>
      </c>
      <c r="F905" s="53">
        <v>10.843871999999999</v>
      </c>
      <c r="G905" s="53">
        <v>10.709211</v>
      </c>
      <c r="H905" s="53">
        <v>10.681808</v>
      </c>
      <c r="I905" s="53">
        <v>10.817330999999999</v>
      </c>
      <c r="J905" s="53">
        <v>10.991429999999999</v>
      </c>
      <c r="K905" s="53">
        <v>11.082385</v>
      </c>
      <c r="L905" s="53">
        <v>11.139827</v>
      </c>
      <c r="M905" s="53">
        <v>11.282417000000001</v>
      </c>
      <c r="N905" s="53">
        <v>11.436638</v>
      </c>
      <c r="O905" s="53">
        <v>11.627086</v>
      </c>
      <c r="P905" s="53">
        <v>11.727565</v>
      </c>
      <c r="Q905" s="53">
        <v>11.682624000000001</v>
      </c>
      <c r="R905" s="53">
        <v>11.718090999999999</v>
      </c>
      <c r="S905" s="53">
        <v>11.731085999999999</v>
      </c>
      <c r="T905" s="53">
        <v>11.751899</v>
      </c>
      <c r="U905" s="53">
        <v>11.805526</v>
      </c>
      <c r="V905" s="53">
        <v>11.898160000000001</v>
      </c>
      <c r="W905" s="53">
        <v>11.980415000000001</v>
      </c>
      <c r="X905" s="53">
        <v>12.022805</v>
      </c>
      <c r="Y905" s="53">
        <v>12.000482</v>
      </c>
      <c r="Z905" s="53">
        <v>11.897945999999999</v>
      </c>
      <c r="AA905" s="53">
        <v>11.820014</v>
      </c>
      <c r="AB905" s="53">
        <v>11.803784</v>
      </c>
      <c r="AC905" s="53">
        <v>11.750031</v>
      </c>
      <c r="AD905" s="53">
        <v>11.72903</v>
      </c>
      <c r="AE905" s="53">
        <v>11.820144000000001</v>
      </c>
      <c r="AF905" s="35">
        <v>-6.9700000000000003E-4</v>
      </c>
      <c r="AG905" s="29"/>
    </row>
    <row r="906" spans="1:33" ht="15" customHeight="1">
      <c r="A906" s="34" t="s">
        <v>3679</v>
      </c>
      <c r="B906" s="37" t="s">
        <v>2712</v>
      </c>
      <c r="C906" s="53">
        <v>7.8650330000000004</v>
      </c>
      <c r="D906" s="53">
        <v>7.7730119999999996</v>
      </c>
      <c r="E906" s="53">
        <v>7.8168350000000002</v>
      </c>
      <c r="F906" s="53">
        <v>7.8895819999999999</v>
      </c>
      <c r="G906" s="53">
        <v>8.1325400000000005</v>
      </c>
      <c r="H906" s="53">
        <v>8.4025590000000001</v>
      </c>
      <c r="I906" s="53">
        <v>8.5305909999999994</v>
      </c>
      <c r="J906" s="53">
        <v>8.6652260000000005</v>
      </c>
      <c r="K906" s="53">
        <v>8.7974440000000005</v>
      </c>
      <c r="L906" s="53">
        <v>8.9181489999999997</v>
      </c>
      <c r="M906" s="53">
        <v>9.159103</v>
      </c>
      <c r="N906" s="53">
        <v>9.2919830000000001</v>
      </c>
      <c r="O906" s="53">
        <v>9.4111930000000008</v>
      </c>
      <c r="P906" s="53">
        <v>9.5909549999999992</v>
      </c>
      <c r="Q906" s="53">
        <v>9.7736300000000007</v>
      </c>
      <c r="R906" s="53">
        <v>9.9478120000000008</v>
      </c>
      <c r="S906" s="53">
        <v>10.141260000000001</v>
      </c>
      <c r="T906" s="53">
        <v>10.319456000000001</v>
      </c>
      <c r="U906" s="53">
        <v>10.494123</v>
      </c>
      <c r="V906" s="53">
        <v>10.734688999999999</v>
      </c>
      <c r="W906" s="53">
        <v>10.955643</v>
      </c>
      <c r="X906" s="53">
        <v>11.132149999999999</v>
      </c>
      <c r="Y906" s="53">
        <v>11.259487</v>
      </c>
      <c r="Z906" s="53">
        <v>11.336752000000001</v>
      </c>
      <c r="AA906" s="53">
        <v>11.49854</v>
      </c>
      <c r="AB906" s="53">
        <v>11.689734</v>
      </c>
      <c r="AC906" s="53">
        <v>11.834282999999999</v>
      </c>
      <c r="AD906" s="53">
        <v>11.911045</v>
      </c>
      <c r="AE906" s="53">
        <v>12.280189999999999</v>
      </c>
      <c r="AF906" s="35">
        <v>1.6039999999999999E-2</v>
      </c>
      <c r="AG906" s="29"/>
    </row>
    <row r="907" spans="1:33" ht="15" customHeight="1">
      <c r="A907" s="34" t="s">
        <v>3680</v>
      </c>
      <c r="B907" s="37" t="s">
        <v>2714</v>
      </c>
      <c r="C907" s="53">
        <v>19.674987999999999</v>
      </c>
      <c r="D907" s="53">
        <v>19.379915</v>
      </c>
      <c r="E907" s="53">
        <v>18.985824999999998</v>
      </c>
      <c r="F907" s="53">
        <v>19.019886</v>
      </c>
      <c r="G907" s="53">
        <v>19.176939000000001</v>
      </c>
      <c r="H907" s="53">
        <v>19.339559999999999</v>
      </c>
      <c r="I907" s="53">
        <v>19.508804000000001</v>
      </c>
      <c r="J907" s="53">
        <v>19.631637999999999</v>
      </c>
      <c r="K907" s="53">
        <v>19.768007000000001</v>
      </c>
      <c r="L907" s="53">
        <v>19.946961999999999</v>
      </c>
      <c r="M907" s="53">
        <v>20.158995000000001</v>
      </c>
      <c r="N907" s="53">
        <v>20.316189000000001</v>
      </c>
      <c r="O907" s="53">
        <v>20.478807</v>
      </c>
      <c r="P907" s="53">
        <v>20.642467</v>
      </c>
      <c r="Q907" s="53">
        <v>20.741716</v>
      </c>
      <c r="R907" s="53">
        <v>20.862155999999999</v>
      </c>
      <c r="S907" s="53">
        <v>20.919594</v>
      </c>
      <c r="T907" s="53">
        <v>20.975494000000001</v>
      </c>
      <c r="U907" s="53">
        <v>21.072040999999999</v>
      </c>
      <c r="V907" s="53">
        <v>21.143218999999998</v>
      </c>
      <c r="W907" s="53">
        <v>21.219532000000001</v>
      </c>
      <c r="X907" s="53">
        <v>21.267959999999999</v>
      </c>
      <c r="Y907" s="53">
        <v>21.268723999999999</v>
      </c>
      <c r="Z907" s="53">
        <v>21.245681999999999</v>
      </c>
      <c r="AA907" s="53">
        <v>21.289031999999999</v>
      </c>
      <c r="AB907" s="53">
        <v>21.398513999999999</v>
      </c>
      <c r="AC907" s="53">
        <v>21.408566</v>
      </c>
      <c r="AD907" s="53">
        <v>21.443740999999999</v>
      </c>
      <c r="AE907" s="53">
        <v>21.570501</v>
      </c>
      <c r="AF907" s="35">
        <v>3.29E-3</v>
      </c>
      <c r="AG907" s="29"/>
    </row>
    <row r="908" spans="1:33" ht="15" customHeight="1">
      <c r="A908" s="34" t="s">
        <v>3681</v>
      </c>
      <c r="B908" s="37" t="s">
        <v>2716</v>
      </c>
      <c r="C908" s="53">
        <v>4.5862730000000003</v>
      </c>
      <c r="D908" s="53">
        <v>4.5353240000000001</v>
      </c>
      <c r="E908" s="53">
        <v>4.5243399999999996</v>
      </c>
      <c r="F908" s="53">
        <v>4.5488470000000003</v>
      </c>
      <c r="G908" s="53">
        <v>4.568619</v>
      </c>
      <c r="H908" s="53">
        <v>4.5811710000000003</v>
      </c>
      <c r="I908" s="53">
        <v>4.6180659999999998</v>
      </c>
      <c r="J908" s="53">
        <v>4.6622589999999997</v>
      </c>
      <c r="K908" s="53">
        <v>4.7193500000000004</v>
      </c>
      <c r="L908" s="53">
        <v>4.7845630000000003</v>
      </c>
      <c r="M908" s="53">
        <v>4.8091840000000001</v>
      </c>
      <c r="N908" s="53">
        <v>4.7962439999999997</v>
      </c>
      <c r="O908" s="53">
        <v>4.7872060000000003</v>
      </c>
      <c r="P908" s="53">
        <v>4.783283</v>
      </c>
      <c r="Q908" s="53">
        <v>4.7871069999999998</v>
      </c>
      <c r="R908" s="53">
        <v>4.789568</v>
      </c>
      <c r="S908" s="53">
        <v>4.7990959999999996</v>
      </c>
      <c r="T908" s="53">
        <v>4.8156369999999997</v>
      </c>
      <c r="U908" s="53">
        <v>4.856452</v>
      </c>
      <c r="V908" s="53">
        <v>4.8756339999999998</v>
      </c>
      <c r="W908" s="53">
        <v>4.8681340000000004</v>
      </c>
      <c r="X908" s="53">
        <v>4.8799830000000002</v>
      </c>
      <c r="Y908" s="53">
        <v>4.9064589999999999</v>
      </c>
      <c r="Z908" s="53">
        <v>4.9807600000000001</v>
      </c>
      <c r="AA908" s="53">
        <v>5.0499710000000002</v>
      </c>
      <c r="AB908" s="53">
        <v>5.1060090000000002</v>
      </c>
      <c r="AC908" s="53">
        <v>5.1482479999999997</v>
      </c>
      <c r="AD908" s="53">
        <v>5.2386100000000004</v>
      </c>
      <c r="AE908" s="53">
        <v>5.3132450000000002</v>
      </c>
      <c r="AF908" s="35">
        <v>5.2690000000000002E-3</v>
      </c>
      <c r="AG908" s="29"/>
    </row>
    <row r="909" spans="1:33" ht="12" customHeight="1">
      <c r="A909" s="34" t="s">
        <v>3682</v>
      </c>
      <c r="B909" s="37" t="s">
        <v>2718</v>
      </c>
      <c r="C909" s="53">
        <v>65.496230999999995</v>
      </c>
      <c r="D909" s="53">
        <v>62.305644999999998</v>
      </c>
      <c r="E909" s="53">
        <v>61.241753000000003</v>
      </c>
      <c r="F909" s="53">
        <v>62.655945000000003</v>
      </c>
      <c r="G909" s="53">
        <v>64.440353000000002</v>
      </c>
      <c r="H909" s="53">
        <v>65.907798999999997</v>
      </c>
      <c r="I909" s="53">
        <v>67.034965999999997</v>
      </c>
      <c r="J909" s="53">
        <v>67.89743</v>
      </c>
      <c r="K909" s="53">
        <v>68.599045000000004</v>
      </c>
      <c r="L909" s="53">
        <v>69.557975999999996</v>
      </c>
      <c r="M909" s="53">
        <v>70.724884000000003</v>
      </c>
      <c r="N909" s="53">
        <v>71.802413999999999</v>
      </c>
      <c r="O909" s="53">
        <v>73.014656000000002</v>
      </c>
      <c r="P909" s="53">
        <v>74.134079</v>
      </c>
      <c r="Q909" s="53">
        <v>75.031188999999998</v>
      </c>
      <c r="R909" s="53">
        <v>76.050567999999998</v>
      </c>
      <c r="S909" s="53">
        <v>76.880607999999995</v>
      </c>
      <c r="T909" s="53">
        <v>77.844757000000001</v>
      </c>
      <c r="U909" s="53">
        <v>79.101562000000001</v>
      </c>
      <c r="V909" s="53">
        <v>80.292373999999995</v>
      </c>
      <c r="W909" s="53">
        <v>81.411574999999999</v>
      </c>
      <c r="X909" s="53">
        <v>82.587906000000004</v>
      </c>
      <c r="Y909" s="53">
        <v>83.585937999999999</v>
      </c>
      <c r="Z909" s="53">
        <v>84.431763000000004</v>
      </c>
      <c r="AA909" s="53">
        <v>85.523742999999996</v>
      </c>
      <c r="AB909" s="53">
        <v>86.832611</v>
      </c>
      <c r="AC909" s="53">
        <v>87.689323000000002</v>
      </c>
      <c r="AD909" s="53">
        <v>88.676659000000001</v>
      </c>
      <c r="AE909" s="53">
        <v>90.296584999999993</v>
      </c>
      <c r="AF909" s="35">
        <v>1.1534000000000001E-2</v>
      </c>
      <c r="AG909" s="29"/>
    </row>
    <row r="910" spans="1:33" ht="12" customHeight="1">
      <c r="A910" s="34" t="s">
        <v>3683</v>
      </c>
      <c r="B910" s="37" t="s">
        <v>1467</v>
      </c>
      <c r="C910" s="53">
        <v>50.051006000000001</v>
      </c>
      <c r="D910" s="53">
        <v>47.884655000000002</v>
      </c>
      <c r="E910" s="53">
        <v>46.731231999999999</v>
      </c>
      <c r="F910" s="53">
        <v>47.992049999999999</v>
      </c>
      <c r="G910" s="53">
        <v>49.618198</v>
      </c>
      <c r="H910" s="53">
        <v>50.820137000000003</v>
      </c>
      <c r="I910" s="53">
        <v>51.722999999999999</v>
      </c>
      <c r="J910" s="53">
        <v>52.336685000000003</v>
      </c>
      <c r="K910" s="53">
        <v>52.902939000000003</v>
      </c>
      <c r="L910" s="53">
        <v>53.702835</v>
      </c>
      <c r="M910" s="53">
        <v>54.635727000000003</v>
      </c>
      <c r="N910" s="53">
        <v>55.463982000000001</v>
      </c>
      <c r="O910" s="53">
        <v>56.386059000000003</v>
      </c>
      <c r="P910" s="53">
        <v>57.196693000000003</v>
      </c>
      <c r="Q910" s="53">
        <v>57.774737999999999</v>
      </c>
      <c r="R910" s="53">
        <v>58.472092000000004</v>
      </c>
      <c r="S910" s="53">
        <v>58.930183</v>
      </c>
      <c r="T910" s="53">
        <v>59.565787999999998</v>
      </c>
      <c r="U910" s="53">
        <v>60.391319000000003</v>
      </c>
      <c r="V910" s="53">
        <v>61.095725999999999</v>
      </c>
      <c r="W910" s="53">
        <v>61.705565999999997</v>
      </c>
      <c r="X910" s="53">
        <v>62.352829</v>
      </c>
      <c r="Y910" s="53">
        <v>62.828716</v>
      </c>
      <c r="Z910" s="53">
        <v>63.210915</v>
      </c>
      <c r="AA910" s="53">
        <v>63.846642000000003</v>
      </c>
      <c r="AB910" s="53">
        <v>64.657584999999997</v>
      </c>
      <c r="AC910" s="53">
        <v>65.027152999999998</v>
      </c>
      <c r="AD910" s="53">
        <v>65.594414</v>
      </c>
      <c r="AE910" s="53">
        <v>66.730796999999995</v>
      </c>
      <c r="AF910" s="35">
        <v>1.0325000000000001E-2</v>
      </c>
      <c r="AG910" s="29"/>
    </row>
    <row r="911" spans="1:33" ht="12" customHeight="1">
      <c r="A911" s="34" t="s">
        <v>3684</v>
      </c>
      <c r="B911" s="37" t="s">
        <v>1484</v>
      </c>
      <c r="C911" s="53">
        <v>6.0019410000000004</v>
      </c>
      <c r="D911" s="53">
        <v>6.0394949999999996</v>
      </c>
      <c r="E911" s="53">
        <v>5.981992</v>
      </c>
      <c r="F911" s="53">
        <v>6.1327569999999998</v>
      </c>
      <c r="G911" s="53">
        <v>6.2491640000000004</v>
      </c>
      <c r="H911" s="53">
        <v>6.2935369999999997</v>
      </c>
      <c r="I911" s="53">
        <v>6.3252639999999998</v>
      </c>
      <c r="J911" s="53">
        <v>6.3297210000000002</v>
      </c>
      <c r="K911" s="53">
        <v>6.3156929999999996</v>
      </c>
      <c r="L911" s="53">
        <v>6.3289330000000001</v>
      </c>
      <c r="M911" s="53">
        <v>6.3420180000000004</v>
      </c>
      <c r="N911" s="53">
        <v>6.375019</v>
      </c>
      <c r="O911" s="53">
        <v>6.4221240000000002</v>
      </c>
      <c r="P911" s="53">
        <v>6.4883569999999997</v>
      </c>
      <c r="Q911" s="53">
        <v>6.4714799999999997</v>
      </c>
      <c r="R911" s="53">
        <v>6.4741569999999999</v>
      </c>
      <c r="S911" s="53">
        <v>6.4655810000000002</v>
      </c>
      <c r="T911" s="53">
        <v>6.4842570000000004</v>
      </c>
      <c r="U911" s="53">
        <v>6.5279870000000004</v>
      </c>
      <c r="V911" s="53">
        <v>6.5604870000000002</v>
      </c>
      <c r="W911" s="53">
        <v>6.5707459999999998</v>
      </c>
      <c r="X911" s="53">
        <v>6.5694239999999997</v>
      </c>
      <c r="Y911" s="53">
        <v>6.564527</v>
      </c>
      <c r="Z911" s="53">
        <v>6.537191</v>
      </c>
      <c r="AA911" s="53">
        <v>6.5433690000000002</v>
      </c>
      <c r="AB911" s="53">
        <v>6.5619420000000002</v>
      </c>
      <c r="AC911" s="53">
        <v>6.5341760000000004</v>
      </c>
      <c r="AD911" s="53">
        <v>6.5260499999999997</v>
      </c>
      <c r="AE911" s="53">
        <v>6.5819520000000002</v>
      </c>
      <c r="AF911" s="35">
        <v>3.3E-3</v>
      </c>
      <c r="AG911" s="29"/>
    </row>
    <row r="912" spans="1:33" ht="12" customHeight="1">
      <c r="A912" s="34" t="s">
        <v>3685</v>
      </c>
      <c r="B912" s="37" t="s">
        <v>2722</v>
      </c>
      <c r="C912" s="53">
        <v>26.884198999999999</v>
      </c>
      <c r="D912" s="53">
        <v>24.989328</v>
      </c>
      <c r="E912" s="53">
        <v>23.834679000000001</v>
      </c>
      <c r="F912" s="53">
        <v>24.608789000000002</v>
      </c>
      <c r="G912" s="53">
        <v>25.517665999999998</v>
      </c>
      <c r="H912" s="53">
        <v>26.133900000000001</v>
      </c>
      <c r="I912" s="53">
        <v>26.595400000000001</v>
      </c>
      <c r="J912" s="53">
        <v>26.955787999999998</v>
      </c>
      <c r="K912" s="53">
        <v>27.337696000000001</v>
      </c>
      <c r="L912" s="53">
        <v>27.826321</v>
      </c>
      <c r="M912" s="53">
        <v>28.383129</v>
      </c>
      <c r="N912" s="53">
        <v>28.812214000000001</v>
      </c>
      <c r="O912" s="53">
        <v>29.2363</v>
      </c>
      <c r="P912" s="53">
        <v>29.613754</v>
      </c>
      <c r="Q912" s="53">
        <v>29.879449999999999</v>
      </c>
      <c r="R912" s="53">
        <v>30.240867999999999</v>
      </c>
      <c r="S912" s="53">
        <v>30.439219999999999</v>
      </c>
      <c r="T912" s="53">
        <v>30.790244999999999</v>
      </c>
      <c r="U912" s="53">
        <v>31.273294</v>
      </c>
      <c r="V912" s="53">
        <v>31.68486</v>
      </c>
      <c r="W912" s="53">
        <v>32.013741000000003</v>
      </c>
      <c r="X912" s="53">
        <v>32.394416999999997</v>
      </c>
      <c r="Y912" s="53">
        <v>32.668163</v>
      </c>
      <c r="Z912" s="53">
        <v>32.887256999999998</v>
      </c>
      <c r="AA912" s="53">
        <v>33.247821999999999</v>
      </c>
      <c r="AB912" s="53">
        <v>33.716579000000003</v>
      </c>
      <c r="AC912" s="53">
        <v>33.910477</v>
      </c>
      <c r="AD912" s="53">
        <v>34.225898999999998</v>
      </c>
      <c r="AE912" s="53">
        <v>34.882885000000002</v>
      </c>
      <c r="AF912" s="35">
        <v>9.3449999999999991E-3</v>
      </c>
      <c r="AG912" s="29"/>
    </row>
    <row r="913" spans="1:33" ht="12" customHeight="1">
      <c r="A913" s="34" t="s">
        <v>3686</v>
      </c>
      <c r="B913" s="37" t="s">
        <v>2724</v>
      </c>
      <c r="C913" s="53">
        <v>14.126366000000001</v>
      </c>
      <c r="D913" s="53">
        <v>13.798144000000001</v>
      </c>
      <c r="E913" s="53">
        <v>13.768141999999999</v>
      </c>
      <c r="F913" s="53">
        <v>13.969144999999999</v>
      </c>
      <c r="G913" s="53">
        <v>14.426152</v>
      </c>
      <c r="H913" s="53">
        <v>14.880592</v>
      </c>
      <c r="I913" s="53">
        <v>15.197976000000001</v>
      </c>
      <c r="J913" s="53">
        <v>15.409789999999999</v>
      </c>
      <c r="K913" s="53">
        <v>15.550511999999999</v>
      </c>
      <c r="L913" s="53">
        <v>15.775366</v>
      </c>
      <c r="M913" s="53">
        <v>16.062895000000001</v>
      </c>
      <c r="N913" s="53">
        <v>16.356373000000001</v>
      </c>
      <c r="O913" s="53">
        <v>16.713058</v>
      </c>
      <c r="P913" s="53">
        <v>17.016161</v>
      </c>
      <c r="Q913" s="53">
        <v>17.278654</v>
      </c>
      <c r="R913" s="53">
        <v>17.568767999999999</v>
      </c>
      <c r="S913" s="53">
        <v>17.778214999999999</v>
      </c>
      <c r="T913" s="53">
        <v>18.062961999999999</v>
      </c>
      <c r="U913" s="53">
        <v>18.383386999999999</v>
      </c>
      <c r="V913" s="53">
        <v>18.650607999999998</v>
      </c>
      <c r="W913" s="53">
        <v>18.919989000000001</v>
      </c>
      <c r="X913" s="53">
        <v>19.209045</v>
      </c>
      <c r="Y913" s="53">
        <v>19.455956</v>
      </c>
      <c r="Z913" s="53">
        <v>19.692817999999999</v>
      </c>
      <c r="AA913" s="53">
        <v>19.992623999999999</v>
      </c>
      <c r="AB913" s="53">
        <v>20.327324000000001</v>
      </c>
      <c r="AC913" s="53">
        <v>20.560053</v>
      </c>
      <c r="AD913" s="53">
        <v>20.842877999999999</v>
      </c>
      <c r="AE913" s="53">
        <v>21.264416000000001</v>
      </c>
      <c r="AF913" s="35">
        <v>1.4714E-2</v>
      </c>
      <c r="AG913" s="29"/>
    </row>
    <row r="914" spans="1:33" ht="12" customHeight="1">
      <c r="A914" s="34" t="s">
        <v>3687</v>
      </c>
      <c r="B914" s="37" t="s">
        <v>1469</v>
      </c>
      <c r="C914" s="53">
        <v>3.0385019999999998</v>
      </c>
      <c r="D914" s="53">
        <v>3.057687</v>
      </c>
      <c r="E914" s="53">
        <v>3.14642</v>
      </c>
      <c r="F914" s="53">
        <v>3.281358</v>
      </c>
      <c r="G914" s="53">
        <v>3.4252180000000001</v>
      </c>
      <c r="H914" s="53">
        <v>3.512108</v>
      </c>
      <c r="I914" s="53">
        <v>3.6043639999999999</v>
      </c>
      <c r="J914" s="53">
        <v>3.6413890000000002</v>
      </c>
      <c r="K914" s="53">
        <v>3.6990379999999998</v>
      </c>
      <c r="L914" s="53">
        <v>3.7722180000000001</v>
      </c>
      <c r="M914" s="53">
        <v>3.8476870000000001</v>
      </c>
      <c r="N914" s="53">
        <v>3.9203769999999998</v>
      </c>
      <c r="O914" s="53">
        <v>4.0145759999999999</v>
      </c>
      <c r="P914" s="53">
        <v>4.0784229999999999</v>
      </c>
      <c r="Q914" s="53">
        <v>4.1451529999999996</v>
      </c>
      <c r="R914" s="53">
        <v>4.1882970000000004</v>
      </c>
      <c r="S914" s="53">
        <v>4.2471709999999998</v>
      </c>
      <c r="T914" s="53">
        <v>4.2283239999999997</v>
      </c>
      <c r="U914" s="53">
        <v>4.2066489999999996</v>
      </c>
      <c r="V914" s="53">
        <v>4.1997720000000003</v>
      </c>
      <c r="W914" s="53">
        <v>4.2010889999999996</v>
      </c>
      <c r="X914" s="53">
        <v>4.1799429999999997</v>
      </c>
      <c r="Y914" s="53">
        <v>4.140072</v>
      </c>
      <c r="Z914" s="53">
        <v>4.0936519999999996</v>
      </c>
      <c r="AA914" s="53">
        <v>4.0628299999999999</v>
      </c>
      <c r="AB914" s="53">
        <v>4.051736</v>
      </c>
      <c r="AC914" s="53">
        <v>4.0224479999999998</v>
      </c>
      <c r="AD914" s="53">
        <v>3.999584</v>
      </c>
      <c r="AE914" s="53">
        <v>4.0015470000000004</v>
      </c>
      <c r="AF914" s="35">
        <v>9.8809999999999992E-3</v>
      </c>
      <c r="AG914" s="29"/>
    </row>
    <row r="915" spans="1:33" ht="12" customHeight="1">
      <c r="A915" s="34" t="s">
        <v>3688</v>
      </c>
      <c r="B915" s="37" t="s">
        <v>2727</v>
      </c>
      <c r="C915" s="53">
        <v>15.445226999999999</v>
      </c>
      <c r="D915" s="53">
        <v>14.420991000000001</v>
      </c>
      <c r="E915" s="53">
        <v>14.510522999999999</v>
      </c>
      <c r="F915" s="53">
        <v>14.663895999999999</v>
      </c>
      <c r="G915" s="53">
        <v>14.822153999999999</v>
      </c>
      <c r="H915" s="53">
        <v>15.087662999999999</v>
      </c>
      <c r="I915" s="53">
        <v>15.311965000000001</v>
      </c>
      <c r="J915" s="53">
        <v>15.560741</v>
      </c>
      <c r="K915" s="53">
        <v>15.696104999999999</v>
      </c>
      <c r="L915" s="53">
        <v>15.855141</v>
      </c>
      <c r="M915" s="53">
        <v>16.089161000000001</v>
      </c>
      <c r="N915" s="53">
        <v>16.338433999999999</v>
      </c>
      <c r="O915" s="53">
        <v>16.628599000000001</v>
      </c>
      <c r="P915" s="53">
        <v>16.937387000000001</v>
      </c>
      <c r="Q915" s="53">
        <v>17.256454000000002</v>
      </c>
      <c r="R915" s="53">
        <v>17.578474</v>
      </c>
      <c r="S915" s="53">
        <v>17.950426</v>
      </c>
      <c r="T915" s="53">
        <v>18.278969</v>
      </c>
      <c r="U915" s="53">
        <v>18.710246999999999</v>
      </c>
      <c r="V915" s="53">
        <v>19.196648</v>
      </c>
      <c r="W915" s="53">
        <v>19.706005000000001</v>
      </c>
      <c r="X915" s="53">
        <v>20.235074999999998</v>
      </c>
      <c r="Y915" s="53">
        <v>20.757218999999999</v>
      </c>
      <c r="Z915" s="53">
        <v>21.220844</v>
      </c>
      <c r="AA915" s="53">
        <v>21.677101</v>
      </c>
      <c r="AB915" s="53">
        <v>22.175028000000001</v>
      </c>
      <c r="AC915" s="53">
        <v>22.66217</v>
      </c>
      <c r="AD915" s="53">
        <v>23.082242999999998</v>
      </c>
      <c r="AE915" s="53">
        <v>23.565788000000001</v>
      </c>
      <c r="AF915" s="35">
        <v>1.5204000000000001E-2</v>
      </c>
      <c r="AG915" s="29"/>
    </row>
    <row r="916" spans="1:33" ht="12" customHeight="1">
      <c r="A916" s="34" t="s">
        <v>3689</v>
      </c>
      <c r="B916" s="37" t="s">
        <v>2729</v>
      </c>
      <c r="C916" s="53">
        <v>37.005974000000002</v>
      </c>
      <c r="D916" s="53">
        <v>40.506714000000002</v>
      </c>
      <c r="E916" s="53">
        <v>40.768715</v>
      </c>
      <c r="F916" s="53">
        <v>41.044173999999998</v>
      </c>
      <c r="G916" s="53">
        <v>41.247227000000002</v>
      </c>
      <c r="H916" s="53">
        <v>41.55294</v>
      </c>
      <c r="I916" s="53">
        <v>41.825588000000003</v>
      </c>
      <c r="J916" s="53">
        <v>42.038119999999999</v>
      </c>
      <c r="K916" s="53">
        <v>42.117686999999997</v>
      </c>
      <c r="L916" s="53">
        <v>42.241562000000002</v>
      </c>
      <c r="M916" s="53">
        <v>42.376637000000002</v>
      </c>
      <c r="N916" s="53">
        <v>42.487468999999997</v>
      </c>
      <c r="O916" s="53">
        <v>42.680832000000002</v>
      </c>
      <c r="P916" s="53">
        <v>42.770786000000001</v>
      </c>
      <c r="Q916" s="53">
        <v>42.951129999999999</v>
      </c>
      <c r="R916" s="53">
        <v>43.065662000000003</v>
      </c>
      <c r="S916" s="53">
        <v>43.170338000000001</v>
      </c>
      <c r="T916" s="53">
        <v>43.337035999999998</v>
      </c>
      <c r="U916" s="53">
        <v>43.487338999999999</v>
      </c>
      <c r="V916" s="53">
        <v>43.638939000000001</v>
      </c>
      <c r="W916" s="53">
        <v>43.937976999999997</v>
      </c>
      <c r="X916" s="53">
        <v>44.243881000000002</v>
      </c>
      <c r="Y916" s="53">
        <v>44.546295000000001</v>
      </c>
      <c r="Z916" s="53">
        <v>44.803756999999997</v>
      </c>
      <c r="AA916" s="53">
        <v>45.179726000000002</v>
      </c>
      <c r="AB916" s="53">
        <v>45.575851</v>
      </c>
      <c r="AC916" s="53">
        <v>45.875912</v>
      </c>
      <c r="AD916" s="53">
        <v>46.272799999999997</v>
      </c>
      <c r="AE916" s="53">
        <v>46.872978000000003</v>
      </c>
      <c r="AF916" s="35">
        <v>8.4770000000000002E-3</v>
      </c>
      <c r="AG916" s="29"/>
    </row>
    <row r="917" spans="1:33" ht="12" customHeight="1">
      <c r="A917" s="34" t="s">
        <v>3690</v>
      </c>
      <c r="B917" s="37" t="s">
        <v>2731</v>
      </c>
      <c r="C917" s="53">
        <v>34.784813</v>
      </c>
      <c r="D917" s="53">
        <v>38.162528999999999</v>
      </c>
      <c r="E917" s="53">
        <v>38.366055000000003</v>
      </c>
      <c r="F917" s="53">
        <v>38.647888000000002</v>
      </c>
      <c r="G917" s="53">
        <v>38.891922000000001</v>
      </c>
      <c r="H917" s="53">
        <v>39.207962000000002</v>
      </c>
      <c r="I917" s="53">
        <v>39.515304999999998</v>
      </c>
      <c r="J917" s="53">
        <v>39.735714000000002</v>
      </c>
      <c r="K917" s="53">
        <v>39.850169999999999</v>
      </c>
      <c r="L917" s="53">
        <v>39.971409000000001</v>
      </c>
      <c r="M917" s="53">
        <v>40.137199000000003</v>
      </c>
      <c r="N917" s="53">
        <v>40.277484999999999</v>
      </c>
      <c r="O917" s="53">
        <v>40.483882999999999</v>
      </c>
      <c r="P917" s="53">
        <v>40.604553000000003</v>
      </c>
      <c r="Q917" s="53">
        <v>40.801476000000001</v>
      </c>
      <c r="R917" s="53">
        <v>40.980823999999998</v>
      </c>
      <c r="S917" s="53">
        <v>41.114632</v>
      </c>
      <c r="T917" s="53">
        <v>41.322558999999998</v>
      </c>
      <c r="U917" s="53">
        <v>41.52684</v>
      </c>
      <c r="V917" s="53">
        <v>41.736404</v>
      </c>
      <c r="W917" s="53">
        <v>42.069488999999997</v>
      </c>
      <c r="X917" s="53">
        <v>42.408378999999996</v>
      </c>
      <c r="Y917" s="53">
        <v>42.746693</v>
      </c>
      <c r="Z917" s="53">
        <v>43.036803999999997</v>
      </c>
      <c r="AA917" s="53">
        <v>43.444420000000001</v>
      </c>
      <c r="AB917" s="53">
        <v>43.873927999999999</v>
      </c>
      <c r="AC917" s="53">
        <v>44.212845000000002</v>
      </c>
      <c r="AD917" s="53">
        <v>44.639384999999997</v>
      </c>
      <c r="AE917" s="53">
        <v>45.262492999999999</v>
      </c>
      <c r="AF917" s="35">
        <v>9.4479999999999998E-3</v>
      </c>
      <c r="AG917" s="29"/>
    </row>
    <row r="918" spans="1:33" ht="12" customHeight="1">
      <c r="A918" s="34" t="s">
        <v>3691</v>
      </c>
      <c r="B918" s="37" t="s">
        <v>2733</v>
      </c>
      <c r="C918" s="53">
        <v>2.2211620000000001</v>
      </c>
      <c r="D918" s="53">
        <v>2.3441830000000001</v>
      </c>
      <c r="E918" s="53">
        <v>2.4026589999999999</v>
      </c>
      <c r="F918" s="53">
        <v>2.3962850000000002</v>
      </c>
      <c r="G918" s="53">
        <v>2.3553060000000001</v>
      </c>
      <c r="H918" s="53">
        <v>2.3449779999999998</v>
      </c>
      <c r="I918" s="53">
        <v>2.3102830000000001</v>
      </c>
      <c r="J918" s="53">
        <v>2.3024070000000001</v>
      </c>
      <c r="K918" s="53">
        <v>2.2675160000000001</v>
      </c>
      <c r="L918" s="53">
        <v>2.2701519999999999</v>
      </c>
      <c r="M918" s="53">
        <v>2.239436</v>
      </c>
      <c r="N918" s="53">
        <v>2.2099850000000001</v>
      </c>
      <c r="O918" s="53">
        <v>2.1969479999999999</v>
      </c>
      <c r="P918" s="53">
        <v>2.1662330000000001</v>
      </c>
      <c r="Q918" s="53">
        <v>2.1496529999999998</v>
      </c>
      <c r="R918" s="53">
        <v>2.0848390000000001</v>
      </c>
      <c r="S918" s="53">
        <v>2.0557059999999998</v>
      </c>
      <c r="T918" s="53">
        <v>2.0144760000000002</v>
      </c>
      <c r="U918" s="53">
        <v>1.9604999999999999</v>
      </c>
      <c r="V918" s="53">
        <v>1.902533</v>
      </c>
      <c r="W918" s="53">
        <v>1.8684879999999999</v>
      </c>
      <c r="X918" s="53">
        <v>1.8355030000000001</v>
      </c>
      <c r="Y918" s="53">
        <v>1.799604</v>
      </c>
      <c r="Z918" s="53">
        <v>1.7669520000000001</v>
      </c>
      <c r="AA918" s="53">
        <v>1.7353069999999999</v>
      </c>
      <c r="AB918" s="53">
        <v>1.7019230000000001</v>
      </c>
      <c r="AC918" s="53">
        <v>1.663068</v>
      </c>
      <c r="AD918" s="53">
        <v>1.6334139999999999</v>
      </c>
      <c r="AE918" s="53">
        <v>1.6104849999999999</v>
      </c>
      <c r="AF918" s="35">
        <v>-1.1416000000000001E-2</v>
      </c>
      <c r="AG918" s="29"/>
    </row>
    <row r="919" spans="1:33" ht="12" customHeight="1">
      <c r="A919" s="34" t="s">
        <v>3692</v>
      </c>
      <c r="B919" s="37" t="s">
        <v>2735</v>
      </c>
      <c r="C919" s="53">
        <v>23.798679</v>
      </c>
      <c r="D919" s="53">
        <v>23.444883000000001</v>
      </c>
      <c r="E919" s="53">
        <v>23.411497000000001</v>
      </c>
      <c r="F919" s="53">
        <v>23.889676999999999</v>
      </c>
      <c r="G919" s="53">
        <v>24.647562000000001</v>
      </c>
      <c r="H919" s="53">
        <v>25.311481000000001</v>
      </c>
      <c r="I919" s="53">
        <v>25.892410000000002</v>
      </c>
      <c r="J919" s="53">
        <v>26.454820999999999</v>
      </c>
      <c r="K919" s="53">
        <v>26.957483</v>
      </c>
      <c r="L919" s="53">
        <v>27.534557</v>
      </c>
      <c r="M919" s="53">
        <v>28.240303000000001</v>
      </c>
      <c r="N919" s="53">
        <v>28.895613000000001</v>
      </c>
      <c r="O919" s="53">
        <v>29.528130999999998</v>
      </c>
      <c r="P919" s="53">
        <v>30.262077000000001</v>
      </c>
      <c r="Q919" s="53">
        <v>30.922588000000001</v>
      </c>
      <c r="R919" s="53">
        <v>31.578233999999998</v>
      </c>
      <c r="S919" s="53">
        <v>32.263657000000002</v>
      </c>
      <c r="T919" s="53">
        <v>32.907088999999999</v>
      </c>
      <c r="U919" s="53">
        <v>33.589939000000001</v>
      </c>
      <c r="V919" s="53">
        <v>34.361300999999997</v>
      </c>
      <c r="W919" s="53">
        <v>35.105983999999999</v>
      </c>
      <c r="X919" s="53">
        <v>35.911987000000003</v>
      </c>
      <c r="Y919" s="53">
        <v>36.640262999999997</v>
      </c>
      <c r="Z919" s="53">
        <v>37.329963999999997</v>
      </c>
      <c r="AA919" s="53">
        <v>38.089218000000002</v>
      </c>
      <c r="AB919" s="53">
        <v>38.888534999999997</v>
      </c>
      <c r="AC919" s="53">
        <v>39.616683999999999</v>
      </c>
      <c r="AD919" s="53">
        <v>40.372512999999998</v>
      </c>
      <c r="AE919" s="53">
        <v>41.398215999999998</v>
      </c>
      <c r="AF919" s="35">
        <v>1.9969000000000001E-2</v>
      </c>
      <c r="AG919" s="29"/>
    </row>
    <row r="920" spans="1:33" ht="12" customHeight="1">
      <c r="A920" s="34" t="s">
        <v>3693</v>
      </c>
      <c r="B920" s="37" t="s">
        <v>1479</v>
      </c>
      <c r="C920" s="53">
        <v>7.2454809999999998</v>
      </c>
      <c r="D920" s="53">
        <v>6.9229149999999997</v>
      </c>
      <c r="E920" s="53">
        <v>6.8572389999999999</v>
      </c>
      <c r="F920" s="53">
        <v>6.9677340000000001</v>
      </c>
      <c r="G920" s="53">
        <v>7.1497890000000002</v>
      </c>
      <c r="H920" s="53">
        <v>7.2894829999999997</v>
      </c>
      <c r="I920" s="53">
        <v>7.4084479999999999</v>
      </c>
      <c r="J920" s="53">
        <v>7.5166930000000001</v>
      </c>
      <c r="K920" s="53">
        <v>7.5856120000000002</v>
      </c>
      <c r="L920" s="53">
        <v>7.6715109999999997</v>
      </c>
      <c r="M920" s="53">
        <v>7.7864529999999998</v>
      </c>
      <c r="N920" s="53">
        <v>7.8677440000000001</v>
      </c>
      <c r="O920" s="53">
        <v>7.9064040000000002</v>
      </c>
      <c r="P920" s="53">
        <v>7.9920119999999999</v>
      </c>
      <c r="Q920" s="53">
        <v>8.0509810000000002</v>
      </c>
      <c r="R920" s="53">
        <v>8.1126179999999994</v>
      </c>
      <c r="S920" s="53">
        <v>8.1842140000000008</v>
      </c>
      <c r="T920" s="53">
        <v>8.274108</v>
      </c>
      <c r="U920" s="53">
        <v>8.3492890000000006</v>
      </c>
      <c r="V920" s="53">
        <v>8.4236160000000009</v>
      </c>
      <c r="W920" s="53">
        <v>8.4814539999999994</v>
      </c>
      <c r="X920" s="53">
        <v>8.4851779999999994</v>
      </c>
      <c r="Y920" s="53">
        <v>8.5336960000000008</v>
      </c>
      <c r="Z920" s="53">
        <v>8.6056600000000003</v>
      </c>
      <c r="AA920" s="53">
        <v>8.6694300000000002</v>
      </c>
      <c r="AB920" s="53">
        <v>8.7256780000000003</v>
      </c>
      <c r="AC920" s="53">
        <v>8.7566020000000009</v>
      </c>
      <c r="AD920" s="53">
        <v>8.7858429999999998</v>
      </c>
      <c r="AE920" s="53">
        <v>8.8298129999999997</v>
      </c>
      <c r="AF920" s="35">
        <v>7.0879999999999997E-3</v>
      </c>
      <c r="AG920" s="29"/>
    </row>
    <row r="921" spans="1:33" ht="12" customHeight="1">
      <c r="A921" s="34" t="s">
        <v>3694</v>
      </c>
      <c r="B921" s="37" t="s">
        <v>1477</v>
      </c>
      <c r="C921" s="53">
        <v>1.523298</v>
      </c>
      <c r="D921" s="53">
        <v>1.4291720000000001</v>
      </c>
      <c r="E921" s="53">
        <v>1.397016</v>
      </c>
      <c r="F921" s="53">
        <v>1.3942600000000001</v>
      </c>
      <c r="G921" s="53">
        <v>1.430444</v>
      </c>
      <c r="H921" s="53">
        <v>1.45076</v>
      </c>
      <c r="I921" s="53">
        <v>1.4686399999999999</v>
      </c>
      <c r="J921" s="53">
        <v>1.4780070000000001</v>
      </c>
      <c r="K921" s="53">
        <v>1.4852270000000001</v>
      </c>
      <c r="L921" s="53">
        <v>1.496189</v>
      </c>
      <c r="M921" s="53">
        <v>1.50986</v>
      </c>
      <c r="N921" s="53">
        <v>1.521085</v>
      </c>
      <c r="O921" s="53">
        <v>1.5369889999999999</v>
      </c>
      <c r="P921" s="53">
        <v>1.553294</v>
      </c>
      <c r="Q921" s="53">
        <v>1.5597449999999999</v>
      </c>
      <c r="R921" s="53">
        <v>1.5713410000000001</v>
      </c>
      <c r="S921" s="53">
        <v>1.5781799999999999</v>
      </c>
      <c r="T921" s="53">
        <v>1.601383</v>
      </c>
      <c r="U921" s="53">
        <v>1.628017</v>
      </c>
      <c r="V921" s="53">
        <v>1.64672</v>
      </c>
      <c r="W921" s="53">
        <v>1.665573</v>
      </c>
      <c r="X921" s="53">
        <v>1.6698459999999999</v>
      </c>
      <c r="Y921" s="53">
        <v>1.679765</v>
      </c>
      <c r="Z921" s="53">
        <v>1.6926749999999999</v>
      </c>
      <c r="AA921" s="53">
        <v>1.714855</v>
      </c>
      <c r="AB921" s="53">
        <v>1.7263109999999999</v>
      </c>
      <c r="AC921" s="53">
        <v>1.726874</v>
      </c>
      <c r="AD921" s="53">
        <v>1.7343139999999999</v>
      </c>
      <c r="AE921" s="53">
        <v>1.74736</v>
      </c>
      <c r="AF921" s="35">
        <v>4.9129999999999998E-3</v>
      </c>
      <c r="AG921" s="29"/>
    </row>
    <row r="922" spans="1:33" ht="12" customHeight="1">
      <c r="A922" s="34" t="s">
        <v>3695</v>
      </c>
      <c r="B922" s="37" t="s">
        <v>1465</v>
      </c>
      <c r="C922" s="53">
        <v>0.90677200000000002</v>
      </c>
      <c r="D922" s="53">
        <v>0.86246699999999998</v>
      </c>
      <c r="E922" s="53">
        <v>0.85045599999999999</v>
      </c>
      <c r="F922" s="53">
        <v>0.856491</v>
      </c>
      <c r="G922" s="53">
        <v>0.85973299999999997</v>
      </c>
      <c r="H922" s="53">
        <v>0.85918000000000005</v>
      </c>
      <c r="I922" s="53">
        <v>0.85682899999999995</v>
      </c>
      <c r="J922" s="53">
        <v>0.86172800000000005</v>
      </c>
      <c r="K922" s="53">
        <v>0.86010600000000004</v>
      </c>
      <c r="L922" s="53">
        <v>0.85978699999999997</v>
      </c>
      <c r="M922" s="53">
        <v>0.86093200000000003</v>
      </c>
      <c r="N922" s="53">
        <v>0.85091799999999995</v>
      </c>
      <c r="O922" s="53">
        <v>0.84097</v>
      </c>
      <c r="P922" s="53">
        <v>0.84248299999999998</v>
      </c>
      <c r="Q922" s="53">
        <v>0.84480100000000002</v>
      </c>
      <c r="R922" s="53">
        <v>0.842696</v>
      </c>
      <c r="S922" s="53">
        <v>0.84828300000000001</v>
      </c>
      <c r="T922" s="53">
        <v>0.83924100000000001</v>
      </c>
      <c r="U922" s="53">
        <v>0.83190500000000001</v>
      </c>
      <c r="V922" s="53">
        <v>0.82496999999999998</v>
      </c>
      <c r="W922" s="53">
        <v>0.82062800000000002</v>
      </c>
      <c r="X922" s="53">
        <v>0.811859</v>
      </c>
      <c r="Y922" s="53">
        <v>0.80764499999999995</v>
      </c>
      <c r="Z922" s="53">
        <v>0.80520000000000003</v>
      </c>
      <c r="AA922" s="53">
        <v>0.79938699999999996</v>
      </c>
      <c r="AB922" s="53">
        <v>0.79364000000000001</v>
      </c>
      <c r="AC922" s="53">
        <v>0.78581500000000004</v>
      </c>
      <c r="AD922" s="53">
        <v>0.77739000000000003</v>
      </c>
      <c r="AE922" s="53">
        <v>0.770146</v>
      </c>
      <c r="AF922" s="35">
        <v>-5.816E-3</v>
      </c>
      <c r="AG922" s="29"/>
    </row>
    <row r="923" spans="1:33" ht="12" customHeight="1">
      <c r="A923" s="34" t="s">
        <v>3696</v>
      </c>
      <c r="B923" s="37" t="s">
        <v>2740</v>
      </c>
      <c r="C923" s="53">
        <v>4.8154110000000001</v>
      </c>
      <c r="D923" s="53">
        <v>4.631278</v>
      </c>
      <c r="E923" s="53">
        <v>4.6097669999999997</v>
      </c>
      <c r="F923" s="53">
        <v>4.7169840000000001</v>
      </c>
      <c r="G923" s="53">
        <v>4.8596120000000003</v>
      </c>
      <c r="H923" s="53">
        <v>4.9795439999999997</v>
      </c>
      <c r="I923" s="53">
        <v>5.0829800000000001</v>
      </c>
      <c r="J923" s="53">
        <v>5.1769579999999999</v>
      </c>
      <c r="K923" s="53">
        <v>5.2402790000000001</v>
      </c>
      <c r="L923" s="53">
        <v>5.3155349999999997</v>
      </c>
      <c r="M923" s="53">
        <v>5.4156610000000001</v>
      </c>
      <c r="N923" s="53">
        <v>5.4957419999999999</v>
      </c>
      <c r="O923" s="53">
        <v>5.5284440000000004</v>
      </c>
      <c r="P923" s="53">
        <v>5.5962350000000001</v>
      </c>
      <c r="Q923" s="53">
        <v>5.6464340000000002</v>
      </c>
      <c r="R923" s="53">
        <v>5.6985809999999999</v>
      </c>
      <c r="S923" s="53">
        <v>5.7577499999999997</v>
      </c>
      <c r="T923" s="53">
        <v>5.8334840000000003</v>
      </c>
      <c r="U923" s="53">
        <v>5.8893680000000002</v>
      </c>
      <c r="V923" s="53">
        <v>5.9519270000000004</v>
      </c>
      <c r="W923" s="53">
        <v>5.9952529999999999</v>
      </c>
      <c r="X923" s="53">
        <v>6.0034729999999996</v>
      </c>
      <c r="Y923" s="53">
        <v>6.0462870000000004</v>
      </c>
      <c r="Z923" s="53">
        <v>6.1077859999999999</v>
      </c>
      <c r="AA923" s="53">
        <v>6.1551869999999997</v>
      </c>
      <c r="AB923" s="53">
        <v>6.2057279999999997</v>
      </c>
      <c r="AC923" s="53">
        <v>6.2439140000000002</v>
      </c>
      <c r="AD923" s="53">
        <v>6.2741389999999999</v>
      </c>
      <c r="AE923" s="53">
        <v>6.3123060000000004</v>
      </c>
      <c r="AF923" s="35">
        <v>9.7140000000000004E-3</v>
      </c>
      <c r="AG923" s="29"/>
    </row>
    <row r="924" spans="1:33" ht="12" customHeight="1">
      <c r="A924" s="34" t="s">
        <v>3697</v>
      </c>
      <c r="B924" s="37" t="s">
        <v>2742</v>
      </c>
      <c r="C924" s="53">
        <v>28.774691000000001</v>
      </c>
      <c r="D924" s="53">
        <v>28.315311000000001</v>
      </c>
      <c r="E924" s="53">
        <v>28.174004</v>
      </c>
      <c r="F924" s="53">
        <v>28.858163999999999</v>
      </c>
      <c r="G924" s="53">
        <v>29.946926000000001</v>
      </c>
      <c r="H924" s="53">
        <v>30.547888</v>
      </c>
      <c r="I924" s="53">
        <v>30.764832999999999</v>
      </c>
      <c r="J924" s="53">
        <v>30.873104000000001</v>
      </c>
      <c r="K924" s="53">
        <v>30.776945000000001</v>
      </c>
      <c r="L924" s="53">
        <v>30.774180999999999</v>
      </c>
      <c r="M924" s="53">
        <v>30.992144</v>
      </c>
      <c r="N924" s="53">
        <v>31.000071999999999</v>
      </c>
      <c r="O924" s="53">
        <v>31.127481</v>
      </c>
      <c r="P924" s="53">
        <v>31.325845999999999</v>
      </c>
      <c r="Q924" s="53">
        <v>31.495138000000001</v>
      </c>
      <c r="R924" s="53">
        <v>31.815954000000001</v>
      </c>
      <c r="S924" s="53">
        <v>32.069237000000001</v>
      </c>
      <c r="T924" s="53">
        <v>32.310443999999997</v>
      </c>
      <c r="U924" s="53">
        <v>32.526020000000003</v>
      </c>
      <c r="V924" s="53">
        <v>32.842410999999998</v>
      </c>
      <c r="W924" s="53">
        <v>33.180064999999999</v>
      </c>
      <c r="X924" s="53">
        <v>33.400596999999998</v>
      </c>
      <c r="Y924" s="53">
        <v>33.540267999999998</v>
      </c>
      <c r="Z924" s="53">
        <v>33.730716999999999</v>
      </c>
      <c r="AA924" s="53">
        <v>34.004519999999999</v>
      </c>
      <c r="AB924" s="53">
        <v>34.270958</v>
      </c>
      <c r="AC924" s="53">
        <v>34.358027999999997</v>
      </c>
      <c r="AD924" s="53">
        <v>34.502048000000002</v>
      </c>
      <c r="AE924" s="53">
        <v>34.867485000000002</v>
      </c>
      <c r="AF924" s="35">
        <v>6.8830000000000002E-3</v>
      </c>
      <c r="AG924" s="29"/>
    </row>
    <row r="925" spans="1:33" ht="15" customHeight="1">
      <c r="A925" s="34" t="s">
        <v>3698</v>
      </c>
      <c r="B925" s="37" t="s">
        <v>1464</v>
      </c>
      <c r="C925" s="53">
        <v>13.685717</v>
      </c>
      <c r="D925" s="53">
        <v>13.359802</v>
      </c>
      <c r="E925" s="53">
        <v>13.07499</v>
      </c>
      <c r="F925" s="53">
        <v>13.289429</v>
      </c>
      <c r="G925" s="53">
        <v>13.844614</v>
      </c>
      <c r="H925" s="53">
        <v>14.090814</v>
      </c>
      <c r="I925" s="53">
        <v>14.070713</v>
      </c>
      <c r="J925" s="53">
        <v>14.048688</v>
      </c>
      <c r="K925" s="53">
        <v>13.903024</v>
      </c>
      <c r="L925" s="53">
        <v>13.822862000000001</v>
      </c>
      <c r="M925" s="53">
        <v>13.909222</v>
      </c>
      <c r="N925" s="53">
        <v>13.777863999999999</v>
      </c>
      <c r="O925" s="53">
        <v>13.714142000000001</v>
      </c>
      <c r="P925" s="53">
        <v>13.680878</v>
      </c>
      <c r="Q925" s="53">
        <v>13.672218000000001</v>
      </c>
      <c r="R925" s="53">
        <v>13.768148</v>
      </c>
      <c r="S925" s="53">
        <v>13.811534</v>
      </c>
      <c r="T925" s="53">
        <v>13.802994999999999</v>
      </c>
      <c r="U925" s="53">
        <v>13.799943000000001</v>
      </c>
      <c r="V925" s="53">
        <v>13.84024</v>
      </c>
      <c r="W925" s="53">
        <v>13.888195</v>
      </c>
      <c r="X925" s="53">
        <v>13.872756000000001</v>
      </c>
      <c r="Y925" s="53">
        <v>13.815401</v>
      </c>
      <c r="Z925" s="53">
        <v>13.725718000000001</v>
      </c>
      <c r="AA925" s="53">
        <v>13.687264000000001</v>
      </c>
      <c r="AB925" s="53">
        <v>13.686684</v>
      </c>
      <c r="AC925" s="53">
        <v>13.632721</v>
      </c>
      <c r="AD925" s="53">
        <v>13.588065</v>
      </c>
      <c r="AE925" s="53">
        <v>13.661013000000001</v>
      </c>
      <c r="AF925" s="35">
        <v>-6.4999999999999994E-5</v>
      </c>
      <c r="AG925" s="29"/>
    </row>
    <row r="926" spans="1:33" ht="15" customHeight="1">
      <c r="A926" s="34" t="s">
        <v>3699</v>
      </c>
      <c r="B926" s="37" t="s">
        <v>1482</v>
      </c>
      <c r="C926" s="53">
        <v>10.174092</v>
      </c>
      <c r="D926" s="53">
        <v>10.067024</v>
      </c>
      <c r="E926" s="53">
        <v>10.145491</v>
      </c>
      <c r="F926" s="53">
        <v>10.458800999999999</v>
      </c>
      <c r="G926" s="53">
        <v>10.822296</v>
      </c>
      <c r="H926" s="53">
        <v>11.072487000000001</v>
      </c>
      <c r="I926" s="53">
        <v>11.252537999999999</v>
      </c>
      <c r="J926" s="53">
        <v>11.359902999999999</v>
      </c>
      <c r="K926" s="53">
        <v>11.407973</v>
      </c>
      <c r="L926" s="53">
        <v>11.474977000000001</v>
      </c>
      <c r="M926" s="53">
        <v>11.560013</v>
      </c>
      <c r="N926" s="53">
        <v>11.682606</v>
      </c>
      <c r="O926" s="53">
        <v>11.853171</v>
      </c>
      <c r="P926" s="53">
        <v>12.029737000000001</v>
      </c>
      <c r="Q926" s="53">
        <v>12.162596000000001</v>
      </c>
      <c r="R926" s="53">
        <v>12.321071</v>
      </c>
      <c r="S926" s="53">
        <v>12.478960000000001</v>
      </c>
      <c r="T926" s="53">
        <v>12.650926999999999</v>
      </c>
      <c r="U926" s="53">
        <v>12.767142</v>
      </c>
      <c r="V926" s="53">
        <v>12.949949</v>
      </c>
      <c r="W926" s="53">
        <v>13.177508</v>
      </c>
      <c r="X926" s="53">
        <v>13.350016</v>
      </c>
      <c r="Y926" s="53">
        <v>13.469918</v>
      </c>
      <c r="Z926" s="53">
        <v>13.664941000000001</v>
      </c>
      <c r="AA926" s="53">
        <v>13.894447</v>
      </c>
      <c r="AB926" s="53">
        <v>14.093230999999999</v>
      </c>
      <c r="AC926" s="53">
        <v>14.175068</v>
      </c>
      <c r="AD926" s="53">
        <v>14.306448</v>
      </c>
      <c r="AE926" s="53">
        <v>14.545489</v>
      </c>
      <c r="AF926" s="35">
        <v>1.2847000000000001E-2</v>
      </c>
      <c r="AG926" s="29"/>
    </row>
    <row r="927" spans="1:33" ht="15" customHeight="1">
      <c r="A927" s="34" t="s">
        <v>3700</v>
      </c>
      <c r="B927" s="37" t="s">
        <v>1486</v>
      </c>
      <c r="C927" s="53">
        <v>4.9148800000000001</v>
      </c>
      <c r="D927" s="53">
        <v>4.8884840000000001</v>
      </c>
      <c r="E927" s="53">
        <v>4.9535220000000004</v>
      </c>
      <c r="F927" s="53">
        <v>5.109934</v>
      </c>
      <c r="G927" s="53">
        <v>5.2800149999999997</v>
      </c>
      <c r="H927" s="53">
        <v>5.3845879999999999</v>
      </c>
      <c r="I927" s="53">
        <v>5.4415829999999996</v>
      </c>
      <c r="J927" s="53">
        <v>5.4645109999999999</v>
      </c>
      <c r="K927" s="53">
        <v>5.465948</v>
      </c>
      <c r="L927" s="53">
        <v>5.4763419999999998</v>
      </c>
      <c r="M927" s="53">
        <v>5.5229090000000003</v>
      </c>
      <c r="N927" s="53">
        <v>5.5396049999999999</v>
      </c>
      <c r="O927" s="53">
        <v>5.5601669999999999</v>
      </c>
      <c r="P927" s="53">
        <v>5.6152309999999996</v>
      </c>
      <c r="Q927" s="53">
        <v>5.6603240000000001</v>
      </c>
      <c r="R927" s="53">
        <v>5.726737</v>
      </c>
      <c r="S927" s="53">
        <v>5.7787439999999997</v>
      </c>
      <c r="T927" s="53">
        <v>5.8565199999999997</v>
      </c>
      <c r="U927" s="53">
        <v>5.9589350000000003</v>
      </c>
      <c r="V927" s="53">
        <v>6.0522229999999997</v>
      </c>
      <c r="W927" s="53">
        <v>6.1143590000000003</v>
      </c>
      <c r="X927" s="53">
        <v>6.1778259999999996</v>
      </c>
      <c r="Y927" s="53">
        <v>6.2549489999999999</v>
      </c>
      <c r="Z927" s="53">
        <v>6.340058</v>
      </c>
      <c r="AA927" s="53">
        <v>6.422809</v>
      </c>
      <c r="AB927" s="53">
        <v>6.4910420000000002</v>
      </c>
      <c r="AC927" s="53">
        <v>6.5502399999999996</v>
      </c>
      <c r="AD927" s="53">
        <v>6.6075359999999996</v>
      </c>
      <c r="AE927" s="53">
        <v>6.6609819999999997</v>
      </c>
      <c r="AF927" s="35">
        <v>1.0916E-2</v>
      </c>
      <c r="AG927" s="29"/>
    </row>
    <row r="928" spans="1:33" ht="15" customHeight="1">
      <c r="A928" s="34" t="s">
        <v>3701</v>
      </c>
      <c r="B928" s="37" t="s">
        <v>2747</v>
      </c>
      <c r="C928" s="53">
        <v>25.729557</v>
      </c>
      <c r="D928" s="53">
        <v>25.172577</v>
      </c>
      <c r="E928" s="53">
        <v>24.983778000000001</v>
      </c>
      <c r="F928" s="53">
        <v>25.490874999999999</v>
      </c>
      <c r="G928" s="53">
        <v>26.377898999999999</v>
      </c>
      <c r="H928" s="53">
        <v>27.088526000000002</v>
      </c>
      <c r="I928" s="53">
        <v>27.473661</v>
      </c>
      <c r="J928" s="53">
        <v>27.737622999999999</v>
      </c>
      <c r="K928" s="53">
        <v>27.883583000000002</v>
      </c>
      <c r="L928" s="53">
        <v>28.129372</v>
      </c>
      <c r="M928" s="53">
        <v>28.698720999999999</v>
      </c>
      <c r="N928" s="53">
        <v>29.190677999999998</v>
      </c>
      <c r="O928" s="53">
        <v>29.602385000000002</v>
      </c>
      <c r="P928" s="53">
        <v>30.171171000000001</v>
      </c>
      <c r="Q928" s="53">
        <v>30.782225</v>
      </c>
      <c r="R928" s="53">
        <v>31.435268000000001</v>
      </c>
      <c r="S928" s="53">
        <v>32.130268000000001</v>
      </c>
      <c r="T928" s="53">
        <v>32.596007999999998</v>
      </c>
      <c r="U928" s="53">
        <v>33.055999999999997</v>
      </c>
      <c r="V928" s="53">
        <v>33.664158</v>
      </c>
      <c r="W928" s="53">
        <v>34.179606999999997</v>
      </c>
      <c r="X928" s="53">
        <v>34.603779000000003</v>
      </c>
      <c r="Y928" s="53">
        <v>34.867977000000003</v>
      </c>
      <c r="Z928" s="53">
        <v>34.993716999999997</v>
      </c>
      <c r="AA928" s="53">
        <v>35.142009999999999</v>
      </c>
      <c r="AB928" s="53">
        <v>35.412506</v>
      </c>
      <c r="AC928" s="53">
        <v>35.527237</v>
      </c>
      <c r="AD928" s="53">
        <v>35.527287000000001</v>
      </c>
      <c r="AE928" s="53">
        <v>36.003104999999998</v>
      </c>
      <c r="AF928" s="35">
        <v>1.2071E-2</v>
      </c>
      <c r="AG928" s="29"/>
    </row>
    <row r="929" spans="1:33" ht="15" customHeight="1">
      <c r="A929" s="34" t="s">
        <v>3702</v>
      </c>
      <c r="B929" s="37" t="s">
        <v>2749</v>
      </c>
      <c r="C929" s="53">
        <v>22.356407000000001</v>
      </c>
      <c r="D929" s="53">
        <v>21.949598000000002</v>
      </c>
      <c r="E929" s="53">
        <v>21.909072999999999</v>
      </c>
      <c r="F929" s="53">
        <v>22.106518000000001</v>
      </c>
      <c r="G929" s="53">
        <v>22.827845</v>
      </c>
      <c r="H929" s="53">
        <v>23.465132000000001</v>
      </c>
      <c r="I929" s="53">
        <v>23.694212</v>
      </c>
      <c r="J929" s="53">
        <v>23.871828000000001</v>
      </c>
      <c r="K929" s="53">
        <v>24.048248000000001</v>
      </c>
      <c r="L929" s="53">
        <v>24.372194</v>
      </c>
      <c r="M929" s="53">
        <v>24.931763</v>
      </c>
      <c r="N929" s="53">
        <v>25.320986000000001</v>
      </c>
      <c r="O929" s="53">
        <v>25.618048000000002</v>
      </c>
      <c r="P929" s="53">
        <v>25.969336999999999</v>
      </c>
      <c r="Q929" s="53">
        <v>26.292172999999998</v>
      </c>
      <c r="R929" s="53">
        <v>26.620360999999999</v>
      </c>
      <c r="S929" s="53">
        <v>26.93187</v>
      </c>
      <c r="T929" s="53">
        <v>27.153853999999999</v>
      </c>
      <c r="U929" s="53">
        <v>27.355326000000002</v>
      </c>
      <c r="V929" s="53">
        <v>27.612881000000002</v>
      </c>
      <c r="W929" s="53">
        <v>27.831199999999999</v>
      </c>
      <c r="X929" s="53">
        <v>27.969145000000001</v>
      </c>
      <c r="Y929" s="53">
        <v>28.036249000000002</v>
      </c>
      <c r="Z929" s="53">
        <v>28.058311</v>
      </c>
      <c r="AA929" s="53">
        <v>28.195212999999999</v>
      </c>
      <c r="AB929" s="53">
        <v>28.360562999999999</v>
      </c>
      <c r="AC929" s="53">
        <v>28.493406</v>
      </c>
      <c r="AD929" s="53">
        <v>28.523192999999999</v>
      </c>
      <c r="AE929" s="53">
        <v>28.735009999999999</v>
      </c>
      <c r="AF929" s="35">
        <v>9.0050000000000009E-3</v>
      </c>
      <c r="AG929" s="29"/>
    </row>
    <row r="930" spans="1:33" ht="15" customHeight="1">
      <c r="A930" s="34" t="s">
        <v>3703</v>
      </c>
      <c r="B930" s="37" t="s">
        <v>2751</v>
      </c>
      <c r="C930" s="53">
        <v>9.7959209999999999</v>
      </c>
      <c r="D930" s="53">
        <v>10.014010000000001</v>
      </c>
      <c r="E930" s="53">
        <v>10.401299</v>
      </c>
      <c r="F930" s="53">
        <v>10.865553</v>
      </c>
      <c r="G930" s="53">
        <v>11.367879</v>
      </c>
      <c r="H930" s="53">
        <v>11.830465999999999</v>
      </c>
      <c r="I930" s="53">
        <v>12.225682000000001</v>
      </c>
      <c r="J930" s="53">
        <v>12.560136999999999</v>
      </c>
      <c r="K930" s="53">
        <v>12.827007999999999</v>
      </c>
      <c r="L930" s="53">
        <v>13.120554</v>
      </c>
      <c r="M930" s="53">
        <v>13.41409</v>
      </c>
      <c r="N930" s="53">
        <v>13.671226000000001</v>
      </c>
      <c r="O930" s="53">
        <v>13.943205000000001</v>
      </c>
      <c r="P930" s="53">
        <v>14.16966</v>
      </c>
      <c r="Q930" s="53">
        <v>14.432069</v>
      </c>
      <c r="R930" s="53">
        <v>14.739012000000001</v>
      </c>
      <c r="S930" s="53">
        <v>15.060508</v>
      </c>
      <c r="T930" s="53">
        <v>15.413620999999999</v>
      </c>
      <c r="U930" s="53">
        <v>15.772752000000001</v>
      </c>
      <c r="V930" s="53">
        <v>16.116637999999998</v>
      </c>
      <c r="W930" s="53">
        <v>16.422466</v>
      </c>
      <c r="X930" s="53">
        <v>16.757832000000001</v>
      </c>
      <c r="Y930" s="53">
        <v>17.065987</v>
      </c>
      <c r="Z930" s="53">
        <v>17.335937999999999</v>
      </c>
      <c r="AA930" s="53">
        <v>17.601938000000001</v>
      </c>
      <c r="AB930" s="53">
        <v>17.856401000000002</v>
      </c>
      <c r="AC930" s="53">
        <v>18.098189999999999</v>
      </c>
      <c r="AD930" s="53">
        <v>18.376567999999999</v>
      </c>
      <c r="AE930" s="53">
        <v>18.707626000000001</v>
      </c>
      <c r="AF930" s="35">
        <v>2.3375E-2</v>
      </c>
      <c r="AG930" s="29"/>
    </row>
    <row r="931" spans="1:33" ht="12" customHeight="1">
      <c r="A931" s="34" t="s">
        <v>3704</v>
      </c>
      <c r="B931" s="37" t="s">
        <v>2753</v>
      </c>
      <c r="C931" s="53">
        <v>177.788498</v>
      </c>
      <c r="D931" s="53">
        <v>185.62202500000001</v>
      </c>
      <c r="E931" s="53">
        <v>190.27314799999999</v>
      </c>
      <c r="F931" s="53">
        <v>191.47499099999999</v>
      </c>
      <c r="G931" s="53">
        <v>194.38140899999999</v>
      </c>
      <c r="H931" s="53">
        <v>200.01658599999999</v>
      </c>
      <c r="I931" s="53">
        <v>204.706299</v>
      </c>
      <c r="J931" s="53">
        <v>207.97410600000001</v>
      </c>
      <c r="K931" s="53">
        <v>211.95687899999999</v>
      </c>
      <c r="L931" s="53">
        <v>217.60919200000001</v>
      </c>
      <c r="M931" s="53">
        <v>225.096329</v>
      </c>
      <c r="N931" s="53">
        <v>231.568558</v>
      </c>
      <c r="O931" s="53">
        <v>237.203125</v>
      </c>
      <c r="P931" s="53">
        <v>243.14634699999999</v>
      </c>
      <c r="Q931" s="53">
        <v>248.685913</v>
      </c>
      <c r="R931" s="53">
        <v>252.958527</v>
      </c>
      <c r="S931" s="53">
        <v>257.58114599999999</v>
      </c>
      <c r="T931" s="53">
        <v>261.626282</v>
      </c>
      <c r="U931" s="53">
        <v>267.18258700000001</v>
      </c>
      <c r="V931" s="53">
        <v>273.76007099999998</v>
      </c>
      <c r="W931" s="53">
        <v>280.19784499999997</v>
      </c>
      <c r="X931" s="53">
        <v>286.00338699999998</v>
      </c>
      <c r="Y931" s="53">
        <v>291.14041099999997</v>
      </c>
      <c r="Z931" s="53">
        <v>296.35958900000003</v>
      </c>
      <c r="AA931" s="53">
        <v>302.698151</v>
      </c>
      <c r="AB931" s="53">
        <v>309.50451700000002</v>
      </c>
      <c r="AC931" s="53">
        <v>315.86093099999999</v>
      </c>
      <c r="AD931" s="53">
        <v>322.07766700000002</v>
      </c>
      <c r="AE931" s="53">
        <v>329.48852499999998</v>
      </c>
      <c r="AF931" s="35">
        <v>2.2277999999999999E-2</v>
      </c>
      <c r="AG931" s="29"/>
    </row>
    <row r="932" spans="1:33" ht="15" customHeight="1">
      <c r="A932" s="34" t="s">
        <v>3705</v>
      </c>
      <c r="B932" s="37" t="s">
        <v>2755</v>
      </c>
      <c r="C932" s="53">
        <v>12.808044000000001</v>
      </c>
      <c r="D932" s="53">
        <v>12.709348</v>
      </c>
      <c r="E932" s="53">
        <v>12.792064</v>
      </c>
      <c r="F932" s="53">
        <v>13.0601</v>
      </c>
      <c r="G932" s="53">
        <v>13.364394000000001</v>
      </c>
      <c r="H932" s="53">
        <v>13.656116000000001</v>
      </c>
      <c r="I932" s="53">
        <v>13.928222</v>
      </c>
      <c r="J932" s="53">
        <v>14.181245000000001</v>
      </c>
      <c r="K932" s="53">
        <v>14.378159999999999</v>
      </c>
      <c r="L932" s="53">
        <v>14.522484</v>
      </c>
      <c r="M932" s="53">
        <v>14.854379</v>
      </c>
      <c r="N932" s="53">
        <v>15.286268</v>
      </c>
      <c r="O932" s="53">
        <v>15.718237999999999</v>
      </c>
      <c r="P932" s="53">
        <v>16.138753999999999</v>
      </c>
      <c r="Q932" s="53">
        <v>16.561554000000001</v>
      </c>
      <c r="R932" s="53">
        <v>17.026524999999999</v>
      </c>
      <c r="S932" s="53">
        <v>17.533632000000001</v>
      </c>
      <c r="T932" s="53">
        <v>18.051867000000001</v>
      </c>
      <c r="U932" s="53">
        <v>18.688586999999998</v>
      </c>
      <c r="V932" s="53">
        <v>19.348828999999999</v>
      </c>
      <c r="W932" s="53">
        <v>19.878996000000001</v>
      </c>
      <c r="X932" s="53">
        <v>20.447838000000001</v>
      </c>
      <c r="Y932" s="53">
        <v>21.016888000000002</v>
      </c>
      <c r="Z932" s="53">
        <v>21.576677</v>
      </c>
      <c r="AA932" s="53">
        <v>22.160682999999999</v>
      </c>
      <c r="AB932" s="53">
        <v>22.77833</v>
      </c>
      <c r="AC932" s="53">
        <v>23.388092</v>
      </c>
      <c r="AD932" s="53">
        <v>23.989989999999999</v>
      </c>
      <c r="AE932" s="53">
        <v>24.709160000000001</v>
      </c>
      <c r="AF932" s="35">
        <v>2.3744999999999999E-2</v>
      </c>
      <c r="AG932" s="29"/>
    </row>
    <row r="933" spans="1:33" ht="15" customHeight="1">
      <c r="A933" s="34" t="s">
        <v>3706</v>
      </c>
      <c r="B933" s="37" t="s">
        <v>1475</v>
      </c>
      <c r="C933" s="53">
        <v>6.5620419999999999</v>
      </c>
      <c r="D933" s="53">
        <v>6.4281459999999999</v>
      </c>
      <c r="E933" s="53">
        <v>6.3642390000000004</v>
      </c>
      <c r="F933" s="53">
        <v>6.1583940000000004</v>
      </c>
      <c r="G933" s="53">
        <v>6.0614299999999997</v>
      </c>
      <c r="H933" s="53">
        <v>6.0287199999999999</v>
      </c>
      <c r="I933" s="53">
        <v>6.0432639999999997</v>
      </c>
      <c r="J933" s="53">
        <v>6.0663590000000003</v>
      </c>
      <c r="K933" s="53">
        <v>6.09361</v>
      </c>
      <c r="L933" s="53">
        <v>6.1447310000000002</v>
      </c>
      <c r="M933" s="53">
        <v>6.2391259999999997</v>
      </c>
      <c r="N933" s="53">
        <v>6.3255229999999996</v>
      </c>
      <c r="O933" s="53">
        <v>6.4138380000000002</v>
      </c>
      <c r="P933" s="53">
        <v>6.4851049999999999</v>
      </c>
      <c r="Q933" s="53">
        <v>6.5487320000000002</v>
      </c>
      <c r="R933" s="53">
        <v>6.6080569999999996</v>
      </c>
      <c r="S933" s="53">
        <v>6.6722380000000001</v>
      </c>
      <c r="T933" s="53">
        <v>6.7135550000000004</v>
      </c>
      <c r="U933" s="53">
        <v>6.766629</v>
      </c>
      <c r="V933" s="53">
        <v>6.8082409999999998</v>
      </c>
      <c r="W933" s="53">
        <v>6.867597</v>
      </c>
      <c r="X933" s="53">
        <v>6.9236250000000004</v>
      </c>
      <c r="Y933" s="53">
        <v>6.9592980000000004</v>
      </c>
      <c r="Z933" s="53">
        <v>6.9973549999999998</v>
      </c>
      <c r="AA933" s="53">
        <v>7.0413199999999998</v>
      </c>
      <c r="AB933" s="53">
        <v>7.0955159999999999</v>
      </c>
      <c r="AC933" s="53">
        <v>7.1402020000000004</v>
      </c>
      <c r="AD933" s="53">
        <v>7.173241</v>
      </c>
      <c r="AE933" s="53">
        <v>7.2485939999999998</v>
      </c>
      <c r="AF933" s="35">
        <v>3.5599999999999998E-3</v>
      </c>
      <c r="AG933" s="29"/>
    </row>
    <row r="934" spans="1:33" ht="15" customHeight="1">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row>
    <row r="935" spans="1:33" ht="15" customHeight="1">
      <c r="A935" s="34" t="s">
        <v>3707</v>
      </c>
      <c r="B935" s="33" t="s">
        <v>2758</v>
      </c>
      <c r="C935" s="40">
        <v>626.12243699999999</v>
      </c>
      <c r="D935" s="40">
        <v>628.70153800000003</v>
      </c>
      <c r="E935" s="40">
        <v>631.60382100000004</v>
      </c>
      <c r="F935" s="40">
        <v>638.39050299999997</v>
      </c>
      <c r="G935" s="40">
        <v>649.22113000000002</v>
      </c>
      <c r="H935" s="40">
        <v>661.44152799999995</v>
      </c>
      <c r="I935" s="40">
        <v>671.43121299999996</v>
      </c>
      <c r="J935" s="40">
        <v>679.91046100000005</v>
      </c>
      <c r="K935" s="40">
        <v>687.90667699999995</v>
      </c>
      <c r="L935" s="40">
        <v>697.64776600000005</v>
      </c>
      <c r="M935" s="40">
        <v>710.696594</v>
      </c>
      <c r="N935" s="40">
        <v>721.85266100000001</v>
      </c>
      <c r="O935" s="40">
        <v>732.37603799999999</v>
      </c>
      <c r="P935" s="40">
        <v>743.58374000000003</v>
      </c>
      <c r="Q935" s="40">
        <v>754.02563499999997</v>
      </c>
      <c r="R935" s="40">
        <v>764.01055899999994</v>
      </c>
      <c r="S935" s="40">
        <v>773.99713099999997</v>
      </c>
      <c r="T935" s="40">
        <v>783.21624799999995</v>
      </c>
      <c r="U935" s="40">
        <v>794.49084500000004</v>
      </c>
      <c r="V935" s="40">
        <v>807.31707800000004</v>
      </c>
      <c r="W935" s="40">
        <v>819.64929199999995</v>
      </c>
      <c r="X935" s="40">
        <v>830.959473</v>
      </c>
      <c r="Y935" s="40">
        <v>840.82189900000003</v>
      </c>
      <c r="Z935" s="40">
        <v>850.29669200000001</v>
      </c>
      <c r="AA935" s="40">
        <v>861.75244099999998</v>
      </c>
      <c r="AB935" s="40">
        <v>874.19171100000005</v>
      </c>
      <c r="AC935" s="40">
        <v>884.87017800000001</v>
      </c>
      <c r="AD935" s="40">
        <v>895.49108899999999</v>
      </c>
      <c r="AE935" s="40">
        <v>910.306152</v>
      </c>
      <c r="AF935" s="31">
        <v>1.3455E-2</v>
      </c>
      <c r="AG935" s="29"/>
    </row>
    <row r="936" spans="1:33" ht="15" customHeight="1">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row>
    <row r="937" spans="1:33" ht="15" customHeight="1" thickBot="1">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row>
    <row r="938" spans="1:33" ht="15" customHeight="1">
      <c r="B938" s="54" t="s">
        <v>2584</v>
      </c>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29"/>
    </row>
    <row r="939" spans="1:33" ht="15" customHeight="1">
      <c r="B939" s="29" t="s">
        <v>2759</v>
      </c>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row>
    <row r="940" spans="1:33" ht="15" customHeight="1">
      <c r="B940" s="29" t="s">
        <v>2760</v>
      </c>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row>
    <row r="941" spans="1:33" ht="15" customHeight="1">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row>
    <row r="942" spans="1:33" ht="15" customHeight="1">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row>
    <row r="943" spans="1:33" ht="15" customHeight="1">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row>
    <row r="944" spans="1:33" ht="15" customHeight="1">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row>
    <row r="945" spans="2:33" ht="15" customHeight="1">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row>
    <row r="946" spans="2:33" ht="12" customHeight="1">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row>
    <row r="947" spans="2:33" ht="15" customHeight="1">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row>
    <row r="948" spans="2:33" ht="15" customHeight="1">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row>
    <row r="949" spans="2:33" ht="15" customHeight="1">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row>
    <row r="950" spans="2:33" ht="15" customHeight="1">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row>
    <row r="951" spans="2:33" ht="15" customHeight="1">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row>
    <row r="952" spans="2:33" ht="15" customHeight="1">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row>
    <row r="953" spans="2:33" ht="15" customHeight="1">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row>
    <row r="954" spans="2:33" ht="15" customHeight="1">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row>
    <row r="955" spans="2:33" ht="15" customHeight="1">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row>
    <row r="956" spans="2:33" ht="15" customHeight="1">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row>
    <row r="957" spans="2:33" ht="15" customHeight="1">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row>
    <row r="958" spans="2:33" ht="15" customHeight="1">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row>
    <row r="959" spans="2:33" ht="15" customHeight="1">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row>
    <row r="960" spans="2:33" ht="15" customHeight="1">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row>
    <row r="961" spans="2:33" ht="15" customHeight="1">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row>
    <row r="962" spans="2:33" ht="12" customHeight="1">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row>
    <row r="963" spans="2:33" ht="15" customHeight="1">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row>
    <row r="964" spans="2:33" ht="15" customHeight="1">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row>
    <row r="965" spans="2:33" ht="15" customHeight="1">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row>
    <row r="966" spans="2:33" ht="12" customHeight="1">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row>
    <row r="967" spans="2:33" ht="15" customHeight="1">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row>
    <row r="968" spans="2:33" ht="15" customHeight="1">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row>
    <row r="969" spans="2:33" ht="15" customHeight="1">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row>
    <row r="970" spans="2:33" ht="15" customHeight="1">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row>
    <row r="971" spans="2:33" ht="15" customHeight="1">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row>
    <row r="972" spans="2:33" ht="15" customHeight="1">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row>
    <row r="973" spans="2:33" ht="15" customHeight="1">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row>
    <row r="974" spans="2:33" ht="15" customHeight="1">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row>
    <row r="975" spans="2:33" ht="15" customHeight="1">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row>
    <row r="976" spans="2:33" ht="15" customHeight="1">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row>
    <row r="977" spans="2:33" ht="15" customHeight="1">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row>
    <row r="978" spans="2:33" ht="15" customHeight="1">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row>
    <row r="979" spans="2:33" ht="15" customHeight="1">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row>
    <row r="980" spans="2:33" ht="15" customHeight="1">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row>
    <row r="981" spans="2:33" ht="15" customHeight="1">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row>
    <row r="982" spans="2:33" ht="15" customHeight="1">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row>
    <row r="983" spans="2:33" ht="15" customHeight="1">
      <c r="B983" s="2185"/>
      <c r="C983" s="2185"/>
      <c r="D983" s="2185"/>
      <c r="E983" s="2185"/>
      <c r="F983" s="2185"/>
      <c r="G983" s="2185"/>
      <c r="H983" s="2185"/>
      <c r="I983" s="2185"/>
      <c r="J983" s="2185"/>
      <c r="K983" s="2185"/>
      <c r="L983" s="2185"/>
      <c r="M983" s="2185"/>
      <c r="N983" s="2185"/>
      <c r="O983" s="2185"/>
      <c r="P983" s="2185"/>
      <c r="Q983" s="2185"/>
      <c r="R983" s="2185"/>
      <c r="S983" s="2185"/>
      <c r="T983" s="2185"/>
      <c r="U983" s="2185"/>
      <c r="V983" s="2185"/>
      <c r="W983" s="2185"/>
      <c r="X983" s="2185"/>
      <c r="Y983" s="2185"/>
      <c r="Z983" s="2185"/>
      <c r="AA983" s="2185"/>
      <c r="AB983" s="2185"/>
      <c r="AC983" s="2185"/>
      <c r="AD983" s="2185"/>
      <c r="AE983" s="2185"/>
      <c r="AF983" s="2185"/>
      <c r="AG983" s="29"/>
    </row>
    <row r="984" spans="2:33" ht="15" customHeight="1">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row>
    <row r="985" spans="2:33" ht="15" customHeight="1">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row>
    <row r="986" spans="2:33" ht="15" customHeight="1">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row>
    <row r="987" spans="2:33" ht="15" customHeight="1">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row>
    <row r="988" spans="2:33" ht="15" customHeight="1">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row>
    <row r="989" spans="2:33" ht="15" customHeight="1">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row>
    <row r="990" spans="2:33" ht="15" customHeight="1">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row>
    <row r="991" spans="2:33" ht="15" customHeight="1">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row>
    <row r="992" spans="2:33" ht="15" customHeight="1">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row>
    <row r="993" spans="2:33" ht="15" customHeight="1">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row>
    <row r="994" spans="2:33" ht="15" customHeight="1">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row>
    <row r="995" spans="2:33" ht="15" customHeight="1">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row>
    <row r="996" spans="2:33" ht="15" customHeight="1">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row>
    <row r="997" spans="2:33" ht="15" customHeight="1">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row>
    <row r="998" spans="2:33" ht="12" customHeight="1">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row>
    <row r="999" spans="2:33" ht="12" customHeight="1">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row>
    <row r="1000" spans="2:33" ht="12" customHeight="1">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row>
    <row r="1001" spans="2:33" ht="12" customHeight="1">
      <c r="B1001" s="29"/>
      <c r="C1001" s="29"/>
      <c r="D1001" s="29"/>
      <c r="E1001" s="29"/>
      <c r="F1001" s="29"/>
      <c r="G1001" s="29"/>
      <c r="H1001" s="29"/>
      <c r="I1001" s="29"/>
      <c r="J1001" s="29"/>
      <c r="K1001" s="29"/>
      <c r="L1001" s="29"/>
      <c r="M1001" s="29"/>
      <c r="N1001" s="29"/>
      <c r="O1001" s="29"/>
      <c r="P1001" s="29"/>
      <c r="Q1001" s="29"/>
      <c r="R1001" s="29"/>
      <c r="S1001" s="29"/>
      <c r="T1001" s="29"/>
      <c r="U1001" s="29"/>
      <c r="V1001" s="29"/>
      <c r="W1001" s="29"/>
      <c r="X1001" s="29"/>
      <c r="Y1001" s="29"/>
      <c r="Z1001" s="29"/>
      <c r="AA1001" s="29"/>
      <c r="AB1001" s="29"/>
      <c r="AC1001" s="29"/>
      <c r="AD1001" s="29"/>
      <c r="AE1001" s="29"/>
      <c r="AF1001" s="29"/>
      <c r="AG1001" s="29"/>
    </row>
    <row r="1002" spans="2:33" ht="12" customHeight="1">
      <c r="B1002" s="29"/>
      <c r="C1002" s="29"/>
      <c r="D1002" s="29"/>
      <c r="E1002" s="29"/>
      <c r="F1002" s="29"/>
      <c r="G1002" s="29"/>
      <c r="H1002" s="29"/>
      <c r="I1002" s="29"/>
      <c r="J1002" s="29"/>
      <c r="K1002" s="29"/>
      <c r="L1002" s="29"/>
      <c r="M1002" s="29"/>
      <c r="N1002" s="29"/>
      <c r="O1002" s="29"/>
      <c r="P1002" s="29"/>
      <c r="Q1002" s="29"/>
      <c r="R1002" s="29"/>
      <c r="S1002" s="29"/>
      <c r="T1002" s="29"/>
      <c r="U1002" s="29"/>
      <c r="V1002" s="29"/>
      <c r="W1002" s="29"/>
      <c r="X1002" s="29"/>
      <c r="Y1002" s="29"/>
      <c r="Z1002" s="29"/>
      <c r="AA1002" s="29"/>
      <c r="AB1002" s="29"/>
      <c r="AC1002" s="29"/>
      <c r="AD1002" s="29"/>
      <c r="AE1002" s="29"/>
      <c r="AF1002" s="29"/>
      <c r="AG1002" s="29"/>
    </row>
    <row r="1003" spans="2:33" ht="12" customHeight="1">
      <c r="B1003" s="29"/>
      <c r="C1003" s="29"/>
      <c r="D1003" s="29"/>
      <c r="E1003" s="29"/>
      <c r="F1003" s="29"/>
      <c r="G1003" s="29"/>
      <c r="H1003" s="29"/>
      <c r="I1003" s="29"/>
      <c r="J1003" s="29"/>
      <c r="K1003" s="29"/>
      <c r="L1003" s="29"/>
      <c r="M1003" s="29"/>
      <c r="N1003" s="29"/>
      <c r="O1003" s="29"/>
      <c r="P1003" s="29"/>
      <c r="Q1003" s="29"/>
      <c r="R1003" s="29"/>
      <c r="S1003" s="29"/>
      <c r="T1003" s="29"/>
      <c r="U1003" s="29"/>
      <c r="V1003" s="29"/>
      <c r="W1003" s="29"/>
      <c r="X1003" s="29"/>
      <c r="Y1003" s="29"/>
      <c r="Z1003" s="29"/>
      <c r="AA1003" s="29"/>
      <c r="AB1003" s="29"/>
      <c r="AC1003" s="29"/>
      <c r="AD1003" s="29"/>
      <c r="AE1003" s="29"/>
      <c r="AF1003" s="29"/>
      <c r="AG1003" s="29"/>
    </row>
    <row r="1004" spans="2:33" ht="12" customHeight="1">
      <c r="B1004" s="29"/>
      <c r="C1004" s="29"/>
      <c r="D1004" s="29"/>
      <c r="E1004" s="29"/>
      <c r="F1004" s="29"/>
      <c r="G1004" s="29"/>
      <c r="H1004" s="29"/>
      <c r="I1004" s="29"/>
      <c r="J1004" s="29"/>
      <c r="K1004" s="29"/>
      <c r="L1004" s="29"/>
      <c r="M1004" s="29"/>
      <c r="N1004" s="29"/>
      <c r="O1004" s="29"/>
      <c r="P1004" s="29"/>
      <c r="Q1004" s="29"/>
      <c r="R1004" s="29"/>
      <c r="S1004" s="29"/>
      <c r="T1004" s="29"/>
      <c r="U1004" s="29"/>
      <c r="V1004" s="29"/>
      <c r="W1004" s="29"/>
      <c r="X1004" s="29"/>
      <c r="Y1004" s="29"/>
      <c r="Z1004" s="29"/>
      <c r="AA1004" s="29"/>
      <c r="AB1004" s="29"/>
      <c r="AC1004" s="29"/>
      <c r="AD1004" s="29"/>
      <c r="AE1004" s="29"/>
      <c r="AF1004" s="29"/>
      <c r="AG1004" s="29"/>
    </row>
    <row r="1005" spans="2:33" ht="12" customHeight="1">
      <c r="B1005" s="29"/>
      <c r="C1005" s="29"/>
      <c r="D1005" s="29"/>
      <c r="E1005" s="29"/>
      <c r="F1005" s="29"/>
      <c r="G1005" s="29"/>
      <c r="H1005" s="29"/>
      <c r="I1005" s="29"/>
      <c r="J1005" s="29"/>
      <c r="K1005" s="29"/>
      <c r="L1005" s="29"/>
      <c r="M1005" s="29"/>
      <c r="N1005" s="29"/>
      <c r="O1005" s="29"/>
      <c r="P1005" s="29"/>
      <c r="Q1005" s="29"/>
      <c r="R1005" s="29"/>
      <c r="S1005" s="29"/>
      <c r="T1005" s="29"/>
      <c r="U1005" s="29"/>
      <c r="V1005" s="29"/>
      <c r="W1005" s="29"/>
      <c r="X1005" s="29"/>
      <c r="Y1005" s="29"/>
      <c r="Z1005" s="29"/>
      <c r="AA1005" s="29"/>
      <c r="AB1005" s="29"/>
      <c r="AC1005" s="29"/>
      <c r="AD1005" s="29"/>
      <c r="AE1005" s="29"/>
      <c r="AF1005" s="29"/>
      <c r="AG1005" s="29"/>
    </row>
    <row r="1006" spans="2:33" ht="12" customHeight="1">
      <c r="B1006" s="29"/>
      <c r="C1006" s="29"/>
      <c r="D1006" s="29"/>
      <c r="E1006" s="29"/>
      <c r="F1006" s="29"/>
      <c r="G1006" s="29"/>
      <c r="H1006" s="29"/>
      <c r="I1006" s="29"/>
      <c r="J1006" s="29"/>
      <c r="K1006" s="29"/>
      <c r="L1006" s="29"/>
      <c r="M1006" s="29"/>
      <c r="N1006" s="29"/>
      <c r="O1006" s="29"/>
      <c r="P1006" s="29"/>
      <c r="Q1006" s="29"/>
      <c r="R1006" s="29"/>
      <c r="S1006" s="29"/>
      <c r="T1006" s="29"/>
      <c r="U1006" s="29"/>
      <c r="V1006" s="29"/>
      <c r="W1006" s="29"/>
      <c r="X1006" s="29"/>
      <c r="Y1006" s="29"/>
      <c r="Z1006" s="29"/>
      <c r="AA1006" s="29"/>
      <c r="AB1006" s="29"/>
      <c r="AC1006" s="29"/>
      <c r="AD1006" s="29"/>
      <c r="AE1006" s="29"/>
      <c r="AF1006" s="29"/>
      <c r="AG1006" s="29"/>
    </row>
    <row r="1007" spans="2:33" ht="12" customHeight="1">
      <c r="B1007" s="29"/>
      <c r="C1007" s="29"/>
      <c r="D1007" s="29"/>
      <c r="E1007" s="29"/>
      <c r="F1007" s="29"/>
      <c r="G1007" s="29"/>
      <c r="H1007" s="29"/>
      <c r="I1007" s="29"/>
      <c r="J1007" s="29"/>
      <c r="K1007" s="29"/>
      <c r="L1007" s="29"/>
      <c r="M1007" s="29"/>
      <c r="N1007" s="29"/>
      <c r="O1007" s="29"/>
      <c r="P1007" s="29"/>
      <c r="Q1007" s="29"/>
      <c r="R1007" s="29"/>
      <c r="S1007" s="29"/>
      <c r="T1007" s="29"/>
      <c r="U1007" s="29"/>
      <c r="V1007" s="29"/>
      <c r="W1007" s="29"/>
      <c r="X1007" s="29"/>
      <c r="Y1007" s="29"/>
      <c r="Z1007" s="29"/>
      <c r="AA1007" s="29"/>
      <c r="AB1007" s="29"/>
      <c r="AC1007" s="29"/>
      <c r="AD1007" s="29"/>
      <c r="AE1007" s="29"/>
      <c r="AF1007" s="29"/>
      <c r="AG1007" s="29"/>
    </row>
    <row r="1008" spans="2:33" ht="12" customHeight="1">
      <c r="B1008" s="29"/>
      <c r="C1008" s="29"/>
      <c r="D1008" s="29"/>
      <c r="E1008" s="29"/>
      <c r="F1008" s="29"/>
      <c r="G1008" s="29"/>
      <c r="H1008" s="29"/>
      <c r="I1008" s="29"/>
      <c r="J1008" s="29"/>
      <c r="K1008" s="29"/>
      <c r="L1008" s="29"/>
      <c r="M1008" s="29"/>
      <c r="N1008" s="29"/>
      <c r="O1008" s="29"/>
      <c r="P1008" s="29"/>
      <c r="Q1008" s="29"/>
      <c r="R1008" s="29"/>
      <c r="S1008" s="29"/>
      <c r="T1008" s="29"/>
      <c r="U1008" s="29"/>
      <c r="V1008" s="29"/>
      <c r="W1008" s="29"/>
      <c r="X1008" s="29"/>
      <c r="Y1008" s="29"/>
      <c r="Z1008" s="29"/>
      <c r="AA1008" s="29"/>
      <c r="AB1008" s="29"/>
      <c r="AC1008" s="29"/>
      <c r="AD1008" s="29"/>
      <c r="AE1008" s="29"/>
      <c r="AF1008" s="29"/>
      <c r="AG1008" s="29"/>
    </row>
    <row r="1009" spans="2:33" ht="12" customHeight="1">
      <c r="B1009" s="29"/>
      <c r="C1009" s="29"/>
      <c r="D1009" s="29"/>
      <c r="E1009" s="29"/>
      <c r="F1009" s="29"/>
      <c r="G1009" s="29"/>
      <c r="H1009" s="29"/>
      <c r="I1009" s="29"/>
      <c r="J1009" s="29"/>
      <c r="K1009" s="29"/>
      <c r="L1009" s="29"/>
      <c r="M1009" s="29"/>
      <c r="N1009" s="29"/>
      <c r="O1009" s="29"/>
      <c r="P1009" s="29"/>
      <c r="Q1009" s="29"/>
      <c r="R1009" s="29"/>
      <c r="S1009" s="29"/>
      <c r="T1009" s="29"/>
      <c r="U1009" s="29"/>
      <c r="V1009" s="29"/>
      <c r="W1009" s="29"/>
      <c r="X1009" s="29"/>
      <c r="Y1009" s="29"/>
      <c r="Z1009" s="29"/>
      <c r="AA1009" s="29"/>
      <c r="AB1009" s="29"/>
      <c r="AC1009" s="29"/>
      <c r="AD1009" s="29"/>
      <c r="AE1009" s="29"/>
      <c r="AF1009" s="29"/>
      <c r="AG1009" s="29"/>
    </row>
    <row r="1010" spans="2:33" ht="12" customHeight="1">
      <c r="B1010" s="29"/>
      <c r="C1010" s="29"/>
      <c r="D1010" s="29"/>
      <c r="E1010" s="29"/>
      <c r="F1010" s="29"/>
      <c r="G1010" s="29"/>
      <c r="H1010" s="29"/>
      <c r="I1010" s="29"/>
      <c r="J1010" s="29"/>
      <c r="K1010" s="29"/>
      <c r="L1010" s="29"/>
      <c r="M1010" s="29"/>
      <c r="N1010" s="29"/>
      <c r="O1010" s="29"/>
      <c r="P1010" s="29"/>
      <c r="Q1010" s="29"/>
      <c r="R1010" s="29"/>
      <c r="S1010" s="29"/>
      <c r="T1010" s="29"/>
      <c r="U1010" s="29"/>
      <c r="V1010" s="29"/>
      <c r="W1010" s="29"/>
      <c r="X1010" s="29"/>
      <c r="Y1010" s="29"/>
      <c r="Z1010" s="29"/>
      <c r="AA1010" s="29"/>
      <c r="AB1010" s="29"/>
      <c r="AC1010" s="29"/>
      <c r="AD1010" s="29"/>
      <c r="AE1010" s="29"/>
      <c r="AF1010" s="29"/>
      <c r="AG1010" s="29"/>
    </row>
    <row r="1011" spans="2:33" ht="12" customHeight="1">
      <c r="B1011" s="29"/>
      <c r="C1011" s="29"/>
      <c r="D1011" s="29"/>
      <c r="E1011" s="29"/>
      <c r="F1011" s="29"/>
      <c r="G1011" s="29"/>
      <c r="H1011" s="29"/>
      <c r="I1011" s="29"/>
      <c r="J1011" s="29"/>
      <c r="K1011" s="29"/>
      <c r="L1011" s="29"/>
      <c r="M1011" s="29"/>
      <c r="N1011" s="29"/>
      <c r="O1011" s="29"/>
      <c r="P1011" s="29"/>
      <c r="Q1011" s="29"/>
      <c r="R1011" s="29"/>
      <c r="S1011" s="29"/>
      <c r="T1011" s="29"/>
      <c r="U1011" s="29"/>
      <c r="V1011" s="29"/>
      <c r="W1011" s="29"/>
      <c r="X1011" s="29"/>
      <c r="Y1011" s="29"/>
      <c r="Z1011" s="29"/>
      <c r="AA1011" s="29"/>
      <c r="AB1011" s="29"/>
      <c r="AC1011" s="29"/>
      <c r="AD1011" s="29"/>
      <c r="AE1011" s="29"/>
      <c r="AF1011" s="29"/>
      <c r="AG1011" s="29"/>
    </row>
    <row r="1012" spans="2:33" ht="12" customHeight="1">
      <c r="B1012" s="29"/>
      <c r="C1012" s="29"/>
      <c r="D1012" s="29"/>
      <c r="E1012" s="29"/>
      <c r="F1012" s="29"/>
      <c r="G1012" s="29"/>
      <c r="H1012" s="29"/>
      <c r="I1012" s="29"/>
      <c r="J1012" s="29"/>
      <c r="K1012" s="29"/>
      <c r="L1012" s="29"/>
      <c r="M1012" s="29"/>
      <c r="N1012" s="29"/>
      <c r="O1012" s="29"/>
      <c r="P1012" s="29"/>
      <c r="Q1012" s="29"/>
      <c r="R1012" s="29"/>
      <c r="S1012" s="29"/>
      <c r="T1012" s="29"/>
      <c r="U1012" s="29"/>
      <c r="V1012" s="29"/>
      <c r="W1012" s="29"/>
      <c r="X1012" s="29"/>
      <c r="Y1012" s="29"/>
      <c r="Z1012" s="29"/>
      <c r="AA1012" s="29"/>
      <c r="AB1012" s="29"/>
      <c r="AC1012" s="29"/>
      <c r="AD1012" s="29"/>
      <c r="AE1012" s="29"/>
      <c r="AF1012" s="29"/>
      <c r="AG1012" s="29"/>
    </row>
    <row r="1013" spans="2:33" ht="12" customHeight="1">
      <c r="B1013" s="29"/>
      <c r="C1013" s="29"/>
      <c r="D1013" s="29"/>
      <c r="E1013" s="29"/>
      <c r="F1013" s="29"/>
      <c r="G1013" s="29"/>
      <c r="H1013" s="29"/>
      <c r="I1013" s="29"/>
      <c r="J1013" s="29"/>
      <c r="K1013" s="29"/>
      <c r="L1013" s="29"/>
      <c r="M1013" s="29"/>
      <c r="N1013" s="29"/>
      <c r="O1013" s="29"/>
      <c r="P1013" s="29"/>
      <c r="Q1013" s="29"/>
      <c r="R1013" s="29"/>
      <c r="S1013" s="29"/>
      <c r="T1013" s="29"/>
      <c r="U1013" s="29"/>
      <c r="V1013" s="29"/>
      <c r="W1013" s="29"/>
      <c r="X1013" s="29"/>
      <c r="Y1013" s="29"/>
      <c r="Z1013" s="29"/>
      <c r="AA1013" s="29"/>
      <c r="AB1013" s="29"/>
      <c r="AC1013" s="29"/>
      <c r="AD1013" s="29"/>
      <c r="AE1013" s="29"/>
      <c r="AF1013" s="29"/>
      <c r="AG1013" s="29"/>
    </row>
    <row r="1014" spans="2:33" ht="12" customHeight="1">
      <c r="B1014" s="29"/>
      <c r="C1014" s="29"/>
      <c r="D1014" s="29"/>
      <c r="E1014" s="29"/>
      <c r="F1014" s="29"/>
      <c r="G1014" s="29"/>
      <c r="H1014" s="29"/>
      <c r="I1014" s="29"/>
      <c r="J1014" s="29"/>
      <c r="K1014" s="29"/>
      <c r="L1014" s="29"/>
      <c r="M1014" s="29"/>
      <c r="N1014" s="29"/>
      <c r="O1014" s="29"/>
      <c r="P1014" s="29"/>
      <c r="Q1014" s="29"/>
      <c r="R1014" s="29"/>
      <c r="S1014" s="29"/>
      <c r="T1014" s="29"/>
      <c r="U1014" s="29"/>
      <c r="V1014" s="29"/>
      <c r="W1014" s="29"/>
      <c r="X1014" s="29"/>
      <c r="Y1014" s="29"/>
      <c r="Z1014" s="29"/>
      <c r="AA1014" s="29"/>
      <c r="AB1014" s="29"/>
      <c r="AC1014" s="29"/>
      <c r="AD1014" s="29"/>
      <c r="AE1014" s="29"/>
      <c r="AF1014" s="29"/>
      <c r="AG1014" s="29"/>
    </row>
    <row r="1015" spans="2:33" ht="12" customHeight="1">
      <c r="B1015" s="29"/>
      <c r="C1015" s="29"/>
      <c r="D1015" s="29"/>
      <c r="E1015" s="29"/>
      <c r="F1015" s="29"/>
      <c r="G1015" s="29"/>
      <c r="H1015" s="29"/>
      <c r="I1015" s="29"/>
      <c r="J1015" s="29"/>
      <c r="K1015" s="29"/>
      <c r="L1015" s="29"/>
      <c r="M1015" s="29"/>
      <c r="N1015" s="29"/>
      <c r="O1015" s="29"/>
      <c r="P1015" s="29"/>
      <c r="Q1015" s="29"/>
      <c r="R1015" s="29"/>
      <c r="S1015" s="29"/>
      <c r="T1015" s="29"/>
      <c r="U1015" s="29"/>
      <c r="V1015" s="29"/>
      <c r="W1015" s="29"/>
      <c r="X1015" s="29"/>
      <c r="Y1015" s="29"/>
      <c r="Z1015" s="29"/>
      <c r="AA1015" s="29"/>
      <c r="AB1015" s="29"/>
      <c r="AC1015" s="29"/>
      <c r="AD1015" s="29"/>
      <c r="AE1015" s="29"/>
      <c r="AF1015" s="29"/>
      <c r="AG1015" s="29"/>
    </row>
    <row r="1016" spans="2:33" ht="12" customHeight="1">
      <c r="B1016" s="29"/>
      <c r="C1016" s="29"/>
      <c r="D1016" s="29"/>
      <c r="E1016" s="29"/>
      <c r="F1016" s="29"/>
      <c r="G1016" s="29"/>
      <c r="H1016" s="29"/>
      <c r="I1016" s="29"/>
      <c r="J1016" s="29"/>
      <c r="K1016" s="29"/>
      <c r="L1016" s="29"/>
      <c r="M1016" s="29"/>
      <c r="N1016" s="29"/>
      <c r="O1016" s="29"/>
      <c r="P1016" s="29"/>
      <c r="Q1016" s="29"/>
      <c r="R1016" s="29"/>
      <c r="S1016" s="29"/>
      <c r="T1016" s="29"/>
      <c r="U1016" s="29"/>
      <c r="V1016" s="29"/>
      <c r="W1016" s="29"/>
      <c r="X1016" s="29"/>
      <c r="Y1016" s="29"/>
      <c r="Z1016" s="29"/>
      <c r="AA1016" s="29"/>
      <c r="AB1016" s="29"/>
      <c r="AC1016" s="29"/>
      <c r="AD1016" s="29"/>
      <c r="AE1016" s="29"/>
      <c r="AF1016" s="29"/>
      <c r="AG1016" s="29"/>
    </row>
    <row r="1017" spans="2:33" ht="12" customHeight="1">
      <c r="B1017" s="29"/>
      <c r="C1017" s="29"/>
      <c r="D1017" s="29"/>
      <c r="E1017" s="29"/>
      <c r="F1017" s="29"/>
      <c r="G1017" s="29"/>
      <c r="H1017" s="29"/>
      <c r="I1017" s="29"/>
      <c r="J1017" s="29"/>
      <c r="K1017" s="29"/>
      <c r="L1017" s="29"/>
      <c r="M1017" s="29"/>
      <c r="N1017" s="29"/>
      <c r="O1017" s="29"/>
      <c r="P1017" s="29"/>
      <c r="Q1017" s="29"/>
      <c r="R1017" s="29"/>
      <c r="S1017" s="29"/>
      <c r="T1017" s="29"/>
      <c r="U1017" s="29"/>
      <c r="V1017" s="29"/>
      <c r="W1017" s="29"/>
      <c r="X1017" s="29"/>
      <c r="Y1017" s="29"/>
      <c r="Z1017" s="29"/>
      <c r="AA1017" s="29"/>
      <c r="AB1017" s="29"/>
      <c r="AC1017" s="29"/>
      <c r="AD1017" s="29"/>
      <c r="AE1017" s="29"/>
      <c r="AF1017" s="29"/>
      <c r="AG1017" s="29"/>
    </row>
    <row r="1018" spans="2:33" ht="12" customHeight="1">
      <c r="B1018" s="29"/>
      <c r="C1018" s="29"/>
      <c r="D1018" s="29"/>
      <c r="E1018" s="29"/>
      <c r="F1018" s="29"/>
      <c r="G1018" s="29"/>
      <c r="H1018" s="29"/>
      <c r="I1018" s="29"/>
      <c r="J1018" s="29"/>
      <c r="K1018" s="29"/>
      <c r="L1018" s="29"/>
      <c r="M1018" s="29"/>
      <c r="N1018" s="29"/>
      <c r="O1018" s="29"/>
      <c r="P1018" s="29"/>
      <c r="Q1018" s="29"/>
      <c r="R1018" s="29"/>
      <c r="S1018" s="29"/>
      <c r="T1018" s="29"/>
      <c r="U1018" s="29"/>
      <c r="V1018" s="29"/>
      <c r="W1018" s="29"/>
      <c r="X1018" s="29"/>
      <c r="Y1018" s="29"/>
      <c r="Z1018" s="29"/>
      <c r="AA1018" s="29"/>
      <c r="AB1018" s="29"/>
      <c r="AC1018" s="29"/>
      <c r="AD1018" s="29"/>
      <c r="AE1018" s="29"/>
      <c r="AF1018" s="29"/>
      <c r="AG1018" s="29"/>
    </row>
    <row r="1019" spans="2:33" ht="12" customHeight="1">
      <c r="B1019" s="29"/>
      <c r="C1019" s="29"/>
      <c r="D1019" s="29"/>
      <c r="E1019" s="29"/>
      <c r="F1019" s="29"/>
      <c r="G1019" s="29"/>
      <c r="H1019" s="29"/>
      <c r="I1019" s="29"/>
      <c r="J1019" s="29"/>
      <c r="K1019" s="29"/>
      <c r="L1019" s="29"/>
      <c r="M1019" s="29"/>
      <c r="N1019" s="29"/>
      <c r="O1019" s="29"/>
      <c r="P1019" s="29"/>
      <c r="Q1019" s="29"/>
      <c r="R1019" s="29"/>
      <c r="S1019" s="29"/>
      <c r="T1019" s="29"/>
      <c r="U1019" s="29"/>
      <c r="V1019" s="29"/>
      <c r="W1019" s="29"/>
      <c r="X1019" s="29"/>
      <c r="Y1019" s="29"/>
      <c r="Z1019" s="29"/>
      <c r="AA1019" s="29"/>
      <c r="AB1019" s="29"/>
      <c r="AC1019" s="29"/>
      <c r="AD1019" s="29"/>
      <c r="AE1019" s="29"/>
      <c r="AF1019" s="29"/>
      <c r="AG1019" s="29"/>
    </row>
    <row r="1020" spans="2:33" ht="12" customHeight="1">
      <c r="B1020" s="29"/>
      <c r="C1020" s="29"/>
      <c r="D1020" s="29"/>
      <c r="E1020" s="29"/>
      <c r="F1020" s="29"/>
      <c r="G1020" s="29"/>
      <c r="H1020" s="29"/>
      <c r="I1020" s="29"/>
      <c r="J1020" s="29"/>
      <c r="K1020" s="29"/>
      <c r="L1020" s="29"/>
      <c r="M1020" s="29"/>
      <c r="N1020" s="29"/>
      <c r="O1020" s="29"/>
      <c r="P1020" s="29"/>
      <c r="Q1020" s="29"/>
      <c r="R1020" s="29"/>
      <c r="S1020" s="29"/>
      <c r="T1020" s="29"/>
      <c r="U1020" s="29"/>
      <c r="V1020" s="29"/>
      <c r="W1020" s="29"/>
      <c r="X1020" s="29"/>
      <c r="Y1020" s="29"/>
      <c r="Z1020" s="29"/>
      <c r="AA1020" s="29"/>
      <c r="AB1020" s="29"/>
      <c r="AC1020" s="29"/>
      <c r="AD1020" s="29"/>
      <c r="AE1020" s="29"/>
      <c r="AF1020" s="29"/>
      <c r="AG1020" s="29"/>
    </row>
    <row r="1021" spans="2:33" ht="12" customHeight="1">
      <c r="B1021" s="29"/>
      <c r="C1021" s="29"/>
      <c r="D1021" s="29"/>
      <c r="E1021" s="29"/>
      <c r="F1021" s="29"/>
      <c r="G1021" s="29"/>
      <c r="H1021" s="29"/>
      <c r="I1021" s="29"/>
      <c r="J1021" s="29"/>
      <c r="K1021" s="29"/>
      <c r="L1021" s="29"/>
      <c r="M1021" s="29"/>
      <c r="N1021" s="29"/>
      <c r="O1021" s="29"/>
      <c r="P1021" s="29"/>
      <c r="Q1021" s="29"/>
      <c r="R1021" s="29"/>
      <c r="S1021" s="29"/>
      <c r="T1021" s="29"/>
      <c r="U1021" s="29"/>
      <c r="V1021" s="29"/>
      <c r="W1021" s="29"/>
      <c r="X1021" s="29"/>
      <c r="Y1021" s="29"/>
      <c r="Z1021" s="29"/>
      <c r="AA1021" s="29"/>
      <c r="AB1021" s="29"/>
      <c r="AC1021" s="29"/>
      <c r="AD1021" s="29"/>
      <c r="AE1021" s="29"/>
      <c r="AF1021" s="29"/>
      <c r="AG1021" s="29"/>
    </row>
    <row r="1022" spans="2:33" ht="12" customHeight="1">
      <c r="B1022" s="29"/>
      <c r="C1022" s="29"/>
      <c r="D1022" s="29"/>
      <c r="E1022" s="29"/>
      <c r="F1022" s="29"/>
      <c r="G1022" s="29"/>
      <c r="H1022" s="29"/>
      <c r="I1022" s="29"/>
      <c r="J1022" s="29"/>
      <c r="K1022" s="29"/>
      <c r="L1022" s="29"/>
      <c r="M1022" s="29"/>
      <c r="N1022" s="29"/>
      <c r="O1022" s="29"/>
      <c r="P1022" s="29"/>
      <c r="Q1022" s="29"/>
      <c r="R1022" s="29"/>
      <c r="S1022" s="29"/>
      <c r="T1022" s="29"/>
      <c r="U1022" s="29"/>
      <c r="V1022" s="29"/>
      <c r="W1022" s="29"/>
      <c r="X1022" s="29"/>
      <c r="Y1022" s="29"/>
      <c r="Z1022" s="29"/>
      <c r="AA1022" s="29"/>
      <c r="AB1022" s="29"/>
      <c r="AC1022" s="29"/>
      <c r="AD1022" s="29"/>
      <c r="AE1022" s="29"/>
      <c r="AF1022" s="29"/>
      <c r="AG1022" s="29"/>
    </row>
    <row r="1023" spans="2:33" ht="12" customHeight="1">
      <c r="B1023" s="29"/>
      <c r="C1023" s="29"/>
      <c r="D1023" s="29"/>
      <c r="E1023" s="29"/>
      <c r="F1023" s="29"/>
      <c r="G1023" s="29"/>
      <c r="H1023" s="29"/>
      <c r="I1023" s="29"/>
      <c r="J1023" s="29"/>
      <c r="K1023" s="29"/>
      <c r="L1023" s="29"/>
      <c r="M1023" s="29"/>
      <c r="N1023" s="29"/>
      <c r="O1023" s="29"/>
      <c r="P1023" s="29"/>
      <c r="Q1023" s="29"/>
      <c r="R1023" s="29"/>
      <c r="S1023" s="29"/>
      <c r="T1023" s="29"/>
      <c r="U1023" s="29"/>
      <c r="V1023" s="29"/>
      <c r="W1023" s="29"/>
      <c r="X1023" s="29"/>
      <c r="Y1023" s="29"/>
      <c r="Z1023" s="29"/>
      <c r="AA1023" s="29"/>
      <c r="AB1023" s="29"/>
      <c r="AC1023" s="29"/>
      <c r="AD1023" s="29"/>
      <c r="AE1023" s="29"/>
      <c r="AF1023" s="29"/>
      <c r="AG1023" s="29"/>
    </row>
    <row r="1024" spans="2:33" ht="12" customHeight="1">
      <c r="B1024" s="29"/>
      <c r="C1024" s="29"/>
      <c r="D1024" s="29"/>
      <c r="E1024" s="29"/>
      <c r="F1024" s="29"/>
      <c r="G1024" s="29"/>
      <c r="H1024" s="29"/>
      <c r="I1024" s="29"/>
      <c r="J1024" s="29"/>
      <c r="K1024" s="29"/>
      <c r="L1024" s="29"/>
      <c r="M1024" s="29"/>
      <c r="N1024" s="29"/>
      <c r="O1024" s="29"/>
      <c r="P1024" s="29"/>
      <c r="Q1024" s="29"/>
      <c r="R1024" s="29"/>
      <c r="S1024" s="29"/>
      <c r="T1024" s="29"/>
      <c r="U1024" s="29"/>
      <c r="V1024" s="29"/>
      <c r="W1024" s="29"/>
      <c r="X1024" s="29"/>
      <c r="Y1024" s="29"/>
      <c r="Z1024" s="29"/>
      <c r="AA1024" s="29"/>
      <c r="AB1024" s="29"/>
      <c r="AC1024" s="29"/>
      <c r="AD1024" s="29"/>
      <c r="AE1024" s="29"/>
      <c r="AF1024" s="29"/>
      <c r="AG1024" s="29"/>
    </row>
    <row r="1025" spans="1:33" ht="15" customHeight="1">
      <c r="B1025" s="29"/>
      <c r="C1025" s="29"/>
      <c r="D1025" s="29"/>
      <c r="E1025" s="29"/>
      <c r="F1025" s="29"/>
      <c r="G1025" s="29"/>
      <c r="H1025" s="29"/>
      <c r="I1025" s="29"/>
      <c r="J1025" s="29"/>
      <c r="K1025" s="29"/>
      <c r="L1025" s="29"/>
      <c r="M1025" s="29"/>
      <c r="N1025" s="29"/>
      <c r="O1025" s="29"/>
      <c r="P1025" s="29"/>
      <c r="Q1025" s="29"/>
      <c r="R1025" s="29"/>
      <c r="S1025" s="29"/>
      <c r="T1025" s="29"/>
      <c r="U1025" s="29"/>
      <c r="V1025" s="29"/>
      <c r="W1025" s="29"/>
      <c r="X1025" s="29"/>
      <c r="Y1025" s="29"/>
      <c r="Z1025" s="29"/>
      <c r="AA1025" s="29"/>
      <c r="AB1025" s="29"/>
      <c r="AC1025" s="29"/>
      <c r="AD1025" s="29"/>
      <c r="AE1025" s="29"/>
      <c r="AF1025" s="29"/>
      <c r="AG1025" s="29"/>
    </row>
    <row r="1026" spans="1:33" ht="15" customHeight="1">
      <c r="B1026" s="29"/>
      <c r="C1026" s="29"/>
      <c r="D1026" s="29"/>
      <c r="E1026" s="29"/>
      <c r="F1026" s="29"/>
      <c r="G1026" s="29"/>
      <c r="H1026" s="29"/>
      <c r="I1026" s="29"/>
      <c r="J1026" s="29"/>
      <c r="K1026" s="29"/>
      <c r="L1026" s="29"/>
      <c r="M1026" s="29"/>
      <c r="N1026" s="29"/>
      <c r="O1026" s="29"/>
      <c r="P1026" s="29"/>
      <c r="Q1026" s="29"/>
      <c r="R1026" s="29"/>
      <c r="S1026" s="29"/>
      <c r="T1026" s="29"/>
      <c r="U1026" s="29"/>
      <c r="V1026" s="29"/>
      <c r="W1026" s="29"/>
      <c r="X1026" s="29"/>
      <c r="Y1026" s="29"/>
      <c r="Z1026" s="29"/>
      <c r="AA1026" s="29"/>
      <c r="AB1026" s="29"/>
      <c r="AC1026" s="29"/>
      <c r="AD1026" s="29"/>
      <c r="AE1026" s="29"/>
      <c r="AF1026" s="29"/>
      <c r="AG1026" s="29"/>
    </row>
    <row r="1027" spans="1:33" ht="15" customHeight="1">
      <c r="B1027" s="29"/>
      <c r="C1027" s="29"/>
      <c r="D1027" s="29"/>
      <c r="E1027" s="29"/>
      <c r="F1027" s="29"/>
      <c r="G1027" s="29"/>
      <c r="H1027" s="29"/>
      <c r="I1027" s="29"/>
      <c r="J1027" s="29"/>
      <c r="K1027" s="29"/>
      <c r="L1027" s="29"/>
      <c r="M1027" s="29"/>
      <c r="N1027" s="29"/>
      <c r="O1027" s="29"/>
      <c r="P1027" s="29"/>
      <c r="Q1027" s="29"/>
      <c r="R1027" s="29"/>
      <c r="S1027" s="29"/>
      <c r="T1027" s="29"/>
      <c r="U1027" s="29"/>
      <c r="V1027" s="29"/>
      <c r="W1027" s="29"/>
      <c r="X1027" s="29"/>
      <c r="Y1027" s="29"/>
      <c r="Z1027" s="29"/>
      <c r="AA1027" s="29"/>
      <c r="AB1027" s="29"/>
      <c r="AC1027" s="29"/>
      <c r="AD1027" s="29"/>
      <c r="AE1027" s="29"/>
      <c r="AF1027" s="29"/>
      <c r="AG1027" s="29"/>
    </row>
    <row r="1028" spans="1:33" ht="15" customHeight="1">
      <c r="B1028" s="29"/>
      <c r="C1028" s="29"/>
      <c r="D1028" s="29"/>
      <c r="E1028" s="29"/>
      <c r="F1028" s="29"/>
      <c r="G1028" s="29"/>
      <c r="H1028" s="29"/>
      <c r="I1028" s="29"/>
      <c r="J1028" s="29"/>
      <c r="K1028" s="29"/>
      <c r="L1028" s="29"/>
      <c r="M1028" s="29"/>
      <c r="N1028" s="29"/>
      <c r="O1028" s="29"/>
      <c r="P1028" s="29"/>
      <c r="Q1028" s="29"/>
      <c r="R1028" s="29"/>
      <c r="S1028" s="29"/>
      <c r="T1028" s="29"/>
      <c r="U1028" s="29"/>
      <c r="V1028" s="29"/>
      <c r="W1028" s="29"/>
      <c r="X1028" s="29"/>
      <c r="Y1028" s="29"/>
      <c r="Z1028" s="29"/>
      <c r="AA1028" s="29"/>
      <c r="AB1028" s="29"/>
      <c r="AC1028" s="29"/>
      <c r="AD1028" s="29"/>
      <c r="AE1028" s="29"/>
      <c r="AF1028" s="29"/>
      <c r="AG1028" s="29"/>
    </row>
    <row r="1029" spans="1:33" ht="15" customHeight="1">
      <c r="B1029" s="29"/>
      <c r="C1029" s="29"/>
      <c r="D1029" s="29"/>
      <c r="E1029" s="29"/>
      <c r="F1029" s="29"/>
      <c r="G1029" s="29"/>
      <c r="H1029" s="29"/>
      <c r="I1029" s="29"/>
      <c r="J1029" s="29"/>
      <c r="K1029" s="29"/>
      <c r="L1029" s="29"/>
      <c r="M1029" s="29"/>
      <c r="N1029" s="29"/>
      <c r="O1029" s="29"/>
      <c r="P1029" s="29"/>
      <c r="Q1029" s="29"/>
      <c r="R1029" s="29"/>
      <c r="S1029" s="29"/>
      <c r="T1029" s="29"/>
      <c r="U1029" s="29"/>
      <c r="V1029" s="29"/>
      <c r="W1029" s="29"/>
      <c r="X1029" s="29"/>
      <c r="Y1029" s="29"/>
      <c r="Z1029" s="29"/>
      <c r="AA1029" s="29"/>
      <c r="AB1029" s="29"/>
      <c r="AC1029" s="29"/>
      <c r="AD1029" s="29"/>
      <c r="AE1029" s="29"/>
      <c r="AF1029" s="29"/>
      <c r="AG1029" s="29"/>
    </row>
    <row r="1030" spans="1:33" ht="15" customHeight="1">
      <c r="B1030" s="29"/>
      <c r="C1030" s="29"/>
      <c r="D1030" s="29"/>
      <c r="E1030" s="29"/>
      <c r="F1030" s="29"/>
      <c r="G1030" s="29"/>
      <c r="H1030" s="29"/>
      <c r="I1030" s="29"/>
      <c r="J1030" s="29"/>
      <c r="K1030" s="29"/>
      <c r="L1030" s="29"/>
      <c r="M1030" s="29"/>
      <c r="N1030" s="29"/>
      <c r="O1030" s="29"/>
      <c r="P1030" s="29"/>
      <c r="Q1030" s="29"/>
      <c r="R1030" s="29"/>
      <c r="S1030" s="29"/>
      <c r="T1030" s="29"/>
      <c r="U1030" s="29"/>
      <c r="V1030" s="29"/>
      <c r="W1030" s="29"/>
      <c r="X1030" s="29"/>
      <c r="Y1030" s="29"/>
      <c r="Z1030" s="29"/>
      <c r="AA1030" s="29"/>
      <c r="AB1030" s="29"/>
      <c r="AC1030" s="29"/>
      <c r="AD1030" s="29"/>
      <c r="AE1030" s="29"/>
      <c r="AF1030" s="29"/>
      <c r="AG1030" s="29"/>
    </row>
    <row r="1031" spans="1:33" ht="12" customHeight="1">
      <c r="B1031" s="29"/>
      <c r="C1031" s="29"/>
      <c r="D1031" s="29"/>
      <c r="E1031" s="29"/>
      <c r="F1031" s="29"/>
      <c r="G1031" s="29"/>
      <c r="H1031" s="29"/>
      <c r="I1031" s="29"/>
      <c r="J1031" s="29"/>
      <c r="K1031" s="29"/>
      <c r="L1031" s="29"/>
      <c r="M1031" s="29"/>
      <c r="N1031" s="29"/>
      <c r="O1031" s="29"/>
      <c r="P1031" s="29"/>
      <c r="Q1031" s="29"/>
      <c r="R1031" s="29"/>
      <c r="S1031" s="29"/>
      <c r="T1031" s="29"/>
      <c r="U1031" s="29"/>
      <c r="V1031" s="29"/>
      <c r="W1031" s="29"/>
      <c r="X1031" s="29"/>
      <c r="Y1031" s="29"/>
      <c r="Z1031" s="29"/>
      <c r="AA1031" s="29"/>
      <c r="AB1031" s="29"/>
      <c r="AC1031" s="29"/>
      <c r="AD1031" s="29"/>
      <c r="AE1031" s="29"/>
      <c r="AF1031" s="29"/>
      <c r="AG1031" s="29"/>
    </row>
    <row r="1032" spans="1:33" ht="15" customHeight="1">
      <c r="B1032" s="29"/>
      <c r="C1032" s="29"/>
      <c r="D1032" s="29"/>
      <c r="E1032" s="29"/>
      <c r="F1032" s="29"/>
      <c r="G1032" s="29"/>
      <c r="H1032" s="29"/>
      <c r="I1032" s="29"/>
      <c r="J1032" s="29"/>
      <c r="K1032" s="29"/>
      <c r="L1032" s="29"/>
      <c r="M1032" s="29"/>
      <c r="N1032" s="29"/>
      <c r="O1032" s="29"/>
      <c r="P1032" s="29"/>
      <c r="Q1032" s="29"/>
      <c r="R1032" s="29"/>
      <c r="S1032" s="29"/>
      <c r="T1032" s="29"/>
      <c r="U1032" s="29"/>
      <c r="V1032" s="29"/>
      <c r="W1032" s="29"/>
      <c r="X1032" s="29"/>
      <c r="Y1032" s="29"/>
      <c r="Z1032" s="29"/>
      <c r="AA1032" s="29"/>
      <c r="AB1032" s="29"/>
      <c r="AC1032" s="29"/>
      <c r="AD1032" s="29"/>
      <c r="AE1032" s="29"/>
      <c r="AF1032" s="29"/>
      <c r="AG1032" s="29"/>
    </row>
    <row r="1033" spans="1:33" ht="15" customHeight="1">
      <c r="B1033" s="29"/>
      <c r="C1033" s="29"/>
      <c r="D1033" s="29"/>
      <c r="E1033" s="29"/>
      <c r="F1033" s="29"/>
      <c r="G1033" s="29"/>
      <c r="H1033" s="29"/>
      <c r="I1033" s="29"/>
      <c r="J1033" s="29"/>
      <c r="K1033" s="29"/>
      <c r="L1033" s="29"/>
      <c r="M1033" s="29"/>
      <c r="N1033" s="29"/>
      <c r="O1033" s="29"/>
      <c r="P1033" s="29"/>
      <c r="Q1033" s="29"/>
      <c r="R1033" s="29"/>
      <c r="S1033" s="29"/>
      <c r="T1033" s="29"/>
      <c r="U1033" s="29"/>
      <c r="V1033" s="29"/>
      <c r="W1033" s="29"/>
      <c r="X1033" s="29"/>
      <c r="Y1033" s="29"/>
      <c r="Z1033" s="29"/>
      <c r="AA1033" s="29"/>
      <c r="AB1033" s="29"/>
      <c r="AC1033" s="29"/>
      <c r="AD1033" s="29"/>
      <c r="AE1033" s="29"/>
      <c r="AF1033" s="29"/>
      <c r="AG1033" s="29"/>
    </row>
    <row r="1034" spans="1:33" ht="15" customHeight="1">
      <c r="B1034" s="29"/>
      <c r="C1034" s="29"/>
      <c r="D1034" s="29"/>
      <c r="E1034" s="29"/>
      <c r="F1034" s="29"/>
      <c r="G1034" s="29"/>
      <c r="H1034" s="29"/>
      <c r="I1034" s="29"/>
      <c r="J1034" s="29"/>
      <c r="K1034" s="29"/>
      <c r="L1034" s="29"/>
      <c r="M1034" s="29"/>
      <c r="N1034" s="29"/>
      <c r="O1034" s="29"/>
      <c r="P1034" s="29"/>
      <c r="Q1034" s="29"/>
      <c r="R1034" s="29"/>
      <c r="S1034" s="29"/>
      <c r="T1034" s="29"/>
      <c r="U1034" s="29"/>
      <c r="V1034" s="29"/>
      <c r="W1034" s="29"/>
      <c r="X1034" s="29"/>
      <c r="Y1034" s="29"/>
      <c r="Z1034" s="29"/>
      <c r="AA1034" s="29"/>
      <c r="AB1034" s="29"/>
      <c r="AC1034" s="29"/>
      <c r="AD1034" s="29"/>
      <c r="AE1034" s="29"/>
      <c r="AF1034" s="29" t="s">
        <v>2056</v>
      </c>
      <c r="AG1034" s="29"/>
    </row>
    <row r="1035" spans="1:33" ht="15" customHeight="1">
      <c r="A1035" s="34" t="s">
        <v>3708</v>
      </c>
      <c r="B1035" s="46" t="s">
        <v>3709</v>
      </c>
      <c r="C1035" s="29"/>
      <c r="D1035" s="29"/>
      <c r="E1035" s="29"/>
      <c r="F1035" s="29"/>
      <c r="G1035" s="29"/>
      <c r="H1035" s="29"/>
      <c r="I1035" s="29"/>
      <c r="J1035" s="29"/>
      <c r="K1035" s="29"/>
      <c r="L1035" s="29"/>
      <c r="M1035" s="29"/>
      <c r="N1035" s="29"/>
      <c r="O1035" s="29"/>
      <c r="P1035" s="29"/>
      <c r="Q1035" s="29"/>
      <c r="R1035" s="29"/>
      <c r="S1035" s="29"/>
      <c r="T1035" s="29"/>
      <c r="U1035" s="29"/>
      <c r="V1035" s="29"/>
      <c r="W1035" s="29"/>
      <c r="X1035" s="29"/>
      <c r="Y1035" s="29"/>
      <c r="Z1035" s="29"/>
      <c r="AA1035" s="29"/>
      <c r="AB1035" s="29"/>
      <c r="AC1035" s="29"/>
      <c r="AD1035" s="29"/>
      <c r="AE1035" s="29"/>
      <c r="AF1035" s="43" t="s">
        <v>2058</v>
      </c>
      <c r="AG1035" s="29"/>
    </row>
    <row r="1036" spans="1:33" ht="15" customHeight="1">
      <c r="B1036" s="45" t="s">
        <v>3710</v>
      </c>
      <c r="C1036" s="29"/>
      <c r="D1036" s="29"/>
      <c r="E1036" s="29"/>
      <c r="F1036" s="29"/>
      <c r="G1036" s="29"/>
      <c r="H1036" s="29"/>
      <c r="I1036" s="29"/>
      <c r="J1036" s="29"/>
      <c r="K1036" s="29"/>
      <c r="L1036" s="29"/>
      <c r="M1036" s="29"/>
      <c r="N1036" s="29"/>
      <c r="O1036" s="29"/>
      <c r="P1036" s="29"/>
      <c r="Q1036" s="29"/>
      <c r="R1036" s="29"/>
      <c r="S1036" s="29"/>
      <c r="T1036" s="29"/>
      <c r="U1036" s="29"/>
      <c r="V1036" s="29"/>
      <c r="W1036" s="29"/>
      <c r="X1036" s="29"/>
      <c r="Y1036" s="29"/>
      <c r="Z1036" s="29"/>
      <c r="AA1036" s="29"/>
      <c r="AB1036" s="29"/>
      <c r="AC1036" s="29"/>
      <c r="AD1036" s="29"/>
      <c r="AE1036" s="29"/>
      <c r="AF1036" s="43" t="s">
        <v>2059</v>
      </c>
      <c r="AG1036" s="29"/>
    </row>
    <row r="1037" spans="1:33" ht="15" customHeight="1">
      <c r="B1037" s="45"/>
      <c r="C1037" s="44"/>
      <c r="D1037" s="44"/>
      <c r="E1037" s="44"/>
      <c r="F1037" s="44"/>
      <c r="G1037" s="44"/>
      <c r="H1037" s="44"/>
      <c r="I1037" s="44"/>
      <c r="J1037" s="44"/>
      <c r="K1037" s="44"/>
      <c r="L1037" s="44"/>
      <c r="M1037" s="44"/>
      <c r="N1037" s="44"/>
      <c r="O1037" s="44"/>
      <c r="P1037" s="44"/>
      <c r="Q1037" s="44"/>
      <c r="R1037" s="44"/>
      <c r="S1037" s="44"/>
      <c r="T1037" s="44"/>
      <c r="U1037" s="44"/>
      <c r="V1037" s="44"/>
      <c r="W1037" s="44"/>
      <c r="X1037" s="44"/>
      <c r="Y1037" s="44"/>
      <c r="Z1037" s="44"/>
      <c r="AA1037" s="44"/>
      <c r="AB1037" s="44"/>
      <c r="AC1037" s="44"/>
      <c r="AD1037" s="44"/>
      <c r="AE1037" s="44"/>
      <c r="AF1037" s="43" t="s">
        <v>2061</v>
      </c>
      <c r="AG1037" s="29"/>
    </row>
    <row r="1038" spans="1:33" ht="15" customHeight="1" thickBot="1">
      <c r="B1038" s="42" t="s">
        <v>2690</v>
      </c>
      <c r="C1038" s="42">
        <v>2022</v>
      </c>
      <c r="D1038" s="42">
        <v>2023</v>
      </c>
      <c r="E1038" s="42">
        <v>2024</v>
      </c>
      <c r="F1038" s="42">
        <v>2025</v>
      </c>
      <c r="G1038" s="42">
        <v>2026</v>
      </c>
      <c r="H1038" s="42">
        <v>2027</v>
      </c>
      <c r="I1038" s="42">
        <v>2028</v>
      </c>
      <c r="J1038" s="42">
        <v>2029</v>
      </c>
      <c r="K1038" s="42">
        <v>2030</v>
      </c>
      <c r="L1038" s="42">
        <v>2031</v>
      </c>
      <c r="M1038" s="42">
        <v>2032</v>
      </c>
      <c r="N1038" s="42">
        <v>2033</v>
      </c>
      <c r="O1038" s="42">
        <v>2034</v>
      </c>
      <c r="P1038" s="42">
        <v>2035</v>
      </c>
      <c r="Q1038" s="42">
        <v>2036</v>
      </c>
      <c r="R1038" s="42">
        <v>2037</v>
      </c>
      <c r="S1038" s="42">
        <v>2038</v>
      </c>
      <c r="T1038" s="42">
        <v>2039</v>
      </c>
      <c r="U1038" s="42">
        <v>2040</v>
      </c>
      <c r="V1038" s="42">
        <v>2041</v>
      </c>
      <c r="W1038" s="42">
        <v>2042</v>
      </c>
      <c r="X1038" s="42">
        <v>2043</v>
      </c>
      <c r="Y1038" s="42">
        <v>2044</v>
      </c>
      <c r="Z1038" s="42">
        <v>2045</v>
      </c>
      <c r="AA1038" s="42">
        <v>2046</v>
      </c>
      <c r="AB1038" s="42">
        <v>2047</v>
      </c>
      <c r="AC1038" s="42">
        <v>2048</v>
      </c>
      <c r="AD1038" s="42">
        <v>2049</v>
      </c>
      <c r="AE1038" s="42">
        <v>2050</v>
      </c>
      <c r="AF1038" s="41">
        <v>2050</v>
      </c>
      <c r="AG1038" s="29"/>
    </row>
    <row r="1039" spans="1:33" ht="15" customHeight="1" thickTop="1">
      <c r="B1039" s="29"/>
      <c r="C1039" s="29"/>
      <c r="D1039" s="29"/>
      <c r="E1039" s="29"/>
      <c r="F1039" s="29"/>
      <c r="G1039" s="29"/>
      <c r="H1039" s="29"/>
      <c r="I1039" s="29"/>
      <c r="J1039" s="29"/>
      <c r="K1039" s="29"/>
      <c r="L1039" s="29"/>
      <c r="M1039" s="29"/>
      <c r="N1039" s="29"/>
      <c r="O1039" s="29"/>
      <c r="P1039" s="29"/>
      <c r="Q1039" s="29"/>
      <c r="R1039" s="29"/>
      <c r="S1039" s="29"/>
      <c r="T1039" s="29"/>
      <c r="U1039" s="29"/>
      <c r="V1039" s="29"/>
      <c r="W1039" s="29"/>
      <c r="X1039" s="29"/>
      <c r="Y1039" s="29"/>
      <c r="Z1039" s="29"/>
      <c r="AA1039" s="29"/>
      <c r="AB1039" s="29"/>
      <c r="AC1039" s="29"/>
      <c r="AD1039" s="29"/>
      <c r="AE1039" s="29"/>
      <c r="AF1039" s="29"/>
      <c r="AG1039" s="29"/>
    </row>
    <row r="1040" spans="1:33" ht="15" customHeight="1">
      <c r="A1040" s="34" t="s">
        <v>3711</v>
      </c>
      <c r="B1040" s="33" t="s">
        <v>2692</v>
      </c>
      <c r="C1040" s="40">
        <v>19750.261718999998</v>
      </c>
      <c r="D1040" s="40">
        <v>19903.289062</v>
      </c>
      <c r="E1040" s="40">
        <v>20095.435547000001</v>
      </c>
      <c r="F1040" s="40">
        <v>20409.421875</v>
      </c>
      <c r="G1040" s="40">
        <v>20840.714843999998</v>
      </c>
      <c r="H1040" s="40">
        <v>21273.421875</v>
      </c>
      <c r="I1040" s="40">
        <v>21681.255859000001</v>
      </c>
      <c r="J1040" s="40">
        <v>22051.705077999999</v>
      </c>
      <c r="K1040" s="40">
        <v>22391.814452999999</v>
      </c>
      <c r="L1040" s="40">
        <v>22742.044922000001</v>
      </c>
      <c r="M1040" s="40">
        <v>23153.001952999999</v>
      </c>
      <c r="N1040" s="40">
        <v>23603.867188</v>
      </c>
      <c r="O1040" s="40">
        <v>24055.123047000001</v>
      </c>
      <c r="P1040" s="40">
        <v>24510.957031000002</v>
      </c>
      <c r="Q1040" s="40">
        <v>24995.804688</v>
      </c>
      <c r="R1040" s="40">
        <v>25506.921875</v>
      </c>
      <c r="S1040" s="40">
        <v>26032.332031000002</v>
      </c>
      <c r="T1040" s="40">
        <v>26566.107422000001</v>
      </c>
      <c r="U1040" s="40">
        <v>27148.945312</v>
      </c>
      <c r="V1040" s="40">
        <v>27734.087890999999</v>
      </c>
      <c r="W1040" s="40">
        <v>28324.492188</v>
      </c>
      <c r="X1040" s="40">
        <v>28926.738281000002</v>
      </c>
      <c r="Y1040" s="40">
        <v>29527.414062</v>
      </c>
      <c r="Z1040" s="40">
        <v>30130</v>
      </c>
      <c r="AA1040" s="40">
        <v>30747.568359000001</v>
      </c>
      <c r="AB1040" s="40">
        <v>31389.150390999999</v>
      </c>
      <c r="AC1040" s="40">
        <v>32039.970702999999</v>
      </c>
      <c r="AD1040" s="40">
        <v>32698.533202999999</v>
      </c>
      <c r="AE1040" s="40">
        <v>33404.984375</v>
      </c>
      <c r="AF1040" s="31">
        <v>1.8946999999999999E-2</v>
      </c>
      <c r="AG1040" s="29"/>
    </row>
    <row r="1041" spans="1:33" ht="15" customHeight="1">
      <c r="B1041" s="29"/>
      <c r="C1041" s="29"/>
      <c r="D1041" s="29"/>
      <c r="E1041" s="29"/>
      <c r="F1041" s="29"/>
      <c r="G1041" s="29"/>
      <c r="H1041" s="29"/>
      <c r="I1041" s="29"/>
      <c r="J1041" s="29"/>
      <c r="K1041" s="29"/>
      <c r="L1041" s="29"/>
      <c r="M1041" s="29"/>
      <c r="N1041" s="29"/>
      <c r="O1041" s="29"/>
      <c r="P1041" s="29"/>
      <c r="Q1041" s="29"/>
      <c r="R1041" s="29"/>
      <c r="S1041" s="29"/>
      <c r="T1041" s="29"/>
      <c r="U1041" s="29"/>
      <c r="V1041" s="29"/>
      <c r="W1041" s="29"/>
      <c r="X1041" s="29"/>
      <c r="Y1041" s="29"/>
      <c r="Z1041" s="29"/>
      <c r="AA1041" s="29"/>
      <c r="AB1041" s="29"/>
      <c r="AC1041" s="29"/>
      <c r="AD1041" s="29"/>
      <c r="AE1041" s="29"/>
      <c r="AF1041" s="29"/>
      <c r="AG1041" s="29"/>
    </row>
    <row r="1042" spans="1:33" ht="15" customHeight="1">
      <c r="A1042" s="34" t="s">
        <v>3712</v>
      </c>
      <c r="B1042" s="33" t="s">
        <v>2694</v>
      </c>
      <c r="C1042" s="40">
        <v>17.935708999999999</v>
      </c>
      <c r="D1042" s="40">
        <v>18.199964999999999</v>
      </c>
      <c r="E1042" s="40">
        <v>18.209198000000001</v>
      </c>
      <c r="F1042" s="40">
        <v>18.272017999999999</v>
      </c>
      <c r="G1042" s="40">
        <v>18.436520000000002</v>
      </c>
      <c r="H1042" s="40">
        <v>18.642309000000001</v>
      </c>
      <c r="I1042" s="40">
        <v>18.834334999999999</v>
      </c>
      <c r="J1042" s="40">
        <v>18.989644999999999</v>
      </c>
      <c r="K1042" s="40">
        <v>19.105782000000001</v>
      </c>
      <c r="L1042" s="40">
        <v>19.198563</v>
      </c>
      <c r="M1042" s="40">
        <v>19.331879000000001</v>
      </c>
      <c r="N1042" s="40">
        <v>19.495995000000001</v>
      </c>
      <c r="O1042" s="40">
        <v>19.702034000000001</v>
      </c>
      <c r="P1042" s="40">
        <v>19.881599000000001</v>
      </c>
      <c r="Q1042" s="40">
        <v>20.014150999999998</v>
      </c>
      <c r="R1042" s="40">
        <v>20.162514000000002</v>
      </c>
      <c r="S1042" s="40">
        <v>20.316161999999998</v>
      </c>
      <c r="T1042" s="40">
        <v>20.467162999999999</v>
      </c>
      <c r="U1042" s="40">
        <v>20.648859000000002</v>
      </c>
      <c r="V1042" s="40">
        <v>20.824021999999999</v>
      </c>
      <c r="W1042" s="40">
        <v>20.993062999999999</v>
      </c>
      <c r="X1042" s="40">
        <v>21.143847000000001</v>
      </c>
      <c r="Y1042" s="40">
        <v>21.288345</v>
      </c>
      <c r="Z1042" s="40">
        <v>21.444056</v>
      </c>
      <c r="AA1042" s="40">
        <v>21.614671999999999</v>
      </c>
      <c r="AB1042" s="40">
        <v>21.803623000000002</v>
      </c>
      <c r="AC1042" s="40">
        <v>21.992280999999998</v>
      </c>
      <c r="AD1042" s="40">
        <v>22.17746</v>
      </c>
      <c r="AE1042" s="40">
        <v>22.379086999999998</v>
      </c>
      <c r="AF1042" s="31">
        <v>7.9360000000000003E-3</v>
      </c>
      <c r="AG1042" s="29"/>
    </row>
    <row r="1043" spans="1:33" ht="15" customHeight="1">
      <c r="B1043" s="29"/>
      <c r="C1043" s="29"/>
      <c r="D1043" s="29"/>
      <c r="E1043" s="29"/>
      <c r="F1043" s="29"/>
      <c r="G1043" s="29"/>
      <c r="H1043" s="29"/>
      <c r="I1043" s="29"/>
      <c r="J1043" s="29"/>
      <c r="K1043" s="29"/>
      <c r="L1043" s="29"/>
      <c r="M1043" s="29"/>
      <c r="N1043" s="29"/>
      <c r="O1043" s="29"/>
      <c r="P1043" s="29"/>
      <c r="Q1043" s="29"/>
      <c r="R1043" s="29"/>
      <c r="S1043" s="29"/>
      <c r="T1043" s="29"/>
      <c r="U1043" s="29"/>
      <c r="V1043" s="29"/>
      <c r="W1043" s="29"/>
      <c r="X1043" s="29"/>
      <c r="Y1043" s="29"/>
      <c r="Z1043" s="29"/>
      <c r="AA1043" s="29"/>
      <c r="AB1043" s="29"/>
      <c r="AC1043" s="29"/>
      <c r="AD1043" s="29"/>
      <c r="AE1043" s="29"/>
      <c r="AF1043" s="29"/>
      <c r="AG1043" s="29"/>
    </row>
    <row r="1044" spans="1:33" ht="15" customHeight="1">
      <c r="B1044" s="33" t="s">
        <v>2695</v>
      </c>
      <c r="C1044" s="29"/>
      <c r="D1044" s="29"/>
      <c r="E1044" s="29"/>
      <c r="F1044" s="29"/>
      <c r="G1044" s="29"/>
      <c r="H1044" s="29"/>
      <c r="I1044" s="29"/>
      <c r="J1044" s="29"/>
      <c r="K1044" s="29"/>
      <c r="L1044" s="29"/>
      <c r="M1044" s="29"/>
      <c r="N1044" s="29"/>
      <c r="O1044" s="29"/>
      <c r="P1044" s="29"/>
      <c r="Q1044" s="29"/>
      <c r="R1044" s="29"/>
      <c r="S1044" s="29"/>
      <c r="T1044" s="29"/>
      <c r="U1044" s="29"/>
      <c r="V1044" s="29"/>
      <c r="W1044" s="29"/>
      <c r="X1044" s="29"/>
      <c r="Y1044" s="29"/>
      <c r="Z1044" s="29"/>
      <c r="AA1044" s="29"/>
      <c r="AB1044" s="29"/>
      <c r="AC1044" s="29"/>
      <c r="AD1044" s="29"/>
      <c r="AE1044" s="29"/>
      <c r="AF1044" s="29"/>
      <c r="AG1044" s="29"/>
    </row>
    <row r="1045" spans="1:33" ht="15" customHeight="1">
      <c r="B1045" s="29"/>
      <c r="C1045" s="29"/>
      <c r="D1045" s="29"/>
      <c r="E1045" s="29"/>
      <c r="F1045" s="29"/>
      <c r="G1045" s="29"/>
      <c r="H1045" s="29"/>
      <c r="I1045" s="29"/>
      <c r="J1045" s="29"/>
      <c r="K1045" s="29"/>
      <c r="L1045" s="29"/>
      <c r="M1045" s="29"/>
      <c r="N1045" s="29"/>
      <c r="O1045" s="29"/>
      <c r="P1045" s="29"/>
      <c r="Q1045" s="29"/>
      <c r="R1045" s="29"/>
      <c r="S1045" s="29"/>
      <c r="T1045" s="29"/>
      <c r="U1045" s="29"/>
      <c r="V1045" s="29"/>
      <c r="W1045" s="29"/>
      <c r="X1045" s="29"/>
      <c r="Y1045" s="29"/>
      <c r="Z1045" s="29"/>
      <c r="AA1045" s="29"/>
      <c r="AB1045" s="29"/>
      <c r="AC1045" s="29"/>
      <c r="AD1045" s="29"/>
      <c r="AE1045" s="29"/>
      <c r="AF1045" s="29"/>
      <c r="AG1045" s="29"/>
    </row>
    <row r="1046" spans="1:33" ht="12" customHeight="1">
      <c r="B1046" s="33" t="s">
        <v>2696</v>
      </c>
      <c r="C1046" s="29"/>
      <c r="D1046" s="29"/>
      <c r="E1046" s="29"/>
      <c r="F1046" s="29"/>
      <c r="G1046" s="29"/>
      <c r="H1046" s="29"/>
      <c r="I1046" s="29"/>
      <c r="J1046" s="29"/>
      <c r="K1046" s="29"/>
      <c r="L1046" s="29"/>
      <c r="M1046" s="29"/>
      <c r="N1046" s="29"/>
      <c r="O1046" s="29"/>
      <c r="P1046" s="29"/>
      <c r="Q1046" s="29"/>
      <c r="R1046" s="29"/>
      <c r="S1046" s="29"/>
      <c r="T1046" s="29"/>
      <c r="U1046" s="29"/>
      <c r="V1046" s="29"/>
      <c r="W1046" s="29"/>
      <c r="X1046" s="29"/>
      <c r="Y1046" s="29"/>
      <c r="Z1046" s="29"/>
      <c r="AA1046" s="29"/>
      <c r="AB1046" s="29"/>
      <c r="AC1046" s="29"/>
      <c r="AD1046" s="29"/>
      <c r="AE1046" s="29"/>
      <c r="AF1046" s="29"/>
      <c r="AG1046" s="29"/>
    </row>
    <row r="1047" spans="1:33" ht="15" customHeight="1">
      <c r="A1047" s="34" t="s">
        <v>3713</v>
      </c>
      <c r="B1047" s="37" t="s">
        <v>2698</v>
      </c>
      <c r="C1047" s="53">
        <v>50.667217000000001</v>
      </c>
      <c r="D1047" s="53">
        <v>50.206145999999997</v>
      </c>
      <c r="E1047" s="53">
        <v>50.689121</v>
      </c>
      <c r="F1047" s="53">
        <v>51.369076</v>
      </c>
      <c r="G1047" s="53">
        <v>52.190907000000003</v>
      </c>
      <c r="H1047" s="53">
        <v>52.932529000000002</v>
      </c>
      <c r="I1047" s="53">
        <v>53.643169</v>
      </c>
      <c r="J1047" s="53">
        <v>54.272480000000002</v>
      </c>
      <c r="K1047" s="53">
        <v>54.819507999999999</v>
      </c>
      <c r="L1047" s="53">
        <v>55.421760999999996</v>
      </c>
      <c r="M1047" s="53">
        <v>56.061573000000003</v>
      </c>
      <c r="N1047" s="53">
        <v>56.599685999999998</v>
      </c>
      <c r="O1047" s="53">
        <v>57.093223999999999</v>
      </c>
      <c r="P1047" s="53">
        <v>57.602004999999998</v>
      </c>
      <c r="Q1047" s="53">
        <v>58.066794999999999</v>
      </c>
      <c r="R1047" s="53">
        <v>58.636336999999997</v>
      </c>
      <c r="S1047" s="53">
        <v>59.202263000000002</v>
      </c>
      <c r="T1047" s="53">
        <v>59.743744</v>
      </c>
      <c r="U1047" s="53">
        <v>60.243701999999999</v>
      </c>
      <c r="V1047" s="53">
        <v>60.736300999999997</v>
      </c>
      <c r="W1047" s="53">
        <v>61.302773000000002</v>
      </c>
      <c r="X1047" s="53">
        <v>61.855246999999999</v>
      </c>
      <c r="Y1047" s="53">
        <v>62.380530999999998</v>
      </c>
      <c r="Z1047" s="53">
        <v>62.91404</v>
      </c>
      <c r="AA1047" s="53">
        <v>63.431964999999998</v>
      </c>
      <c r="AB1047" s="53">
        <v>63.942528000000003</v>
      </c>
      <c r="AC1047" s="53">
        <v>64.449554000000006</v>
      </c>
      <c r="AD1047" s="53">
        <v>64.961296000000004</v>
      </c>
      <c r="AE1047" s="53">
        <v>65.47757</v>
      </c>
      <c r="AF1047" s="35">
        <v>9.1999999999999998E-3</v>
      </c>
      <c r="AG1047" s="29"/>
    </row>
    <row r="1048" spans="1:33" ht="15" customHeight="1">
      <c r="A1048" s="34" t="s">
        <v>3714</v>
      </c>
      <c r="B1048" s="37" t="s">
        <v>2700</v>
      </c>
      <c r="C1048" s="53">
        <v>447.28598</v>
      </c>
      <c r="D1048" s="53">
        <v>433.34435999999999</v>
      </c>
      <c r="E1048" s="53">
        <v>432.913971</v>
      </c>
      <c r="F1048" s="53">
        <v>435.955536</v>
      </c>
      <c r="G1048" s="53">
        <v>441.29406699999998</v>
      </c>
      <c r="H1048" s="53">
        <v>441.27505500000001</v>
      </c>
      <c r="I1048" s="53">
        <v>444.41705300000001</v>
      </c>
      <c r="J1048" s="53">
        <v>444.78164700000002</v>
      </c>
      <c r="K1048" s="53">
        <v>446.17224099999999</v>
      </c>
      <c r="L1048" s="53">
        <v>447.87777699999998</v>
      </c>
      <c r="M1048" s="53">
        <v>451.93362400000001</v>
      </c>
      <c r="N1048" s="53">
        <v>455.95455900000002</v>
      </c>
      <c r="O1048" s="53">
        <v>458.86300699999998</v>
      </c>
      <c r="P1048" s="53">
        <v>460.18908699999997</v>
      </c>
      <c r="Q1048" s="53">
        <v>461.98019399999998</v>
      </c>
      <c r="R1048" s="53">
        <v>464.14968900000002</v>
      </c>
      <c r="S1048" s="53">
        <v>465.20755000000003</v>
      </c>
      <c r="T1048" s="53">
        <v>467.229218</v>
      </c>
      <c r="U1048" s="53">
        <v>466.65557899999999</v>
      </c>
      <c r="V1048" s="53">
        <v>466.50524899999999</v>
      </c>
      <c r="W1048" s="53">
        <v>467.74395800000002</v>
      </c>
      <c r="X1048" s="53">
        <v>470.15078699999998</v>
      </c>
      <c r="Y1048" s="53">
        <v>472.61172499999998</v>
      </c>
      <c r="Z1048" s="53">
        <v>472.68203699999998</v>
      </c>
      <c r="AA1048" s="53">
        <v>474.30084199999999</v>
      </c>
      <c r="AB1048" s="53">
        <v>473.65954599999998</v>
      </c>
      <c r="AC1048" s="53">
        <v>475.697723</v>
      </c>
      <c r="AD1048" s="53">
        <v>478.45309400000002</v>
      </c>
      <c r="AE1048" s="53">
        <v>480.963684</v>
      </c>
      <c r="AF1048" s="35">
        <v>2.5959999999999998E-3</v>
      </c>
      <c r="AG1048" s="29"/>
    </row>
    <row r="1049" spans="1:33" ht="15" customHeight="1">
      <c r="A1049" s="34" t="s">
        <v>3715</v>
      </c>
      <c r="B1049" s="37" t="s">
        <v>2702</v>
      </c>
      <c r="C1049" s="53">
        <v>258.77392600000002</v>
      </c>
      <c r="D1049" s="53">
        <v>255.18580600000001</v>
      </c>
      <c r="E1049" s="53">
        <v>254.94001800000001</v>
      </c>
      <c r="F1049" s="53">
        <v>260.90683000000001</v>
      </c>
      <c r="G1049" s="53">
        <v>265.50439499999999</v>
      </c>
      <c r="H1049" s="53">
        <v>267.41973899999999</v>
      </c>
      <c r="I1049" s="53">
        <v>271.44845600000002</v>
      </c>
      <c r="J1049" s="53">
        <v>279.95709199999999</v>
      </c>
      <c r="K1049" s="53">
        <v>285.86807299999998</v>
      </c>
      <c r="L1049" s="53">
        <v>288.58349600000003</v>
      </c>
      <c r="M1049" s="53">
        <v>291.21618699999999</v>
      </c>
      <c r="N1049" s="53">
        <v>294.321594</v>
      </c>
      <c r="O1049" s="53">
        <v>297.05011000000002</v>
      </c>
      <c r="P1049" s="53">
        <v>300.50930799999998</v>
      </c>
      <c r="Q1049" s="53">
        <v>305.03384399999999</v>
      </c>
      <c r="R1049" s="53">
        <v>311.34082000000001</v>
      </c>
      <c r="S1049" s="53">
        <v>318.08978300000001</v>
      </c>
      <c r="T1049" s="53">
        <v>324.12640399999998</v>
      </c>
      <c r="U1049" s="53">
        <v>331.02957199999997</v>
      </c>
      <c r="V1049" s="53">
        <v>338.80087300000002</v>
      </c>
      <c r="W1049" s="53">
        <v>345.39211999999998</v>
      </c>
      <c r="X1049" s="53">
        <v>351.501465</v>
      </c>
      <c r="Y1049" s="53">
        <v>357.70211799999998</v>
      </c>
      <c r="Z1049" s="53">
        <v>364.49328600000001</v>
      </c>
      <c r="AA1049" s="53">
        <v>371.52191199999999</v>
      </c>
      <c r="AB1049" s="53">
        <v>378.51950099999999</v>
      </c>
      <c r="AC1049" s="53">
        <v>384.88815299999999</v>
      </c>
      <c r="AD1049" s="53">
        <v>390.89968900000002</v>
      </c>
      <c r="AE1049" s="53">
        <v>398.78518700000001</v>
      </c>
      <c r="AF1049" s="35">
        <v>1.5565000000000001E-2</v>
      </c>
      <c r="AG1049" s="29"/>
    </row>
    <row r="1050" spans="1:33" ht="15" customHeight="1">
      <c r="B1050" s="29"/>
      <c r="C1050" s="29"/>
      <c r="D1050" s="29"/>
      <c r="E1050" s="29"/>
      <c r="F1050" s="29"/>
      <c r="G1050" s="29"/>
      <c r="H1050" s="29"/>
      <c r="I1050" s="29"/>
      <c r="J1050" s="29"/>
      <c r="K1050" s="29"/>
      <c r="L1050" s="29"/>
      <c r="M1050" s="29"/>
      <c r="N1050" s="29"/>
      <c r="O1050" s="29"/>
      <c r="P1050" s="29"/>
      <c r="Q1050" s="29"/>
      <c r="R1050" s="29"/>
      <c r="S1050" s="29"/>
      <c r="T1050" s="29"/>
      <c r="U1050" s="29"/>
      <c r="V1050" s="29"/>
      <c r="W1050" s="29"/>
      <c r="X1050" s="29"/>
      <c r="Y1050" s="29"/>
      <c r="Z1050" s="29"/>
      <c r="AA1050" s="29"/>
      <c r="AB1050" s="29"/>
      <c r="AC1050" s="29"/>
      <c r="AD1050" s="29"/>
      <c r="AE1050" s="29"/>
      <c r="AF1050" s="29"/>
      <c r="AG1050" s="29"/>
    </row>
    <row r="1051" spans="1:33" ht="15" customHeight="1">
      <c r="B1051" s="33" t="s">
        <v>2703</v>
      </c>
      <c r="C1051" s="29"/>
      <c r="D1051" s="29"/>
      <c r="E1051" s="29"/>
      <c r="F1051" s="29"/>
      <c r="G1051" s="29"/>
      <c r="H1051" s="29"/>
      <c r="I1051" s="29"/>
      <c r="J1051" s="29"/>
      <c r="K1051" s="29"/>
      <c r="L1051" s="29"/>
      <c r="M1051" s="29"/>
      <c r="N1051" s="29"/>
      <c r="O1051" s="29"/>
      <c r="P1051" s="29"/>
      <c r="Q1051" s="29"/>
      <c r="R1051" s="29"/>
      <c r="S1051" s="29"/>
      <c r="T1051" s="29"/>
      <c r="U1051" s="29"/>
      <c r="V1051" s="29"/>
      <c r="W1051" s="29"/>
      <c r="X1051" s="29"/>
      <c r="Y1051" s="29"/>
      <c r="Z1051" s="29"/>
      <c r="AA1051" s="29"/>
      <c r="AB1051" s="29"/>
      <c r="AC1051" s="29"/>
      <c r="AD1051" s="29"/>
      <c r="AE1051" s="29"/>
      <c r="AF1051" s="29"/>
      <c r="AG1051" s="29"/>
    </row>
    <row r="1052" spans="1:33" ht="15" customHeight="1">
      <c r="A1052" s="34" t="s">
        <v>3716</v>
      </c>
      <c r="B1052" s="37" t="s">
        <v>2705</v>
      </c>
      <c r="C1052" s="53">
        <v>97.454734999999999</v>
      </c>
      <c r="D1052" s="53">
        <v>98.957763999999997</v>
      </c>
      <c r="E1052" s="53">
        <v>100.013611</v>
      </c>
      <c r="F1052" s="53">
        <v>100.893715</v>
      </c>
      <c r="G1052" s="53">
        <v>102.056229</v>
      </c>
      <c r="H1052" s="53">
        <v>103.405754</v>
      </c>
      <c r="I1052" s="53">
        <v>104.783974</v>
      </c>
      <c r="J1052" s="53">
        <v>105.963936</v>
      </c>
      <c r="K1052" s="53">
        <v>107.136421</v>
      </c>
      <c r="L1052" s="53">
        <v>108.491844</v>
      </c>
      <c r="M1052" s="53">
        <v>109.78067</v>
      </c>
      <c r="N1052" s="53">
        <v>110.662178</v>
      </c>
      <c r="O1052" s="53">
        <v>111.655159</v>
      </c>
      <c r="P1052" s="53">
        <v>112.700897</v>
      </c>
      <c r="Q1052" s="53">
        <v>113.749557</v>
      </c>
      <c r="R1052" s="53">
        <v>114.68806499999999</v>
      </c>
      <c r="S1052" s="53">
        <v>115.713249</v>
      </c>
      <c r="T1052" s="53">
        <v>116.64727000000001</v>
      </c>
      <c r="U1052" s="53">
        <v>117.59882399999999</v>
      </c>
      <c r="V1052" s="53">
        <v>118.513237</v>
      </c>
      <c r="W1052" s="53">
        <v>119.548546</v>
      </c>
      <c r="X1052" s="53">
        <v>120.53259300000001</v>
      </c>
      <c r="Y1052" s="53">
        <v>121.479156</v>
      </c>
      <c r="Z1052" s="53">
        <v>122.41939499999999</v>
      </c>
      <c r="AA1052" s="53">
        <v>123.297783</v>
      </c>
      <c r="AB1052" s="53">
        <v>124.188568</v>
      </c>
      <c r="AC1052" s="53">
        <v>125.09097300000001</v>
      </c>
      <c r="AD1052" s="53">
        <v>125.998001</v>
      </c>
      <c r="AE1052" s="53">
        <v>126.901138</v>
      </c>
      <c r="AF1052" s="35">
        <v>9.4739999999999998E-3</v>
      </c>
      <c r="AG1052" s="29"/>
    </row>
    <row r="1053" spans="1:33" ht="15" customHeight="1">
      <c r="A1053" s="34" t="s">
        <v>3717</v>
      </c>
      <c r="B1053" s="37" t="s">
        <v>1473</v>
      </c>
      <c r="C1053" s="53">
        <v>10.557935000000001</v>
      </c>
      <c r="D1053" s="53">
        <v>10.450170999999999</v>
      </c>
      <c r="E1053" s="53">
        <v>10.372507000000001</v>
      </c>
      <c r="F1053" s="53">
        <v>10.319858</v>
      </c>
      <c r="G1053" s="53">
        <v>10.308643</v>
      </c>
      <c r="H1053" s="53">
        <v>10.33958</v>
      </c>
      <c r="I1053" s="53">
        <v>10.395709</v>
      </c>
      <c r="J1053" s="53">
        <v>10.429546</v>
      </c>
      <c r="K1053" s="53">
        <v>10.439063000000001</v>
      </c>
      <c r="L1053" s="53">
        <v>10.426047000000001</v>
      </c>
      <c r="M1053" s="53">
        <v>10.434557</v>
      </c>
      <c r="N1053" s="53">
        <v>10.425933000000001</v>
      </c>
      <c r="O1053" s="53">
        <v>10.384729</v>
      </c>
      <c r="P1053" s="53">
        <v>10.325799999999999</v>
      </c>
      <c r="Q1053" s="53">
        <v>10.249518999999999</v>
      </c>
      <c r="R1053" s="53">
        <v>10.193213</v>
      </c>
      <c r="S1053" s="53">
        <v>10.129500999999999</v>
      </c>
      <c r="T1053" s="53">
        <v>10.082789</v>
      </c>
      <c r="U1053" s="53">
        <v>10.043093000000001</v>
      </c>
      <c r="V1053" s="53">
        <v>10.013204</v>
      </c>
      <c r="W1053" s="53">
        <v>9.9874960000000002</v>
      </c>
      <c r="X1053" s="53">
        <v>9.963082</v>
      </c>
      <c r="Y1053" s="53">
        <v>9.9401890000000002</v>
      </c>
      <c r="Z1053" s="53">
        <v>9.9156300000000002</v>
      </c>
      <c r="AA1053" s="53">
        <v>9.8952690000000008</v>
      </c>
      <c r="AB1053" s="53">
        <v>9.8825299999999991</v>
      </c>
      <c r="AC1053" s="53">
        <v>9.9075849999999992</v>
      </c>
      <c r="AD1053" s="53">
        <v>9.9380369999999996</v>
      </c>
      <c r="AE1053" s="53">
        <v>9.9671450000000004</v>
      </c>
      <c r="AF1053" s="35">
        <v>-2.0539999999999998E-3</v>
      </c>
      <c r="AG1053" s="29"/>
    </row>
    <row r="1054" spans="1:33" ht="15" customHeight="1">
      <c r="A1054" s="34" t="s">
        <v>3718</v>
      </c>
      <c r="B1054" s="37" t="s">
        <v>2708</v>
      </c>
      <c r="C1054" s="53">
        <v>4.5259039999999997</v>
      </c>
      <c r="D1054" s="53">
        <v>4.4787559999999997</v>
      </c>
      <c r="E1054" s="53">
        <v>4.4586050000000004</v>
      </c>
      <c r="F1054" s="53">
        <v>4.4893710000000002</v>
      </c>
      <c r="G1054" s="53">
        <v>4.5958540000000001</v>
      </c>
      <c r="H1054" s="53">
        <v>4.7187489999999999</v>
      </c>
      <c r="I1054" s="53">
        <v>4.8038730000000003</v>
      </c>
      <c r="J1054" s="53">
        <v>4.8485459999999998</v>
      </c>
      <c r="K1054" s="53">
        <v>4.8784559999999999</v>
      </c>
      <c r="L1054" s="53">
        <v>4.9349699999999999</v>
      </c>
      <c r="M1054" s="53">
        <v>5.020194</v>
      </c>
      <c r="N1054" s="53">
        <v>5.1039529999999997</v>
      </c>
      <c r="O1054" s="53">
        <v>5.1497210000000004</v>
      </c>
      <c r="P1054" s="53">
        <v>5.1879980000000003</v>
      </c>
      <c r="Q1054" s="53">
        <v>5.2177639999999998</v>
      </c>
      <c r="R1054" s="53">
        <v>5.2430430000000001</v>
      </c>
      <c r="S1054" s="53">
        <v>5.2282840000000004</v>
      </c>
      <c r="T1054" s="53">
        <v>5.2184619999999997</v>
      </c>
      <c r="U1054" s="53">
        <v>5.2185170000000003</v>
      </c>
      <c r="V1054" s="53">
        <v>5.2182979999999999</v>
      </c>
      <c r="W1054" s="53">
        <v>5.2139110000000004</v>
      </c>
      <c r="X1054" s="53">
        <v>5.2089049999999997</v>
      </c>
      <c r="Y1054" s="53">
        <v>5.1915490000000002</v>
      </c>
      <c r="Z1054" s="53">
        <v>5.1678620000000004</v>
      </c>
      <c r="AA1054" s="53">
        <v>5.1514439999999997</v>
      </c>
      <c r="AB1054" s="53">
        <v>5.139373</v>
      </c>
      <c r="AC1054" s="53">
        <v>5.1233870000000001</v>
      </c>
      <c r="AD1054" s="53">
        <v>5.1031199999999997</v>
      </c>
      <c r="AE1054" s="53">
        <v>5.0914469999999996</v>
      </c>
      <c r="AF1054" s="35">
        <v>4.2139999999999999E-3</v>
      </c>
      <c r="AG1054" s="29"/>
    </row>
    <row r="1055" spans="1:33" ht="15" customHeight="1">
      <c r="A1055" s="34" t="s">
        <v>3719</v>
      </c>
      <c r="B1055" s="37" t="s">
        <v>2710</v>
      </c>
      <c r="C1055" s="53">
        <v>12.557702000000001</v>
      </c>
      <c r="D1055" s="53">
        <v>11.453097</v>
      </c>
      <c r="E1055" s="53">
        <v>11.206325</v>
      </c>
      <c r="F1055" s="53">
        <v>11.477785000000001</v>
      </c>
      <c r="G1055" s="53">
        <v>11.357696000000001</v>
      </c>
      <c r="H1055" s="53">
        <v>11.292214</v>
      </c>
      <c r="I1055" s="53">
        <v>11.39739</v>
      </c>
      <c r="J1055" s="53">
        <v>11.545018000000001</v>
      </c>
      <c r="K1055" s="53">
        <v>11.569008</v>
      </c>
      <c r="L1055" s="53">
        <v>11.573676000000001</v>
      </c>
      <c r="M1055" s="53">
        <v>11.713096</v>
      </c>
      <c r="N1055" s="53">
        <v>11.891123</v>
      </c>
      <c r="O1055" s="53">
        <v>12.097277999999999</v>
      </c>
      <c r="P1055" s="53">
        <v>12.220999000000001</v>
      </c>
      <c r="Q1055" s="53">
        <v>12.178108</v>
      </c>
      <c r="R1055" s="53">
        <v>12.263863000000001</v>
      </c>
      <c r="S1055" s="53">
        <v>12.304040000000001</v>
      </c>
      <c r="T1055" s="53">
        <v>12.370533</v>
      </c>
      <c r="U1055" s="53">
        <v>12.474615</v>
      </c>
      <c r="V1055" s="53">
        <v>12.620698000000001</v>
      </c>
      <c r="W1055" s="53">
        <v>12.740822</v>
      </c>
      <c r="X1055" s="53">
        <v>12.821144</v>
      </c>
      <c r="Y1055" s="53">
        <v>12.837812</v>
      </c>
      <c r="Z1055" s="53">
        <v>12.766619</v>
      </c>
      <c r="AA1055" s="53">
        <v>12.723177</v>
      </c>
      <c r="AB1055" s="53">
        <v>12.744999999999999</v>
      </c>
      <c r="AC1055" s="53">
        <v>12.724631</v>
      </c>
      <c r="AD1055" s="53">
        <v>12.740418</v>
      </c>
      <c r="AE1055" s="53">
        <v>12.878935999999999</v>
      </c>
      <c r="AF1055" s="35">
        <v>9.0300000000000005E-4</v>
      </c>
      <c r="AG1055" s="29"/>
    </row>
    <row r="1056" spans="1:33" ht="15" customHeight="1">
      <c r="A1056" s="34" t="s">
        <v>3720</v>
      </c>
      <c r="B1056" s="37" t="s">
        <v>2712</v>
      </c>
      <c r="C1056" s="53">
        <v>6.0558740000000002</v>
      </c>
      <c r="D1056" s="53">
        <v>6.0078480000000001</v>
      </c>
      <c r="E1056" s="53">
        <v>6.0459360000000002</v>
      </c>
      <c r="F1056" s="53">
        <v>6.0992519999999999</v>
      </c>
      <c r="G1056" s="53">
        <v>6.2602019999999996</v>
      </c>
      <c r="H1056" s="53">
        <v>6.4417499999999999</v>
      </c>
      <c r="I1056" s="53">
        <v>6.5128830000000004</v>
      </c>
      <c r="J1056" s="53">
        <v>6.5855499999999996</v>
      </c>
      <c r="K1056" s="53">
        <v>6.6488079999999998</v>
      </c>
      <c r="L1056" s="53">
        <v>6.7075230000000001</v>
      </c>
      <c r="M1056" s="53">
        <v>6.8661099999999999</v>
      </c>
      <c r="N1056" s="53">
        <v>6.9508850000000004</v>
      </c>
      <c r="O1056" s="53">
        <v>7.0269149999999998</v>
      </c>
      <c r="P1056" s="53">
        <v>7.1562200000000002</v>
      </c>
      <c r="Q1056" s="53">
        <v>7.2838279999999997</v>
      </c>
      <c r="R1056" s="53">
        <v>7.4169609999999997</v>
      </c>
      <c r="S1056" s="53">
        <v>7.566802</v>
      </c>
      <c r="T1056" s="53">
        <v>7.6990980000000002</v>
      </c>
      <c r="U1056" s="53">
        <v>7.8326760000000002</v>
      </c>
      <c r="V1056" s="53">
        <v>8.0155239999999992</v>
      </c>
      <c r="W1056" s="53">
        <v>8.1798179999999991</v>
      </c>
      <c r="X1056" s="53">
        <v>8.3117490000000007</v>
      </c>
      <c r="Y1056" s="53">
        <v>8.4086780000000001</v>
      </c>
      <c r="Z1056" s="53">
        <v>8.4679319999999993</v>
      </c>
      <c r="AA1056" s="53">
        <v>8.5895639999999993</v>
      </c>
      <c r="AB1056" s="53">
        <v>8.7334510000000005</v>
      </c>
      <c r="AC1056" s="53">
        <v>8.8420930000000002</v>
      </c>
      <c r="AD1056" s="53">
        <v>8.9003370000000004</v>
      </c>
      <c r="AE1056" s="53">
        <v>9.1772200000000002</v>
      </c>
      <c r="AF1056" s="35">
        <v>1.4957E-2</v>
      </c>
      <c r="AG1056" s="29"/>
    </row>
    <row r="1057" spans="1:33" ht="15" customHeight="1">
      <c r="A1057" s="34" t="s">
        <v>3721</v>
      </c>
      <c r="B1057" s="37" t="s">
        <v>2714</v>
      </c>
      <c r="C1057" s="53">
        <v>21.316151000000001</v>
      </c>
      <c r="D1057" s="53">
        <v>20.967932000000001</v>
      </c>
      <c r="E1057" s="53">
        <v>20.530275</v>
      </c>
      <c r="F1057" s="53">
        <v>20.587921000000001</v>
      </c>
      <c r="G1057" s="53">
        <v>20.735987000000002</v>
      </c>
      <c r="H1057" s="53">
        <v>20.932489</v>
      </c>
      <c r="I1057" s="53">
        <v>21.131287</v>
      </c>
      <c r="J1057" s="53">
        <v>21.284222</v>
      </c>
      <c r="K1057" s="53">
        <v>21.435755</v>
      </c>
      <c r="L1057" s="53">
        <v>21.668479999999999</v>
      </c>
      <c r="M1057" s="53">
        <v>21.928163999999999</v>
      </c>
      <c r="N1057" s="53">
        <v>22.172049999999999</v>
      </c>
      <c r="O1057" s="53">
        <v>22.420342999999999</v>
      </c>
      <c r="P1057" s="53">
        <v>22.647342999999999</v>
      </c>
      <c r="Q1057" s="53">
        <v>22.849457000000001</v>
      </c>
      <c r="R1057" s="53">
        <v>23.054462000000001</v>
      </c>
      <c r="S1057" s="53">
        <v>23.215498</v>
      </c>
      <c r="T1057" s="53">
        <v>23.394863000000001</v>
      </c>
      <c r="U1057" s="53">
        <v>23.588826999999998</v>
      </c>
      <c r="V1057" s="53">
        <v>23.760908000000001</v>
      </c>
      <c r="W1057" s="53">
        <v>23.94379</v>
      </c>
      <c r="X1057" s="53">
        <v>24.102705</v>
      </c>
      <c r="Y1057" s="53">
        <v>24.210609000000002</v>
      </c>
      <c r="Z1057" s="53">
        <v>24.292883</v>
      </c>
      <c r="AA1057" s="53">
        <v>24.443822999999998</v>
      </c>
      <c r="AB1057" s="53">
        <v>24.661669</v>
      </c>
      <c r="AC1057" s="53">
        <v>24.774539999999998</v>
      </c>
      <c r="AD1057" s="53">
        <v>24.915828999999999</v>
      </c>
      <c r="AE1057" s="53">
        <v>25.159808999999999</v>
      </c>
      <c r="AF1057" s="35">
        <v>5.9379999999999997E-3</v>
      </c>
      <c r="AG1057" s="29"/>
    </row>
    <row r="1058" spans="1:33" ht="15" customHeight="1">
      <c r="A1058" s="34" t="s">
        <v>3722</v>
      </c>
      <c r="B1058" s="37" t="s">
        <v>2716</v>
      </c>
      <c r="C1058" s="53">
        <v>5.5101180000000003</v>
      </c>
      <c r="D1058" s="53">
        <v>5.4195349999999998</v>
      </c>
      <c r="E1058" s="53">
        <v>5.3576740000000003</v>
      </c>
      <c r="F1058" s="53">
        <v>5.3377319999999999</v>
      </c>
      <c r="G1058" s="53">
        <v>5.3284060000000002</v>
      </c>
      <c r="H1058" s="53">
        <v>5.3159039999999997</v>
      </c>
      <c r="I1058" s="53">
        <v>5.3366709999999999</v>
      </c>
      <c r="J1058" s="53">
        <v>5.362679</v>
      </c>
      <c r="K1058" s="53">
        <v>5.4047609999999997</v>
      </c>
      <c r="L1058" s="53">
        <v>5.4570509999999999</v>
      </c>
      <c r="M1058" s="53">
        <v>5.4539</v>
      </c>
      <c r="N1058" s="53">
        <v>5.4127900000000002</v>
      </c>
      <c r="O1058" s="53">
        <v>5.3787710000000004</v>
      </c>
      <c r="P1058" s="53">
        <v>5.3531659999999999</v>
      </c>
      <c r="Q1058" s="53">
        <v>5.3333360000000001</v>
      </c>
      <c r="R1058" s="53">
        <v>5.3190429999999997</v>
      </c>
      <c r="S1058" s="53">
        <v>5.308681</v>
      </c>
      <c r="T1058" s="53">
        <v>5.29765</v>
      </c>
      <c r="U1058" s="53">
        <v>5.3173089999999998</v>
      </c>
      <c r="V1058" s="53">
        <v>5.3131060000000003</v>
      </c>
      <c r="W1058" s="53">
        <v>5.2821769999999999</v>
      </c>
      <c r="X1058" s="53">
        <v>5.2720089999999997</v>
      </c>
      <c r="Y1058" s="53">
        <v>5.2776870000000002</v>
      </c>
      <c r="Z1058" s="53">
        <v>5.3334190000000001</v>
      </c>
      <c r="AA1058" s="53">
        <v>5.3825770000000004</v>
      </c>
      <c r="AB1058" s="53">
        <v>5.4179919999999999</v>
      </c>
      <c r="AC1058" s="53">
        <v>5.4386260000000002</v>
      </c>
      <c r="AD1058" s="53">
        <v>5.5094519999999996</v>
      </c>
      <c r="AE1058" s="53">
        <v>5.5629679999999997</v>
      </c>
      <c r="AF1058" s="35">
        <v>3.4099999999999999E-4</v>
      </c>
      <c r="AG1058" s="29"/>
    </row>
    <row r="1059" spans="1:33" ht="15" customHeight="1">
      <c r="A1059" s="34" t="s">
        <v>3723</v>
      </c>
      <c r="B1059" s="37" t="s">
        <v>2718</v>
      </c>
      <c r="C1059" s="53">
        <v>186.78118900000001</v>
      </c>
      <c r="D1059" s="53">
        <v>176.89639299999999</v>
      </c>
      <c r="E1059" s="53">
        <v>173.15194700000001</v>
      </c>
      <c r="F1059" s="53">
        <v>176.93071</v>
      </c>
      <c r="G1059" s="53">
        <v>181.89906300000001</v>
      </c>
      <c r="H1059" s="53">
        <v>186.21923799999999</v>
      </c>
      <c r="I1059" s="53">
        <v>189.703857</v>
      </c>
      <c r="J1059" s="53">
        <v>192.15010100000001</v>
      </c>
      <c r="K1059" s="53">
        <v>194.16340600000001</v>
      </c>
      <c r="L1059" s="53">
        <v>196.876205</v>
      </c>
      <c r="M1059" s="53">
        <v>200.16824299999999</v>
      </c>
      <c r="N1059" s="53">
        <v>203.10202000000001</v>
      </c>
      <c r="O1059" s="53">
        <v>206.43249499999999</v>
      </c>
      <c r="P1059" s="53">
        <v>209.19989000000001</v>
      </c>
      <c r="Q1059" s="53">
        <v>211.71740700000001</v>
      </c>
      <c r="R1059" s="53">
        <v>214.40721099999999</v>
      </c>
      <c r="S1059" s="53">
        <v>216.660889</v>
      </c>
      <c r="T1059" s="53">
        <v>219.59526099999999</v>
      </c>
      <c r="U1059" s="53">
        <v>222.94464099999999</v>
      </c>
      <c r="V1059" s="53">
        <v>226.10372899999999</v>
      </c>
      <c r="W1059" s="53">
        <v>229.024002</v>
      </c>
      <c r="X1059" s="53">
        <v>232.19908100000001</v>
      </c>
      <c r="Y1059" s="53">
        <v>234.91142300000001</v>
      </c>
      <c r="Z1059" s="53">
        <v>237.14245600000001</v>
      </c>
      <c r="AA1059" s="53">
        <v>240.09562700000001</v>
      </c>
      <c r="AB1059" s="53">
        <v>243.63806199999999</v>
      </c>
      <c r="AC1059" s="53">
        <v>245.837524</v>
      </c>
      <c r="AD1059" s="53">
        <v>248.491974</v>
      </c>
      <c r="AE1059" s="53">
        <v>253.12977599999999</v>
      </c>
      <c r="AF1059" s="35">
        <v>1.0914999999999999E-2</v>
      </c>
      <c r="AG1059" s="29"/>
    </row>
    <row r="1060" spans="1:33" ht="15" customHeight="1">
      <c r="A1060" s="34" t="s">
        <v>3724</v>
      </c>
      <c r="B1060" s="37" t="s">
        <v>1467</v>
      </c>
      <c r="C1060" s="53">
        <v>137.64032</v>
      </c>
      <c r="D1060" s="53">
        <v>130.69108600000001</v>
      </c>
      <c r="E1060" s="53">
        <v>127.03987100000001</v>
      </c>
      <c r="F1060" s="53">
        <v>130.695435</v>
      </c>
      <c r="G1060" s="53">
        <v>135.20431500000001</v>
      </c>
      <c r="H1060" s="53">
        <v>138.845001</v>
      </c>
      <c r="I1060" s="53">
        <v>141.67617799999999</v>
      </c>
      <c r="J1060" s="53">
        <v>143.63806199999999</v>
      </c>
      <c r="K1060" s="53">
        <v>145.37915000000001</v>
      </c>
      <c r="L1060" s="53">
        <v>147.71826200000001</v>
      </c>
      <c r="M1060" s="53">
        <v>150.482956</v>
      </c>
      <c r="N1060" s="53">
        <v>152.83225999999999</v>
      </c>
      <c r="O1060" s="53">
        <v>155.56990099999999</v>
      </c>
      <c r="P1060" s="53">
        <v>157.76289399999999</v>
      </c>
      <c r="Q1060" s="53">
        <v>159.66703799999999</v>
      </c>
      <c r="R1060" s="53">
        <v>161.74491900000001</v>
      </c>
      <c r="S1060" s="53">
        <v>163.30200199999999</v>
      </c>
      <c r="T1060" s="53">
        <v>165.55044599999999</v>
      </c>
      <c r="U1060" s="53">
        <v>168.17484999999999</v>
      </c>
      <c r="V1060" s="53">
        <v>170.51445000000001</v>
      </c>
      <c r="W1060" s="53">
        <v>172.50874300000001</v>
      </c>
      <c r="X1060" s="53">
        <v>174.71665999999999</v>
      </c>
      <c r="Y1060" s="53">
        <v>176.41656499999999</v>
      </c>
      <c r="Z1060" s="53">
        <v>177.87417600000001</v>
      </c>
      <c r="AA1060" s="53">
        <v>180.05453499999999</v>
      </c>
      <c r="AB1060" s="53">
        <v>182.80898999999999</v>
      </c>
      <c r="AC1060" s="53">
        <v>184.258972</v>
      </c>
      <c r="AD1060" s="53">
        <v>186.26759300000001</v>
      </c>
      <c r="AE1060" s="53">
        <v>190.03436300000001</v>
      </c>
      <c r="AF1060" s="35">
        <v>1.1587E-2</v>
      </c>
      <c r="AG1060" s="29"/>
    </row>
    <row r="1061" spans="1:33" ht="15" customHeight="1">
      <c r="A1061" s="34" t="s">
        <v>3725</v>
      </c>
      <c r="B1061" s="37" t="s">
        <v>1484</v>
      </c>
      <c r="C1061" s="53">
        <v>12.146488</v>
      </c>
      <c r="D1061" s="53">
        <v>12.261666</v>
      </c>
      <c r="E1061" s="53">
        <v>12.215852</v>
      </c>
      <c r="F1061" s="53">
        <v>12.533863999999999</v>
      </c>
      <c r="G1061" s="53">
        <v>12.862641999999999</v>
      </c>
      <c r="H1061" s="53">
        <v>13.075137</v>
      </c>
      <c r="I1061" s="53">
        <v>13.224163000000001</v>
      </c>
      <c r="J1061" s="53">
        <v>13.311116</v>
      </c>
      <c r="K1061" s="53">
        <v>13.3695</v>
      </c>
      <c r="L1061" s="53">
        <v>13.445406999999999</v>
      </c>
      <c r="M1061" s="53">
        <v>13.544750000000001</v>
      </c>
      <c r="N1061" s="53">
        <v>13.648664</v>
      </c>
      <c r="O1061" s="53">
        <v>13.793453</v>
      </c>
      <c r="P1061" s="53">
        <v>13.931241</v>
      </c>
      <c r="Q1061" s="53">
        <v>14.032881</v>
      </c>
      <c r="R1061" s="53">
        <v>14.159713999999999</v>
      </c>
      <c r="S1061" s="53">
        <v>14.223189</v>
      </c>
      <c r="T1061" s="53">
        <v>14.343515999999999</v>
      </c>
      <c r="U1061" s="53">
        <v>14.507573000000001</v>
      </c>
      <c r="V1061" s="53">
        <v>14.648229000000001</v>
      </c>
      <c r="W1061" s="53">
        <v>14.755971000000001</v>
      </c>
      <c r="X1061" s="53">
        <v>14.853389</v>
      </c>
      <c r="Y1061" s="53">
        <v>14.935537</v>
      </c>
      <c r="Z1061" s="53">
        <v>14.961040000000001</v>
      </c>
      <c r="AA1061" s="53">
        <v>15.063534000000001</v>
      </c>
      <c r="AB1061" s="53">
        <v>15.196396999999999</v>
      </c>
      <c r="AC1061" s="53">
        <v>15.225497000000001</v>
      </c>
      <c r="AD1061" s="53">
        <v>15.301437</v>
      </c>
      <c r="AE1061" s="53">
        <v>15.527366000000001</v>
      </c>
      <c r="AF1061" s="35">
        <v>8.8090000000000009E-3</v>
      </c>
      <c r="AG1061" s="29"/>
    </row>
    <row r="1062" spans="1:33" ht="12" customHeight="1">
      <c r="A1062" s="34" t="s">
        <v>3726</v>
      </c>
      <c r="B1062" s="37" t="s">
        <v>2722</v>
      </c>
      <c r="C1062" s="53">
        <v>85.863913999999994</v>
      </c>
      <c r="D1062" s="53">
        <v>79.816794999999999</v>
      </c>
      <c r="E1062" s="53">
        <v>76.466080000000005</v>
      </c>
      <c r="F1062" s="53">
        <v>79.322647000000003</v>
      </c>
      <c r="G1062" s="53">
        <v>82.276283000000006</v>
      </c>
      <c r="H1062" s="53">
        <v>84.540794000000005</v>
      </c>
      <c r="I1062" s="53">
        <v>86.448425</v>
      </c>
      <c r="J1062" s="53">
        <v>87.870964000000001</v>
      </c>
      <c r="K1062" s="53">
        <v>89.206642000000002</v>
      </c>
      <c r="L1062" s="53">
        <v>90.960196999999994</v>
      </c>
      <c r="M1062" s="53">
        <v>92.884262000000007</v>
      </c>
      <c r="N1062" s="53">
        <v>94.541420000000002</v>
      </c>
      <c r="O1062" s="53">
        <v>96.440040999999994</v>
      </c>
      <c r="P1062" s="53">
        <v>97.899208000000002</v>
      </c>
      <c r="Q1062" s="53">
        <v>99.253746000000007</v>
      </c>
      <c r="R1062" s="53">
        <v>100.73316199999999</v>
      </c>
      <c r="S1062" s="53">
        <v>101.82925400000001</v>
      </c>
      <c r="T1062" s="53">
        <v>103.558189</v>
      </c>
      <c r="U1062" s="53">
        <v>105.531532</v>
      </c>
      <c r="V1062" s="53">
        <v>107.305672</v>
      </c>
      <c r="W1062" s="53">
        <v>108.84903</v>
      </c>
      <c r="X1062" s="53">
        <v>110.64717899999999</v>
      </c>
      <c r="Y1062" s="53">
        <v>112.07738500000001</v>
      </c>
      <c r="Z1062" s="53">
        <v>113.352592</v>
      </c>
      <c r="AA1062" s="53">
        <v>115.105225</v>
      </c>
      <c r="AB1062" s="53">
        <v>117.28604900000001</v>
      </c>
      <c r="AC1062" s="53">
        <v>118.528694</v>
      </c>
      <c r="AD1062" s="53">
        <v>120.170753</v>
      </c>
      <c r="AE1062" s="53">
        <v>123.090057</v>
      </c>
      <c r="AF1062" s="35">
        <v>1.2945999999999999E-2</v>
      </c>
      <c r="AG1062" s="29"/>
    </row>
    <row r="1063" spans="1:33" ht="15" customHeight="1">
      <c r="A1063" s="34" t="s">
        <v>3727</v>
      </c>
      <c r="B1063" s="37" t="s">
        <v>2724</v>
      </c>
      <c r="C1063" s="53">
        <v>30.941714999999999</v>
      </c>
      <c r="D1063" s="53">
        <v>29.927710999999999</v>
      </c>
      <c r="E1063" s="53">
        <v>29.492986999999999</v>
      </c>
      <c r="F1063" s="53">
        <v>29.654893999999999</v>
      </c>
      <c r="G1063" s="53">
        <v>30.491692</v>
      </c>
      <c r="H1063" s="53">
        <v>31.324497000000001</v>
      </c>
      <c r="I1063" s="53">
        <v>31.852684</v>
      </c>
      <c r="J1063" s="53">
        <v>32.102424999999997</v>
      </c>
      <c r="K1063" s="53">
        <v>32.273372999999999</v>
      </c>
      <c r="L1063" s="53">
        <v>32.567596000000002</v>
      </c>
      <c r="M1063" s="53">
        <v>33.037804000000001</v>
      </c>
      <c r="N1063" s="53">
        <v>33.395180000000003</v>
      </c>
      <c r="O1063" s="53">
        <v>33.832912</v>
      </c>
      <c r="P1063" s="53">
        <v>34.178043000000002</v>
      </c>
      <c r="Q1063" s="53">
        <v>34.439518</v>
      </c>
      <c r="R1063" s="53">
        <v>34.734482</v>
      </c>
      <c r="S1063" s="53">
        <v>34.963833000000001</v>
      </c>
      <c r="T1063" s="53">
        <v>35.286296999999998</v>
      </c>
      <c r="U1063" s="53">
        <v>35.670299999999997</v>
      </c>
      <c r="V1063" s="53">
        <v>35.946083000000002</v>
      </c>
      <c r="W1063" s="53">
        <v>36.212615999999997</v>
      </c>
      <c r="X1063" s="53">
        <v>36.516209000000003</v>
      </c>
      <c r="Y1063" s="53">
        <v>36.739719000000001</v>
      </c>
      <c r="Z1063" s="53">
        <v>36.948650000000001</v>
      </c>
      <c r="AA1063" s="53">
        <v>37.263393000000001</v>
      </c>
      <c r="AB1063" s="53">
        <v>37.637272000000003</v>
      </c>
      <c r="AC1063" s="53">
        <v>37.817611999999997</v>
      </c>
      <c r="AD1063" s="53">
        <v>38.087696000000001</v>
      </c>
      <c r="AE1063" s="53">
        <v>38.606197000000002</v>
      </c>
      <c r="AF1063" s="35">
        <v>7.9349999999999993E-3</v>
      </c>
      <c r="AG1063" s="29"/>
    </row>
    <row r="1064" spans="1:33" ht="15" customHeight="1">
      <c r="A1064" s="34" t="s">
        <v>3728</v>
      </c>
      <c r="B1064" s="37" t="s">
        <v>1469</v>
      </c>
      <c r="C1064" s="53">
        <v>8.6881950000000003</v>
      </c>
      <c r="D1064" s="53">
        <v>8.6849080000000001</v>
      </c>
      <c r="E1064" s="53">
        <v>8.8649520000000006</v>
      </c>
      <c r="F1064" s="53">
        <v>9.1840279999999996</v>
      </c>
      <c r="G1064" s="53">
        <v>9.5736919999999994</v>
      </c>
      <c r="H1064" s="53">
        <v>9.9045640000000006</v>
      </c>
      <c r="I1064" s="53">
        <v>10.150907999999999</v>
      </c>
      <c r="J1064" s="53">
        <v>10.353545</v>
      </c>
      <c r="K1064" s="53">
        <v>10.529638</v>
      </c>
      <c r="L1064" s="53">
        <v>10.745061</v>
      </c>
      <c r="M1064" s="53">
        <v>11.016126</v>
      </c>
      <c r="N1064" s="53">
        <v>11.246988</v>
      </c>
      <c r="O1064" s="53">
        <v>11.503491</v>
      </c>
      <c r="P1064" s="53">
        <v>11.754391999999999</v>
      </c>
      <c r="Q1064" s="53">
        <v>11.940894</v>
      </c>
      <c r="R1064" s="53">
        <v>12.117569</v>
      </c>
      <c r="S1064" s="53">
        <v>12.285726</v>
      </c>
      <c r="T1064" s="53">
        <v>12.362450000000001</v>
      </c>
      <c r="U1064" s="53">
        <v>12.465432</v>
      </c>
      <c r="V1064" s="53">
        <v>12.614452999999999</v>
      </c>
      <c r="W1064" s="53">
        <v>12.691117</v>
      </c>
      <c r="X1064" s="53">
        <v>12.699889000000001</v>
      </c>
      <c r="Y1064" s="53">
        <v>12.663918000000001</v>
      </c>
      <c r="Z1064" s="53">
        <v>12.611893999999999</v>
      </c>
      <c r="AA1064" s="53">
        <v>12.62238</v>
      </c>
      <c r="AB1064" s="53">
        <v>12.68927</v>
      </c>
      <c r="AC1064" s="53">
        <v>12.687170999999999</v>
      </c>
      <c r="AD1064" s="53">
        <v>12.707706999999999</v>
      </c>
      <c r="AE1064" s="53">
        <v>12.810741</v>
      </c>
      <c r="AF1064" s="35">
        <v>1.3965E-2</v>
      </c>
      <c r="AG1064" s="29"/>
    </row>
    <row r="1065" spans="1:33" ht="12" customHeight="1">
      <c r="A1065" s="34" t="s">
        <v>3729</v>
      </c>
      <c r="B1065" s="37" t="s">
        <v>2727</v>
      </c>
      <c r="C1065" s="53">
        <v>49.140861999999998</v>
      </c>
      <c r="D1065" s="53">
        <v>46.205298999999997</v>
      </c>
      <c r="E1065" s="53">
        <v>46.112068000000001</v>
      </c>
      <c r="F1065" s="53">
        <v>46.235278999999998</v>
      </c>
      <c r="G1065" s="53">
        <v>46.694752000000001</v>
      </c>
      <c r="H1065" s="53">
        <v>47.374240999999998</v>
      </c>
      <c r="I1065" s="53">
        <v>48.027672000000003</v>
      </c>
      <c r="J1065" s="53">
        <v>48.512039000000001</v>
      </c>
      <c r="K1065" s="53">
        <v>48.784255999999999</v>
      </c>
      <c r="L1065" s="53">
        <v>49.157940000000004</v>
      </c>
      <c r="M1065" s="53">
        <v>49.685290999999999</v>
      </c>
      <c r="N1065" s="53">
        <v>50.269764000000002</v>
      </c>
      <c r="O1065" s="53">
        <v>50.862594999999999</v>
      </c>
      <c r="P1065" s="53">
        <v>51.436996000000001</v>
      </c>
      <c r="Q1065" s="53">
        <v>52.050373</v>
      </c>
      <c r="R1065" s="53">
        <v>52.662295999999998</v>
      </c>
      <c r="S1065" s="53">
        <v>53.358887000000003</v>
      </c>
      <c r="T1065" s="53">
        <v>54.044818999999997</v>
      </c>
      <c r="U1065" s="53">
        <v>54.769790999999998</v>
      </c>
      <c r="V1065" s="53">
        <v>55.589275000000001</v>
      </c>
      <c r="W1065" s="53">
        <v>56.515262999999997</v>
      </c>
      <c r="X1065" s="53">
        <v>57.482425999999997</v>
      </c>
      <c r="Y1065" s="53">
        <v>58.494861999999998</v>
      </c>
      <c r="Z1065" s="53">
        <v>59.268287999999998</v>
      </c>
      <c r="AA1065" s="53">
        <v>60.041091999999999</v>
      </c>
      <c r="AB1065" s="53">
        <v>60.829067000000002</v>
      </c>
      <c r="AC1065" s="53">
        <v>61.578552000000002</v>
      </c>
      <c r="AD1065" s="53">
        <v>62.224376999999997</v>
      </c>
      <c r="AE1065" s="53">
        <v>63.095416999999998</v>
      </c>
      <c r="AF1065" s="35">
        <v>8.9669999999999993E-3</v>
      </c>
      <c r="AG1065" s="29"/>
    </row>
    <row r="1066" spans="1:33" ht="15" customHeight="1">
      <c r="A1066" s="34" t="s">
        <v>3730</v>
      </c>
      <c r="B1066" s="37" t="s">
        <v>2729</v>
      </c>
      <c r="C1066" s="53">
        <v>357.976135</v>
      </c>
      <c r="D1066" s="53">
        <v>389.16641199999998</v>
      </c>
      <c r="E1066" s="53">
        <v>387.73461900000001</v>
      </c>
      <c r="F1066" s="53">
        <v>387.331818</v>
      </c>
      <c r="G1066" s="53">
        <v>386.65026899999998</v>
      </c>
      <c r="H1066" s="53">
        <v>386.35552999999999</v>
      </c>
      <c r="I1066" s="53">
        <v>386.35659800000002</v>
      </c>
      <c r="J1066" s="53">
        <v>385.989868</v>
      </c>
      <c r="K1066" s="53">
        <v>384.57928500000003</v>
      </c>
      <c r="L1066" s="53">
        <v>383.23602299999999</v>
      </c>
      <c r="M1066" s="53">
        <v>383.27533</v>
      </c>
      <c r="N1066" s="53">
        <v>383.15200800000002</v>
      </c>
      <c r="O1066" s="53">
        <v>383.43490600000001</v>
      </c>
      <c r="P1066" s="53">
        <v>383.215576</v>
      </c>
      <c r="Q1066" s="53">
        <v>382.97384599999998</v>
      </c>
      <c r="R1066" s="53">
        <v>383.27233899999999</v>
      </c>
      <c r="S1066" s="53">
        <v>384.16720600000002</v>
      </c>
      <c r="T1066" s="53">
        <v>385.465485</v>
      </c>
      <c r="U1066" s="53">
        <v>387.42440800000003</v>
      </c>
      <c r="V1066" s="53">
        <v>389.42630000000003</v>
      </c>
      <c r="W1066" s="53">
        <v>391.591339</v>
      </c>
      <c r="X1066" s="53">
        <v>393.89013699999998</v>
      </c>
      <c r="Y1066" s="53">
        <v>396.39193699999998</v>
      </c>
      <c r="Z1066" s="53">
        <v>398.58520499999997</v>
      </c>
      <c r="AA1066" s="53">
        <v>401.82110599999999</v>
      </c>
      <c r="AB1066" s="53">
        <v>405.25347900000003</v>
      </c>
      <c r="AC1066" s="53">
        <v>407.71426400000001</v>
      </c>
      <c r="AD1066" s="53">
        <v>411.06579599999998</v>
      </c>
      <c r="AE1066" s="53">
        <v>416.26583900000003</v>
      </c>
      <c r="AF1066" s="35">
        <v>5.4019999999999997E-3</v>
      </c>
      <c r="AG1066" s="29"/>
    </row>
    <row r="1067" spans="1:33" ht="15" customHeight="1">
      <c r="A1067" s="34" t="s">
        <v>3731</v>
      </c>
      <c r="B1067" s="37" t="s">
        <v>2731</v>
      </c>
      <c r="C1067" s="53">
        <v>348.59097300000002</v>
      </c>
      <c r="D1067" s="53">
        <v>379.19799799999998</v>
      </c>
      <c r="E1067" s="53">
        <v>377.352417</v>
      </c>
      <c r="F1067" s="53">
        <v>376.95352200000002</v>
      </c>
      <c r="G1067" s="53">
        <v>376.34042399999998</v>
      </c>
      <c r="H1067" s="53">
        <v>376.046967</v>
      </c>
      <c r="I1067" s="53">
        <v>376.05963100000002</v>
      </c>
      <c r="J1067" s="53">
        <v>375.71725500000002</v>
      </c>
      <c r="K1067" s="53">
        <v>374.31921399999999</v>
      </c>
      <c r="L1067" s="53">
        <v>372.981964</v>
      </c>
      <c r="M1067" s="53">
        <v>373.07336400000003</v>
      </c>
      <c r="N1067" s="53">
        <v>372.95288099999999</v>
      </c>
      <c r="O1067" s="53">
        <v>373.28628500000002</v>
      </c>
      <c r="P1067" s="53">
        <v>373.07955900000002</v>
      </c>
      <c r="Q1067" s="53">
        <v>372.88696299999998</v>
      </c>
      <c r="R1067" s="53">
        <v>373.20199600000001</v>
      </c>
      <c r="S1067" s="53">
        <v>374.20550500000002</v>
      </c>
      <c r="T1067" s="53">
        <v>375.53747600000003</v>
      </c>
      <c r="U1067" s="53">
        <v>377.44467200000003</v>
      </c>
      <c r="V1067" s="53">
        <v>379.42062399999998</v>
      </c>
      <c r="W1067" s="53">
        <v>381.59884599999998</v>
      </c>
      <c r="X1067" s="53">
        <v>383.90216099999998</v>
      </c>
      <c r="Y1067" s="53">
        <v>386.40319799999997</v>
      </c>
      <c r="Z1067" s="53">
        <v>388.59689300000002</v>
      </c>
      <c r="AA1067" s="53">
        <v>391.80499300000002</v>
      </c>
      <c r="AB1067" s="53">
        <v>395.216339</v>
      </c>
      <c r="AC1067" s="53">
        <v>397.711792</v>
      </c>
      <c r="AD1067" s="53">
        <v>401.04177900000002</v>
      </c>
      <c r="AE1067" s="53">
        <v>406.176422</v>
      </c>
      <c r="AF1067" s="35">
        <v>5.4749999999999998E-3</v>
      </c>
      <c r="AG1067" s="29"/>
    </row>
    <row r="1068" spans="1:33" ht="15" customHeight="1">
      <c r="A1068" s="34" t="s">
        <v>3732</v>
      </c>
      <c r="B1068" s="37" t="s">
        <v>2733</v>
      </c>
      <c r="C1068" s="53">
        <v>9.3851560000000003</v>
      </c>
      <c r="D1068" s="53">
        <v>9.9684109999999997</v>
      </c>
      <c r="E1068" s="53">
        <v>10.382199</v>
      </c>
      <c r="F1068" s="53">
        <v>10.378297999999999</v>
      </c>
      <c r="G1068" s="53">
        <v>10.309837999999999</v>
      </c>
      <c r="H1068" s="53">
        <v>10.308578000000001</v>
      </c>
      <c r="I1068" s="53">
        <v>10.296953</v>
      </c>
      <c r="J1068" s="53">
        <v>10.272629</v>
      </c>
      <c r="K1068" s="53">
        <v>10.260064</v>
      </c>
      <c r="L1068" s="53">
        <v>10.254054999999999</v>
      </c>
      <c r="M1068" s="53">
        <v>10.201976999999999</v>
      </c>
      <c r="N1068" s="53">
        <v>10.199135999999999</v>
      </c>
      <c r="O1068" s="53">
        <v>10.148626999999999</v>
      </c>
      <c r="P1068" s="53">
        <v>10.136011999999999</v>
      </c>
      <c r="Q1068" s="53">
        <v>10.086871</v>
      </c>
      <c r="R1068" s="53">
        <v>10.070335</v>
      </c>
      <c r="S1068" s="53">
        <v>9.9617000000000004</v>
      </c>
      <c r="T1068" s="53">
        <v>9.9280059999999999</v>
      </c>
      <c r="U1068" s="53">
        <v>9.9797379999999993</v>
      </c>
      <c r="V1068" s="53">
        <v>10.005682</v>
      </c>
      <c r="W1068" s="53">
        <v>9.9924890000000008</v>
      </c>
      <c r="X1068" s="53">
        <v>9.9879899999999999</v>
      </c>
      <c r="Y1068" s="53">
        <v>9.9887409999999992</v>
      </c>
      <c r="Z1068" s="53">
        <v>9.9883009999999999</v>
      </c>
      <c r="AA1068" s="53">
        <v>10.016101000000001</v>
      </c>
      <c r="AB1068" s="53">
        <v>10.037136</v>
      </c>
      <c r="AC1068" s="53">
        <v>10.002471999999999</v>
      </c>
      <c r="AD1068" s="53">
        <v>10.02402</v>
      </c>
      <c r="AE1068" s="53">
        <v>10.089411</v>
      </c>
      <c r="AF1068" s="35">
        <v>2.588E-3</v>
      </c>
      <c r="AG1068" s="29"/>
    </row>
    <row r="1069" spans="1:33" ht="15" customHeight="1">
      <c r="A1069" s="34" t="s">
        <v>3733</v>
      </c>
      <c r="B1069" s="37" t="s">
        <v>2735</v>
      </c>
      <c r="C1069" s="53">
        <v>25.332253999999999</v>
      </c>
      <c r="D1069" s="53">
        <v>24.829332000000001</v>
      </c>
      <c r="E1069" s="53">
        <v>24.633804000000001</v>
      </c>
      <c r="F1069" s="53">
        <v>25.005742999999999</v>
      </c>
      <c r="G1069" s="53">
        <v>25.686841999999999</v>
      </c>
      <c r="H1069" s="53">
        <v>26.313185000000001</v>
      </c>
      <c r="I1069" s="53">
        <v>26.840038</v>
      </c>
      <c r="J1069" s="53">
        <v>27.335291000000002</v>
      </c>
      <c r="K1069" s="53">
        <v>27.762378999999999</v>
      </c>
      <c r="L1069" s="53">
        <v>28.287583999999999</v>
      </c>
      <c r="M1069" s="53">
        <v>28.950233000000001</v>
      </c>
      <c r="N1069" s="53">
        <v>29.550245</v>
      </c>
      <c r="O1069" s="53">
        <v>30.127911000000001</v>
      </c>
      <c r="P1069" s="53">
        <v>30.767941</v>
      </c>
      <c r="Q1069" s="53">
        <v>31.330069999999999</v>
      </c>
      <c r="R1069" s="53">
        <v>31.900043</v>
      </c>
      <c r="S1069" s="53">
        <v>32.517302999999998</v>
      </c>
      <c r="T1069" s="53">
        <v>33.077663000000001</v>
      </c>
      <c r="U1069" s="53">
        <v>33.658669000000003</v>
      </c>
      <c r="V1069" s="53">
        <v>34.324142000000002</v>
      </c>
      <c r="W1069" s="53">
        <v>34.962584999999997</v>
      </c>
      <c r="X1069" s="53">
        <v>35.660834999999999</v>
      </c>
      <c r="Y1069" s="53">
        <v>36.281120000000001</v>
      </c>
      <c r="Z1069" s="53">
        <v>36.860233000000001</v>
      </c>
      <c r="AA1069" s="53">
        <v>37.501122000000002</v>
      </c>
      <c r="AB1069" s="53">
        <v>38.175784999999998</v>
      </c>
      <c r="AC1069" s="53">
        <v>38.777701999999998</v>
      </c>
      <c r="AD1069" s="53">
        <v>39.403480999999999</v>
      </c>
      <c r="AE1069" s="53">
        <v>40.288170000000001</v>
      </c>
      <c r="AF1069" s="35">
        <v>1.6709000000000002E-2</v>
      </c>
      <c r="AG1069" s="29"/>
    </row>
    <row r="1070" spans="1:33" ht="15" customHeight="1">
      <c r="A1070" s="34" t="s">
        <v>3734</v>
      </c>
      <c r="B1070" s="37" t="s">
        <v>1479</v>
      </c>
      <c r="C1070" s="53">
        <v>18.688980000000001</v>
      </c>
      <c r="D1070" s="53">
        <v>17.972556999999998</v>
      </c>
      <c r="E1070" s="53">
        <v>17.894928</v>
      </c>
      <c r="F1070" s="53">
        <v>18.303621</v>
      </c>
      <c r="G1070" s="53">
        <v>18.844238000000001</v>
      </c>
      <c r="H1070" s="53">
        <v>19.297905</v>
      </c>
      <c r="I1070" s="53">
        <v>19.690659</v>
      </c>
      <c r="J1070" s="53">
        <v>20.044231</v>
      </c>
      <c r="K1070" s="53">
        <v>20.352505000000001</v>
      </c>
      <c r="L1070" s="53">
        <v>20.692093</v>
      </c>
      <c r="M1070" s="53">
        <v>21.015063999999999</v>
      </c>
      <c r="N1070" s="53">
        <v>21.350746000000001</v>
      </c>
      <c r="O1070" s="53">
        <v>21.638618000000001</v>
      </c>
      <c r="P1070" s="53">
        <v>22.024687</v>
      </c>
      <c r="Q1070" s="53">
        <v>22.367273000000001</v>
      </c>
      <c r="R1070" s="53">
        <v>22.780795999999999</v>
      </c>
      <c r="S1070" s="53">
        <v>23.187372</v>
      </c>
      <c r="T1070" s="53">
        <v>23.570055</v>
      </c>
      <c r="U1070" s="53">
        <v>23.994778</v>
      </c>
      <c r="V1070" s="53">
        <v>24.437740000000002</v>
      </c>
      <c r="W1070" s="53">
        <v>24.800460999999999</v>
      </c>
      <c r="X1070" s="53">
        <v>25.031783999999998</v>
      </c>
      <c r="Y1070" s="53">
        <v>25.404641999999999</v>
      </c>
      <c r="Z1070" s="53">
        <v>25.841431</v>
      </c>
      <c r="AA1070" s="53">
        <v>26.232755999999998</v>
      </c>
      <c r="AB1070" s="53">
        <v>26.642185000000001</v>
      </c>
      <c r="AC1070" s="53">
        <v>26.997171000000002</v>
      </c>
      <c r="AD1070" s="53">
        <v>27.339168999999998</v>
      </c>
      <c r="AE1070" s="53">
        <v>27.725622000000001</v>
      </c>
      <c r="AF1070" s="35">
        <v>1.4186000000000001E-2</v>
      </c>
      <c r="AG1070" s="29"/>
    </row>
    <row r="1071" spans="1:33" ht="15" customHeight="1">
      <c r="A1071" s="34" t="s">
        <v>3735</v>
      </c>
      <c r="B1071" s="37" t="s">
        <v>1477</v>
      </c>
      <c r="C1071" s="53">
        <v>1.6955420000000001</v>
      </c>
      <c r="D1071" s="53">
        <v>1.571817</v>
      </c>
      <c r="E1071" s="53">
        <v>1.5315540000000001</v>
      </c>
      <c r="F1071" s="53">
        <v>1.514969</v>
      </c>
      <c r="G1071" s="53">
        <v>1.5428090000000001</v>
      </c>
      <c r="H1071" s="53">
        <v>1.550942</v>
      </c>
      <c r="I1071" s="53">
        <v>1.5569599999999999</v>
      </c>
      <c r="J1071" s="53">
        <v>1.5584249999999999</v>
      </c>
      <c r="K1071" s="53">
        <v>1.5509630000000001</v>
      </c>
      <c r="L1071" s="53">
        <v>1.558044</v>
      </c>
      <c r="M1071" s="53">
        <v>1.5561069999999999</v>
      </c>
      <c r="N1071" s="53">
        <v>1.5648839999999999</v>
      </c>
      <c r="O1071" s="53">
        <v>1.5776539999999999</v>
      </c>
      <c r="P1071" s="53">
        <v>1.5900879999999999</v>
      </c>
      <c r="Q1071" s="53">
        <v>1.5980099999999999</v>
      </c>
      <c r="R1071" s="53">
        <v>1.603089</v>
      </c>
      <c r="S1071" s="53">
        <v>1.616236</v>
      </c>
      <c r="T1071" s="53">
        <v>1.6366620000000001</v>
      </c>
      <c r="U1071" s="53">
        <v>1.653999</v>
      </c>
      <c r="V1071" s="53">
        <v>1.663019</v>
      </c>
      <c r="W1071" s="53">
        <v>1.678674</v>
      </c>
      <c r="X1071" s="53">
        <v>1.6799379999999999</v>
      </c>
      <c r="Y1071" s="53">
        <v>1.686142</v>
      </c>
      <c r="Z1071" s="53">
        <v>1.695862</v>
      </c>
      <c r="AA1071" s="53">
        <v>1.7129669999999999</v>
      </c>
      <c r="AB1071" s="53">
        <v>1.719201</v>
      </c>
      <c r="AC1071" s="53">
        <v>1.7155050000000001</v>
      </c>
      <c r="AD1071" s="53">
        <v>1.7185299999999999</v>
      </c>
      <c r="AE1071" s="53">
        <v>1.726721</v>
      </c>
      <c r="AF1071" s="35">
        <v>6.5099999999999999E-4</v>
      </c>
      <c r="AG1071" s="29"/>
    </row>
    <row r="1072" spans="1:33" ht="15" customHeight="1">
      <c r="A1072" s="34" t="s">
        <v>3736</v>
      </c>
      <c r="B1072" s="37" t="s">
        <v>1465</v>
      </c>
      <c r="C1072" s="53">
        <v>3.6689219999999998</v>
      </c>
      <c r="D1072" s="53">
        <v>3.5259819999999999</v>
      </c>
      <c r="E1072" s="53">
        <v>3.5038290000000001</v>
      </c>
      <c r="F1072" s="53">
        <v>3.5842710000000002</v>
      </c>
      <c r="G1072" s="53">
        <v>3.665006</v>
      </c>
      <c r="H1072" s="53">
        <v>3.7267130000000002</v>
      </c>
      <c r="I1072" s="53">
        <v>3.7855110000000001</v>
      </c>
      <c r="J1072" s="53">
        <v>3.8488380000000002</v>
      </c>
      <c r="K1072" s="53">
        <v>3.9254880000000001</v>
      </c>
      <c r="L1072" s="53">
        <v>3.9939849999999999</v>
      </c>
      <c r="M1072" s="53">
        <v>4.047174</v>
      </c>
      <c r="N1072" s="53">
        <v>4.0871180000000003</v>
      </c>
      <c r="O1072" s="53">
        <v>4.1346509999999999</v>
      </c>
      <c r="P1072" s="53">
        <v>4.2179209999999996</v>
      </c>
      <c r="Q1072" s="53">
        <v>4.2921379999999996</v>
      </c>
      <c r="R1072" s="53">
        <v>4.3705129999999999</v>
      </c>
      <c r="S1072" s="53">
        <v>4.4312300000000002</v>
      </c>
      <c r="T1072" s="53">
        <v>4.4930370000000002</v>
      </c>
      <c r="U1072" s="53">
        <v>4.5703040000000001</v>
      </c>
      <c r="V1072" s="53">
        <v>4.6532749999999998</v>
      </c>
      <c r="W1072" s="53">
        <v>4.7228089999999998</v>
      </c>
      <c r="X1072" s="53">
        <v>4.7724770000000003</v>
      </c>
      <c r="Y1072" s="53">
        <v>4.8540669999999997</v>
      </c>
      <c r="Z1072" s="53">
        <v>4.9431370000000001</v>
      </c>
      <c r="AA1072" s="53">
        <v>5.0218100000000003</v>
      </c>
      <c r="AB1072" s="53">
        <v>5.1019189999999996</v>
      </c>
      <c r="AC1072" s="53">
        <v>5.1699549999999999</v>
      </c>
      <c r="AD1072" s="53">
        <v>5.2346709999999996</v>
      </c>
      <c r="AE1072" s="53">
        <v>5.3101690000000001</v>
      </c>
      <c r="AF1072" s="35">
        <v>1.3292E-2</v>
      </c>
      <c r="AG1072" s="29"/>
    </row>
    <row r="1073" spans="1:33" ht="15" customHeight="1">
      <c r="A1073" s="34" t="s">
        <v>3737</v>
      </c>
      <c r="B1073" s="37" t="s">
        <v>2740</v>
      </c>
      <c r="C1073" s="53">
        <v>13.324515</v>
      </c>
      <c r="D1073" s="53">
        <v>12.874758</v>
      </c>
      <c r="E1073" s="53">
        <v>12.859545000000001</v>
      </c>
      <c r="F1073" s="53">
        <v>13.204381</v>
      </c>
      <c r="G1073" s="53">
        <v>13.636422</v>
      </c>
      <c r="H1073" s="53">
        <v>14.020249</v>
      </c>
      <c r="I1073" s="53">
        <v>14.348189</v>
      </c>
      <c r="J1073" s="53">
        <v>14.63697</v>
      </c>
      <c r="K1073" s="53">
        <v>14.876054</v>
      </c>
      <c r="L1073" s="53">
        <v>15.140065</v>
      </c>
      <c r="M1073" s="53">
        <v>15.411783</v>
      </c>
      <c r="N1073" s="53">
        <v>15.698743</v>
      </c>
      <c r="O1073" s="53">
        <v>15.926311999999999</v>
      </c>
      <c r="P1073" s="53">
        <v>16.216678999999999</v>
      </c>
      <c r="Q1073" s="53">
        <v>16.477125000000001</v>
      </c>
      <c r="R1073" s="53">
        <v>16.807193999999999</v>
      </c>
      <c r="S1073" s="53">
        <v>17.139906</v>
      </c>
      <c r="T1073" s="53">
        <v>17.440355</v>
      </c>
      <c r="U1073" s="53">
        <v>17.770475000000001</v>
      </c>
      <c r="V1073" s="53">
        <v>18.121447</v>
      </c>
      <c r="W1073" s="53">
        <v>18.398979000000001</v>
      </c>
      <c r="X1073" s="53">
        <v>18.579369</v>
      </c>
      <c r="Y1073" s="53">
        <v>18.864432999999998</v>
      </c>
      <c r="Z1073" s="53">
        <v>19.202432999999999</v>
      </c>
      <c r="AA1073" s="53">
        <v>19.497978</v>
      </c>
      <c r="AB1073" s="53">
        <v>19.821065999999998</v>
      </c>
      <c r="AC1073" s="53">
        <v>20.111712000000001</v>
      </c>
      <c r="AD1073" s="53">
        <v>20.385967000000001</v>
      </c>
      <c r="AE1073" s="53">
        <v>20.688732000000002</v>
      </c>
      <c r="AF1073" s="35">
        <v>1.5838000000000001E-2</v>
      </c>
      <c r="AG1073" s="29"/>
    </row>
    <row r="1074" spans="1:33" ht="15" customHeight="1">
      <c r="A1074" s="34" t="s">
        <v>3738</v>
      </c>
      <c r="B1074" s="37" t="s">
        <v>2742</v>
      </c>
      <c r="C1074" s="53">
        <v>25.720367</v>
      </c>
      <c r="D1074" s="53">
        <v>25.545905999999999</v>
      </c>
      <c r="E1074" s="53">
        <v>25.547699000000001</v>
      </c>
      <c r="F1074" s="53">
        <v>26.413451999999999</v>
      </c>
      <c r="G1074" s="53">
        <v>27.766960000000001</v>
      </c>
      <c r="H1074" s="53">
        <v>28.588663</v>
      </c>
      <c r="I1074" s="53">
        <v>29.016269999999999</v>
      </c>
      <c r="J1074" s="53">
        <v>29.349968000000001</v>
      </c>
      <c r="K1074" s="53">
        <v>29.450668</v>
      </c>
      <c r="L1074" s="53">
        <v>29.574451</v>
      </c>
      <c r="M1074" s="53">
        <v>29.976555000000001</v>
      </c>
      <c r="N1074" s="53">
        <v>30.068840000000002</v>
      </c>
      <c r="O1074" s="53">
        <v>30.260151</v>
      </c>
      <c r="P1074" s="53">
        <v>30.554732999999999</v>
      </c>
      <c r="Q1074" s="53">
        <v>30.826523000000002</v>
      </c>
      <c r="R1074" s="53">
        <v>31.309193</v>
      </c>
      <c r="S1074" s="53">
        <v>31.727812</v>
      </c>
      <c r="T1074" s="53">
        <v>32.058143999999999</v>
      </c>
      <c r="U1074" s="53">
        <v>32.429749000000001</v>
      </c>
      <c r="V1074" s="53">
        <v>32.870894999999997</v>
      </c>
      <c r="W1074" s="53">
        <v>33.316459999999999</v>
      </c>
      <c r="X1074" s="53">
        <v>33.657584999999997</v>
      </c>
      <c r="Y1074" s="53">
        <v>33.952446000000002</v>
      </c>
      <c r="Z1074" s="53">
        <v>34.222092000000004</v>
      </c>
      <c r="AA1074" s="53">
        <v>34.574043000000003</v>
      </c>
      <c r="AB1074" s="53">
        <v>34.968921999999999</v>
      </c>
      <c r="AC1074" s="53">
        <v>35.256011999999998</v>
      </c>
      <c r="AD1074" s="53">
        <v>35.566401999999997</v>
      </c>
      <c r="AE1074" s="53">
        <v>36.085323000000002</v>
      </c>
      <c r="AF1074" s="35">
        <v>1.2166E-2</v>
      </c>
      <c r="AG1074" s="29"/>
    </row>
    <row r="1075" spans="1:33" ht="15" customHeight="1">
      <c r="A1075" s="34" t="s">
        <v>3739</v>
      </c>
      <c r="B1075" s="37" t="s">
        <v>1464</v>
      </c>
      <c r="C1075" s="53">
        <v>17.731238999999999</v>
      </c>
      <c r="D1075" s="53">
        <v>17.541298000000001</v>
      </c>
      <c r="E1075" s="53">
        <v>17.375074000000001</v>
      </c>
      <c r="F1075" s="53">
        <v>17.902304000000001</v>
      </c>
      <c r="G1075" s="53">
        <v>18.890991</v>
      </c>
      <c r="H1075" s="53">
        <v>19.458195</v>
      </c>
      <c r="I1075" s="53">
        <v>19.698492000000002</v>
      </c>
      <c r="J1075" s="53">
        <v>19.893578999999999</v>
      </c>
      <c r="K1075" s="53">
        <v>19.901637999999998</v>
      </c>
      <c r="L1075" s="53">
        <v>19.934491999999999</v>
      </c>
      <c r="M1075" s="53">
        <v>20.250896000000001</v>
      </c>
      <c r="N1075" s="53">
        <v>20.246717</v>
      </c>
      <c r="O1075" s="53">
        <v>20.298653000000002</v>
      </c>
      <c r="P1075" s="53">
        <v>20.439001000000001</v>
      </c>
      <c r="Q1075" s="53">
        <v>20.574753000000001</v>
      </c>
      <c r="R1075" s="53">
        <v>20.874891000000002</v>
      </c>
      <c r="S1075" s="53">
        <v>21.110250000000001</v>
      </c>
      <c r="T1075" s="53">
        <v>21.243390999999999</v>
      </c>
      <c r="U1075" s="53">
        <v>21.386610000000001</v>
      </c>
      <c r="V1075" s="53">
        <v>21.599126999999999</v>
      </c>
      <c r="W1075" s="53">
        <v>21.843257999999999</v>
      </c>
      <c r="X1075" s="53">
        <v>21.983736</v>
      </c>
      <c r="Y1075" s="53">
        <v>22.059107000000001</v>
      </c>
      <c r="Z1075" s="53">
        <v>22.082684</v>
      </c>
      <c r="AA1075" s="53">
        <v>22.186615</v>
      </c>
      <c r="AB1075" s="53">
        <v>22.355042000000001</v>
      </c>
      <c r="AC1075" s="53">
        <v>22.439318</v>
      </c>
      <c r="AD1075" s="53">
        <v>22.538851000000001</v>
      </c>
      <c r="AE1075" s="53">
        <v>22.835986999999999</v>
      </c>
      <c r="AF1075" s="35">
        <v>9.077E-3</v>
      </c>
      <c r="AG1075" s="29"/>
    </row>
    <row r="1076" spans="1:33" ht="15" customHeight="1">
      <c r="A1076" s="34" t="s">
        <v>3740</v>
      </c>
      <c r="B1076" s="37" t="s">
        <v>1482</v>
      </c>
      <c r="C1076" s="53">
        <v>1.9417990000000001</v>
      </c>
      <c r="D1076" s="53">
        <v>1.8835519999999999</v>
      </c>
      <c r="E1076" s="53">
        <v>1.85934</v>
      </c>
      <c r="F1076" s="53">
        <v>1.88374</v>
      </c>
      <c r="G1076" s="53">
        <v>1.912949</v>
      </c>
      <c r="H1076" s="53">
        <v>1.928315</v>
      </c>
      <c r="I1076" s="53">
        <v>1.91639</v>
      </c>
      <c r="J1076" s="53">
        <v>1.9079330000000001</v>
      </c>
      <c r="K1076" s="53">
        <v>1.885175</v>
      </c>
      <c r="L1076" s="53">
        <v>1.8585050000000001</v>
      </c>
      <c r="M1076" s="53">
        <v>1.8426959999999999</v>
      </c>
      <c r="N1076" s="53">
        <v>1.820619</v>
      </c>
      <c r="O1076" s="53">
        <v>1.82172</v>
      </c>
      <c r="P1076" s="53">
        <v>1.821097</v>
      </c>
      <c r="Q1076" s="53">
        <v>1.811447</v>
      </c>
      <c r="R1076" s="53">
        <v>1.8072239999999999</v>
      </c>
      <c r="S1076" s="53">
        <v>1.8131090000000001</v>
      </c>
      <c r="T1076" s="53">
        <v>1.8216939999999999</v>
      </c>
      <c r="U1076" s="53">
        <v>1.804662</v>
      </c>
      <c r="V1076" s="53">
        <v>1.7967059999999999</v>
      </c>
      <c r="W1076" s="53">
        <v>1.802343</v>
      </c>
      <c r="X1076" s="53">
        <v>1.800341</v>
      </c>
      <c r="Y1076" s="53">
        <v>1.791728</v>
      </c>
      <c r="Z1076" s="53">
        <v>1.793339</v>
      </c>
      <c r="AA1076" s="53">
        <v>1.797833</v>
      </c>
      <c r="AB1076" s="53">
        <v>1.7963359999999999</v>
      </c>
      <c r="AC1076" s="53">
        <v>1.780864</v>
      </c>
      <c r="AD1076" s="53">
        <v>1.771544</v>
      </c>
      <c r="AE1076" s="53">
        <v>1.7751380000000001</v>
      </c>
      <c r="AF1076" s="35">
        <v>-3.2000000000000002E-3</v>
      </c>
      <c r="AG1076" s="29"/>
    </row>
    <row r="1077" spans="1:33" ht="15" customHeight="1">
      <c r="A1077" s="34" t="s">
        <v>3741</v>
      </c>
      <c r="B1077" s="37" t="s">
        <v>1486</v>
      </c>
      <c r="C1077" s="53">
        <v>6.0473299999999997</v>
      </c>
      <c r="D1077" s="53">
        <v>6.1210550000000001</v>
      </c>
      <c r="E1077" s="53">
        <v>6.3132840000000003</v>
      </c>
      <c r="F1077" s="53">
        <v>6.6274090000000001</v>
      </c>
      <c r="G1077" s="53">
        <v>6.9630190000000001</v>
      </c>
      <c r="H1077" s="53">
        <v>7.2021540000000002</v>
      </c>
      <c r="I1077" s="53">
        <v>7.401389</v>
      </c>
      <c r="J1077" s="53">
        <v>7.5484549999999997</v>
      </c>
      <c r="K1077" s="53">
        <v>7.6638570000000001</v>
      </c>
      <c r="L1077" s="53">
        <v>7.7814540000000001</v>
      </c>
      <c r="M1077" s="53">
        <v>7.8829640000000003</v>
      </c>
      <c r="N1077" s="53">
        <v>8.0015040000000006</v>
      </c>
      <c r="O1077" s="53">
        <v>8.1397779999999997</v>
      </c>
      <c r="P1077" s="53">
        <v>8.2946349999999995</v>
      </c>
      <c r="Q1077" s="53">
        <v>8.4403229999999994</v>
      </c>
      <c r="R1077" s="53">
        <v>8.6270779999999991</v>
      </c>
      <c r="S1077" s="53">
        <v>8.8044530000000005</v>
      </c>
      <c r="T1077" s="53">
        <v>8.9930610000000009</v>
      </c>
      <c r="U1077" s="53">
        <v>9.2384780000000006</v>
      </c>
      <c r="V1077" s="53">
        <v>9.4750639999999997</v>
      </c>
      <c r="W1077" s="53">
        <v>9.6708590000000001</v>
      </c>
      <c r="X1077" s="53">
        <v>9.8735090000000003</v>
      </c>
      <c r="Y1077" s="53">
        <v>10.101611999999999</v>
      </c>
      <c r="Z1077" s="53">
        <v>10.346069</v>
      </c>
      <c r="AA1077" s="53">
        <v>10.589594999999999</v>
      </c>
      <c r="AB1077" s="53">
        <v>10.817546</v>
      </c>
      <c r="AC1077" s="53">
        <v>11.035830000000001</v>
      </c>
      <c r="AD1077" s="53">
        <v>11.256007</v>
      </c>
      <c r="AE1077" s="53">
        <v>11.474197</v>
      </c>
      <c r="AF1077" s="35">
        <v>2.3137999999999999E-2</v>
      </c>
      <c r="AG1077" s="29"/>
    </row>
    <row r="1078" spans="1:33" ht="15" customHeight="1">
      <c r="A1078" s="34" t="s">
        <v>3742</v>
      </c>
      <c r="B1078" s="37" t="s">
        <v>2747</v>
      </c>
      <c r="C1078" s="53">
        <v>53.348736000000002</v>
      </c>
      <c r="D1078" s="53">
        <v>52.448695999999998</v>
      </c>
      <c r="E1078" s="53">
        <v>52.159678999999997</v>
      </c>
      <c r="F1078" s="53">
        <v>53.252377000000003</v>
      </c>
      <c r="G1078" s="53">
        <v>55.223323999999998</v>
      </c>
      <c r="H1078" s="53">
        <v>56.940361000000003</v>
      </c>
      <c r="I1078" s="53">
        <v>58.057228000000002</v>
      </c>
      <c r="J1078" s="53">
        <v>58.984229999999997</v>
      </c>
      <c r="K1078" s="53">
        <v>59.631413000000002</v>
      </c>
      <c r="L1078" s="53">
        <v>60.526035</v>
      </c>
      <c r="M1078" s="53">
        <v>62.093730999999998</v>
      </c>
      <c r="N1078" s="53">
        <v>63.507607</v>
      </c>
      <c r="O1078" s="53">
        <v>64.731125000000006</v>
      </c>
      <c r="P1078" s="53">
        <v>66.296059</v>
      </c>
      <c r="Q1078" s="53">
        <v>67.954886999999999</v>
      </c>
      <c r="R1078" s="53">
        <v>69.785942000000006</v>
      </c>
      <c r="S1078" s="53">
        <v>71.726783999999995</v>
      </c>
      <c r="T1078" s="53">
        <v>73.195151999999993</v>
      </c>
      <c r="U1078" s="53">
        <v>74.625511000000003</v>
      </c>
      <c r="V1078" s="53">
        <v>76.405861000000002</v>
      </c>
      <c r="W1078" s="53">
        <v>77.990882999999997</v>
      </c>
      <c r="X1078" s="53">
        <v>79.387634000000006</v>
      </c>
      <c r="Y1078" s="53">
        <v>80.438393000000005</v>
      </c>
      <c r="Z1078" s="53">
        <v>81.176506000000003</v>
      </c>
      <c r="AA1078" s="53">
        <v>81.972435000000004</v>
      </c>
      <c r="AB1078" s="53">
        <v>83.056518999999994</v>
      </c>
      <c r="AC1078" s="53">
        <v>83.784408999999997</v>
      </c>
      <c r="AD1078" s="53">
        <v>84.248047</v>
      </c>
      <c r="AE1078" s="53">
        <v>85.850196999999994</v>
      </c>
      <c r="AF1078" s="35">
        <v>1.7135999999999998E-2</v>
      </c>
      <c r="AG1078" s="29"/>
    </row>
    <row r="1079" spans="1:33" ht="15" customHeight="1">
      <c r="A1079" s="34" t="s">
        <v>3743</v>
      </c>
      <c r="B1079" s="37" t="s">
        <v>2749</v>
      </c>
      <c r="C1079" s="53">
        <v>62.818928</v>
      </c>
      <c r="D1079" s="53">
        <v>62.772311999999999</v>
      </c>
      <c r="E1079" s="53">
        <v>63.610061999999999</v>
      </c>
      <c r="F1079" s="53">
        <v>65.212967000000006</v>
      </c>
      <c r="G1079" s="53">
        <v>68.528778000000003</v>
      </c>
      <c r="H1079" s="53">
        <v>71.501105999999993</v>
      </c>
      <c r="I1079" s="53">
        <v>73.333220999999995</v>
      </c>
      <c r="J1079" s="53">
        <v>75.028175000000005</v>
      </c>
      <c r="K1079" s="53">
        <v>76.816513</v>
      </c>
      <c r="L1079" s="53">
        <v>79.105545000000006</v>
      </c>
      <c r="M1079" s="53">
        <v>82.389274999999998</v>
      </c>
      <c r="N1079" s="53">
        <v>85.212554999999995</v>
      </c>
      <c r="O1079" s="53">
        <v>87.857840999999993</v>
      </c>
      <c r="P1079" s="53">
        <v>90.787070999999997</v>
      </c>
      <c r="Q1079" s="53">
        <v>93.568115000000006</v>
      </c>
      <c r="R1079" s="53">
        <v>96.316704000000001</v>
      </c>
      <c r="S1079" s="53">
        <v>99.007499999999993</v>
      </c>
      <c r="T1079" s="53">
        <v>101.51067399999999</v>
      </c>
      <c r="U1079" s="53">
        <v>104.092606</v>
      </c>
      <c r="V1079" s="53">
        <v>106.960678</v>
      </c>
      <c r="W1079" s="53">
        <v>109.729111</v>
      </c>
      <c r="X1079" s="53">
        <v>112.21030399999999</v>
      </c>
      <c r="Y1079" s="53">
        <v>114.447395</v>
      </c>
      <c r="Z1079" s="53">
        <v>116.556892</v>
      </c>
      <c r="AA1079" s="53">
        <v>119.222054</v>
      </c>
      <c r="AB1079" s="53">
        <v>122.087616</v>
      </c>
      <c r="AC1079" s="53">
        <v>124.87835699999999</v>
      </c>
      <c r="AD1079" s="53">
        <v>127.276848</v>
      </c>
      <c r="AE1079" s="53">
        <v>130.562073</v>
      </c>
      <c r="AF1079" s="35">
        <v>2.6473E-2</v>
      </c>
      <c r="AG1079" s="29"/>
    </row>
    <row r="1080" spans="1:33" ht="15" customHeight="1">
      <c r="A1080" s="34" t="s">
        <v>3744</v>
      </c>
      <c r="B1080" s="37" t="s">
        <v>2751</v>
      </c>
      <c r="C1080" s="53">
        <v>45.113124999999997</v>
      </c>
      <c r="D1080" s="53">
        <v>45.823872000000001</v>
      </c>
      <c r="E1080" s="53">
        <v>47.079422000000001</v>
      </c>
      <c r="F1080" s="53">
        <v>48.881729</v>
      </c>
      <c r="G1080" s="53">
        <v>50.889319999999998</v>
      </c>
      <c r="H1080" s="53">
        <v>52.472667999999999</v>
      </c>
      <c r="I1080" s="53">
        <v>53.831519999999998</v>
      </c>
      <c r="J1080" s="53">
        <v>54.790179999999999</v>
      </c>
      <c r="K1080" s="53">
        <v>55.408745000000003</v>
      </c>
      <c r="L1080" s="53">
        <v>56.077984000000001</v>
      </c>
      <c r="M1080" s="53">
        <v>56.936371000000001</v>
      </c>
      <c r="N1080" s="53">
        <v>57.733466999999997</v>
      </c>
      <c r="O1080" s="53">
        <v>58.599761999999998</v>
      </c>
      <c r="P1080" s="53">
        <v>59.338245000000001</v>
      </c>
      <c r="Q1080" s="53">
        <v>60.177258000000002</v>
      </c>
      <c r="R1080" s="53">
        <v>61.088894000000003</v>
      </c>
      <c r="S1080" s="53">
        <v>62.103966</v>
      </c>
      <c r="T1080" s="53">
        <v>63.057999000000002</v>
      </c>
      <c r="U1080" s="53">
        <v>64.199150000000003</v>
      </c>
      <c r="V1080" s="53">
        <v>65.297950999999998</v>
      </c>
      <c r="W1080" s="53">
        <v>66.262466000000003</v>
      </c>
      <c r="X1080" s="53">
        <v>67.283432000000005</v>
      </c>
      <c r="Y1080" s="53">
        <v>68.211753999999999</v>
      </c>
      <c r="Z1080" s="53">
        <v>69.052429000000004</v>
      </c>
      <c r="AA1080" s="53">
        <v>69.896789999999996</v>
      </c>
      <c r="AB1080" s="53">
        <v>70.774704</v>
      </c>
      <c r="AC1080" s="53">
        <v>71.584350999999998</v>
      </c>
      <c r="AD1080" s="53">
        <v>72.489959999999996</v>
      </c>
      <c r="AE1080" s="53">
        <v>73.544144000000003</v>
      </c>
      <c r="AF1080" s="35">
        <v>1.7607000000000001E-2</v>
      </c>
      <c r="AG1080" s="29"/>
    </row>
    <row r="1081" spans="1:33" ht="15" customHeight="1">
      <c r="A1081" s="34" t="s">
        <v>3745</v>
      </c>
      <c r="B1081" s="37" t="s">
        <v>2753</v>
      </c>
      <c r="C1081" s="53">
        <v>84.972885000000005</v>
      </c>
      <c r="D1081" s="53">
        <v>87.969254000000006</v>
      </c>
      <c r="E1081" s="53">
        <v>89.361984000000007</v>
      </c>
      <c r="F1081" s="53">
        <v>89.232605000000007</v>
      </c>
      <c r="G1081" s="53">
        <v>90.041427999999996</v>
      </c>
      <c r="H1081" s="53">
        <v>92.010300000000001</v>
      </c>
      <c r="I1081" s="53">
        <v>93.620590000000007</v>
      </c>
      <c r="J1081" s="53">
        <v>94.567047000000002</v>
      </c>
      <c r="K1081" s="53">
        <v>95.788116000000002</v>
      </c>
      <c r="L1081" s="53">
        <v>97.497130999999996</v>
      </c>
      <c r="M1081" s="53">
        <v>100.27574199999999</v>
      </c>
      <c r="N1081" s="53">
        <v>102.75960499999999</v>
      </c>
      <c r="O1081" s="53">
        <v>104.728874</v>
      </c>
      <c r="P1081" s="53">
        <v>106.73648799999999</v>
      </c>
      <c r="Q1081" s="53">
        <v>108.74912999999999</v>
      </c>
      <c r="R1081" s="53">
        <v>110.25132000000001</v>
      </c>
      <c r="S1081" s="53">
        <v>111.933266</v>
      </c>
      <c r="T1081" s="53">
        <v>113.444214</v>
      </c>
      <c r="U1081" s="53">
        <v>115.631844</v>
      </c>
      <c r="V1081" s="53">
        <v>118.248558</v>
      </c>
      <c r="W1081" s="53">
        <v>120.61666099999999</v>
      </c>
      <c r="X1081" s="53">
        <v>122.74449199999999</v>
      </c>
      <c r="Y1081" s="53">
        <v>124.59002700000001</v>
      </c>
      <c r="Z1081" s="53">
        <v>126.468643</v>
      </c>
      <c r="AA1081" s="53">
        <v>128.815674</v>
      </c>
      <c r="AB1081" s="53">
        <v>131.33438100000001</v>
      </c>
      <c r="AC1081" s="53">
        <v>133.62702899999999</v>
      </c>
      <c r="AD1081" s="53">
        <v>135.85459900000001</v>
      </c>
      <c r="AE1081" s="53">
        <v>138.571472</v>
      </c>
      <c r="AF1081" s="35">
        <v>1.762E-2</v>
      </c>
      <c r="AG1081" s="29"/>
    </row>
    <row r="1082" spans="1:33" ht="15" customHeight="1">
      <c r="A1082" s="34" t="s">
        <v>3746</v>
      </c>
      <c r="B1082" s="2182" t="s">
        <v>2755</v>
      </c>
      <c r="C1082" s="2186">
        <v>11.155306</v>
      </c>
      <c r="D1082" s="2186">
        <v>11.232468000000001</v>
      </c>
      <c r="E1082" s="2186">
        <v>11.418899</v>
      </c>
      <c r="F1082" s="2186">
        <v>11.772729</v>
      </c>
      <c r="G1082" s="2186">
        <v>12.124594999999999</v>
      </c>
      <c r="H1082" s="2186">
        <v>12.44957</v>
      </c>
      <c r="I1082" s="2186">
        <v>12.756942</v>
      </c>
      <c r="J1082" s="2186">
        <v>13.020205000000001</v>
      </c>
      <c r="K1082" s="2186">
        <v>13.255988</v>
      </c>
      <c r="L1082" s="2186">
        <v>13.424469999999999</v>
      </c>
      <c r="M1082" s="2186">
        <v>13.791549</v>
      </c>
      <c r="N1082" s="2186">
        <v>14.275321999999999</v>
      </c>
      <c r="O1082" s="2186">
        <v>14.735467</v>
      </c>
      <c r="P1082" s="2186">
        <v>15.228156</v>
      </c>
      <c r="Q1082" s="2186">
        <v>15.727231</v>
      </c>
      <c r="R1082" s="2186">
        <v>16.258001</v>
      </c>
      <c r="S1082" s="2186">
        <v>16.838384999999999</v>
      </c>
      <c r="T1082" s="2186">
        <v>17.421755000000001</v>
      </c>
      <c r="U1082" s="2186">
        <v>18.007158</v>
      </c>
      <c r="V1082" s="2186">
        <v>18.613240999999999</v>
      </c>
      <c r="W1082" s="2186">
        <v>19.210747000000001</v>
      </c>
      <c r="X1082" s="2186">
        <v>19.844539999999999</v>
      </c>
      <c r="Y1082" s="2186">
        <v>20.476295</v>
      </c>
      <c r="Z1082" s="2186">
        <v>21.097967000000001</v>
      </c>
      <c r="AA1082" s="2186">
        <v>21.740034000000001</v>
      </c>
      <c r="AB1082" s="2186">
        <v>22.413015000000001</v>
      </c>
      <c r="AC1082" s="2186">
        <v>23.099865000000001</v>
      </c>
      <c r="AD1082" s="2186">
        <v>23.780638</v>
      </c>
      <c r="AE1082" s="2186">
        <v>24.580249999999999</v>
      </c>
      <c r="AF1082" s="2184">
        <v>2.8617E-2</v>
      </c>
      <c r="AG1082" s="29"/>
    </row>
    <row r="1083" spans="1:33" ht="15" customHeight="1">
      <c r="A1083" s="34" t="s">
        <v>3747</v>
      </c>
      <c r="B1083" s="37" t="s">
        <v>1475</v>
      </c>
      <c r="C1083" s="53">
        <v>12.806755000000001</v>
      </c>
      <c r="D1083" s="53">
        <v>12.705550000000001</v>
      </c>
      <c r="E1083" s="53">
        <v>12.716104</v>
      </c>
      <c r="F1083" s="53">
        <v>12.421722000000001</v>
      </c>
      <c r="G1083" s="53">
        <v>12.344499000000001</v>
      </c>
      <c r="H1083" s="53">
        <v>12.384838999999999</v>
      </c>
      <c r="I1083" s="53">
        <v>12.517495</v>
      </c>
      <c r="J1083" s="53">
        <v>12.654722</v>
      </c>
      <c r="K1083" s="53">
        <v>12.788190999999999</v>
      </c>
      <c r="L1083" s="53">
        <v>12.89236</v>
      </c>
      <c r="M1083" s="53">
        <v>13.126071</v>
      </c>
      <c r="N1083" s="53">
        <v>13.359571000000001</v>
      </c>
      <c r="O1083" s="53">
        <v>13.586334000000001</v>
      </c>
      <c r="P1083" s="53">
        <v>13.777459</v>
      </c>
      <c r="Q1083" s="53">
        <v>13.926114999999999</v>
      </c>
      <c r="R1083" s="53">
        <v>14.121732</v>
      </c>
      <c r="S1083" s="53">
        <v>14.336074</v>
      </c>
      <c r="T1083" s="53">
        <v>14.545811</v>
      </c>
      <c r="U1083" s="53">
        <v>14.769667999999999</v>
      </c>
      <c r="V1083" s="53">
        <v>14.971499</v>
      </c>
      <c r="W1083" s="53">
        <v>15.180016999999999</v>
      </c>
      <c r="X1083" s="53">
        <v>15.388640000000001</v>
      </c>
      <c r="Y1083" s="53">
        <v>15.565537000000001</v>
      </c>
      <c r="Z1083" s="53">
        <v>15.753143</v>
      </c>
      <c r="AA1083" s="53">
        <v>15.958854000000001</v>
      </c>
      <c r="AB1083" s="53">
        <v>16.185428999999999</v>
      </c>
      <c r="AC1083" s="53">
        <v>16.389693999999999</v>
      </c>
      <c r="AD1083" s="53">
        <v>16.572174</v>
      </c>
      <c r="AE1083" s="53">
        <v>16.857455999999999</v>
      </c>
      <c r="AF1083" s="35">
        <v>9.8630000000000002E-3</v>
      </c>
      <c r="AG1083" s="29"/>
    </row>
    <row r="1084" spans="1:33" ht="15" customHeight="1">
      <c r="B1084" s="29"/>
      <c r="C1084" s="29"/>
      <c r="D1084" s="29"/>
      <c r="E1084" s="29"/>
      <c r="F1084" s="29"/>
      <c r="G1084" s="29"/>
      <c r="H1084" s="29"/>
      <c r="I1084" s="29"/>
      <c r="J1084" s="29"/>
      <c r="K1084" s="29"/>
      <c r="L1084" s="29"/>
      <c r="M1084" s="29"/>
      <c r="N1084" s="29"/>
      <c r="O1084" s="29"/>
      <c r="P1084" s="29"/>
      <c r="Q1084" s="29"/>
      <c r="R1084" s="29"/>
      <c r="S1084" s="29"/>
      <c r="T1084" s="29"/>
      <c r="U1084" s="29"/>
      <c r="V1084" s="29"/>
      <c r="W1084" s="29"/>
      <c r="X1084" s="29"/>
      <c r="Y1084" s="29"/>
      <c r="Z1084" s="29"/>
      <c r="AA1084" s="29"/>
      <c r="AB1084" s="29"/>
      <c r="AC1084" s="29"/>
      <c r="AD1084" s="29"/>
      <c r="AE1084" s="29"/>
      <c r="AF1084" s="29"/>
      <c r="AG1084" s="29"/>
    </row>
    <row r="1085" spans="1:33" ht="15" customHeight="1">
      <c r="A1085" s="34" t="s">
        <v>3748</v>
      </c>
      <c r="B1085" s="33" t="s">
        <v>2758</v>
      </c>
      <c r="C1085" s="40">
        <v>1799.420044</v>
      </c>
      <c r="D1085" s="40">
        <v>1803.8342290000001</v>
      </c>
      <c r="E1085" s="40">
        <v>1801.837158</v>
      </c>
      <c r="F1085" s="40">
        <v>1822.1964109999999</v>
      </c>
      <c r="G1085" s="40">
        <v>1849.631592</v>
      </c>
      <c r="H1085" s="40">
        <v>1868.607178</v>
      </c>
      <c r="I1085" s="40">
        <v>1889.594971</v>
      </c>
      <c r="J1085" s="40">
        <v>1908.9448239999999</v>
      </c>
      <c r="K1085" s="40">
        <v>1924.3695070000001</v>
      </c>
      <c r="L1085" s="40">
        <v>1939.3326420000001</v>
      </c>
      <c r="M1085" s="40">
        <v>1962.4061280000001</v>
      </c>
      <c r="N1085" s="40">
        <v>1983.56665</v>
      </c>
      <c r="O1085" s="40">
        <v>2003.252686</v>
      </c>
      <c r="P1085" s="40">
        <v>2021.819092</v>
      </c>
      <c r="Q1085" s="40">
        <v>2041.2601320000001</v>
      </c>
      <c r="R1085" s="40">
        <v>2063.797607</v>
      </c>
      <c r="S1085" s="40">
        <v>2086.1723630000001</v>
      </c>
      <c r="T1085" s="40">
        <v>2108.7521969999998</v>
      </c>
      <c r="U1085" s="40">
        <v>2131.7807619999999</v>
      </c>
      <c r="V1085" s="40">
        <v>2157.1579590000001</v>
      </c>
      <c r="W1085" s="40">
        <v>2182.0200199999999</v>
      </c>
      <c r="X1085" s="40">
        <v>2207.0178219999998</v>
      </c>
      <c r="Y1085" s="40">
        <v>2230.710693</v>
      </c>
      <c r="Z1085" s="40">
        <v>2251.209961</v>
      </c>
      <c r="AA1085" s="40">
        <v>2276.5686040000001</v>
      </c>
      <c r="AB1085" s="40">
        <v>2301.4204100000002</v>
      </c>
      <c r="AC1085" s="40">
        <v>2324.8835450000001</v>
      </c>
      <c r="AD1085" s="40">
        <v>2349.508057</v>
      </c>
      <c r="AE1085" s="40">
        <v>2383.4255370000001</v>
      </c>
      <c r="AF1085" s="31">
        <v>1.0089000000000001E-2</v>
      </c>
      <c r="AG1085" s="29"/>
    </row>
    <row r="1086" spans="1:33" ht="15" customHeight="1">
      <c r="B1086" s="29"/>
      <c r="C1086" s="29"/>
      <c r="D1086" s="29"/>
      <c r="E1086" s="29"/>
      <c r="F1086" s="29"/>
      <c r="G1086" s="29"/>
      <c r="H1086" s="29"/>
      <c r="I1086" s="29"/>
      <c r="J1086" s="29"/>
      <c r="K1086" s="29"/>
      <c r="L1086" s="29"/>
      <c r="M1086" s="29"/>
      <c r="N1086" s="29"/>
      <c r="O1086" s="29"/>
      <c r="P1086" s="29"/>
      <c r="Q1086" s="29"/>
      <c r="R1086" s="29"/>
      <c r="S1086" s="29"/>
      <c r="T1086" s="29"/>
      <c r="U1086" s="29"/>
      <c r="V1086" s="29"/>
      <c r="W1086" s="29"/>
      <c r="X1086" s="29"/>
      <c r="Y1086" s="29"/>
      <c r="Z1086" s="29"/>
      <c r="AA1086" s="29"/>
      <c r="AB1086" s="29"/>
      <c r="AC1086" s="29"/>
      <c r="AD1086" s="29"/>
      <c r="AE1086" s="29"/>
      <c r="AF1086" s="29"/>
      <c r="AG1086" s="29"/>
    </row>
    <row r="1087" spans="1:33" ht="15" customHeight="1" thickBot="1">
      <c r="B1087" s="29"/>
      <c r="C1087" s="29"/>
      <c r="D1087" s="29"/>
      <c r="E1087" s="29"/>
      <c r="F1087" s="29"/>
      <c r="G1087" s="29"/>
      <c r="H1087" s="29"/>
      <c r="I1087" s="29"/>
      <c r="J1087" s="29"/>
      <c r="K1087" s="29"/>
      <c r="L1087" s="29"/>
      <c r="M1087" s="29"/>
      <c r="N1087" s="29"/>
      <c r="O1087" s="29"/>
      <c r="P1087" s="29"/>
      <c r="Q1087" s="29"/>
      <c r="R1087" s="29"/>
      <c r="S1087" s="29"/>
      <c r="T1087" s="29"/>
      <c r="U1087" s="29"/>
      <c r="V1087" s="29"/>
      <c r="W1087" s="29"/>
      <c r="X1087" s="29"/>
      <c r="Y1087" s="29"/>
      <c r="Z1087" s="29"/>
      <c r="AA1087" s="29"/>
      <c r="AB1087" s="29"/>
      <c r="AC1087" s="29"/>
      <c r="AD1087" s="29"/>
      <c r="AE1087" s="29"/>
      <c r="AF1087" s="29"/>
      <c r="AG1087" s="29"/>
    </row>
    <row r="1088" spans="1:33" ht="15" customHeight="1">
      <c r="B1088" s="54" t="s">
        <v>2584</v>
      </c>
      <c r="C1088" s="30"/>
      <c r="D1088" s="30"/>
      <c r="E1088" s="30"/>
      <c r="F1088" s="30"/>
      <c r="G1088" s="30"/>
      <c r="H1088" s="30"/>
      <c r="I1088" s="30"/>
      <c r="J1088" s="30"/>
      <c r="K1088" s="30"/>
      <c r="L1088" s="30"/>
      <c r="M1088" s="30"/>
      <c r="N1088" s="30"/>
      <c r="O1088" s="30"/>
      <c r="P1088" s="30"/>
      <c r="Q1088" s="30"/>
      <c r="R1088" s="30"/>
      <c r="S1088" s="30"/>
      <c r="T1088" s="30"/>
      <c r="U1088" s="30"/>
      <c r="V1088" s="30"/>
      <c r="W1088" s="30"/>
      <c r="X1088" s="30"/>
      <c r="Y1088" s="30"/>
      <c r="Z1088" s="30"/>
      <c r="AA1088" s="30"/>
      <c r="AB1088" s="30"/>
      <c r="AC1088" s="30"/>
      <c r="AD1088" s="30"/>
      <c r="AE1088" s="30"/>
      <c r="AF1088" s="30"/>
      <c r="AG1088" s="29"/>
    </row>
    <row r="1089" spans="2:33" ht="15" customHeight="1">
      <c r="B1089" s="29" t="s">
        <v>2759</v>
      </c>
      <c r="C1089" s="29"/>
      <c r="D1089" s="29"/>
      <c r="E1089" s="29"/>
      <c r="F1089" s="29"/>
      <c r="G1089" s="29"/>
      <c r="H1089" s="29"/>
      <c r="I1089" s="29"/>
      <c r="J1089" s="29"/>
      <c r="K1089" s="29"/>
      <c r="L1089" s="29"/>
      <c r="M1089" s="29"/>
      <c r="N1089" s="29"/>
      <c r="O1089" s="29"/>
      <c r="P1089" s="29"/>
      <c r="Q1089" s="29"/>
      <c r="R1089" s="29"/>
      <c r="S1089" s="29"/>
      <c r="T1089" s="29"/>
      <c r="U1089" s="29"/>
      <c r="V1089" s="29"/>
      <c r="W1089" s="29"/>
      <c r="X1089" s="29"/>
      <c r="Y1089" s="29"/>
      <c r="Z1089" s="29"/>
      <c r="AA1089" s="29"/>
      <c r="AB1089" s="29"/>
      <c r="AC1089" s="29"/>
      <c r="AD1089" s="29"/>
      <c r="AE1089" s="29"/>
      <c r="AF1089" s="29"/>
      <c r="AG1089" s="29"/>
    </row>
    <row r="1090" spans="2:33" ht="15" customHeight="1">
      <c r="B1090" s="29" t="s">
        <v>2760</v>
      </c>
      <c r="C1090" s="29"/>
      <c r="D1090" s="29"/>
      <c r="E1090" s="29"/>
      <c r="F1090" s="29"/>
      <c r="G1090" s="29"/>
      <c r="H1090" s="29"/>
      <c r="I1090" s="29"/>
      <c r="J1090" s="29"/>
      <c r="K1090" s="29"/>
      <c r="L1090" s="29"/>
      <c r="M1090" s="29"/>
      <c r="N1090" s="29"/>
      <c r="O1090" s="29"/>
      <c r="P1090" s="29"/>
      <c r="Q1090" s="29"/>
      <c r="R1090" s="29"/>
      <c r="S1090" s="29"/>
      <c r="T1090" s="29"/>
      <c r="U1090" s="29"/>
      <c r="V1090" s="29"/>
      <c r="W1090" s="29"/>
      <c r="X1090" s="29"/>
      <c r="Y1090" s="29"/>
      <c r="Z1090" s="29"/>
      <c r="AA1090" s="29"/>
      <c r="AB1090" s="29"/>
      <c r="AC1090" s="29"/>
      <c r="AD1090" s="29"/>
      <c r="AE1090" s="29"/>
      <c r="AF1090" s="29"/>
      <c r="AG1090" s="29"/>
    </row>
    <row r="1091" spans="2:33" ht="15" customHeight="1">
      <c r="B1091" s="29"/>
      <c r="C1091" s="29"/>
      <c r="D1091" s="29"/>
      <c r="E1091" s="29"/>
      <c r="F1091" s="29"/>
      <c r="G1091" s="29"/>
      <c r="H1091" s="29"/>
      <c r="I1091" s="29"/>
      <c r="J1091" s="29"/>
      <c r="K1091" s="29"/>
      <c r="L1091" s="29"/>
      <c r="M1091" s="29"/>
      <c r="N1091" s="29"/>
      <c r="O1091" s="29"/>
      <c r="P1091" s="29"/>
      <c r="Q1091" s="29"/>
      <c r="R1091" s="29"/>
      <c r="S1091" s="29"/>
      <c r="T1091" s="29"/>
      <c r="U1091" s="29"/>
      <c r="V1091" s="29"/>
      <c r="W1091" s="29"/>
      <c r="X1091" s="29"/>
      <c r="Y1091" s="29"/>
      <c r="Z1091" s="29"/>
      <c r="AA1091" s="29"/>
      <c r="AB1091" s="29"/>
      <c r="AC1091" s="29"/>
      <c r="AD1091" s="29"/>
      <c r="AE1091" s="29"/>
      <c r="AF1091" s="29"/>
      <c r="AG1091" s="29"/>
    </row>
    <row r="1092" spans="2:33" ht="15" customHeight="1">
      <c r="B1092" s="29"/>
      <c r="C1092" s="29"/>
      <c r="D1092" s="29"/>
      <c r="E1092" s="29"/>
      <c r="F1092" s="29"/>
      <c r="G1092" s="29"/>
      <c r="H1092" s="29"/>
      <c r="I1092" s="29"/>
      <c r="J1092" s="29"/>
      <c r="K1092" s="29"/>
      <c r="L1092" s="29"/>
      <c r="M1092" s="29"/>
      <c r="N1092" s="29"/>
      <c r="O1092" s="29"/>
      <c r="P1092" s="29"/>
      <c r="Q1092" s="29"/>
      <c r="R1092" s="29"/>
      <c r="S1092" s="29"/>
      <c r="T1092" s="29"/>
      <c r="U1092" s="29"/>
      <c r="V1092" s="29"/>
      <c r="W1092" s="29"/>
      <c r="X1092" s="29"/>
      <c r="Y1092" s="29"/>
      <c r="Z1092" s="29"/>
      <c r="AA1092" s="29"/>
      <c r="AB1092" s="29"/>
      <c r="AC1092" s="29"/>
      <c r="AD1092" s="29"/>
      <c r="AE1092" s="29"/>
      <c r="AF1092" s="29"/>
      <c r="AG1092" s="29"/>
    </row>
    <row r="1093" spans="2:33" ht="15" customHeight="1">
      <c r="B1093" s="29"/>
      <c r="C1093" s="29"/>
      <c r="D1093" s="29"/>
      <c r="E1093" s="29"/>
      <c r="F1093" s="29"/>
      <c r="G1093" s="29"/>
      <c r="H1093" s="29"/>
      <c r="I1093" s="29"/>
      <c r="J1093" s="29"/>
      <c r="K1093" s="29"/>
      <c r="L1093" s="29"/>
      <c r="M1093" s="29"/>
      <c r="N1093" s="29"/>
      <c r="O1093" s="29"/>
      <c r="P1093" s="29"/>
      <c r="Q1093" s="29"/>
      <c r="R1093" s="29"/>
      <c r="S1093" s="29"/>
      <c r="T1093" s="29"/>
      <c r="U1093" s="29"/>
      <c r="V1093" s="29"/>
      <c r="W1093" s="29"/>
      <c r="X1093" s="29"/>
      <c r="Y1093" s="29"/>
      <c r="Z1093" s="29"/>
      <c r="AA1093" s="29"/>
      <c r="AB1093" s="29"/>
      <c r="AC1093" s="29"/>
      <c r="AD1093" s="29"/>
      <c r="AE1093" s="29"/>
      <c r="AF1093" s="29"/>
      <c r="AG1093" s="29"/>
    </row>
    <row r="1094" spans="2:33" ht="15" customHeight="1">
      <c r="B1094" s="29"/>
      <c r="C1094" s="29"/>
      <c r="D1094" s="29"/>
      <c r="E1094" s="29"/>
      <c r="F1094" s="29"/>
      <c r="G1094" s="29"/>
      <c r="H1094" s="29"/>
      <c r="I1094" s="29"/>
      <c r="J1094" s="29"/>
      <c r="K1094" s="29"/>
      <c r="L1094" s="29"/>
      <c r="M1094" s="29"/>
      <c r="N1094" s="29"/>
      <c r="O1094" s="29"/>
      <c r="P1094" s="29"/>
      <c r="Q1094" s="29"/>
      <c r="R1094" s="29"/>
      <c r="S1094" s="29"/>
      <c r="T1094" s="29"/>
      <c r="U1094" s="29"/>
      <c r="V1094" s="29"/>
      <c r="W1094" s="29"/>
      <c r="X1094" s="29"/>
      <c r="Y1094" s="29"/>
      <c r="Z1094" s="29"/>
      <c r="AA1094" s="29"/>
      <c r="AB1094" s="29"/>
      <c r="AC1094" s="29"/>
      <c r="AD1094" s="29"/>
      <c r="AE1094" s="29"/>
      <c r="AF1094" s="29"/>
      <c r="AG1094" s="29"/>
    </row>
    <row r="1095" spans="2:33" ht="12" customHeight="1">
      <c r="B1095" s="29"/>
      <c r="C1095" s="29"/>
      <c r="D1095" s="29"/>
      <c r="E1095" s="29"/>
      <c r="F1095" s="29"/>
      <c r="G1095" s="29"/>
      <c r="H1095" s="29"/>
      <c r="I1095" s="29"/>
      <c r="J1095" s="29"/>
      <c r="K1095" s="29"/>
      <c r="L1095" s="29"/>
      <c r="M1095" s="29"/>
      <c r="N1095" s="29"/>
      <c r="O1095" s="29"/>
      <c r="P1095" s="29"/>
      <c r="Q1095" s="29"/>
      <c r="R1095" s="29"/>
      <c r="S1095" s="29"/>
      <c r="T1095" s="29"/>
      <c r="U1095" s="29"/>
      <c r="V1095" s="29"/>
      <c r="W1095" s="29"/>
      <c r="X1095" s="29"/>
      <c r="Y1095" s="29"/>
      <c r="Z1095" s="29"/>
      <c r="AA1095" s="29"/>
      <c r="AB1095" s="29"/>
      <c r="AC1095" s="29"/>
      <c r="AD1095" s="29"/>
      <c r="AE1095" s="29"/>
      <c r="AF1095" s="29"/>
      <c r="AG1095" s="29"/>
    </row>
    <row r="1096" spans="2:33" ht="12" customHeight="1">
      <c r="B1096" s="29"/>
      <c r="C1096" s="29"/>
      <c r="D1096" s="29"/>
      <c r="E1096" s="29"/>
      <c r="F1096" s="29"/>
      <c r="G1096" s="29"/>
      <c r="H1096" s="29"/>
      <c r="I1096" s="29"/>
      <c r="J1096" s="29"/>
      <c r="K1096" s="29"/>
      <c r="L1096" s="29"/>
      <c r="M1096" s="29"/>
      <c r="N1096" s="29"/>
      <c r="O1096" s="29"/>
      <c r="P1096" s="29"/>
      <c r="Q1096" s="29"/>
      <c r="R1096" s="29"/>
      <c r="S1096" s="29"/>
      <c r="T1096" s="29"/>
      <c r="U1096" s="29"/>
      <c r="V1096" s="29"/>
      <c r="W1096" s="29"/>
      <c r="X1096" s="29"/>
      <c r="Y1096" s="29"/>
      <c r="Z1096" s="29"/>
      <c r="AA1096" s="29"/>
      <c r="AB1096" s="29"/>
      <c r="AC1096" s="29"/>
      <c r="AD1096" s="29"/>
      <c r="AE1096" s="29"/>
      <c r="AF1096" s="29"/>
      <c r="AG1096" s="29"/>
    </row>
    <row r="1097" spans="2:33" ht="12" customHeight="1">
      <c r="B1097" s="29"/>
      <c r="C1097" s="29"/>
      <c r="D1097" s="29"/>
      <c r="E1097" s="29"/>
      <c r="F1097" s="29"/>
      <c r="G1097" s="29"/>
      <c r="H1097" s="29"/>
      <c r="I1097" s="29"/>
      <c r="J1097" s="29"/>
      <c r="K1097" s="29"/>
      <c r="L1097" s="29"/>
      <c r="M1097" s="29"/>
      <c r="N1097" s="29"/>
      <c r="O1097" s="29"/>
      <c r="P1097" s="29"/>
      <c r="Q1097" s="29"/>
      <c r="R1097" s="29"/>
      <c r="S1097" s="29"/>
      <c r="T1097" s="29"/>
      <c r="U1097" s="29"/>
      <c r="V1097" s="29"/>
      <c r="W1097" s="29"/>
      <c r="X1097" s="29"/>
      <c r="Y1097" s="29"/>
      <c r="Z1097" s="29"/>
      <c r="AA1097" s="29"/>
      <c r="AB1097" s="29"/>
      <c r="AC1097" s="29"/>
      <c r="AD1097" s="29"/>
      <c r="AE1097" s="29"/>
      <c r="AF1097" s="29"/>
      <c r="AG1097" s="29"/>
    </row>
    <row r="1098" spans="2:33" ht="12" customHeight="1">
      <c r="B1098" s="29"/>
      <c r="C1098" s="29"/>
      <c r="D1098" s="29"/>
      <c r="E1098" s="29"/>
      <c r="F1098" s="29"/>
      <c r="G1098" s="29"/>
      <c r="H1098" s="29"/>
      <c r="I1098" s="29"/>
      <c r="J1098" s="29"/>
      <c r="K1098" s="29"/>
      <c r="L1098" s="29"/>
      <c r="M1098" s="29"/>
      <c r="N1098" s="29"/>
      <c r="O1098" s="29"/>
      <c r="P1098" s="29"/>
      <c r="Q1098" s="29"/>
      <c r="R1098" s="29"/>
      <c r="S1098" s="29"/>
      <c r="T1098" s="29"/>
      <c r="U1098" s="29"/>
      <c r="V1098" s="29"/>
      <c r="W1098" s="29"/>
      <c r="X1098" s="29"/>
      <c r="Y1098" s="29"/>
      <c r="Z1098" s="29"/>
      <c r="AA1098" s="29"/>
      <c r="AB1098" s="29"/>
      <c r="AC1098" s="29"/>
      <c r="AD1098" s="29"/>
      <c r="AE1098" s="29"/>
      <c r="AF1098" s="29"/>
      <c r="AG1098" s="29"/>
    </row>
    <row r="1099" spans="2:33" ht="12" customHeight="1">
      <c r="B1099" s="29"/>
      <c r="C1099" s="29"/>
      <c r="D1099" s="29"/>
      <c r="E1099" s="29"/>
      <c r="F1099" s="29"/>
      <c r="G1099" s="29"/>
      <c r="H1099" s="29"/>
      <c r="I1099" s="29"/>
      <c r="J1099" s="29"/>
      <c r="K1099" s="29"/>
      <c r="L1099" s="29"/>
      <c r="M1099" s="29"/>
      <c r="N1099" s="29"/>
      <c r="O1099" s="29"/>
      <c r="P1099" s="29"/>
      <c r="Q1099" s="29"/>
      <c r="R1099" s="29"/>
      <c r="S1099" s="29"/>
      <c r="T1099" s="29"/>
      <c r="U1099" s="29"/>
      <c r="V1099" s="29"/>
      <c r="W1099" s="29"/>
      <c r="X1099" s="29"/>
      <c r="Y1099" s="29"/>
      <c r="Z1099" s="29"/>
      <c r="AA1099" s="29"/>
      <c r="AB1099" s="29"/>
      <c r="AC1099" s="29"/>
      <c r="AD1099" s="29"/>
      <c r="AE1099" s="29"/>
      <c r="AF1099" s="29"/>
      <c r="AG1099" s="29"/>
    </row>
    <row r="1100" spans="2:33" ht="12" customHeight="1">
      <c r="B1100" s="29"/>
      <c r="C1100" s="29"/>
      <c r="D1100" s="29"/>
      <c r="E1100" s="29"/>
      <c r="F1100" s="29"/>
      <c r="G1100" s="29"/>
      <c r="H1100" s="29"/>
      <c r="I1100" s="29"/>
      <c r="J1100" s="29"/>
      <c r="K1100" s="29"/>
      <c r="L1100" s="29"/>
      <c r="M1100" s="29"/>
      <c r="N1100" s="29"/>
      <c r="O1100" s="29"/>
      <c r="P1100" s="29"/>
      <c r="Q1100" s="29"/>
      <c r="R1100" s="29"/>
      <c r="S1100" s="29"/>
      <c r="T1100" s="29"/>
      <c r="U1100" s="29"/>
      <c r="V1100" s="29"/>
      <c r="W1100" s="29"/>
      <c r="X1100" s="29"/>
      <c r="Y1100" s="29"/>
      <c r="Z1100" s="29"/>
      <c r="AA1100" s="29"/>
      <c r="AB1100" s="29"/>
      <c r="AC1100" s="29"/>
      <c r="AD1100" s="29"/>
      <c r="AE1100" s="29"/>
      <c r="AF1100" s="29"/>
      <c r="AG1100" s="29"/>
    </row>
    <row r="1101" spans="2:33" ht="12" customHeight="1">
      <c r="B1101" s="29"/>
      <c r="C1101" s="29"/>
      <c r="D1101" s="29"/>
      <c r="E1101" s="29"/>
      <c r="F1101" s="29"/>
      <c r="G1101" s="29"/>
      <c r="H1101" s="29"/>
      <c r="I1101" s="29"/>
      <c r="J1101" s="29"/>
      <c r="K1101" s="29"/>
      <c r="L1101" s="29"/>
      <c r="M1101" s="29"/>
      <c r="N1101" s="29"/>
      <c r="O1101" s="29"/>
      <c r="P1101" s="29"/>
      <c r="Q1101" s="29"/>
      <c r="R1101" s="29"/>
      <c r="S1101" s="29"/>
      <c r="T1101" s="29"/>
      <c r="U1101" s="29"/>
      <c r="V1101" s="29"/>
      <c r="W1101" s="29"/>
      <c r="X1101" s="29"/>
      <c r="Y1101" s="29"/>
      <c r="Z1101" s="29"/>
      <c r="AA1101" s="29"/>
      <c r="AB1101" s="29"/>
      <c r="AC1101" s="29"/>
      <c r="AD1101" s="29"/>
      <c r="AE1101" s="29"/>
      <c r="AF1101" s="29"/>
      <c r="AG1101" s="29"/>
    </row>
    <row r="1102" spans="2:33" ht="12" customHeight="1">
      <c r="B1102" s="29"/>
      <c r="C1102" s="29"/>
      <c r="D1102" s="29"/>
      <c r="E1102" s="29"/>
      <c r="F1102" s="29"/>
      <c r="G1102" s="29"/>
      <c r="H1102" s="29"/>
      <c r="I1102" s="29"/>
      <c r="J1102" s="29"/>
      <c r="K1102" s="29"/>
      <c r="L1102" s="29"/>
      <c r="M1102" s="29"/>
      <c r="N1102" s="29"/>
      <c r="O1102" s="29"/>
      <c r="P1102" s="29"/>
      <c r="Q1102" s="29"/>
      <c r="R1102" s="29"/>
      <c r="S1102" s="29"/>
      <c r="T1102" s="29"/>
      <c r="U1102" s="29"/>
      <c r="V1102" s="29"/>
      <c r="W1102" s="29"/>
      <c r="X1102" s="29"/>
      <c r="Y1102" s="29"/>
      <c r="Z1102" s="29"/>
      <c r="AA1102" s="29"/>
      <c r="AB1102" s="29"/>
      <c r="AC1102" s="29"/>
      <c r="AD1102" s="29"/>
      <c r="AE1102" s="29"/>
      <c r="AF1102" s="29"/>
      <c r="AG1102" s="29"/>
    </row>
    <row r="1103" spans="2:33" ht="12" customHeight="1">
      <c r="B1103" s="29"/>
      <c r="C1103" s="29"/>
      <c r="D1103" s="29"/>
      <c r="E1103" s="29"/>
      <c r="F1103" s="29"/>
      <c r="G1103" s="29"/>
      <c r="H1103" s="29"/>
      <c r="I1103" s="29"/>
      <c r="J1103" s="29"/>
      <c r="K1103" s="29"/>
      <c r="L1103" s="29"/>
      <c r="M1103" s="29"/>
      <c r="N1103" s="29"/>
      <c r="O1103" s="29"/>
      <c r="P1103" s="29"/>
      <c r="Q1103" s="29"/>
      <c r="R1103" s="29"/>
      <c r="S1103" s="29"/>
      <c r="T1103" s="29"/>
      <c r="U1103" s="29"/>
      <c r="V1103" s="29"/>
      <c r="W1103" s="29"/>
      <c r="X1103" s="29"/>
      <c r="Y1103" s="29"/>
      <c r="Z1103" s="29"/>
      <c r="AA1103" s="29"/>
      <c r="AB1103" s="29"/>
      <c r="AC1103" s="29"/>
      <c r="AD1103" s="29"/>
      <c r="AE1103" s="29"/>
      <c r="AF1103" s="29"/>
      <c r="AG1103" s="29"/>
    </row>
    <row r="1104" spans="2:33" ht="12" customHeight="1">
      <c r="B1104" s="29"/>
      <c r="C1104" s="29"/>
      <c r="D1104" s="29"/>
      <c r="E1104" s="29"/>
      <c r="F1104" s="29"/>
      <c r="G1104" s="29"/>
      <c r="H1104" s="29"/>
      <c r="I1104" s="29"/>
      <c r="J1104" s="29"/>
      <c r="K1104" s="29"/>
      <c r="L1104" s="29"/>
      <c r="M1104" s="29"/>
      <c r="N1104" s="29"/>
      <c r="O1104" s="29"/>
      <c r="P1104" s="29"/>
      <c r="Q1104" s="29"/>
      <c r="R1104" s="29"/>
      <c r="S1104" s="29"/>
      <c r="T1104" s="29"/>
      <c r="U1104" s="29"/>
      <c r="V1104" s="29"/>
      <c r="W1104" s="29"/>
      <c r="X1104" s="29"/>
      <c r="Y1104" s="29"/>
      <c r="Z1104" s="29"/>
      <c r="AA1104" s="29"/>
      <c r="AB1104" s="29"/>
      <c r="AC1104" s="29"/>
      <c r="AD1104" s="29"/>
      <c r="AE1104" s="29"/>
      <c r="AF1104" s="29"/>
      <c r="AG1104" s="29"/>
    </row>
    <row r="1105" spans="2:33" ht="12" customHeight="1">
      <c r="B1105" s="29"/>
      <c r="C1105" s="29"/>
      <c r="D1105" s="29"/>
      <c r="E1105" s="29"/>
      <c r="F1105" s="29"/>
      <c r="G1105" s="29"/>
      <c r="H1105" s="29"/>
      <c r="I1105" s="29"/>
      <c r="J1105" s="29"/>
      <c r="K1105" s="29"/>
      <c r="L1105" s="29"/>
      <c r="M1105" s="29"/>
      <c r="N1105" s="29"/>
      <c r="O1105" s="29"/>
      <c r="P1105" s="29"/>
      <c r="Q1105" s="29"/>
      <c r="R1105" s="29"/>
      <c r="S1105" s="29"/>
      <c r="T1105" s="29"/>
      <c r="U1105" s="29"/>
      <c r="V1105" s="29"/>
      <c r="W1105" s="29"/>
      <c r="X1105" s="29"/>
      <c r="Y1105" s="29"/>
      <c r="Z1105" s="29"/>
      <c r="AA1105" s="29"/>
      <c r="AB1105" s="29"/>
      <c r="AC1105" s="29"/>
      <c r="AD1105" s="29"/>
      <c r="AE1105" s="29"/>
      <c r="AF1105" s="29"/>
      <c r="AG1105" s="29"/>
    </row>
    <row r="1106" spans="2:33" ht="12" customHeight="1">
      <c r="B1106" s="29"/>
      <c r="C1106" s="29"/>
      <c r="D1106" s="29"/>
      <c r="E1106" s="29"/>
      <c r="F1106" s="29"/>
      <c r="G1106" s="29"/>
      <c r="H1106" s="29"/>
      <c r="I1106" s="29"/>
      <c r="J1106" s="29"/>
      <c r="K1106" s="29"/>
      <c r="L1106" s="29"/>
      <c r="M1106" s="29"/>
      <c r="N1106" s="29"/>
      <c r="O1106" s="29"/>
      <c r="P1106" s="29"/>
      <c r="Q1106" s="29"/>
      <c r="R1106" s="29"/>
      <c r="S1106" s="29"/>
      <c r="T1106" s="29"/>
      <c r="U1106" s="29"/>
      <c r="V1106" s="29"/>
      <c r="W1106" s="29"/>
      <c r="X1106" s="29"/>
      <c r="Y1106" s="29"/>
      <c r="Z1106" s="29"/>
      <c r="AA1106" s="29"/>
      <c r="AB1106" s="29"/>
      <c r="AC1106" s="29"/>
      <c r="AD1106" s="29"/>
      <c r="AE1106" s="29"/>
      <c r="AF1106" s="29"/>
      <c r="AG1106" s="29"/>
    </row>
    <row r="1107" spans="2:33" ht="12" customHeight="1">
      <c r="B1107" s="29"/>
      <c r="C1107" s="29"/>
      <c r="D1107" s="29"/>
      <c r="E1107" s="29"/>
      <c r="F1107" s="29"/>
      <c r="G1107" s="29"/>
      <c r="H1107" s="29"/>
      <c r="I1107" s="29"/>
      <c r="J1107" s="29"/>
      <c r="K1107" s="29"/>
      <c r="L1107" s="29"/>
      <c r="M1107" s="29"/>
      <c r="N1107" s="29"/>
      <c r="O1107" s="29"/>
      <c r="P1107" s="29"/>
      <c r="Q1107" s="29"/>
      <c r="R1107" s="29"/>
      <c r="S1107" s="29"/>
      <c r="T1107" s="29"/>
      <c r="U1107" s="29"/>
      <c r="V1107" s="29"/>
      <c r="W1107" s="29"/>
      <c r="X1107" s="29"/>
      <c r="Y1107" s="29"/>
      <c r="Z1107" s="29"/>
      <c r="AA1107" s="29"/>
      <c r="AB1107" s="29"/>
      <c r="AC1107" s="29"/>
      <c r="AD1107" s="29"/>
      <c r="AE1107" s="29"/>
      <c r="AF1107" s="29"/>
      <c r="AG1107" s="29"/>
    </row>
    <row r="1108" spans="2:33" ht="12" customHeight="1">
      <c r="B1108" s="29"/>
      <c r="C1108" s="29"/>
      <c r="D1108" s="29"/>
      <c r="E1108" s="29"/>
      <c r="F1108" s="29"/>
      <c r="G1108" s="29"/>
      <c r="H1108" s="29"/>
      <c r="I1108" s="29"/>
      <c r="J1108" s="29"/>
      <c r="K1108" s="29"/>
      <c r="L1108" s="29"/>
      <c r="M1108" s="29"/>
      <c r="N1108" s="29"/>
      <c r="O1108" s="29"/>
      <c r="P1108" s="29"/>
      <c r="Q1108" s="29"/>
      <c r="R1108" s="29"/>
      <c r="S1108" s="29"/>
      <c r="T1108" s="29"/>
      <c r="U1108" s="29"/>
      <c r="V1108" s="29"/>
      <c r="W1108" s="29"/>
      <c r="X1108" s="29"/>
      <c r="Y1108" s="29"/>
      <c r="Z1108" s="29"/>
      <c r="AA1108" s="29"/>
      <c r="AB1108" s="29"/>
      <c r="AC1108" s="29"/>
      <c r="AD1108" s="29"/>
      <c r="AE1108" s="29"/>
      <c r="AF1108" s="29"/>
      <c r="AG1108" s="29"/>
    </row>
    <row r="1109" spans="2:33" ht="12" customHeight="1">
      <c r="B1109" s="29"/>
      <c r="C1109" s="29"/>
      <c r="D1109" s="29"/>
      <c r="E1109" s="29"/>
      <c r="F1109" s="29"/>
      <c r="G1109" s="29"/>
      <c r="H1109" s="29"/>
      <c r="I1109" s="29"/>
      <c r="J1109" s="29"/>
      <c r="K1109" s="29"/>
      <c r="L1109" s="29"/>
      <c r="M1109" s="29"/>
      <c r="N1109" s="29"/>
      <c r="O1109" s="29"/>
      <c r="P1109" s="29"/>
      <c r="Q1109" s="29"/>
      <c r="R1109" s="29"/>
      <c r="S1109" s="29"/>
      <c r="T1109" s="29"/>
      <c r="U1109" s="29"/>
      <c r="V1109" s="29"/>
      <c r="W1109" s="29"/>
      <c r="X1109" s="29"/>
      <c r="Y1109" s="29"/>
      <c r="Z1109" s="29"/>
      <c r="AA1109" s="29"/>
      <c r="AB1109" s="29"/>
      <c r="AC1109" s="29"/>
      <c r="AD1109" s="29"/>
      <c r="AE1109" s="29"/>
      <c r="AF1109" s="29"/>
      <c r="AG1109" s="29"/>
    </row>
    <row r="1110" spans="2:33" ht="12" customHeight="1">
      <c r="B1110" s="29"/>
      <c r="C1110" s="29"/>
      <c r="D1110" s="29"/>
      <c r="E1110" s="29"/>
      <c r="F1110" s="29"/>
      <c r="G1110" s="29"/>
      <c r="H1110" s="29"/>
      <c r="I1110" s="29"/>
      <c r="J1110" s="29"/>
      <c r="K1110" s="29"/>
      <c r="L1110" s="29"/>
      <c r="M1110" s="29"/>
      <c r="N1110" s="29"/>
      <c r="O1110" s="29"/>
      <c r="P1110" s="29"/>
      <c r="Q1110" s="29"/>
      <c r="R1110" s="29"/>
      <c r="S1110" s="29"/>
      <c r="T1110" s="29"/>
      <c r="U1110" s="29"/>
      <c r="V1110" s="29"/>
      <c r="W1110" s="29"/>
      <c r="X1110" s="29"/>
      <c r="Y1110" s="29"/>
      <c r="Z1110" s="29"/>
      <c r="AA1110" s="29"/>
      <c r="AB1110" s="29"/>
      <c r="AC1110" s="29"/>
      <c r="AD1110" s="29"/>
      <c r="AE1110" s="29"/>
      <c r="AF1110" s="29"/>
      <c r="AG1110" s="29"/>
    </row>
    <row r="1111" spans="2:33" ht="12" customHeight="1">
      <c r="B1111" s="29"/>
      <c r="C1111" s="29"/>
      <c r="D1111" s="29"/>
      <c r="E1111" s="29"/>
      <c r="F1111" s="29"/>
      <c r="G1111" s="29"/>
      <c r="H1111" s="29"/>
      <c r="I1111" s="29"/>
      <c r="J1111" s="29"/>
      <c r="K1111" s="29"/>
      <c r="L1111" s="29"/>
      <c r="M1111" s="29"/>
      <c r="N1111" s="29"/>
      <c r="O1111" s="29"/>
      <c r="P1111" s="29"/>
      <c r="Q1111" s="29"/>
      <c r="R1111" s="29"/>
      <c r="S1111" s="29"/>
      <c r="T1111" s="29"/>
      <c r="U1111" s="29"/>
      <c r="V1111" s="29"/>
      <c r="W1111" s="29"/>
      <c r="X1111" s="29"/>
      <c r="Y1111" s="29"/>
      <c r="Z1111" s="29"/>
      <c r="AA1111" s="29"/>
      <c r="AB1111" s="29"/>
      <c r="AC1111" s="29"/>
      <c r="AD1111" s="29"/>
      <c r="AE1111" s="29"/>
      <c r="AF1111" s="29"/>
      <c r="AG1111" s="29"/>
    </row>
    <row r="1112" spans="2:33" ht="12" customHeight="1">
      <c r="B1112" s="29"/>
      <c r="C1112" s="29"/>
      <c r="D1112" s="29"/>
      <c r="E1112" s="29"/>
      <c r="F1112" s="29"/>
      <c r="G1112" s="29"/>
      <c r="H1112" s="29"/>
      <c r="I1112" s="29"/>
      <c r="J1112" s="29"/>
      <c r="K1112" s="29"/>
      <c r="L1112" s="29"/>
      <c r="M1112" s="29"/>
      <c r="N1112" s="29"/>
      <c r="O1112" s="29"/>
      <c r="P1112" s="29"/>
      <c r="Q1112" s="29"/>
      <c r="R1112" s="29"/>
      <c r="S1112" s="29"/>
      <c r="T1112" s="29"/>
      <c r="U1112" s="29"/>
      <c r="V1112" s="29"/>
      <c r="W1112" s="29"/>
      <c r="X1112" s="29"/>
      <c r="Y1112" s="29"/>
      <c r="Z1112" s="29"/>
      <c r="AA1112" s="29"/>
      <c r="AB1112" s="29"/>
      <c r="AC1112" s="29"/>
      <c r="AD1112" s="29"/>
      <c r="AE1112" s="29"/>
      <c r="AF1112" s="29"/>
      <c r="AG1112" s="29"/>
    </row>
    <row r="1113" spans="2:33" ht="12" customHeight="1">
      <c r="B1113" s="29"/>
      <c r="C1113" s="29"/>
      <c r="D1113" s="29"/>
      <c r="E1113" s="29"/>
      <c r="F1113" s="29"/>
      <c r="G1113" s="29"/>
      <c r="H1113" s="29"/>
      <c r="I1113" s="29"/>
      <c r="J1113" s="29"/>
      <c r="K1113" s="29"/>
      <c r="L1113" s="29"/>
      <c r="M1113" s="29"/>
      <c r="N1113" s="29"/>
      <c r="O1113" s="29"/>
      <c r="P1113" s="29"/>
      <c r="Q1113" s="29"/>
      <c r="R1113" s="29"/>
      <c r="S1113" s="29"/>
      <c r="T1113" s="29"/>
      <c r="U1113" s="29"/>
      <c r="V1113" s="29"/>
      <c r="W1113" s="29"/>
      <c r="X1113" s="29"/>
      <c r="Y1113" s="29"/>
      <c r="Z1113" s="29"/>
      <c r="AA1113" s="29"/>
      <c r="AB1113" s="29"/>
      <c r="AC1113" s="29"/>
      <c r="AD1113" s="29"/>
      <c r="AE1113" s="29"/>
      <c r="AF1113" s="29"/>
      <c r="AG1113" s="29"/>
    </row>
    <row r="1114" spans="2:33" ht="12" customHeight="1">
      <c r="B1114" s="29"/>
      <c r="C1114" s="29"/>
      <c r="D1114" s="29"/>
      <c r="E1114" s="29"/>
      <c r="F1114" s="29"/>
      <c r="G1114" s="29"/>
      <c r="H1114" s="29"/>
      <c r="I1114" s="29"/>
      <c r="J1114" s="29"/>
      <c r="K1114" s="29"/>
      <c r="L1114" s="29"/>
      <c r="M1114" s="29"/>
      <c r="N1114" s="29"/>
      <c r="O1114" s="29"/>
      <c r="P1114" s="29"/>
      <c r="Q1114" s="29"/>
      <c r="R1114" s="29"/>
      <c r="S1114" s="29"/>
      <c r="T1114" s="29"/>
      <c r="U1114" s="29"/>
      <c r="V1114" s="29"/>
      <c r="W1114" s="29"/>
      <c r="X1114" s="29"/>
      <c r="Y1114" s="29"/>
      <c r="Z1114" s="29"/>
      <c r="AA1114" s="29"/>
      <c r="AB1114" s="29"/>
      <c r="AC1114" s="29"/>
      <c r="AD1114" s="29"/>
      <c r="AE1114" s="29"/>
      <c r="AF1114" s="29"/>
      <c r="AG1114" s="29"/>
    </row>
    <row r="1115" spans="2:33" ht="12" customHeight="1">
      <c r="B1115" s="29"/>
      <c r="C1115" s="29"/>
      <c r="D1115" s="29"/>
      <c r="E1115" s="29"/>
      <c r="F1115" s="29"/>
      <c r="G1115" s="29"/>
      <c r="H1115" s="29"/>
      <c r="I1115" s="29"/>
      <c r="J1115" s="29"/>
      <c r="K1115" s="29"/>
      <c r="L1115" s="29"/>
      <c r="M1115" s="29"/>
      <c r="N1115" s="29"/>
      <c r="O1115" s="29"/>
      <c r="P1115" s="29"/>
      <c r="Q1115" s="29"/>
      <c r="R1115" s="29"/>
      <c r="S1115" s="29"/>
      <c r="T1115" s="29"/>
      <c r="U1115" s="29"/>
      <c r="V1115" s="29"/>
      <c r="W1115" s="29"/>
      <c r="X1115" s="29"/>
      <c r="Y1115" s="29"/>
      <c r="Z1115" s="29"/>
      <c r="AA1115" s="29"/>
      <c r="AB1115" s="29"/>
      <c r="AC1115" s="29"/>
      <c r="AD1115" s="29"/>
      <c r="AE1115" s="29"/>
      <c r="AF1115" s="29"/>
      <c r="AG1115" s="29"/>
    </row>
    <row r="1116" spans="2:33" ht="12" customHeight="1">
      <c r="B1116" s="29"/>
      <c r="C1116" s="29"/>
      <c r="D1116" s="29"/>
      <c r="E1116" s="29"/>
      <c r="F1116" s="29"/>
      <c r="G1116" s="29"/>
      <c r="H1116" s="29"/>
      <c r="I1116" s="29"/>
      <c r="J1116" s="29"/>
      <c r="K1116" s="29"/>
      <c r="L1116" s="29"/>
      <c r="M1116" s="29"/>
      <c r="N1116" s="29"/>
      <c r="O1116" s="29"/>
      <c r="P1116" s="29"/>
      <c r="Q1116" s="29"/>
      <c r="R1116" s="29"/>
      <c r="S1116" s="29"/>
      <c r="T1116" s="29"/>
      <c r="U1116" s="29"/>
      <c r="V1116" s="29"/>
      <c r="W1116" s="29"/>
      <c r="X1116" s="29"/>
      <c r="Y1116" s="29"/>
      <c r="Z1116" s="29"/>
      <c r="AA1116" s="29"/>
      <c r="AB1116" s="29"/>
      <c r="AC1116" s="29"/>
      <c r="AD1116" s="29"/>
      <c r="AE1116" s="29"/>
      <c r="AF1116" s="29"/>
      <c r="AG1116" s="29"/>
    </row>
    <row r="1117" spans="2:33" ht="12" customHeight="1">
      <c r="B1117" s="29"/>
      <c r="C1117" s="29"/>
      <c r="D1117" s="29"/>
      <c r="E1117" s="29"/>
      <c r="F1117" s="29"/>
      <c r="G1117" s="29"/>
      <c r="H1117" s="29"/>
      <c r="I1117" s="29"/>
      <c r="J1117" s="29"/>
      <c r="K1117" s="29"/>
      <c r="L1117" s="29"/>
      <c r="M1117" s="29"/>
      <c r="N1117" s="29"/>
      <c r="O1117" s="29"/>
      <c r="P1117" s="29"/>
      <c r="Q1117" s="29"/>
      <c r="R1117" s="29"/>
      <c r="S1117" s="29"/>
      <c r="T1117" s="29"/>
      <c r="U1117" s="29"/>
      <c r="V1117" s="29"/>
      <c r="W1117" s="29"/>
      <c r="X1117" s="29"/>
      <c r="Y1117" s="29"/>
      <c r="Z1117" s="29"/>
      <c r="AA1117" s="29"/>
      <c r="AB1117" s="29"/>
      <c r="AC1117" s="29"/>
      <c r="AD1117" s="29"/>
      <c r="AE1117" s="29"/>
      <c r="AF1117" s="29"/>
      <c r="AG1117" s="29"/>
    </row>
    <row r="1118" spans="2:33" ht="12" customHeight="1">
      <c r="B1118" s="29"/>
      <c r="C1118" s="29"/>
      <c r="D1118" s="29"/>
      <c r="E1118" s="29"/>
      <c r="F1118" s="29"/>
      <c r="G1118" s="29"/>
      <c r="H1118" s="29"/>
      <c r="I1118" s="29"/>
      <c r="J1118" s="29"/>
      <c r="K1118" s="29"/>
      <c r="L1118" s="29"/>
      <c r="M1118" s="29"/>
      <c r="N1118" s="29"/>
      <c r="O1118" s="29"/>
      <c r="P1118" s="29"/>
      <c r="Q1118" s="29"/>
      <c r="R1118" s="29"/>
      <c r="S1118" s="29"/>
      <c r="T1118" s="29"/>
      <c r="U1118" s="29"/>
      <c r="V1118" s="29"/>
      <c r="W1118" s="29"/>
      <c r="X1118" s="29"/>
      <c r="Y1118" s="29"/>
      <c r="Z1118" s="29"/>
      <c r="AA1118" s="29"/>
      <c r="AB1118" s="29"/>
      <c r="AC1118" s="29"/>
      <c r="AD1118" s="29"/>
      <c r="AE1118" s="29"/>
      <c r="AF1118" s="29"/>
      <c r="AG1118" s="29"/>
    </row>
    <row r="1119" spans="2:33" ht="12" customHeight="1">
      <c r="B1119" s="29"/>
      <c r="C1119" s="29"/>
      <c r="D1119" s="29"/>
      <c r="E1119" s="29"/>
      <c r="F1119" s="29"/>
      <c r="G1119" s="29"/>
      <c r="H1119" s="29"/>
      <c r="I1119" s="29"/>
      <c r="J1119" s="29"/>
      <c r="K1119" s="29"/>
      <c r="L1119" s="29"/>
      <c r="M1119" s="29"/>
      <c r="N1119" s="29"/>
      <c r="O1119" s="29"/>
      <c r="P1119" s="29"/>
      <c r="Q1119" s="29"/>
      <c r="R1119" s="29"/>
      <c r="S1119" s="29"/>
      <c r="T1119" s="29"/>
      <c r="U1119" s="29"/>
      <c r="V1119" s="29"/>
      <c r="W1119" s="29"/>
      <c r="X1119" s="29"/>
      <c r="Y1119" s="29"/>
      <c r="Z1119" s="29"/>
      <c r="AA1119" s="29"/>
      <c r="AB1119" s="29"/>
      <c r="AC1119" s="29"/>
      <c r="AD1119" s="29"/>
      <c r="AE1119" s="29"/>
      <c r="AF1119" s="29"/>
      <c r="AG1119" s="29"/>
    </row>
    <row r="1120" spans="2:33" ht="12" customHeight="1">
      <c r="B1120" s="29"/>
      <c r="C1120" s="29"/>
      <c r="D1120" s="29"/>
      <c r="E1120" s="29"/>
      <c r="F1120" s="29"/>
      <c r="G1120" s="29"/>
      <c r="H1120" s="29"/>
      <c r="I1120" s="29"/>
      <c r="J1120" s="29"/>
      <c r="K1120" s="29"/>
      <c r="L1120" s="29"/>
      <c r="M1120" s="29"/>
      <c r="N1120" s="29"/>
      <c r="O1120" s="29"/>
      <c r="P1120" s="29"/>
      <c r="Q1120" s="29"/>
      <c r="R1120" s="29"/>
      <c r="S1120" s="29"/>
      <c r="T1120" s="29"/>
      <c r="U1120" s="29"/>
      <c r="V1120" s="29"/>
      <c r="W1120" s="29"/>
      <c r="X1120" s="29"/>
      <c r="Y1120" s="29"/>
      <c r="Z1120" s="29"/>
      <c r="AA1120" s="29"/>
      <c r="AB1120" s="29"/>
      <c r="AC1120" s="29"/>
      <c r="AD1120" s="29"/>
      <c r="AE1120" s="29"/>
      <c r="AF1120" s="29"/>
      <c r="AG1120" s="29"/>
    </row>
    <row r="1121" spans="2:33" ht="12" customHeight="1">
      <c r="B1121" s="29"/>
      <c r="C1121" s="29"/>
      <c r="D1121" s="29"/>
      <c r="E1121" s="29"/>
      <c r="F1121" s="29"/>
      <c r="G1121" s="29"/>
      <c r="H1121" s="29"/>
      <c r="I1121" s="29"/>
      <c r="J1121" s="29"/>
      <c r="K1121" s="29"/>
      <c r="L1121" s="29"/>
      <c r="M1121" s="29"/>
      <c r="N1121" s="29"/>
      <c r="O1121" s="29"/>
      <c r="P1121" s="29"/>
      <c r="Q1121" s="29"/>
      <c r="R1121" s="29"/>
      <c r="S1121" s="29"/>
      <c r="T1121" s="29"/>
      <c r="U1121" s="29"/>
      <c r="V1121" s="29"/>
      <c r="W1121" s="29"/>
      <c r="X1121" s="29"/>
      <c r="Y1121" s="29"/>
      <c r="Z1121" s="29"/>
      <c r="AA1121" s="29"/>
      <c r="AB1121" s="29"/>
      <c r="AC1121" s="29"/>
      <c r="AD1121" s="29"/>
      <c r="AE1121" s="29"/>
      <c r="AF1121" s="29"/>
      <c r="AG1121" s="29"/>
    </row>
    <row r="1122" spans="2:33" ht="12" customHeight="1">
      <c r="B1122" s="29"/>
      <c r="C1122" s="29"/>
      <c r="D1122" s="29"/>
      <c r="E1122" s="29"/>
      <c r="F1122" s="29"/>
      <c r="G1122" s="29"/>
      <c r="H1122" s="29"/>
      <c r="I1122" s="29"/>
      <c r="J1122" s="29"/>
      <c r="K1122" s="29"/>
      <c r="L1122" s="29"/>
      <c r="M1122" s="29"/>
      <c r="N1122" s="29"/>
      <c r="O1122" s="29"/>
      <c r="P1122" s="29"/>
      <c r="Q1122" s="29"/>
      <c r="R1122" s="29"/>
      <c r="S1122" s="29"/>
      <c r="T1122" s="29"/>
      <c r="U1122" s="29"/>
      <c r="V1122" s="29"/>
      <c r="W1122" s="29"/>
      <c r="X1122" s="29"/>
      <c r="Y1122" s="29"/>
      <c r="Z1122" s="29"/>
      <c r="AA1122" s="29"/>
      <c r="AB1122" s="29"/>
      <c r="AC1122" s="29"/>
      <c r="AD1122" s="29"/>
      <c r="AE1122" s="29"/>
      <c r="AF1122" s="29"/>
      <c r="AG1122" s="29"/>
    </row>
    <row r="1123" spans="2:33" ht="12" customHeight="1">
      <c r="B1123" s="29"/>
      <c r="C1123" s="29"/>
      <c r="D1123" s="29"/>
      <c r="E1123" s="29"/>
      <c r="F1123" s="29"/>
      <c r="G1123" s="29"/>
      <c r="H1123" s="29"/>
      <c r="I1123" s="29"/>
      <c r="J1123" s="29"/>
      <c r="K1123" s="29"/>
      <c r="L1123" s="29"/>
      <c r="M1123" s="29"/>
      <c r="N1123" s="29"/>
      <c r="O1123" s="29"/>
      <c r="P1123" s="29"/>
      <c r="Q1123" s="29"/>
      <c r="R1123" s="29"/>
      <c r="S1123" s="29"/>
      <c r="T1123" s="29"/>
      <c r="U1123" s="29"/>
      <c r="V1123" s="29"/>
      <c r="W1123" s="29"/>
      <c r="X1123" s="29"/>
      <c r="Y1123" s="29"/>
      <c r="Z1123" s="29"/>
      <c r="AA1123" s="29"/>
      <c r="AB1123" s="29"/>
      <c r="AC1123" s="29"/>
      <c r="AD1123" s="29"/>
      <c r="AE1123" s="29"/>
      <c r="AF1123" s="29"/>
      <c r="AG1123" s="29"/>
    </row>
    <row r="1124" spans="2:33" ht="12" customHeight="1">
      <c r="B1124" s="29"/>
      <c r="C1124" s="29"/>
      <c r="D1124" s="29"/>
      <c r="E1124" s="29"/>
      <c r="F1124" s="29"/>
      <c r="G1124" s="29"/>
      <c r="H1124" s="29"/>
      <c r="I1124" s="29"/>
      <c r="J1124" s="29"/>
      <c r="K1124" s="29"/>
      <c r="L1124" s="29"/>
      <c r="M1124" s="29"/>
      <c r="N1124" s="29"/>
      <c r="O1124" s="29"/>
      <c r="P1124" s="29"/>
      <c r="Q1124" s="29"/>
      <c r="R1124" s="29"/>
      <c r="S1124" s="29"/>
      <c r="T1124" s="29"/>
      <c r="U1124" s="29"/>
      <c r="V1124" s="29"/>
      <c r="W1124" s="29"/>
      <c r="X1124" s="29"/>
      <c r="Y1124" s="29"/>
      <c r="Z1124" s="29"/>
      <c r="AA1124" s="29"/>
      <c r="AB1124" s="29"/>
      <c r="AC1124" s="29"/>
      <c r="AD1124" s="29"/>
      <c r="AE1124" s="29"/>
      <c r="AF1124" s="29"/>
      <c r="AG1124" s="29"/>
    </row>
    <row r="1125" spans="2:33" ht="15" customHeight="1">
      <c r="B1125" s="29"/>
      <c r="C1125" s="29"/>
      <c r="D1125" s="29"/>
      <c r="E1125" s="29"/>
      <c r="F1125" s="29"/>
      <c r="G1125" s="29"/>
      <c r="H1125" s="29"/>
      <c r="I1125" s="29"/>
      <c r="J1125" s="29"/>
      <c r="K1125" s="29"/>
      <c r="L1125" s="29"/>
      <c r="M1125" s="29"/>
      <c r="N1125" s="29"/>
      <c r="O1125" s="29"/>
      <c r="P1125" s="29"/>
      <c r="Q1125" s="29"/>
      <c r="R1125" s="29"/>
      <c r="S1125" s="29"/>
      <c r="T1125" s="29"/>
      <c r="U1125" s="29"/>
      <c r="V1125" s="29"/>
      <c r="W1125" s="29"/>
      <c r="X1125" s="29"/>
      <c r="Y1125" s="29"/>
      <c r="Z1125" s="29"/>
      <c r="AA1125" s="29"/>
      <c r="AB1125" s="29"/>
      <c r="AC1125" s="29"/>
      <c r="AD1125" s="29"/>
      <c r="AE1125" s="29"/>
      <c r="AF1125" s="29"/>
      <c r="AG1125" s="29"/>
    </row>
    <row r="1126" spans="2:33" ht="15" customHeight="1">
      <c r="B1126" s="29"/>
      <c r="C1126" s="29"/>
      <c r="D1126" s="29"/>
      <c r="E1126" s="29"/>
      <c r="F1126" s="29"/>
      <c r="G1126" s="29"/>
      <c r="H1126" s="29"/>
      <c r="I1126" s="29"/>
      <c r="J1126" s="29"/>
      <c r="K1126" s="29"/>
      <c r="L1126" s="29"/>
      <c r="M1126" s="29"/>
      <c r="N1126" s="29"/>
      <c r="O1126" s="29"/>
      <c r="P1126" s="29"/>
      <c r="Q1126" s="29"/>
      <c r="R1126" s="29"/>
      <c r="S1126" s="29"/>
      <c r="T1126" s="29"/>
      <c r="U1126" s="29"/>
      <c r="V1126" s="29"/>
      <c r="W1126" s="29"/>
      <c r="X1126" s="29"/>
      <c r="Y1126" s="29"/>
      <c r="Z1126" s="29"/>
      <c r="AA1126" s="29"/>
      <c r="AB1126" s="29"/>
      <c r="AC1126" s="29"/>
      <c r="AD1126" s="29"/>
      <c r="AE1126" s="29"/>
      <c r="AF1126" s="29"/>
      <c r="AG1126" s="29"/>
    </row>
    <row r="1127" spans="2:33" ht="15" customHeight="1">
      <c r="B1127" s="29"/>
      <c r="C1127" s="29"/>
      <c r="D1127" s="29"/>
      <c r="E1127" s="29"/>
      <c r="F1127" s="29"/>
      <c r="G1127" s="29"/>
      <c r="H1127" s="29"/>
      <c r="I1127" s="29"/>
      <c r="J1127" s="29"/>
      <c r="K1127" s="29"/>
      <c r="L1127" s="29"/>
      <c r="M1127" s="29"/>
      <c r="N1127" s="29"/>
      <c r="O1127" s="29"/>
      <c r="P1127" s="29"/>
      <c r="Q1127" s="29"/>
      <c r="R1127" s="29"/>
      <c r="S1127" s="29"/>
      <c r="T1127" s="29"/>
      <c r="U1127" s="29"/>
      <c r="V1127" s="29"/>
      <c r="W1127" s="29"/>
      <c r="X1127" s="29"/>
      <c r="Y1127" s="29"/>
      <c r="Z1127" s="29"/>
      <c r="AA1127" s="29"/>
      <c r="AB1127" s="29"/>
      <c r="AC1127" s="29"/>
      <c r="AD1127" s="29"/>
      <c r="AE1127" s="29"/>
      <c r="AF1127" s="29"/>
      <c r="AG1127" s="29"/>
    </row>
    <row r="1128" spans="2:33" ht="15" customHeight="1">
      <c r="B1128" s="29"/>
      <c r="C1128" s="29"/>
      <c r="D1128" s="29"/>
      <c r="E1128" s="29"/>
      <c r="F1128" s="29"/>
      <c r="G1128" s="29"/>
      <c r="H1128" s="29"/>
      <c r="I1128" s="29"/>
      <c r="J1128" s="29"/>
      <c r="K1128" s="29"/>
      <c r="L1128" s="29"/>
      <c r="M1128" s="29"/>
      <c r="N1128" s="29"/>
      <c r="O1128" s="29"/>
      <c r="P1128" s="29"/>
      <c r="Q1128" s="29"/>
      <c r="R1128" s="29"/>
      <c r="S1128" s="29"/>
      <c r="T1128" s="29"/>
      <c r="U1128" s="29"/>
      <c r="V1128" s="29"/>
      <c r="W1128" s="29"/>
      <c r="X1128" s="29"/>
      <c r="Y1128" s="29"/>
      <c r="Z1128" s="29"/>
      <c r="AA1128" s="29"/>
      <c r="AB1128" s="29"/>
      <c r="AC1128" s="29"/>
      <c r="AD1128" s="29"/>
      <c r="AE1128" s="29"/>
      <c r="AF1128" s="29"/>
      <c r="AG1128" s="29"/>
    </row>
    <row r="1129" spans="2:33" ht="15" customHeight="1">
      <c r="B1129" s="29"/>
      <c r="C1129" s="29"/>
      <c r="D1129" s="29"/>
      <c r="E1129" s="29"/>
      <c r="F1129" s="29"/>
      <c r="G1129" s="29"/>
      <c r="H1129" s="29"/>
      <c r="I1129" s="29"/>
      <c r="J1129" s="29"/>
      <c r="K1129" s="29"/>
      <c r="L1129" s="29"/>
      <c r="M1129" s="29"/>
      <c r="N1129" s="29"/>
      <c r="O1129" s="29"/>
      <c r="P1129" s="29"/>
      <c r="Q1129" s="29"/>
      <c r="R1129" s="29"/>
      <c r="S1129" s="29"/>
      <c r="T1129" s="29"/>
      <c r="U1129" s="29"/>
      <c r="V1129" s="29"/>
      <c r="W1129" s="29"/>
      <c r="X1129" s="29"/>
      <c r="Y1129" s="29"/>
      <c r="Z1129" s="29"/>
      <c r="AA1129" s="29"/>
      <c r="AB1129" s="29"/>
      <c r="AC1129" s="29"/>
      <c r="AD1129" s="29"/>
      <c r="AE1129" s="29"/>
      <c r="AF1129" s="29"/>
      <c r="AG1129" s="29"/>
    </row>
    <row r="1130" spans="2:33" ht="15" customHeight="1">
      <c r="B1130" s="29"/>
      <c r="C1130" s="29"/>
      <c r="D1130" s="29"/>
      <c r="E1130" s="29"/>
      <c r="F1130" s="29"/>
      <c r="G1130" s="29"/>
      <c r="H1130" s="29"/>
      <c r="I1130" s="29"/>
      <c r="J1130" s="29"/>
      <c r="K1130" s="29"/>
      <c r="L1130" s="29"/>
      <c r="M1130" s="29"/>
      <c r="N1130" s="29"/>
      <c r="O1130" s="29"/>
      <c r="P1130" s="29"/>
      <c r="Q1130" s="29"/>
      <c r="R1130" s="29"/>
      <c r="S1130" s="29"/>
      <c r="T1130" s="29"/>
      <c r="U1130" s="29"/>
      <c r="V1130" s="29"/>
      <c r="W1130" s="29"/>
      <c r="X1130" s="29"/>
      <c r="Y1130" s="29"/>
      <c r="Z1130" s="29"/>
      <c r="AA1130" s="29"/>
      <c r="AB1130" s="29"/>
      <c r="AC1130" s="29"/>
      <c r="AD1130" s="29"/>
      <c r="AE1130" s="29"/>
      <c r="AF1130" s="29"/>
      <c r="AG1130" s="29"/>
    </row>
    <row r="1131" spans="2:33" ht="12" customHeight="1">
      <c r="B1131" s="29"/>
      <c r="C1131" s="29"/>
      <c r="D1131" s="29"/>
      <c r="E1131" s="29"/>
      <c r="F1131" s="29"/>
      <c r="G1131" s="29"/>
      <c r="H1131" s="29"/>
      <c r="I1131" s="29"/>
      <c r="J1131" s="29"/>
      <c r="K1131" s="29"/>
      <c r="L1131" s="29"/>
      <c r="M1131" s="29"/>
      <c r="N1131" s="29"/>
      <c r="O1131" s="29"/>
      <c r="P1131" s="29"/>
      <c r="Q1131" s="29"/>
      <c r="R1131" s="29"/>
      <c r="S1131" s="29"/>
      <c r="T1131" s="29"/>
      <c r="U1131" s="29"/>
      <c r="V1131" s="29"/>
      <c r="W1131" s="29"/>
      <c r="X1131" s="29"/>
      <c r="Y1131" s="29"/>
      <c r="Z1131" s="29"/>
      <c r="AA1131" s="29"/>
      <c r="AB1131" s="29"/>
      <c r="AC1131" s="29"/>
      <c r="AD1131" s="29"/>
      <c r="AE1131" s="29"/>
      <c r="AF1131" s="29"/>
      <c r="AG1131" s="29"/>
    </row>
    <row r="1132" spans="2:33" ht="15" customHeight="1">
      <c r="B1132" s="29"/>
      <c r="C1132" s="29"/>
      <c r="D1132" s="29"/>
      <c r="E1132" s="29"/>
      <c r="F1132" s="29"/>
      <c r="G1132" s="29"/>
      <c r="H1132" s="29"/>
      <c r="I1132" s="29"/>
      <c r="J1132" s="29"/>
      <c r="K1132" s="29"/>
      <c r="L1132" s="29"/>
      <c r="M1132" s="29"/>
      <c r="N1132" s="29"/>
      <c r="O1132" s="29"/>
      <c r="P1132" s="29"/>
      <c r="Q1132" s="29"/>
      <c r="R1132" s="29"/>
      <c r="S1132" s="29"/>
      <c r="T1132" s="29"/>
      <c r="U1132" s="29"/>
      <c r="V1132" s="29"/>
      <c r="W1132" s="29"/>
      <c r="X1132" s="29"/>
      <c r="Y1132" s="29"/>
      <c r="Z1132" s="29"/>
      <c r="AA1132" s="29"/>
      <c r="AB1132" s="29"/>
      <c r="AC1132" s="29"/>
      <c r="AD1132" s="29"/>
      <c r="AE1132" s="29"/>
      <c r="AF1132" s="29"/>
      <c r="AG1132" s="29"/>
    </row>
    <row r="1133" spans="2:33" ht="15" customHeight="1">
      <c r="B1133" s="29"/>
      <c r="C1133" s="29"/>
      <c r="D1133" s="29"/>
      <c r="E1133" s="29"/>
      <c r="F1133" s="29"/>
      <c r="G1133" s="29"/>
      <c r="H1133" s="29"/>
      <c r="I1133" s="29"/>
      <c r="J1133" s="29"/>
      <c r="K1133" s="29"/>
      <c r="L1133" s="29"/>
      <c r="M1133" s="29"/>
      <c r="N1133" s="29"/>
      <c r="O1133" s="29"/>
      <c r="P1133" s="29"/>
      <c r="Q1133" s="29"/>
      <c r="R1133" s="29"/>
      <c r="S1133" s="29"/>
      <c r="T1133" s="29"/>
      <c r="U1133" s="29"/>
      <c r="V1133" s="29"/>
      <c r="W1133" s="29"/>
      <c r="X1133" s="29"/>
      <c r="Y1133" s="29"/>
      <c r="Z1133" s="29"/>
      <c r="AA1133" s="29"/>
      <c r="AB1133" s="29"/>
      <c r="AC1133" s="29"/>
      <c r="AD1133" s="29"/>
      <c r="AE1133" s="29"/>
      <c r="AF1133" s="29"/>
      <c r="AG1133" s="29"/>
    </row>
    <row r="1134" spans="2:33" ht="15" customHeight="1">
      <c r="B1134" s="29"/>
      <c r="C1134" s="29"/>
      <c r="D1134" s="29"/>
      <c r="E1134" s="29"/>
      <c r="F1134" s="29"/>
      <c r="G1134" s="29"/>
      <c r="H1134" s="29"/>
      <c r="I1134" s="29"/>
      <c r="J1134" s="29"/>
      <c r="K1134" s="29"/>
      <c r="L1134" s="29"/>
      <c r="M1134" s="29"/>
      <c r="N1134" s="29"/>
      <c r="O1134" s="29"/>
      <c r="P1134" s="29"/>
      <c r="Q1134" s="29"/>
      <c r="R1134" s="29"/>
      <c r="S1134" s="29"/>
      <c r="T1134" s="29"/>
      <c r="U1134" s="29"/>
      <c r="V1134" s="29"/>
      <c r="W1134" s="29"/>
      <c r="X1134" s="29"/>
      <c r="Y1134" s="29"/>
      <c r="Z1134" s="29"/>
      <c r="AA1134" s="29"/>
      <c r="AB1134" s="29"/>
      <c r="AC1134" s="29"/>
      <c r="AD1134" s="29"/>
      <c r="AE1134" s="29"/>
      <c r="AF1134" s="29"/>
      <c r="AG1134" s="29"/>
    </row>
    <row r="1135" spans="2:33" ht="15" customHeight="1">
      <c r="B1135" s="29"/>
      <c r="C1135" s="29"/>
      <c r="D1135" s="29"/>
      <c r="E1135" s="29"/>
      <c r="F1135" s="29"/>
      <c r="G1135" s="29"/>
      <c r="H1135" s="29"/>
      <c r="I1135" s="29"/>
      <c r="J1135" s="29"/>
      <c r="K1135" s="29"/>
      <c r="L1135" s="29"/>
      <c r="M1135" s="29"/>
      <c r="N1135" s="29"/>
      <c r="O1135" s="29"/>
      <c r="P1135" s="29"/>
      <c r="Q1135" s="29"/>
      <c r="R1135" s="29"/>
      <c r="S1135" s="29"/>
      <c r="T1135" s="29"/>
      <c r="U1135" s="29"/>
      <c r="V1135" s="29"/>
      <c r="W1135" s="29"/>
      <c r="X1135" s="29"/>
      <c r="Y1135" s="29"/>
      <c r="Z1135" s="29"/>
      <c r="AA1135" s="29"/>
      <c r="AB1135" s="29"/>
      <c r="AC1135" s="29"/>
      <c r="AD1135" s="29"/>
      <c r="AE1135" s="29"/>
      <c r="AF1135" s="29"/>
      <c r="AG1135" s="29"/>
    </row>
    <row r="1136" spans="2:33" ht="15" customHeight="1">
      <c r="B1136" s="29"/>
      <c r="C1136" s="29"/>
      <c r="D1136" s="29"/>
      <c r="E1136" s="29"/>
      <c r="F1136" s="29"/>
      <c r="G1136" s="29"/>
      <c r="H1136" s="29"/>
      <c r="I1136" s="29"/>
      <c r="J1136" s="29"/>
      <c r="K1136" s="29"/>
      <c r="L1136" s="29"/>
      <c r="M1136" s="29"/>
      <c r="N1136" s="29"/>
      <c r="O1136" s="29"/>
      <c r="P1136" s="29"/>
      <c r="Q1136" s="29"/>
      <c r="R1136" s="29"/>
      <c r="S1136" s="29"/>
      <c r="T1136" s="29"/>
      <c r="U1136" s="29"/>
      <c r="V1136" s="29"/>
      <c r="W1136" s="29"/>
      <c r="X1136" s="29"/>
      <c r="Y1136" s="29"/>
      <c r="Z1136" s="29"/>
      <c r="AA1136" s="29"/>
      <c r="AB1136" s="29"/>
      <c r="AC1136" s="29"/>
      <c r="AD1136" s="29"/>
      <c r="AE1136" s="29"/>
      <c r="AF1136" s="29"/>
      <c r="AG1136" s="29"/>
    </row>
    <row r="1137" spans="2:33" ht="15" customHeight="1">
      <c r="B1137" s="29"/>
      <c r="C1137" s="29"/>
      <c r="D1137" s="29"/>
      <c r="E1137" s="29"/>
      <c r="F1137" s="29"/>
      <c r="G1137" s="29"/>
      <c r="H1137" s="29"/>
      <c r="I1137" s="29"/>
      <c r="J1137" s="29"/>
      <c r="K1137" s="29"/>
      <c r="L1137" s="29"/>
      <c r="M1137" s="29"/>
      <c r="N1137" s="29"/>
      <c r="O1137" s="29"/>
      <c r="P1137" s="29"/>
      <c r="Q1137" s="29"/>
      <c r="R1137" s="29"/>
      <c r="S1137" s="29"/>
      <c r="T1137" s="29"/>
      <c r="U1137" s="29"/>
      <c r="V1137" s="29"/>
      <c r="W1137" s="29"/>
      <c r="X1137" s="29"/>
      <c r="Y1137" s="29"/>
      <c r="Z1137" s="29"/>
      <c r="AA1137" s="29"/>
      <c r="AB1137" s="29"/>
      <c r="AC1137" s="29"/>
      <c r="AD1137" s="29"/>
      <c r="AE1137" s="29"/>
      <c r="AF1137" s="29"/>
      <c r="AG1137" s="29"/>
    </row>
    <row r="1138" spans="2:33" ht="15" customHeight="1">
      <c r="B1138" s="29"/>
      <c r="C1138" s="29"/>
      <c r="D1138" s="29"/>
      <c r="E1138" s="29"/>
      <c r="F1138" s="29"/>
      <c r="G1138" s="29"/>
      <c r="H1138" s="29"/>
      <c r="I1138" s="29"/>
      <c r="J1138" s="29"/>
      <c r="K1138" s="29"/>
      <c r="L1138" s="29"/>
      <c r="M1138" s="29"/>
      <c r="N1138" s="29"/>
      <c r="O1138" s="29"/>
      <c r="P1138" s="29"/>
      <c r="Q1138" s="29"/>
      <c r="R1138" s="29"/>
      <c r="S1138" s="29"/>
      <c r="T1138" s="29"/>
      <c r="U1138" s="29"/>
      <c r="V1138" s="29"/>
      <c r="W1138" s="29"/>
      <c r="X1138" s="29"/>
      <c r="Y1138" s="29"/>
      <c r="Z1138" s="29"/>
      <c r="AA1138" s="29"/>
      <c r="AB1138" s="29"/>
      <c r="AC1138" s="29"/>
      <c r="AD1138" s="29"/>
      <c r="AE1138" s="29"/>
      <c r="AF1138" s="29"/>
      <c r="AG1138" s="29"/>
    </row>
    <row r="1139" spans="2:33" ht="15" customHeight="1">
      <c r="B1139" s="29"/>
      <c r="C1139" s="29"/>
      <c r="D1139" s="29"/>
      <c r="E1139" s="29"/>
      <c r="F1139" s="29"/>
      <c r="G1139" s="29"/>
      <c r="H1139" s="29"/>
      <c r="I1139" s="29"/>
      <c r="J1139" s="29"/>
      <c r="K1139" s="29"/>
      <c r="L1139" s="29"/>
      <c r="M1139" s="29"/>
      <c r="N1139" s="29"/>
      <c r="O1139" s="29"/>
      <c r="P1139" s="29"/>
      <c r="Q1139" s="29"/>
      <c r="R1139" s="29"/>
      <c r="S1139" s="29"/>
      <c r="T1139" s="29"/>
      <c r="U1139" s="29"/>
      <c r="V1139" s="29"/>
      <c r="W1139" s="29"/>
      <c r="X1139" s="29"/>
      <c r="Y1139" s="29"/>
      <c r="Z1139" s="29"/>
      <c r="AA1139" s="29"/>
      <c r="AB1139" s="29"/>
      <c r="AC1139" s="29"/>
      <c r="AD1139" s="29"/>
      <c r="AE1139" s="29"/>
      <c r="AF1139" s="29"/>
      <c r="AG1139" s="29"/>
    </row>
    <row r="1140" spans="2:33" ht="15" customHeight="1">
      <c r="B1140" s="29"/>
      <c r="C1140" s="29"/>
      <c r="D1140" s="29"/>
      <c r="E1140" s="29"/>
      <c r="F1140" s="29"/>
      <c r="G1140" s="29"/>
      <c r="H1140" s="29"/>
      <c r="I1140" s="29"/>
      <c r="J1140" s="29"/>
      <c r="K1140" s="29"/>
      <c r="L1140" s="29"/>
      <c r="M1140" s="29"/>
      <c r="N1140" s="29"/>
      <c r="O1140" s="29"/>
      <c r="P1140" s="29"/>
      <c r="Q1140" s="29"/>
      <c r="R1140" s="29"/>
      <c r="S1140" s="29"/>
      <c r="T1140" s="29"/>
      <c r="U1140" s="29"/>
      <c r="V1140" s="29"/>
      <c r="W1140" s="29"/>
      <c r="X1140" s="29"/>
      <c r="Y1140" s="29"/>
      <c r="Z1140" s="29"/>
      <c r="AA1140" s="29"/>
      <c r="AB1140" s="29"/>
      <c r="AC1140" s="29"/>
      <c r="AD1140" s="29"/>
      <c r="AE1140" s="29"/>
      <c r="AF1140" s="29"/>
      <c r="AG1140" s="29"/>
    </row>
    <row r="1141" spans="2:33" ht="15" customHeight="1">
      <c r="B1141" s="29"/>
      <c r="C1141" s="29"/>
      <c r="D1141" s="29"/>
      <c r="E1141" s="29"/>
      <c r="F1141" s="29"/>
      <c r="G1141" s="29"/>
      <c r="H1141" s="29"/>
      <c r="I1141" s="29"/>
      <c r="J1141" s="29"/>
      <c r="K1141" s="29"/>
      <c r="L1141" s="29"/>
      <c r="M1141" s="29"/>
      <c r="N1141" s="29"/>
      <c r="O1141" s="29"/>
      <c r="P1141" s="29"/>
      <c r="Q1141" s="29"/>
      <c r="R1141" s="29"/>
      <c r="S1141" s="29"/>
      <c r="T1141" s="29"/>
      <c r="U1141" s="29"/>
      <c r="V1141" s="29"/>
      <c r="W1141" s="29"/>
      <c r="X1141" s="29"/>
      <c r="Y1141" s="29"/>
      <c r="Z1141" s="29"/>
      <c r="AA1141" s="29"/>
      <c r="AB1141" s="29"/>
      <c r="AC1141" s="29"/>
      <c r="AD1141" s="29"/>
      <c r="AE1141" s="29"/>
      <c r="AF1141" s="29"/>
      <c r="AG1141" s="29"/>
    </row>
    <row r="1142" spans="2:33" ht="15" customHeight="1">
      <c r="B1142" s="29"/>
      <c r="C1142" s="29"/>
      <c r="D1142" s="29"/>
      <c r="E1142" s="29"/>
      <c r="F1142" s="29"/>
      <c r="G1142" s="29"/>
      <c r="H1142" s="29"/>
      <c r="I1142" s="29"/>
      <c r="J1142" s="29"/>
      <c r="K1142" s="29"/>
      <c r="L1142" s="29"/>
      <c r="M1142" s="29"/>
      <c r="N1142" s="29"/>
      <c r="O1142" s="29"/>
      <c r="P1142" s="29"/>
      <c r="Q1142" s="29"/>
      <c r="R1142" s="29"/>
      <c r="S1142" s="29"/>
      <c r="T1142" s="29"/>
      <c r="U1142" s="29"/>
      <c r="V1142" s="29"/>
      <c r="W1142" s="29"/>
      <c r="X1142" s="29"/>
      <c r="Y1142" s="29"/>
      <c r="Z1142" s="29"/>
      <c r="AA1142" s="29"/>
      <c r="AB1142" s="29"/>
      <c r="AC1142" s="29"/>
      <c r="AD1142" s="29"/>
      <c r="AE1142" s="29"/>
      <c r="AF1142" s="29"/>
      <c r="AG1142" s="29"/>
    </row>
    <row r="1143" spans="2:33" ht="15" customHeight="1">
      <c r="B1143" s="29"/>
      <c r="C1143" s="29"/>
      <c r="D1143" s="29"/>
      <c r="E1143" s="29"/>
      <c r="F1143" s="29"/>
      <c r="G1143" s="29"/>
      <c r="H1143" s="29"/>
      <c r="I1143" s="29"/>
      <c r="J1143" s="29"/>
      <c r="K1143" s="29"/>
      <c r="L1143" s="29"/>
      <c r="M1143" s="29"/>
      <c r="N1143" s="29"/>
      <c r="O1143" s="29"/>
      <c r="P1143" s="29"/>
      <c r="Q1143" s="29"/>
      <c r="R1143" s="29"/>
      <c r="S1143" s="29"/>
      <c r="T1143" s="29"/>
      <c r="U1143" s="29"/>
      <c r="V1143" s="29"/>
      <c r="W1143" s="29"/>
      <c r="X1143" s="29"/>
      <c r="Y1143" s="29"/>
      <c r="Z1143" s="29"/>
      <c r="AA1143" s="29"/>
      <c r="AB1143" s="29"/>
      <c r="AC1143" s="29"/>
      <c r="AD1143" s="29"/>
      <c r="AE1143" s="29"/>
      <c r="AF1143" s="29"/>
      <c r="AG1143" s="29"/>
    </row>
    <row r="1144" spans="2:33" ht="12" customHeight="1">
      <c r="B1144" s="29"/>
      <c r="C1144" s="29"/>
      <c r="D1144" s="29"/>
      <c r="E1144" s="29"/>
      <c r="F1144" s="29"/>
      <c r="G1144" s="29"/>
      <c r="H1144" s="29"/>
      <c r="I1144" s="29"/>
      <c r="J1144" s="29"/>
      <c r="K1144" s="29"/>
      <c r="L1144" s="29"/>
      <c r="M1144" s="29"/>
      <c r="N1144" s="29"/>
      <c r="O1144" s="29"/>
      <c r="P1144" s="29"/>
      <c r="Q1144" s="29"/>
      <c r="R1144" s="29"/>
      <c r="S1144" s="29"/>
      <c r="T1144" s="29"/>
      <c r="U1144" s="29"/>
      <c r="V1144" s="29"/>
      <c r="W1144" s="29"/>
      <c r="X1144" s="29"/>
      <c r="Y1144" s="29"/>
      <c r="Z1144" s="29"/>
      <c r="AA1144" s="29"/>
      <c r="AB1144" s="29"/>
      <c r="AC1144" s="29"/>
      <c r="AD1144" s="29"/>
      <c r="AE1144" s="29"/>
      <c r="AF1144" s="29"/>
      <c r="AG1144" s="29"/>
    </row>
    <row r="1145" spans="2:33" ht="15" customHeight="1">
      <c r="B1145" s="29"/>
      <c r="C1145" s="29"/>
      <c r="D1145" s="29"/>
      <c r="E1145" s="29"/>
      <c r="F1145" s="29"/>
      <c r="G1145" s="29"/>
      <c r="H1145" s="29"/>
      <c r="I1145" s="29"/>
      <c r="J1145" s="29"/>
      <c r="K1145" s="29"/>
      <c r="L1145" s="29"/>
      <c r="M1145" s="29"/>
      <c r="N1145" s="29"/>
      <c r="O1145" s="29"/>
      <c r="P1145" s="29"/>
      <c r="Q1145" s="29"/>
      <c r="R1145" s="29"/>
      <c r="S1145" s="29"/>
      <c r="T1145" s="29"/>
      <c r="U1145" s="29"/>
      <c r="V1145" s="29"/>
      <c r="W1145" s="29"/>
      <c r="X1145" s="29"/>
      <c r="Y1145" s="29"/>
      <c r="Z1145" s="29"/>
      <c r="AA1145" s="29"/>
      <c r="AB1145" s="29"/>
      <c r="AC1145" s="29"/>
      <c r="AD1145" s="29"/>
      <c r="AE1145" s="29"/>
      <c r="AF1145" s="29"/>
      <c r="AG1145" s="29"/>
    </row>
    <row r="1146" spans="2:33" ht="15" customHeight="1">
      <c r="B1146" s="29"/>
      <c r="C1146" s="29"/>
      <c r="D1146" s="29"/>
      <c r="E1146" s="29"/>
      <c r="F1146" s="29"/>
      <c r="G1146" s="29"/>
      <c r="H1146" s="29"/>
      <c r="I1146" s="29"/>
      <c r="J1146" s="29"/>
      <c r="K1146" s="29"/>
      <c r="L1146" s="29"/>
      <c r="M1146" s="29"/>
      <c r="N1146" s="29"/>
      <c r="O1146" s="29"/>
      <c r="P1146" s="29"/>
      <c r="Q1146" s="29"/>
      <c r="R1146" s="29"/>
      <c r="S1146" s="29"/>
      <c r="T1146" s="29"/>
      <c r="U1146" s="29"/>
      <c r="V1146" s="29"/>
      <c r="W1146" s="29"/>
      <c r="X1146" s="29"/>
      <c r="Y1146" s="29"/>
      <c r="Z1146" s="29"/>
      <c r="AA1146" s="29"/>
      <c r="AB1146" s="29"/>
      <c r="AC1146" s="29"/>
      <c r="AD1146" s="29"/>
      <c r="AE1146" s="29"/>
      <c r="AF1146" s="29"/>
      <c r="AG1146" s="29"/>
    </row>
    <row r="1147" spans="2:33" ht="15" customHeight="1">
      <c r="B1147" s="29"/>
      <c r="C1147" s="29"/>
      <c r="D1147" s="29"/>
      <c r="E1147" s="29"/>
      <c r="F1147" s="29"/>
      <c r="G1147" s="29"/>
      <c r="H1147" s="29"/>
      <c r="I1147" s="29"/>
      <c r="J1147" s="29"/>
      <c r="K1147" s="29"/>
      <c r="L1147" s="29"/>
      <c r="M1147" s="29"/>
      <c r="N1147" s="29"/>
      <c r="O1147" s="29"/>
      <c r="P1147" s="29"/>
      <c r="Q1147" s="29"/>
      <c r="R1147" s="29"/>
      <c r="S1147" s="29"/>
      <c r="T1147" s="29"/>
      <c r="U1147" s="29"/>
      <c r="V1147" s="29"/>
      <c r="W1147" s="29"/>
      <c r="X1147" s="29"/>
      <c r="Y1147" s="29"/>
      <c r="Z1147" s="29"/>
      <c r="AA1147" s="29"/>
      <c r="AB1147" s="29"/>
      <c r="AC1147" s="29"/>
      <c r="AD1147" s="29"/>
      <c r="AE1147" s="29"/>
      <c r="AF1147" s="29"/>
      <c r="AG1147" s="29"/>
    </row>
    <row r="1148" spans="2:33" ht="15" customHeight="1">
      <c r="B1148" s="29"/>
      <c r="C1148" s="29"/>
      <c r="D1148" s="29"/>
      <c r="E1148" s="29"/>
      <c r="F1148" s="29"/>
      <c r="G1148" s="29"/>
      <c r="H1148" s="29"/>
      <c r="I1148" s="29"/>
      <c r="J1148" s="29"/>
      <c r="K1148" s="29"/>
      <c r="L1148" s="29"/>
      <c r="M1148" s="29"/>
      <c r="N1148" s="29"/>
      <c r="O1148" s="29"/>
      <c r="P1148" s="29"/>
      <c r="Q1148" s="29"/>
      <c r="R1148" s="29"/>
      <c r="S1148" s="29"/>
      <c r="T1148" s="29"/>
      <c r="U1148" s="29"/>
      <c r="V1148" s="29"/>
      <c r="W1148" s="29"/>
      <c r="X1148" s="29"/>
      <c r="Y1148" s="29"/>
      <c r="Z1148" s="29"/>
      <c r="AA1148" s="29"/>
      <c r="AB1148" s="29"/>
      <c r="AC1148" s="29"/>
      <c r="AD1148" s="29"/>
      <c r="AE1148" s="29"/>
      <c r="AF1148" s="29"/>
      <c r="AG1148" s="29"/>
    </row>
    <row r="1149" spans="2:33" ht="15" customHeight="1">
      <c r="B1149" s="29"/>
      <c r="C1149" s="29"/>
      <c r="D1149" s="29"/>
      <c r="E1149" s="29"/>
      <c r="F1149" s="29"/>
      <c r="G1149" s="29"/>
      <c r="H1149" s="29"/>
      <c r="I1149" s="29"/>
      <c r="J1149" s="29"/>
      <c r="K1149" s="29"/>
      <c r="L1149" s="29"/>
      <c r="M1149" s="29"/>
      <c r="N1149" s="29"/>
      <c r="O1149" s="29"/>
      <c r="P1149" s="29"/>
      <c r="Q1149" s="29"/>
      <c r="R1149" s="29"/>
      <c r="S1149" s="29"/>
      <c r="T1149" s="29"/>
      <c r="U1149" s="29"/>
      <c r="V1149" s="29"/>
      <c r="W1149" s="29"/>
      <c r="X1149" s="29"/>
      <c r="Y1149" s="29"/>
      <c r="Z1149" s="29"/>
      <c r="AA1149" s="29"/>
      <c r="AB1149" s="29"/>
      <c r="AC1149" s="29"/>
      <c r="AD1149" s="29"/>
      <c r="AE1149" s="29"/>
      <c r="AF1149" s="29"/>
      <c r="AG1149" s="29"/>
    </row>
    <row r="1150" spans="2:33" ht="15" customHeight="1">
      <c r="B1150" s="29"/>
      <c r="C1150" s="29"/>
      <c r="D1150" s="29"/>
      <c r="E1150" s="29"/>
      <c r="F1150" s="29"/>
      <c r="G1150" s="29"/>
      <c r="H1150" s="29"/>
      <c r="I1150" s="29"/>
      <c r="J1150" s="29"/>
      <c r="K1150" s="29"/>
      <c r="L1150" s="29"/>
      <c r="M1150" s="29"/>
      <c r="N1150" s="29"/>
      <c r="O1150" s="29"/>
      <c r="P1150" s="29"/>
      <c r="Q1150" s="29"/>
      <c r="R1150" s="29"/>
      <c r="S1150" s="29"/>
      <c r="T1150" s="29"/>
      <c r="U1150" s="29"/>
      <c r="V1150" s="29"/>
      <c r="W1150" s="29"/>
      <c r="X1150" s="29"/>
      <c r="Y1150" s="29"/>
      <c r="Z1150" s="29"/>
      <c r="AA1150" s="29"/>
      <c r="AB1150" s="29"/>
      <c r="AC1150" s="29"/>
      <c r="AD1150" s="29"/>
      <c r="AE1150" s="29"/>
      <c r="AF1150" s="29"/>
      <c r="AG1150" s="29"/>
    </row>
    <row r="1151" spans="2:33" ht="15" customHeight="1">
      <c r="B1151" s="29"/>
      <c r="C1151" s="29"/>
      <c r="D1151" s="29"/>
      <c r="E1151" s="29"/>
      <c r="F1151" s="29"/>
      <c r="G1151" s="29"/>
      <c r="H1151" s="29"/>
      <c r="I1151" s="29"/>
      <c r="J1151" s="29"/>
      <c r="K1151" s="29"/>
      <c r="L1151" s="29"/>
      <c r="M1151" s="29"/>
      <c r="N1151" s="29"/>
      <c r="O1151" s="29"/>
      <c r="P1151" s="29"/>
      <c r="Q1151" s="29"/>
      <c r="R1151" s="29"/>
      <c r="S1151" s="29"/>
      <c r="T1151" s="29"/>
      <c r="U1151" s="29"/>
      <c r="V1151" s="29"/>
      <c r="W1151" s="29"/>
      <c r="X1151" s="29"/>
      <c r="Y1151" s="29"/>
      <c r="Z1151" s="29"/>
      <c r="AA1151" s="29"/>
      <c r="AB1151" s="29"/>
      <c r="AC1151" s="29"/>
      <c r="AD1151" s="29"/>
      <c r="AE1151" s="29"/>
      <c r="AF1151" s="29"/>
      <c r="AG1151" s="29"/>
    </row>
    <row r="1152" spans="2:33" ht="15" customHeight="1">
      <c r="B1152" s="29"/>
      <c r="C1152" s="29"/>
      <c r="D1152" s="29"/>
      <c r="E1152" s="29"/>
      <c r="F1152" s="29"/>
      <c r="G1152" s="29"/>
      <c r="H1152" s="29"/>
      <c r="I1152" s="29"/>
      <c r="J1152" s="29"/>
      <c r="K1152" s="29"/>
      <c r="L1152" s="29"/>
      <c r="M1152" s="29"/>
      <c r="N1152" s="29"/>
      <c r="O1152" s="29"/>
      <c r="P1152" s="29"/>
      <c r="Q1152" s="29"/>
      <c r="R1152" s="29"/>
      <c r="S1152" s="29"/>
      <c r="T1152" s="29"/>
      <c r="U1152" s="29"/>
      <c r="V1152" s="29"/>
      <c r="W1152" s="29"/>
      <c r="X1152" s="29"/>
      <c r="Y1152" s="29"/>
      <c r="Z1152" s="29"/>
      <c r="AA1152" s="29"/>
      <c r="AB1152" s="29"/>
      <c r="AC1152" s="29"/>
      <c r="AD1152" s="29"/>
      <c r="AE1152" s="29"/>
      <c r="AF1152" s="29"/>
      <c r="AG1152" s="29"/>
    </row>
    <row r="1153" spans="2:33" ht="15" customHeight="1">
      <c r="B1153" s="29"/>
      <c r="C1153" s="29"/>
      <c r="D1153" s="29"/>
      <c r="E1153" s="29"/>
      <c r="F1153" s="29"/>
      <c r="G1153" s="29"/>
      <c r="H1153" s="29"/>
      <c r="I1153" s="29"/>
      <c r="J1153" s="29"/>
      <c r="K1153" s="29"/>
      <c r="L1153" s="29"/>
      <c r="M1153" s="29"/>
      <c r="N1153" s="29"/>
      <c r="O1153" s="29"/>
      <c r="P1153" s="29"/>
      <c r="Q1153" s="29"/>
      <c r="R1153" s="29"/>
      <c r="S1153" s="29"/>
      <c r="T1153" s="29"/>
      <c r="U1153" s="29"/>
      <c r="V1153" s="29"/>
      <c r="W1153" s="29"/>
      <c r="X1153" s="29"/>
      <c r="Y1153" s="29"/>
      <c r="Z1153" s="29"/>
      <c r="AA1153" s="29"/>
      <c r="AB1153" s="29"/>
      <c r="AC1153" s="29"/>
      <c r="AD1153" s="29"/>
      <c r="AE1153" s="29"/>
      <c r="AF1153" s="29"/>
      <c r="AG1153" s="29"/>
    </row>
    <row r="1154" spans="2:33" ht="15" customHeight="1">
      <c r="B1154" s="29"/>
      <c r="C1154" s="29"/>
      <c r="D1154" s="29"/>
      <c r="E1154" s="29"/>
      <c r="F1154" s="29"/>
      <c r="G1154" s="29"/>
      <c r="H1154" s="29"/>
      <c r="I1154" s="29"/>
      <c r="J1154" s="29"/>
      <c r="K1154" s="29"/>
      <c r="L1154" s="29"/>
      <c r="M1154" s="29"/>
      <c r="N1154" s="29"/>
      <c r="O1154" s="29"/>
      <c r="P1154" s="29"/>
      <c r="Q1154" s="29"/>
      <c r="R1154" s="29"/>
      <c r="S1154" s="29"/>
      <c r="T1154" s="29"/>
      <c r="U1154" s="29"/>
      <c r="V1154" s="29"/>
      <c r="W1154" s="29"/>
      <c r="X1154" s="29"/>
      <c r="Y1154" s="29"/>
      <c r="Z1154" s="29"/>
      <c r="AA1154" s="29"/>
      <c r="AB1154" s="29"/>
      <c r="AC1154" s="29"/>
      <c r="AD1154" s="29"/>
      <c r="AE1154" s="29"/>
      <c r="AF1154" s="29"/>
      <c r="AG1154" s="29"/>
    </row>
    <row r="1155" spans="2:33" ht="15" customHeight="1">
      <c r="B1155" s="29"/>
      <c r="C1155" s="29"/>
      <c r="D1155" s="29"/>
      <c r="E1155" s="29"/>
      <c r="F1155" s="29"/>
      <c r="G1155" s="29"/>
      <c r="H1155" s="29"/>
      <c r="I1155" s="29"/>
      <c r="J1155" s="29"/>
      <c r="K1155" s="29"/>
      <c r="L1155" s="29"/>
      <c r="M1155" s="29"/>
      <c r="N1155" s="29"/>
      <c r="O1155" s="29"/>
      <c r="P1155" s="29"/>
      <c r="Q1155" s="29"/>
      <c r="R1155" s="29"/>
      <c r="S1155" s="29"/>
      <c r="T1155" s="29"/>
      <c r="U1155" s="29"/>
      <c r="V1155" s="29"/>
      <c r="W1155" s="29"/>
      <c r="X1155" s="29"/>
      <c r="Y1155" s="29"/>
      <c r="Z1155" s="29"/>
      <c r="AA1155" s="29"/>
      <c r="AB1155" s="29"/>
      <c r="AC1155" s="29"/>
      <c r="AD1155" s="29"/>
      <c r="AE1155" s="29"/>
      <c r="AF1155" s="29"/>
      <c r="AG1155" s="29"/>
    </row>
    <row r="1156" spans="2:33" ht="15" customHeight="1">
      <c r="B1156" s="29"/>
      <c r="C1156" s="29"/>
      <c r="D1156" s="29"/>
      <c r="E1156" s="29"/>
      <c r="F1156" s="29"/>
      <c r="G1156" s="29"/>
      <c r="H1156" s="29"/>
      <c r="I1156" s="29"/>
      <c r="J1156" s="29"/>
      <c r="K1156" s="29"/>
      <c r="L1156" s="29"/>
      <c r="M1156" s="29"/>
      <c r="N1156" s="29"/>
      <c r="O1156" s="29"/>
      <c r="P1156" s="29"/>
      <c r="Q1156" s="29"/>
      <c r="R1156" s="29"/>
      <c r="S1156" s="29"/>
      <c r="T1156" s="29"/>
      <c r="U1156" s="29"/>
      <c r="V1156" s="29"/>
      <c r="W1156" s="29"/>
      <c r="X1156" s="29"/>
      <c r="Y1156" s="29"/>
      <c r="Z1156" s="29"/>
      <c r="AA1156" s="29"/>
      <c r="AB1156" s="29"/>
      <c r="AC1156" s="29"/>
      <c r="AD1156" s="29"/>
      <c r="AE1156" s="29"/>
      <c r="AF1156" s="29"/>
      <c r="AG1156" s="29"/>
    </row>
    <row r="1157" spans="2:33" ht="15" customHeight="1">
      <c r="B1157" s="29"/>
      <c r="C1157" s="29"/>
      <c r="D1157" s="29"/>
      <c r="E1157" s="29"/>
      <c r="F1157" s="29"/>
      <c r="G1157" s="29"/>
      <c r="H1157" s="29"/>
      <c r="I1157" s="29"/>
      <c r="J1157" s="29"/>
      <c r="K1157" s="29"/>
      <c r="L1157" s="29"/>
      <c r="M1157" s="29"/>
      <c r="N1157" s="29"/>
      <c r="O1157" s="29"/>
      <c r="P1157" s="29"/>
      <c r="Q1157" s="29"/>
      <c r="R1157" s="29"/>
      <c r="S1157" s="29"/>
      <c r="T1157" s="29"/>
      <c r="U1157" s="29"/>
      <c r="V1157" s="29"/>
      <c r="W1157" s="29"/>
      <c r="X1157" s="29"/>
      <c r="Y1157" s="29"/>
      <c r="Z1157" s="29"/>
      <c r="AA1157" s="29"/>
      <c r="AB1157" s="29"/>
      <c r="AC1157" s="29"/>
      <c r="AD1157" s="29"/>
      <c r="AE1157" s="29"/>
      <c r="AF1157" s="29"/>
      <c r="AG1157" s="29"/>
    </row>
    <row r="1158" spans="2:33" ht="12" customHeight="1">
      <c r="B1158" s="29"/>
      <c r="C1158" s="29"/>
      <c r="D1158" s="29"/>
      <c r="E1158" s="29"/>
      <c r="F1158" s="29"/>
      <c r="G1158" s="29"/>
      <c r="H1158" s="29"/>
      <c r="I1158" s="29"/>
      <c r="J1158" s="29"/>
      <c r="K1158" s="29"/>
      <c r="L1158" s="29"/>
      <c r="M1158" s="29"/>
      <c r="N1158" s="29"/>
      <c r="O1158" s="29"/>
      <c r="P1158" s="29"/>
      <c r="Q1158" s="29"/>
      <c r="R1158" s="29"/>
      <c r="S1158" s="29"/>
      <c r="T1158" s="29"/>
      <c r="U1158" s="29"/>
      <c r="V1158" s="29"/>
      <c r="W1158" s="29"/>
      <c r="X1158" s="29"/>
      <c r="Y1158" s="29"/>
      <c r="Z1158" s="29"/>
      <c r="AA1158" s="29"/>
      <c r="AB1158" s="29"/>
      <c r="AC1158" s="29"/>
      <c r="AD1158" s="29"/>
      <c r="AE1158" s="29"/>
      <c r="AF1158" s="29"/>
      <c r="AG1158" s="29"/>
    </row>
    <row r="1159" spans="2:33" ht="15" customHeight="1">
      <c r="B1159" s="29"/>
      <c r="C1159" s="29"/>
      <c r="D1159" s="29"/>
      <c r="E1159" s="29"/>
      <c r="F1159" s="29"/>
      <c r="G1159" s="29"/>
      <c r="H1159" s="29"/>
      <c r="I1159" s="29"/>
      <c r="J1159" s="29"/>
      <c r="K1159" s="29"/>
      <c r="L1159" s="29"/>
      <c r="M1159" s="29"/>
      <c r="N1159" s="29"/>
      <c r="O1159" s="29"/>
      <c r="P1159" s="29"/>
      <c r="Q1159" s="29"/>
      <c r="R1159" s="29"/>
      <c r="S1159" s="29"/>
      <c r="T1159" s="29"/>
      <c r="U1159" s="29"/>
      <c r="V1159" s="29"/>
      <c r="W1159" s="29"/>
      <c r="X1159" s="29"/>
      <c r="Y1159" s="29"/>
      <c r="Z1159" s="29"/>
      <c r="AA1159" s="29"/>
      <c r="AB1159" s="29"/>
      <c r="AC1159" s="29"/>
      <c r="AD1159" s="29"/>
      <c r="AE1159" s="29"/>
      <c r="AF1159" s="29"/>
      <c r="AG1159" s="29"/>
    </row>
    <row r="1160" spans="2:33" ht="15" customHeight="1">
      <c r="B1160" s="29"/>
      <c r="C1160" s="29"/>
      <c r="D1160" s="29"/>
      <c r="E1160" s="29"/>
      <c r="F1160" s="29"/>
      <c r="G1160" s="29"/>
      <c r="H1160" s="29"/>
      <c r="I1160" s="29"/>
      <c r="J1160" s="29"/>
      <c r="K1160" s="29"/>
      <c r="L1160" s="29"/>
      <c r="M1160" s="29"/>
      <c r="N1160" s="29"/>
      <c r="O1160" s="29"/>
      <c r="P1160" s="29"/>
      <c r="Q1160" s="29"/>
      <c r="R1160" s="29"/>
      <c r="S1160" s="29"/>
      <c r="T1160" s="29"/>
      <c r="U1160" s="29"/>
      <c r="V1160" s="29"/>
      <c r="W1160" s="29"/>
      <c r="X1160" s="29"/>
      <c r="Y1160" s="29"/>
      <c r="Z1160" s="29"/>
      <c r="AA1160" s="29"/>
      <c r="AB1160" s="29"/>
      <c r="AC1160" s="29"/>
      <c r="AD1160" s="29"/>
      <c r="AE1160" s="29"/>
      <c r="AF1160" s="29"/>
      <c r="AG1160" s="29"/>
    </row>
    <row r="1161" spans="2:33" ht="12" customHeight="1">
      <c r="B1161" s="29"/>
      <c r="C1161" s="29"/>
      <c r="D1161" s="29"/>
      <c r="E1161" s="29"/>
      <c r="F1161" s="29"/>
      <c r="G1161" s="29"/>
      <c r="H1161" s="29"/>
      <c r="I1161" s="29"/>
      <c r="J1161" s="29"/>
      <c r="K1161" s="29"/>
      <c r="L1161" s="29"/>
      <c r="M1161" s="29"/>
      <c r="N1161" s="29"/>
      <c r="O1161" s="29"/>
      <c r="P1161" s="29"/>
      <c r="Q1161" s="29"/>
      <c r="R1161" s="29"/>
      <c r="S1161" s="29"/>
      <c r="T1161" s="29"/>
      <c r="U1161" s="29"/>
      <c r="V1161" s="29"/>
      <c r="W1161" s="29"/>
      <c r="X1161" s="29"/>
      <c r="Y1161" s="29"/>
      <c r="Z1161" s="29"/>
      <c r="AA1161" s="29"/>
      <c r="AB1161" s="29"/>
      <c r="AC1161" s="29"/>
      <c r="AD1161" s="29"/>
      <c r="AE1161" s="29"/>
      <c r="AF1161" s="29"/>
      <c r="AG1161" s="29"/>
    </row>
    <row r="1162" spans="2:33" ht="12" customHeight="1">
      <c r="B1162" s="29"/>
      <c r="C1162" s="29"/>
      <c r="D1162" s="29"/>
      <c r="E1162" s="29"/>
      <c r="F1162" s="29"/>
      <c r="G1162" s="29"/>
      <c r="H1162" s="29"/>
      <c r="I1162" s="29"/>
      <c r="J1162" s="29"/>
      <c r="K1162" s="29"/>
      <c r="L1162" s="29"/>
      <c r="M1162" s="29"/>
      <c r="N1162" s="29"/>
      <c r="O1162" s="29"/>
      <c r="P1162" s="29"/>
      <c r="Q1162" s="29"/>
      <c r="R1162" s="29"/>
      <c r="S1162" s="29"/>
      <c r="T1162" s="29"/>
      <c r="U1162" s="29"/>
      <c r="V1162" s="29"/>
      <c r="W1162" s="29"/>
      <c r="X1162" s="29"/>
      <c r="Y1162" s="29"/>
      <c r="Z1162" s="29"/>
      <c r="AA1162" s="29"/>
      <c r="AB1162" s="29"/>
      <c r="AC1162" s="29"/>
      <c r="AD1162" s="29"/>
      <c r="AE1162" s="29"/>
      <c r="AF1162" s="29"/>
      <c r="AG1162" s="29"/>
    </row>
    <row r="1163" spans="2:33" ht="15" customHeight="1">
      <c r="B1163" s="29"/>
      <c r="C1163" s="29"/>
      <c r="D1163" s="29"/>
      <c r="E1163" s="29"/>
      <c r="F1163" s="29"/>
      <c r="G1163" s="29"/>
      <c r="H1163" s="29"/>
      <c r="I1163" s="29"/>
      <c r="J1163" s="29"/>
      <c r="K1163" s="29"/>
      <c r="L1163" s="29"/>
      <c r="M1163" s="29"/>
      <c r="N1163" s="29"/>
      <c r="O1163" s="29"/>
      <c r="P1163" s="29"/>
      <c r="Q1163" s="29"/>
      <c r="R1163" s="29"/>
      <c r="S1163" s="29"/>
      <c r="T1163" s="29"/>
      <c r="U1163" s="29"/>
      <c r="V1163" s="29"/>
      <c r="W1163" s="29"/>
      <c r="X1163" s="29"/>
      <c r="Y1163" s="29"/>
      <c r="Z1163" s="29"/>
      <c r="AA1163" s="29"/>
      <c r="AB1163" s="29"/>
      <c r="AC1163" s="29"/>
      <c r="AD1163" s="29"/>
      <c r="AE1163" s="29"/>
      <c r="AF1163" s="29"/>
      <c r="AG1163" s="29"/>
    </row>
    <row r="1164" spans="2:33" ht="15" customHeight="1">
      <c r="B1164" s="29"/>
      <c r="C1164" s="29"/>
      <c r="D1164" s="29"/>
      <c r="E1164" s="29"/>
      <c r="F1164" s="29"/>
      <c r="G1164" s="29"/>
      <c r="H1164" s="29"/>
      <c r="I1164" s="29"/>
      <c r="J1164" s="29"/>
      <c r="K1164" s="29"/>
      <c r="L1164" s="29"/>
      <c r="M1164" s="29"/>
      <c r="N1164" s="29"/>
      <c r="O1164" s="29"/>
      <c r="P1164" s="29"/>
      <c r="Q1164" s="29"/>
      <c r="R1164" s="29"/>
      <c r="S1164" s="29"/>
      <c r="T1164" s="29"/>
      <c r="U1164" s="29"/>
      <c r="V1164" s="29"/>
      <c r="W1164" s="29"/>
      <c r="X1164" s="29"/>
      <c r="Y1164" s="29"/>
      <c r="Z1164" s="29"/>
      <c r="AA1164" s="29"/>
      <c r="AB1164" s="29"/>
      <c r="AC1164" s="29"/>
      <c r="AD1164" s="29"/>
      <c r="AE1164" s="29"/>
      <c r="AF1164" s="29"/>
      <c r="AG1164" s="29"/>
    </row>
    <row r="1165" spans="2:33" ht="15" customHeight="1">
      <c r="B1165" s="29"/>
      <c r="C1165" s="29"/>
      <c r="D1165" s="29"/>
      <c r="E1165" s="29"/>
      <c r="F1165" s="29"/>
      <c r="G1165" s="29"/>
      <c r="H1165" s="29"/>
      <c r="I1165" s="29"/>
      <c r="J1165" s="29"/>
      <c r="K1165" s="29"/>
      <c r="L1165" s="29"/>
      <c r="M1165" s="29"/>
      <c r="N1165" s="29"/>
      <c r="O1165" s="29"/>
      <c r="P1165" s="29"/>
      <c r="Q1165" s="29"/>
      <c r="R1165" s="29"/>
      <c r="S1165" s="29"/>
      <c r="T1165" s="29"/>
      <c r="U1165" s="29"/>
      <c r="V1165" s="29"/>
      <c r="W1165" s="29"/>
      <c r="X1165" s="29"/>
      <c r="Y1165" s="29"/>
      <c r="Z1165" s="29"/>
      <c r="AA1165" s="29"/>
      <c r="AB1165" s="29"/>
      <c r="AC1165" s="29"/>
      <c r="AD1165" s="29"/>
      <c r="AE1165" s="29"/>
      <c r="AF1165" s="29"/>
      <c r="AG1165" s="29"/>
    </row>
    <row r="1166" spans="2:33" ht="15" customHeight="1">
      <c r="B1166" s="29"/>
      <c r="C1166" s="29"/>
      <c r="D1166" s="29"/>
      <c r="E1166" s="29"/>
      <c r="F1166" s="29"/>
      <c r="G1166" s="29"/>
      <c r="H1166" s="29"/>
      <c r="I1166" s="29"/>
      <c r="J1166" s="29"/>
      <c r="K1166" s="29"/>
      <c r="L1166" s="29"/>
      <c r="M1166" s="29"/>
      <c r="N1166" s="29"/>
      <c r="O1166" s="29"/>
      <c r="P1166" s="29"/>
      <c r="Q1166" s="29"/>
      <c r="R1166" s="29"/>
      <c r="S1166" s="29"/>
      <c r="T1166" s="29"/>
      <c r="U1166" s="29"/>
      <c r="V1166" s="29"/>
      <c r="W1166" s="29"/>
      <c r="X1166" s="29"/>
      <c r="Y1166" s="29"/>
      <c r="Z1166" s="29"/>
      <c r="AA1166" s="29"/>
      <c r="AB1166" s="29"/>
      <c r="AC1166" s="29"/>
      <c r="AD1166" s="29"/>
      <c r="AE1166" s="29"/>
      <c r="AF1166" s="29"/>
      <c r="AG1166" s="29"/>
    </row>
    <row r="1167" spans="2:33" ht="15" customHeight="1">
      <c r="B1167" s="29"/>
      <c r="C1167" s="29"/>
      <c r="D1167" s="29"/>
      <c r="E1167" s="29"/>
      <c r="F1167" s="29"/>
      <c r="G1167" s="29"/>
      <c r="H1167" s="29"/>
      <c r="I1167" s="29"/>
      <c r="J1167" s="29"/>
      <c r="K1167" s="29"/>
      <c r="L1167" s="29"/>
      <c r="M1167" s="29"/>
      <c r="N1167" s="29"/>
      <c r="O1167" s="29"/>
      <c r="P1167" s="29"/>
      <c r="Q1167" s="29"/>
      <c r="R1167" s="29"/>
      <c r="S1167" s="29"/>
      <c r="T1167" s="29"/>
      <c r="U1167" s="29"/>
      <c r="V1167" s="29"/>
      <c r="W1167" s="29"/>
      <c r="X1167" s="29"/>
      <c r="Y1167" s="29"/>
      <c r="Z1167" s="29"/>
      <c r="AA1167" s="29"/>
      <c r="AB1167" s="29"/>
      <c r="AC1167" s="29"/>
      <c r="AD1167" s="29"/>
      <c r="AE1167" s="29"/>
      <c r="AF1167" s="29"/>
      <c r="AG1167" s="29"/>
    </row>
    <row r="1168" spans="2:33" ht="15" customHeight="1">
      <c r="B1168" s="29"/>
      <c r="C1168" s="29"/>
      <c r="D1168" s="29"/>
      <c r="E1168" s="29"/>
      <c r="F1168" s="29"/>
      <c r="G1168" s="29"/>
      <c r="H1168" s="29"/>
      <c r="I1168" s="29"/>
      <c r="J1168" s="29"/>
      <c r="K1168" s="29"/>
      <c r="L1168" s="29"/>
      <c r="M1168" s="29"/>
      <c r="N1168" s="29"/>
      <c r="O1168" s="29"/>
      <c r="P1168" s="29"/>
      <c r="Q1168" s="29"/>
      <c r="R1168" s="29"/>
      <c r="S1168" s="29"/>
      <c r="T1168" s="29"/>
      <c r="U1168" s="29"/>
      <c r="V1168" s="29"/>
      <c r="W1168" s="29"/>
      <c r="X1168" s="29"/>
      <c r="Y1168" s="29"/>
      <c r="Z1168" s="29"/>
      <c r="AA1168" s="29"/>
      <c r="AB1168" s="29"/>
      <c r="AC1168" s="29"/>
      <c r="AD1168" s="29"/>
      <c r="AE1168" s="29"/>
      <c r="AF1168" s="29"/>
      <c r="AG1168" s="29"/>
    </row>
    <row r="1169" spans="2:33" ht="15" customHeight="1">
      <c r="B1169" s="29"/>
      <c r="C1169" s="29"/>
      <c r="D1169" s="29"/>
      <c r="E1169" s="29"/>
      <c r="F1169" s="29"/>
      <c r="G1169" s="29"/>
      <c r="H1169" s="29"/>
      <c r="I1169" s="29"/>
      <c r="J1169" s="29"/>
      <c r="K1169" s="29"/>
      <c r="L1169" s="29"/>
      <c r="M1169" s="29"/>
      <c r="N1169" s="29"/>
      <c r="O1169" s="29"/>
      <c r="P1169" s="29"/>
      <c r="Q1169" s="29"/>
      <c r="R1169" s="29"/>
      <c r="S1169" s="29"/>
      <c r="T1169" s="29"/>
      <c r="U1169" s="29"/>
      <c r="V1169" s="29"/>
      <c r="W1169" s="29"/>
      <c r="X1169" s="29"/>
      <c r="Y1169" s="29"/>
      <c r="Z1169" s="29"/>
      <c r="AA1169" s="29"/>
      <c r="AB1169" s="29"/>
      <c r="AC1169" s="29"/>
      <c r="AD1169" s="29"/>
      <c r="AE1169" s="29"/>
      <c r="AF1169" s="29"/>
      <c r="AG1169" s="29"/>
    </row>
    <row r="1170" spans="2:33" ht="15" customHeight="1">
      <c r="B1170" s="29"/>
      <c r="C1170" s="29"/>
      <c r="D1170" s="29"/>
      <c r="E1170" s="29"/>
      <c r="F1170" s="29"/>
      <c r="G1170" s="29"/>
      <c r="H1170" s="29"/>
      <c r="I1170" s="29"/>
      <c r="J1170" s="29"/>
      <c r="K1170" s="29"/>
      <c r="L1170" s="29"/>
      <c r="M1170" s="29"/>
      <c r="N1170" s="29"/>
      <c r="O1170" s="29"/>
      <c r="P1170" s="29"/>
      <c r="Q1170" s="29"/>
      <c r="R1170" s="29"/>
      <c r="S1170" s="29"/>
      <c r="T1170" s="29"/>
      <c r="U1170" s="29"/>
      <c r="V1170" s="29"/>
      <c r="W1170" s="29"/>
      <c r="X1170" s="29"/>
      <c r="Y1170" s="29"/>
      <c r="Z1170" s="29"/>
      <c r="AA1170" s="29"/>
      <c r="AB1170" s="29"/>
      <c r="AC1170" s="29"/>
      <c r="AD1170" s="29"/>
      <c r="AE1170" s="29"/>
      <c r="AF1170" s="29"/>
      <c r="AG1170" s="29"/>
    </row>
    <row r="1171" spans="2:33" ht="15" customHeight="1">
      <c r="B1171" s="29"/>
      <c r="C1171" s="29"/>
      <c r="D1171" s="29"/>
      <c r="E1171" s="29"/>
      <c r="F1171" s="29"/>
      <c r="G1171" s="29"/>
      <c r="H1171" s="29"/>
      <c r="I1171" s="29"/>
      <c r="J1171" s="29"/>
      <c r="K1171" s="29"/>
      <c r="L1171" s="29"/>
      <c r="M1171" s="29"/>
      <c r="N1171" s="29"/>
      <c r="O1171" s="29"/>
      <c r="P1171" s="29"/>
      <c r="Q1171" s="29"/>
      <c r="R1171" s="29"/>
      <c r="S1171" s="29"/>
      <c r="T1171" s="29"/>
      <c r="U1171" s="29"/>
      <c r="V1171" s="29"/>
      <c r="W1171" s="29"/>
      <c r="X1171" s="29"/>
      <c r="Y1171" s="29"/>
      <c r="Z1171" s="29"/>
      <c r="AA1171" s="29"/>
      <c r="AB1171" s="29"/>
      <c r="AC1171" s="29"/>
      <c r="AD1171" s="29"/>
      <c r="AE1171" s="29"/>
      <c r="AF1171" s="29"/>
      <c r="AG1171" s="29"/>
    </row>
    <row r="1172" spans="2:33" ht="15" customHeight="1">
      <c r="B1172" s="29"/>
      <c r="C1172" s="29"/>
      <c r="D1172" s="29"/>
      <c r="E1172" s="29"/>
      <c r="F1172" s="29"/>
      <c r="G1172" s="29"/>
      <c r="H1172" s="29"/>
      <c r="I1172" s="29"/>
      <c r="J1172" s="29"/>
      <c r="K1172" s="29"/>
      <c r="L1172" s="29"/>
      <c r="M1172" s="29"/>
      <c r="N1172" s="29"/>
      <c r="O1172" s="29"/>
      <c r="P1172" s="29"/>
      <c r="Q1172" s="29"/>
      <c r="R1172" s="29"/>
      <c r="S1172" s="29"/>
      <c r="T1172" s="29"/>
      <c r="U1172" s="29"/>
      <c r="V1172" s="29"/>
      <c r="W1172" s="29"/>
      <c r="X1172" s="29"/>
      <c r="Y1172" s="29"/>
      <c r="Z1172" s="29"/>
      <c r="AA1172" s="29"/>
      <c r="AB1172" s="29"/>
      <c r="AC1172" s="29"/>
      <c r="AD1172" s="29"/>
      <c r="AE1172" s="29"/>
      <c r="AF1172" s="29"/>
      <c r="AG1172" s="29"/>
    </row>
    <row r="1173" spans="2:33" ht="15" customHeight="1">
      <c r="B1173" s="29"/>
      <c r="C1173" s="29"/>
      <c r="D1173" s="29"/>
      <c r="E1173" s="29"/>
      <c r="F1173" s="29"/>
      <c r="G1173" s="29"/>
      <c r="H1173" s="29"/>
      <c r="I1173" s="29"/>
      <c r="J1173" s="29"/>
      <c r="K1173" s="29"/>
      <c r="L1173" s="29"/>
      <c r="M1173" s="29"/>
      <c r="N1173" s="29"/>
      <c r="O1173" s="29"/>
      <c r="P1173" s="29"/>
      <c r="Q1173" s="29"/>
      <c r="R1173" s="29"/>
      <c r="S1173" s="29"/>
      <c r="T1173" s="29"/>
      <c r="U1173" s="29"/>
      <c r="V1173" s="29"/>
      <c r="W1173" s="29"/>
      <c r="X1173" s="29"/>
      <c r="Y1173" s="29"/>
      <c r="Z1173" s="29"/>
      <c r="AA1173" s="29"/>
      <c r="AB1173" s="29"/>
      <c r="AC1173" s="29"/>
      <c r="AD1173" s="29"/>
      <c r="AE1173" s="29"/>
      <c r="AF1173" s="29"/>
      <c r="AG1173" s="29"/>
    </row>
    <row r="1174" spans="2:33" ht="15" customHeight="1">
      <c r="B1174" s="29"/>
      <c r="C1174" s="29"/>
      <c r="D1174" s="29"/>
      <c r="E1174" s="29"/>
      <c r="F1174" s="29"/>
      <c r="G1174" s="29"/>
      <c r="H1174" s="29"/>
      <c r="I1174" s="29"/>
      <c r="J1174" s="29"/>
      <c r="K1174" s="29"/>
      <c r="L1174" s="29"/>
      <c r="M1174" s="29"/>
      <c r="N1174" s="29"/>
      <c r="O1174" s="29"/>
      <c r="P1174" s="29"/>
      <c r="Q1174" s="29"/>
      <c r="R1174" s="29"/>
      <c r="S1174" s="29"/>
      <c r="T1174" s="29"/>
      <c r="U1174" s="29"/>
      <c r="V1174" s="29"/>
      <c r="W1174" s="29"/>
      <c r="X1174" s="29"/>
      <c r="Y1174" s="29"/>
      <c r="Z1174" s="29"/>
      <c r="AA1174" s="29"/>
      <c r="AB1174" s="29"/>
      <c r="AC1174" s="29"/>
      <c r="AD1174" s="29"/>
      <c r="AE1174" s="29"/>
      <c r="AF1174" s="29"/>
      <c r="AG1174" s="29"/>
    </row>
    <row r="1175" spans="2:33" ht="15" customHeight="1">
      <c r="B1175" s="29"/>
      <c r="C1175" s="29"/>
      <c r="D1175" s="29"/>
      <c r="E1175" s="29"/>
      <c r="F1175" s="29"/>
      <c r="G1175" s="29"/>
      <c r="H1175" s="29"/>
      <c r="I1175" s="29"/>
      <c r="J1175" s="29"/>
      <c r="K1175" s="29"/>
      <c r="L1175" s="29"/>
      <c r="M1175" s="29"/>
      <c r="N1175" s="29"/>
      <c r="O1175" s="29"/>
      <c r="P1175" s="29"/>
      <c r="Q1175" s="29"/>
      <c r="R1175" s="29"/>
      <c r="S1175" s="29"/>
      <c r="T1175" s="29"/>
      <c r="U1175" s="29"/>
      <c r="V1175" s="29"/>
      <c r="W1175" s="29"/>
      <c r="X1175" s="29"/>
      <c r="Y1175" s="29"/>
      <c r="Z1175" s="29"/>
      <c r="AA1175" s="29"/>
      <c r="AB1175" s="29"/>
      <c r="AC1175" s="29"/>
      <c r="AD1175" s="29"/>
      <c r="AE1175" s="29"/>
      <c r="AF1175" s="29"/>
      <c r="AG1175" s="29"/>
    </row>
    <row r="1176" spans="2:33" ht="15" customHeight="1">
      <c r="B1176" s="29"/>
      <c r="C1176" s="29"/>
      <c r="D1176" s="29"/>
      <c r="E1176" s="29"/>
      <c r="F1176" s="29"/>
      <c r="G1176" s="29"/>
      <c r="H1176" s="29"/>
      <c r="I1176" s="29"/>
      <c r="J1176" s="29"/>
      <c r="K1176" s="29"/>
      <c r="L1176" s="29"/>
      <c r="M1176" s="29"/>
      <c r="N1176" s="29"/>
      <c r="O1176" s="29"/>
      <c r="P1176" s="29"/>
      <c r="Q1176" s="29"/>
      <c r="R1176" s="29"/>
      <c r="S1176" s="29"/>
      <c r="T1176" s="29"/>
      <c r="U1176" s="29"/>
      <c r="V1176" s="29"/>
      <c r="W1176" s="29"/>
      <c r="X1176" s="29"/>
      <c r="Y1176" s="29"/>
      <c r="Z1176" s="29"/>
      <c r="AA1176" s="29"/>
      <c r="AB1176" s="29"/>
      <c r="AC1176" s="29"/>
      <c r="AD1176" s="29"/>
      <c r="AE1176" s="29"/>
      <c r="AF1176" s="29"/>
      <c r="AG1176" s="29"/>
    </row>
    <row r="1177" spans="2:33" ht="15" customHeight="1">
      <c r="B1177" s="29"/>
      <c r="C1177" s="29"/>
      <c r="D1177" s="29"/>
      <c r="E1177" s="29"/>
      <c r="F1177" s="29"/>
      <c r="G1177" s="29"/>
      <c r="H1177" s="29"/>
      <c r="I1177" s="29"/>
      <c r="J1177" s="29"/>
      <c r="K1177" s="29"/>
      <c r="L1177" s="29"/>
      <c r="M1177" s="29"/>
      <c r="N1177" s="29"/>
      <c r="O1177" s="29"/>
      <c r="P1177" s="29"/>
      <c r="Q1177" s="29"/>
      <c r="R1177" s="29"/>
      <c r="S1177" s="29"/>
      <c r="T1177" s="29"/>
      <c r="U1177" s="29"/>
      <c r="V1177" s="29"/>
      <c r="W1177" s="29"/>
      <c r="X1177" s="29"/>
      <c r="Y1177" s="29"/>
      <c r="Z1177" s="29"/>
      <c r="AA1177" s="29"/>
      <c r="AB1177" s="29"/>
      <c r="AC1177" s="29"/>
      <c r="AD1177" s="29"/>
      <c r="AE1177" s="29"/>
      <c r="AF1177" s="29"/>
      <c r="AG1177" s="29"/>
    </row>
    <row r="1178" spans="2:33" ht="15" customHeight="1">
      <c r="B1178" s="29"/>
      <c r="C1178" s="29"/>
      <c r="D1178" s="29"/>
      <c r="E1178" s="29"/>
      <c r="F1178" s="29"/>
      <c r="G1178" s="29"/>
      <c r="H1178" s="29"/>
      <c r="I1178" s="29"/>
      <c r="J1178" s="29"/>
      <c r="K1178" s="29"/>
      <c r="L1178" s="29"/>
      <c r="M1178" s="29"/>
      <c r="N1178" s="29"/>
      <c r="O1178" s="29"/>
      <c r="P1178" s="29"/>
      <c r="Q1178" s="29"/>
      <c r="R1178" s="29"/>
      <c r="S1178" s="29"/>
      <c r="T1178" s="29"/>
      <c r="U1178" s="29"/>
      <c r="V1178" s="29"/>
      <c r="W1178" s="29"/>
      <c r="X1178" s="29"/>
      <c r="Y1178" s="29"/>
      <c r="Z1178" s="29"/>
      <c r="AA1178" s="29"/>
      <c r="AB1178" s="29"/>
      <c r="AC1178" s="29"/>
      <c r="AD1178" s="29"/>
      <c r="AE1178" s="29"/>
      <c r="AF1178" s="29"/>
      <c r="AG1178" s="29"/>
    </row>
    <row r="1179" spans="2:33" ht="15" customHeight="1">
      <c r="B1179" s="2185"/>
      <c r="C1179" s="2185"/>
      <c r="D1179" s="2185"/>
      <c r="E1179" s="2185"/>
      <c r="F1179" s="2185"/>
      <c r="G1179" s="2185"/>
      <c r="H1179" s="2185"/>
      <c r="I1179" s="2185"/>
      <c r="J1179" s="2185"/>
      <c r="K1179" s="2185"/>
      <c r="L1179" s="2185"/>
      <c r="M1179" s="2185"/>
      <c r="N1179" s="2185"/>
      <c r="O1179" s="2185"/>
      <c r="P1179" s="2185"/>
      <c r="Q1179" s="2185"/>
      <c r="R1179" s="2185"/>
      <c r="S1179" s="2185"/>
      <c r="T1179" s="2185"/>
      <c r="U1179" s="2185"/>
      <c r="V1179" s="2185"/>
      <c r="W1179" s="2185"/>
      <c r="X1179" s="2185"/>
      <c r="Y1179" s="2185"/>
      <c r="Z1179" s="2185"/>
      <c r="AA1179" s="2185"/>
      <c r="AB1179" s="2185"/>
      <c r="AC1179" s="2185"/>
      <c r="AD1179" s="2185"/>
      <c r="AE1179" s="2185"/>
      <c r="AF1179" s="2185"/>
      <c r="AG1179" s="29"/>
    </row>
    <row r="1180" spans="2:33" ht="15" customHeight="1">
      <c r="B1180" s="29"/>
      <c r="C1180" s="29"/>
      <c r="D1180" s="29"/>
      <c r="E1180" s="29"/>
      <c r="F1180" s="29"/>
      <c r="G1180" s="29"/>
      <c r="H1180" s="29"/>
      <c r="I1180" s="29"/>
      <c r="J1180" s="29"/>
      <c r="K1180" s="29"/>
      <c r="L1180" s="29"/>
      <c r="M1180" s="29"/>
      <c r="N1180" s="29"/>
      <c r="O1180" s="29"/>
      <c r="P1180" s="29"/>
      <c r="Q1180" s="29"/>
      <c r="R1180" s="29"/>
      <c r="S1180" s="29"/>
      <c r="T1180" s="29"/>
      <c r="U1180" s="29"/>
      <c r="V1180" s="29"/>
      <c r="W1180" s="29"/>
      <c r="X1180" s="29"/>
      <c r="Y1180" s="29"/>
      <c r="Z1180" s="29"/>
      <c r="AA1180" s="29"/>
      <c r="AB1180" s="29"/>
      <c r="AC1180" s="29"/>
      <c r="AD1180" s="29"/>
      <c r="AE1180" s="29"/>
      <c r="AF1180" s="29"/>
      <c r="AG1180" s="29"/>
    </row>
    <row r="1181" spans="2:33" ht="15" customHeight="1">
      <c r="B1181" s="29"/>
      <c r="C1181" s="29"/>
      <c r="D1181" s="29"/>
      <c r="E1181" s="29"/>
      <c r="F1181" s="29"/>
      <c r="G1181" s="29"/>
      <c r="H1181" s="29"/>
      <c r="I1181" s="29"/>
      <c r="J1181" s="29"/>
      <c r="K1181" s="29"/>
      <c r="L1181" s="29"/>
      <c r="M1181" s="29"/>
      <c r="N1181" s="29"/>
      <c r="O1181" s="29"/>
      <c r="P1181" s="29"/>
      <c r="Q1181" s="29"/>
      <c r="R1181" s="29"/>
      <c r="S1181" s="29"/>
      <c r="T1181" s="29"/>
      <c r="U1181" s="29"/>
      <c r="V1181" s="29"/>
      <c r="W1181" s="29"/>
      <c r="X1181" s="29"/>
      <c r="Y1181" s="29"/>
      <c r="Z1181" s="29"/>
      <c r="AA1181" s="29"/>
      <c r="AB1181" s="29"/>
      <c r="AC1181" s="29"/>
      <c r="AD1181" s="29"/>
      <c r="AE1181" s="29"/>
      <c r="AF1181" s="29"/>
      <c r="AG1181" s="29"/>
    </row>
    <row r="1182" spans="2:33" ht="15" customHeight="1">
      <c r="B1182" s="29"/>
      <c r="C1182" s="29"/>
      <c r="D1182" s="29"/>
      <c r="E1182" s="29"/>
      <c r="F1182" s="29"/>
      <c r="G1182" s="29"/>
      <c r="H1182" s="29"/>
      <c r="I1182" s="29"/>
      <c r="J1182" s="29"/>
      <c r="K1182" s="29"/>
      <c r="L1182" s="29"/>
      <c r="M1182" s="29"/>
      <c r="N1182" s="29"/>
      <c r="O1182" s="29"/>
      <c r="P1182" s="29"/>
      <c r="Q1182" s="29"/>
      <c r="R1182" s="29"/>
      <c r="S1182" s="29"/>
      <c r="T1182" s="29"/>
      <c r="U1182" s="29"/>
      <c r="V1182" s="29"/>
      <c r="W1182" s="29"/>
      <c r="X1182" s="29"/>
      <c r="Y1182" s="29"/>
      <c r="Z1182" s="29"/>
      <c r="AA1182" s="29"/>
      <c r="AB1182" s="29"/>
      <c r="AC1182" s="29"/>
      <c r="AD1182" s="29"/>
      <c r="AE1182" s="29"/>
      <c r="AF1182" s="29"/>
      <c r="AG1182" s="29"/>
    </row>
    <row r="1183" spans="2:33" ht="15" customHeight="1">
      <c r="B1183" s="29"/>
      <c r="C1183" s="29"/>
      <c r="D1183" s="29"/>
      <c r="E1183" s="29"/>
      <c r="F1183" s="29"/>
      <c r="G1183" s="29"/>
      <c r="H1183" s="29"/>
      <c r="I1183" s="29"/>
      <c r="J1183" s="29"/>
      <c r="K1183" s="29"/>
      <c r="L1183" s="29"/>
      <c r="M1183" s="29"/>
      <c r="N1183" s="29"/>
      <c r="O1183" s="29"/>
      <c r="P1183" s="29"/>
      <c r="Q1183" s="29"/>
      <c r="R1183" s="29"/>
      <c r="S1183" s="29"/>
      <c r="T1183" s="29"/>
      <c r="U1183" s="29"/>
      <c r="V1183" s="29"/>
      <c r="W1183" s="29"/>
      <c r="X1183" s="29"/>
      <c r="Y1183" s="29"/>
      <c r="Z1183" s="29"/>
      <c r="AA1183" s="29"/>
      <c r="AB1183" s="29"/>
      <c r="AC1183" s="29"/>
      <c r="AD1183" s="29"/>
      <c r="AE1183" s="29"/>
      <c r="AF1183" s="29"/>
      <c r="AG1183" s="29"/>
    </row>
    <row r="1184" spans="2:33" ht="15" customHeight="1">
      <c r="B1184" s="29"/>
      <c r="C1184" s="29"/>
      <c r="D1184" s="29"/>
      <c r="E1184" s="29"/>
      <c r="F1184" s="29"/>
      <c r="G1184" s="29"/>
      <c r="H1184" s="29"/>
      <c r="I1184" s="29"/>
      <c r="J1184" s="29"/>
      <c r="K1184" s="29"/>
      <c r="L1184" s="29"/>
      <c r="M1184" s="29"/>
      <c r="N1184" s="29"/>
      <c r="O1184" s="29"/>
      <c r="P1184" s="29"/>
      <c r="Q1184" s="29"/>
      <c r="R1184" s="29"/>
      <c r="S1184" s="29"/>
      <c r="T1184" s="29"/>
      <c r="U1184" s="29"/>
      <c r="V1184" s="29"/>
      <c r="W1184" s="29"/>
      <c r="X1184" s="29"/>
      <c r="Y1184" s="29"/>
      <c r="Z1184" s="29"/>
      <c r="AA1184" s="29"/>
      <c r="AB1184" s="29"/>
      <c r="AC1184" s="29"/>
      <c r="AD1184" s="29"/>
      <c r="AE1184" s="29"/>
      <c r="AF1184" s="29" t="s">
        <v>2056</v>
      </c>
      <c r="AG1184" s="29"/>
    </row>
    <row r="1185" spans="1:33" ht="15" customHeight="1">
      <c r="A1185" s="34" t="s">
        <v>3749</v>
      </c>
      <c r="B1185" s="46" t="s">
        <v>3750</v>
      </c>
      <c r="C1185" s="29"/>
      <c r="D1185" s="29"/>
      <c r="E1185" s="29"/>
      <c r="F1185" s="29"/>
      <c r="G1185" s="29"/>
      <c r="H1185" s="29"/>
      <c r="I1185" s="29"/>
      <c r="J1185" s="29"/>
      <c r="K1185" s="29"/>
      <c r="L1185" s="29"/>
      <c r="M1185" s="29"/>
      <c r="N1185" s="29"/>
      <c r="O1185" s="29"/>
      <c r="P1185" s="29"/>
      <c r="Q1185" s="29"/>
      <c r="R1185" s="29"/>
      <c r="S1185" s="29"/>
      <c r="T1185" s="29"/>
      <c r="U1185" s="29"/>
      <c r="V1185" s="29"/>
      <c r="W1185" s="29"/>
      <c r="X1185" s="29"/>
      <c r="Y1185" s="29"/>
      <c r="Z1185" s="29"/>
      <c r="AA1185" s="29"/>
      <c r="AB1185" s="29"/>
      <c r="AC1185" s="29"/>
      <c r="AD1185" s="29"/>
      <c r="AE1185" s="29"/>
      <c r="AF1185" s="43" t="s">
        <v>2058</v>
      </c>
      <c r="AG1185" s="29"/>
    </row>
    <row r="1186" spans="1:33" ht="15" customHeight="1">
      <c r="B1186" s="45" t="s">
        <v>3751</v>
      </c>
      <c r="C1186" s="29"/>
      <c r="D1186" s="29"/>
      <c r="E1186" s="29"/>
      <c r="F1186" s="29"/>
      <c r="G1186" s="29"/>
      <c r="H1186" s="29"/>
      <c r="I1186" s="29"/>
      <c r="J1186" s="29"/>
      <c r="K1186" s="29"/>
      <c r="L1186" s="29"/>
      <c r="M1186" s="29"/>
      <c r="N1186" s="29"/>
      <c r="O1186" s="29"/>
      <c r="P1186" s="29"/>
      <c r="Q1186" s="29"/>
      <c r="R1186" s="29"/>
      <c r="S1186" s="29"/>
      <c r="T1186" s="29"/>
      <c r="U1186" s="29"/>
      <c r="V1186" s="29"/>
      <c r="W1186" s="29"/>
      <c r="X1186" s="29"/>
      <c r="Y1186" s="29"/>
      <c r="Z1186" s="29"/>
      <c r="AA1186" s="29"/>
      <c r="AB1186" s="29"/>
      <c r="AC1186" s="29"/>
      <c r="AD1186" s="29"/>
      <c r="AE1186" s="29"/>
      <c r="AF1186" s="43" t="s">
        <v>2059</v>
      </c>
      <c r="AG1186" s="29"/>
    </row>
    <row r="1187" spans="1:33" ht="15" customHeight="1">
      <c r="B1187" s="45"/>
      <c r="C1187" s="44"/>
      <c r="D1187" s="44"/>
      <c r="E1187" s="44"/>
      <c r="F1187" s="44"/>
      <c r="G1187" s="44"/>
      <c r="H1187" s="44"/>
      <c r="I1187" s="44"/>
      <c r="J1187" s="44"/>
      <c r="K1187" s="44"/>
      <c r="L1187" s="44"/>
      <c r="M1187" s="44"/>
      <c r="N1187" s="44"/>
      <c r="O1187" s="44"/>
      <c r="P1187" s="44"/>
      <c r="Q1187" s="44"/>
      <c r="R1187" s="44"/>
      <c r="S1187" s="44"/>
      <c r="T1187" s="44"/>
      <c r="U1187" s="44"/>
      <c r="V1187" s="44"/>
      <c r="W1187" s="44"/>
      <c r="X1187" s="44"/>
      <c r="Y1187" s="44"/>
      <c r="Z1187" s="44"/>
      <c r="AA1187" s="44"/>
      <c r="AB1187" s="44"/>
      <c r="AC1187" s="44"/>
      <c r="AD1187" s="44"/>
      <c r="AE1187" s="44"/>
      <c r="AF1187" s="43" t="s">
        <v>2061</v>
      </c>
      <c r="AG1187" s="29"/>
    </row>
    <row r="1188" spans="1:33" ht="15" customHeight="1" thickBot="1">
      <c r="B1188" s="42" t="s">
        <v>2690</v>
      </c>
      <c r="C1188" s="42">
        <v>2022</v>
      </c>
      <c r="D1188" s="42">
        <v>2023</v>
      </c>
      <c r="E1188" s="42">
        <v>2024</v>
      </c>
      <c r="F1188" s="42">
        <v>2025</v>
      </c>
      <c r="G1188" s="42">
        <v>2026</v>
      </c>
      <c r="H1188" s="42">
        <v>2027</v>
      </c>
      <c r="I1188" s="42">
        <v>2028</v>
      </c>
      <c r="J1188" s="42">
        <v>2029</v>
      </c>
      <c r="K1188" s="42">
        <v>2030</v>
      </c>
      <c r="L1188" s="42">
        <v>2031</v>
      </c>
      <c r="M1188" s="42">
        <v>2032</v>
      </c>
      <c r="N1188" s="42">
        <v>2033</v>
      </c>
      <c r="O1188" s="42">
        <v>2034</v>
      </c>
      <c r="P1188" s="42">
        <v>2035</v>
      </c>
      <c r="Q1188" s="42">
        <v>2036</v>
      </c>
      <c r="R1188" s="42">
        <v>2037</v>
      </c>
      <c r="S1188" s="42">
        <v>2038</v>
      </c>
      <c r="T1188" s="42">
        <v>2039</v>
      </c>
      <c r="U1188" s="42">
        <v>2040</v>
      </c>
      <c r="V1188" s="42">
        <v>2041</v>
      </c>
      <c r="W1188" s="42">
        <v>2042</v>
      </c>
      <c r="X1188" s="42">
        <v>2043</v>
      </c>
      <c r="Y1188" s="42">
        <v>2044</v>
      </c>
      <c r="Z1188" s="42">
        <v>2045</v>
      </c>
      <c r="AA1188" s="42">
        <v>2046</v>
      </c>
      <c r="AB1188" s="42">
        <v>2047</v>
      </c>
      <c r="AC1188" s="42">
        <v>2048</v>
      </c>
      <c r="AD1188" s="42">
        <v>2049</v>
      </c>
      <c r="AE1188" s="42">
        <v>2050</v>
      </c>
      <c r="AF1188" s="41">
        <v>2050</v>
      </c>
      <c r="AG1188" s="29"/>
    </row>
    <row r="1189" spans="1:33" ht="15" customHeight="1" thickTop="1">
      <c r="B1189" s="29"/>
      <c r="C1189" s="29"/>
      <c r="D1189" s="29"/>
      <c r="E1189" s="29"/>
      <c r="F1189" s="29"/>
      <c r="G1189" s="29"/>
      <c r="H1189" s="29"/>
      <c r="I1189" s="29"/>
      <c r="J1189" s="29"/>
      <c r="K1189" s="29"/>
      <c r="L1189" s="29"/>
      <c r="M1189" s="29"/>
      <c r="N1189" s="29"/>
      <c r="O1189" s="29"/>
      <c r="P1189" s="29"/>
      <c r="Q1189" s="29"/>
      <c r="R1189" s="29"/>
      <c r="S1189" s="29"/>
      <c r="T1189" s="29"/>
      <c r="U1189" s="29"/>
      <c r="V1189" s="29"/>
      <c r="W1189" s="29"/>
      <c r="X1189" s="29"/>
      <c r="Y1189" s="29"/>
      <c r="Z1189" s="29"/>
      <c r="AA1189" s="29"/>
      <c r="AB1189" s="29"/>
      <c r="AC1189" s="29"/>
      <c r="AD1189" s="29"/>
      <c r="AE1189" s="29"/>
      <c r="AF1189" s="29"/>
      <c r="AG1189" s="29"/>
    </row>
    <row r="1190" spans="1:33" ht="15" customHeight="1">
      <c r="A1190" s="34" t="s">
        <v>3752</v>
      </c>
      <c r="B1190" s="33" t="s">
        <v>2692</v>
      </c>
      <c r="C1190" s="40">
        <v>19750.261718999998</v>
      </c>
      <c r="D1190" s="40">
        <v>19903.289062</v>
      </c>
      <c r="E1190" s="40">
        <v>20095.435547000001</v>
      </c>
      <c r="F1190" s="40">
        <v>20409.421875</v>
      </c>
      <c r="G1190" s="40">
        <v>20840.714843999998</v>
      </c>
      <c r="H1190" s="40">
        <v>21273.421875</v>
      </c>
      <c r="I1190" s="40">
        <v>21681.255859000001</v>
      </c>
      <c r="J1190" s="40">
        <v>22051.705077999999</v>
      </c>
      <c r="K1190" s="40">
        <v>22391.814452999999</v>
      </c>
      <c r="L1190" s="40">
        <v>22742.044922000001</v>
      </c>
      <c r="M1190" s="40">
        <v>23153.001952999999</v>
      </c>
      <c r="N1190" s="40">
        <v>23603.867188</v>
      </c>
      <c r="O1190" s="40">
        <v>24055.123047000001</v>
      </c>
      <c r="P1190" s="40">
        <v>24510.957031000002</v>
      </c>
      <c r="Q1190" s="40">
        <v>24995.804688</v>
      </c>
      <c r="R1190" s="40">
        <v>25506.921875</v>
      </c>
      <c r="S1190" s="40">
        <v>26032.332031000002</v>
      </c>
      <c r="T1190" s="40">
        <v>26566.107422000001</v>
      </c>
      <c r="U1190" s="40">
        <v>27148.945312</v>
      </c>
      <c r="V1190" s="40">
        <v>27734.087890999999</v>
      </c>
      <c r="W1190" s="40">
        <v>28324.492188</v>
      </c>
      <c r="X1190" s="40">
        <v>28926.738281000002</v>
      </c>
      <c r="Y1190" s="40">
        <v>29527.414062</v>
      </c>
      <c r="Z1190" s="40">
        <v>30130</v>
      </c>
      <c r="AA1190" s="40">
        <v>30747.568359000001</v>
      </c>
      <c r="AB1190" s="40">
        <v>31389.150390999999</v>
      </c>
      <c r="AC1190" s="40">
        <v>32039.970702999999</v>
      </c>
      <c r="AD1190" s="40">
        <v>32698.533202999999</v>
      </c>
      <c r="AE1190" s="40">
        <v>33404.984375</v>
      </c>
      <c r="AF1190" s="31">
        <v>1.8946999999999999E-2</v>
      </c>
      <c r="AG1190" s="29"/>
    </row>
    <row r="1191" spans="1:33" ht="15" customHeight="1">
      <c r="B1191" s="29"/>
      <c r="C1191" s="29"/>
      <c r="D1191" s="29"/>
      <c r="E1191" s="29"/>
      <c r="F1191" s="29"/>
      <c r="G1191" s="29"/>
      <c r="H1191" s="29"/>
      <c r="I1191" s="29"/>
      <c r="J1191" s="29"/>
      <c r="K1191" s="29"/>
      <c r="L1191" s="29"/>
      <c r="M1191" s="29"/>
      <c r="N1191" s="29"/>
      <c r="O1191" s="29"/>
      <c r="P1191" s="29"/>
      <c r="Q1191" s="29"/>
      <c r="R1191" s="29"/>
      <c r="S1191" s="29"/>
      <c r="T1191" s="29"/>
      <c r="U1191" s="29"/>
      <c r="V1191" s="29"/>
      <c r="W1191" s="29"/>
      <c r="X1191" s="29"/>
      <c r="Y1191" s="29"/>
      <c r="Z1191" s="29"/>
      <c r="AA1191" s="29"/>
      <c r="AB1191" s="29"/>
      <c r="AC1191" s="29"/>
      <c r="AD1191" s="29"/>
      <c r="AE1191" s="29"/>
      <c r="AF1191" s="29"/>
      <c r="AG1191" s="29"/>
    </row>
    <row r="1192" spans="1:33" ht="15" customHeight="1">
      <c r="A1192" s="34" t="s">
        <v>3753</v>
      </c>
      <c r="B1192" s="33" t="s">
        <v>2694</v>
      </c>
      <c r="C1192" s="40">
        <v>11.279208000000001</v>
      </c>
      <c r="D1192" s="40">
        <v>11.475965</v>
      </c>
      <c r="E1192" s="40">
        <v>11.494586999999999</v>
      </c>
      <c r="F1192" s="40">
        <v>11.539127000000001</v>
      </c>
      <c r="G1192" s="40">
        <v>11.638339999999999</v>
      </c>
      <c r="H1192" s="40">
        <v>11.761581</v>
      </c>
      <c r="I1192" s="40">
        <v>11.889557</v>
      </c>
      <c r="J1192" s="40">
        <v>12.001970999999999</v>
      </c>
      <c r="K1192" s="40">
        <v>12.091051</v>
      </c>
      <c r="L1192" s="40">
        <v>12.16886</v>
      </c>
      <c r="M1192" s="40">
        <v>12.269966999999999</v>
      </c>
      <c r="N1192" s="40">
        <v>12.387231</v>
      </c>
      <c r="O1192" s="40">
        <v>12.531549</v>
      </c>
      <c r="P1192" s="40">
        <v>12.666117</v>
      </c>
      <c r="Q1192" s="40">
        <v>12.773464000000001</v>
      </c>
      <c r="R1192" s="40">
        <v>12.889017000000001</v>
      </c>
      <c r="S1192" s="40">
        <v>13.012561</v>
      </c>
      <c r="T1192" s="40">
        <v>13.133895000000001</v>
      </c>
      <c r="U1192" s="40">
        <v>13.263807999999999</v>
      </c>
      <c r="V1192" s="40">
        <v>13.382056</v>
      </c>
      <c r="W1192" s="40">
        <v>13.508067</v>
      </c>
      <c r="X1192" s="40">
        <v>13.623625000000001</v>
      </c>
      <c r="Y1192" s="40">
        <v>13.73643</v>
      </c>
      <c r="Z1192" s="40">
        <v>13.855204000000001</v>
      </c>
      <c r="AA1192" s="40">
        <v>13.981429</v>
      </c>
      <c r="AB1192" s="40">
        <v>14.119851000000001</v>
      </c>
      <c r="AC1192" s="40">
        <v>14.259048999999999</v>
      </c>
      <c r="AD1192" s="40">
        <v>14.396793000000001</v>
      </c>
      <c r="AE1192" s="40">
        <v>14.545947999999999</v>
      </c>
      <c r="AF1192" s="31">
        <v>9.1249999999999994E-3</v>
      </c>
      <c r="AG1192" s="29"/>
    </row>
    <row r="1193" spans="1:33" ht="12" customHeight="1">
      <c r="B1193" s="29"/>
      <c r="C1193" s="29"/>
      <c r="D1193" s="29"/>
      <c r="E1193" s="29"/>
      <c r="F1193" s="29"/>
      <c r="G1193" s="29"/>
      <c r="H1193" s="29"/>
      <c r="I1193" s="29"/>
      <c r="J1193" s="29"/>
      <c r="K1193" s="29"/>
      <c r="L1193" s="29"/>
      <c r="M1193" s="29"/>
      <c r="N1193" s="29"/>
      <c r="O1193" s="29"/>
      <c r="P1193" s="29"/>
      <c r="Q1193" s="29"/>
      <c r="R1193" s="29"/>
      <c r="S1193" s="29"/>
      <c r="T1193" s="29"/>
      <c r="U1193" s="29"/>
      <c r="V1193" s="29"/>
      <c r="W1193" s="29"/>
      <c r="X1193" s="29"/>
      <c r="Y1193" s="29"/>
      <c r="Z1193" s="29"/>
      <c r="AA1193" s="29"/>
      <c r="AB1193" s="29"/>
      <c r="AC1193" s="29"/>
      <c r="AD1193" s="29"/>
      <c r="AE1193" s="29"/>
      <c r="AF1193" s="29"/>
      <c r="AG1193" s="29"/>
    </row>
    <row r="1194" spans="1:33" ht="12" customHeight="1">
      <c r="B1194" s="33" t="s">
        <v>2695</v>
      </c>
      <c r="C1194" s="29"/>
      <c r="D1194" s="29"/>
      <c r="E1194" s="29"/>
      <c r="F1194" s="29"/>
      <c r="G1194" s="29"/>
      <c r="H1194" s="29"/>
      <c r="I1194" s="29"/>
      <c r="J1194" s="29"/>
      <c r="K1194" s="29"/>
      <c r="L1194" s="29"/>
      <c r="M1194" s="29"/>
      <c r="N1194" s="29"/>
      <c r="O1194" s="29"/>
      <c r="P1194" s="29"/>
      <c r="Q1194" s="29"/>
      <c r="R1194" s="29"/>
      <c r="S1194" s="29"/>
      <c r="T1194" s="29"/>
      <c r="U1194" s="29"/>
      <c r="V1194" s="29"/>
      <c r="W1194" s="29"/>
      <c r="X1194" s="29"/>
      <c r="Y1194" s="29"/>
      <c r="Z1194" s="29"/>
      <c r="AA1194" s="29"/>
      <c r="AB1194" s="29"/>
      <c r="AC1194" s="29"/>
      <c r="AD1194" s="29"/>
      <c r="AE1194" s="29"/>
      <c r="AF1194" s="29"/>
      <c r="AG1194" s="29"/>
    </row>
    <row r="1195" spans="1:33" ht="12" customHeight="1">
      <c r="B1195" s="29"/>
      <c r="C1195" s="29"/>
      <c r="D1195" s="29"/>
      <c r="E1195" s="29"/>
      <c r="F1195" s="29"/>
      <c r="G1195" s="29"/>
      <c r="H1195" s="29"/>
      <c r="I1195" s="29"/>
      <c r="J1195" s="29"/>
      <c r="K1195" s="29"/>
      <c r="L1195" s="29"/>
      <c r="M1195" s="29"/>
      <c r="N1195" s="29"/>
      <c r="O1195" s="29"/>
      <c r="P1195" s="29"/>
      <c r="Q1195" s="29"/>
      <c r="R1195" s="29"/>
      <c r="S1195" s="29"/>
      <c r="T1195" s="29"/>
      <c r="U1195" s="29"/>
      <c r="V1195" s="29"/>
      <c r="W1195" s="29"/>
      <c r="X1195" s="29"/>
      <c r="Y1195" s="29"/>
      <c r="Z1195" s="29"/>
      <c r="AA1195" s="29"/>
      <c r="AB1195" s="29"/>
      <c r="AC1195" s="29"/>
      <c r="AD1195" s="29"/>
      <c r="AE1195" s="29"/>
      <c r="AF1195" s="29"/>
      <c r="AG1195" s="29"/>
    </row>
    <row r="1196" spans="1:33" ht="12" customHeight="1">
      <c r="B1196" s="33" t="s">
        <v>2696</v>
      </c>
      <c r="C1196" s="29"/>
      <c r="D1196" s="29"/>
      <c r="E1196" s="29"/>
      <c r="F1196" s="29"/>
      <c r="G1196" s="29"/>
      <c r="H1196" s="29"/>
      <c r="I1196" s="29"/>
      <c r="J1196" s="29"/>
      <c r="K1196" s="29"/>
      <c r="L1196" s="29"/>
      <c r="M1196" s="29"/>
      <c r="N1196" s="29"/>
      <c r="O1196" s="29"/>
      <c r="P1196" s="29"/>
      <c r="Q1196" s="29"/>
      <c r="R1196" s="29"/>
      <c r="S1196" s="29"/>
      <c r="T1196" s="29"/>
      <c r="U1196" s="29"/>
      <c r="V1196" s="29"/>
      <c r="W1196" s="29"/>
      <c r="X1196" s="29"/>
      <c r="Y1196" s="29"/>
      <c r="Z1196" s="29"/>
      <c r="AA1196" s="29"/>
      <c r="AB1196" s="29"/>
      <c r="AC1196" s="29"/>
      <c r="AD1196" s="29"/>
      <c r="AE1196" s="29"/>
      <c r="AF1196" s="29"/>
      <c r="AG1196" s="29"/>
    </row>
    <row r="1197" spans="1:33" ht="12" customHeight="1">
      <c r="A1197" s="34" t="s">
        <v>3754</v>
      </c>
      <c r="B1197" s="37" t="s">
        <v>2698</v>
      </c>
      <c r="C1197" s="53">
        <v>47.488261999999999</v>
      </c>
      <c r="D1197" s="53">
        <v>47.334412</v>
      </c>
      <c r="E1197" s="53">
        <v>47.735489000000001</v>
      </c>
      <c r="F1197" s="53">
        <v>48.319847000000003</v>
      </c>
      <c r="G1197" s="53">
        <v>48.968277</v>
      </c>
      <c r="H1197" s="53">
        <v>49.556736000000001</v>
      </c>
      <c r="I1197" s="53">
        <v>50.126376999999998</v>
      </c>
      <c r="J1197" s="53">
        <v>50.646877000000003</v>
      </c>
      <c r="K1197" s="53">
        <v>51.110008000000001</v>
      </c>
      <c r="L1197" s="53">
        <v>51.607154999999999</v>
      </c>
      <c r="M1197" s="53">
        <v>52.090321000000003</v>
      </c>
      <c r="N1197" s="53">
        <v>52.581569999999999</v>
      </c>
      <c r="O1197" s="53">
        <v>53.042458000000003</v>
      </c>
      <c r="P1197" s="53">
        <v>53.522640000000003</v>
      </c>
      <c r="Q1197" s="53">
        <v>53.916561000000002</v>
      </c>
      <c r="R1197" s="53">
        <v>54.382713000000003</v>
      </c>
      <c r="S1197" s="53">
        <v>54.845832999999999</v>
      </c>
      <c r="T1197" s="53">
        <v>55.334159999999997</v>
      </c>
      <c r="U1197" s="53">
        <v>55.906981999999999</v>
      </c>
      <c r="V1197" s="53">
        <v>56.471069</v>
      </c>
      <c r="W1197" s="53">
        <v>56.980300999999997</v>
      </c>
      <c r="X1197" s="53">
        <v>57.471522999999998</v>
      </c>
      <c r="Y1197" s="53">
        <v>57.937491999999999</v>
      </c>
      <c r="Z1197" s="53">
        <v>58.420802999999999</v>
      </c>
      <c r="AA1197" s="53">
        <v>58.902434999999997</v>
      </c>
      <c r="AB1197" s="53">
        <v>59.383625000000002</v>
      </c>
      <c r="AC1197" s="53">
        <v>59.845748999999998</v>
      </c>
      <c r="AD1197" s="53">
        <v>60.314194000000001</v>
      </c>
      <c r="AE1197" s="53">
        <v>60.787948999999998</v>
      </c>
      <c r="AF1197" s="35">
        <v>8.8570000000000003E-3</v>
      </c>
      <c r="AG1197" s="29"/>
    </row>
    <row r="1198" spans="1:33" ht="12" customHeight="1">
      <c r="A1198" s="34" t="s">
        <v>3755</v>
      </c>
      <c r="B1198" s="37" t="s">
        <v>2700</v>
      </c>
      <c r="C1198" s="53">
        <v>105.480362</v>
      </c>
      <c r="D1198" s="53">
        <v>103.096672</v>
      </c>
      <c r="E1198" s="53">
        <v>103.510216</v>
      </c>
      <c r="F1198" s="53">
        <v>103.629898</v>
      </c>
      <c r="G1198" s="53">
        <v>104.003601</v>
      </c>
      <c r="H1198" s="53">
        <v>103.356697</v>
      </c>
      <c r="I1198" s="53">
        <v>103.016327</v>
      </c>
      <c r="J1198" s="53">
        <v>102.433426</v>
      </c>
      <c r="K1198" s="53">
        <v>102.435028</v>
      </c>
      <c r="L1198" s="53">
        <v>102.69618199999999</v>
      </c>
      <c r="M1198" s="53">
        <v>103.60047900000001</v>
      </c>
      <c r="N1198" s="53">
        <v>104.42487300000001</v>
      </c>
      <c r="O1198" s="53">
        <v>104.918938</v>
      </c>
      <c r="P1198" s="53">
        <v>105.238556</v>
      </c>
      <c r="Q1198" s="53">
        <v>105.662918</v>
      </c>
      <c r="R1198" s="53">
        <v>106.219719</v>
      </c>
      <c r="S1198" s="53">
        <v>106.44249000000001</v>
      </c>
      <c r="T1198" s="53">
        <v>106.79542499999999</v>
      </c>
      <c r="U1198" s="53">
        <v>106.756927</v>
      </c>
      <c r="V1198" s="53">
        <v>106.852943</v>
      </c>
      <c r="W1198" s="53">
        <v>107.307022</v>
      </c>
      <c r="X1198" s="53">
        <v>108.061279</v>
      </c>
      <c r="Y1198" s="53">
        <v>108.76563299999999</v>
      </c>
      <c r="Z1198" s="53">
        <v>109.01310700000001</v>
      </c>
      <c r="AA1198" s="53">
        <v>109.489349</v>
      </c>
      <c r="AB1198" s="53">
        <v>109.457596</v>
      </c>
      <c r="AC1198" s="53">
        <v>109.83978999999999</v>
      </c>
      <c r="AD1198" s="53">
        <v>110.39891799999999</v>
      </c>
      <c r="AE1198" s="53">
        <v>111.022476</v>
      </c>
      <c r="AF1198" s="35">
        <v>1.8309999999999999E-3</v>
      </c>
      <c r="AG1198" s="29"/>
    </row>
    <row r="1199" spans="1:33" ht="12" customHeight="1">
      <c r="A1199" s="34" t="s">
        <v>3756</v>
      </c>
      <c r="B1199" s="37" t="s">
        <v>2702</v>
      </c>
      <c r="C1199" s="53">
        <v>129.22640999999999</v>
      </c>
      <c r="D1199" s="53">
        <v>128.038544</v>
      </c>
      <c r="E1199" s="53">
        <v>128.203217</v>
      </c>
      <c r="F1199" s="53">
        <v>130.706512</v>
      </c>
      <c r="G1199" s="53">
        <v>132.225662</v>
      </c>
      <c r="H1199" s="53">
        <v>132.62211600000001</v>
      </c>
      <c r="I1199" s="53">
        <v>134.336105</v>
      </c>
      <c r="J1199" s="53">
        <v>138.343491</v>
      </c>
      <c r="K1199" s="53">
        <v>141.13179</v>
      </c>
      <c r="L1199" s="53">
        <v>142.10629299999999</v>
      </c>
      <c r="M1199" s="53">
        <v>142.71931499999999</v>
      </c>
      <c r="N1199" s="53">
        <v>143.71107499999999</v>
      </c>
      <c r="O1199" s="53">
        <v>144.62661700000001</v>
      </c>
      <c r="P1199" s="53">
        <v>145.93177800000001</v>
      </c>
      <c r="Q1199" s="53">
        <v>147.85614000000001</v>
      </c>
      <c r="R1199" s="53">
        <v>150.25386</v>
      </c>
      <c r="S1199" s="53">
        <v>152.9991</v>
      </c>
      <c r="T1199" s="53">
        <v>155.61360199999999</v>
      </c>
      <c r="U1199" s="53">
        <v>158.89381399999999</v>
      </c>
      <c r="V1199" s="53">
        <v>162.585037</v>
      </c>
      <c r="W1199" s="53">
        <v>165.33770799999999</v>
      </c>
      <c r="X1199" s="53">
        <v>167.84973099999999</v>
      </c>
      <c r="Y1199" s="53">
        <v>170.375519</v>
      </c>
      <c r="Z1199" s="53">
        <v>173.22169500000001</v>
      </c>
      <c r="AA1199" s="53">
        <v>176.20010400000001</v>
      </c>
      <c r="AB1199" s="53">
        <v>179.14591999999999</v>
      </c>
      <c r="AC1199" s="53">
        <v>181.72615099999999</v>
      </c>
      <c r="AD1199" s="53">
        <v>184.12799100000001</v>
      </c>
      <c r="AE1199" s="53">
        <v>187.40098599999999</v>
      </c>
      <c r="AF1199" s="35">
        <v>1.3363E-2</v>
      </c>
      <c r="AG1199" s="29"/>
    </row>
    <row r="1200" spans="1:33" ht="15" customHeight="1">
      <c r="B1200" s="29"/>
      <c r="C1200" s="29"/>
      <c r="D1200" s="29"/>
      <c r="E1200" s="29"/>
      <c r="F1200" s="29"/>
      <c r="G1200" s="29"/>
      <c r="H1200" s="29"/>
      <c r="I1200" s="29"/>
      <c r="J1200" s="29"/>
      <c r="K1200" s="29"/>
      <c r="L1200" s="29"/>
      <c r="M1200" s="29"/>
      <c r="N1200" s="29"/>
      <c r="O1200" s="29"/>
      <c r="P1200" s="29"/>
      <c r="Q1200" s="29"/>
      <c r="R1200" s="29"/>
      <c r="S1200" s="29"/>
      <c r="T1200" s="29"/>
      <c r="U1200" s="29"/>
      <c r="V1200" s="29"/>
      <c r="W1200" s="29"/>
      <c r="X1200" s="29"/>
      <c r="Y1200" s="29"/>
      <c r="Z1200" s="29"/>
      <c r="AA1200" s="29"/>
      <c r="AB1200" s="29"/>
      <c r="AC1200" s="29"/>
      <c r="AD1200" s="29"/>
      <c r="AE1200" s="29"/>
      <c r="AF1200" s="29"/>
      <c r="AG1200" s="29"/>
    </row>
    <row r="1201" spans="1:33" ht="15" customHeight="1">
      <c r="B1201" s="33" t="s">
        <v>2703</v>
      </c>
      <c r="C1201" s="29"/>
      <c r="D1201" s="29"/>
      <c r="E1201" s="29"/>
      <c r="F1201" s="29"/>
      <c r="G1201" s="29"/>
      <c r="H1201" s="29"/>
      <c r="I1201" s="29"/>
      <c r="J1201" s="29"/>
      <c r="K1201" s="29"/>
      <c r="L1201" s="29"/>
      <c r="M1201" s="29"/>
      <c r="N1201" s="29"/>
      <c r="O1201" s="29"/>
      <c r="P1201" s="29"/>
      <c r="Q1201" s="29"/>
      <c r="R1201" s="29"/>
      <c r="S1201" s="29"/>
      <c r="T1201" s="29"/>
      <c r="U1201" s="29"/>
      <c r="V1201" s="29"/>
      <c r="W1201" s="29"/>
      <c r="X1201" s="29"/>
      <c r="Y1201" s="29"/>
      <c r="Z1201" s="29"/>
      <c r="AA1201" s="29"/>
      <c r="AB1201" s="29"/>
      <c r="AC1201" s="29"/>
      <c r="AD1201" s="29"/>
      <c r="AE1201" s="29"/>
      <c r="AF1201" s="29"/>
      <c r="AG1201" s="29"/>
    </row>
    <row r="1202" spans="1:33" ht="15" customHeight="1">
      <c r="A1202" s="34" t="s">
        <v>3757</v>
      </c>
      <c r="B1202" s="37" t="s">
        <v>2705</v>
      </c>
      <c r="C1202" s="53">
        <v>51.599930000000001</v>
      </c>
      <c r="D1202" s="53">
        <v>52.637000999999998</v>
      </c>
      <c r="E1202" s="53">
        <v>53.443137999999998</v>
      </c>
      <c r="F1202" s="53">
        <v>54.301239000000002</v>
      </c>
      <c r="G1202" s="53">
        <v>55.406433</v>
      </c>
      <c r="H1202" s="53">
        <v>56.575527000000001</v>
      </c>
      <c r="I1202" s="53">
        <v>57.755676000000001</v>
      </c>
      <c r="J1202" s="53">
        <v>58.888629999999999</v>
      </c>
      <c r="K1202" s="53">
        <v>60.001221000000001</v>
      </c>
      <c r="L1202" s="53">
        <v>61.177455999999999</v>
      </c>
      <c r="M1202" s="53">
        <v>62.235923999999997</v>
      </c>
      <c r="N1202" s="53">
        <v>63.212654000000001</v>
      </c>
      <c r="O1202" s="53">
        <v>64.218947999999997</v>
      </c>
      <c r="P1202" s="53">
        <v>65.310813999999993</v>
      </c>
      <c r="Q1202" s="53">
        <v>66.422912999999994</v>
      </c>
      <c r="R1202" s="53">
        <v>67.584793000000005</v>
      </c>
      <c r="S1202" s="53">
        <v>68.717499000000004</v>
      </c>
      <c r="T1202" s="53">
        <v>69.870834000000002</v>
      </c>
      <c r="U1202" s="53">
        <v>71.115593000000004</v>
      </c>
      <c r="V1202" s="53">
        <v>72.349997999999999</v>
      </c>
      <c r="W1202" s="53">
        <v>73.587051000000002</v>
      </c>
      <c r="X1202" s="53">
        <v>74.820312000000001</v>
      </c>
      <c r="Y1202" s="53">
        <v>76.058456000000007</v>
      </c>
      <c r="Z1202" s="53">
        <v>77.295592999999997</v>
      </c>
      <c r="AA1202" s="53">
        <v>78.513199</v>
      </c>
      <c r="AB1202" s="53">
        <v>79.761543000000003</v>
      </c>
      <c r="AC1202" s="53">
        <v>81.023193000000006</v>
      </c>
      <c r="AD1202" s="53">
        <v>82.300010999999998</v>
      </c>
      <c r="AE1202" s="53">
        <v>83.584975999999997</v>
      </c>
      <c r="AF1202" s="35">
        <v>1.7375999999999999E-2</v>
      </c>
      <c r="AG1202" s="29"/>
    </row>
    <row r="1203" spans="1:33" ht="15" customHeight="1">
      <c r="A1203" s="34" t="s">
        <v>3758</v>
      </c>
      <c r="B1203" s="37" t="s">
        <v>1473</v>
      </c>
      <c r="C1203" s="53">
        <v>7.3676649999999997</v>
      </c>
      <c r="D1203" s="53">
        <v>7.2929130000000004</v>
      </c>
      <c r="E1203" s="53">
        <v>7.2465279999999996</v>
      </c>
      <c r="F1203" s="53">
        <v>7.2116069999999999</v>
      </c>
      <c r="G1203" s="53">
        <v>7.226896</v>
      </c>
      <c r="H1203" s="53">
        <v>7.288252</v>
      </c>
      <c r="I1203" s="53">
        <v>7.3469059999999997</v>
      </c>
      <c r="J1203" s="53">
        <v>7.4072380000000004</v>
      </c>
      <c r="K1203" s="53">
        <v>7.4481000000000002</v>
      </c>
      <c r="L1203" s="53">
        <v>7.488029</v>
      </c>
      <c r="M1203" s="53">
        <v>7.5261639999999996</v>
      </c>
      <c r="N1203" s="53">
        <v>7.5642940000000003</v>
      </c>
      <c r="O1203" s="53">
        <v>7.592295</v>
      </c>
      <c r="P1203" s="53">
        <v>7.612285</v>
      </c>
      <c r="Q1203" s="53">
        <v>7.637886</v>
      </c>
      <c r="R1203" s="53">
        <v>7.6979319999999998</v>
      </c>
      <c r="S1203" s="53">
        <v>7.745431</v>
      </c>
      <c r="T1203" s="53">
        <v>7.7998640000000004</v>
      </c>
      <c r="U1203" s="53">
        <v>7.8498580000000002</v>
      </c>
      <c r="V1203" s="53">
        <v>7.9075350000000002</v>
      </c>
      <c r="W1203" s="53">
        <v>7.9743040000000001</v>
      </c>
      <c r="X1203" s="53">
        <v>8.0464000000000002</v>
      </c>
      <c r="Y1203" s="53">
        <v>8.1214809999999993</v>
      </c>
      <c r="Z1203" s="53">
        <v>8.1936640000000001</v>
      </c>
      <c r="AA1203" s="53">
        <v>8.2686270000000004</v>
      </c>
      <c r="AB1203" s="53">
        <v>8.3502469999999995</v>
      </c>
      <c r="AC1203" s="53">
        <v>8.4662710000000008</v>
      </c>
      <c r="AD1203" s="53">
        <v>8.5890730000000008</v>
      </c>
      <c r="AE1203" s="53">
        <v>8.7123760000000008</v>
      </c>
      <c r="AF1203" s="35">
        <v>6.0049999999999999E-3</v>
      </c>
      <c r="AG1203" s="29"/>
    </row>
    <row r="1204" spans="1:33" ht="15" customHeight="1">
      <c r="A1204" s="34" t="s">
        <v>3759</v>
      </c>
      <c r="B1204" s="37" t="s">
        <v>2708</v>
      </c>
      <c r="C1204" s="53">
        <v>1.954709</v>
      </c>
      <c r="D1204" s="53">
        <v>1.9662409999999999</v>
      </c>
      <c r="E1204" s="53">
        <v>2.0007320000000002</v>
      </c>
      <c r="F1204" s="53">
        <v>2.0433249999999998</v>
      </c>
      <c r="G1204" s="53">
        <v>2.1283720000000002</v>
      </c>
      <c r="H1204" s="53">
        <v>2.2197939999999998</v>
      </c>
      <c r="I1204" s="53">
        <v>2.29372</v>
      </c>
      <c r="J1204" s="53">
        <v>2.3401749999999999</v>
      </c>
      <c r="K1204" s="53">
        <v>2.3792019999999998</v>
      </c>
      <c r="L1204" s="53">
        <v>2.440677</v>
      </c>
      <c r="M1204" s="53">
        <v>2.4980419999999999</v>
      </c>
      <c r="N1204" s="53">
        <v>2.55755</v>
      </c>
      <c r="O1204" s="53">
        <v>2.6113919999999999</v>
      </c>
      <c r="P1204" s="53">
        <v>2.6582219999999999</v>
      </c>
      <c r="Q1204" s="53">
        <v>2.688774</v>
      </c>
      <c r="R1204" s="53">
        <v>2.7259039999999999</v>
      </c>
      <c r="S1204" s="53">
        <v>2.7576320000000001</v>
      </c>
      <c r="T1204" s="53">
        <v>2.776081</v>
      </c>
      <c r="U1204" s="53">
        <v>2.8071350000000002</v>
      </c>
      <c r="V1204" s="53">
        <v>2.83813</v>
      </c>
      <c r="W1204" s="53">
        <v>2.8629630000000001</v>
      </c>
      <c r="X1204" s="53">
        <v>2.8873329999999999</v>
      </c>
      <c r="Y1204" s="53">
        <v>2.9068890000000001</v>
      </c>
      <c r="Z1204" s="53">
        <v>2.923613</v>
      </c>
      <c r="AA1204" s="53">
        <v>2.942596</v>
      </c>
      <c r="AB1204" s="53">
        <v>2.9648180000000002</v>
      </c>
      <c r="AC1204" s="53">
        <v>2.98441</v>
      </c>
      <c r="AD1204" s="53">
        <v>3.0016949999999998</v>
      </c>
      <c r="AE1204" s="53">
        <v>3.0243289999999998</v>
      </c>
      <c r="AF1204" s="35">
        <v>1.5709999999999998E-2</v>
      </c>
      <c r="AG1204" s="29"/>
    </row>
    <row r="1205" spans="1:33" ht="15" customHeight="1">
      <c r="A1205" s="34" t="s">
        <v>3760</v>
      </c>
      <c r="B1205" s="37" t="s">
        <v>2710</v>
      </c>
      <c r="C1205" s="53">
        <v>5.9811540000000001</v>
      </c>
      <c r="D1205" s="53">
        <v>5.3993099999999998</v>
      </c>
      <c r="E1205" s="53">
        <v>5.2252140000000002</v>
      </c>
      <c r="F1205" s="53">
        <v>5.2945539999999998</v>
      </c>
      <c r="G1205" s="53">
        <v>5.2063819999999996</v>
      </c>
      <c r="H1205" s="53">
        <v>5.1644009999999998</v>
      </c>
      <c r="I1205" s="53">
        <v>5.2196300000000004</v>
      </c>
      <c r="J1205" s="53">
        <v>5.2710819999999998</v>
      </c>
      <c r="K1205" s="53">
        <v>5.270753</v>
      </c>
      <c r="L1205" s="53">
        <v>5.2623670000000002</v>
      </c>
      <c r="M1205" s="53">
        <v>5.315741</v>
      </c>
      <c r="N1205" s="53">
        <v>5.3899429999999997</v>
      </c>
      <c r="O1205" s="53">
        <v>5.471425</v>
      </c>
      <c r="P1205" s="53">
        <v>5.5044310000000003</v>
      </c>
      <c r="Q1205" s="53">
        <v>5.4687840000000003</v>
      </c>
      <c r="R1205" s="53">
        <v>5.4866780000000004</v>
      </c>
      <c r="S1205" s="53">
        <v>5.489554</v>
      </c>
      <c r="T1205" s="53">
        <v>5.5025019999999998</v>
      </c>
      <c r="U1205" s="53">
        <v>5.5360930000000002</v>
      </c>
      <c r="V1205" s="53">
        <v>5.5880219999999996</v>
      </c>
      <c r="W1205" s="53">
        <v>5.623081</v>
      </c>
      <c r="X1205" s="53">
        <v>5.641254</v>
      </c>
      <c r="Y1205" s="53">
        <v>5.6312829999999998</v>
      </c>
      <c r="Z1205" s="53">
        <v>5.5835179999999998</v>
      </c>
      <c r="AA1205" s="53">
        <v>5.5479099999999999</v>
      </c>
      <c r="AB1205" s="53">
        <v>5.5408929999999996</v>
      </c>
      <c r="AC1205" s="53">
        <v>5.5149540000000004</v>
      </c>
      <c r="AD1205" s="53">
        <v>5.5048579999999996</v>
      </c>
      <c r="AE1205" s="53">
        <v>5.5476200000000002</v>
      </c>
      <c r="AF1205" s="35">
        <v>-2.6840000000000002E-3</v>
      </c>
      <c r="AG1205" s="29"/>
    </row>
    <row r="1206" spans="1:33" ht="15" customHeight="1">
      <c r="A1206" s="34" t="s">
        <v>3761</v>
      </c>
      <c r="B1206" s="37" t="s">
        <v>2712</v>
      </c>
      <c r="C1206" s="53">
        <v>4.0678080000000003</v>
      </c>
      <c r="D1206" s="53">
        <v>4.0101990000000001</v>
      </c>
      <c r="E1206" s="53">
        <v>4.0354669999999997</v>
      </c>
      <c r="F1206" s="53">
        <v>4.0738989999999999</v>
      </c>
      <c r="G1206" s="53">
        <v>4.190404</v>
      </c>
      <c r="H1206" s="53">
        <v>4.3179889999999999</v>
      </c>
      <c r="I1206" s="53">
        <v>4.3992699999999996</v>
      </c>
      <c r="J1206" s="53">
        <v>4.4907219999999999</v>
      </c>
      <c r="K1206" s="53">
        <v>4.5825389999999997</v>
      </c>
      <c r="L1206" s="53">
        <v>4.6793909999999999</v>
      </c>
      <c r="M1206" s="53">
        <v>4.8497510000000004</v>
      </c>
      <c r="N1206" s="53">
        <v>4.9700069999999998</v>
      </c>
      <c r="O1206" s="53">
        <v>5.0842850000000004</v>
      </c>
      <c r="P1206" s="53">
        <v>5.2426599999999999</v>
      </c>
      <c r="Q1206" s="53">
        <v>5.3868489999999998</v>
      </c>
      <c r="R1206" s="53">
        <v>5.5353859999999999</v>
      </c>
      <c r="S1206" s="53">
        <v>5.6993900000000002</v>
      </c>
      <c r="T1206" s="53">
        <v>5.8332620000000004</v>
      </c>
      <c r="U1206" s="53">
        <v>5.9722619999999997</v>
      </c>
      <c r="V1206" s="53">
        <v>6.1505590000000003</v>
      </c>
      <c r="W1206" s="53">
        <v>6.3315320000000002</v>
      </c>
      <c r="X1206" s="53">
        <v>6.4859140000000002</v>
      </c>
      <c r="Y1206" s="53">
        <v>6.6133639999999998</v>
      </c>
      <c r="Z1206" s="53">
        <v>6.7112129999999999</v>
      </c>
      <c r="AA1206" s="53">
        <v>6.8582619999999999</v>
      </c>
      <c r="AB1206" s="53">
        <v>7.0268389999999998</v>
      </c>
      <c r="AC1206" s="53">
        <v>7.1706390000000004</v>
      </c>
      <c r="AD1206" s="53">
        <v>7.2741059999999997</v>
      </c>
      <c r="AE1206" s="53">
        <v>7.5584300000000004</v>
      </c>
      <c r="AF1206" s="35">
        <v>2.2374000000000002E-2</v>
      </c>
      <c r="AG1206" s="29"/>
    </row>
    <row r="1207" spans="1:33" ht="15" customHeight="1">
      <c r="A1207" s="34" t="s">
        <v>3762</v>
      </c>
      <c r="B1207" s="37" t="s">
        <v>2714</v>
      </c>
      <c r="C1207" s="53">
        <v>4.310244</v>
      </c>
      <c r="D1207" s="53">
        <v>4.2252090000000004</v>
      </c>
      <c r="E1207" s="53">
        <v>4.1561149999999998</v>
      </c>
      <c r="F1207" s="53">
        <v>4.1861649999999999</v>
      </c>
      <c r="G1207" s="53">
        <v>4.2297149999999997</v>
      </c>
      <c r="H1207" s="53">
        <v>4.2722490000000004</v>
      </c>
      <c r="I1207" s="53">
        <v>4.3278780000000001</v>
      </c>
      <c r="J1207" s="53">
        <v>4.3855979999999999</v>
      </c>
      <c r="K1207" s="53">
        <v>4.4471629999999998</v>
      </c>
      <c r="L1207" s="53">
        <v>4.510942</v>
      </c>
      <c r="M1207" s="53">
        <v>4.5876749999999999</v>
      </c>
      <c r="N1207" s="53">
        <v>4.6585890000000001</v>
      </c>
      <c r="O1207" s="53">
        <v>4.7430890000000003</v>
      </c>
      <c r="P1207" s="53">
        <v>4.8319210000000004</v>
      </c>
      <c r="Q1207" s="53">
        <v>4.9125889999999997</v>
      </c>
      <c r="R1207" s="53">
        <v>5.0055740000000002</v>
      </c>
      <c r="S1207" s="53">
        <v>5.1028029999999998</v>
      </c>
      <c r="T1207" s="53">
        <v>5.2048069999999997</v>
      </c>
      <c r="U1207" s="53">
        <v>5.3151029999999997</v>
      </c>
      <c r="V1207" s="53">
        <v>5.428261</v>
      </c>
      <c r="W1207" s="53">
        <v>5.5361039999999999</v>
      </c>
      <c r="X1207" s="53">
        <v>5.6425460000000003</v>
      </c>
      <c r="Y1207" s="53">
        <v>5.7441019999999998</v>
      </c>
      <c r="Z1207" s="53">
        <v>5.8401240000000003</v>
      </c>
      <c r="AA1207" s="53">
        <v>5.9437879999999996</v>
      </c>
      <c r="AB1207" s="53">
        <v>6.0569509999999998</v>
      </c>
      <c r="AC1207" s="53">
        <v>6.1537179999999996</v>
      </c>
      <c r="AD1207" s="53">
        <v>6.255795</v>
      </c>
      <c r="AE1207" s="53">
        <v>6.3797860000000002</v>
      </c>
      <c r="AF1207" s="35">
        <v>1.4104E-2</v>
      </c>
      <c r="AG1207" s="29"/>
    </row>
    <row r="1208" spans="1:33" ht="15" customHeight="1">
      <c r="A1208" s="34" t="s">
        <v>3763</v>
      </c>
      <c r="B1208" s="37" t="s">
        <v>2716</v>
      </c>
      <c r="C1208" s="53">
        <v>3.8421919999999998</v>
      </c>
      <c r="D1208" s="53">
        <v>3.7955709999999998</v>
      </c>
      <c r="E1208" s="53">
        <v>3.76709</v>
      </c>
      <c r="F1208" s="53">
        <v>3.771312</v>
      </c>
      <c r="G1208" s="53">
        <v>3.7880129999999999</v>
      </c>
      <c r="H1208" s="53">
        <v>3.7986909999999998</v>
      </c>
      <c r="I1208" s="53">
        <v>3.831693</v>
      </c>
      <c r="J1208" s="53">
        <v>3.8691650000000002</v>
      </c>
      <c r="K1208" s="53">
        <v>3.9171879999999999</v>
      </c>
      <c r="L1208" s="53">
        <v>3.969306</v>
      </c>
      <c r="M1208" s="53">
        <v>3.9797440000000002</v>
      </c>
      <c r="N1208" s="53">
        <v>3.9649399999999999</v>
      </c>
      <c r="O1208" s="53">
        <v>3.9520409999999999</v>
      </c>
      <c r="P1208" s="53">
        <v>3.9448409999999998</v>
      </c>
      <c r="Q1208" s="53">
        <v>3.9380199999999999</v>
      </c>
      <c r="R1208" s="53">
        <v>3.938145</v>
      </c>
      <c r="S1208" s="53">
        <v>3.944483</v>
      </c>
      <c r="T1208" s="53">
        <v>3.9445030000000001</v>
      </c>
      <c r="U1208" s="53">
        <v>3.9643769999999998</v>
      </c>
      <c r="V1208" s="53">
        <v>3.9664359999999999</v>
      </c>
      <c r="W1208" s="53">
        <v>3.9527960000000002</v>
      </c>
      <c r="X1208" s="53">
        <v>3.9542799999999998</v>
      </c>
      <c r="Y1208" s="53">
        <v>3.9678870000000002</v>
      </c>
      <c r="Z1208" s="53">
        <v>4.0190219999999997</v>
      </c>
      <c r="AA1208" s="53">
        <v>4.0645629999999997</v>
      </c>
      <c r="AB1208" s="53">
        <v>4.0998950000000001</v>
      </c>
      <c r="AC1208" s="53">
        <v>4.1246980000000004</v>
      </c>
      <c r="AD1208" s="53">
        <v>4.1876300000000004</v>
      </c>
      <c r="AE1208" s="53">
        <v>4.2375679999999996</v>
      </c>
      <c r="AF1208" s="35">
        <v>3.5040000000000002E-3</v>
      </c>
      <c r="AG1208" s="29"/>
    </row>
    <row r="1209" spans="1:33" ht="15" customHeight="1">
      <c r="A1209" s="34" t="s">
        <v>3764</v>
      </c>
      <c r="B1209" s="37" t="s">
        <v>2718</v>
      </c>
      <c r="C1209" s="53">
        <v>33.237869000000003</v>
      </c>
      <c r="D1209" s="53">
        <v>31.075132</v>
      </c>
      <c r="E1209" s="53">
        <v>31.463476</v>
      </c>
      <c r="F1209" s="53">
        <v>32.354819999999997</v>
      </c>
      <c r="G1209" s="53">
        <v>33.270972999999998</v>
      </c>
      <c r="H1209" s="53">
        <v>34.180259999999997</v>
      </c>
      <c r="I1209" s="53">
        <v>35.169387999999998</v>
      </c>
      <c r="J1209" s="53">
        <v>36.012684</v>
      </c>
      <c r="K1209" s="53">
        <v>36.677878999999997</v>
      </c>
      <c r="L1209" s="53">
        <v>37.457053999999999</v>
      </c>
      <c r="M1209" s="53">
        <v>38.560600000000001</v>
      </c>
      <c r="N1209" s="53">
        <v>39.831459000000002</v>
      </c>
      <c r="O1209" s="53">
        <v>41.276909000000003</v>
      </c>
      <c r="P1209" s="53">
        <v>42.814017999999997</v>
      </c>
      <c r="Q1209" s="53">
        <v>44.259757999999998</v>
      </c>
      <c r="R1209" s="53">
        <v>45.966644000000002</v>
      </c>
      <c r="S1209" s="53">
        <v>47.662430000000001</v>
      </c>
      <c r="T1209" s="53">
        <v>49.523960000000002</v>
      </c>
      <c r="U1209" s="53">
        <v>51.624251999999998</v>
      </c>
      <c r="V1209" s="53">
        <v>53.915694999999999</v>
      </c>
      <c r="W1209" s="53">
        <v>56.231940999999999</v>
      </c>
      <c r="X1209" s="53">
        <v>58.641193000000001</v>
      </c>
      <c r="Y1209" s="53">
        <v>61.101909999999997</v>
      </c>
      <c r="Z1209" s="53">
        <v>63.515442</v>
      </c>
      <c r="AA1209" s="53">
        <v>66.049582999999998</v>
      </c>
      <c r="AB1209" s="53">
        <v>68.814102000000005</v>
      </c>
      <c r="AC1209" s="53">
        <v>71.528976</v>
      </c>
      <c r="AD1209" s="53">
        <v>74.241287</v>
      </c>
      <c r="AE1209" s="53">
        <v>77.279587000000006</v>
      </c>
      <c r="AF1209" s="35">
        <v>3.0592000000000001E-2</v>
      </c>
      <c r="AG1209" s="29"/>
    </row>
    <row r="1210" spans="1:33" ht="15" customHeight="1">
      <c r="A1210" s="34" t="s">
        <v>3765</v>
      </c>
      <c r="B1210" s="37" t="s">
        <v>1467</v>
      </c>
      <c r="C1210" s="53">
        <v>11.838279</v>
      </c>
      <c r="D1210" s="53">
        <v>11.632009999999999</v>
      </c>
      <c r="E1210" s="53">
        <v>11.614315</v>
      </c>
      <c r="F1210" s="53">
        <v>12.123707</v>
      </c>
      <c r="G1210" s="53">
        <v>12.569887</v>
      </c>
      <c r="H1210" s="53">
        <v>12.911446</v>
      </c>
      <c r="I1210" s="53">
        <v>13.250278</v>
      </c>
      <c r="J1210" s="53">
        <v>13.475811999999999</v>
      </c>
      <c r="K1210" s="53">
        <v>13.614094</v>
      </c>
      <c r="L1210" s="53">
        <v>13.834244999999999</v>
      </c>
      <c r="M1210" s="53">
        <v>14.153086</v>
      </c>
      <c r="N1210" s="53">
        <v>14.502523</v>
      </c>
      <c r="O1210" s="53">
        <v>14.923037000000001</v>
      </c>
      <c r="P1210" s="53">
        <v>15.346107</v>
      </c>
      <c r="Q1210" s="53">
        <v>15.550231999999999</v>
      </c>
      <c r="R1210" s="53">
        <v>15.967845000000001</v>
      </c>
      <c r="S1210" s="53">
        <v>16.245543000000001</v>
      </c>
      <c r="T1210" s="53">
        <v>16.622852000000002</v>
      </c>
      <c r="U1210" s="53">
        <v>17.082331</v>
      </c>
      <c r="V1210" s="53">
        <v>17.537095999999998</v>
      </c>
      <c r="W1210" s="53">
        <v>17.897842000000001</v>
      </c>
      <c r="X1210" s="53">
        <v>18.246570999999999</v>
      </c>
      <c r="Y1210" s="53">
        <v>18.579540000000001</v>
      </c>
      <c r="Z1210" s="53">
        <v>18.886907999999998</v>
      </c>
      <c r="AA1210" s="53">
        <v>19.298636999999999</v>
      </c>
      <c r="AB1210" s="53">
        <v>19.768131</v>
      </c>
      <c r="AC1210" s="53">
        <v>20.111865999999999</v>
      </c>
      <c r="AD1210" s="53">
        <v>20.534756000000002</v>
      </c>
      <c r="AE1210" s="53">
        <v>21.141539000000002</v>
      </c>
      <c r="AF1210" s="35">
        <v>2.0927000000000001E-2</v>
      </c>
      <c r="AG1210" s="29"/>
    </row>
    <row r="1211" spans="1:33" ht="15" customHeight="1">
      <c r="A1211" s="34" t="s">
        <v>3766</v>
      </c>
      <c r="B1211" s="37" t="s">
        <v>1484</v>
      </c>
      <c r="C1211" s="53">
        <v>3.1768000000000001</v>
      </c>
      <c r="D1211" s="53">
        <v>3.196148</v>
      </c>
      <c r="E1211" s="53">
        <v>3.1774390000000001</v>
      </c>
      <c r="F1211" s="53">
        <v>3.263538</v>
      </c>
      <c r="G1211" s="53">
        <v>3.3036210000000001</v>
      </c>
      <c r="H1211" s="53">
        <v>3.327159</v>
      </c>
      <c r="I1211" s="53">
        <v>3.3192780000000002</v>
      </c>
      <c r="J1211" s="53">
        <v>3.3396680000000001</v>
      </c>
      <c r="K1211" s="53">
        <v>3.339645</v>
      </c>
      <c r="L1211" s="53">
        <v>3.3098559999999999</v>
      </c>
      <c r="M1211" s="53">
        <v>3.3679410000000001</v>
      </c>
      <c r="N1211" s="53">
        <v>3.3864010000000002</v>
      </c>
      <c r="O1211" s="53">
        <v>3.4087619999999998</v>
      </c>
      <c r="P1211" s="53">
        <v>3.43859</v>
      </c>
      <c r="Q1211" s="53">
        <v>3.4755099999999999</v>
      </c>
      <c r="R1211" s="53">
        <v>3.4984250000000001</v>
      </c>
      <c r="S1211" s="53">
        <v>3.4770650000000001</v>
      </c>
      <c r="T1211" s="53">
        <v>3.518637</v>
      </c>
      <c r="U1211" s="53">
        <v>3.5506509999999998</v>
      </c>
      <c r="V1211" s="53">
        <v>3.5765060000000002</v>
      </c>
      <c r="W1211" s="53">
        <v>3.596292</v>
      </c>
      <c r="X1211" s="53">
        <v>3.6131669999999998</v>
      </c>
      <c r="Y1211" s="53">
        <v>3.6231040000000001</v>
      </c>
      <c r="Z1211" s="53">
        <v>3.6190199999999999</v>
      </c>
      <c r="AA1211" s="53">
        <v>3.6382880000000002</v>
      </c>
      <c r="AB1211" s="53">
        <v>3.6617120000000001</v>
      </c>
      <c r="AC1211" s="53">
        <v>3.6601379999999999</v>
      </c>
      <c r="AD1211" s="53">
        <v>3.669457</v>
      </c>
      <c r="AE1211" s="53">
        <v>3.7142559999999998</v>
      </c>
      <c r="AF1211" s="35">
        <v>5.5979999999999997E-3</v>
      </c>
      <c r="AG1211" s="29"/>
    </row>
    <row r="1212" spans="1:33" ht="15" customHeight="1">
      <c r="A1212" s="34" t="s">
        <v>3767</v>
      </c>
      <c r="B1212" s="37" t="s">
        <v>2722</v>
      </c>
      <c r="C1212" s="53">
        <v>3.7159119999999999</v>
      </c>
      <c r="D1212" s="53">
        <v>3.510669</v>
      </c>
      <c r="E1212" s="53">
        <v>3.4391729999999998</v>
      </c>
      <c r="F1212" s="53">
        <v>3.6380789999999998</v>
      </c>
      <c r="G1212" s="53">
        <v>3.8160180000000001</v>
      </c>
      <c r="H1212" s="53">
        <v>3.9426570000000001</v>
      </c>
      <c r="I1212" s="53">
        <v>4.098662</v>
      </c>
      <c r="J1212" s="53">
        <v>4.2064260000000004</v>
      </c>
      <c r="K1212" s="53">
        <v>4.2935829999999999</v>
      </c>
      <c r="L1212" s="53">
        <v>4.422434</v>
      </c>
      <c r="M1212" s="53">
        <v>4.5650089999999999</v>
      </c>
      <c r="N1212" s="53">
        <v>4.7326709999999999</v>
      </c>
      <c r="O1212" s="53">
        <v>4.9084680000000001</v>
      </c>
      <c r="P1212" s="53">
        <v>5.0609219999999997</v>
      </c>
      <c r="Q1212" s="53">
        <v>5.2123369999999998</v>
      </c>
      <c r="R1212" s="53">
        <v>5.3748849999999999</v>
      </c>
      <c r="S1212" s="53">
        <v>5.5697749999999999</v>
      </c>
      <c r="T1212" s="53">
        <v>5.7608269999999999</v>
      </c>
      <c r="U1212" s="53">
        <v>6.0405389999999999</v>
      </c>
      <c r="V1212" s="53">
        <v>6.3114420000000004</v>
      </c>
      <c r="W1212" s="53">
        <v>6.5190210000000004</v>
      </c>
      <c r="X1212" s="53">
        <v>6.7435590000000003</v>
      </c>
      <c r="Y1212" s="53">
        <v>6.9566119999999998</v>
      </c>
      <c r="Z1212" s="53">
        <v>7.1711460000000002</v>
      </c>
      <c r="AA1212" s="53">
        <v>7.4226760000000001</v>
      </c>
      <c r="AB1212" s="53">
        <v>7.6997869999999997</v>
      </c>
      <c r="AC1212" s="53">
        <v>7.9148170000000002</v>
      </c>
      <c r="AD1212" s="53">
        <v>8.1741919999999997</v>
      </c>
      <c r="AE1212" s="53">
        <v>8.5160879999999999</v>
      </c>
      <c r="AF1212" s="35">
        <v>3.0061999999999998E-2</v>
      </c>
      <c r="AG1212" s="29"/>
    </row>
    <row r="1213" spans="1:33" ht="15" customHeight="1">
      <c r="A1213" s="34" t="s">
        <v>3768</v>
      </c>
      <c r="B1213" s="37" t="s">
        <v>2724</v>
      </c>
      <c r="C1213" s="53">
        <v>1.545274</v>
      </c>
      <c r="D1213" s="53">
        <v>1.5616730000000001</v>
      </c>
      <c r="E1213" s="53">
        <v>1.591394</v>
      </c>
      <c r="F1213" s="53">
        <v>1.66272</v>
      </c>
      <c r="G1213" s="53">
        <v>1.7582690000000001</v>
      </c>
      <c r="H1213" s="53">
        <v>1.8567610000000001</v>
      </c>
      <c r="I1213" s="53">
        <v>1.9439679999999999</v>
      </c>
      <c r="J1213" s="53">
        <v>2.0163769999999999</v>
      </c>
      <c r="K1213" s="53">
        <v>2.0774379999999999</v>
      </c>
      <c r="L1213" s="53">
        <v>2.1441129999999999</v>
      </c>
      <c r="M1213" s="53">
        <v>2.242661</v>
      </c>
      <c r="N1213" s="53">
        <v>2.3507229999999999</v>
      </c>
      <c r="O1213" s="53">
        <v>2.457738</v>
      </c>
      <c r="P1213" s="53">
        <v>2.575631</v>
      </c>
      <c r="Q1213" s="53">
        <v>2.683243</v>
      </c>
      <c r="R1213" s="53">
        <v>2.7877649999999998</v>
      </c>
      <c r="S1213" s="53">
        <v>2.9069419999999999</v>
      </c>
      <c r="T1213" s="53">
        <v>3.0489310000000001</v>
      </c>
      <c r="U1213" s="53">
        <v>3.1907589999999999</v>
      </c>
      <c r="V1213" s="53">
        <v>3.3277079999999999</v>
      </c>
      <c r="W1213" s="53">
        <v>3.466818</v>
      </c>
      <c r="X1213" s="53">
        <v>3.6137440000000001</v>
      </c>
      <c r="Y1213" s="53">
        <v>3.7586240000000002</v>
      </c>
      <c r="Z1213" s="53">
        <v>3.9102670000000002</v>
      </c>
      <c r="AA1213" s="53">
        <v>4.0789260000000001</v>
      </c>
      <c r="AB1213" s="53">
        <v>4.258337</v>
      </c>
      <c r="AC1213" s="53">
        <v>4.4220240000000004</v>
      </c>
      <c r="AD1213" s="53">
        <v>4.6024609999999999</v>
      </c>
      <c r="AE1213" s="53">
        <v>4.8210199999999999</v>
      </c>
      <c r="AF1213" s="35">
        <v>4.1472000000000002E-2</v>
      </c>
      <c r="AG1213" s="29"/>
    </row>
    <row r="1214" spans="1:33" ht="15" customHeight="1">
      <c r="A1214" s="34" t="s">
        <v>3769</v>
      </c>
      <c r="B1214" s="37" t="s">
        <v>1469</v>
      </c>
      <c r="C1214" s="53">
        <v>3.400293</v>
      </c>
      <c r="D1214" s="53">
        <v>3.363518</v>
      </c>
      <c r="E1214" s="53">
        <v>3.4063089999999998</v>
      </c>
      <c r="F1214" s="53">
        <v>3.5593689999999998</v>
      </c>
      <c r="G1214" s="53">
        <v>3.69198</v>
      </c>
      <c r="H1214" s="53">
        <v>3.7848679999999999</v>
      </c>
      <c r="I1214" s="53">
        <v>3.8883709999999998</v>
      </c>
      <c r="J1214" s="53">
        <v>3.9133399999999998</v>
      </c>
      <c r="K1214" s="53">
        <v>3.9034270000000002</v>
      </c>
      <c r="L1214" s="53">
        <v>3.9578410000000002</v>
      </c>
      <c r="M1214" s="53">
        <v>3.9774759999999998</v>
      </c>
      <c r="N1214" s="53">
        <v>4.0327270000000004</v>
      </c>
      <c r="O1214" s="53">
        <v>4.1480680000000003</v>
      </c>
      <c r="P1214" s="53">
        <v>4.2709659999999996</v>
      </c>
      <c r="Q1214" s="53">
        <v>4.1791419999999997</v>
      </c>
      <c r="R1214" s="53">
        <v>4.3067700000000002</v>
      </c>
      <c r="S1214" s="53">
        <v>4.2917610000000002</v>
      </c>
      <c r="T1214" s="53">
        <v>4.2944570000000004</v>
      </c>
      <c r="U1214" s="53">
        <v>4.3003819999999999</v>
      </c>
      <c r="V1214" s="53">
        <v>4.3214410000000001</v>
      </c>
      <c r="W1214" s="53">
        <v>4.3157110000000003</v>
      </c>
      <c r="X1214" s="53">
        <v>4.2761009999999997</v>
      </c>
      <c r="Y1214" s="53">
        <v>4.2411989999999999</v>
      </c>
      <c r="Z1214" s="53">
        <v>4.1864739999999996</v>
      </c>
      <c r="AA1214" s="53">
        <v>4.1587459999999998</v>
      </c>
      <c r="AB1214" s="53">
        <v>4.1482950000000001</v>
      </c>
      <c r="AC1214" s="53">
        <v>4.1148850000000001</v>
      </c>
      <c r="AD1214" s="53">
        <v>4.0886449999999996</v>
      </c>
      <c r="AE1214" s="53">
        <v>4.0901759999999996</v>
      </c>
      <c r="AF1214" s="35">
        <v>6.6189999999999999E-3</v>
      </c>
      <c r="AG1214" s="29"/>
    </row>
    <row r="1215" spans="1:33" ht="15" customHeight="1">
      <c r="A1215" s="34" t="s">
        <v>3770</v>
      </c>
      <c r="B1215" s="37" t="s">
        <v>2727</v>
      </c>
      <c r="C1215" s="53">
        <v>21.39959</v>
      </c>
      <c r="D1215" s="53">
        <v>19.443123</v>
      </c>
      <c r="E1215" s="53">
        <v>19.849160999999999</v>
      </c>
      <c r="F1215" s="53">
        <v>20.231112</v>
      </c>
      <c r="G1215" s="53">
        <v>20.701084000000002</v>
      </c>
      <c r="H1215" s="53">
        <v>21.268813999999999</v>
      </c>
      <c r="I1215" s="53">
        <v>21.919107</v>
      </c>
      <c r="J1215" s="53">
        <v>22.536873</v>
      </c>
      <c r="K1215" s="53">
        <v>23.063783999999998</v>
      </c>
      <c r="L1215" s="53">
        <v>23.622807999999999</v>
      </c>
      <c r="M1215" s="53">
        <v>24.407516000000001</v>
      </c>
      <c r="N1215" s="53">
        <v>25.328938000000001</v>
      </c>
      <c r="O1215" s="53">
        <v>26.353870000000001</v>
      </c>
      <c r="P1215" s="53">
        <v>27.467911000000001</v>
      </c>
      <c r="Q1215" s="53">
        <v>28.709527999999999</v>
      </c>
      <c r="R1215" s="53">
        <v>29.998798000000001</v>
      </c>
      <c r="S1215" s="53">
        <v>31.416886999999999</v>
      </c>
      <c r="T1215" s="53">
        <v>32.901108000000001</v>
      </c>
      <c r="U1215" s="53">
        <v>34.541924000000002</v>
      </c>
      <c r="V1215" s="53">
        <v>36.378596999999999</v>
      </c>
      <c r="W1215" s="53">
        <v>38.334099000000002</v>
      </c>
      <c r="X1215" s="53">
        <v>40.394623000000003</v>
      </c>
      <c r="Y1215" s="53">
        <v>42.522368999999998</v>
      </c>
      <c r="Z1215" s="53">
        <v>44.628532</v>
      </c>
      <c r="AA1215" s="53">
        <v>46.750945999999999</v>
      </c>
      <c r="AB1215" s="53">
        <v>49.045971000000002</v>
      </c>
      <c r="AC1215" s="53">
        <v>51.417113999999998</v>
      </c>
      <c r="AD1215" s="53">
        <v>53.706527999999999</v>
      </c>
      <c r="AE1215" s="53">
        <v>56.138046000000003</v>
      </c>
      <c r="AF1215" s="35">
        <v>3.5043999999999999E-2</v>
      </c>
      <c r="AG1215" s="29"/>
    </row>
    <row r="1216" spans="1:33" ht="15" customHeight="1">
      <c r="A1216" s="34" t="s">
        <v>3771</v>
      </c>
      <c r="B1216" s="37" t="s">
        <v>2729</v>
      </c>
      <c r="C1216" s="53">
        <v>37.592880000000001</v>
      </c>
      <c r="D1216" s="53">
        <v>40.427677000000003</v>
      </c>
      <c r="E1216" s="53">
        <v>39.845016000000001</v>
      </c>
      <c r="F1216" s="53">
        <v>39.310111999999997</v>
      </c>
      <c r="G1216" s="53">
        <v>38.608299000000002</v>
      </c>
      <c r="H1216" s="53">
        <v>37.992603000000003</v>
      </c>
      <c r="I1216" s="53">
        <v>37.442917000000001</v>
      </c>
      <c r="J1216" s="53">
        <v>36.836525000000002</v>
      </c>
      <c r="K1216" s="53">
        <v>36.149120000000003</v>
      </c>
      <c r="L1216" s="53">
        <v>35.607833999999997</v>
      </c>
      <c r="M1216" s="53">
        <v>35.033123000000003</v>
      </c>
      <c r="N1216" s="53">
        <v>34.476363999999997</v>
      </c>
      <c r="O1216" s="53">
        <v>33.994362000000002</v>
      </c>
      <c r="P1216" s="53">
        <v>33.597968999999999</v>
      </c>
      <c r="Q1216" s="53">
        <v>33.188828000000001</v>
      </c>
      <c r="R1216" s="53">
        <v>32.750694000000003</v>
      </c>
      <c r="S1216" s="53">
        <v>32.378284000000001</v>
      </c>
      <c r="T1216" s="53">
        <v>31.875191000000001</v>
      </c>
      <c r="U1216" s="53">
        <v>31.723602</v>
      </c>
      <c r="V1216" s="53">
        <v>31.571209</v>
      </c>
      <c r="W1216" s="53">
        <v>31.319341999999999</v>
      </c>
      <c r="X1216" s="53">
        <v>31.067243999999999</v>
      </c>
      <c r="Y1216" s="53">
        <v>30.820148</v>
      </c>
      <c r="Z1216" s="53">
        <v>30.549166</v>
      </c>
      <c r="AA1216" s="53">
        <v>30.355243999999999</v>
      </c>
      <c r="AB1216" s="53">
        <v>30.197796</v>
      </c>
      <c r="AC1216" s="53">
        <v>29.947582000000001</v>
      </c>
      <c r="AD1216" s="53">
        <v>29.760383999999998</v>
      </c>
      <c r="AE1216" s="53">
        <v>29.701370000000001</v>
      </c>
      <c r="AF1216" s="35">
        <v>-8.3800000000000003E-3</v>
      </c>
      <c r="AG1216" s="29"/>
    </row>
    <row r="1217" spans="1:33" ht="15" customHeight="1">
      <c r="A1217" s="34" t="s">
        <v>3772</v>
      </c>
      <c r="B1217" s="37" t="s">
        <v>2731</v>
      </c>
      <c r="C1217" s="53">
        <v>36.025489999999998</v>
      </c>
      <c r="D1217" s="53">
        <v>38.776932000000002</v>
      </c>
      <c r="E1217" s="53">
        <v>38.162230999999998</v>
      </c>
      <c r="F1217" s="53">
        <v>37.634433999999999</v>
      </c>
      <c r="G1217" s="53">
        <v>36.945704999999997</v>
      </c>
      <c r="H1217" s="53">
        <v>36.353915999999998</v>
      </c>
      <c r="I1217" s="53">
        <v>35.801566999999999</v>
      </c>
      <c r="J1217" s="53">
        <v>35.226730000000003</v>
      </c>
      <c r="K1217" s="53">
        <v>34.567622999999998</v>
      </c>
      <c r="L1217" s="53">
        <v>34.030608999999998</v>
      </c>
      <c r="M1217" s="53">
        <v>33.488308000000004</v>
      </c>
      <c r="N1217" s="53">
        <v>32.965057000000002</v>
      </c>
      <c r="O1217" s="53">
        <v>32.498299000000003</v>
      </c>
      <c r="P1217" s="53">
        <v>32.125328000000003</v>
      </c>
      <c r="Q1217" s="53">
        <v>31.739801</v>
      </c>
      <c r="R1217" s="53">
        <v>31.344154</v>
      </c>
      <c r="S1217" s="53">
        <v>30.980398000000001</v>
      </c>
      <c r="T1217" s="53">
        <v>30.496348999999999</v>
      </c>
      <c r="U1217" s="53">
        <v>30.361484999999998</v>
      </c>
      <c r="V1217" s="53">
        <v>30.229621999999999</v>
      </c>
      <c r="W1217" s="53">
        <v>29.997745999999999</v>
      </c>
      <c r="X1217" s="53">
        <v>29.763953999999998</v>
      </c>
      <c r="Y1217" s="53">
        <v>29.534742000000001</v>
      </c>
      <c r="Z1217" s="53">
        <v>29.278455999999998</v>
      </c>
      <c r="AA1217" s="53">
        <v>29.099007</v>
      </c>
      <c r="AB1217" s="53">
        <v>28.957508000000001</v>
      </c>
      <c r="AC1217" s="53">
        <v>28.729147000000001</v>
      </c>
      <c r="AD1217" s="53">
        <v>28.556827999999999</v>
      </c>
      <c r="AE1217" s="53">
        <v>28.507539999999999</v>
      </c>
      <c r="AF1217" s="35">
        <v>-8.3239999999999998E-3</v>
      </c>
      <c r="AG1217" s="29"/>
    </row>
    <row r="1218" spans="1:33" ht="12" customHeight="1">
      <c r="A1218" s="34" t="s">
        <v>3773</v>
      </c>
      <c r="B1218" s="37" t="s">
        <v>2733</v>
      </c>
      <c r="C1218" s="53">
        <v>1.567391</v>
      </c>
      <c r="D1218" s="53">
        <v>1.650744</v>
      </c>
      <c r="E1218" s="53">
        <v>1.6827859999999999</v>
      </c>
      <c r="F1218" s="53">
        <v>1.6756759999999999</v>
      </c>
      <c r="G1218" s="53">
        <v>1.662593</v>
      </c>
      <c r="H1218" s="53">
        <v>1.638687</v>
      </c>
      <c r="I1218" s="53">
        <v>1.641351</v>
      </c>
      <c r="J1218" s="53">
        <v>1.6097950000000001</v>
      </c>
      <c r="K1218" s="53">
        <v>1.581496</v>
      </c>
      <c r="L1218" s="53">
        <v>1.577223</v>
      </c>
      <c r="M1218" s="53">
        <v>1.544815</v>
      </c>
      <c r="N1218" s="53">
        <v>1.5113049999999999</v>
      </c>
      <c r="O1218" s="53">
        <v>1.4960629999999999</v>
      </c>
      <c r="P1218" s="53">
        <v>1.4726429999999999</v>
      </c>
      <c r="Q1218" s="53">
        <v>1.449025</v>
      </c>
      <c r="R1218" s="53">
        <v>1.4065399999999999</v>
      </c>
      <c r="S1218" s="53">
        <v>1.397888</v>
      </c>
      <c r="T1218" s="53">
        <v>1.3788419999999999</v>
      </c>
      <c r="U1218" s="53">
        <v>1.3621179999999999</v>
      </c>
      <c r="V1218" s="53">
        <v>1.3415859999999999</v>
      </c>
      <c r="W1218" s="53">
        <v>1.321596</v>
      </c>
      <c r="X1218" s="53">
        <v>1.3032889999999999</v>
      </c>
      <c r="Y1218" s="53">
        <v>1.285406</v>
      </c>
      <c r="Z1218" s="53">
        <v>1.27071</v>
      </c>
      <c r="AA1218" s="53">
        <v>1.2562359999999999</v>
      </c>
      <c r="AB1218" s="53">
        <v>1.2402869999999999</v>
      </c>
      <c r="AC1218" s="53">
        <v>1.218434</v>
      </c>
      <c r="AD1218" s="53">
        <v>1.203557</v>
      </c>
      <c r="AE1218" s="53">
        <v>1.1938310000000001</v>
      </c>
      <c r="AF1218" s="35">
        <v>-9.6760000000000006E-3</v>
      </c>
      <c r="AG1218" s="29"/>
    </row>
    <row r="1219" spans="1:33" ht="15" customHeight="1">
      <c r="A1219" s="34" t="s">
        <v>3774</v>
      </c>
      <c r="B1219" s="37" t="s">
        <v>2735</v>
      </c>
      <c r="C1219" s="53">
        <v>8.706823</v>
      </c>
      <c r="D1219" s="53">
        <v>8.5929339999999996</v>
      </c>
      <c r="E1219" s="53">
        <v>8.5906280000000006</v>
      </c>
      <c r="F1219" s="53">
        <v>8.7788559999999993</v>
      </c>
      <c r="G1219" s="53">
        <v>9.0848879999999994</v>
      </c>
      <c r="H1219" s="53">
        <v>9.3735890000000008</v>
      </c>
      <c r="I1219" s="53">
        <v>9.6330880000000008</v>
      </c>
      <c r="J1219" s="53">
        <v>9.8798639999999995</v>
      </c>
      <c r="K1219" s="53">
        <v>10.087922000000001</v>
      </c>
      <c r="L1219" s="53">
        <v>10.338196999999999</v>
      </c>
      <c r="M1219" s="53">
        <v>10.644116</v>
      </c>
      <c r="N1219" s="53">
        <v>10.93791</v>
      </c>
      <c r="O1219" s="53">
        <v>11.247463</v>
      </c>
      <c r="P1219" s="53">
        <v>11.597465</v>
      </c>
      <c r="Q1219" s="53">
        <v>11.905395</v>
      </c>
      <c r="R1219" s="53">
        <v>12.253932000000001</v>
      </c>
      <c r="S1219" s="53">
        <v>12.592259</v>
      </c>
      <c r="T1219" s="53">
        <v>12.914573000000001</v>
      </c>
      <c r="U1219" s="53">
        <v>13.261896</v>
      </c>
      <c r="V1219" s="53">
        <v>13.647626000000001</v>
      </c>
      <c r="W1219" s="53">
        <v>14.025039</v>
      </c>
      <c r="X1219" s="53">
        <v>14.43055</v>
      </c>
      <c r="Y1219" s="53">
        <v>14.811915000000001</v>
      </c>
      <c r="Z1219" s="53">
        <v>15.177061999999999</v>
      </c>
      <c r="AA1219" s="53">
        <v>15.574363</v>
      </c>
      <c r="AB1219" s="53">
        <v>15.99286</v>
      </c>
      <c r="AC1219" s="53">
        <v>16.385722999999999</v>
      </c>
      <c r="AD1219" s="53">
        <v>16.793797000000001</v>
      </c>
      <c r="AE1219" s="53">
        <v>17.318663000000001</v>
      </c>
      <c r="AF1219" s="35">
        <v>2.4864000000000001E-2</v>
      </c>
      <c r="AG1219" s="29"/>
    </row>
    <row r="1220" spans="1:33" ht="15" customHeight="1">
      <c r="A1220" s="34" t="s">
        <v>3775</v>
      </c>
      <c r="B1220" s="37" t="s">
        <v>1479</v>
      </c>
      <c r="C1220" s="53">
        <v>8.6640259999999998</v>
      </c>
      <c r="D1220" s="53">
        <v>8.2922630000000002</v>
      </c>
      <c r="E1220" s="53">
        <v>8.1995280000000008</v>
      </c>
      <c r="F1220" s="53">
        <v>8.3381019999999992</v>
      </c>
      <c r="G1220" s="53">
        <v>8.5281610000000008</v>
      </c>
      <c r="H1220" s="53">
        <v>8.6327879999999997</v>
      </c>
      <c r="I1220" s="53">
        <v>8.71401</v>
      </c>
      <c r="J1220" s="53">
        <v>8.7913139999999999</v>
      </c>
      <c r="K1220" s="53">
        <v>8.8367730000000009</v>
      </c>
      <c r="L1220" s="53">
        <v>8.8708609999999997</v>
      </c>
      <c r="M1220" s="53">
        <v>8.9289860000000001</v>
      </c>
      <c r="N1220" s="53">
        <v>8.9631959999999999</v>
      </c>
      <c r="O1220" s="53">
        <v>8.9837439999999997</v>
      </c>
      <c r="P1220" s="53">
        <v>9.0640889999999992</v>
      </c>
      <c r="Q1220" s="53">
        <v>9.1006429999999998</v>
      </c>
      <c r="R1220" s="53">
        <v>9.1527499999999993</v>
      </c>
      <c r="S1220" s="53">
        <v>9.2097890000000007</v>
      </c>
      <c r="T1220" s="53">
        <v>9.2546020000000002</v>
      </c>
      <c r="U1220" s="53">
        <v>9.3223819999999993</v>
      </c>
      <c r="V1220" s="53">
        <v>9.391337</v>
      </c>
      <c r="W1220" s="53">
        <v>9.4298149999999996</v>
      </c>
      <c r="X1220" s="53">
        <v>9.4096440000000001</v>
      </c>
      <c r="Y1220" s="53">
        <v>9.4407709999999998</v>
      </c>
      <c r="Z1220" s="53">
        <v>9.4951670000000004</v>
      </c>
      <c r="AA1220" s="53">
        <v>9.5377039999999997</v>
      </c>
      <c r="AB1220" s="53">
        <v>9.5769490000000008</v>
      </c>
      <c r="AC1220" s="53">
        <v>9.5866299999999995</v>
      </c>
      <c r="AD1220" s="53">
        <v>9.5950170000000004</v>
      </c>
      <c r="AE1220" s="53">
        <v>9.6197110000000006</v>
      </c>
      <c r="AF1220" s="35">
        <v>3.7439999999999999E-3</v>
      </c>
      <c r="AG1220" s="29"/>
    </row>
    <row r="1221" spans="1:33" ht="15" customHeight="1">
      <c r="A1221" s="34" t="s">
        <v>3776</v>
      </c>
      <c r="B1221" s="37" t="s">
        <v>1477</v>
      </c>
      <c r="C1221" s="53">
        <v>1.090859</v>
      </c>
      <c r="D1221" s="53">
        <v>1.056791</v>
      </c>
      <c r="E1221" s="53">
        <v>1.0663560000000001</v>
      </c>
      <c r="F1221" s="53">
        <v>1.0984229999999999</v>
      </c>
      <c r="G1221" s="53">
        <v>1.1581950000000001</v>
      </c>
      <c r="H1221" s="53">
        <v>1.200234</v>
      </c>
      <c r="I1221" s="53">
        <v>1.238335</v>
      </c>
      <c r="J1221" s="53">
        <v>1.2717320000000001</v>
      </c>
      <c r="K1221" s="53">
        <v>1.3020579999999999</v>
      </c>
      <c r="L1221" s="53">
        <v>1.3333969999999999</v>
      </c>
      <c r="M1221" s="53">
        <v>1.3651260000000001</v>
      </c>
      <c r="N1221" s="53">
        <v>1.3995299999999999</v>
      </c>
      <c r="O1221" s="53">
        <v>1.4334359999999999</v>
      </c>
      <c r="P1221" s="53">
        <v>1.4751909999999999</v>
      </c>
      <c r="Q1221" s="53">
        <v>1.5024850000000001</v>
      </c>
      <c r="R1221" s="53">
        <v>1.5300819999999999</v>
      </c>
      <c r="S1221" s="53">
        <v>1.558886</v>
      </c>
      <c r="T1221" s="53">
        <v>1.592328</v>
      </c>
      <c r="U1221" s="53">
        <v>1.628771</v>
      </c>
      <c r="V1221" s="53">
        <v>1.658563</v>
      </c>
      <c r="W1221" s="53">
        <v>1.6968099999999999</v>
      </c>
      <c r="X1221" s="53">
        <v>1.7197340000000001</v>
      </c>
      <c r="Y1221" s="53">
        <v>1.7476</v>
      </c>
      <c r="Z1221" s="53">
        <v>1.7788649999999999</v>
      </c>
      <c r="AA1221" s="53">
        <v>1.8180510000000001</v>
      </c>
      <c r="AB1221" s="53">
        <v>1.8480559999999999</v>
      </c>
      <c r="AC1221" s="53">
        <v>1.8679490000000001</v>
      </c>
      <c r="AD1221" s="53">
        <v>1.8953709999999999</v>
      </c>
      <c r="AE1221" s="53">
        <v>1.928464</v>
      </c>
      <c r="AF1221" s="35">
        <v>2.0556999999999999E-2</v>
      </c>
      <c r="AG1221" s="29"/>
    </row>
    <row r="1222" spans="1:33" ht="15" customHeight="1">
      <c r="A1222" s="34" t="s">
        <v>3777</v>
      </c>
      <c r="B1222" s="37" t="s">
        <v>1465</v>
      </c>
      <c r="C1222" s="53">
        <v>1.6808829999999999</v>
      </c>
      <c r="D1222" s="53">
        <v>1.6149290000000001</v>
      </c>
      <c r="E1222" s="53">
        <v>1.5948929999999999</v>
      </c>
      <c r="F1222" s="53">
        <v>1.6238630000000001</v>
      </c>
      <c r="G1222" s="53">
        <v>1.6502859999999999</v>
      </c>
      <c r="H1222" s="53">
        <v>1.6480969999999999</v>
      </c>
      <c r="I1222" s="53">
        <v>1.660245</v>
      </c>
      <c r="J1222" s="53">
        <v>1.6758</v>
      </c>
      <c r="K1222" s="53">
        <v>1.6928460000000001</v>
      </c>
      <c r="L1222" s="53">
        <v>1.6941489999999999</v>
      </c>
      <c r="M1222" s="53">
        <v>1.688339</v>
      </c>
      <c r="N1222" s="53">
        <v>1.6841520000000001</v>
      </c>
      <c r="O1222" s="53">
        <v>1.6921120000000001</v>
      </c>
      <c r="P1222" s="53">
        <v>1.7080200000000001</v>
      </c>
      <c r="Q1222" s="53">
        <v>1.719536</v>
      </c>
      <c r="R1222" s="53">
        <v>1.7275670000000001</v>
      </c>
      <c r="S1222" s="53">
        <v>1.732605</v>
      </c>
      <c r="T1222" s="53">
        <v>1.7349209999999999</v>
      </c>
      <c r="U1222" s="53">
        <v>1.766092</v>
      </c>
      <c r="V1222" s="53">
        <v>1.7991079999999999</v>
      </c>
      <c r="W1222" s="53">
        <v>1.807437</v>
      </c>
      <c r="X1222" s="53">
        <v>1.8074030000000001</v>
      </c>
      <c r="Y1222" s="53">
        <v>1.8194049999999999</v>
      </c>
      <c r="Z1222" s="53">
        <v>1.8356779999999999</v>
      </c>
      <c r="AA1222" s="53">
        <v>1.8486750000000001</v>
      </c>
      <c r="AB1222" s="53">
        <v>1.86277</v>
      </c>
      <c r="AC1222" s="53">
        <v>1.8688340000000001</v>
      </c>
      <c r="AD1222" s="53">
        <v>1.873904</v>
      </c>
      <c r="AE1222" s="53">
        <v>1.8826909999999999</v>
      </c>
      <c r="AF1222" s="35">
        <v>4.058E-3</v>
      </c>
      <c r="AG1222" s="29"/>
    </row>
    <row r="1223" spans="1:33" ht="15" customHeight="1">
      <c r="A1223" s="34" t="s">
        <v>3778</v>
      </c>
      <c r="B1223" s="37" t="s">
        <v>2740</v>
      </c>
      <c r="C1223" s="53">
        <v>5.8922840000000001</v>
      </c>
      <c r="D1223" s="53">
        <v>5.6205429999999996</v>
      </c>
      <c r="E1223" s="53">
        <v>5.538278</v>
      </c>
      <c r="F1223" s="53">
        <v>5.6158159999999997</v>
      </c>
      <c r="G1223" s="53">
        <v>5.7196790000000002</v>
      </c>
      <c r="H1223" s="53">
        <v>5.7844569999999997</v>
      </c>
      <c r="I1223" s="53">
        <v>5.8154300000000001</v>
      </c>
      <c r="J1223" s="53">
        <v>5.8437809999999999</v>
      </c>
      <c r="K1223" s="53">
        <v>5.8418700000000001</v>
      </c>
      <c r="L1223" s="53">
        <v>5.8433149999999996</v>
      </c>
      <c r="M1223" s="53">
        <v>5.875521</v>
      </c>
      <c r="N1223" s="53">
        <v>5.8795130000000002</v>
      </c>
      <c r="O1223" s="53">
        <v>5.8581960000000004</v>
      </c>
      <c r="P1223" s="53">
        <v>5.8808769999999999</v>
      </c>
      <c r="Q1223" s="53">
        <v>5.878622</v>
      </c>
      <c r="R1223" s="53">
        <v>5.8951010000000004</v>
      </c>
      <c r="S1223" s="53">
        <v>5.9182980000000001</v>
      </c>
      <c r="T1223" s="53">
        <v>5.9273540000000002</v>
      </c>
      <c r="U1223" s="53">
        <v>5.9275190000000002</v>
      </c>
      <c r="V1223" s="53">
        <v>5.9336669999999998</v>
      </c>
      <c r="W1223" s="53">
        <v>5.9255690000000003</v>
      </c>
      <c r="X1223" s="53">
        <v>5.8825070000000004</v>
      </c>
      <c r="Y1223" s="53">
        <v>5.873767</v>
      </c>
      <c r="Z1223" s="53">
        <v>5.8806240000000001</v>
      </c>
      <c r="AA1223" s="53">
        <v>5.8709769999999999</v>
      </c>
      <c r="AB1223" s="53">
        <v>5.866123</v>
      </c>
      <c r="AC1223" s="53">
        <v>5.8498469999999996</v>
      </c>
      <c r="AD1223" s="53">
        <v>5.8257430000000001</v>
      </c>
      <c r="AE1223" s="53">
        <v>5.8085560000000003</v>
      </c>
      <c r="AF1223" s="35">
        <v>-5.1099999999999995E-4</v>
      </c>
      <c r="AG1223" s="29"/>
    </row>
    <row r="1224" spans="1:33" ht="15" customHeight="1">
      <c r="A1224" s="34" t="s">
        <v>3779</v>
      </c>
      <c r="B1224" s="37" t="s">
        <v>2742</v>
      </c>
      <c r="C1224" s="53">
        <v>9.0157550000000004</v>
      </c>
      <c r="D1224" s="53">
        <v>9.0574519999999996</v>
      </c>
      <c r="E1224" s="53">
        <v>9.1856310000000008</v>
      </c>
      <c r="F1224" s="53">
        <v>9.5632339999999996</v>
      </c>
      <c r="G1224" s="53">
        <v>10.044769000000001</v>
      </c>
      <c r="H1224" s="53">
        <v>10.412217</v>
      </c>
      <c r="I1224" s="53">
        <v>10.677996</v>
      </c>
      <c r="J1224" s="53">
        <v>10.878774999999999</v>
      </c>
      <c r="K1224" s="53">
        <v>11.034439000000001</v>
      </c>
      <c r="L1224" s="53">
        <v>11.201593000000001</v>
      </c>
      <c r="M1224" s="53">
        <v>11.413658</v>
      </c>
      <c r="N1224" s="53">
        <v>11.553466</v>
      </c>
      <c r="O1224" s="53">
        <v>11.808725000000001</v>
      </c>
      <c r="P1224" s="53">
        <v>12.080216999999999</v>
      </c>
      <c r="Q1224" s="53">
        <v>12.311973</v>
      </c>
      <c r="R1224" s="53">
        <v>12.614566999999999</v>
      </c>
      <c r="S1224" s="53">
        <v>12.865385</v>
      </c>
      <c r="T1224" s="53">
        <v>13.103489</v>
      </c>
      <c r="U1224" s="53">
        <v>13.401218</v>
      </c>
      <c r="V1224" s="53">
        <v>13.717131</v>
      </c>
      <c r="W1224" s="53">
        <v>14.019323</v>
      </c>
      <c r="X1224" s="53">
        <v>14.292335</v>
      </c>
      <c r="Y1224" s="53">
        <v>14.565234999999999</v>
      </c>
      <c r="Z1224" s="53">
        <v>14.856462000000001</v>
      </c>
      <c r="AA1224" s="53">
        <v>15.169726000000001</v>
      </c>
      <c r="AB1224" s="53">
        <v>15.478045</v>
      </c>
      <c r="AC1224" s="53">
        <v>15.740456</v>
      </c>
      <c r="AD1224" s="53">
        <v>16.014301</v>
      </c>
      <c r="AE1224" s="53">
        <v>16.343886999999999</v>
      </c>
      <c r="AF1224" s="35">
        <v>2.1472999999999999E-2</v>
      </c>
      <c r="AG1224" s="29"/>
    </row>
    <row r="1225" spans="1:33" ht="15" customHeight="1">
      <c r="A1225" s="34" t="s">
        <v>3780</v>
      </c>
      <c r="B1225" s="37" t="s">
        <v>1464</v>
      </c>
      <c r="C1225" s="53">
        <v>3.0652499999999998</v>
      </c>
      <c r="D1225" s="53">
        <v>3.0542349999999998</v>
      </c>
      <c r="E1225" s="53">
        <v>3.027479</v>
      </c>
      <c r="F1225" s="53">
        <v>3.1202040000000002</v>
      </c>
      <c r="G1225" s="53">
        <v>3.2931629999999998</v>
      </c>
      <c r="H1225" s="53">
        <v>3.4049589999999998</v>
      </c>
      <c r="I1225" s="53">
        <v>3.4450599999999998</v>
      </c>
      <c r="J1225" s="53">
        <v>3.471435</v>
      </c>
      <c r="K1225" s="53">
        <v>3.4681609999999998</v>
      </c>
      <c r="L1225" s="53">
        <v>3.4776590000000001</v>
      </c>
      <c r="M1225" s="53">
        <v>3.5342199999999999</v>
      </c>
      <c r="N1225" s="53">
        <v>3.5163470000000001</v>
      </c>
      <c r="O1225" s="53">
        <v>3.546265</v>
      </c>
      <c r="P1225" s="53">
        <v>3.573169</v>
      </c>
      <c r="Q1225" s="53">
        <v>3.5899139999999998</v>
      </c>
      <c r="R1225" s="53">
        <v>3.6397750000000002</v>
      </c>
      <c r="S1225" s="53">
        <v>3.6864240000000001</v>
      </c>
      <c r="T1225" s="53">
        <v>3.700259</v>
      </c>
      <c r="U1225" s="53">
        <v>3.7250860000000001</v>
      </c>
      <c r="V1225" s="53">
        <v>3.7609720000000002</v>
      </c>
      <c r="W1225" s="53">
        <v>3.797863</v>
      </c>
      <c r="X1225" s="53">
        <v>3.8154659999999998</v>
      </c>
      <c r="Y1225" s="53">
        <v>3.8220459999999998</v>
      </c>
      <c r="Z1225" s="53">
        <v>3.8190590000000002</v>
      </c>
      <c r="AA1225" s="53">
        <v>3.8279109999999998</v>
      </c>
      <c r="AB1225" s="53">
        <v>3.8479489999999998</v>
      </c>
      <c r="AC1225" s="53">
        <v>3.8522129999999999</v>
      </c>
      <c r="AD1225" s="53">
        <v>3.8582719999999999</v>
      </c>
      <c r="AE1225" s="53">
        <v>3.8972880000000001</v>
      </c>
      <c r="AF1225" s="35">
        <v>8.6140000000000001E-3</v>
      </c>
      <c r="AG1225" s="29"/>
    </row>
    <row r="1226" spans="1:33" ht="15" customHeight="1">
      <c r="A1226" s="34" t="s">
        <v>3781</v>
      </c>
      <c r="B1226" s="37" t="s">
        <v>1482</v>
      </c>
      <c r="C1226" s="53">
        <v>1.6296759999999999</v>
      </c>
      <c r="D1226" s="53">
        <v>1.62782</v>
      </c>
      <c r="E1226" s="53">
        <v>1.661492</v>
      </c>
      <c r="F1226" s="53">
        <v>1.731366</v>
      </c>
      <c r="G1226" s="53">
        <v>1.8086580000000001</v>
      </c>
      <c r="H1226" s="53">
        <v>1.8738060000000001</v>
      </c>
      <c r="I1226" s="53">
        <v>1.938531</v>
      </c>
      <c r="J1226" s="53">
        <v>1.972278</v>
      </c>
      <c r="K1226" s="53">
        <v>2.0006149999999998</v>
      </c>
      <c r="L1226" s="53">
        <v>2.041058</v>
      </c>
      <c r="M1226" s="53">
        <v>2.0716730000000001</v>
      </c>
      <c r="N1226" s="53">
        <v>2.1198760000000001</v>
      </c>
      <c r="O1226" s="53">
        <v>2.1787580000000002</v>
      </c>
      <c r="P1226" s="53">
        <v>2.2428599999999999</v>
      </c>
      <c r="Q1226" s="53">
        <v>2.2887400000000002</v>
      </c>
      <c r="R1226" s="53">
        <v>2.3461750000000001</v>
      </c>
      <c r="S1226" s="53">
        <v>2.386304</v>
      </c>
      <c r="T1226" s="53">
        <v>2.4253650000000002</v>
      </c>
      <c r="U1226" s="53">
        <v>2.466691</v>
      </c>
      <c r="V1226" s="53">
        <v>2.521315</v>
      </c>
      <c r="W1226" s="53">
        <v>2.5864669999999998</v>
      </c>
      <c r="X1226" s="53">
        <v>2.6389990000000001</v>
      </c>
      <c r="Y1226" s="53">
        <v>2.6807629999999998</v>
      </c>
      <c r="Z1226" s="53">
        <v>2.7357339999999999</v>
      </c>
      <c r="AA1226" s="53">
        <v>2.7990189999999999</v>
      </c>
      <c r="AB1226" s="53">
        <v>2.8585129999999999</v>
      </c>
      <c r="AC1226" s="53">
        <v>2.8944269999999999</v>
      </c>
      <c r="AD1226" s="53">
        <v>2.9402089999999999</v>
      </c>
      <c r="AE1226" s="53">
        <v>3.0084279999999999</v>
      </c>
      <c r="AF1226" s="35">
        <v>2.2135999999999999E-2</v>
      </c>
      <c r="AG1226" s="29"/>
    </row>
    <row r="1227" spans="1:33" ht="15" customHeight="1">
      <c r="A1227" s="34" t="s">
        <v>3782</v>
      </c>
      <c r="B1227" s="37" t="s">
        <v>1486</v>
      </c>
      <c r="C1227" s="53">
        <v>4.3208299999999999</v>
      </c>
      <c r="D1227" s="53">
        <v>4.3753970000000004</v>
      </c>
      <c r="E1227" s="53">
        <v>4.4966590000000002</v>
      </c>
      <c r="F1227" s="53">
        <v>4.711665</v>
      </c>
      <c r="G1227" s="53">
        <v>4.9429480000000003</v>
      </c>
      <c r="H1227" s="53">
        <v>5.1334520000000001</v>
      </c>
      <c r="I1227" s="53">
        <v>5.2944040000000001</v>
      </c>
      <c r="J1227" s="53">
        <v>5.4350610000000001</v>
      </c>
      <c r="K1227" s="53">
        <v>5.5656639999999999</v>
      </c>
      <c r="L1227" s="53">
        <v>5.6828770000000004</v>
      </c>
      <c r="M1227" s="53">
        <v>5.8077649999999998</v>
      </c>
      <c r="N1227" s="53">
        <v>5.917243</v>
      </c>
      <c r="O1227" s="53">
        <v>6.0837029999999999</v>
      </c>
      <c r="P1227" s="53">
        <v>6.2641879999999999</v>
      </c>
      <c r="Q1227" s="53">
        <v>6.433319</v>
      </c>
      <c r="R1227" s="53">
        <v>6.6286180000000003</v>
      </c>
      <c r="S1227" s="53">
        <v>6.7926570000000002</v>
      </c>
      <c r="T1227" s="53">
        <v>6.9778659999999997</v>
      </c>
      <c r="U1227" s="53">
        <v>7.2094420000000001</v>
      </c>
      <c r="V1227" s="53">
        <v>7.434844</v>
      </c>
      <c r="W1227" s="53">
        <v>7.6349929999999997</v>
      </c>
      <c r="X1227" s="53">
        <v>7.8378699999999997</v>
      </c>
      <c r="Y1227" s="53">
        <v>8.0624269999999996</v>
      </c>
      <c r="Z1227" s="53">
        <v>8.3016690000000004</v>
      </c>
      <c r="AA1227" s="53">
        <v>8.5427959999999992</v>
      </c>
      <c r="AB1227" s="53">
        <v>8.7715840000000007</v>
      </c>
      <c r="AC1227" s="53">
        <v>8.9938149999999997</v>
      </c>
      <c r="AD1227" s="53">
        <v>9.2158200000000008</v>
      </c>
      <c r="AE1227" s="53">
        <v>9.4381710000000005</v>
      </c>
      <c r="AF1227" s="35">
        <v>2.8296999999999999E-2</v>
      </c>
      <c r="AG1227" s="29"/>
    </row>
    <row r="1228" spans="1:33" ht="15" customHeight="1">
      <c r="A1228" s="34" t="s">
        <v>3783</v>
      </c>
      <c r="B1228" s="37" t="s">
        <v>2747</v>
      </c>
      <c r="C1228" s="53">
        <v>16.401662999999999</v>
      </c>
      <c r="D1228" s="53">
        <v>16.056592999999999</v>
      </c>
      <c r="E1228" s="53">
        <v>15.935523999999999</v>
      </c>
      <c r="F1228" s="53">
        <v>16.237244</v>
      </c>
      <c r="G1228" s="53">
        <v>16.789919000000001</v>
      </c>
      <c r="H1228" s="53">
        <v>17.252523</v>
      </c>
      <c r="I1228" s="53">
        <v>17.528191</v>
      </c>
      <c r="J1228" s="53">
        <v>17.731649000000001</v>
      </c>
      <c r="K1228" s="53">
        <v>17.834921000000001</v>
      </c>
      <c r="L1228" s="53">
        <v>18.024609000000002</v>
      </c>
      <c r="M1228" s="53">
        <v>18.384573</v>
      </c>
      <c r="N1228" s="53">
        <v>18.683268000000002</v>
      </c>
      <c r="O1228" s="53">
        <v>18.941189000000001</v>
      </c>
      <c r="P1228" s="53">
        <v>19.298759</v>
      </c>
      <c r="Q1228" s="53">
        <v>19.681372</v>
      </c>
      <c r="R1228" s="53">
        <v>20.108711</v>
      </c>
      <c r="S1228" s="53">
        <v>20.561814999999999</v>
      </c>
      <c r="T1228" s="53">
        <v>20.847342000000001</v>
      </c>
      <c r="U1228" s="53">
        <v>21.139761</v>
      </c>
      <c r="V1228" s="53">
        <v>21.526731000000002</v>
      </c>
      <c r="W1228" s="53">
        <v>21.853929999999998</v>
      </c>
      <c r="X1228" s="53">
        <v>22.123524</v>
      </c>
      <c r="Y1228" s="53">
        <v>22.292079999999999</v>
      </c>
      <c r="Z1228" s="53">
        <v>22.370239000000002</v>
      </c>
      <c r="AA1228" s="53">
        <v>22.460899000000001</v>
      </c>
      <c r="AB1228" s="53">
        <v>22.631207</v>
      </c>
      <c r="AC1228" s="53">
        <v>22.70186</v>
      </c>
      <c r="AD1228" s="53">
        <v>22.699192</v>
      </c>
      <c r="AE1228" s="53">
        <v>23.000284000000001</v>
      </c>
      <c r="AF1228" s="35">
        <v>1.2149E-2</v>
      </c>
      <c r="AG1228" s="29"/>
    </row>
    <row r="1229" spans="1:33" ht="15" customHeight="1">
      <c r="A1229" s="34" t="s">
        <v>3784</v>
      </c>
      <c r="B1229" s="37" t="s">
        <v>2749</v>
      </c>
      <c r="C1229" s="53">
        <v>13.326591000000001</v>
      </c>
      <c r="D1229" s="53">
        <v>12.932155</v>
      </c>
      <c r="E1229" s="53">
        <v>12.82915</v>
      </c>
      <c r="F1229" s="53">
        <v>12.849537</v>
      </c>
      <c r="G1229" s="53">
        <v>13.222985</v>
      </c>
      <c r="H1229" s="53">
        <v>13.575450999999999</v>
      </c>
      <c r="I1229" s="53">
        <v>13.752357999999999</v>
      </c>
      <c r="J1229" s="53">
        <v>13.893291</v>
      </c>
      <c r="K1229" s="53">
        <v>14.026063000000001</v>
      </c>
      <c r="L1229" s="53">
        <v>14.23714</v>
      </c>
      <c r="M1229" s="53">
        <v>14.571960000000001</v>
      </c>
      <c r="N1229" s="53">
        <v>14.833197</v>
      </c>
      <c r="O1229" s="53">
        <v>15.090827000000001</v>
      </c>
      <c r="P1229" s="53">
        <v>15.395828</v>
      </c>
      <c r="Q1229" s="53">
        <v>15.659212999999999</v>
      </c>
      <c r="R1229" s="53">
        <v>15.915278000000001</v>
      </c>
      <c r="S1229" s="53">
        <v>16.128117</v>
      </c>
      <c r="T1229" s="53">
        <v>16.312456000000001</v>
      </c>
      <c r="U1229" s="53">
        <v>16.489388999999999</v>
      </c>
      <c r="V1229" s="53">
        <v>16.700016000000002</v>
      </c>
      <c r="W1229" s="53">
        <v>16.8916</v>
      </c>
      <c r="X1229" s="53">
        <v>17.027581999999999</v>
      </c>
      <c r="Y1229" s="53">
        <v>17.116817000000001</v>
      </c>
      <c r="Z1229" s="53">
        <v>17.176168000000001</v>
      </c>
      <c r="AA1229" s="53">
        <v>17.309294000000001</v>
      </c>
      <c r="AB1229" s="53">
        <v>17.459880999999999</v>
      </c>
      <c r="AC1229" s="53">
        <v>17.589693</v>
      </c>
      <c r="AD1229" s="53">
        <v>17.653939999999999</v>
      </c>
      <c r="AE1229" s="53">
        <v>17.829939</v>
      </c>
      <c r="AF1229" s="35">
        <v>1.0451E-2</v>
      </c>
      <c r="AG1229" s="29"/>
    </row>
    <row r="1230" spans="1:33" ht="12" customHeight="1">
      <c r="A1230" s="34" t="s">
        <v>3785</v>
      </c>
      <c r="B1230" s="37" t="s">
        <v>2751</v>
      </c>
      <c r="C1230" s="53">
        <v>34.474598</v>
      </c>
      <c r="D1230" s="53">
        <v>35.135165999999998</v>
      </c>
      <c r="E1230" s="53">
        <v>36.180110999999997</v>
      </c>
      <c r="F1230" s="53">
        <v>37.496547999999997</v>
      </c>
      <c r="G1230" s="53">
        <v>39.046351999999999</v>
      </c>
      <c r="H1230" s="53">
        <v>40.378180999999998</v>
      </c>
      <c r="I1230" s="53">
        <v>41.552951999999998</v>
      </c>
      <c r="J1230" s="53">
        <v>42.423557000000002</v>
      </c>
      <c r="K1230" s="53">
        <v>43.032158000000003</v>
      </c>
      <c r="L1230" s="53">
        <v>43.786366000000001</v>
      </c>
      <c r="M1230" s="53">
        <v>44.663035999999998</v>
      </c>
      <c r="N1230" s="53">
        <v>45.566135000000003</v>
      </c>
      <c r="O1230" s="53">
        <v>46.543906999999997</v>
      </c>
      <c r="P1230" s="53">
        <v>47.501556000000001</v>
      </c>
      <c r="Q1230" s="53">
        <v>48.487048999999999</v>
      </c>
      <c r="R1230" s="53">
        <v>49.573729999999998</v>
      </c>
      <c r="S1230" s="53">
        <v>50.727730000000001</v>
      </c>
      <c r="T1230" s="53">
        <v>51.909751999999997</v>
      </c>
      <c r="U1230" s="53">
        <v>53.257384999999999</v>
      </c>
      <c r="V1230" s="53">
        <v>54.578372999999999</v>
      </c>
      <c r="W1230" s="53">
        <v>55.777228999999998</v>
      </c>
      <c r="X1230" s="53">
        <v>57.048625999999999</v>
      </c>
      <c r="Y1230" s="53">
        <v>58.255806</v>
      </c>
      <c r="Z1230" s="53">
        <v>59.380619000000003</v>
      </c>
      <c r="AA1230" s="53">
        <v>60.524914000000003</v>
      </c>
      <c r="AB1230" s="53">
        <v>61.690750000000001</v>
      </c>
      <c r="AC1230" s="53">
        <v>62.814373000000003</v>
      </c>
      <c r="AD1230" s="53">
        <v>64.058471999999995</v>
      </c>
      <c r="AE1230" s="53">
        <v>65.479056999999997</v>
      </c>
      <c r="AF1230" s="35">
        <v>2.3175000000000001E-2</v>
      </c>
      <c r="AG1230" s="29"/>
    </row>
    <row r="1231" spans="1:33" ht="15" customHeight="1">
      <c r="A1231" s="34" t="s">
        <v>3786</v>
      </c>
      <c r="B1231" s="37" t="s">
        <v>2753</v>
      </c>
      <c r="C1231" s="53">
        <v>35.891655</v>
      </c>
      <c r="D1231" s="53">
        <v>37.728301999999999</v>
      </c>
      <c r="E1231" s="53">
        <v>38.637596000000002</v>
      </c>
      <c r="F1231" s="53">
        <v>38.518363999999998</v>
      </c>
      <c r="G1231" s="53">
        <v>38.533248999999998</v>
      </c>
      <c r="H1231" s="53">
        <v>39.247512999999998</v>
      </c>
      <c r="I1231" s="53">
        <v>39.940651000000003</v>
      </c>
      <c r="J1231" s="53">
        <v>40.338444000000003</v>
      </c>
      <c r="K1231" s="53">
        <v>40.927128000000003</v>
      </c>
      <c r="L1231" s="53">
        <v>41.735371000000001</v>
      </c>
      <c r="M1231" s="53">
        <v>42.882069000000001</v>
      </c>
      <c r="N1231" s="53">
        <v>43.805576000000002</v>
      </c>
      <c r="O1231" s="53">
        <v>44.652766999999997</v>
      </c>
      <c r="P1231" s="53">
        <v>45.52129</v>
      </c>
      <c r="Q1231" s="53">
        <v>46.409739999999999</v>
      </c>
      <c r="R1231" s="53">
        <v>47.069622000000003</v>
      </c>
      <c r="S1231" s="53">
        <v>47.719948000000002</v>
      </c>
      <c r="T1231" s="53">
        <v>48.346133999999999</v>
      </c>
      <c r="U1231" s="53">
        <v>49.170997999999997</v>
      </c>
      <c r="V1231" s="53">
        <v>50.170799000000002</v>
      </c>
      <c r="W1231" s="53">
        <v>51.142498000000003</v>
      </c>
      <c r="X1231" s="53">
        <v>52.003695999999998</v>
      </c>
      <c r="Y1231" s="53">
        <v>52.731910999999997</v>
      </c>
      <c r="Z1231" s="53">
        <v>53.460369</v>
      </c>
      <c r="AA1231" s="53">
        <v>54.386211000000003</v>
      </c>
      <c r="AB1231" s="53">
        <v>55.374599000000003</v>
      </c>
      <c r="AC1231" s="53">
        <v>56.274017000000001</v>
      </c>
      <c r="AD1231" s="53">
        <v>57.138621999999998</v>
      </c>
      <c r="AE1231" s="53">
        <v>58.201599000000002</v>
      </c>
      <c r="AF1231" s="35">
        <v>1.7413999999999999E-2</v>
      </c>
      <c r="AG1231" s="29"/>
    </row>
    <row r="1232" spans="1:33" ht="15" customHeight="1">
      <c r="A1232" s="34" t="s">
        <v>3787</v>
      </c>
      <c r="B1232" s="37" t="s">
        <v>2755</v>
      </c>
      <c r="C1232" s="53">
        <v>3.5234109999999998</v>
      </c>
      <c r="D1232" s="53">
        <v>3.514996</v>
      </c>
      <c r="E1232" s="53">
        <v>3.547091</v>
      </c>
      <c r="F1232" s="53">
        <v>3.6330650000000002</v>
      </c>
      <c r="G1232" s="53">
        <v>3.7404860000000002</v>
      </c>
      <c r="H1232" s="53">
        <v>3.8385199999999999</v>
      </c>
      <c r="I1232" s="53">
        <v>3.9168120000000002</v>
      </c>
      <c r="J1232" s="53">
        <v>3.9777909999999999</v>
      </c>
      <c r="K1232" s="53">
        <v>4.0335549999999998</v>
      </c>
      <c r="L1232" s="53">
        <v>4.0670190000000002</v>
      </c>
      <c r="M1232" s="53">
        <v>4.1649019999999997</v>
      </c>
      <c r="N1232" s="53">
        <v>4.287331</v>
      </c>
      <c r="O1232" s="53">
        <v>4.4169980000000004</v>
      </c>
      <c r="P1232" s="53">
        <v>4.5413610000000002</v>
      </c>
      <c r="Q1232" s="53">
        <v>4.6747779999999999</v>
      </c>
      <c r="R1232" s="53">
        <v>4.7986469999999999</v>
      </c>
      <c r="S1232" s="53">
        <v>4.9208069999999999</v>
      </c>
      <c r="T1232" s="53">
        <v>5.0313809999999997</v>
      </c>
      <c r="U1232" s="53">
        <v>5.1614690000000003</v>
      </c>
      <c r="V1232" s="53">
        <v>5.2949229999999998</v>
      </c>
      <c r="W1232" s="53">
        <v>5.4230479999999996</v>
      </c>
      <c r="X1232" s="53">
        <v>5.5567029999999997</v>
      </c>
      <c r="Y1232" s="53">
        <v>5.6826689999999997</v>
      </c>
      <c r="Z1232" s="53">
        <v>5.8014260000000002</v>
      </c>
      <c r="AA1232" s="53">
        <v>5.9238189999999999</v>
      </c>
      <c r="AB1232" s="53">
        <v>6.0546819999999997</v>
      </c>
      <c r="AC1232" s="53">
        <v>6.1854430000000002</v>
      </c>
      <c r="AD1232" s="53">
        <v>6.3106099999999996</v>
      </c>
      <c r="AE1232" s="53">
        <v>6.463292</v>
      </c>
      <c r="AF1232" s="35">
        <v>2.1905000000000001E-2</v>
      </c>
      <c r="AG1232" s="29"/>
    </row>
    <row r="1233" spans="1:33" ht="15" customHeight="1">
      <c r="A1233" s="34" t="s">
        <v>3788</v>
      </c>
      <c r="B1233" s="37" t="s">
        <v>1475</v>
      </c>
      <c r="C1233" s="53">
        <v>14.768777</v>
      </c>
      <c r="D1233" s="53">
        <v>14.725441999999999</v>
      </c>
      <c r="E1233" s="53">
        <v>14.853096000000001</v>
      </c>
      <c r="F1233" s="53">
        <v>14.537874</v>
      </c>
      <c r="G1233" s="53">
        <v>14.433061</v>
      </c>
      <c r="H1233" s="53">
        <v>14.493905</v>
      </c>
      <c r="I1233" s="53">
        <v>14.650325</v>
      </c>
      <c r="J1233" s="53">
        <v>14.809462</v>
      </c>
      <c r="K1233" s="53">
        <v>14.970283999999999</v>
      </c>
      <c r="L1233" s="53">
        <v>15.148698</v>
      </c>
      <c r="M1233" s="53">
        <v>15.433793</v>
      </c>
      <c r="N1233" s="53">
        <v>15.719967</v>
      </c>
      <c r="O1233" s="53">
        <v>16.011437999999998</v>
      </c>
      <c r="P1233" s="53">
        <v>16.236567000000001</v>
      </c>
      <c r="Q1233" s="53">
        <v>16.406002000000001</v>
      </c>
      <c r="R1233" s="53">
        <v>16.628601</v>
      </c>
      <c r="S1233" s="53">
        <v>16.891079000000001</v>
      </c>
      <c r="T1233" s="53">
        <v>17.096958000000001</v>
      </c>
      <c r="U1233" s="53">
        <v>17.339829999999999</v>
      </c>
      <c r="V1233" s="53">
        <v>17.556380999999998</v>
      </c>
      <c r="W1233" s="53">
        <v>17.789953000000001</v>
      </c>
      <c r="X1233" s="53">
        <v>18.021515000000001</v>
      </c>
      <c r="Y1233" s="53">
        <v>18.214490999999999</v>
      </c>
      <c r="Z1233" s="53">
        <v>18.418741000000001</v>
      </c>
      <c r="AA1233" s="53">
        <v>18.639330000000001</v>
      </c>
      <c r="AB1233" s="53">
        <v>18.88796</v>
      </c>
      <c r="AC1233" s="53">
        <v>19.111134</v>
      </c>
      <c r="AD1233" s="53">
        <v>19.307980000000001</v>
      </c>
      <c r="AE1233" s="53">
        <v>19.623805999999998</v>
      </c>
      <c r="AF1233" s="35">
        <v>1.0203E-2</v>
      </c>
      <c r="AG1233" s="29"/>
    </row>
    <row r="1234" spans="1:33" ht="15" customHeight="1">
      <c r="B1234" s="29"/>
      <c r="C1234" s="29"/>
      <c r="D1234" s="29"/>
      <c r="E1234" s="29"/>
      <c r="F1234" s="29"/>
      <c r="G1234" s="29"/>
      <c r="H1234" s="29"/>
      <c r="I1234" s="29"/>
      <c r="J1234" s="29"/>
      <c r="K1234" s="29"/>
      <c r="L1234" s="29"/>
      <c r="M1234" s="29"/>
      <c r="N1234" s="29"/>
      <c r="O1234" s="29"/>
      <c r="P1234" s="29"/>
      <c r="Q1234" s="29"/>
      <c r="R1234" s="29"/>
      <c r="S1234" s="29"/>
      <c r="T1234" s="29"/>
      <c r="U1234" s="29"/>
      <c r="V1234" s="29"/>
      <c r="W1234" s="29"/>
      <c r="X1234" s="29"/>
      <c r="Y1234" s="29"/>
      <c r="Z1234" s="29"/>
      <c r="AA1234" s="29"/>
      <c r="AB1234" s="29"/>
      <c r="AC1234" s="29"/>
      <c r="AD1234" s="29"/>
      <c r="AE1234" s="29"/>
      <c r="AF1234" s="29"/>
      <c r="AG1234" s="29"/>
    </row>
    <row r="1235" spans="1:33" ht="15" customHeight="1">
      <c r="A1235" s="34" t="s">
        <v>3789</v>
      </c>
      <c r="B1235" s="33" t="s">
        <v>2758</v>
      </c>
      <c r="C1235" s="40">
        <v>576.92291299999999</v>
      </c>
      <c r="D1235" s="40">
        <v>575.33422900000005</v>
      </c>
      <c r="E1235" s="40">
        <v>578.59008800000004</v>
      </c>
      <c r="F1235" s="40">
        <v>585.15618900000004</v>
      </c>
      <c r="G1235" s="40">
        <v>592.67694100000006</v>
      </c>
      <c r="H1235" s="40">
        <v>598.54998799999998</v>
      </c>
      <c r="I1235" s="40">
        <v>605.632385</v>
      </c>
      <c r="J1235" s="40">
        <v>613.64977999999996</v>
      </c>
      <c r="K1235" s="40">
        <v>620.33325200000002</v>
      </c>
      <c r="L1235" s="40">
        <v>626.41247599999997</v>
      </c>
      <c r="M1235" s="40">
        <v>634.08392300000003</v>
      </c>
      <c r="N1235" s="40">
        <v>641.69341999999995</v>
      </c>
      <c r="O1235" s="40">
        <v>649.229736</v>
      </c>
      <c r="P1235" s="40">
        <v>657.44732699999997</v>
      </c>
      <c r="Q1235" s="40">
        <v>665.97625700000003</v>
      </c>
      <c r="R1235" s="40">
        <v>675.66394000000003</v>
      </c>
      <c r="S1235" s="40">
        <v>685.40191700000003</v>
      </c>
      <c r="T1235" s="40">
        <v>694.89080799999999</v>
      </c>
      <c r="U1235" s="40">
        <v>706.01037599999995</v>
      </c>
      <c r="V1235" s="40">
        <v>718.20825200000002</v>
      </c>
      <c r="W1235" s="40">
        <v>729.39666699999998</v>
      </c>
      <c r="X1235" s="40">
        <v>740.48327600000005</v>
      </c>
      <c r="Y1235" s="40">
        <v>751.15588400000001</v>
      </c>
      <c r="Z1235" s="40">
        <v>761.42327899999998</v>
      </c>
      <c r="AA1235" s="40">
        <v>772.66192599999999</v>
      </c>
      <c r="AB1235" s="40">
        <v>783.94708300000002</v>
      </c>
      <c r="AC1235" s="40">
        <v>794.71551499999998</v>
      </c>
      <c r="AD1235" s="40">
        <v>805.52789299999995</v>
      </c>
      <c r="AE1235" s="40">
        <v>819.11767599999996</v>
      </c>
      <c r="AF1235" s="31">
        <v>1.2597000000000001E-2</v>
      </c>
      <c r="AG1235" s="29"/>
    </row>
    <row r="1236" spans="1:33" ht="15" customHeight="1">
      <c r="B1236" s="29"/>
      <c r="C1236" s="29"/>
      <c r="D1236" s="29"/>
      <c r="E1236" s="29"/>
      <c r="F1236" s="29"/>
      <c r="G1236" s="29"/>
      <c r="H1236" s="29"/>
      <c r="I1236" s="29"/>
      <c r="J1236" s="29"/>
      <c r="K1236" s="29"/>
      <c r="L1236" s="29"/>
      <c r="M1236" s="29"/>
      <c r="N1236" s="29"/>
      <c r="O1236" s="29"/>
      <c r="P1236" s="29"/>
      <c r="Q1236" s="29"/>
      <c r="R1236" s="29"/>
      <c r="S1236" s="29"/>
      <c r="T1236" s="29"/>
      <c r="U1236" s="29"/>
      <c r="V1236" s="29"/>
      <c r="W1236" s="29"/>
      <c r="X1236" s="29"/>
      <c r="Y1236" s="29"/>
      <c r="Z1236" s="29"/>
      <c r="AA1236" s="29"/>
      <c r="AB1236" s="29"/>
      <c r="AC1236" s="29"/>
      <c r="AD1236" s="29"/>
      <c r="AE1236" s="29"/>
      <c r="AF1236" s="29"/>
      <c r="AG1236" s="29"/>
    </row>
    <row r="1237" spans="1:33" ht="15" customHeight="1" thickBot="1">
      <c r="B1237" s="29"/>
      <c r="C1237" s="29"/>
      <c r="D1237" s="29"/>
      <c r="E1237" s="29"/>
      <c r="F1237" s="29"/>
      <c r="G1237" s="29"/>
      <c r="H1237" s="29"/>
      <c r="I1237" s="29"/>
      <c r="J1237" s="29"/>
      <c r="K1237" s="29"/>
      <c r="L1237" s="29"/>
      <c r="M1237" s="29"/>
      <c r="N1237" s="29"/>
      <c r="O1237" s="29"/>
      <c r="P1237" s="29"/>
      <c r="Q1237" s="29"/>
      <c r="R1237" s="29"/>
      <c r="S1237" s="29"/>
      <c r="T1237" s="29"/>
      <c r="U1237" s="29"/>
      <c r="V1237" s="29"/>
      <c r="W1237" s="29"/>
      <c r="X1237" s="29"/>
      <c r="Y1237" s="29"/>
      <c r="Z1237" s="29"/>
      <c r="AA1237" s="29"/>
      <c r="AB1237" s="29"/>
      <c r="AC1237" s="29"/>
      <c r="AD1237" s="29"/>
      <c r="AE1237" s="29"/>
      <c r="AF1237" s="29"/>
      <c r="AG1237" s="29"/>
    </row>
    <row r="1238" spans="1:33" ht="15" customHeight="1">
      <c r="B1238" s="54" t="s">
        <v>2584</v>
      </c>
      <c r="C1238" s="30"/>
      <c r="D1238" s="30"/>
      <c r="E1238" s="30"/>
      <c r="F1238" s="30"/>
      <c r="G1238" s="30"/>
      <c r="H1238" s="30"/>
      <c r="I1238" s="30"/>
      <c r="J1238" s="30"/>
      <c r="K1238" s="30"/>
      <c r="L1238" s="30"/>
      <c r="M1238" s="30"/>
      <c r="N1238" s="30"/>
      <c r="O1238" s="30"/>
      <c r="P1238" s="30"/>
      <c r="Q1238" s="30"/>
      <c r="R1238" s="30"/>
      <c r="S1238" s="30"/>
      <c r="T1238" s="30"/>
      <c r="U1238" s="30"/>
      <c r="V1238" s="30"/>
      <c r="W1238" s="30"/>
      <c r="X1238" s="30"/>
      <c r="Y1238" s="30"/>
      <c r="Z1238" s="30"/>
      <c r="AA1238" s="30"/>
      <c r="AB1238" s="30"/>
      <c r="AC1238" s="30"/>
      <c r="AD1238" s="30"/>
      <c r="AE1238" s="30"/>
      <c r="AF1238" s="30"/>
      <c r="AG1238" s="29"/>
    </row>
    <row r="1239" spans="1:33" ht="15" customHeight="1">
      <c r="B1239" s="29" t="s">
        <v>2759</v>
      </c>
      <c r="C1239" s="29"/>
      <c r="D1239" s="29"/>
      <c r="E1239" s="29"/>
      <c r="F1239" s="29"/>
      <c r="G1239" s="29"/>
      <c r="H1239" s="29"/>
      <c r="I1239" s="29"/>
      <c r="J1239" s="29"/>
      <c r="K1239" s="29"/>
      <c r="L1239" s="29"/>
      <c r="M1239" s="29"/>
      <c r="N1239" s="29"/>
      <c r="O1239" s="29"/>
      <c r="P1239" s="29"/>
      <c r="Q1239" s="29"/>
      <c r="R1239" s="29"/>
      <c r="S1239" s="29"/>
      <c r="T1239" s="29"/>
      <c r="U1239" s="29"/>
      <c r="V1239" s="29"/>
      <c r="W1239" s="29"/>
      <c r="X1239" s="29"/>
      <c r="Y1239" s="29"/>
      <c r="Z1239" s="29"/>
      <c r="AA1239" s="29"/>
      <c r="AB1239" s="29"/>
      <c r="AC1239" s="29"/>
      <c r="AD1239" s="29"/>
      <c r="AE1239" s="29"/>
      <c r="AF1239" s="29"/>
      <c r="AG1239" s="29"/>
    </row>
    <row r="1240" spans="1:33" ht="15" customHeight="1">
      <c r="B1240" s="29" t="s">
        <v>2760</v>
      </c>
      <c r="C1240" s="29"/>
      <c r="D1240" s="29"/>
      <c r="E1240" s="29"/>
      <c r="F1240" s="29"/>
      <c r="G1240" s="29"/>
      <c r="H1240" s="29"/>
      <c r="I1240" s="29"/>
      <c r="J1240" s="29"/>
      <c r="K1240" s="29"/>
      <c r="L1240" s="29"/>
      <c r="M1240" s="29"/>
      <c r="N1240" s="29"/>
      <c r="O1240" s="29"/>
      <c r="P1240" s="29"/>
      <c r="Q1240" s="29"/>
      <c r="R1240" s="29"/>
      <c r="S1240" s="29"/>
      <c r="T1240" s="29"/>
      <c r="U1240" s="29"/>
      <c r="V1240" s="29"/>
      <c r="W1240" s="29"/>
      <c r="X1240" s="29"/>
      <c r="Y1240" s="29"/>
      <c r="Z1240" s="29"/>
      <c r="AA1240" s="29"/>
      <c r="AB1240" s="29"/>
      <c r="AC1240" s="29"/>
      <c r="AD1240" s="29"/>
      <c r="AE1240" s="29"/>
      <c r="AF1240" s="29"/>
      <c r="AG1240" s="29"/>
    </row>
    <row r="1241" spans="1:33" ht="15" customHeight="1">
      <c r="B1241" s="29"/>
      <c r="C1241" s="29"/>
      <c r="D1241" s="29"/>
      <c r="E1241" s="29"/>
      <c r="F1241" s="29"/>
      <c r="G1241" s="29"/>
      <c r="H1241" s="29"/>
      <c r="I1241" s="29"/>
      <c r="J1241" s="29"/>
      <c r="K1241" s="29"/>
      <c r="L1241" s="29"/>
      <c r="M1241" s="29"/>
      <c r="N1241" s="29"/>
      <c r="O1241" s="29"/>
      <c r="P1241" s="29"/>
      <c r="Q1241" s="29"/>
      <c r="R1241" s="29"/>
      <c r="S1241" s="29"/>
      <c r="T1241" s="29"/>
      <c r="U1241" s="29"/>
      <c r="V1241" s="29"/>
      <c r="W1241" s="29"/>
      <c r="X1241" s="29"/>
      <c r="Y1241" s="29"/>
      <c r="Z1241" s="29"/>
      <c r="AA1241" s="29"/>
      <c r="AB1241" s="29"/>
      <c r="AC1241" s="29"/>
      <c r="AD1241" s="29"/>
      <c r="AE1241" s="29"/>
      <c r="AF1241" s="29"/>
      <c r="AG1241" s="29"/>
    </row>
    <row r="1242" spans="1:33" ht="12" customHeight="1">
      <c r="B1242" s="29"/>
      <c r="C1242" s="29"/>
      <c r="D1242" s="29"/>
      <c r="E1242" s="29"/>
      <c r="F1242" s="29"/>
      <c r="G1242" s="29"/>
      <c r="H1242" s="29"/>
      <c r="I1242" s="29"/>
      <c r="J1242" s="29"/>
      <c r="K1242" s="29"/>
      <c r="L1242" s="29"/>
      <c r="M1242" s="29"/>
      <c r="N1242" s="29"/>
      <c r="O1242" s="29"/>
      <c r="P1242" s="29"/>
      <c r="Q1242" s="29"/>
      <c r="R1242" s="29"/>
      <c r="S1242" s="29"/>
      <c r="T1242" s="29"/>
      <c r="U1242" s="29"/>
      <c r="V1242" s="29"/>
      <c r="W1242" s="29"/>
      <c r="X1242" s="29"/>
      <c r="Y1242" s="29"/>
      <c r="Z1242" s="29"/>
      <c r="AA1242" s="29"/>
      <c r="AB1242" s="29"/>
      <c r="AC1242" s="29"/>
      <c r="AD1242" s="29"/>
      <c r="AE1242" s="29"/>
      <c r="AF1242" s="29"/>
      <c r="AG1242" s="29"/>
    </row>
    <row r="1243" spans="1:33" ht="15" customHeight="1">
      <c r="B1243" s="29"/>
      <c r="C1243" s="29"/>
      <c r="D1243" s="29"/>
      <c r="E1243" s="29"/>
      <c r="F1243" s="29"/>
      <c r="G1243" s="29"/>
      <c r="H1243" s="29"/>
      <c r="I1243" s="29"/>
      <c r="J1243" s="29"/>
      <c r="K1243" s="29"/>
      <c r="L1243" s="29"/>
      <c r="M1243" s="29"/>
      <c r="N1243" s="29"/>
      <c r="O1243" s="29"/>
      <c r="P1243" s="29"/>
      <c r="Q1243" s="29"/>
      <c r="R1243" s="29"/>
      <c r="S1243" s="29"/>
      <c r="T1243" s="29"/>
      <c r="U1243" s="29"/>
      <c r="V1243" s="29"/>
      <c r="W1243" s="29"/>
      <c r="X1243" s="29"/>
      <c r="Y1243" s="29"/>
      <c r="Z1243" s="29"/>
      <c r="AA1243" s="29"/>
      <c r="AB1243" s="29"/>
      <c r="AC1243" s="29"/>
      <c r="AD1243" s="29"/>
      <c r="AE1243" s="29"/>
      <c r="AF1243" s="29"/>
      <c r="AG1243" s="29"/>
    </row>
    <row r="1244" spans="1:33" ht="15" customHeight="1">
      <c r="B1244" s="29"/>
      <c r="C1244" s="29"/>
      <c r="D1244" s="29"/>
      <c r="E1244" s="29"/>
      <c r="F1244" s="29"/>
      <c r="G1244" s="29"/>
      <c r="H1244" s="29"/>
      <c r="I1244" s="29"/>
      <c r="J1244" s="29"/>
      <c r="K1244" s="29"/>
      <c r="L1244" s="29"/>
      <c r="M1244" s="29"/>
      <c r="N1244" s="29"/>
      <c r="O1244" s="29"/>
      <c r="P1244" s="29"/>
      <c r="Q1244" s="29"/>
      <c r="R1244" s="29"/>
      <c r="S1244" s="29"/>
      <c r="T1244" s="29"/>
      <c r="U1244" s="29"/>
      <c r="V1244" s="29"/>
      <c r="W1244" s="29"/>
      <c r="X1244" s="29"/>
      <c r="Y1244" s="29"/>
      <c r="Z1244" s="29"/>
      <c r="AA1244" s="29"/>
      <c r="AB1244" s="29"/>
      <c r="AC1244" s="29"/>
      <c r="AD1244" s="29"/>
      <c r="AE1244" s="29"/>
      <c r="AF1244" s="29"/>
      <c r="AG1244" s="29"/>
    </row>
    <row r="1245" spans="1:33" ht="15" customHeight="1">
      <c r="B1245" s="29"/>
      <c r="C1245" s="29"/>
      <c r="D1245" s="29"/>
      <c r="E1245" s="29"/>
      <c r="F1245" s="29"/>
      <c r="G1245" s="29"/>
      <c r="H1245" s="29"/>
      <c r="I1245" s="29"/>
      <c r="J1245" s="29"/>
      <c r="K1245" s="29"/>
      <c r="L1245" s="29"/>
      <c r="M1245" s="29"/>
      <c r="N1245" s="29"/>
      <c r="O1245" s="29"/>
      <c r="P1245" s="29"/>
      <c r="Q1245" s="29"/>
      <c r="R1245" s="29"/>
      <c r="S1245" s="29"/>
      <c r="T1245" s="29"/>
      <c r="U1245" s="29"/>
      <c r="V1245" s="29"/>
      <c r="W1245" s="29"/>
      <c r="X1245" s="29"/>
      <c r="Y1245" s="29"/>
      <c r="Z1245" s="29"/>
      <c r="AA1245" s="29"/>
      <c r="AB1245" s="29"/>
      <c r="AC1245" s="29"/>
      <c r="AD1245" s="29"/>
      <c r="AE1245" s="29"/>
      <c r="AF1245" s="29"/>
      <c r="AG1245" s="29"/>
    </row>
    <row r="1246" spans="1:33" ht="15" customHeight="1">
      <c r="B1246" s="29"/>
      <c r="C1246" s="29"/>
      <c r="D1246" s="29"/>
      <c r="E1246" s="29"/>
      <c r="F1246" s="29"/>
      <c r="G1246" s="29"/>
      <c r="H1246" s="29"/>
      <c r="I1246" s="29"/>
      <c r="J1246" s="29"/>
      <c r="K1246" s="29"/>
      <c r="L1246" s="29"/>
      <c r="M1246" s="29"/>
      <c r="N1246" s="29"/>
      <c r="O1246" s="29"/>
      <c r="P1246" s="29"/>
      <c r="Q1246" s="29"/>
      <c r="R1246" s="29"/>
      <c r="S1246" s="29"/>
      <c r="T1246" s="29"/>
      <c r="U1246" s="29"/>
      <c r="V1246" s="29"/>
      <c r="W1246" s="29"/>
      <c r="X1246" s="29"/>
      <c r="Y1246" s="29"/>
      <c r="Z1246" s="29"/>
      <c r="AA1246" s="29"/>
      <c r="AB1246" s="29"/>
      <c r="AC1246" s="29"/>
      <c r="AD1246" s="29"/>
      <c r="AE1246" s="29"/>
      <c r="AF1246" s="29"/>
      <c r="AG1246" s="29"/>
    </row>
    <row r="1247" spans="1:33" ht="15" customHeight="1">
      <c r="B1247" s="29"/>
      <c r="C1247" s="29"/>
      <c r="D1247" s="29"/>
      <c r="E1247" s="29"/>
      <c r="F1247" s="29"/>
      <c r="G1247" s="29"/>
      <c r="H1247" s="29"/>
      <c r="I1247" s="29"/>
      <c r="J1247" s="29"/>
      <c r="K1247" s="29"/>
      <c r="L1247" s="29"/>
      <c r="M1247" s="29"/>
      <c r="N1247" s="29"/>
      <c r="O1247" s="29"/>
      <c r="P1247" s="29"/>
      <c r="Q1247" s="29"/>
      <c r="R1247" s="29"/>
      <c r="S1247" s="29"/>
      <c r="T1247" s="29"/>
      <c r="U1247" s="29"/>
      <c r="V1247" s="29"/>
      <c r="W1247" s="29"/>
      <c r="X1247" s="29"/>
      <c r="Y1247" s="29"/>
      <c r="Z1247" s="29"/>
      <c r="AA1247" s="29"/>
      <c r="AB1247" s="29"/>
      <c r="AC1247" s="29"/>
      <c r="AD1247" s="29"/>
      <c r="AE1247" s="29"/>
      <c r="AF1247" s="29"/>
      <c r="AG1247" s="29"/>
    </row>
    <row r="1248" spans="1:33" ht="15" customHeight="1">
      <c r="B1248" s="29"/>
      <c r="C1248" s="29"/>
      <c r="D1248" s="29"/>
      <c r="E1248" s="29"/>
      <c r="F1248" s="29"/>
      <c r="G1248" s="29"/>
      <c r="H1248" s="29"/>
      <c r="I1248" s="29"/>
      <c r="J1248" s="29"/>
      <c r="K1248" s="29"/>
      <c r="L1248" s="29"/>
      <c r="M1248" s="29"/>
      <c r="N1248" s="29"/>
      <c r="O1248" s="29"/>
      <c r="P1248" s="29"/>
      <c r="Q1248" s="29"/>
      <c r="R1248" s="29"/>
      <c r="S1248" s="29"/>
      <c r="T1248" s="29"/>
      <c r="U1248" s="29"/>
      <c r="V1248" s="29"/>
      <c r="W1248" s="29"/>
      <c r="X1248" s="29"/>
      <c r="Y1248" s="29"/>
      <c r="Z1248" s="29"/>
      <c r="AA1248" s="29"/>
      <c r="AB1248" s="29"/>
      <c r="AC1248" s="29"/>
      <c r="AD1248" s="29"/>
      <c r="AE1248" s="29"/>
      <c r="AF1248" s="29"/>
      <c r="AG1248" s="29"/>
    </row>
    <row r="1249" spans="2:33" ht="15" customHeight="1">
      <c r="B1249" s="29"/>
      <c r="C1249" s="29"/>
      <c r="D1249" s="29"/>
      <c r="E1249" s="29"/>
      <c r="F1249" s="29"/>
      <c r="G1249" s="29"/>
      <c r="H1249" s="29"/>
      <c r="I1249" s="29"/>
      <c r="J1249" s="29"/>
      <c r="K1249" s="29"/>
      <c r="L1249" s="29"/>
      <c r="M1249" s="29"/>
      <c r="N1249" s="29"/>
      <c r="O1249" s="29"/>
      <c r="P1249" s="29"/>
      <c r="Q1249" s="29"/>
      <c r="R1249" s="29"/>
      <c r="S1249" s="29"/>
      <c r="T1249" s="29"/>
      <c r="U1249" s="29"/>
      <c r="V1249" s="29"/>
      <c r="W1249" s="29"/>
      <c r="X1249" s="29"/>
      <c r="Y1249" s="29"/>
      <c r="Z1249" s="29"/>
      <c r="AA1249" s="29"/>
      <c r="AB1249" s="29"/>
      <c r="AC1249" s="29"/>
      <c r="AD1249" s="29"/>
      <c r="AE1249" s="29"/>
      <c r="AF1249" s="29"/>
      <c r="AG1249" s="29"/>
    </row>
    <row r="1250" spans="2:33" ht="15" customHeight="1">
      <c r="B1250" s="29"/>
      <c r="C1250" s="29"/>
      <c r="D1250" s="29"/>
      <c r="E1250" s="29"/>
      <c r="F1250" s="29"/>
      <c r="G1250" s="29"/>
      <c r="H1250" s="29"/>
      <c r="I1250" s="29"/>
      <c r="J1250" s="29"/>
      <c r="K1250" s="29"/>
      <c r="L1250" s="29"/>
      <c r="M1250" s="29"/>
      <c r="N1250" s="29"/>
      <c r="O1250" s="29"/>
      <c r="P1250" s="29"/>
      <c r="Q1250" s="29"/>
      <c r="R1250" s="29"/>
      <c r="S1250" s="29"/>
      <c r="T1250" s="29"/>
      <c r="U1250" s="29"/>
      <c r="V1250" s="29"/>
      <c r="W1250" s="29"/>
      <c r="X1250" s="29"/>
      <c r="Y1250" s="29"/>
      <c r="Z1250" s="29"/>
      <c r="AA1250" s="29"/>
      <c r="AB1250" s="29"/>
      <c r="AC1250" s="29"/>
      <c r="AD1250" s="29"/>
      <c r="AE1250" s="29"/>
      <c r="AF1250" s="29"/>
      <c r="AG1250" s="29"/>
    </row>
    <row r="1251" spans="2:33" ht="15" customHeight="1">
      <c r="B1251" s="29"/>
      <c r="C1251" s="29"/>
      <c r="D1251" s="29"/>
      <c r="E1251" s="29"/>
      <c r="F1251" s="29"/>
      <c r="G1251" s="29"/>
      <c r="H1251" s="29"/>
      <c r="I1251" s="29"/>
      <c r="J1251" s="29"/>
      <c r="K1251" s="29"/>
      <c r="L1251" s="29"/>
      <c r="M1251" s="29"/>
      <c r="N1251" s="29"/>
      <c r="O1251" s="29"/>
      <c r="P1251" s="29"/>
      <c r="Q1251" s="29"/>
      <c r="R1251" s="29"/>
      <c r="S1251" s="29"/>
      <c r="T1251" s="29"/>
      <c r="U1251" s="29"/>
      <c r="V1251" s="29"/>
      <c r="W1251" s="29"/>
      <c r="X1251" s="29"/>
      <c r="Y1251" s="29"/>
      <c r="Z1251" s="29"/>
      <c r="AA1251" s="29"/>
      <c r="AB1251" s="29"/>
      <c r="AC1251" s="29"/>
      <c r="AD1251" s="29"/>
      <c r="AE1251" s="29"/>
      <c r="AF1251" s="29"/>
      <c r="AG1251" s="29"/>
    </row>
    <row r="1252" spans="2:33" ht="15" customHeight="1">
      <c r="B1252" s="29"/>
      <c r="C1252" s="29"/>
      <c r="D1252" s="29"/>
      <c r="E1252" s="29"/>
      <c r="F1252" s="29"/>
      <c r="G1252" s="29"/>
      <c r="H1252" s="29"/>
      <c r="I1252" s="29"/>
      <c r="J1252" s="29"/>
      <c r="K1252" s="29"/>
      <c r="L1252" s="29"/>
      <c r="M1252" s="29"/>
      <c r="N1252" s="29"/>
      <c r="O1252" s="29"/>
      <c r="P1252" s="29"/>
      <c r="Q1252" s="29"/>
      <c r="R1252" s="29"/>
      <c r="S1252" s="29"/>
      <c r="T1252" s="29"/>
      <c r="U1252" s="29"/>
      <c r="V1252" s="29"/>
      <c r="W1252" s="29"/>
      <c r="X1252" s="29"/>
      <c r="Y1252" s="29"/>
      <c r="Z1252" s="29"/>
      <c r="AA1252" s="29"/>
      <c r="AB1252" s="29"/>
      <c r="AC1252" s="29"/>
      <c r="AD1252" s="29"/>
      <c r="AE1252" s="29"/>
      <c r="AF1252" s="29"/>
      <c r="AG1252" s="29"/>
    </row>
    <row r="1253" spans="2:33" ht="15" customHeight="1">
      <c r="B1253" s="29"/>
      <c r="C1253" s="29"/>
      <c r="D1253" s="29"/>
      <c r="E1253" s="29"/>
      <c r="F1253" s="29"/>
      <c r="G1253" s="29"/>
      <c r="H1253" s="29"/>
      <c r="I1253" s="29"/>
      <c r="J1253" s="29"/>
      <c r="K1253" s="29"/>
      <c r="L1253" s="29"/>
      <c r="M1253" s="29"/>
      <c r="N1253" s="29"/>
      <c r="O1253" s="29"/>
      <c r="P1253" s="29"/>
      <c r="Q1253" s="29"/>
      <c r="R1253" s="29"/>
      <c r="S1253" s="29"/>
      <c r="T1253" s="29"/>
      <c r="U1253" s="29"/>
      <c r="V1253" s="29"/>
      <c r="W1253" s="29"/>
      <c r="X1253" s="29"/>
      <c r="Y1253" s="29"/>
      <c r="Z1253" s="29"/>
      <c r="AA1253" s="29"/>
      <c r="AB1253" s="29"/>
      <c r="AC1253" s="29"/>
      <c r="AD1253" s="29"/>
      <c r="AE1253" s="29"/>
      <c r="AF1253" s="29"/>
      <c r="AG1253" s="29"/>
    </row>
    <row r="1254" spans="2:33" ht="12" customHeight="1">
      <c r="B1254" s="29"/>
      <c r="C1254" s="29"/>
      <c r="D1254" s="29"/>
      <c r="E1254" s="29"/>
      <c r="F1254" s="29"/>
      <c r="G1254" s="29"/>
      <c r="H1254" s="29"/>
      <c r="I1254" s="29"/>
      <c r="J1254" s="29"/>
      <c r="K1254" s="29"/>
      <c r="L1254" s="29"/>
      <c r="M1254" s="29"/>
      <c r="N1254" s="29"/>
      <c r="O1254" s="29"/>
      <c r="P1254" s="29"/>
      <c r="Q1254" s="29"/>
      <c r="R1254" s="29"/>
      <c r="S1254" s="29"/>
      <c r="T1254" s="29"/>
      <c r="U1254" s="29"/>
      <c r="V1254" s="29"/>
      <c r="W1254" s="29"/>
      <c r="X1254" s="29"/>
      <c r="Y1254" s="29"/>
      <c r="Z1254" s="29"/>
      <c r="AA1254" s="29"/>
      <c r="AB1254" s="29"/>
      <c r="AC1254" s="29"/>
      <c r="AD1254" s="29"/>
      <c r="AE1254" s="29"/>
      <c r="AF1254" s="29"/>
      <c r="AG1254" s="29"/>
    </row>
    <row r="1255" spans="2:33" ht="12" customHeight="1">
      <c r="B1255" s="29"/>
      <c r="C1255" s="29"/>
      <c r="D1255" s="29"/>
      <c r="E1255" s="29"/>
      <c r="F1255" s="29"/>
      <c r="G1255" s="29"/>
      <c r="H1255" s="29"/>
      <c r="I1255" s="29"/>
      <c r="J1255" s="29"/>
      <c r="K1255" s="29"/>
      <c r="L1255" s="29"/>
      <c r="M1255" s="29"/>
      <c r="N1255" s="29"/>
      <c r="O1255" s="29"/>
      <c r="P1255" s="29"/>
      <c r="Q1255" s="29"/>
      <c r="R1255" s="29"/>
      <c r="S1255" s="29"/>
      <c r="T1255" s="29"/>
      <c r="U1255" s="29"/>
      <c r="V1255" s="29"/>
      <c r="W1255" s="29"/>
      <c r="X1255" s="29"/>
      <c r="Y1255" s="29"/>
      <c r="Z1255" s="29"/>
      <c r="AA1255" s="29"/>
      <c r="AB1255" s="29"/>
      <c r="AC1255" s="29"/>
      <c r="AD1255" s="29"/>
      <c r="AE1255" s="29"/>
      <c r="AF1255" s="29"/>
      <c r="AG1255" s="29"/>
    </row>
    <row r="1256" spans="2:33" ht="15" customHeight="1">
      <c r="B1256" s="29"/>
      <c r="C1256" s="29"/>
      <c r="D1256" s="29"/>
      <c r="E1256" s="29"/>
      <c r="F1256" s="29"/>
      <c r="G1256" s="29"/>
      <c r="H1256" s="29"/>
      <c r="I1256" s="29"/>
      <c r="J1256" s="29"/>
      <c r="K1256" s="29"/>
      <c r="L1256" s="29"/>
      <c r="M1256" s="29"/>
      <c r="N1256" s="29"/>
      <c r="O1256" s="29"/>
      <c r="P1256" s="29"/>
      <c r="Q1256" s="29"/>
      <c r="R1256" s="29"/>
      <c r="S1256" s="29"/>
      <c r="T1256" s="29"/>
      <c r="U1256" s="29"/>
      <c r="V1256" s="29"/>
      <c r="W1256" s="29"/>
      <c r="X1256" s="29"/>
      <c r="Y1256" s="29"/>
      <c r="Z1256" s="29"/>
      <c r="AA1256" s="29"/>
      <c r="AB1256" s="29"/>
      <c r="AC1256" s="29"/>
      <c r="AD1256" s="29"/>
      <c r="AE1256" s="29"/>
      <c r="AF1256" s="29"/>
      <c r="AG1256" s="29"/>
    </row>
    <row r="1257" spans="2:33" ht="15" customHeight="1">
      <c r="B1257" s="29"/>
      <c r="C1257" s="29"/>
      <c r="D1257" s="29"/>
      <c r="E1257" s="29"/>
      <c r="F1257" s="29"/>
      <c r="G1257" s="29"/>
      <c r="H1257" s="29"/>
      <c r="I1257" s="29"/>
      <c r="J1257" s="29"/>
      <c r="K1257" s="29"/>
      <c r="L1257" s="29"/>
      <c r="M1257" s="29"/>
      <c r="N1257" s="29"/>
      <c r="O1257" s="29"/>
      <c r="P1257" s="29"/>
      <c r="Q1257" s="29"/>
      <c r="R1257" s="29"/>
      <c r="S1257" s="29"/>
      <c r="T1257" s="29"/>
      <c r="U1257" s="29"/>
      <c r="V1257" s="29"/>
      <c r="W1257" s="29"/>
      <c r="X1257" s="29"/>
      <c r="Y1257" s="29"/>
      <c r="Z1257" s="29"/>
      <c r="AA1257" s="29"/>
      <c r="AB1257" s="29"/>
      <c r="AC1257" s="29"/>
      <c r="AD1257" s="29"/>
      <c r="AE1257" s="29"/>
      <c r="AF1257" s="29"/>
      <c r="AG1257" s="29"/>
    </row>
    <row r="1258" spans="2:33" ht="15" customHeight="1">
      <c r="B1258" s="29"/>
      <c r="C1258" s="29"/>
      <c r="D1258" s="29"/>
      <c r="E1258" s="29"/>
      <c r="F1258" s="29"/>
      <c r="G1258" s="29"/>
      <c r="H1258" s="29"/>
      <c r="I1258" s="29"/>
      <c r="J1258" s="29"/>
      <c r="K1258" s="29"/>
      <c r="L1258" s="29"/>
      <c r="M1258" s="29"/>
      <c r="N1258" s="29"/>
      <c r="O1258" s="29"/>
      <c r="P1258" s="29"/>
      <c r="Q1258" s="29"/>
      <c r="R1258" s="29"/>
      <c r="S1258" s="29"/>
      <c r="T1258" s="29"/>
      <c r="U1258" s="29"/>
      <c r="V1258" s="29"/>
      <c r="W1258" s="29"/>
      <c r="X1258" s="29"/>
      <c r="Y1258" s="29"/>
      <c r="Z1258" s="29"/>
      <c r="AA1258" s="29"/>
      <c r="AB1258" s="29"/>
      <c r="AC1258" s="29"/>
      <c r="AD1258" s="29"/>
      <c r="AE1258" s="29"/>
      <c r="AF1258" s="29"/>
      <c r="AG1258" s="29"/>
    </row>
    <row r="1259" spans="2:33" ht="15" customHeight="1">
      <c r="B1259" s="29"/>
      <c r="C1259" s="29"/>
      <c r="D1259" s="29"/>
      <c r="E1259" s="29"/>
      <c r="F1259" s="29"/>
      <c r="G1259" s="29"/>
      <c r="H1259" s="29"/>
      <c r="I1259" s="29"/>
      <c r="J1259" s="29"/>
      <c r="K1259" s="29"/>
      <c r="L1259" s="29"/>
      <c r="M1259" s="29"/>
      <c r="N1259" s="29"/>
      <c r="O1259" s="29"/>
      <c r="P1259" s="29"/>
      <c r="Q1259" s="29"/>
      <c r="R1259" s="29"/>
      <c r="S1259" s="29"/>
      <c r="T1259" s="29"/>
      <c r="U1259" s="29"/>
      <c r="V1259" s="29"/>
      <c r="W1259" s="29"/>
      <c r="X1259" s="29"/>
      <c r="Y1259" s="29"/>
      <c r="Z1259" s="29"/>
      <c r="AA1259" s="29"/>
      <c r="AB1259" s="29"/>
      <c r="AC1259" s="29"/>
      <c r="AD1259" s="29"/>
      <c r="AE1259" s="29"/>
      <c r="AF1259" s="29"/>
      <c r="AG1259" s="29"/>
    </row>
    <row r="1260" spans="2:33" ht="15" customHeight="1">
      <c r="B1260" s="29"/>
      <c r="C1260" s="29"/>
      <c r="D1260" s="29"/>
      <c r="E1260" s="29"/>
      <c r="F1260" s="29"/>
      <c r="G1260" s="29"/>
      <c r="H1260" s="29"/>
      <c r="I1260" s="29"/>
      <c r="J1260" s="29"/>
      <c r="K1260" s="29"/>
      <c r="L1260" s="29"/>
      <c r="M1260" s="29"/>
      <c r="N1260" s="29"/>
      <c r="O1260" s="29"/>
      <c r="P1260" s="29"/>
      <c r="Q1260" s="29"/>
      <c r="R1260" s="29"/>
      <c r="S1260" s="29"/>
      <c r="T1260" s="29"/>
      <c r="U1260" s="29"/>
      <c r="V1260" s="29"/>
      <c r="W1260" s="29"/>
      <c r="X1260" s="29"/>
      <c r="Y1260" s="29"/>
      <c r="Z1260" s="29"/>
      <c r="AA1260" s="29"/>
      <c r="AB1260" s="29"/>
      <c r="AC1260" s="29"/>
      <c r="AD1260" s="29"/>
      <c r="AE1260" s="29"/>
      <c r="AF1260" s="29"/>
      <c r="AG1260" s="29"/>
    </row>
    <row r="1261" spans="2:33" ht="15" customHeight="1">
      <c r="B1261" s="29"/>
      <c r="C1261" s="29"/>
      <c r="D1261" s="29"/>
      <c r="E1261" s="29"/>
      <c r="F1261" s="29"/>
      <c r="G1261" s="29"/>
      <c r="H1261" s="29"/>
      <c r="I1261" s="29"/>
      <c r="J1261" s="29"/>
      <c r="K1261" s="29"/>
      <c r="L1261" s="29"/>
      <c r="M1261" s="29"/>
      <c r="N1261" s="29"/>
      <c r="O1261" s="29"/>
      <c r="P1261" s="29"/>
      <c r="Q1261" s="29"/>
      <c r="R1261" s="29"/>
      <c r="S1261" s="29"/>
      <c r="T1261" s="29"/>
      <c r="U1261" s="29"/>
      <c r="V1261" s="29"/>
      <c r="W1261" s="29"/>
      <c r="X1261" s="29"/>
      <c r="Y1261" s="29"/>
      <c r="Z1261" s="29"/>
      <c r="AA1261" s="29"/>
      <c r="AB1261" s="29"/>
      <c r="AC1261" s="29"/>
      <c r="AD1261" s="29"/>
      <c r="AE1261" s="29"/>
      <c r="AF1261" s="29"/>
      <c r="AG1261" s="29"/>
    </row>
    <row r="1262" spans="2:33" ht="15" customHeight="1">
      <c r="B1262" s="29"/>
      <c r="C1262" s="29"/>
      <c r="D1262" s="29"/>
      <c r="E1262" s="29"/>
      <c r="F1262" s="29"/>
      <c r="G1262" s="29"/>
      <c r="H1262" s="29"/>
      <c r="I1262" s="29"/>
      <c r="J1262" s="29"/>
      <c r="K1262" s="29"/>
      <c r="L1262" s="29"/>
      <c r="M1262" s="29"/>
      <c r="N1262" s="29"/>
      <c r="O1262" s="29"/>
      <c r="P1262" s="29"/>
      <c r="Q1262" s="29"/>
      <c r="R1262" s="29"/>
      <c r="S1262" s="29"/>
      <c r="T1262" s="29"/>
      <c r="U1262" s="29"/>
      <c r="V1262" s="29"/>
      <c r="W1262" s="29"/>
      <c r="X1262" s="29"/>
      <c r="Y1262" s="29"/>
      <c r="Z1262" s="29"/>
      <c r="AA1262" s="29"/>
      <c r="AB1262" s="29"/>
      <c r="AC1262" s="29"/>
      <c r="AD1262" s="29"/>
      <c r="AE1262" s="29"/>
      <c r="AF1262" s="29"/>
      <c r="AG1262" s="29"/>
    </row>
    <row r="1263" spans="2:33" ht="15" customHeight="1">
      <c r="B1263" s="29"/>
      <c r="C1263" s="29"/>
      <c r="D1263" s="29"/>
      <c r="E1263" s="29"/>
      <c r="F1263" s="29"/>
      <c r="G1263" s="29"/>
      <c r="H1263" s="29"/>
      <c r="I1263" s="29"/>
      <c r="J1263" s="29"/>
      <c r="K1263" s="29"/>
      <c r="L1263" s="29"/>
      <c r="M1263" s="29"/>
      <c r="N1263" s="29"/>
      <c r="O1263" s="29"/>
      <c r="P1263" s="29"/>
      <c r="Q1263" s="29"/>
      <c r="R1263" s="29"/>
      <c r="S1263" s="29"/>
      <c r="T1263" s="29"/>
      <c r="U1263" s="29"/>
      <c r="V1263" s="29"/>
      <c r="W1263" s="29"/>
      <c r="X1263" s="29"/>
      <c r="Y1263" s="29"/>
      <c r="Z1263" s="29"/>
      <c r="AA1263" s="29"/>
      <c r="AB1263" s="29"/>
      <c r="AC1263" s="29"/>
      <c r="AD1263" s="29"/>
      <c r="AE1263" s="29"/>
      <c r="AF1263" s="29"/>
      <c r="AG1263" s="29"/>
    </row>
    <row r="1264" spans="2:33" ht="15" customHeight="1">
      <c r="B1264" s="29"/>
      <c r="C1264" s="29"/>
      <c r="D1264" s="29"/>
      <c r="E1264" s="29"/>
      <c r="F1264" s="29"/>
      <c r="G1264" s="29"/>
      <c r="H1264" s="29"/>
      <c r="I1264" s="29"/>
      <c r="J1264" s="29"/>
      <c r="K1264" s="29"/>
      <c r="L1264" s="29"/>
      <c r="M1264" s="29"/>
      <c r="N1264" s="29"/>
      <c r="O1264" s="29"/>
      <c r="P1264" s="29"/>
      <c r="Q1264" s="29"/>
      <c r="R1264" s="29"/>
      <c r="S1264" s="29"/>
      <c r="T1264" s="29"/>
      <c r="U1264" s="29"/>
      <c r="V1264" s="29"/>
      <c r="W1264" s="29"/>
      <c r="X1264" s="29"/>
      <c r="Y1264" s="29"/>
      <c r="Z1264" s="29"/>
      <c r="AA1264" s="29"/>
      <c r="AB1264" s="29"/>
      <c r="AC1264" s="29"/>
      <c r="AD1264" s="29"/>
      <c r="AE1264" s="29"/>
      <c r="AF1264" s="29"/>
      <c r="AG1264" s="29"/>
    </row>
    <row r="1265" spans="2:33" ht="15" customHeight="1">
      <c r="B1265" s="29"/>
      <c r="C1265" s="29"/>
      <c r="D1265" s="29"/>
      <c r="E1265" s="29"/>
      <c r="F1265" s="29"/>
      <c r="G1265" s="29"/>
      <c r="H1265" s="29"/>
      <c r="I1265" s="29"/>
      <c r="J1265" s="29"/>
      <c r="K1265" s="29"/>
      <c r="L1265" s="29"/>
      <c r="M1265" s="29"/>
      <c r="N1265" s="29"/>
      <c r="O1265" s="29"/>
      <c r="P1265" s="29"/>
      <c r="Q1265" s="29"/>
      <c r="R1265" s="29"/>
      <c r="S1265" s="29"/>
      <c r="T1265" s="29"/>
      <c r="U1265" s="29"/>
      <c r="V1265" s="29"/>
      <c r="W1265" s="29"/>
      <c r="X1265" s="29"/>
      <c r="Y1265" s="29"/>
      <c r="Z1265" s="29"/>
      <c r="AA1265" s="29"/>
      <c r="AB1265" s="29"/>
      <c r="AC1265" s="29"/>
      <c r="AD1265" s="29"/>
      <c r="AE1265" s="29"/>
      <c r="AF1265" s="29"/>
      <c r="AG1265" s="29"/>
    </row>
    <row r="1266" spans="2:33" ht="15" customHeight="1">
      <c r="B1266" s="29"/>
      <c r="C1266" s="29"/>
      <c r="D1266" s="29"/>
      <c r="E1266" s="29"/>
      <c r="F1266" s="29"/>
      <c r="G1266" s="29"/>
      <c r="H1266" s="29"/>
      <c r="I1266" s="29"/>
      <c r="J1266" s="29"/>
      <c r="K1266" s="29"/>
      <c r="L1266" s="29"/>
      <c r="M1266" s="29"/>
      <c r="N1266" s="29"/>
      <c r="O1266" s="29"/>
      <c r="P1266" s="29"/>
      <c r="Q1266" s="29"/>
      <c r="R1266" s="29"/>
      <c r="S1266" s="29"/>
      <c r="T1266" s="29"/>
      <c r="U1266" s="29"/>
      <c r="V1266" s="29"/>
      <c r="W1266" s="29"/>
      <c r="X1266" s="29"/>
      <c r="Y1266" s="29"/>
      <c r="Z1266" s="29"/>
      <c r="AA1266" s="29"/>
      <c r="AB1266" s="29"/>
      <c r="AC1266" s="29"/>
      <c r="AD1266" s="29"/>
      <c r="AE1266" s="29"/>
      <c r="AF1266" s="29"/>
      <c r="AG1266" s="29"/>
    </row>
    <row r="1267" spans="2:33" ht="12" customHeight="1">
      <c r="B1267" s="29"/>
      <c r="C1267" s="29"/>
      <c r="D1267" s="29"/>
      <c r="E1267" s="29"/>
      <c r="F1267" s="29"/>
      <c r="G1267" s="29"/>
      <c r="H1267" s="29"/>
      <c r="I1267" s="29"/>
      <c r="J1267" s="29"/>
      <c r="K1267" s="29"/>
      <c r="L1267" s="29"/>
      <c r="M1267" s="29"/>
      <c r="N1267" s="29"/>
      <c r="O1267" s="29"/>
      <c r="P1267" s="29"/>
      <c r="Q1267" s="29"/>
      <c r="R1267" s="29"/>
      <c r="S1267" s="29"/>
      <c r="T1267" s="29"/>
      <c r="U1267" s="29"/>
      <c r="V1267" s="29"/>
      <c r="W1267" s="29"/>
      <c r="X1267" s="29"/>
      <c r="Y1267" s="29"/>
      <c r="Z1267" s="29"/>
      <c r="AA1267" s="29"/>
      <c r="AB1267" s="29"/>
      <c r="AC1267" s="29"/>
      <c r="AD1267" s="29"/>
      <c r="AE1267" s="29"/>
      <c r="AF1267" s="29"/>
      <c r="AG1267" s="29"/>
    </row>
    <row r="1268" spans="2:33" ht="15" customHeight="1">
      <c r="B1268" s="29"/>
      <c r="C1268" s="29"/>
      <c r="D1268" s="29"/>
      <c r="E1268" s="29"/>
      <c r="F1268" s="29"/>
      <c r="G1268" s="29"/>
      <c r="H1268" s="29"/>
      <c r="I1268" s="29"/>
      <c r="J1268" s="29"/>
      <c r="K1268" s="29"/>
      <c r="L1268" s="29"/>
      <c r="M1268" s="29"/>
      <c r="N1268" s="29"/>
      <c r="O1268" s="29"/>
      <c r="P1268" s="29"/>
      <c r="Q1268" s="29"/>
      <c r="R1268" s="29"/>
      <c r="S1268" s="29"/>
      <c r="T1268" s="29"/>
      <c r="U1268" s="29"/>
      <c r="V1268" s="29"/>
      <c r="W1268" s="29"/>
      <c r="X1268" s="29"/>
      <c r="Y1268" s="29"/>
      <c r="Z1268" s="29"/>
      <c r="AA1268" s="29"/>
      <c r="AB1268" s="29"/>
      <c r="AC1268" s="29"/>
      <c r="AD1268" s="29"/>
      <c r="AE1268" s="29"/>
      <c r="AF1268" s="29"/>
      <c r="AG1268" s="29"/>
    </row>
    <row r="1269" spans="2:33" ht="15" customHeight="1">
      <c r="B1269" s="29"/>
      <c r="C1269" s="29"/>
      <c r="D1269" s="29"/>
      <c r="E1269" s="29"/>
      <c r="F1269" s="29"/>
      <c r="G1269" s="29"/>
      <c r="H1269" s="29"/>
      <c r="I1269" s="29"/>
      <c r="J1269" s="29"/>
      <c r="K1269" s="29"/>
      <c r="L1269" s="29"/>
      <c r="M1269" s="29"/>
      <c r="N1269" s="29"/>
      <c r="O1269" s="29"/>
      <c r="P1269" s="29"/>
      <c r="Q1269" s="29"/>
      <c r="R1269" s="29"/>
      <c r="S1269" s="29"/>
      <c r="T1269" s="29"/>
      <c r="U1269" s="29"/>
      <c r="V1269" s="29"/>
      <c r="W1269" s="29"/>
      <c r="X1269" s="29"/>
      <c r="Y1269" s="29"/>
      <c r="Z1269" s="29"/>
      <c r="AA1269" s="29"/>
      <c r="AB1269" s="29"/>
      <c r="AC1269" s="29"/>
      <c r="AD1269" s="29"/>
      <c r="AE1269" s="29"/>
      <c r="AF1269" s="29"/>
      <c r="AG1269" s="29"/>
    </row>
    <row r="1270" spans="2:33" ht="15" customHeight="1">
      <c r="B1270" s="29"/>
      <c r="C1270" s="29"/>
      <c r="D1270" s="29"/>
      <c r="E1270" s="29"/>
      <c r="F1270" s="29"/>
      <c r="G1270" s="29"/>
      <c r="H1270" s="29"/>
      <c r="I1270" s="29"/>
      <c r="J1270" s="29"/>
      <c r="K1270" s="29"/>
      <c r="L1270" s="29"/>
      <c r="M1270" s="29"/>
      <c r="N1270" s="29"/>
      <c r="O1270" s="29"/>
      <c r="P1270" s="29"/>
      <c r="Q1270" s="29"/>
      <c r="R1270" s="29"/>
      <c r="S1270" s="29"/>
      <c r="T1270" s="29"/>
      <c r="U1270" s="29"/>
      <c r="V1270" s="29"/>
      <c r="W1270" s="29"/>
      <c r="X1270" s="29"/>
      <c r="Y1270" s="29"/>
      <c r="Z1270" s="29"/>
      <c r="AA1270" s="29"/>
      <c r="AB1270" s="29"/>
      <c r="AC1270" s="29"/>
      <c r="AD1270" s="29"/>
      <c r="AE1270" s="29"/>
      <c r="AF1270" s="29"/>
      <c r="AG1270" s="29"/>
    </row>
    <row r="1271" spans="2:33" ht="15" customHeight="1">
      <c r="B1271" s="29"/>
      <c r="C1271" s="29"/>
      <c r="D1271" s="29"/>
      <c r="E1271" s="29"/>
      <c r="F1271" s="29"/>
      <c r="G1271" s="29"/>
      <c r="H1271" s="29"/>
      <c r="I1271" s="29"/>
      <c r="J1271" s="29"/>
      <c r="K1271" s="29"/>
      <c r="L1271" s="29"/>
      <c r="M1271" s="29"/>
      <c r="N1271" s="29"/>
      <c r="O1271" s="29"/>
      <c r="P1271" s="29"/>
      <c r="Q1271" s="29"/>
      <c r="R1271" s="29"/>
      <c r="S1271" s="29"/>
      <c r="T1271" s="29"/>
      <c r="U1271" s="29"/>
      <c r="V1271" s="29"/>
      <c r="W1271" s="29"/>
      <c r="X1271" s="29"/>
      <c r="Y1271" s="29"/>
      <c r="Z1271" s="29"/>
      <c r="AA1271" s="29"/>
      <c r="AB1271" s="29"/>
      <c r="AC1271" s="29"/>
      <c r="AD1271" s="29"/>
      <c r="AE1271" s="29"/>
      <c r="AF1271" s="29"/>
      <c r="AG1271" s="29"/>
    </row>
    <row r="1272" spans="2:33" ht="15" customHeight="1">
      <c r="B1272" s="29"/>
      <c r="C1272" s="29"/>
      <c r="D1272" s="29"/>
      <c r="E1272" s="29"/>
      <c r="F1272" s="29"/>
      <c r="G1272" s="29"/>
      <c r="H1272" s="29"/>
      <c r="I1272" s="29"/>
      <c r="J1272" s="29"/>
      <c r="K1272" s="29"/>
      <c r="L1272" s="29"/>
      <c r="M1272" s="29"/>
      <c r="N1272" s="29"/>
      <c r="O1272" s="29"/>
      <c r="P1272" s="29"/>
      <c r="Q1272" s="29"/>
      <c r="R1272" s="29"/>
      <c r="S1272" s="29"/>
      <c r="T1272" s="29"/>
      <c r="U1272" s="29"/>
      <c r="V1272" s="29"/>
      <c r="W1272" s="29"/>
      <c r="X1272" s="29"/>
      <c r="Y1272" s="29"/>
      <c r="Z1272" s="29"/>
      <c r="AA1272" s="29"/>
      <c r="AB1272" s="29"/>
      <c r="AC1272" s="29"/>
      <c r="AD1272" s="29"/>
      <c r="AE1272" s="29"/>
      <c r="AF1272" s="29"/>
      <c r="AG1272" s="29"/>
    </row>
    <row r="1273" spans="2:33" ht="15" customHeight="1">
      <c r="B1273" s="29"/>
      <c r="C1273" s="29"/>
      <c r="D1273" s="29"/>
      <c r="E1273" s="29"/>
      <c r="F1273" s="29"/>
      <c r="G1273" s="29"/>
      <c r="H1273" s="29"/>
      <c r="I1273" s="29"/>
      <c r="J1273" s="29"/>
      <c r="K1273" s="29"/>
      <c r="L1273" s="29"/>
      <c r="M1273" s="29"/>
      <c r="N1273" s="29"/>
      <c r="O1273" s="29"/>
      <c r="P1273" s="29"/>
      <c r="Q1273" s="29"/>
      <c r="R1273" s="29"/>
      <c r="S1273" s="29"/>
      <c r="T1273" s="29"/>
      <c r="U1273" s="29"/>
      <c r="V1273" s="29"/>
      <c r="W1273" s="29"/>
      <c r="X1273" s="29"/>
      <c r="Y1273" s="29"/>
      <c r="Z1273" s="29"/>
      <c r="AA1273" s="29"/>
      <c r="AB1273" s="29"/>
      <c r="AC1273" s="29"/>
      <c r="AD1273" s="29"/>
      <c r="AE1273" s="29"/>
      <c r="AF1273" s="29"/>
      <c r="AG1273" s="29"/>
    </row>
    <row r="1274" spans="2:33" ht="12" customHeight="1">
      <c r="B1274" s="29"/>
      <c r="C1274" s="29"/>
      <c r="D1274" s="29"/>
      <c r="E1274" s="29"/>
      <c r="F1274" s="29"/>
      <c r="G1274" s="29"/>
      <c r="H1274" s="29"/>
      <c r="I1274" s="29"/>
      <c r="J1274" s="29"/>
      <c r="K1274" s="29"/>
      <c r="L1274" s="29"/>
      <c r="M1274" s="29"/>
      <c r="N1274" s="29"/>
      <c r="O1274" s="29"/>
      <c r="P1274" s="29"/>
      <c r="Q1274" s="29"/>
      <c r="R1274" s="29"/>
      <c r="S1274" s="29"/>
      <c r="T1274" s="29"/>
      <c r="U1274" s="29"/>
      <c r="V1274" s="29"/>
      <c r="W1274" s="29"/>
      <c r="X1274" s="29"/>
      <c r="Y1274" s="29"/>
      <c r="Z1274" s="29"/>
      <c r="AA1274" s="29"/>
      <c r="AB1274" s="29"/>
      <c r="AC1274" s="29"/>
      <c r="AD1274" s="29"/>
      <c r="AE1274" s="29"/>
      <c r="AF1274" s="29"/>
      <c r="AG1274" s="29"/>
    </row>
    <row r="1275" spans="2:33" ht="15" customHeight="1">
      <c r="B1275" s="29"/>
      <c r="C1275" s="29"/>
      <c r="D1275" s="29"/>
      <c r="E1275" s="29"/>
      <c r="F1275" s="29"/>
      <c r="G1275" s="29"/>
      <c r="H1275" s="29"/>
      <c r="I1275" s="29"/>
      <c r="J1275" s="29"/>
      <c r="K1275" s="29"/>
      <c r="L1275" s="29"/>
      <c r="M1275" s="29"/>
      <c r="N1275" s="29"/>
      <c r="O1275" s="29"/>
      <c r="P1275" s="29"/>
      <c r="Q1275" s="29"/>
      <c r="R1275" s="29"/>
      <c r="S1275" s="29"/>
      <c r="T1275" s="29"/>
      <c r="U1275" s="29"/>
      <c r="V1275" s="29"/>
      <c r="W1275" s="29"/>
      <c r="X1275" s="29"/>
      <c r="Y1275" s="29"/>
      <c r="Z1275" s="29"/>
      <c r="AA1275" s="29"/>
      <c r="AB1275" s="29"/>
      <c r="AC1275" s="29"/>
      <c r="AD1275" s="29"/>
      <c r="AE1275" s="29"/>
      <c r="AF1275" s="29"/>
      <c r="AG1275" s="29"/>
    </row>
    <row r="1276" spans="2:33" ht="15" customHeight="1">
      <c r="B1276" s="29"/>
      <c r="C1276" s="29"/>
      <c r="D1276" s="29"/>
      <c r="E1276" s="29"/>
      <c r="F1276" s="29"/>
      <c r="G1276" s="29"/>
      <c r="H1276" s="29"/>
      <c r="I1276" s="29"/>
      <c r="J1276" s="29"/>
      <c r="K1276" s="29"/>
      <c r="L1276" s="29"/>
      <c r="M1276" s="29"/>
      <c r="N1276" s="29"/>
      <c r="O1276" s="29"/>
      <c r="P1276" s="29"/>
      <c r="Q1276" s="29"/>
      <c r="R1276" s="29"/>
      <c r="S1276" s="29"/>
      <c r="T1276" s="29"/>
      <c r="U1276" s="29"/>
      <c r="V1276" s="29"/>
      <c r="W1276" s="29"/>
      <c r="X1276" s="29"/>
      <c r="Y1276" s="29"/>
      <c r="Z1276" s="29"/>
      <c r="AA1276" s="29"/>
      <c r="AB1276" s="29"/>
      <c r="AC1276" s="29"/>
      <c r="AD1276" s="29"/>
      <c r="AE1276" s="29"/>
      <c r="AF1276" s="29"/>
      <c r="AG1276" s="29"/>
    </row>
    <row r="1277" spans="2:33" ht="15" customHeight="1">
      <c r="B1277" s="29"/>
      <c r="C1277" s="29"/>
      <c r="D1277" s="29"/>
      <c r="E1277" s="29"/>
      <c r="F1277" s="29"/>
      <c r="G1277" s="29"/>
      <c r="H1277" s="29"/>
      <c r="I1277" s="29"/>
      <c r="J1277" s="29"/>
      <c r="K1277" s="29"/>
      <c r="L1277" s="29"/>
      <c r="M1277" s="29"/>
      <c r="N1277" s="29"/>
      <c r="O1277" s="29"/>
      <c r="P1277" s="29"/>
      <c r="Q1277" s="29"/>
      <c r="R1277" s="29"/>
      <c r="S1277" s="29"/>
      <c r="T1277" s="29"/>
      <c r="U1277" s="29"/>
      <c r="V1277" s="29"/>
      <c r="W1277" s="29"/>
      <c r="X1277" s="29"/>
      <c r="Y1277" s="29"/>
      <c r="Z1277" s="29"/>
      <c r="AA1277" s="29"/>
      <c r="AB1277" s="29"/>
      <c r="AC1277" s="29"/>
      <c r="AD1277" s="29"/>
      <c r="AE1277" s="29"/>
      <c r="AF1277" s="29"/>
      <c r="AG1277" s="29"/>
    </row>
    <row r="1278" spans="2:33" ht="15" customHeight="1">
      <c r="B1278" s="29"/>
      <c r="C1278" s="29"/>
      <c r="D1278" s="29"/>
      <c r="E1278" s="29"/>
      <c r="F1278" s="29"/>
      <c r="G1278" s="29"/>
      <c r="H1278" s="29"/>
      <c r="I1278" s="29"/>
      <c r="J1278" s="29"/>
      <c r="K1278" s="29"/>
      <c r="L1278" s="29"/>
      <c r="M1278" s="29"/>
      <c r="N1278" s="29"/>
      <c r="O1278" s="29"/>
      <c r="P1278" s="29"/>
      <c r="Q1278" s="29"/>
      <c r="R1278" s="29"/>
      <c r="S1278" s="29"/>
      <c r="T1278" s="29"/>
      <c r="U1278" s="29"/>
      <c r="V1278" s="29"/>
      <c r="W1278" s="29"/>
      <c r="X1278" s="29"/>
      <c r="Y1278" s="29"/>
      <c r="Z1278" s="29"/>
      <c r="AA1278" s="29"/>
      <c r="AB1278" s="29"/>
      <c r="AC1278" s="29"/>
      <c r="AD1278" s="29"/>
      <c r="AE1278" s="29"/>
      <c r="AF1278" s="29"/>
      <c r="AG1278" s="29"/>
    </row>
    <row r="1279" spans="2:33" ht="15" customHeight="1">
      <c r="B1279" s="29"/>
      <c r="C1279" s="29"/>
      <c r="D1279" s="29"/>
      <c r="E1279" s="29"/>
      <c r="F1279" s="29"/>
      <c r="G1279" s="29"/>
      <c r="H1279" s="29"/>
      <c r="I1279" s="29"/>
      <c r="J1279" s="29"/>
      <c r="K1279" s="29"/>
      <c r="L1279" s="29"/>
      <c r="M1279" s="29"/>
      <c r="N1279" s="29"/>
      <c r="O1279" s="29"/>
      <c r="P1279" s="29"/>
      <c r="Q1279" s="29"/>
      <c r="R1279" s="29"/>
      <c r="S1279" s="29"/>
      <c r="T1279" s="29"/>
      <c r="U1279" s="29"/>
      <c r="V1279" s="29"/>
      <c r="W1279" s="29"/>
      <c r="X1279" s="29"/>
      <c r="Y1279" s="29"/>
      <c r="Z1279" s="29"/>
      <c r="AA1279" s="29"/>
      <c r="AB1279" s="29"/>
      <c r="AC1279" s="29"/>
      <c r="AD1279" s="29"/>
      <c r="AE1279" s="29"/>
      <c r="AF1279" s="29"/>
      <c r="AG1279" s="29"/>
    </row>
    <row r="1280" spans="2:33" ht="15" customHeight="1">
      <c r="B1280" s="29"/>
      <c r="C1280" s="29"/>
      <c r="D1280" s="29"/>
      <c r="E1280" s="29"/>
      <c r="F1280" s="29"/>
      <c r="G1280" s="29"/>
      <c r="H1280" s="29"/>
      <c r="I1280" s="29"/>
      <c r="J1280" s="29"/>
      <c r="K1280" s="29"/>
      <c r="L1280" s="29"/>
      <c r="M1280" s="29"/>
      <c r="N1280" s="29"/>
      <c r="O1280" s="29"/>
      <c r="P1280" s="29"/>
      <c r="Q1280" s="29"/>
      <c r="R1280" s="29"/>
      <c r="S1280" s="29"/>
      <c r="T1280" s="29"/>
      <c r="U1280" s="29"/>
      <c r="V1280" s="29"/>
      <c r="W1280" s="29"/>
      <c r="X1280" s="29"/>
      <c r="Y1280" s="29"/>
      <c r="Z1280" s="29"/>
      <c r="AA1280" s="29"/>
      <c r="AB1280" s="29"/>
      <c r="AC1280" s="29"/>
      <c r="AD1280" s="29"/>
      <c r="AE1280" s="29"/>
      <c r="AF1280" s="29"/>
      <c r="AG1280" s="29"/>
    </row>
    <row r="1281" spans="2:33" ht="15" customHeight="1">
      <c r="B1281" s="29"/>
      <c r="C1281" s="29"/>
      <c r="D1281" s="29"/>
      <c r="E1281" s="29"/>
      <c r="F1281" s="29"/>
      <c r="G1281" s="29"/>
      <c r="H1281" s="29"/>
      <c r="I1281" s="29"/>
      <c r="J1281" s="29"/>
      <c r="K1281" s="29"/>
      <c r="L1281" s="29"/>
      <c r="M1281" s="29"/>
      <c r="N1281" s="29"/>
      <c r="O1281" s="29"/>
      <c r="P1281" s="29"/>
      <c r="Q1281" s="29"/>
      <c r="R1281" s="29"/>
      <c r="S1281" s="29"/>
      <c r="T1281" s="29"/>
      <c r="U1281" s="29"/>
      <c r="V1281" s="29"/>
      <c r="W1281" s="29"/>
      <c r="X1281" s="29"/>
      <c r="Y1281" s="29"/>
      <c r="Z1281" s="29"/>
      <c r="AA1281" s="29"/>
      <c r="AB1281" s="29"/>
      <c r="AC1281" s="29"/>
      <c r="AD1281" s="29"/>
      <c r="AE1281" s="29"/>
      <c r="AF1281" s="29"/>
      <c r="AG1281" s="29"/>
    </row>
    <row r="1282" spans="2:33" ht="12" customHeight="1">
      <c r="B1282" s="29"/>
      <c r="C1282" s="29"/>
      <c r="D1282" s="29"/>
      <c r="E1282" s="29"/>
      <c r="F1282" s="29"/>
      <c r="G1282" s="29"/>
      <c r="H1282" s="29"/>
      <c r="I1282" s="29"/>
      <c r="J1282" s="29"/>
      <c r="K1282" s="29"/>
      <c r="L1282" s="29"/>
      <c r="M1282" s="29"/>
      <c r="N1282" s="29"/>
      <c r="O1282" s="29"/>
      <c r="P1282" s="29"/>
      <c r="Q1282" s="29"/>
      <c r="R1282" s="29"/>
      <c r="S1282" s="29"/>
      <c r="T1282" s="29"/>
      <c r="U1282" s="29"/>
      <c r="V1282" s="29"/>
      <c r="W1282" s="29"/>
      <c r="X1282" s="29"/>
      <c r="Y1282" s="29"/>
      <c r="Z1282" s="29"/>
      <c r="AA1282" s="29"/>
      <c r="AB1282" s="29"/>
      <c r="AC1282" s="29"/>
      <c r="AD1282" s="29"/>
      <c r="AE1282" s="29"/>
      <c r="AF1282" s="29"/>
      <c r="AG1282" s="29"/>
    </row>
    <row r="1283" spans="2:33" ht="15" customHeight="1">
      <c r="B1283" s="29"/>
      <c r="C1283" s="29"/>
      <c r="D1283" s="29"/>
      <c r="E1283" s="29"/>
      <c r="F1283" s="29"/>
      <c r="G1283" s="29"/>
      <c r="H1283" s="29"/>
      <c r="I1283" s="29"/>
      <c r="J1283" s="29"/>
      <c r="K1283" s="29"/>
      <c r="L1283" s="29"/>
      <c r="M1283" s="29"/>
      <c r="N1283" s="29"/>
      <c r="O1283" s="29"/>
      <c r="P1283" s="29"/>
      <c r="Q1283" s="29"/>
      <c r="R1283" s="29"/>
      <c r="S1283" s="29"/>
      <c r="T1283" s="29"/>
      <c r="U1283" s="29"/>
      <c r="V1283" s="29"/>
      <c r="W1283" s="29"/>
      <c r="X1283" s="29"/>
      <c r="Y1283" s="29"/>
      <c r="Z1283" s="29"/>
      <c r="AA1283" s="29"/>
      <c r="AB1283" s="29"/>
      <c r="AC1283" s="29"/>
      <c r="AD1283" s="29"/>
      <c r="AE1283" s="29"/>
      <c r="AF1283" s="29"/>
      <c r="AG1283" s="29"/>
    </row>
    <row r="1284" spans="2:33" ht="15" customHeight="1">
      <c r="B1284" s="29"/>
      <c r="C1284" s="29"/>
      <c r="D1284" s="29"/>
      <c r="E1284" s="29"/>
      <c r="F1284" s="29"/>
      <c r="G1284" s="29"/>
      <c r="H1284" s="29"/>
      <c r="I1284" s="29"/>
      <c r="J1284" s="29"/>
      <c r="K1284" s="29"/>
      <c r="L1284" s="29"/>
      <c r="M1284" s="29"/>
      <c r="N1284" s="29"/>
      <c r="O1284" s="29"/>
      <c r="P1284" s="29"/>
      <c r="Q1284" s="29"/>
      <c r="R1284" s="29"/>
      <c r="S1284" s="29"/>
      <c r="T1284" s="29"/>
      <c r="U1284" s="29"/>
      <c r="V1284" s="29"/>
      <c r="W1284" s="29"/>
      <c r="X1284" s="29"/>
      <c r="Y1284" s="29"/>
      <c r="Z1284" s="29"/>
      <c r="AA1284" s="29"/>
      <c r="AB1284" s="29"/>
      <c r="AC1284" s="29"/>
      <c r="AD1284" s="29"/>
      <c r="AE1284" s="29"/>
      <c r="AF1284" s="29"/>
      <c r="AG1284" s="29"/>
    </row>
    <row r="1285" spans="2:33" ht="15" customHeight="1">
      <c r="B1285" s="29"/>
      <c r="C1285" s="29"/>
      <c r="D1285" s="29"/>
      <c r="E1285" s="29"/>
      <c r="F1285" s="29"/>
      <c r="G1285" s="29"/>
      <c r="H1285" s="29"/>
      <c r="I1285" s="29"/>
      <c r="J1285" s="29"/>
      <c r="K1285" s="29"/>
      <c r="L1285" s="29"/>
      <c r="M1285" s="29"/>
      <c r="N1285" s="29"/>
      <c r="O1285" s="29"/>
      <c r="P1285" s="29"/>
      <c r="Q1285" s="29"/>
      <c r="R1285" s="29"/>
      <c r="S1285" s="29"/>
      <c r="T1285" s="29"/>
      <c r="U1285" s="29"/>
      <c r="V1285" s="29"/>
      <c r="W1285" s="29"/>
      <c r="X1285" s="29"/>
      <c r="Y1285" s="29"/>
      <c r="Z1285" s="29"/>
      <c r="AA1285" s="29"/>
      <c r="AB1285" s="29"/>
      <c r="AC1285" s="29"/>
      <c r="AD1285" s="29"/>
      <c r="AE1285" s="29"/>
      <c r="AF1285" s="29"/>
      <c r="AG1285" s="29"/>
    </row>
    <row r="1286" spans="2:33" ht="15" customHeight="1">
      <c r="B1286" s="29"/>
      <c r="C1286" s="29"/>
      <c r="D1286" s="29"/>
      <c r="E1286" s="29"/>
      <c r="F1286" s="29"/>
      <c r="G1286" s="29"/>
      <c r="H1286" s="29"/>
      <c r="I1286" s="29"/>
      <c r="J1286" s="29"/>
      <c r="K1286" s="29"/>
      <c r="L1286" s="29"/>
      <c r="M1286" s="29"/>
      <c r="N1286" s="29"/>
      <c r="O1286" s="29"/>
      <c r="P1286" s="29"/>
      <c r="Q1286" s="29"/>
      <c r="R1286" s="29"/>
      <c r="S1286" s="29"/>
      <c r="T1286" s="29"/>
      <c r="U1286" s="29"/>
      <c r="V1286" s="29"/>
      <c r="W1286" s="29"/>
      <c r="X1286" s="29"/>
      <c r="Y1286" s="29"/>
      <c r="Z1286" s="29"/>
      <c r="AA1286" s="29"/>
      <c r="AB1286" s="29"/>
      <c r="AC1286" s="29"/>
      <c r="AD1286" s="29"/>
      <c r="AE1286" s="29"/>
      <c r="AF1286" s="29"/>
      <c r="AG1286" s="29"/>
    </row>
    <row r="1287" spans="2:33" ht="15" customHeight="1">
      <c r="B1287" s="29"/>
      <c r="C1287" s="29"/>
      <c r="D1287" s="29"/>
      <c r="E1287" s="29"/>
      <c r="F1287" s="29"/>
      <c r="G1287" s="29"/>
      <c r="H1287" s="29"/>
      <c r="I1287" s="29"/>
      <c r="J1287" s="29"/>
      <c r="K1287" s="29"/>
      <c r="L1287" s="29"/>
      <c r="M1287" s="29"/>
      <c r="N1287" s="29"/>
      <c r="O1287" s="29"/>
      <c r="P1287" s="29"/>
      <c r="Q1287" s="29"/>
      <c r="R1287" s="29"/>
      <c r="S1287" s="29"/>
      <c r="T1287" s="29"/>
      <c r="U1287" s="29"/>
      <c r="V1287" s="29"/>
      <c r="W1287" s="29"/>
      <c r="X1287" s="29"/>
      <c r="Y1287" s="29"/>
      <c r="Z1287" s="29"/>
      <c r="AA1287" s="29"/>
      <c r="AB1287" s="29"/>
      <c r="AC1287" s="29"/>
      <c r="AD1287" s="29"/>
      <c r="AE1287" s="29"/>
      <c r="AF1287" s="29"/>
      <c r="AG1287" s="29"/>
    </row>
    <row r="1288" spans="2:33" ht="15" customHeight="1">
      <c r="B1288" s="29"/>
      <c r="C1288" s="29"/>
      <c r="D1288" s="29"/>
      <c r="E1288" s="29"/>
      <c r="F1288" s="29"/>
      <c r="G1288" s="29"/>
      <c r="H1288" s="29"/>
      <c r="I1288" s="29"/>
      <c r="J1288" s="29"/>
      <c r="K1288" s="29"/>
      <c r="L1288" s="29"/>
      <c r="M1288" s="29"/>
      <c r="N1288" s="29"/>
      <c r="O1288" s="29"/>
      <c r="P1288" s="29"/>
      <c r="Q1288" s="29"/>
      <c r="R1288" s="29"/>
      <c r="S1288" s="29"/>
      <c r="T1288" s="29"/>
      <c r="U1288" s="29"/>
      <c r="V1288" s="29"/>
      <c r="W1288" s="29"/>
      <c r="X1288" s="29"/>
      <c r="Y1288" s="29"/>
      <c r="Z1288" s="29"/>
      <c r="AA1288" s="29"/>
      <c r="AB1288" s="29"/>
      <c r="AC1288" s="29"/>
      <c r="AD1288" s="29"/>
      <c r="AE1288" s="29"/>
      <c r="AF1288" s="29"/>
      <c r="AG1288" s="29"/>
    </row>
    <row r="1289" spans="2:33" ht="15" customHeight="1">
      <c r="B1289" s="29"/>
      <c r="C1289" s="29"/>
      <c r="D1289" s="29"/>
      <c r="E1289" s="29"/>
      <c r="F1289" s="29"/>
      <c r="G1289" s="29"/>
      <c r="H1289" s="29"/>
      <c r="I1289" s="29"/>
      <c r="J1289" s="29"/>
      <c r="K1289" s="29"/>
      <c r="L1289" s="29"/>
      <c r="M1289" s="29"/>
      <c r="N1289" s="29"/>
      <c r="O1289" s="29"/>
      <c r="P1289" s="29"/>
      <c r="Q1289" s="29"/>
      <c r="R1289" s="29"/>
      <c r="S1289" s="29"/>
      <c r="T1289" s="29"/>
      <c r="U1289" s="29"/>
      <c r="V1289" s="29"/>
      <c r="W1289" s="29"/>
      <c r="X1289" s="29"/>
      <c r="Y1289" s="29"/>
      <c r="Z1289" s="29"/>
      <c r="AA1289" s="29"/>
      <c r="AB1289" s="29"/>
      <c r="AC1289" s="29"/>
      <c r="AD1289" s="29"/>
      <c r="AE1289" s="29"/>
      <c r="AF1289" s="29"/>
      <c r="AG1289" s="29"/>
    </row>
    <row r="1290" spans="2:33" ht="12" customHeight="1">
      <c r="B1290" s="29"/>
      <c r="C1290" s="29"/>
      <c r="D1290" s="29"/>
      <c r="E1290" s="29"/>
      <c r="F1290" s="29"/>
      <c r="G1290" s="29"/>
      <c r="H1290" s="29"/>
      <c r="I1290" s="29"/>
      <c r="J1290" s="29"/>
      <c r="K1290" s="29"/>
      <c r="L1290" s="29"/>
      <c r="M1290" s="29"/>
      <c r="N1290" s="29"/>
      <c r="O1290" s="29"/>
      <c r="P1290" s="29"/>
      <c r="Q1290" s="29"/>
      <c r="R1290" s="29"/>
      <c r="S1290" s="29"/>
      <c r="T1290" s="29"/>
      <c r="U1290" s="29"/>
      <c r="V1290" s="29"/>
      <c r="W1290" s="29"/>
      <c r="X1290" s="29"/>
      <c r="Y1290" s="29"/>
      <c r="Z1290" s="29"/>
      <c r="AA1290" s="29"/>
      <c r="AB1290" s="29"/>
      <c r="AC1290" s="29"/>
      <c r="AD1290" s="29"/>
      <c r="AE1290" s="29"/>
      <c r="AF1290" s="29"/>
      <c r="AG1290" s="29"/>
    </row>
    <row r="1291" spans="2:33" ht="12" customHeight="1">
      <c r="B1291" s="29"/>
      <c r="C1291" s="29"/>
      <c r="D1291" s="29"/>
      <c r="E1291" s="29"/>
      <c r="F1291" s="29"/>
      <c r="G1291" s="29"/>
      <c r="H1291" s="29"/>
      <c r="I1291" s="29"/>
      <c r="J1291" s="29"/>
      <c r="K1291" s="29"/>
      <c r="L1291" s="29"/>
      <c r="M1291" s="29"/>
      <c r="N1291" s="29"/>
      <c r="O1291" s="29"/>
      <c r="P1291" s="29"/>
      <c r="Q1291" s="29"/>
      <c r="R1291" s="29"/>
      <c r="S1291" s="29"/>
      <c r="T1291" s="29"/>
      <c r="U1291" s="29"/>
      <c r="V1291" s="29"/>
      <c r="W1291" s="29"/>
      <c r="X1291" s="29"/>
      <c r="Y1291" s="29"/>
      <c r="Z1291" s="29"/>
      <c r="AA1291" s="29"/>
      <c r="AB1291" s="29"/>
      <c r="AC1291" s="29"/>
      <c r="AD1291" s="29"/>
      <c r="AE1291" s="29"/>
      <c r="AF1291" s="29"/>
      <c r="AG1291" s="29"/>
    </row>
    <row r="1292" spans="2:33" ht="15" customHeight="1">
      <c r="B1292" s="29"/>
      <c r="C1292" s="29"/>
      <c r="D1292" s="29"/>
      <c r="E1292" s="29"/>
      <c r="F1292" s="29"/>
      <c r="G1292" s="29"/>
      <c r="H1292" s="29"/>
      <c r="I1292" s="29"/>
      <c r="J1292" s="29"/>
      <c r="K1292" s="29"/>
      <c r="L1292" s="29"/>
      <c r="M1292" s="29"/>
      <c r="N1292" s="29"/>
      <c r="O1292" s="29"/>
      <c r="P1292" s="29"/>
      <c r="Q1292" s="29"/>
      <c r="R1292" s="29"/>
      <c r="S1292" s="29"/>
      <c r="T1292" s="29"/>
      <c r="U1292" s="29"/>
      <c r="V1292" s="29"/>
      <c r="W1292" s="29"/>
      <c r="X1292" s="29"/>
      <c r="Y1292" s="29"/>
      <c r="Z1292" s="29"/>
      <c r="AA1292" s="29"/>
      <c r="AB1292" s="29"/>
      <c r="AC1292" s="29"/>
      <c r="AD1292" s="29"/>
      <c r="AE1292" s="29"/>
      <c r="AF1292" s="29"/>
      <c r="AG1292" s="29"/>
    </row>
    <row r="1293" spans="2:33" ht="15" customHeight="1">
      <c r="B1293" s="29"/>
      <c r="C1293" s="29"/>
      <c r="D1293" s="29"/>
      <c r="E1293" s="29"/>
      <c r="F1293" s="29"/>
      <c r="G1293" s="29"/>
      <c r="H1293" s="29"/>
      <c r="I1293" s="29"/>
      <c r="J1293" s="29"/>
      <c r="K1293" s="29"/>
      <c r="L1293" s="29"/>
      <c r="M1293" s="29"/>
      <c r="N1293" s="29"/>
      <c r="O1293" s="29"/>
      <c r="P1293" s="29"/>
      <c r="Q1293" s="29"/>
      <c r="R1293" s="29"/>
      <c r="S1293" s="29"/>
      <c r="T1293" s="29"/>
      <c r="U1293" s="29"/>
      <c r="V1293" s="29"/>
      <c r="W1293" s="29"/>
      <c r="X1293" s="29"/>
      <c r="Y1293" s="29"/>
      <c r="Z1293" s="29"/>
      <c r="AA1293" s="29"/>
      <c r="AB1293" s="29"/>
      <c r="AC1293" s="29"/>
      <c r="AD1293" s="29"/>
      <c r="AE1293" s="29"/>
      <c r="AF1293" s="29"/>
      <c r="AG1293" s="29"/>
    </row>
    <row r="1294" spans="2:33" ht="15" customHeight="1">
      <c r="B1294" s="29"/>
      <c r="C1294" s="29"/>
      <c r="D1294" s="29"/>
      <c r="E1294" s="29"/>
      <c r="F1294" s="29"/>
      <c r="G1294" s="29"/>
      <c r="H1294" s="29"/>
      <c r="I1294" s="29"/>
      <c r="J1294" s="29"/>
      <c r="K1294" s="29"/>
      <c r="L1294" s="29"/>
      <c r="M1294" s="29"/>
      <c r="N1294" s="29"/>
      <c r="O1294" s="29"/>
      <c r="P1294" s="29"/>
      <c r="Q1294" s="29"/>
      <c r="R1294" s="29"/>
      <c r="S1294" s="29"/>
      <c r="T1294" s="29"/>
      <c r="U1294" s="29"/>
      <c r="V1294" s="29"/>
      <c r="W1294" s="29"/>
      <c r="X1294" s="29"/>
      <c r="Y1294" s="29"/>
      <c r="Z1294" s="29"/>
      <c r="AA1294" s="29"/>
      <c r="AB1294" s="29"/>
      <c r="AC1294" s="29"/>
      <c r="AD1294" s="29"/>
      <c r="AE1294" s="29"/>
      <c r="AF1294" s="29"/>
      <c r="AG1294" s="29"/>
    </row>
    <row r="1295" spans="2:33" ht="12" customHeight="1">
      <c r="B1295" s="29"/>
      <c r="C1295" s="29"/>
      <c r="D1295" s="29"/>
      <c r="E1295" s="29"/>
      <c r="F1295" s="29"/>
      <c r="G1295" s="29"/>
      <c r="H1295" s="29"/>
      <c r="I1295" s="29"/>
      <c r="J1295" s="29"/>
      <c r="K1295" s="29"/>
      <c r="L1295" s="29"/>
      <c r="M1295" s="29"/>
      <c r="N1295" s="29"/>
      <c r="O1295" s="29"/>
      <c r="P1295" s="29"/>
      <c r="Q1295" s="29"/>
      <c r="R1295" s="29"/>
      <c r="S1295" s="29"/>
      <c r="T1295" s="29"/>
      <c r="U1295" s="29"/>
      <c r="V1295" s="29"/>
      <c r="W1295" s="29"/>
      <c r="X1295" s="29"/>
      <c r="Y1295" s="29"/>
      <c r="Z1295" s="29"/>
      <c r="AA1295" s="29"/>
      <c r="AB1295" s="29"/>
      <c r="AC1295" s="29"/>
      <c r="AD1295" s="29"/>
      <c r="AE1295" s="29"/>
      <c r="AF1295" s="29"/>
      <c r="AG1295" s="29"/>
    </row>
    <row r="1296" spans="2:33" ht="15" customHeight="1">
      <c r="B1296" s="29"/>
      <c r="C1296" s="29"/>
      <c r="D1296" s="29"/>
      <c r="E1296" s="29"/>
      <c r="F1296" s="29"/>
      <c r="G1296" s="29"/>
      <c r="H1296" s="29"/>
      <c r="I1296" s="29"/>
      <c r="J1296" s="29"/>
      <c r="K1296" s="29"/>
      <c r="L1296" s="29"/>
      <c r="M1296" s="29"/>
      <c r="N1296" s="29"/>
      <c r="O1296" s="29"/>
      <c r="P1296" s="29"/>
      <c r="Q1296" s="29"/>
      <c r="R1296" s="29"/>
      <c r="S1296" s="29"/>
      <c r="T1296" s="29"/>
      <c r="U1296" s="29"/>
      <c r="V1296" s="29"/>
      <c r="W1296" s="29"/>
      <c r="X1296" s="29"/>
      <c r="Y1296" s="29"/>
      <c r="Z1296" s="29"/>
      <c r="AA1296" s="29"/>
      <c r="AB1296" s="29"/>
      <c r="AC1296" s="29"/>
      <c r="AD1296" s="29"/>
      <c r="AE1296" s="29"/>
      <c r="AF1296" s="29"/>
      <c r="AG1296" s="29"/>
    </row>
    <row r="1297" spans="2:33" ht="15" customHeight="1">
      <c r="B1297" s="29"/>
      <c r="C1297" s="29"/>
      <c r="D1297" s="29"/>
      <c r="E1297" s="29"/>
      <c r="F1297" s="29"/>
      <c r="G1297" s="29"/>
      <c r="H1297" s="29"/>
      <c r="I1297" s="29"/>
      <c r="J1297" s="29"/>
      <c r="K1297" s="29"/>
      <c r="L1297" s="29"/>
      <c r="M1297" s="29"/>
      <c r="N1297" s="29"/>
      <c r="O1297" s="29"/>
      <c r="P1297" s="29"/>
      <c r="Q1297" s="29"/>
      <c r="R1297" s="29"/>
      <c r="S1297" s="29"/>
      <c r="T1297" s="29"/>
      <c r="U1297" s="29"/>
      <c r="V1297" s="29"/>
      <c r="W1297" s="29"/>
      <c r="X1297" s="29"/>
      <c r="Y1297" s="29"/>
      <c r="Z1297" s="29"/>
      <c r="AA1297" s="29"/>
      <c r="AB1297" s="29"/>
      <c r="AC1297" s="29"/>
      <c r="AD1297" s="29"/>
      <c r="AE1297" s="29"/>
      <c r="AF1297" s="29"/>
      <c r="AG1297" s="29"/>
    </row>
    <row r="1298" spans="2:33" ht="15" customHeight="1">
      <c r="B1298" s="29"/>
      <c r="C1298" s="29"/>
      <c r="D1298" s="29"/>
      <c r="E1298" s="29"/>
      <c r="F1298" s="29"/>
      <c r="G1298" s="29"/>
      <c r="H1298" s="29"/>
      <c r="I1298" s="29"/>
      <c r="J1298" s="29"/>
      <c r="K1298" s="29"/>
      <c r="L1298" s="29"/>
      <c r="M1298" s="29"/>
      <c r="N1298" s="29"/>
      <c r="O1298" s="29"/>
      <c r="P1298" s="29"/>
      <c r="Q1298" s="29"/>
      <c r="R1298" s="29"/>
      <c r="S1298" s="29"/>
      <c r="T1298" s="29"/>
      <c r="U1298" s="29"/>
      <c r="V1298" s="29"/>
      <c r="W1298" s="29"/>
      <c r="X1298" s="29"/>
      <c r="Y1298" s="29"/>
      <c r="Z1298" s="29"/>
      <c r="AA1298" s="29"/>
      <c r="AB1298" s="29"/>
      <c r="AC1298" s="29"/>
      <c r="AD1298" s="29"/>
      <c r="AE1298" s="29"/>
      <c r="AF1298" s="29"/>
      <c r="AG1298" s="29"/>
    </row>
    <row r="1299" spans="2:33" ht="15" customHeight="1">
      <c r="B1299" s="29"/>
      <c r="C1299" s="29"/>
      <c r="D1299" s="29"/>
      <c r="E1299" s="29"/>
      <c r="F1299" s="29"/>
      <c r="G1299" s="29"/>
      <c r="H1299" s="29"/>
      <c r="I1299" s="29"/>
      <c r="J1299" s="29"/>
      <c r="K1299" s="29"/>
      <c r="L1299" s="29"/>
      <c r="M1299" s="29"/>
      <c r="N1299" s="29"/>
      <c r="O1299" s="29"/>
      <c r="P1299" s="29"/>
      <c r="Q1299" s="29"/>
      <c r="R1299" s="29"/>
      <c r="S1299" s="29"/>
      <c r="T1299" s="29"/>
      <c r="U1299" s="29"/>
      <c r="V1299" s="29"/>
      <c r="W1299" s="29"/>
      <c r="X1299" s="29"/>
      <c r="Y1299" s="29"/>
      <c r="Z1299" s="29"/>
      <c r="AA1299" s="29"/>
      <c r="AB1299" s="29"/>
      <c r="AC1299" s="29"/>
      <c r="AD1299" s="29"/>
      <c r="AE1299" s="29"/>
      <c r="AF1299" s="29"/>
      <c r="AG1299" s="29"/>
    </row>
    <row r="1300" spans="2:33" ht="15" customHeight="1">
      <c r="B1300" s="29"/>
      <c r="C1300" s="29"/>
      <c r="D1300" s="29"/>
      <c r="E1300" s="29"/>
      <c r="F1300" s="29"/>
      <c r="G1300" s="29"/>
      <c r="H1300" s="29"/>
      <c r="I1300" s="29"/>
      <c r="J1300" s="29"/>
      <c r="K1300" s="29"/>
      <c r="L1300" s="29"/>
      <c r="M1300" s="29"/>
      <c r="N1300" s="29"/>
      <c r="O1300" s="29"/>
      <c r="P1300" s="29"/>
      <c r="Q1300" s="29"/>
      <c r="R1300" s="29"/>
      <c r="S1300" s="29"/>
      <c r="T1300" s="29"/>
      <c r="U1300" s="29"/>
      <c r="V1300" s="29"/>
      <c r="W1300" s="29"/>
      <c r="X1300" s="29"/>
      <c r="Y1300" s="29"/>
      <c r="Z1300" s="29"/>
      <c r="AA1300" s="29"/>
      <c r="AB1300" s="29"/>
      <c r="AC1300" s="29"/>
      <c r="AD1300" s="29"/>
      <c r="AE1300" s="29"/>
      <c r="AF1300" s="29"/>
      <c r="AG1300" s="29"/>
    </row>
    <row r="1301" spans="2:33" ht="15" customHeight="1">
      <c r="B1301" s="29"/>
      <c r="C1301" s="29"/>
      <c r="D1301" s="29"/>
      <c r="E1301" s="29"/>
      <c r="F1301" s="29"/>
      <c r="G1301" s="29"/>
      <c r="H1301" s="29"/>
      <c r="I1301" s="29"/>
      <c r="J1301" s="29"/>
      <c r="K1301" s="29"/>
      <c r="L1301" s="29"/>
      <c r="M1301" s="29"/>
      <c r="N1301" s="29"/>
      <c r="O1301" s="29"/>
      <c r="P1301" s="29"/>
      <c r="Q1301" s="29"/>
      <c r="R1301" s="29"/>
      <c r="S1301" s="29"/>
      <c r="T1301" s="29"/>
      <c r="U1301" s="29"/>
      <c r="V1301" s="29"/>
      <c r="W1301" s="29"/>
      <c r="X1301" s="29"/>
      <c r="Y1301" s="29"/>
      <c r="Z1301" s="29"/>
      <c r="AA1301" s="29"/>
      <c r="AB1301" s="29"/>
      <c r="AC1301" s="29"/>
      <c r="AD1301" s="29"/>
      <c r="AE1301" s="29"/>
      <c r="AF1301" s="29"/>
      <c r="AG1301" s="29"/>
    </row>
    <row r="1302" spans="2:33" ht="15" customHeight="1">
      <c r="B1302" s="29"/>
      <c r="C1302" s="29"/>
      <c r="D1302" s="29"/>
      <c r="E1302" s="29"/>
      <c r="F1302" s="29"/>
      <c r="G1302" s="29"/>
      <c r="H1302" s="29"/>
      <c r="I1302" s="29"/>
      <c r="J1302" s="29"/>
      <c r="K1302" s="29"/>
      <c r="L1302" s="29"/>
      <c r="M1302" s="29"/>
      <c r="N1302" s="29"/>
      <c r="O1302" s="29"/>
      <c r="P1302" s="29"/>
      <c r="Q1302" s="29"/>
      <c r="R1302" s="29"/>
      <c r="S1302" s="29"/>
      <c r="T1302" s="29"/>
      <c r="U1302" s="29"/>
      <c r="V1302" s="29"/>
      <c r="W1302" s="29"/>
      <c r="X1302" s="29"/>
      <c r="Y1302" s="29"/>
      <c r="Z1302" s="29"/>
      <c r="AA1302" s="29"/>
      <c r="AB1302" s="29"/>
      <c r="AC1302" s="29"/>
      <c r="AD1302" s="29"/>
      <c r="AE1302" s="29"/>
      <c r="AF1302" s="29"/>
      <c r="AG1302" s="29"/>
    </row>
    <row r="1303" spans="2:33" ht="15" customHeight="1">
      <c r="B1303" s="29"/>
      <c r="C1303" s="29"/>
      <c r="D1303" s="29"/>
      <c r="E1303" s="29"/>
      <c r="F1303" s="29"/>
      <c r="G1303" s="29"/>
      <c r="H1303" s="29"/>
      <c r="I1303" s="29"/>
      <c r="J1303" s="29"/>
      <c r="K1303" s="29"/>
      <c r="L1303" s="29"/>
      <c r="M1303" s="29"/>
      <c r="N1303" s="29"/>
      <c r="O1303" s="29"/>
      <c r="P1303" s="29"/>
      <c r="Q1303" s="29"/>
      <c r="R1303" s="29"/>
      <c r="S1303" s="29"/>
      <c r="T1303" s="29"/>
      <c r="U1303" s="29"/>
      <c r="V1303" s="29"/>
      <c r="W1303" s="29"/>
      <c r="X1303" s="29"/>
      <c r="Y1303" s="29"/>
      <c r="Z1303" s="29"/>
      <c r="AA1303" s="29"/>
      <c r="AB1303" s="29"/>
      <c r="AC1303" s="29"/>
      <c r="AD1303" s="29"/>
      <c r="AE1303" s="29"/>
      <c r="AF1303" s="29"/>
      <c r="AG1303" s="29"/>
    </row>
    <row r="1304" spans="2:33" ht="15" customHeight="1">
      <c r="B1304" s="29"/>
      <c r="C1304" s="29"/>
      <c r="D1304" s="29"/>
      <c r="E1304" s="29"/>
      <c r="F1304" s="29"/>
      <c r="G1304" s="29"/>
      <c r="H1304" s="29"/>
      <c r="I1304" s="29"/>
      <c r="J1304" s="29"/>
      <c r="K1304" s="29"/>
      <c r="L1304" s="29"/>
      <c r="M1304" s="29"/>
      <c r="N1304" s="29"/>
      <c r="O1304" s="29"/>
      <c r="P1304" s="29"/>
      <c r="Q1304" s="29"/>
      <c r="R1304" s="29"/>
      <c r="S1304" s="29"/>
      <c r="T1304" s="29"/>
      <c r="U1304" s="29"/>
      <c r="V1304" s="29"/>
      <c r="W1304" s="29"/>
      <c r="X1304" s="29"/>
      <c r="Y1304" s="29"/>
      <c r="Z1304" s="29"/>
      <c r="AA1304" s="29"/>
      <c r="AB1304" s="29"/>
      <c r="AC1304" s="29"/>
      <c r="AD1304" s="29"/>
      <c r="AE1304" s="29"/>
      <c r="AF1304" s="29"/>
      <c r="AG1304" s="29"/>
    </row>
    <row r="1305" spans="2:33" ht="15" customHeight="1">
      <c r="B1305" s="29"/>
      <c r="C1305" s="29"/>
      <c r="D1305" s="29"/>
      <c r="E1305" s="29"/>
      <c r="F1305" s="29"/>
      <c r="G1305" s="29"/>
      <c r="H1305" s="29"/>
      <c r="I1305" s="29"/>
      <c r="J1305" s="29"/>
      <c r="K1305" s="29"/>
      <c r="L1305" s="29"/>
      <c r="M1305" s="29"/>
      <c r="N1305" s="29"/>
      <c r="O1305" s="29"/>
      <c r="P1305" s="29"/>
      <c r="Q1305" s="29"/>
      <c r="R1305" s="29"/>
      <c r="S1305" s="29"/>
      <c r="T1305" s="29"/>
      <c r="U1305" s="29"/>
      <c r="V1305" s="29"/>
      <c r="W1305" s="29"/>
      <c r="X1305" s="29"/>
      <c r="Y1305" s="29"/>
      <c r="Z1305" s="29"/>
      <c r="AA1305" s="29"/>
      <c r="AB1305" s="29"/>
      <c r="AC1305" s="29"/>
      <c r="AD1305" s="29"/>
      <c r="AE1305" s="29"/>
      <c r="AF1305" s="29"/>
      <c r="AG1305" s="29"/>
    </row>
    <row r="1306" spans="2:33" ht="15" customHeight="1">
      <c r="B1306" s="29"/>
      <c r="C1306" s="29"/>
      <c r="D1306" s="29"/>
      <c r="E1306" s="29"/>
      <c r="F1306" s="29"/>
      <c r="G1306" s="29"/>
      <c r="H1306" s="29"/>
      <c r="I1306" s="29"/>
      <c r="J1306" s="29"/>
      <c r="K1306" s="29"/>
      <c r="L1306" s="29"/>
      <c r="M1306" s="29"/>
      <c r="N1306" s="29"/>
      <c r="O1306" s="29"/>
      <c r="P1306" s="29"/>
      <c r="Q1306" s="29"/>
      <c r="R1306" s="29"/>
      <c r="S1306" s="29"/>
      <c r="T1306" s="29"/>
      <c r="U1306" s="29"/>
      <c r="V1306" s="29"/>
      <c r="W1306" s="29"/>
      <c r="X1306" s="29"/>
      <c r="Y1306" s="29"/>
      <c r="Z1306" s="29"/>
      <c r="AA1306" s="29"/>
      <c r="AB1306" s="29"/>
      <c r="AC1306" s="29"/>
      <c r="AD1306" s="29"/>
      <c r="AE1306" s="29"/>
      <c r="AF1306" s="29"/>
      <c r="AG1306" s="29"/>
    </row>
    <row r="1307" spans="2:33" ht="15" customHeight="1">
      <c r="B1307" s="29"/>
      <c r="C1307" s="29"/>
      <c r="D1307" s="29"/>
      <c r="E1307" s="29"/>
      <c r="F1307" s="29"/>
      <c r="G1307" s="29"/>
      <c r="H1307" s="29"/>
      <c r="I1307" s="29"/>
      <c r="J1307" s="29"/>
      <c r="K1307" s="29"/>
      <c r="L1307" s="29"/>
      <c r="M1307" s="29"/>
      <c r="N1307" s="29"/>
      <c r="O1307" s="29"/>
      <c r="P1307" s="29"/>
      <c r="Q1307" s="29"/>
      <c r="R1307" s="29"/>
      <c r="S1307" s="29"/>
      <c r="T1307" s="29"/>
      <c r="U1307" s="29"/>
      <c r="V1307" s="29"/>
      <c r="W1307" s="29"/>
      <c r="X1307" s="29"/>
      <c r="Y1307" s="29"/>
      <c r="Z1307" s="29"/>
      <c r="AA1307" s="29"/>
      <c r="AB1307" s="29"/>
      <c r="AC1307" s="29"/>
      <c r="AD1307" s="29"/>
      <c r="AE1307" s="29"/>
      <c r="AF1307" s="29"/>
      <c r="AG1307" s="29"/>
    </row>
    <row r="1308" spans="2:33" ht="15" customHeight="1">
      <c r="B1308" s="29"/>
      <c r="C1308" s="29"/>
      <c r="D1308" s="29"/>
      <c r="E1308" s="29"/>
      <c r="F1308" s="29"/>
      <c r="G1308" s="29"/>
      <c r="H1308" s="29"/>
      <c r="I1308" s="29"/>
      <c r="J1308" s="29"/>
      <c r="K1308" s="29"/>
      <c r="L1308" s="29"/>
      <c r="M1308" s="29"/>
      <c r="N1308" s="29"/>
      <c r="O1308" s="29"/>
      <c r="P1308" s="29"/>
      <c r="Q1308" s="29"/>
      <c r="R1308" s="29"/>
      <c r="S1308" s="29"/>
      <c r="T1308" s="29"/>
      <c r="U1308" s="29"/>
      <c r="V1308" s="29"/>
      <c r="W1308" s="29"/>
      <c r="X1308" s="29"/>
      <c r="Y1308" s="29"/>
      <c r="Z1308" s="29"/>
      <c r="AA1308" s="29"/>
      <c r="AB1308" s="29"/>
      <c r="AC1308" s="29"/>
      <c r="AD1308" s="29"/>
      <c r="AE1308" s="29"/>
      <c r="AF1308" s="29"/>
      <c r="AG1308" s="29"/>
    </row>
    <row r="1309" spans="2:33" ht="15" customHeight="1">
      <c r="B1309" s="29"/>
      <c r="C1309" s="29"/>
      <c r="D1309" s="29"/>
      <c r="E1309" s="29"/>
      <c r="F1309" s="29"/>
      <c r="G1309" s="29"/>
      <c r="H1309" s="29"/>
      <c r="I1309" s="29"/>
      <c r="J1309" s="29"/>
      <c r="K1309" s="29"/>
      <c r="L1309" s="29"/>
      <c r="M1309" s="29"/>
      <c r="N1309" s="29"/>
      <c r="O1309" s="29"/>
      <c r="P1309" s="29"/>
      <c r="Q1309" s="29"/>
      <c r="R1309" s="29"/>
      <c r="S1309" s="29"/>
      <c r="T1309" s="29"/>
      <c r="U1309" s="29"/>
      <c r="V1309" s="29"/>
      <c r="W1309" s="29"/>
      <c r="X1309" s="29"/>
      <c r="Y1309" s="29"/>
      <c r="Z1309" s="29"/>
      <c r="AA1309" s="29"/>
      <c r="AB1309" s="29"/>
      <c r="AC1309" s="29"/>
      <c r="AD1309" s="29"/>
      <c r="AE1309" s="29"/>
      <c r="AF1309" s="29"/>
      <c r="AG1309" s="29"/>
    </row>
    <row r="1310" spans="2:33" ht="15" customHeight="1">
      <c r="B1310" s="29"/>
      <c r="C1310" s="29"/>
      <c r="D1310" s="29"/>
      <c r="E1310" s="29"/>
      <c r="F1310" s="29"/>
      <c r="G1310" s="29"/>
      <c r="H1310" s="29"/>
      <c r="I1310" s="29"/>
      <c r="J1310" s="29"/>
      <c r="K1310" s="29"/>
      <c r="L1310" s="29"/>
      <c r="M1310" s="29"/>
      <c r="N1310" s="29"/>
      <c r="O1310" s="29"/>
      <c r="P1310" s="29"/>
      <c r="Q1310" s="29"/>
      <c r="R1310" s="29"/>
      <c r="S1310" s="29"/>
      <c r="T1310" s="29"/>
      <c r="U1310" s="29"/>
      <c r="V1310" s="29"/>
      <c r="W1310" s="29"/>
      <c r="X1310" s="29"/>
      <c r="Y1310" s="29"/>
      <c r="Z1310" s="29"/>
      <c r="AA1310" s="29"/>
      <c r="AB1310" s="29"/>
      <c r="AC1310" s="29"/>
      <c r="AD1310" s="29"/>
      <c r="AE1310" s="29"/>
      <c r="AF1310" s="29"/>
      <c r="AG1310" s="29"/>
    </row>
    <row r="1311" spans="2:33" ht="15" customHeight="1">
      <c r="B1311" s="29"/>
      <c r="C1311" s="29"/>
      <c r="D1311" s="29"/>
      <c r="E1311" s="29"/>
      <c r="F1311" s="29"/>
      <c r="G1311" s="29"/>
      <c r="H1311" s="29"/>
      <c r="I1311" s="29"/>
      <c r="J1311" s="29"/>
      <c r="K1311" s="29"/>
      <c r="L1311" s="29"/>
      <c r="M1311" s="29"/>
      <c r="N1311" s="29"/>
      <c r="O1311" s="29"/>
      <c r="P1311" s="29"/>
      <c r="Q1311" s="29"/>
      <c r="R1311" s="29"/>
      <c r="S1311" s="29"/>
      <c r="T1311" s="29"/>
      <c r="U1311" s="29"/>
      <c r="V1311" s="29"/>
      <c r="W1311" s="29"/>
      <c r="X1311" s="29"/>
      <c r="Y1311" s="29"/>
      <c r="Z1311" s="29"/>
      <c r="AA1311" s="29"/>
      <c r="AB1311" s="29"/>
      <c r="AC1311" s="29"/>
      <c r="AD1311" s="29"/>
      <c r="AE1311" s="29"/>
      <c r="AF1311" s="29"/>
      <c r="AG1311" s="29"/>
    </row>
    <row r="1312" spans="2:33" ht="15" customHeight="1">
      <c r="B1312" s="29"/>
      <c r="C1312" s="29"/>
      <c r="D1312" s="29"/>
      <c r="E1312" s="29"/>
      <c r="F1312" s="29"/>
      <c r="G1312" s="29"/>
      <c r="H1312" s="29"/>
      <c r="I1312" s="29"/>
      <c r="J1312" s="29"/>
      <c r="K1312" s="29"/>
      <c r="L1312" s="29"/>
      <c r="M1312" s="29"/>
      <c r="N1312" s="29"/>
      <c r="O1312" s="29"/>
      <c r="P1312" s="29"/>
      <c r="Q1312" s="29"/>
      <c r="R1312" s="29"/>
      <c r="S1312" s="29"/>
      <c r="T1312" s="29"/>
      <c r="U1312" s="29"/>
      <c r="V1312" s="29"/>
      <c r="W1312" s="29"/>
      <c r="X1312" s="29"/>
      <c r="Y1312" s="29"/>
      <c r="Z1312" s="29"/>
      <c r="AA1312" s="29"/>
      <c r="AB1312" s="29"/>
      <c r="AC1312" s="29"/>
      <c r="AD1312" s="29"/>
      <c r="AE1312" s="29"/>
      <c r="AF1312" s="29"/>
      <c r="AG1312" s="29"/>
    </row>
    <row r="1313" spans="2:33" ht="15" customHeight="1">
      <c r="B1313" s="2185"/>
      <c r="C1313" s="2185"/>
      <c r="D1313" s="2185"/>
      <c r="E1313" s="2185"/>
      <c r="F1313" s="2185"/>
      <c r="G1313" s="2185"/>
      <c r="H1313" s="2185"/>
      <c r="I1313" s="2185"/>
      <c r="J1313" s="2185"/>
      <c r="K1313" s="2185"/>
      <c r="L1313" s="2185"/>
      <c r="M1313" s="2185"/>
      <c r="N1313" s="2185"/>
      <c r="O1313" s="2185"/>
      <c r="P1313" s="2185"/>
      <c r="Q1313" s="2185"/>
      <c r="R1313" s="2185"/>
      <c r="S1313" s="2185"/>
      <c r="T1313" s="2185"/>
      <c r="U1313" s="2185"/>
      <c r="V1313" s="2185"/>
      <c r="W1313" s="2185"/>
      <c r="X1313" s="2185"/>
      <c r="Y1313" s="2185"/>
      <c r="Z1313" s="2185"/>
      <c r="AA1313" s="2185"/>
      <c r="AB1313" s="2185"/>
      <c r="AC1313" s="2185"/>
      <c r="AD1313" s="2185"/>
      <c r="AE1313" s="2185"/>
      <c r="AF1313" s="2185"/>
      <c r="AG1313" s="29"/>
    </row>
    <row r="1314" spans="2:33" ht="15" customHeight="1">
      <c r="B1314" s="29"/>
      <c r="C1314" s="29"/>
      <c r="D1314" s="29"/>
      <c r="E1314" s="29"/>
      <c r="F1314" s="29"/>
      <c r="G1314" s="29"/>
      <c r="H1314" s="29"/>
      <c r="I1314" s="29"/>
      <c r="J1314" s="29"/>
      <c r="K1314" s="29"/>
      <c r="L1314" s="29"/>
      <c r="M1314" s="29"/>
      <c r="N1314" s="29"/>
      <c r="O1314" s="29"/>
      <c r="P1314" s="29"/>
      <c r="Q1314" s="29"/>
      <c r="R1314" s="29"/>
      <c r="S1314" s="29"/>
      <c r="T1314" s="29"/>
      <c r="U1314" s="29"/>
      <c r="V1314" s="29"/>
      <c r="W1314" s="29"/>
      <c r="X1314" s="29"/>
      <c r="Y1314" s="29"/>
      <c r="Z1314" s="29"/>
      <c r="AA1314" s="29"/>
      <c r="AB1314" s="29"/>
      <c r="AC1314" s="29"/>
      <c r="AD1314" s="29"/>
      <c r="AE1314" s="29"/>
      <c r="AF1314" s="29"/>
      <c r="AG1314" s="29"/>
    </row>
    <row r="1315" spans="2:33" ht="15" customHeight="1">
      <c r="B1315" s="29"/>
      <c r="C1315" s="29"/>
      <c r="D1315" s="29"/>
      <c r="E1315" s="29"/>
      <c r="F1315" s="29"/>
      <c r="G1315" s="29"/>
      <c r="H1315" s="29"/>
      <c r="I1315" s="29"/>
      <c r="J1315" s="29"/>
      <c r="K1315" s="29"/>
      <c r="L1315" s="29"/>
      <c r="M1315" s="29"/>
      <c r="N1315" s="29"/>
      <c r="O1315" s="29"/>
      <c r="P1315" s="29"/>
      <c r="Q1315" s="29"/>
      <c r="R1315" s="29"/>
      <c r="S1315" s="29"/>
      <c r="T1315" s="29"/>
      <c r="U1315" s="29"/>
      <c r="V1315" s="29"/>
      <c r="W1315" s="29"/>
      <c r="X1315" s="29"/>
      <c r="Y1315" s="29"/>
      <c r="Z1315" s="29"/>
      <c r="AA1315" s="29"/>
      <c r="AB1315" s="29"/>
      <c r="AC1315" s="29"/>
      <c r="AD1315" s="29"/>
      <c r="AE1315" s="29"/>
      <c r="AF1315" s="29"/>
      <c r="AG1315" s="29"/>
    </row>
    <row r="1316" spans="2:33" ht="15" customHeight="1">
      <c r="B1316" s="29"/>
      <c r="C1316" s="29"/>
      <c r="D1316" s="29"/>
      <c r="E1316" s="29"/>
      <c r="F1316" s="29"/>
      <c r="G1316" s="29"/>
      <c r="H1316" s="29"/>
      <c r="I1316" s="29"/>
      <c r="J1316" s="29"/>
      <c r="K1316" s="29"/>
      <c r="L1316" s="29"/>
      <c r="M1316" s="29"/>
      <c r="N1316" s="29"/>
      <c r="O1316" s="29"/>
      <c r="P1316" s="29"/>
      <c r="Q1316" s="29"/>
      <c r="R1316" s="29"/>
      <c r="S1316" s="29"/>
      <c r="T1316" s="29"/>
      <c r="U1316" s="29"/>
      <c r="V1316" s="29"/>
      <c r="W1316" s="29"/>
      <c r="X1316" s="29"/>
      <c r="Y1316" s="29"/>
      <c r="Z1316" s="29"/>
      <c r="AA1316" s="29"/>
      <c r="AB1316" s="29"/>
      <c r="AC1316" s="29"/>
      <c r="AD1316" s="29"/>
      <c r="AE1316" s="29"/>
      <c r="AF1316" s="29"/>
      <c r="AG1316" s="29"/>
    </row>
    <row r="1317" spans="2:33" ht="15" customHeight="1">
      <c r="B1317" s="29"/>
      <c r="C1317" s="29"/>
      <c r="D1317" s="29"/>
      <c r="E1317" s="29"/>
      <c r="F1317" s="29"/>
      <c r="G1317" s="29"/>
      <c r="H1317" s="29"/>
      <c r="I1317" s="29"/>
      <c r="J1317" s="29"/>
      <c r="K1317" s="29"/>
      <c r="L1317" s="29"/>
      <c r="M1317" s="29"/>
      <c r="N1317" s="29"/>
      <c r="O1317" s="29"/>
      <c r="P1317" s="29"/>
      <c r="Q1317" s="29"/>
      <c r="R1317" s="29"/>
      <c r="S1317" s="29"/>
      <c r="T1317" s="29"/>
      <c r="U1317" s="29"/>
      <c r="V1317" s="29"/>
      <c r="W1317" s="29"/>
      <c r="X1317" s="29"/>
      <c r="Y1317" s="29"/>
      <c r="Z1317" s="29"/>
      <c r="AA1317" s="29"/>
      <c r="AB1317" s="29"/>
      <c r="AC1317" s="29"/>
      <c r="AD1317" s="29"/>
      <c r="AE1317" s="29"/>
      <c r="AF1317" s="29"/>
      <c r="AG1317" s="29"/>
    </row>
    <row r="1318" spans="2:33" ht="15" customHeight="1">
      <c r="B1318" s="29"/>
      <c r="C1318" s="29"/>
      <c r="D1318" s="29"/>
      <c r="E1318" s="29"/>
      <c r="F1318" s="29"/>
      <c r="G1318" s="29"/>
      <c r="H1318" s="29"/>
      <c r="I1318" s="29"/>
      <c r="J1318" s="29"/>
      <c r="K1318" s="29"/>
      <c r="L1318" s="29"/>
      <c r="M1318" s="29"/>
      <c r="N1318" s="29"/>
      <c r="O1318" s="29"/>
      <c r="P1318" s="29"/>
      <c r="Q1318" s="29"/>
      <c r="R1318" s="29"/>
      <c r="S1318" s="29"/>
      <c r="T1318" s="29"/>
      <c r="U1318" s="29"/>
      <c r="V1318" s="29"/>
      <c r="W1318" s="29"/>
      <c r="X1318" s="29"/>
      <c r="Y1318" s="29"/>
      <c r="Z1318" s="29"/>
      <c r="AA1318" s="29"/>
      <c r="AB1318" s="29"/>
      <c r="AC1318" s="29"/>
      <c r="AD1318" s="29"/>
      <c r="AE1318" s="29"/>
      <c r="AF1318" s="29"/>
      <c r="AG1318" s="29"/>
    </row>
    <row r="1319" spans="2:33" ht="15" customHeight="1">
      <c r="B1319" s="29"/>
      <c r="C1319" s="29"/>
      <c r="D1319" s="29"/>
      <c r="E1319" s="29"/>
      <c r="F1319" s="29"/>
      <c r="G1319" s="29"/>
      <c r="H1319" s="29"/>
      <c r="I1319" s="29"/>
      <c r="J1319" s="29"/>
      <c r="K1319" s="29"/>
      <c r="L1319" s="29"/>
      <c r="M1319" s="29"/>
      <c r="N1319" s="29"/>
      <c r="O1319" s="29"/>
      <c r="P1319" s="29"/>
      <c r="Q1319" s="29"/>
      <c r="R1319" s="29"/>
      <c r="S1319" s="29"/>
      <c r="T1319" s="29"/>
      <c r="U1319" s="29"/>
      <c r="V1319" s="29"/>
      <c r="W1319" s="29"/>
      <c r="X1319" s="29"/>
      <c r="Y1319" s="29"/>
      <c r="Z1319" s="29"/>
      <c r="AA1319" s="29"/>
      <c r="AB1319" s="29"/>
      <c r="AC1319" s="29"/>
      <c r="AD1319" s="29"/>
      <c r="AE1319" s="29"/>
      <c r="AF1319" s="29"/>
      <c r="AG1319" s="29"/>
    </row>
    <row r="1320" spans="2:33" ht="15" customHeight="1">
      <c r="B1320" s="29"/>
      <c r="C1320" s="29"/>
      <c r="D1320" s="29"/>
      <c r="E1320" s="29"/>
      <c r="F1320" s="29"/>
      <c r="G1320" s="29"/>
      <c r="H1320" s="29"/>
      <c r="I1320" s="29"/>
      <c r="J1320" s="29"/>
      <c r="K1320" s="29"/>
      <c r="L1320" s="29"/>
      <c r="M1320" s="29"/>
      <c r="N1320" s="29"/>
      <c r="O1320" s="29"/>
      <c r="P1320" s="29"/>
      <c r="Q1320" s="29"/>
      <c r="R1320" s="29"/>
      <c r="S1320" s="29"/>
      <c r="T1320" s="29"/>
      <c r="U1320" s="29"/>
      <c r="V1320" s="29"/>
      <c r="W1320" s="29"/>
      <c r="X1320" s="29"/>
      <c r="Y1320" s="29"/>
      <c r="Z1320" s="29"/>
      <c r="AA1320" s="29"/>
      <c r="AB1320" s="29"/>
      <c r="AC1320" s="29"/>
      <c r="AD1320" s="29"/>
      <c r="AE1320" s="29"/>
      <c r="AF1320" s="29"/>
      <c r="AG1320" s="29"/>
    </row>
    <row r="1321" spans="2:33" ht="15" customHeight="1">
      <c r="B1321" s="29"/>
      <c r="C1321" s="29"/>
      <c r="D1321" s="29"/>
      <c r="E1321" s="29"/>
      <c r="F1321" s="29"/>
      <c r="G1321" s="29"/>
      <c r="H1321" s="29"/>
      <c r="I1321" s="29"/>
      <c r="J1321" s="29"/>
      <c r="K1321" s="29"/>
      <c r="L1321" s="29"/>
      <c r="M1321" s="29"/>
      <c r="N1321" s="29"/>
      <c r="O1321" s="29"/>
      <c r="P1321" s="29"/>
      <c r="Q1321" s="29"/>
      <c r="R1321" s="29"/>
      <c r="S1321" s="29"/>
      <c r="T1321" s="29"/>
      <c r="U1321" s="29"/>
      <c r="V1321" s="29"/>
      <c r="W1321" s="29"/>
      <c r="X1321" s="29"/>
      <c r="Y1321" s="29"/>
      <c r="Z1321" s="29"/>
      <c r="AA1321" s="29"/>
      <c r="AB1321" s="29"/>
      <c r="AC1321" s="29"/>
      <c r="AD1321" s="29"/>
      <c r="AE1321" s="29"/>
      <c r="AF1321" s="29"/>
      <c r="AG1321" s="29"/>
    </row>
    <row r="1322" spans="2:33" ht="15" customHeight="1">
      <c r="B1322" s="29"/>
      <c r="C1322" s="29"/>
      <c r="D1322" s="29"/>
      <c r="E1322" s="29"/>
      <c r="F1322" s="29"/>
      <c r="G1322" s="29"/>
      <c r="H1322" s="29"/>
      <c r="I1322" s="29"/>
      <c r="J1322" s="29"/>
      <c r="K1322" s="29"/>
      <c r="L1322" s="29"/>
      <c r="M1322" s="29"/>
      <c r="N1322" s="29"/>
      <c r="O1322" s="29"/>
      <c r="P1322" s="29"/>
      <c r="Q1322" s="29"/>
      <c r="R1322" s="29"/>
      <c r="S1322" s="29"/>
      <c r="T1322" s="29"/>
      <c r="U1322" s="29"/>
      <c r="V1322" s="29"/>
      <c r="W1322" s="29"/>
      <c r="X1322" s="29"/>
      <c r="Y1322" s="29"/>
      <c r="Z1322" s="29"/>
      <c r="AA1322" s="29"/>
      <c r="AB1322" s="29"/>
      <c r="AC1322" s="29"/>
      <c r="AD1322" s="29"/>
      <c r="AE1322" s="29"/>
      <c r="AF1322" s="29"/>
      <c r="AG1322" s="29"/>
    </row>
    <row r="1323" spans="2:33" ht="15" customHeight="1">
      <c r="B1323" s="29"/>
      <c r="C1323" s="29"/>
      <c r="D1323" s="29"/>
      <c r="E1323" s="29"/>
      <c r="F1323" s="29"/>
      <c r="G1323" s="29"/>
      <c r="H1323" s="29"/>
      <c r="I1323" s="29"/>
      <c r="J1323" s="29"/>
      <c r="K1323" s="29"/>
      <c r="L1323" s="29"/>
      <c r="M1323" s="29"/>
      <c r="N1323" s="29"/>
      <c r="O1323" s="29"/>
      <c r="P1323" s="29"/>
      <c r="Q1323" s="29"/>
      <c r="R1323" s="29"/>
      <c r="S1323" s="29"/>
      <c r="T1323" s="29"/>
      <c r="U1323" s="29"/>
      <c r="V1323" s="29"/>
      <c r="W1323" s="29"/>
      <c r="X1323" s="29"/>
      <c r="Y1323" s="29"/>
      <c r="Z1323" s="29"/>
      <c r="AA1323" s="29"/>
      <c r="AB1323" s="29"/>
      <c r="AC1323" s="29"/>
      <c r="AD1323" s="29"/>
      <c r="AE1323" s="29"/>
      <c r="AF1323" s="29"/>
      <c r="AG1323" s="29"/>
    </row>
    <row r="1324" spans="2:33" ht="15" customHeight="1">
      <c r="B1324" s="29"/>
      <c r="C1324" s="29"/>
      <c r="D1324" s="29"/>
      <c r="E1324" s="29"/>
      <c r="F1324" s="29"/>
      <c r="G1324" s="29"/>
      <c r="H1324" s="29"/>
      <c r="I1324" s="29"/>
      <c r="J1324" s="29"/>
      <c r="K1324" s="29"/>
      <c r="L1324" s="29"/>
      <c r="M1324" s="29"/>
      <c r="N1324" s="29"/>
      <c r="O1324" s="29"/>
      <c r="P1324" s="29"/>
      <c r="Q1324" s="29"/>
      <c r="R1324" s="29"/>
      <c r="S1324" s="29"/>
      <c r="T1324" s="29"/>
      <c r="U1324" s="29"/>
      <c r="V1324" s="29"/>
      <c r="W1324" s="29"/>
      <c r="X1324" s="29"/>
      <c r="Y1324" s="29"/>
      <c r="Z1324" s="29"/>
      <c r="AA1324" s="29"/>
      <c r="AB1324" s="29"/>
      <c r="AC1324" s="29"/>
      <c r="AD1324" s="29"/>
      <c r="AE1324" s="29"/>
      <c r="AF1324" s="29"/>
      <c r="AG1324" s="29"/>
    </row>
    <row r="1325" spans="2:33" ht="12" customHeight="1">
      <c r="B1325" s="29"/>
      <c r="C1325" s="29"/>
      <c r="D1325" s="29"/>
      <c r="E1325" s="29"/>
      <c r="F1325" s="29"/>
      <c r="G1325" s="29"/>
      <c r="H1325" s="29"/>
      <c r="I1325" s="29"/>
      <c r="J1325" s="29"/>
      <c r="K1325" s="29"/>
      <c r="L1325" s="29"/>
      <c r="M1325" s="29"/>
      <c r="N1325" s="29"/>
      <c r="O1325" s="29"/>
      <c r="P1325" s="29"/>
      <c r="Q1325" s="29"/>
      <c r="R1325" s="29"/>
      <c r="S1325" s="29"/>
      <c r="T1325" s="29"/>
      <c r="U1325" s="29"/>
      <c r="V1325" s="29"/>
      <c r="W1325" s="29"/>
      <c r="X1325" s="29"/>
      <c r="Y1325" s="29"/>
      <c r="Z1325" s="29"/>
      <c r="AA1325" s="29"/>
      <c r="AB1325" s="29"/>
      <c r="AC1325" s="29"/>
      <c r="AD1325" s="29"/>
      <c r="AE1325" s="29"/>
      <c r="AF1325" s="29"/>
      <c r="AG1325" s="29"/>
    </row>
    <row r="1326" spans="2:33" ht="12" customHeight="1">
      <c r="B1326" s="29"/>
      <c r="C1326" s="29"/>
      <c r="D1326" s="29"/>
      <c r="E1326" s="29"/>
      <c r="F1326" s="29"/>
      <c r="G1326" s="29"/>
      <c r="H1326" s="29"/>
      <c r="I1326" s="29"/>
      <c r="J1326" s="29"/>
      <c r="K1326" s="29"/>
      <c r="L1326" s="29"/>
      <c r="M1326" s="29"/>
      <c r="N1326" s="29"/>
      <c r="O1326" s="29"/>
      <c r="P1326" s="29"/>
      <c r="Q1326" s="29"/>
      <c r="R1326" s="29"/>
      <c r="S1326" s="29"/>
      <c r="T1326" s="29"/>
      <c r="U1326" s="29"/>
      <c r="V1326" s="29"/>
      <c r="W1326" s="29"/>
      <c r="X1326" s="29"/>
      <c r="Y1326" s="29"/>
      <c r="Z1326" s="29"/>
      <c r="AA1326" s="29"/>
      <c r="AB1326" s="29"/>
      <c r="AC1326" s="29"/>
      <c r="AD1326" s="29"/>
      <c r="AE1326" s="29"/>
      <c r="AF1326" s="29"/>
      <c r="AG1326" s="29"/>
    </row>
    <row r="1327" spans="2:33" ht="12" customHeight="1">
      <c r="B1327" s="29"/>
      <c r="C1327" s="29"/>
      <c r="D1327" s="29"/>
      <c r="E1327" s="29"/>
      <c r="F1327" s="29"/>
      <c r="G1327" s="29"/>
      <c r="H1327" s="29"/>
      <c r="I1327" s="29"/>
      <c r="J1327" s="29"/>
      <c r="K1327" s="29"/>
      <c r="L1327" s="29"/>
      <c r="M1327" s="29"/>
      <c r="N1327" s="29"/>
      <c r="O1327" s="29"/>
      <c r="P1327" s="29"/>
      <c r="Q1327" s="29"/>
      <c r="R1327" s="29"/>
      <c r="S1327" s="29"/>
      <c r="T1327" s="29"/>
      <c r="U1327" s="29"/>
      <c r="V1327" s="29"/>
      <c r="W1327" s="29"/>
      <c r="X1327" s="29"/>
      <c r="Y1327" s="29"/>
      <c r="Z1327" s="29"/>
      <c r="AA1327" s="29"/>
      <c r="AB1327" s="29"/>
      <c r="AC1327" s="29"/>
      <c r="AD1327" s="29"/>
      <c r="AE1327" s="29"/>
      <c r="AF1327" s="29"/>
      <c r="AG1327" s="29"/>
    </row>
    <row r="1328" spans="2:33" ht="12" customHeight="1">
      <c r="B1328" s="29"/>
      <c r="C1328" s="29"/>
      <c r="D1328" s="29"/>
      <c r="E1328" s="29"/>
      <c r="F1328" s="29"/>
      <c r="G1328" s="29"/>
      <c r="H1328" s="29"/>
      <c r="I1328" s="29"/>
      <c r="J1328" s="29"/>
      <c r="K1328" s="29"/>
      <c r="L1328" s="29"/>
      <c r="M1328" s="29"/>
      <c r="N1328" s="29"/>
      <c r="O1328" s="29"/>
      <c r="P1328" s="29"/>
      <c r="Q1328" s="29"/>
      <c r="R1328" s="29"/>
      <c r="S1328" s="29"/>
      <c r="T1328" s="29"/>
      <c r="U1328" s="29"/>
      <c r="V1328" s="29"/>
      <c r="W1328" s="29"/>
      <c r="X1328" s="29"/>
      <c r="Y1328" s="29"/>
      <c r="Z1328" s="29"/>
      <c r="AA1328" s="29"/>
      <c r="AB1328" s="29"/>
      <c r="AC1328" s="29"/>
      <c r="AD1328" s="29"/>
      <c r="AE1328" s="29"/>
      <c r="AF1328" s="29"/>
      <c r="AG1328" s="29"/>
    </row>
    <row r="1329" spans="1:33" ht="12" customHeight="1">
      <c r="B1329" s="29"/>
      <c r="C1329" s="29"/>
      <c r="D1329" s="29"/>
      <c r="E1329" s="29"/>
      <c r="F1329" s="29"/>
      <c r="G1329" s="29"/>
      <c r="H1329" s="29"/>
      <c r="I1329" s="29"/>
      <c r="J1329" s="29"/>
      <c r="K1329" s="29"/>
      <c r="L1329" s="29"/>
      <c r="M1329" s="29"/>
      <c r="N1329" s="29"/>
      <c r="O1329" s="29"/>
      <c r="P1329" s="29"/>
      <c r="Q1329" s="29"/>
      <c r="R1329" s="29"/>
      <c r="S1329" s="29"/>
      <c r="T1329" s="29"/>
      <c r="U1329" s="29"/>
      <c r="V1329" s="29"/>
      <c r="W1329" s="29"/>
      <c r="X1329" s="29"/>
      <c r="Y1329" s="29"/>
      <c r="Z1329" s="29"/>
      <c r="AA1329" s="29"/>
      <c r="AB1329" s="29"/>
      <c r="AC1329" s="29"/>
      <c r="AD1329" s="29"/>
      <c r="AE1329" s="29"/>
      <c r="AF1329" s="29"/>
      <c r="AG1329" s="29"/>
    </row>
    <row r="1330" spans="1:33" ht="12" customHeight="1">
      <c r="B1330" s="29"/>
      <c r="C1330" s="29"/>
      <c r="D1330" s="29"/>
      <c r="E1330" s="29"/>
      <c r="F1330" s="29"/>
      <c r="G1330" s="29"/>
      <c r="H1330" s="29"/>
      <c r="I1330" s="29"/>
      <c r="J1330" s="29"/>
      <c r="K1330" s="29"/>
      <c r="L1330" s="29"/>
      <c r="M1330" s="29"/>
      <c r="N1330" s="29"/>
      <c r="O1330" s="29"/>
      <c r="P1330" s="29"/>
      <c r="Q1330" s="29"/>
      <c r="R1330" s="29"/>
      <c r="S1330" s="29"/>
      <c r="T1330" s="29"/>
      <c r="U1330" s="29"/>
      <c r="V1330" s="29"/>
      <c r="W1330" s="29"/>
      <c r="X1330" s="29"/>
      <c r="Y1330" s="29"/>
      <c r="Z1330" s="29"/>
      <c r="AA1330" s="29"/>
      <c r="AB1330" s="29"/>
      <c r="AC1330" s="29"/>
      <c r="AD1330" s="29"/>
      <c r="AE1330" s="29"/>
      <c r="AF1330" s="29"/>
      <c r="AG1330" s="29"/>
    </row>
    <row r="1331" spans="1:33" ht="12" customHeight="1">
      <c r="B1331" s="29"/>
      <c r="C1331" s="29"/>
      <c r="D1331" s="29"/>
      <c r="E1331" s="29"/>
      <c r="F1331" s="29"/>
      <c r="G1331" s="29"/>
      <c r="H1331" s="29"/>
      <c r="I1331" s="29"/>
      <c r="J1331" s="29"/>
      <c r="K1331" s="29"/>
      <c r="L1331" s="29"/>
      <c r="M1331" s="29"/>
      <c r="N1331" s="29"/>
      <c r="O1331" s="29"/>
      <c r="P1331" s="29"/>
      <c r="Q1331" s="29"/>
      <c r="R1331" s="29"/>
      <c r="S1331" s="29"/>
      <c r="T1331" s="29"/>
      <c r="U1331" s="29"/>
      <c r="V1331" s="29"/>
      <c r="W1331" s="29"/>
      <c r="X1331" s="29"/>
      <c r="Y1331" s="29"/>
      <c r="Z1331" s="29"/>
      <c r="AA1331" s="29"/>
      <c r="AB1331" s="29"/>
      <c r="AC1331" s="29"/>
      <c r="AD1331" s="29"/>
      <c r="AE1331" s="29"/>
      <c r="AF1331" s="29"/>
      <c r="AG1331" s="29"/>
    </row>
    <row r="1332" spans="1:33" ht="12" customHeight="1">
      <c r="B1332" s="29"/>
      <c r="C1332" s="29"/>
      <c r="D1332" s="29"/>
      <c r="E1332" s="29"/>
      <c r="F1332" s="29"/>
      <c r="G1332" s="29"/>
      <c r="H1332" s="29"/>
      <c r="I1332" s="29"/>
      <c r="J1332" s="29"/>
      <c r="K1332" s="29"/>
      <c r="L1332" s="29"/>
      <c r="M1332" s="29"/>
      <c r="N1332" s="29"/>
      <c r="O1332" s="29"/>
      <c r="P1332" s="29"/>
      <c r="Q1332" s="29"/>
      <c r="R1332" s="29"/>
      <c r="S1332" s="29"/>
      <c r="T1332" s="29"/>
      <c r="U1332" s="29"/>
      <c r="V1332" s="29"/>
      <c r="W1332" s="29"/>
      <c r="X1332" s="29"/>
      <c r="Y1332" s="29"/>
      <c r="Z1332" s="29"/>
      <c r="AA1332" s="29"/>
      <c r="AB1332" s="29"/>
      <c r="AC1332" s="29"/>
      <c r="AD1332" s="29"/>
      <c r="AE1332" s="29"/>
      <c r="AF1332" s="29"/>
      <c r="AG1332" s="29"/>
    </row>
    <row r="1333" spans="1:33" ht="12" customHeight="1">
      <c r="B1333" s="29"/>
      <c r="C1333" s="29"/>
      <c r="D1333" s="29"/>
      <c r="E1333" s="29"/>
      <c r="F1333" s="29"/>
      <c r="G1333" s="29"/>
      <c r="H1333" s="29"/>
      <c r="I1333" s="29"/>
      <c r="J1333" s="29"/>
      <c r="K1333" s="29"/>
      <c r="L1333" s="29"/>
      <c r="M1333" s="29"/>
      <c r="N1333" s="29"/>
      <c r="O1333" s="29"/>
      <c r="P1333" s="29"/>
      <c r="Q1333" s="29"/>
      <c r="R1333" s="29"/>
      <c r="S1333" s="29"/>
      <c r="T1333" s="29"/>
      <c r="U1333" s="29"/>
      <c r="V1333" s="29"/>
      <c r="W1333" s="29"/>
      <c r="X1333" s="29"/>
      <c r="Y1333" s="29"/>
      <c r="Z1333" s="29"/>
      <c r="AA1333" s="29"/>
      <c r="AB1333" s="29"/>
      <c r="AC1333" s="29"/>
      <c r="AD1333" s="29"/>
      <c r="AE1333" s="29"/>
      <c r="AF1333" s="29"/>
      <c r="AG1333" s="29"/>
    </row>
    <row r="1334" spans="1:33" ht="12" customHeight="1">
      <c r="B1334" s="29"/>
      <c r="C1334" s="29"/>
      <c r="D1334" s="29"/>
      <c r="E1334" s="29"/>
      <c r="F1334" s="29"/>
      <c r="G1334" s="29"/>
      <c r="H1334" s="29"/>
      <c r="I1334" s="29"/>
      <c r="J1334" s="29"/>
      <c r="K1334" s="29"/>
      <c r="L1334" s="29"/>
      <c r="M1334" s="29"/>
      <c r="N1334" s="29"/>
      <c r="O1334" s="29"/>
      <c r="P1334" s="29"/>
      <c r="Q1334" s="29"/>
      <c r="R1334" s="29"/>
      <c r="S1334" s="29"/>
      <c r="T1334" s="29"/>
      <c r="U1334" s="29"/>
      <c r="V1334" s="29"/>
      <c r="W1334" s="29"/>
      <c r="X1334" s="29"/>
      <c r="Y1334" s="29"/>
      <c r="Z1334" s="29"/>
      <c r="AA1334" s="29"/>
      <c r="AB1334" s="29"/>
      <c r="AC1334" s="29"/>
      <c r="AD1334" s="29"/>
      <c r="AE1334" s="29"/>
      <c r="AF1334" s="29" t="s">
        <v>2056</v>
      </c>
      <c r="AG1334" s="29"/>
    </row>
    <row r="1335" spans="1:33" ht="12" customHeight="1">
      <c r="A1335" s="34" t="s">
        <v>3790</v>
      </c>
      <c r="B1335" s="46" t="s">
        <v>3791</v>
      </c>
      <c r="C1335" s="29"/>
      <c r="D1335" s="29"/>
      <c r="E1335" s="29"/>
      <c r="F1335" s="29"/>
      <c r="G1335" s="29"/>
      <c r="H1335" s="29"/>
      <c r="I1335" s="29"/>
      <c r="J1335" s="29"/>
      <c r="K1335" s="29"/>
      <c r="L1335" s="29"/>
      <c r="M1335" s="29"/>
      <c r="N1335" s="29"/>
      <c r="O1335" s="29"/>
      <c r="P1335" s="29"/>
      <c r="Q1335" s="29"/>
      <c r="R1335" s="29"/>
      <c r="S1335" s="29"/>
      <c r="T1335" s="29"/>
      <c r="U1335" s="29"/>
      <c r="V1335" s="29"/>
      <c r="W1335" s="29"/>
      <c r="X1335" s="29"/>
      <c r="Y1335" s="29"/>
      <c r="Z1335" s="29"/>
      <c r="AA1335" s="29"/>
      <c r="AB1335" s="29"/>
      <c r="AC1335" s="29"/>
      <c r="AD1335" s="29"/>
      <c r="AE1335" s="29"/>
      <c r="AF1335" s="43" t="s">
        <v>2058</v>
      </c>
      <c r="AG1335" s="29"/>
    </row>
    <row r="1336" spans="1:33" ht="12" customHeight="1">
      <c r="B1336" s="45" t="s">
        <v>3792</v>
      </c>
      <c r="C1336" s="29"/>
      <c r="D1336" s="29"/>
      <c r="E1336" s="29"/>
      <c r="F1336" s="29"/>
      <c r="G1336" s="29"/>
      <c r="H1336" s="29"/>
      <c r="I1336" s="29"/>
      <c r="J1336" s="29"/>
      <c r="K1336" s="29"/>
      <c r="L1336" s="29"/>
      <c r="M1336" s="29"/>
      <c r="N1336" s="29"/>
      <c r="O1336" s="29"/>
      <c r="P1336" s="29"/>
      <c r="Q1336" s="29"/>
      <c r="R1336" s="29"/>
      <c r="S1336" s="29"/>
      <c r="T1336" s="29"/>
      <c r="U1336" s="29"/>
      <c r="V1336" s="29"/>
      <c r="W1336" s="29"/>
      <c r="X1336" s="29"/>
      <c r="Y1336" s="29"/>
      <c r="Z1336" s="29"/>
      <c r="AA1336" s="29"/>
      <c r="AB1336" s="29"/>
      <c r="AC1336" s="29"/>
      <c r="AD1336" s="29"/>
      <c r="AE1336" s="29"/>
      <c r="AF1336" s="43" t="s">
        <v>2059</v>
      </c>
      <c r="AG1336" s="29"/>
    </row>
    <row r="1337" spans="1:33" ht="12" customHeight="1">
      <c r="B1337" s="45"/>
      <c r="C1337" s="44"/>
      <c r="D1337" s="44"/>
      <c r="E1337" s="44"/>
      <c r="F1337" s="44"/>
      <c r="G1337" s="44"/>
      <c r="H1337" s="44"/>
      <c r="I1337" s="44"/>
      <c r="J1337" s="44"/>
      <c r="K1337" s="44"/>
      <c r="L1337" s="44"/>
      <c r="M1337" s="44"/>
      <c r="N1337" s="44"/>
      <c r="O1337" s="44"/>
      <c r="P1337" s="44"/>
      <c r="Q1337" s="44"/>
      <c r="R1337" s="44"/>
      <c r="S1337" s="44"/>
      <c r="T1337" s="44"/>
      <c r="U1337" s="44"/>
      <c r="V1337" s="44"/>
      <c r="W1337" s="44"/>
      <c r="X1337" s="44"/>
      <c r="Y1337" s="44"/>
      <c r="Z1337" s="44"/>
      <c r="AA1337" s="44"/>
      <c r="AB1337" s="44"/>
      <c r="AC1337" s="44"/>
      <c r="AD1337" s="44"/>
      <c r="AE1337" s="44"/>
      <c r="AF1337" s="43" t="s">
        <v>2061</v>
      </c>
      <c r="AG1337" s="29"/>
    </row>
    <row r="1338" spans="1:33" ht="12" customHeight="1" thickBot="1">
      <c r="B1338" s="42" t="s">
        <v>2690</v>
      </c>
      <c r="C1338" s="42">
        <v>2022</v>
      </c>
      <c r="D1338" s="42">
        <v>2023</v>
      </c>
      <c r="E1338" s="42">
        <v>2024</v>
      </c>
      <c r="F1338" s="42">
        <v>2025</v>
      </c>
      <c r="G1338" s="42">
        <v>2026</v>
      </c>
      <c r="H1338" s="42">
        <v>2027</v>
      </c>
      <c r="I1338" s="42">
        <v>2028</v>
      </c>
      <c r="J1338" s="42">
        <v>2029</v>
      </c>
      <c r="K1338" s="42">
        <v>2030</v>
      </c>
      <c r="L1338" s="42">
        <v>2031</v>
      </c>
      <c r="M1338" s="42">
        <v>2032</v>
      </c>
      <c r="N1338" s="42">
        <v>2033</v>
      </c>
      <c r="O1338" s="42">
        <v>2034</v>
      </c>
      <c r="P1338" s="42">
        <v>2035</v>
      </c>
      <c r="Q1338" s="42">
        <v>2036</v>
      </c>
      <c r="R1338" s="42">
        <v>2037</v>
      </c>
      <c r="S1338" s="42">
        <v>2038</v>
      </c>
      <c r="T1338" s="42">
        <v>2039</v>
      </c>
      <c r="U1338" s="42">
        <v>2040</v>
      </c>
      <c r="V1338" s="42">
        <v>2041</v>
      </c>
      <c r="W1338" s="42">
        <v>2042</v>
      </c>
      <c r="X1338" s="42">
        <v>2043</v>
      </c>
      <c r="Y1338" s="42">
        <v>2044</v>
      </c>
      <c r="Z1338" s="42">
        <v>2045</v>
      </c>
      <c r="AA1338" s="42">
        <v>2046</v>
      </c>
      <c r="AB1338" s="42">
        <v>2047</v>
      </c>
      <c r="AC1338" s="42">
        <v>2048</v>
      </c>
      <c r="AD1338" s="42">
        <v>2049</v>
      </c>
      <c r="AE1338" s="42">
        <v>2050</v>
      </c>
      <c r="AF1338" s="41">
        <v>2050</v>
      </c>
      <c r="AG1338" s="29"/>
    </row>
    <row r="1339" spans="1:33" ht="12" customHeight="1" thickTop="1">
      <c r="B1339" s="29"/>
      <c r="C1339" s="29"/>
      <c r="D1339" s="29"/>
      <c r="E1339" s="29"/>
      <c r="F1339" s="29"/>
      <c r="G1339" s="29"/>
      <c r="H1339" s="29"/>
      <c r="I1339" s="29"/>
      <c r="J1339" s="29"/>
      <c r="K1339" s="29"/>
      <c r="L1339" s="29"/>
      <c r="M1339" s="29"/>
      <c r="N1339" s="29"/>
      <c r="O1339" s="29"/>
      <c r="P1339" s="29"/>
      <c r="Q1339" s="29"/>
      <c r="R1339" s="29"/>
      <c r="S1339" s="29"/>
      <c r="T1339" s="29"/>
      <c r="U1339" s="29"/>
      <c r="V1339" s="29"/>
      <c r="W1339" s="29"/>
      <c r="X1339" s="29"/>
      <c r="Y1339" s="29"/>
      <c r="Z1339" s="29"/>
      <c r="AA1339" s="29"/>
      <c r="AB1339" s="29"/>
      <c r="AC1339" s="29"/>
      <c r="AD1339" s="29"/>
      <c r="AE1339" s="29"/>
      <c r="AF1339" s="29"/>
      <c r="AG1339" s="29"/>
    </row>
    <row r="1340" spans="1:33" ht="12" customHeight="1">
      <c r="A1340" s="34" t="s">
        <v>3793</v>
      </c>
      <c r="B1340" s="33" t="s">
        <v>2692</v>
      </c>
      <c r="C1340" s="40">
        <v>19750.261718999998</v>
      </c>
      <c r="D1340" s="40">
        <v>19903.289062</v>
      </c>
      <c r="E1340" s="40">
        <v>20095.435547000001</v>
      </c>
      <c r="F1340" s="40">
        <v>20409.421875</v>
      </c>
      <c r="G1340" s="40">
        <v>20840.714843999998</v>
      </c>
      <c r="H1340" s="40">
        <v>21273.421875</v>
      </c>
      <c r="I1340" s="40">
        <v>21681.255859000001</v>
      </c>
      <c r="J1340" s="40">
        <v>22051.705077999999</v>
      </c>
      <c r="K1340" s="40">
        <v>22391.814452999999</v>
      </c>
      <c r="L1340" s="40">
        <v>22742.044922000001</v>
      </c>
      <c r="M1340" s="40">
        <v>23153.001952999999</v>
      </c>
      <c r="N1340" s="40">
        <v>23603.867188</v>
      </c>
      <c r="O1340" s="40">
        <v>24055.123047000001</v>
      </c>
      <c r="P1340" s="40">
        <v>24510.957031000002</v>
      </c>
      <c r="Q1340" s="40">
        <v>24995.804688</v>
      </c>
      <c r="R1340" s="40">
        <v>25506.921875</v>
      </c>
      <c r="S1340" s="40">
        <v>26032.332031000002</v>
      </c>
      <c r="T1340" s="40">
        <v>26566.107422000001</v>
      </c>
      <c r="U1340" s="40">
        <v>27148.945312</v>
      </c>
      <c r="V1340" s="40">
        <v>27734.087890999999</v>
      </c>
      <c r="W1340" s="40">
        <v>28324.492188</v>
      </c>
      <c r="X1340" s="40">
        <v>28926.738281000002</v>
      </c>
      <c r="Y1340" s="40">
        <v>29527.414062</v>
      </c>
      <c r="Z1340" s="40">
        <v>30130</v>
      </c>
      <c r="AA1340" s="40">
        <v>30747.568359000001</v>
      </c>
      <c r="AB1340" s="40">
        <v>31389.150390999999</v>
      </c>
      <c r="AC1340" s="40">
        <v>32039.970702999999</v>
      </c>
      <c r="AD1340" s="40">
        <v>32698.533202999999</v>
      </c>
      <c r="AE1340" s="40">
        <v>33404.984375</v>
      </c>
      <c r="AF1340" s="31">
        <v>1.8946999999999999E-2</v>
      </c>
      <c r="AG1340" s="29"/>
    </row>
    <row r="1341" spans="1:33" ht="12" customHeight="1">
      <c r="B1341" s="29"/>
      <c r="C1341" s="29"/>
      <c r="D1341" s="29"/>
      <c r="E1341" s="29"/>
      <c r="F1341" s="29"/>
      <c r="G1341" s="29"/>
      <c r="H1341" s="29"/>
      <c r="I1341" s="29"/>
      <c r="J1341" s="29"/>
      <c r="K1341" s="29"/>
      <c r="L1341" s="29"/>
      <c r="M1341" s="29"/>
      <c r="N1341" s="29"/>
      <c r="O1341" s="29"/>
      <c r="P1341" s="29"/>
      <c r="Q1341" s="29"/>
      <c r="R1341" s="29"/>
      <c r="S1341" s="29"/>
      <c r="T1341" s="29"/>
      <c r="U1341" s="29"/>
      <c r="V1341" s="29"/>
      <c r="W1341" s="29"/>
      <c r="X1341" s="29"/>
      <c r="Y1341" s="29"/>
      <c r="Z1341" s="29"/>
      <c r="AA1341" s="29"/>
      <c r="AB1341" s="29"/>
      <c r="AC1341" s="29"/>
      <c r="AD1341" s="29"/>
      <c r="AE1341" s="29"/>
      <c r="AF1341" s="29"/>
      <c r="AG1341" s="29"/>
    </row>
    <row r="1342" spans="1:33" ht="12" customHeight="1">
      <c r="A1342" s="34" t="s">
        <v>3794</v>
      </c>
      <c r="B1342" s="33" t="s">
        <v>2694</v>
      </c>
      <c r="C1342" s="40">
        <v>23.883032</v>
      </c>
      <c r="D1342" s="40">
        <v>24.140180999999998</v>
      </c>
      <c r="E1342" s="40">
        <v>24.024529000000001</v>
      </c>
      <c r="F1342" s="40">
        <v>23.998573</v>
      </c>
      <c r="G1342" s="40">
        <v>24.101234000000002</v>
      </c>
      <c r="H1342" s="40">
        <v>24.261126999999998</v>
      </c>
      <c r="I1342" s="40">
        <v>24.414086999999999</v>
      </c>
      <c r="J1342" s="40">
        <v>24.52252</v>
      </c>
      <c r="K1342" s="40">
        <v>24.598946000000002</v>
      </c>
      <c r="L1342" s="40">
        <v>24.642372000000002</v>
      </c>
      <c r="M1342" s="40">
        <v>24.725636999999999</v>
      </c>
      <c r="N1342" s="40">
        <v>24.851783999999999</v>
      </c>
      <c r="O1342" s="40">
        <v>25.029671</v>
      </c>
      <c r="P1342" s="40">
        <v>25.182562000000001</v>
      </c>
      <c r="Q1342" s="40">
        <v>25.286757999999999</v>
      </c>
      <c r="R1342" s="40">
        <v>25.410542</v>
      </c>
      <c r="S1342" s="40">
        <v>25.539185</v>
      </c>
      <c r="T1342" s="40">
        <v>25.656305</v>
      </c>
      <c r="U1342" s="40">
        <v>25.802606999999998</v>
      </c>
      <c r="V1342" s="40">
        <v>25.925115999999999</v>
      </c>
      <c r="W1342" s="40">
        <v>26.049416000000001</v>
      </c>
      <c r="X1342" s="40">
        <v>26.151126999999999</v>
      </c>
      <c r="Y1342" s="40">
        <v>26.247629</v>
      </c>
      <c r="Z1342" s="40">
        <v>26.355596999999999</v>
      </c>
      <c r="AA1342" s="40">
        <v>26.477411</v>
      </c>
      <c r="AB1342" s="40">
        <v>26.617092</v>
      </c>
      <c r="AC1342" s="40">
        <v>26.751574999999999</v>
      </c>
      <c r="AD1342" s="40">
        <v>26.879142999999999</v>
      </c>
      <c r="AE1342" s="40">
        <v>27.024477000000001</v>
      </c>
      <c r="AF1342" s="31">
        <v>4.4229999999999998E-3</v>
      </c>
      <c r="AG1342" s="29"/>
    </row>
    <row r="1343" spans="1:33" ht="12" customHeight="1">
      <c r="B1343" s="29"/>
      <c r="C1343" s="29"/>
      <c r="D1343" s="29"/>
      <c r="E1343" s="29"/>
      <c r="F1343" s="29"/>
      <c r="G1343" s="29"/>
      <c r="H1343" s="29"/>
      <c r="I1343" s="29"/>
      <c r="J1343" s="29"/>
      <c r="K1343" s="29"/>
      <c r="L1343" s="29"/>
      <c r="M1343" s="29"/>
      <c r="N1343" s="29"/>
      <c r="O1343" s="29"/>
      <c r="P1343" s="29"/>
      <c r="Q1343" s="29"/>
      <c r="R1343" s="29"/>
      <c r="S1343" s="29"/>
      <c r="T1343" s="29"/>
      <c r="U1343" s="29"/>
      <c r="V1343" s="29"/>
      <c r="W1343" s="29"/>
      <c r="X1343" s="29"/>
      <c r="Y1343" s="29"/>
      <c r="Z1343" s="29"/>
      <c r="AA1343" s="29"/>
      <c r="AB1343" s="29"/>
      <c r="AC1343" s="29"/>
      <c r="AD1343" s="29"/>
      <c r="AE1343" s="29"/>
      <c r="AF1343" s="29"/>
      <c r="AG1343" s="29"/>
    </row>
    <row r="1344" spans="1:33" ht="12" customHeight="1">
      <c r="B1344" s="33" t="s">
        <v>2695</v>
      </c>
      <c r="C1344" s="29"/>
      <c r="D1344" s="29"/>
      <c r="E1344" s="29"/>
      <c r="F1344" s="29"/>
      <c r="G1344" s="29"/>
      <c r="H1344" s="29"/>
      <c r="I1344" s="29"/>
      <c r="J1344" s="29"/>
      <c r="K1344" s="29"/>
      <c r="L1344" s="29"/>
      <c r="M1344" s="29"/>
      <c r="N1344" s="29"/>
      <c r="O1344" s="29"/>
      <c r="P1344" s="29"/>
      <c r="Q1344" s="29"/>
      <c r="R1344" s="29"/>
      <c r="S1344" s="29"/>
      <c r="T1344" s="29"/>
      <c r="U1344" s="29"/>
      <c r="V1344" s="29"/>
      <c r="W1344" s="29"/>
      <c r="X1344" s="29"/>
      <c r="Y1344" s="29"/>
      <c r="Z1344" s="29"/>
      <c r="AA1344" s="29"/>
      <c r="AB1344" s="29"/>
      <c r="AC1344" s="29"/>
      <c r="AD1344" s="29"/>
      <c r="AE1344" s="29"/>
      <c r="AF1344" s="29"/>
      <c r="AG1344" s="29"/>
    </row>
    <row r="1345" spans="1:33" ht="12" customHeight="1">
      <c r="B1345" s="29"/>
      <c r="C1345" s="29"/>
      <c r="D1345" s="29"/>
      <c r="E1345" s="29"/>
      <c r="F1345" s="29"/>
      <c r="G1345" s="29"/>
      <c r="H1345" s="29"/>
      <c r="I1345" s="29"/>
      <c r="J1345" s="29"/>
      <c r="K1345" s="29"/>
      <c r="L1345" s="29"/>
      <c r="M1345" s="29"/>
      <c r="N1345" s="29"/>
      <c r="O1345" s="29"/>
      <c r="P1345" s="29"/>
      <c r="Q1345" s="29"/>
      <c r="R1345" s="29"/>
      <c r="S1345" s="29"/>
      <c r="T1345" s="29"/>
      <c r="U1345" s="29"/>
      <c r="V1345" s="29"/>
      <c r="W1345" s="29"/>
      <c r="X1345" s="29"/>
      <c r="Y1345" s="29"/>
      <c r="Z1345" s="29"/>
      <c r="AA1345" s="29"/>
      <c r="AB1345" s="29"/>
      <c r="AC1345" s="29"/>
      <c r="AD1345" s="29"/>
      <c r="AE1345" s="29"/>
      <c r="AF1345" s="29"/>
      <c r="AG1345" s="29"/>
    </row>
    <row r="1346" spans="1:33" ht="12" customHeight="1">
      <c r="B1346" s="33" t="s">
        <v>2696</v>
      </c>
      <c r="C1346" s="29"/>
      <c r="D1346" s="29"/>
      <c r="E1346" s="29"/>
      <c r="F1346" s="29"/>
      <c r="G1346" s="29"/>
      <c r="H1346" s="29"/>
      <c r="I1346" s="29"/>
      <c r="J1346" s="29"/>
      <c r="K1346" s="29"/>
      <c r="L1346" s="29"/>
      <c r="M1346" s="29"/>
      <c r="N1346" s="29"/>
      <c r="O1346" s="29"/>
      <c r="P1346" s="29"/>
      <c r="Q1346" s="29"/>
      <c r="R1346" s="29"/>
      <c r="S1346" s="29"/>
      <c r="T1346" s="29"/>
      <c r="U1346" s="29"/>
      <c r="V1346" s="29"/>
      <c r="W1346" s="29"/>
      <c r="X1346" s="29"/>
      <c r="Y1346" s="29"/>
      <c r="Z1346" s="29"/>
      <c r="AA1346" s="29"/>
      <c r="AB1346" s="29"/>
      <c r="AC1346" s="29"/>
      <c r="AD1346" s="29"/>
      <c r="AE1346" s="29"/>
      <c r="AF1346" s="29"/>
      <c r="AG1346" s="29"/>
    </row>
    <row r="1347" spans="1:33" ht="12" customHeight="1">
      <c r="A1347" s="34" t="s">
        <v>3795</v>
      </c>
      <c r="B1347" s="37" t="s">
        <v>2698</v>
      </c>
      <c r="C1347" s="53">
        <v>189.73161300000001</v>
      </c>
      <c r="D1347" s="53">
        <v>189.40437299999999</v>
      </c>
      <c r="E1347" s="53">
        <v>191.25415000000001</v>
      </c>
      <c r="F1347" s="53">
        <v>193.90219099999999</v>
      </c>
      <c r="G1347" s="53">
        <v>196.84269699999999</v>
      </c>
      <c r="H1347" s="53">
        <v>199.40489199999999</v>
      </c>
      <c r="I1347" s="53">
        <v>201.92022700000001</v>
      </c>
      <c r="J1347" s="53">
        <v>203.72586100000001</v>
      </c>
      <c r="K1347" s="53">
        <v>205.3134</v>
      </c>
      <c r="L1347" s="53">
        <v>207.194016</v>
      </c>
      <c r="M1347" s="53">
        <v>209.139465</v>
      </c>
      <c r="N1347" s="53">
        <v>211.18244899999999</v>
      </c>
      <c r="O1347" s="53">
        <v>212.809235</v>
      </c>
      <c r="P1347" s="53">
        <v>214.02389500000001</v>
      </c>
      <c r="Q1347" s="53">
        <v>215.00186199999999</v>
      </c>
      <c r="R1347" s="53">
        <v>216.54711900000001</v>
      </c>
      <c r="S1347" s="53">
        <v>217.88002</v>
      </c>
      <c r="T1347" s="53">
        <v>219.22811899999999</v>
      </c>
      <c r="U1347" s="53">
        <v>220.83429000000001</v>
      </c>
      <c r="V1347" s="53">
        <v>222.36199999999999</v>
      </c>
      <c r="W1347" s="53">
        <v>223.84600800000001</v>
      </c>
      <c r="X1347" s="53">
        <v>225.28855899999999</v>
      </c>
      <c r="Y1347" s="53">
        <v>226.54531900000001</v>
      </c>
      <c r="Z1347" s="53">
        <v>227.81770299999999</v>
      </c>
      <c r="AA1347" s="53">
        <v>229.077011</v>
      </c>
      <c r="AB1347" s="53">
        <v>230.37063599999999</v>
      </c>
      <c r="AC1347" s="53">
        <v>231.62005600000001</v>
      </c>
      <c r="AD1347" s="53">
        <v>232.89894100000001</v>
      </c>
      <c r="AE1347" s="53">
        <v>234.19206199999999</v>
      </c>
      <c r="AF1347" s="35">
        <v>7.5469999999999999E-3</v>
      </c>
      <c r="AG1347" s="29"/>
    </row>
    <row r="1348" spans="1:33" ht="12" customHeight="1">
      <c r="A1348" s="34" t="s">
        <v>3796</v>
      </c>
      <c r="B1348" s="37" t="s">
        <v>2700</v>
      </c>
      <c r="C1348" s="53">
        <v>41.396014999999998</v>
      </c>
      <c r="D1348" s="53">
        <v>39.540047000000001</v>
      </c>
      <c r="E1348" s="53">
        <v>38.538722999999997</v>
      </c>
      <c r="F1348" s="53">
        <v>37.909492</v>
      </c>
      <c r="G1348" s="53">
        <v>37.65213</v>
      </c>
      <c r="H1348" s="53">
        <v>37.012253000000001</v>
      </c>
      <c r="I1348" s="53">
        <v>36.597000000000001</v>
      </c>
      <c r="J1348" s="53">
        <v>36.053688000000001</v>
      </c>
      <c r="K1348" s="53">
        <v>35.738678</v>
      </c>
      <c r="L1348" s="53">
        <v>35.335456999999998</v>
      </c>
      <c r="M1348" s="53">
        <v>35.12265</v>
      </c>
      <c r="N1348" s="53">
        <v>34.900761000000003</v>
      </c>
      <c r="O1348" s="53">
        <v>34.532944000000001</v>
      </c>
      <c r="P1348" s="53">
        <v>34.174221000000003</v>
      </c>
      <c r="Q1348" s="53">
        <v>33.883076000000003</v>
      </c>
      <c r="R1348" s="53">
        <v>33.636958999999997</v>
      </c>
      <c r="S1348" s="53">
        <v>33.327807999999997</v>
      </c>
      <c r="T1348" s="53">
        <v>33.152050000000003</v>
      </c>
      <c r="U1348" s="53">
        <v>32.836246000000003</v>
      </c>
      <c r="V1348" s="53">
        <v>32.554813000000003</v>
      </c>
      <c r="W1348" s="53">
        <v>32.317177000000001</v>
      </c>
      <c r="X1348" s="53">
        <v>32.205272999999998</v>
      </c>
      <c r="Y1348" s="53">
        <v>32.089354999999998</v>
      </c>
      <c r="Z1348" s="53">
        <v>31.848949000000001</v>
      </c>
      <c r="AA1348" s="53">
        <v>31.679993</v>
      </c>
      <c r="AB1348" s="53">
        <v>31.349322999999998</v>
      </c>
      <c r="AC1348" s="53">
        <v>31.124832000000001</v>
      </c>
      <c r="AD1348" s="53">
        <v>30.9636</v>
      </c>
      <c r="AE1348" s="53">
        <v>30.842742999999999</v>
      </c>
      <c r="AF1348" s="35">
        <v>-1.0455000000000001E-2</v>
      </c>
      <c r="AG1348" s="29"/>
    </row>
    <row r="1349" spans="1:33" ht="12" customHeight="1">
      <c r="A1349" s="34" t="s">
        <v>3797</v>
      </c>
      <c r="B1349" s="37" t="s">
        <v>2702</v>
      </c>
      <c r="C1349" s="53">
        <v>242.30693099999999</v>
      </c>
      <c r="D1349" s="53">
        <v>237.33766199999999</v>
      </c>
      <c r="E1349" s="53">
        <v>235.83343500000001</v>
      </c>
      <c r="F1349" s="53">
        <v>239.479782</v>
      </c>
      <c r="G1349" s="53">
        <v>240.927719</v>
      </c>
      <c r="H1349" s="53">
        <v>240.632248</v>
      </c>
      <c r="I1349" s="53">
        <v>242.021027</v>
      </c>
      <c r="J1349" s="53">
        <v>247.27615399999999</v>
      </c>
      <c r="K1349" s="53">
        <v>250.80720500000001</v>
      </c>
      <c r="L1349" s="53">
        <v>250.673599</v>
      </c>
      <c r="M1349" s="53">
        <v>249.68760700000001</v>
      </c>
      <c r="N1349" s="53">
        <v>249.619553</v>
      </c>
      <c r="O1349" s="53">
        <v>249.65690599999999</v>
      </c>
      <c r="P1349" s="53">
        <v>250.78118900000001</v>
      </c>
      <c r="Q1349" s="53">
        <v>252.70368999999999</v>
      </c>
      <c r="R1349" s="53">
        <v>255.48535200000001</v>
      </c>
      <c r="S1349" s="53">
        <v>258.793274</v>
      </c>
      <c r="T1349" s="53">
        <v>261.66644300000002</v>
      </c>
      <c r="U1349" s="53">
        <v>265.46997099999999</v>
      </c>
      <c r="V1349" s="53">
        <v>269.90167200000002</v>
      </c>
      <c r="W1349" s="53">
        <v>273.00323500000002</v>
      </c>
      <c r="X1349" s="53">
        <v>275.62698399999999</v>
      </c>
      <c r="Y1349" s="53">
        <v>278.232147</v>
      </c>
      <c r="Z1349" s="53">
        <v>281.30044600000002</v>
      </c>
      <c r="AA1349" s="53">
        <v>284.52066000000002</v>
      </c>
      <c r="AB1349" s="53">
        <v>287.65286300000002</v>
      </c>
      <c r="AC1349" s="53">
        <v>290.193939</v>
      </c>
      <c r="AD1349" s="53">
        <v>292.40741000000003</v>
      </c>
      <c r="AE1349" s="53">
        <v>295.96185300000002</v>
      </c>
      <c r="AF1349" s="35">
        <v>7.169E-3</v>
      </c>
      <c r="AG1349" s="29"/>
    </row>
    <row r="1350" spans="1:33" ht="15" customHeight="1">
      <c r="B1350" s="29"/>
      <c r="C1350" s="29"/>
      <c r="D1350" s="29"/>
      <c r="E1350" s="29"/>
      <c r="F1350" s="29"/>
      <c r="G1350" s="29"/>
      <c r="H1350" s="29"/>
      <c r="I1350" s="29"/>
      <c r="J1350" s="29"/>
      <c r="K1350" s="29"/>
      <c r="L1350" s="29"/>
      <c r="M1350" s="29"/>
      <c r="N1350" s="29"/>
      <c r="O1350" s="29"/>
      <c r="P1350" s="29"/>
      <c r="Q1350" s="29"/>
      <c r="R1350" s="29"/>
      <c r="S1350" s="29"/>
      <c r="T1350" s="29"/>
      <c r="U1350" s="29"/>
      <c r="V1350" s="29"/>
      <c r="W1350" s="29"/>
      <c r="X1350" s="29"/>
      <c r="Y1350" s="29"/>
      <c r="Z1350" s="29"/>
      <c r="AA1350" s="29"/>
      <c r="AB1350" s="29"/>
      <c r="AC1350" s="29"/>
      <c r="AD1350" s="29"/>
      <c r="AE1350" s="29"/>
      <c r="AF1350" s="29"/>
      <c r="AG1350" s="29"/>
    </row>
    <row r="1351" spans="1:33" ht="15" customHeight="1">
      <c r="B1351" s="33" t="s">
        <v>2703</v>
      </c>
      <c r="C1351" s="29"/>
      <c r="D1351" s="29"/>
      <c r="E1351" s="29"/>
      <c r="F1351" s="29"/>
      <c r="G1351" s="29"/>
      <c r="H1351" s="29"/>
      <c r="I1351" s="29"/>
      <c r="J1351" s="29"/>
      <c r="K1351" s="29"/>
      <c r="L1351" s="29"/>
      <c r="M1351" s="29"/>
      <c r="N1351" s="29"/>
      <c r="O1351" s="29"/>
      <c r="P1351" s="29"/>
      <c r="Q1351" s="29"/>
      <c r="R1351" s="29"/>
      <c r="S1351" s="29"/>
      <c r="T1351" s="29"/>
      <c r="U1351" s="29"/>
      <c r="V1351" s="29"/>
      <c r="W1351" s="29"/>
      <c r="X1351" s="29"/>
      <c r="Y1351" s="29"/>
      <c r="Z1351" s="29"/>
      <c r="AA1351" s="29"/>
      <c r="AB1351" s="29"/>
      <c r="AC1351" s="29"/>
      <c r="AD1351" s="29"/>
      <c r="AE1351" s="29"/>
      <c r="AF1351" s="29"/>
      <c r="AG1351" s="29"/>
    </row>
    <row r="1352" spans="1:33" ht="15" customHeight="1">
      <c r="A1352" s="34" t="s">
        <v>3798</v>
      </c>
      <c r="B1352" s="37" t="s">
        <v>2705</v>
      </c>
      <c r="C1352" s="53">
        <v>162.558975</v>
      </c>
      <c r="D1352" s="53">
        <v>164.856461</v>
      </c>
      <c r="E1352" s="53">
        <v>167.07360800000001</v>
      </c>
      <c r="F1352" s="53">
        <v>169.29002399999999</v>
      </c>
      <c r="G1352" s="53">
        <v>172.17311100000001</v>
      </c>
      <c r="H1352" s="53">
        <v>175.21705600000001</v>
      </c>
      <c r="I1352" s="53">
        <v>178.063873</v>
      </c>
      <c r="J1352" s="53">
        <v>180.490082</v>
      </c>
      <c r="K1352" s="53">
        <v>182.99285900000001</v>
      </c>
      <c r="L1352" s="53">
        <v>185.87811300000001</v>
      </c>
      <c r="M1352" s="53">
        <v>188.48194899999999</v>
      </c>
      <c r="N1352" s="53">
        <v>190.58026100000001</v>
      </c>
      <c r="O1352" s="53">
        <v>192.57813999999999</v>
      </c>
      <c r="P1352" s="53">
        <v>194.88204999999999</v>
      </c>
      <c r="Q1352" s="53">
        <v>197.23846399999999</v>
      </c>
      <c r="R1352" s="53">
        <v>199.36732499999999</v>
      </c>
      <c r="S1352" s="53">
        <v>201.8965</v>
      </c>
      <c r="T1352" s="53">
        <v>204.819672</v>
      </c>
      <c r="U1352" s="53">
        <v>207.57948300000001</v>
      </c>
      <c r="V1352" s="53">
        <v>210.28878800000001</v>
      </c>
      <c r="W1352" s="53">
        <v>212.98315400000001</v>
      </c>
      <c r="X1352" s="53">
        <v>215.66357400000001</v>
      </c>
      <c r="Y1352" s="53">
        <v>218.360703</v>
      </c>
      <c r="Z1352" s="53">
        <v>221.09402499999999</v>
      </c>
      <c r="AA1352" s="53">
        <v>223.73584</v>
      </c>
      <c r="AB1352" s="53">
        <v>226.41424599999999</v>
      </c>
      <c r="AC1352" s="53">
        <v>229.11674500000001</v>
      </c>
      <c r="AD1352" s="53">
        <v>231.82115200000001</v>
      </c>
      <c r="AE1352" s="53">
        <v>234.52979999999999</v>
      </c>
      <c r="AF1352" s="35">
        <v>1.3176999999999999E-2</v>
      </c>
      <c r="AG1352" s="29"/>
    </row>
    <row r="1353" spans="1:33" ht="15" customHeight="1">
      <c r="A1353" s="34" t="s">
        <v>3799</v>
      </c>
      <c r="B1353" s="37" t="s">
        <v>1473</v>
      </c>
      <c r="C1353" s="53">
        <v>44.914256999999999</v>
      </c>
      <c r="D1353" s="53">
        <v>44.919331</v>
      </c>
      <c r="E1353" s="53">
        <v>45.013199</v>
      </c>
      <c r="F1353" s="53">
        <v>45.208568999999997</v>
      </c>
      <c r="G1353" s="53">
        <v>45.511932000000002</v>
      </c>
      <c r="H1353" s="53">
        <v>45.973446000000003</v>
      </c>
      <c r="I1353" s="53">
        <v>46.481113000000001</v>
      </c>
      <c r="J1353" s="53">
        <v>46.894526999999997</v>
      </c>
      <c r="K1353" s="53">
        <v>47.188084000000003</v>
      </c>
      <c r="L1353" s="53">
        <v>47.349021999999998</v>
      </c>
      <c r="M1353" s="53">
        <v>47.672142000000001</v>
      </c>
      <c r="N1353" s="53">
        <v>47.830685000000003</v>
      </c>
      <c r="O1353" s="53">
        <v>47.819164000000001</v>
      </c>
      <c r="P1353" s="53">
        <v>47.750129999999999</v>
      </c>
      <c r="Q1353" s="53">
        <v>47.647086999999999</v>
      </c>
      <c r="R1353" s="53">
        <v>47.468231000000003</v>
      </c>
      <c r="S1353" s="53">
        <v>47.322231000000002</v>
      </c>
      <c r="T1353" s="53">
        <v>47.187232999999999</v>
      </c>
      <c r="U1353" s="53">
        <v>47.036366000000001</v>
      </c>
      <c r="V1353" s="53">
        <v>46.935757000000002</v>
      </c>
      <c r="W1353" s="53">
        <v>46.970959000000001</v>
      </c>
      <c r="X1353" s="53">
        <v>47.003765000000001</v>
      </c>
      <c r="Y1353" s="53">
        <v>47.025711000000001</v>
      </c>
      <c r="Z1353" s="53">
        <v>47.046322000000004</v>
      </c>
      <c r="AA1353" s="53">
        <v>47.08379</v>
      </c>
      <c r="AB1353" s="53">
        <v>47.165359000000002</v>
      </c>
      <c r="AC1353" s="53">
        <v>47.445571999999999</v>
      </c>
      <c r="AD1353" s="53">
        <v>47.753677000000003</v>
      </c>
      <c r="AE1353" s="53">
        <v>48.058956000000002</v>
      </c>
      <c r="AF1353" s="35">
        <v>2.4199999999999998E-3</v>
      </c>
      <c r="AG1353" s="29"/>
    </row>
    <row r="1354" spans="1:33" ht="15" customHeight="1">
      <c r="A1354" s="34" t="s">
        <v>3800</v>
      </c>
      <c r="B1354" s="37" t="s">
        <v>2708</v>
      </c>
      <c r="C1354" s="53">
        <v>12.29928</v>
      </c>
      <c r="D1354" s="53">
        <v>12.172139</v>
      </c>
      <c r="E1354" s="53">
        <v>12.107564999999999</v>
      </c>
      <c r="F1354" s="53">
        <v>12.176133999999999</v>
      </c>
      <c r="G1354" s="53">
        <v>12.491917000000001</v>
      </c>
      <c r="H1354" s="53">
        <v>12.877642</v>
      </c>
      <c r="I1354" s="53">
        <v>13.186817</v>
      </c>
      <c r="J1354" s="53">
        <v>13.376186000000001</v>
      </c>
      <c r="K1354" s="53">
        <v>13.533277999999999</v>
      </c>
      <c r="L1354" s="53">
        <v>13.692562000000001</v>
      </c>
      <c r="M1354" s="53">
        <v>13.942983999999999</v>
      </c>
      <c r="N1354" s="53">
        <v>14.175113</v>
      </c>
      <c r="O1354" s="53">
        <v>14.365353000000001</v>
      </c>
      <c r="P1354" s="53">
        <v>14.498213</v>
      </c>
      <c r="Q1354" s="53">
        <v>14.614509999999999</v>
      </c>
      <c r="R1354" s="53">
        <v>14.651104</v>
      </c>
      <c r="S1354" s="53">
        <v>14.690142</v>
      </c>
      <c r="T1354" s="53">
        <v>14.690595999999999</v>
      </c>
      <c r="U1354" s="53">
        <v>14.747958000000001</v>
      </c>
      <c r="V1354" s="53">
        <v>14.805804999999999</v>
      </c>
      <c r="W1354" s="53">
        <v>14.828794</v>
      </c>
      <c r="X1354" s="53">
        <v>14.851433999999999</v>
      </c>
      <c r="Y1354" s="53">
        <v>14.839162</v>
      </c>
      <c r="Z1354" s="53">
        <v>14.820501</v>
      </c>
      <c r="AA1354" s="53">
        <v>14.817002</v>
      </c>
      <c r="AB1354" s="53">
        <v>14.828283000000001</v>
      </c>
      <c r="AC1354" s="53">
        <v>14.825924000000001</v>
      </c>
      <c r="AD1354" s="53">
        <v>14.812386</v>
      </c>
      <c r="AE1354" s="53">
        <v>14.825034</v>
      </c>
      <c r="AF1354" s="35">
        <v>6.6930000000000002E-3</v>
      </c>
      <c r="AG1354" s="29"/>
    </row>
    <row r="1355" spans="1:33" ht="15" customHeight="1">
      <c r="A1355" s="34" t="s">
        <v>3801</v>
      </c>
      <c r="B1355" s="37" t="s">
        <v>2710</v>
      </c>
      <c r="C1355" s="53">
        <v>19.873791000000001</v>
      </c>
      <c r="D1355" s="53">
        <v>18.161835</v>
      </c>
      <c r="E1355" s="53">
        <v>17.856383999999998</v>
      </c>
      <c r="F1355" s="53">
        <v>18.344609999999999</v>
      </c>
      <c r="G1355" s="53">
        <v>18.253323000000002</v>
      </c>
      <c r="H1355" s="53">
        <v>18.284281</v>
      </c>
      <c r="I1355" s="53">
        <v>18.605084999999999</v>
      </c>
      <c r="J1355" s="53">
        <v>19.033569</v>
      </c>
      <c r="K1355" s="53">
        <v>19.334244000000002</v>
      </c>
      <c r="L1355" s="53">
        <v>19.549927</v>
      </c>
      <c r="M1355" s="53">
        <v>19.858961000000001</v>
      </c>
      <c r="N1355" s="53">
        <v>20.207998</v>
      </c>
      <c r="O1355" s="53">
        <v>20.676506</v>
      </c>
      <c r="P1355" s="53">
        <v>20.995266000000001</v>
      </c>
      <c r="Q1355" s="53">
        <v>21.049934</v>
      </c>
      <c r="R1355" s="53">
        <v>21.224218</v>
      </c>
      <c r="S1355" s="53">
        <v>21.424665000000001</v>
      </c>
      <c r="T1355" s="53">
        <v>21.65024</v>
      </c>
      <c r="U1355" s="53">
        <v>21.896425000000001</v>
      </c>
      <c r="V1355" s="53">
        <v>22.217911000000001</v>
      </c>
      <c r="W1355" s="53">
        <v>22.529527999999999</v>
      </c>
      <c r="X1355" s="53">
        <v>22.770223999999999</v>
      </c>
      <c r="Y1355" s="53">
        <v>22.892258000000002</v>
      </c>
      <c r="Z1355" s="53">
        <v>22.868359000000002</v>
      </c>
      <c r="AA1355" s="53">
        <v>22.887526000000001</v>
      </c>
      <c r="AB1355" s="53">
        <v>23.021111999999999</v>
      </c>
      <c r="AC1355" s="53">
        <v>23.083407999999999</v>
      </c>
      <c r="AD1355" s="53">
        <v>23.211093999999999</v>
      </c>
      <c r="AE1355" s="53">
        <v>23.563751</v>
      </c>
      <c r="AF1355" s="35">
        <v>6.1009999999999997E-3</v>
      </c>
      <c r="AG1355" s="29"/>
    </row>
    <row r="1356" spans="1:33" ht="15" customHeight="1">
      <c r="A1356" s="34" t="s">
        <v>3802</v>
      </c>
      <c r="B1356" s="37" t="s">
        <v>2712</v>
      </c>
      <c r="C1356" s="53">
        <v>8.6900709999999997</v>
      </c>
      <c r="D1356" s="53">
        <v>8.5142570000000006</v>
      </c>
      <c r="E1356" s="53">
        <v>8.4788680000000003</v>
      </c>
      <c r="F1356" s="53">
        <v>8.4729949999999992</v>
      </c>
      <c r="G1356" s="53">
        <v>8.6292779999999993</v>
      </c>
      <c r="H1356" s="53">
        <v>8.8056649999999994</v>
      </c>
      <c r="I1356" s="53">
        <v>8.8488290000000003</v>
      </c>
      <c r="J1356" s="53">
        <v>8.8958349999999999</v>
      </c>
      <c r="K1356" s="53">
        <v>8.9283789999999996</v>
      </c>
      <c r="L1356" s="53">
        <v>8.9539290000000005</v>
      </c>
      <c r="M1356" s="53">
        <v>9.1059850000000004</v>
      </c>
      <c r="N1356" s="53">
        <v>9.1520670000000006</v>
      </c>
      <c r="O1356" s="53">
        <v>9.1844649999999994</v>
      </c>
      <c r="P1356" s="53">
        <v>9.2849540000000008</v>
      </c>
      <c r="Q1356" s="53">
        <v>9.3823640000000008</v>
      </c>
      <c r="R1356" s="53">
        <v>9.4772809999999996</v>
      </c>
      <c r="S1356" s="53">
        <v>9.5920199999999998</v>
      </c>
      <c r="T1356" s="53">
        <v>9.6788559999999997</v>
      </c>
      <c r="U1356" s="53">
        <v>9.7604050000000004</v>
      </c>
      <c r="V1356" s="53">
        <v>9.9006790000000002</v>
      </c>
      <c r="W1356" s="53">
        <v>10.023724</v>
      </c>
      <c r="X1356" s="53">
        <v>10.103847</v>
      </c>
      <c r="Y1356" s="53">
        <v>10.138461</v>
      </c>
      <c r="Z1356" s="53">
        <v>10.126552999999999</v>
      </c>
      <c r="AA1356" s="53">
        <v>10.187734000000001</v>
      </c>
      <c r="AB1356" s="53">
        <v>10.273528000000001</v>
      </c>
      <c r="AC1356" s="53">
        <v>10.317091</v>
      </c>
      <c r="AD1356" s="53">
        <v>10.300597</v>
      </c>
      <c r="AE1356" s="53">
        <v>10.534428999999999</v>
      </c>
      <c r="AF1356" s="35">
        <v>6.8979999999999996E-3</v>
      </c>
      <c r="AG1356" s="29"/>
    </row>
    <row r="1357" spans="1:33" ht="15" customHeight="1">
      <c r="A1357" s="34" t="s">
        <v>3803</v>
      </c>
      <c r="B1357" s="37" t="s">
        <v>2714</v>
      </c>
      <c r="C1357" s="53">
        <v>20.924734000000001</v>
      </c>
      <c r="D1357" s="53">
        <v>20.466460999999999</v>
      </c>
      <c r="E1357" s="53">
        <v>20.10746</v>
      </c>
      <c r="F1357" s="53">
        <v>20.196379</v>
      </c>
      <c r="G1357" s="53">
        <v>20.401726</v>
      </c>
      <c r="H1357" s="53">
        <v>20.582737000000002</v>
      </c>
      <c r="I1357" s="53">
        <v>20.744446</v>
      </c>
      <c r="J1357" s="53">
        <v>20.907025999999998</v>
      </c>
      <c r="K1357" s="53">
        <v>21.066181</v>
      </c>
      <c r="L1357" s="53">
        <v>21.275134999999999</v>
      </c>
      <c r="M1357" s="53">
        <v>21.512841999999999</v>
      </c>
      <c r="N1357" s="53">
        <v>21.698150999999999</v>
      </c>
      <c r="O1357" s="53">
        <v>21.920947999999999</v>
      </c>
      <c r="P1357" s="53">
        <v>22.153877000000001</v>
      </c>
      <c r="Q1357" s="53">
        <v>22.362452000000001</v>
      </c>
      <c r="R1357" s="53">
        <v>22.564795</v>
      </c>
      <c r="S1357" s="53">
        <v>22.765778000000001</v>
      </c>
      <c r="T1357" s="53">
        <v>22.984735000000001</v>
      </c>
      <c r="U1357" s="53">
        <v>23.181097000000001</v>
      </c>
      <c r="V1357" s="53">
        <v>23.368105</v>
      </c>
      <c r="W1357" s="53">
        <v>23.583338000000001</v>
      </c>
      <c r="X1357" s="53">
        <v>23.775600000000001</v>
      </c>
      <c r="Y1357" s="53">
        <v>23.924889</v>
      </c>
      <c r="Z1357" s="53">
        <v>24.045860000000001</v>
      </c>
      <c r="AA1357" s="53">
        <v>24.215340000000001</v>
      </c>
      <c r="AB1357" s="53">
        <v>24.433427999999999</v>
      </c>
      <c r="AC1357" s="53">
        <v>24.565763</v>
      </c>
      <c r="AD1357" s="53">
        <v>24.721544000000002</v>
      </c>
      <c r="AE1357" s="53">
        <v>24.967984999999999</v>
      </c>
      <c r="AF1357" s="35">
        <v>6.3290000000000004E-3</v>
      </c>
      <c r="AG1357" s="29"/>
    </row>
    <row r="1358" spans="1:33" ht="15" customHeight="1">
      <c r="A1358" s="34" t="s">
        <v>3804</v>
      </c>
      <c r="B1358" s="37" t="s">
        <v>2716</v>
      </c>
      <c r="C1358" s="53">
        <v>9.0740970000000001</v>
      </c>
      <c r="D1358" s="53">
        <v>8.8797239999999995</v>
      </c>
      <c r="E1358" s="53">
        <v>8.7339099999999998</v>
      </c>
      <c r="F1358" s="53">
        <v>8.6573340000000005</v>
      </c>
      <c r="G1358" s="53">
        <v>8.5984409999999993</v>
      </c>
      <c r="H1358" s="53">
        <v>8.5348229999999994</v>
      </c>
      <c r="I1358" s="53">
        <v>8.5247729999999997</v>
      </c>
      <c r="J1358" s="53">
        <v>8.5229339999999993</v>
      </c>
      <c r="K1358" s="53">
        <v>8.5463140000000006</v>
      </c>
      <c r="L1358" s="53">
        <v>8.5852970000000006</v>
      </c>
      <c r="M1358" s="53">
        <v>8.5368849999999998</v>
      </c>
      <c r="N1358" s="53">
        <v>8.4296279999999992</v>
      </c>
      <c r="O1358" s="53">
        <v>8.3342270000000003</v>
      </c>
      <c r="P1358" s="53">
        <v>8.2525449999999996</v>
      </c>
      <c r="Q1358" s="53">
        <v>8.1803360000000005</v>
      </c>
      <c r="R1358" s="53">
        <v>8.1170960000000001</v>
      </c>
      <c r="S1358" s="53">
        <v>8.0602549999999997</v>
      </c>
      <c r="T1358" s="53">
        <v>8.0027709999999992</v>
      </c>
      <c r="U1358" s="53">
        <v>7.9917889999999998</v>
      </c>
      <c r="V1358" s="53">
        <v>7.9451229999999997</v>
      </c>
      <c r="W1358" s="53">
        <v>7.8591879999999996</v>
      </c>
      <c r="X1358" s="53">
        <v>7.8046939999999996</v>
      </c>
      <c r="Y1358" s="53">
        <v>7.7739260000000003</v>
      </c>
      <c r="Z1358" s="53">
        <v>7.8166890000000002</v>
      </c>
      <c r="AA1358" s="53">
        <v>7.8492920000000002</v>
      </c>
      <c r="AB1358" s="53">
        <v>7.861497</v>
      </c>
      <c r="AC1358" s="53">
        <v>7.8521089999999996</v>
      </c>
      <c r="AD1358" s="53">
        <v>7.9147699999999999</v>
      </c>
      <c r="AE1358" s="53">
        <v>7.9519169999999999</v>
      </c>
      <c r="AF1358" s="35">
        <v>-4.7039999999999998E-3</v>
      </c>
      <c r="AG1358" s="29"/>
    </row>
    <row r="1359" spans="1:33" ht="15" customHeight="1">
      <c r="A1359" s="34" t="s">
        <v>3805</v>
      </c>
      <c r="B1359" s="37" t="s">
        <v>2718</v>
      </c>
      <c r="C1359" s="53">
        <v>150.80152899999999</v>
      </c>
      <c r="D1359" s="53">
        <v>136.82929999999999</v>
      </c>
      <c r="E1359" s="53">
        <v>137.52984599999999</v>
      </c>
      <c r="F1359" s="53">
        <v>140.558334</v>
      </c>
      <c r="G1359" s="53">
        <v>144.65043600000001</v>
      </c>
      <c r="H1359" s="53">
        <v>149.13209499999999</v>
      </c>
      <c r="I1359" s="53">
        <v>153.51370199999999</v>
      </c>
      <c r="J1359" s="53">
        <v>157.491028</v>
      </c>
      <c r="K1359" s="53">
        <v>160.94215399999999</v>
      </c>
      <c r="L1359" s="53">
        <v>164.22943100000001</v>
      </c>
      <c r="M1359" s="53">
        <v>168.77525299999999</v>
      </c>
      <c r="N1359" s="53">
        <v>173.71717799999999</v>
      </c>
      <c r="O1359" s="53">
        <v>179.42369099999999</v>
      </c>
      <c r="P1359" s="53">
        <v>185.69279499999999</v>
      </c>
      <c r="Q1359" s="53">
        <v>191.99929800000001</v>
      </c>
      <c r="R1359" s="53">
        <v>198.29663099999999</v>
      </c>
      <c r="S1359" s="53">
        <v>205.24960300000001</v>
      </c>
      <c r="T1359" s="53">
        <v>212.68656899999999</v>
      </c>
      <c r="U1359" s="53">
        <v>220.61622600000001</v>
      </c>
      <c r="V1359" s="53">
        <v>229.37713600000001</v>
      </c>
      <c r="W1359" s="53">
        <v>238.802841</v>
      </c>
      <c r="X1359" s="53">
        <v>248.479828</v>
      </c>
      <c r="Y1359" s="53">
        <v>258.18545499999999</v>
      </c>
      <c r="Z1359" s="53">
        <v>267.62786899999998</v>
      </c>
      <c r="AA1359" s="53">
        <v>277.222351</v>
      </c>
      <c r="AB1359" s="53">
        <v>287.60958900000003</v>
      </c>
      <c r="AC1359" s="53">
        <v>297.88421599999998</v>
      </c>
      <c r="AD1359" s="53">
        <v>307.81616200000002</v>
      </c>
      <c r="AE1359" s="53">
        <v>318.66641199999998</v>
      </c>
      <c r="AF1359" s="35">
        <v>2.7081000000000001E-2</v>
      </c>
      <c r="AG1359" s="29"/>
    </row>
    <row r="1360" spans="1:33" ht="15" customHeight="1">
      <c r="A1360" s="34" t="s">
        <v>3806</v>
      </c>
      <c r="B1360" s="37" t="s">
        <v>1467</v>
      </c>
      <c r="C1360" s="53">
        <v>28.448596999999999</v>
      </c>
      <c r="D1360" s="53">
        <v>27.689716000000001</v>
      </c>
      <c r="E1360" s="53">
        <v>27.503215999999998</v>
      </c>
      <c r="F1360" s="53">
        <v>28.746068999999999</v>
      </c>
      <c r="G1360" s="53">
        <v>30.250917000000001</v>
      </c>
      <c r="H1360" s="53">
        <v>31.449551</v>
      </c>
      <c r="I1360" s="53">
        <v>32.515625</v>
      </c>
      <c r="J1360" s="53">
        <v>33.358252999999998</v>
      </c>
      <c r="K1360" s="53">
        <v>34.17812</v>
      </c>
      <c r="L1360" s="53">
        <v>35.139519</v>
      </c>
      <c r="M1360" s="53">
        <v>36.239623999999999</v>
      </c>
      <c r="N1360" s="53">
        <v>37.328648000000001</v>
      </c>
      <c r="O1360" s="53">
        <v>38.623001000000002</v>
      </c>
      <c r="P1360" s="53">
        <v>39.938643999999996</v>
      </c>
      <c r="Q1360" s="53">
        <v>41.106318999999999</v>
      </c>
      <c r="R1360" s="53">
        <v>42.300148</v>
      </c>
      <c r="S1360" s="53">
        <v>43.463279999999997</v>
      </c>
      <c r="T1360" s="53">
        <v>44.689419000000001</v>
      </c>
      <c r="U1360" s="53">
        <v>46.167233000000003</v>
      </c>
      <c r="V1360" s="53">
        <v>47.610252000000003</v>
      </c>
      <c r="W1360" s="53">
        <v>48.958618000000001</v>
      </c>
      <c r="X1360" s="53">
        <v>50.303229999999999</v>
      </c>
      <c r="Y1360" s="53">
        <v>51.542793000000003</v>
      </c>
      <c r="Z1360" s="53">
        <v>52.750186999999997</v>
      </c>
      <c r="AA1360" s="53">
        <v>54.243645000000001</v>
      </c>
      <c r="AB1360" s="53">
        <v>55.899619999999999</v>
      </c>
      <c r="AC1360" s="53">
        <v>57.215736</v>
      </c>
      <c r="AD1360" s="53">
        <v>58.795409999999997</v>
      </c>
      <c r="AE1360" s="53">
        <v>60.897224000000001</v>
      </c>
      <c r="AF1360" s="35">
        <v>2.7555E-2</v>
      </c>
      <c r="AG1360" s="29"/>
    </row>
    <row r="1361" spans="1:33" ht="15" customHeight="1">
      <c r="A1361" s="34" t="s">
        <v>3807</v>
      </c>
      <c r="B1361" s="37" t="s">
        <v>1484</v>
      </c>
      <c r="C1361" s="53">
        <v>4.6334900000000001</v>
      </c>
      <c r="D1361" s="53">
        <v>4.6569989999999999</v>
      </c>
      <c r="E1361" s="53">
        <v>4.6728199999999998</v>
      </c>
      <c r="F1361" s="53">
        <v>4.7852389999999998</v>
      </c>
      <c r="G1361" s="53">
        <v>4.9257749999999998</v>
      </c>
      <c r="H1361" s="53">
        <v>4.9987849999999998</v>
      </c>
      <c r="I1361" s="53">
        <v>5.0608300000000002</v>
      </c>
      <c r="J1361" s="53">
        <v>5.0814979999999998</v>
      </c>
      <c r="K1361" s="53">
        <v>5.0698420000000004</v>
      </c>
      <c r="L1361" s="53">
        <v>5.0984749999999996</v>
      </c>
      <c r="M1361" s="53">
        <v>5.1326910000000003</v>
      </c>
      <c r="N1361" s="53">
        <v>5.2012309999999999</v>
      </c>
      <c r="O1361" s="53">
        <v>5.2677240000000003</v>
      </c>
      <c r="P1361" s="53">
        <v>5.337072</v>
      </c>
      <c r="Q1361" s="53">
        <v>5.425001</v>
      </c>
      <c r="R1361" s="53">
        <v>5.4790469999999996</v>
      </c>
      <c r="S1361" s="53">
        <v>5.5792349999999997</v>
      </c>
      <c r="T1361" s="53">
        <v>5.6013400000000004</v>
      </c>
      <c r="U1361" s="53">
        <v>5.721991</v>
      </c>
      <c r="V1361" s="53">
        <v>5.8349489999999999</v>
      </c>
      <c r="W1361" s="53">
        <v>5.9090619999999996</v>
      </c>
      <c r="X1361" s="53">
        <v>5.981827</v>
      </c>
      <c r="Y1361" s="53">
        <v>6.0456630000000002</v>
      </c>
      <c r="Z1361" s="53">
        <v>6.0911819999999999</v>
      </c>
      <c r="AA1361" s="53">
        <v>6.1605350000000003</v>
      </c>
      <c r="AB1361" s="53">
        <v>6.2521409999999999</v>
      </c>
      <c r="AC1361" s="53">
        <v>6.2976080000000003</v>
      </c>
      <c r="AD1361" s="53">
        <v>6.3629129999999998</v>
      </c>
      <c r="AE1361" s="53">
        <v>6.4911099999999999</v>
      </c>
      <c r="AF1361" s="35">
        <v>1.2113000000000001E-2</v>
      </c>
      <c r="AG1361" s="29"/>
    </row>
    <row r="1362" spans="1:33" ht="15" customHeight="1">
      <c r="A1362" s="34" t="s">
        <v>3808</v>
      </c>
      <c r="B1362" s="37" t="s">
        <v>2722</v>
      </c>
      <c r="C1362" s="53">
        <v>14.087887</v>
      </c>
      <c r="D1362" s="53">
        <v>13.298862</v>
      </c>
      <c r="E1362" s="53">
        <v>12.959025</v>
      </c>
      <c r="F1362" s="53">
        <v>13.731659000000001</v>
      </c>
      <c r="G1362" s="53">
        <v>14.544102000000001</v>
      </c>
      <c r="H1362" s="53">
        <v>15.168856999999999</v>
      </c>
      <c r="I1362" s="53">
        <v>15.799041000000001</v>
      </c>
      <c r="J1362" s="53">
        <v>16.296669000000001</v>
      </c>
      <c r="K1362" s="53">
        <v>16.851782</v>
      </c>
      <c r="L1362" s="53">
        <v>17.444889</v>
      </c>
      <c r="M1362" s="53">
        <v>18.120846</v>
      </c>
      <c r="N1362" s="53">
        <v>18.759433999999999</v>
      </c>
      <c r="O1362" s="53">
        <v>19.565123</v>
      </c>
      <c r="P1362" s="53">
        <v>20.361414</v>
      </c>
      <c r="Q1362" s="53">
        <v>21.105426999999999</v>
      </c>
      <c r="R1362" s="53">
        <v>21.836137999999998</v>
      </c>
      <c r="S1362" s="53">
        <v>22.524815</v>
      </c>
      <c r="T1362" s="53">
        <v>23.372250000000001</v>
      </c>
      <c r="U1362" s="53">
        <v>24.283861000000002</v>
      </c>
      <c r="V1362" s="53">
        <v>25.145458000000001</v>
      </c>
      <c r="W1362" s="53">
        <v>26.050858000000002</v>
      </c>
      <c r="X1362" s="53">
        <v>26.987176999999999</v>
      </c>
      <c r="Y1362" s="53">
        <v>27.857512</v>
      </c>
      <c r="Z1362" s="53">
        <v>28.721550000000001</v>
      </c>
      <c r="AA1362" s="53">
        <v>29.763324999999998</v>
      </c>
      <c r="AB1362" s="53">
        <v>30.876905000000001</v>
      </c>
      <c r="AC1362" s="53">
        <v>31.794143999999999</v>
      </c>
      <c r="AD1362" s="53">
        <v>32.904021999999998</v>
      </c>
      <c r="AE1362" s="53">
        <v>34.330897999999998</v>
      </c>
      <c r="AF1362" s="35">
        <v>3.2322999999999998E-2</v>
      </c>
      <c r="AG1362" s="29"/>
    </row>
    <row r="1363" spans="1:33" ht="15" customHeight="1">
      <c r="A1363" s="34" t="s">
        <v>3809</v>
      </c>
      <c r="B1363" s="37" t="s">
        <v>2724</v>
      </c>
      <c r="C1363" s="53">
        <v>4.2892770000000002</v>
      </c>
      <c r="D1363" s="53">
        <v>4.2627360000000003</v>
      </c>
      <c r="E1363" s="53">
        <v>4.2506389999999996</v>
      </c>
      <c r="F1363" s="53">
        <v>4.3683930000000002</v>
      </c>
      <c r="G1363" s="53">
        <v>4.6320040000000002</v>
      </c>
      <c r="H1363" s="53">
        <v>4.8791320000000002</v>
      </c>
      <c r="I1363" s="53">
        <v>5.051202</v>
      </c>
      <c r="J1363" s="53">
        <v>5.2000289999999998</v>
      </c>
      <c r="K1363" s="53">
        <v>5.3164360000000004</v>
      </c>
      <c r="L1363" s="53">
        <v>5.4682120000000003</v>
      </c>
      <c r="M1363" s="53">
        <v>5.6309639999999996</v>
      </c>
      <c r="N1363" s="53">
        <v>5.8100550000000002</v>
      </c>
      <c r="O1363" s="53">
        <v>6.0097579999999997</v>
      </c>
      <c r="P1363" s="53">
        <v>6.2385380000000001</v>
      </c>
      <c r="Q1363" s="53">
        <v>6.3946329999999998</v>
      </c>
      <c r="R1363" s="53">
        <v>6.6288499999999999</v>
      </c>
      <c r="S1363" s="53">
        <v>6.8322510000000003</v>
      </c>
      <c r="T1363" s="53">
        <v>7.0799899999999996</v>
      </c>
      <c r="U1363" s="53">
        <v>7.3971660000000004</v>
      </c>
      <c r="V1363" s="53">
        <v>7.7035359999999997</v>
      </c>
      <c r="W1363" s="53">
        <v>7.9602279999999999</v>
      </c>
      <c r="X1363" s="53">
        <v>8.2312100000000008</v>
      </c>
      <c r="Y1363" s="53">
        <v>8.5038610000000006</v>
      </c>
      <c r="Z1363" s="53">
        <v>8.7806149999999992</v>
      </c>
      <c r="AA1363" s="53">
        <v>9.0963309999999993</v>
      </c>
      <c r="AB1363" s="53">
        <v>9.4385969999999997</v>
      </c>
      <c r="AC1363" s="53">
        <v>9.7335410000000007</v>
      </c>
      <c r="AD1363" s="53">
        <v>10.062355</v>
      </c>
      <c r="AE1363" s="53">
        <v>10.471005</v>
      </c>
      <c r="AF1363" s="35">
        <v>3.2388E-2</v>
      </c>
      <c r="AG1363" s="29"/>
    </row>
    <row r="1364" spans="1:33" ht="15" customHeight="1">
      <c r="A1364" s="34" t="s">
        <v>3810</v>
      </c>
      <c r="B1364" s="37" t="s">
        <v>1469</v>
      </c>
      <c r="C1364" s="53">
        <v>5.437945</v>
      </c>
      <c r="D1364" s="53">
        <v>5.4711179999999997</v>
      </c>
      <c r="E1364" s="53">
        <v>5.6207310000000001</v>
      </c>
      <c r="F1364" s="53">
        <v>5.8607760000000004</v>
      </c>
      <c r="G1364" s="53">
        <v>6.1490359999999997</v>
      </c>
      <c r="H1364" s="53">
        <v>6.4027789999999998</v>
      </c>
      <c r="I1364" s="53">
        <v>6.6045550000000004</v>
      </c>
      <c r="J1364" s="53">
        <v>6.7800570000000002</v>
      </c>
      <c r="K1364" s="53">
        <v>6.940061</v>
      </c>
      <c r="L1364" s="53">
        <v>7.1279440000000003</v>
      </c>
      <c r="M1364" s="53">
        <v>7.3551219999999997</v>
      </c>
      <c r="N1364" s="53">
        <v>7.5579289999999997</v>
      </c>
      <c r="O1364" s="53">
        <v>7.7803979999999999</v>
      </c>
      <c r="P1364" s="53">
        <v>8.0016180000000006</v>
      </c>
      <c r="Q1364" s="53">
        <v>8.1812579999999997</v>
      </c>
      <c r="R1364" s="53">
        <v>8.3561130000000006</v>
      </c>
      <c r="S1364" s="53">
        <v>8.5269790000000008</v>
      </c>
      <c r="T1364" s="53">
        <v>8.6358390000000007</v>
      </c>
      <c r="U1364" s="53">
        <v>8.7642129999999998</v>
      </c>
      <c r="V1364" s="53">
        <v>8.9263100000000009</v>
      </c>
      <c r="W1364" s="53">
        <v>9.0384709999999995</v>
      </c>
      <c r="X1364" s="53">
        <v>9.1030149999999992</v>
      </c>
      <c r="Y1364" s="53">
        <v>9.1357560000000007</v>
      </c>
      <c r="Z1364" s="53">
        <v>9.156841</v>
      </c>
      <c r="AA1364" s="53">
        <v>9.2234590000000001</v>
      </c>
      <c r="AB1364" s="53">
        <v>9.3319759999999992</v>
      </c>
      <c r="AC1364" s="53">
        <v>9.3904409999999991</v>
      </c>
      <c r="AD1364" s="53">
        <v>9.4661159999999995</v>
      </c>
      <c r="AE1364" s="53">
        <v>9.6042120000000004</v>
      </c>
      <c r="AF1364" s="35">
        <v>2.0521999999999999E-2</v>
      </c>
      <c r="AG1364" s="29"/>
    </row>
    <row r="1365" spans="1:33" ht="15" customHeight="1">
      <c r="A1365" s="34" t="s">
        <v>3811</v>
      </c>
      <c r="B1365" s="37" t="s">
        <v>2727</v>
      </c>
      <c r="C1365" s="53">
        <v>122.35292800000001</v>
      </c>
      <c r="D1365" s="53">
        <v>109.13958700000001</v>
      </c>
      <c r="E1365" s="53">
        <v>110.026634</v>
      </c>
      <c r="F1365" s="53">
        <v>111.812271</v>
      </c>
      <c r="G1365" s="53">
        <v>114.39952099999999</v>
      </c>
      <c r="H1365" s="53">
        <v>117.68254899999999</v>
      </c>
      <c r="I1365" s="53">
        <v>120.99807699999999</v>
      </c>
      <c r="J1365" s="53">
        <v>124.132767</v>
      </c>
      <c r="K1365" s="53">
        <v>126.76403000000001</v>
      </c>
      <c r="L1365" s="53">
        <v>129.08990499999999</v>
      </c>
      <c r="M1365" s="53">
        <v>132.535629</v>
      </c>
      <c r="N1365" s="53">
        <v>136.38853499999999</v>
      </c>
      <c r="O1365" s="53">
        <v>140.80069</v>
      </c>
      <c r="P1365" s="53">
        <v>145.75415000000001</v>
      </c>
      <c r="Q1365" s="53">
        <v>150.89297500000001</v>
      </c>
      <c r="R1365" s="53">
        <v>155.99648999999999</v>
      </c>
      <c r="S1365" s="53">
        <v>161.78633099999999</v>
      </c>
      <c r="T1365" s="53">
        <v>167.99714700000001</v>
      </c>
      <c r="U1365" s="53">
        <v>174.44899000000001</v>
      </c>
      <c r="V1365" s="53">
        <v>181.766876</v>
      </c>
      <c r="W1365" s="53">
        <v>189.844223</v>
      </c>
      <c r="X1365" s="53">
        <v>198.17659</v>
      </c>
      <c r="Y1365" s="53">
        <v>206.64267000000001</v>
      </c>
      <c r="Z1365" s="53">
        <v>214.87768600000001</v>
      </c>
      <c r="AA1365" s="53">
        <v>222.978714</v>
      </c>
      <c r="AB1365" s="53">
        <v>231.70996099999999</v>
      </c>
      <c r="AC1365" s="53">
        <v>240.668488</v>
      </c>
      <c r="AD1365" s="53">
        <v>249.02076700000001</v>
      </c>
      <c r="AE1365" s="53">
        <v>257.76919600000002</v>
      </c>
      <c r="AF1365" s="35">
        <v>2.6970000000000001E-2</v>
      </c>
      <c r="AG1365" s="29"/>
    </row>
    <row r="1366" spans="1:33" ht="15" customHeight="1">
      <c r="A1366" s="34" t="s">
        <v>3812</v>
      </c>
      <c r="B1366" s="37" t="s">
        <v>2729</v>
      </c>
      <c r="C1366" s="53">
        <v>164.93203700000001</v>
      </c>
      <c r="D1366" s="53">
        <v>178.18705700000001</v>
      </c>
      <c r="E1366" s="53">
        <v>176.932861</v>
      </c>
      <c r="F1366" s="53">
        <v>175.74255400000001</v>
      </c>
      <c r="G1366" s="53">
        <v>174.42179899999999</v>
      </c>
      <c r="H1366" s="53">
        <v>173.341263</v>
      </c>
      <c r="I1366" s="53">
        <v>171.767639</v>
      </c>
      <c r="J1366" s="53">
        <v>170.02563499999999</v>
      </c>
      <c r="K1366" s="53">
        <v>167.984375</v>
      </c>
      <c r="L1366" s="53">
        <v>166.02514600000001</v>
      </c>
      <c r="M1366" s="53">
        <v>164.69703699999999</v>
      </c>
      <c r="N1366" s="53">
        <v>163.723083</v>
      </c>
      <c r="O1366" s="53">
        <v>163.149124</v>
      </c>
      <c r="P1366" s="53">
        <v>161.85148599999999</v>
      </c>
      <c r="Q1366" s="53">
        <v>160.90116900000001</v>
      </c>
      <c r="R1366" s="53">
        <v>160.17222599999999</v>
      </c>
      <c r="S1366" s="53">
        <v>159.15205399999999</v>
      </c>
      <c r="T1366" s="53">
        <v>158.84066799999999</v>
      </c>
      <c r="U1366" s="53">
        <v>158.75943000000001</v>
      </c>
      <c r="V1366" s="53">
        <v>158.68443300000001</v>
      </c>
      <c r="W1366" s="53">
        <v>158.55928</v>
      </c>
      <c r="X1366" s="53">
        <v>158.515152</v>
      </c>
      <c r="Y1366" s="53">
        <v>158.52491800000001</v>
      </c>
      <c r="Z1366" s="53">
        <v>158.38317900000001</v>
      </c>
      <c r="AA1366" s="53">
        <v>158.707977</v>
      </c>
      <c r="AB1366" s="53">
        <v>159.07862900000001</v>
      </c>
      <c r="AC1366" s="53">
        <v>159.04011499999999</v>
      </c>
      <c r="AD1366" s="53">
        <v>159.34996000000001</v>
      </c>
      <c r="AE1366" s="53">
        <v>160.35874899999999</v>
      </c>
      <c r="AF1366" s="35">
        <v>-1.0039999999999999E-3</v>
      </c>
      <c r="AG1366" s="29"/>
    </row>
    <row r="1367" spans="1:33" ht="12" customHeight="1">
      <c r="A1367" s="34" t="s">
        <v>3813</v>
      </c>
      <c r="B1367" s="37" t="s">
        <v>2731</v>
      </c>
      <c r="C1367" s="53">
        <v>158.57839999999999</v>
      </c>
      <c r="D1367" s="53">
        <v>171.39331100000001</v>
      </c>
      <c r="E1367" s="53">
        <v>169.871353</v>
      </c>
      <c r="F1367" s="53">
        <v>168.646896</v>
      </c>
      <c r="G1367" s="53">
        <v>167.40261799999999</v>
      </c>
      <c r="H1367" s="53">
        <v>166.3134</v>
      </c>
      <c r="I1367" s="53">
        <v>164.81050099999999</v>
      </c>
      <c r="J1367" s="53">
        <v>163.14112900000001</v>
      </c>
      <c r="K1367" s="53">
        <v>161.159088</v>
      </c>
      <c r="L1367" s="53">
        <v>159.307312</v>
      </c>
      <c r="M1367" s="53">
        <v>158.03093000000001</v>
      </c>
      <c r="N1367" s="53">
        <v>157.067352</v>
      </c>
      <c r="O1367" s="53">
        <v>156.56523100000001</v>
      </c>
      <c r="P1367" s="53">
        <v>155.314819</v>
      </c>
      <c r="Q1367" s="53">
        <v>154.39558400000001</v>
      </c>
      <c r="R1367" s="53">
        <v>153.73779300000001</v>
      </c>
      <c r="S1367" s="53">
        <v>152.77659600000001</v>
      </c>
      <c r="T1367" s="53">
        <v>152.559326</v>
      </c>
      <c r="U1367" s="53">
        <v>152.52359000000001</v>
      </c>
      <c r="V1367" s="53">
        <v>152.510086</v>
      </c>
      <c r="W1367" s="53">
        <v>152.432053</v>
      </c>
      <c r="X1367" s="53">
        <v>152.42974899999999</v>
      </c>
      <c r="Y1367" s="53">
        <v>152.48445100000001</v>
      </c>
      <c r="Z1367" s="53">
        <v>152.386124</v>
      </c>
      <c r="AA1367" s="53">
        <v>152.746002</v>
      </c>
      <c r="AB1367" s="53">
        <v>153.15275600000001</v>
      </c>
      <c r="AC1367" s="53">
        <v>153.17849699999999</v>
      </c>
      <c r="AD1367" s="53">
        <v>153.52034</v>
      </c>
      <c r="AE1367" s="53">
        <v>154.53689600000001</v>
      </c>
      <c r="AF1367" s="35">
        <v>-9.2199999999999997E-4</v>
      </c>
      <c r="AG1367" s="29"/>
    </row>
    <row r="1368" spans="1:33" ht="15" customHeight="1">
      <c r="A1368" s="34" t="s">
        <v>3814</v>
      </c>
      <c r="B1368" s="37" t="s">
        <v>2733</v>
      </c>
      <c r="C1368" s="53">
        <v>6.3536339999999996</v>
      </c>
      <c r="D1368" s="53">
        <v>6.7937479999999999</v>
      </c>
      <c r="E1368" s="53">
        <v>7.0615119999999996</v>
      </c>
      <c r="F1368" s="53">
        <v>7.0956619999999999</v>
      </c>
      <c r="G1368" s="53">
        <v>7.0191800000000004</v>
      </c>
      <c r="H1368" s="53">
        <v>7.0278650000000003</v>
      </c>
      <c r="I1368" s="53">
        <v>6.9571300000000003</v>
      </c>
      <c r="J1368" s="53">
        <v>6.8845070000000002</v>
      </c>
      <c r="K1368" s="53">
        <v>6.825291</v>
      </c>
      <c r="L1368" s="53">
        <v>6.7178269999999998</v>
      </c>
      <c r="M1368" s="53">
        <v>6.6661080000000004</v>
      </c>
      <c r="N1368" s="53">
        <v>6.6557310000000003</v>
      </c>
      <c r="O1368" s="53">
        <v>6.5838919999999996</v>
      </c>
      <c r="P1368" s="53">
        <v>6.53667</v>
      </c>
      <c r="Q1368" s="53">
        <v>6.505579</v>
      </c>
      <c r="R1368" s="53">
        <v>6.4344359999999998</v>
      </c>
      <c r="S1368" s="53">
        <v>6.3754629999999999</v>
      </c>
      <c r="T1368" s="53">
        <v>6.2813350000000003</v>
      </c>
      <c r="U1368" s="53">
        <v>6.2358330000000004</v>
      </c>
      <c r="V1368" s="53">
        <v>6.174353</v>
      </c>
      <c r="W1368" s="53">
        <v>6.1272339999999996</v>
      </c>
      <c r="X1368" s="53">
        <v>6.0853999999999999</v>
      </c>
      <c r="Y1368" s="53">
        <v>6.0404629999999999</v>
      </c>
      <c r="Z1368" s="53">
        <v>5.9970540000000003</v>
      </c>
      <c r="AA1368" s="53">
        <v>5.9619780000000002</v>
      </c>
      <c r="AB1368" s="53">
        <v>5.9258699999999997</v>
      </c>
      <c r="AC1368" s="53">
        <v>5.8616239999999999</v>
      </c>
      <c r="AD1368" s="53">
        <v>5.8296190000000001</v>
      </c>
      <c r="AE1368" s="53">
        <v>5.8218579999999998</v>
      </c>
      <c r="AF1368" s="35">
        <v>-3.117E-3</v>
      </c>
      <c r="AG1368" s="29"/>
    </row>
    <row r="1369" spans="1:33" ht="15" customHeight="1">
      <c r="A1369" s="34" t="s">
        <v>3815</v>
      </c>
      <c r="B1369" s="37" t="s">
        <v>2735</v>
      </c>
      <c r="C1369" s="53">
        <v>19.408698999999999</v>
      </c>
      <c r="D1369" s="53">
        <v>19.095120999999999</v>
      </c>
      <c r="E1369" s="53">
        <v>19.053432000000001</v>
      </c>
      <c r="F1369" s="53">
        <v>19.427320000000002</v>
      </c>
      <c r="G1369" s="53">
        <v>20.016207000000001</v>
      </c>
      <c r="H1369" s="53">
        <v>20.497198000000001</v>
      </c>
      <c r="I1369" s="53">
        <v>20.907080000000001</v>
      </c>
      <c r="J1369" s="53">
        <v>21.309678999999999</v>
      </c>
      <c r="K1369" s="53">
        <v>21.670352999999999</v>
      </c>
      <c r="L1369" s="53">
        <v>22.094052999999999</v>
      </c>
      <c r="M1369" s="53">
        <v>22.618189000000001</v>
      </c>
      <c r="N1369" s="53">
        <v>23.092234000000001</v>
      </c>
      <c r="O1369" s="53">
        <v>23.554538999999998</v>
      </c>
      <c r="P1369" s="53">
        <v>24.103752</v>
      </c>
      <c r="Q1369" s="53">
        <v>24.591785000000002</v>
      </c>
      <c r="R1369" s="53">
        <v>25.061392000000001</v>
      </c>
      <c r="S1369" s="53">
        <v>25.57254</v>
      </c>
      <c r="T1369" s="53">
        <v>26.059073999999999</v>
      </c>
      <c r="U1369" s="53">
        <v>26.569244000000001</v>
      </c>
      <c r="V1369" s="53">
        <v>27.147977999999998</v>
      </c>
      <c r="W1369" s="53">
        <v>27.696617</v>
      </c>
      <c r="X1369" s="53">
        <v>28.292287999999999</v>
      </c>
      <c r="Y1369" s="53">
        <v>28.825669999999999</v>
      </c>
      <c r="Z1369" s="53">
        <v>29.330466999999999</v>
      </c>
      <c r="AA1369" s="53">
        <v>29.888504000000001</v>
      </c>
      <c r="AB1369" s="53">
        <v>30.474509999999999</v>
      </c>
      <c r="AC1369" s="53">
        <v>31.002175999999999</v>
      </c>
      <c r="AD1369" s="53">
        <v>31.550207</v>
      </c>
      <c r="AE1369" s="53">
        <v>32.307513999999998</v>
      </c>
      <c r="AF1369" s="35">
        <v>1.8366E-2</v>
      </c>
      <c r="AG1369" s="29"/>
    </row>
    <row r="1370" spans="1:33" ht="15" customHeight="1">
      <c r="A1370" s="34" t="s">
        <v>3816</v>
      </c>
      <c r="B1370" s="37" t="s">
        <v>1479</v>
      </c>
      <c r="C1370" s="53">
        <v>19.047585999999999</v>
      </c>
      <c r="D1370" s="53">
        <v>18.323782000000001</v>
      </c>
      <c r="E1370" s="53">
        <v>18.319023000000001</v>
      </c>
      <c r="F1370" s="53">
        <v>18.782063999999998</v>
      </c>
      <c r="G1370" s="53">
        <v>19.397898000000001</v>
      </c>
      <c r="H1370" s="53">
        <v>19.917427</v>
      </c>
      <c r="I1370" s="53">
        <v>20.323294000000001</v>
      </c>
      <c r="J1370" s="53">
        <v>20.652397000000001</v>
      </c>
      <c r="K1370" s="53">
        <v>20.894524000000001</v>
      </c>
      <c r="L1370" s="53">
        <v>21.144932000000001</v>
      </c>
      <c r="M1370" s="53">
        <v>21.567692000000001</v>
      </c>
      <c r="N1370" s="53">
        <v>21.904737000000001</v>
      </c>
      <c r="O1370" s="53">
        <v>22.160305000000001</v>
      </c>
      <c r="P1370" s="53">
        <v>22.544874</v>
      </c>
      <c r="Q1370" s="53">
        <v>22.803346999999999</v>
      </c>
      <c r="R1370" s="53">
        <v>23.059853</v>
      </c>
      <c r="S1370" s="53">
        <v>23.448093</v>
      </c>
      <c r="T1370" s="53">
        <v>23.771339000000001</v>
      </c>
      <c r="U1370" s="53">
        <v>24.080158000000001</v>
      </c>
      <c r="V1370" s="53">
        <v>24.382197999999999</v>
      </c>
      <c r="W1370" s="53">
        <v>24.680166</v>
      </c>
      <c r="X1370" s="53">
        <v>24.815643000000001</v>
      </c>
      <c r="Y1370" s="53">
        <v>25.077583000000001</v>
      </c>
      <c r="Z1370" s="53">
        <v>25.409838000000001</v>
      </c>
      <c r="AA1370" s="53">
        <v>25.718223999999999</v>
      </c>
      <c r="AB1370" s="53">
        <v>26.006578000000001</v>
      </c>
      <c r="AC1370" s="53">
        <v>26.223251000000001</v>
      </c>
      <c r="AD1370" s="53">
        <v>26.445526000000001</v>
      </c>
      <c r="AE1370" s="53">
        <v>26.716588999999999</v>
      </c>
      <c r="AF1370" s="35">
        <v>1.2156999999999999E-2</v>
      </c>
      <c r="AG1370" s="29"/>
    </row>
    <row r="1371" spans="1:33" ht="15" customHeight="1">
      <c r="A1371" s="34" t="s">
        <v>3817</v>
      </c>
      <c r="B1371" s="37" t="s">
        <v>1477</v>
      </c>
      <c r="C1371" s="53">
        <v>4.4743940000000002</v>
      </c>
      <c r="D1371" s="53">
        <v>4.2835390000000002</v>
      </c>
      <c r="E1371" s="53">
        <v>4.2949590000000004</v>
      </c>
      <c r="F1371" s="53">
        <v>4.3890659999999997</v>
      </c>
      <c r="G1371" s="53">
        <v>4.5923420000000004</v>
      </c>
      <c r="H1371" s="53">
        <v>4.7312409999999998</v>
      </c>
      <c r="I1371" s="53">
        <v>4.8493180000000002</v>
      </c>
      <c r="J1371" s="53">
        <v>4.9493150000000004</v>
      </c>
      <c r="K1371" s="53">
        <v>5.0293320000000001</v>
      </c>
      <c r="L1371" s="53">
        <v>5.1143260000000001</v>
      </c>
      <c r="M1371" s="53">
        <v>5.221787</v>
      </c>
      <c r="N1371" s="53">
        <v>5.3390110000000002</v>
      </c>
      <c r="O1371" s="53">
        <v>5.4540620000000004</v>
      </c>
      <c r="P1371" s="53">
        <v>5.5852180000000002</v>
      </c>
      <c r="Q1371" s="53">
        <v>5.6726450000000002</v>
      </c>
      <c r="R1371" s="53">
        <v>5.7650160000000001</v>
      </c>
      <c r="S1371" s="53">
        <v>5.8682990000000004</v>
      </c>
      <c r="T1371" s="53">
        <v>6.0008509999999999</v>
      </c>
      <c r="U1371" s="53">
        <v>6.1387309999999999</v>
      </c>
      <c r="V1371" s="53">
        <v>6.2490410000000001</v>
      </c>
      <c r="W1371" s="53">
        <v>6.3848710000000004</v>
      </c>
      <c r="X1371" s="53">
        <v>6.4641140000000004</v>
      </c>
      <c r="Y1371" s="53">
        <v>6.5643320000000003</v>
      </c>
      <c r="Z1371" s="53">
        <v>6.6784179999999997</v>
      </c>
      <c r="AA1371" s="53">
        <v>6.8250859999999998</v>
      </c>
      <c r="AB1371" s="53">
        <v>6.9333210000000003</v>
      </c>
      <c r="AC1371" s="53">
        <v>7.0025209999999998</v>
      </c>
      <c r="AD1371" s="53">
        <v>7.1001250000000002</v>
      </c>
      <c r="AE1371" s="53">
        <v>7.2208959999999998</v>
      </c>
      <c r="AF1371" s="35">
        <v>1.7239999999999998E-2</v>
      </c>
      <c r="AG1371" s="29"/>
    </row>
    <row r="1372" spans="1:33" ht="15" customHeight="1">
      <c r="A1372" s="34" t="s">
        <v>3818</v>
      </c>
      <c r="B1372" s="37" t="s">
        <v>1465</v>
      </c>
      <c r="C1372" s="53">
        <v>1.6544449999999999</v>
      </c>
      <c r="D1372" s="53">
        <v>1.5466869999999999</v>
      </c>
      <c r="E1372" s="53">
        <v>1.514084</v>
      </c>
      <c r="F1372" s="53">
        <v>1.5323009999999999</v>
      </c>
      <c r="G1372" s="53">
        <v>1.549539</v>
      </c>
      <c r="H1372" s="53">
        <v>1.5814159999999999</v>
      </c>
      <c r="I1372" s="53">
        <v>1.575056</v>
      </c>
      <c r="J1372" s="53">
        <v>1.592562</v>
      </c>
      <c r="K1372" s="53">
        <v>1.585934</v>
      </c>
      <c r="L1372" s="53">
        <v>1.583842</v>
      </c>
      <c r="M1372" s="53">
        <v>1.6360980000000001</v>
      </c>
      <c r="N1372" s="53">
        <v>1.6521429999999999</v>
      </c>
      <c r="O1372" s="53">
        <v>1.6385460000000001</v>
      </c>
      <c r="P1372" s="53">
        <v>1.6815260000000001</v>
      </c>
      <c r="Q1372" s="53">
        <v>1.689657</v>
      </c>
      <c r="R1372" s="53">
        <v>1.654271</v>
      </c>
      <c r="S1372" s="53">
        <v>1.7100949999999999</v>
      </c>
      <c r="T1372" s="53">
        <v>1.688472</v>
      </c>
      <c r="U1372" s="53">
        <v>1.6566240000000001</v>
      </c>
      <c r="V1372" s="53">
        <v>1.627629</v>
      </c>
      <c r="W1372" s="53">
        <v>1.6282140000000001</v>
      </c>
      <c r="X1372" s="53">
        <v>1.6169720000000001</v>
      </c>
      <c r="Y1372" s="53">
        <v>1.6148279999999999</v>
      </c>
      <c r="Z1372" s="53">
        <v>1.618719</v>
      </c>
      <c r="AA1372" s="53">
        <v>1.608503</v>
      </c>
      <c r="AB1372" s="53">
        <v>1.5999159999999999</v>
      </c>
      <c r="AC1372" s="53">
        <v>1.591655</v>
      </c>
      <c r="AD1372" s="53">
        <v>1.580497</v>
      </c>
      <c r="AE1372" s="53">
        <v>1.5718799999999999</v>
      </c>
      <c r="AF1372" s="35">
        <v>-1.8270000000000001E-3</v>
      </c>
      <c r="AG1372" s="29"/>
    </row>
    <row r="1373" spans="1:33" ht="15" customHeight="1">
      <c r="A1373" s="34" t="s">
        <v>3819</v>
      </c>
      <c r="B1373" s="37" t="s">
        <v>2740</v>
      </c>
      <c r="C1373" s="53">
        <v>12.918747</v>
      </c>
      <c r="D1373" s="53">
        <v>12.493556</v>
      </c>
      <c r="E1373" s="53">
        <v>12.509979</v>
      </c>
      <c r="F1373" s="53">
        <v>12.860697999999999</v>
      </c>
      <c r="G1373" s="53">
        <v>13.256017</v>
      </c>
      <c r="H1373" s="53">
        <v>13.60477</v>
      </c>
      <c r="I1373" s="53">
        <v>13.89892</v>
      </c>
      <c r="J1373" s="53">
        <v>14.110521</v>
      </c>
      <c r="K1373" s="53">
        <v>14.279259</v>
      </c>
      <c r="L1373" s="53">
        <v>14.446762</v>
      </c>
      <c r="M1373" s="53">
        <v>14.709807</v>
      </c>
      <c r="N1373" s="53">
        <v>14.913584</v>
      </c>
      <c r="O1373" s="53">
        <v>15.067697000000001</v>
      </c>
      <c r="P1373" s="53">
        <v>15.278131</v>
      </c>
      <c r="Q1373" s="53">
        <v>15.441045000000001</v>
      </c>
      <c r="R1373" s="53">
        <v>15.640565</v>
      </c>
      <c r="S1373" s="53">
        <v>15.869699000000001</v>
      </c>
      <c r="T1373" s="53">
        <v>16.082018000000001</v>
      </c>
      <c r="U1373" s="53">
        <v>16.284803</v>
      </c>
      <c r="V1373" s="53">
        <v>16.505527000000001</v>
      </c>
      <c r="W1373" s="53">
        <v>16.667082000000001</v>
      </c>
      <c r="X1373" s="53">
        <v>16.734558</v>
      </c>
      <c r="Y1373" s="53">
        <v>16.898423999999999</v>
      </c>
      <c r="Z1373" s="53">
        <v>17.112701000000001</v>
      </c>
      <c r="AA1373" s="53">
        <v>17.284634</v>
      </c>
      <c r="AB1373" s="53">
        <v>17.473341000000001</v>
      </c>
      <c r="AC1373" s="53">
        <v>17.629076000000001</v>
      </c>
      <c r="AD1373" s="53">
        <v>17.764904000000001</v>
      </c>
      <c r="AE1373" s="53">
        <v>17.923812999999999</v>
      </c>
      <c r="AF1373" s="35">
        <v>1.1762999999999999E-2</v>
      </c>
      <c r="AG1373" s="29"/>
    </row>
    <row r="1374" spans="1:33" ht="15" customHeight="1">
      <c r="A1374" s="34" t="s">
        <v>3820</v>
      </c>
      <c r="B1374" s="37" t="s">
        <v>2742</v>
      </c>
      <c r="C1374" s="53">
        <v>21.712662000000002</v>
      </c>
      <c r="D1374" s="53">
        <v>21.698051</v>
      </c>
      <c r="E1374" s="53">
        <v>22.071204999999999</v>
      </c>
      <c r="F1374" s="53">
        <v>23.047884</v>
      </c>
      <c r="G1374" s="53">
        <v>24.238078999999999</v>
      </c>
      <c r="H1374" s="53">
        <v>25.071926000000001</v>
      </c>
      <c r="I1374" s="53">
        <v>25.719601000000001</v>
      </c>
      <c r="J1374" s="53">
        <v>26.25264</v>
      </c>
      <c r="K1374" s="53">
        <v>26.667124000000001</v>
      </c>
      <c r="L1374" s="53">
        <v>27.082708</v>
      </c>
      <c r="M1374" s="53">
        <v>27.621986</v>
      </c>
      <c r="N1374" s="53">
        <v>28.112155999999999</v>
      </c>
      <c r="O1374" s="53">
        <v>28.683762000000002</v>
      </c>
      <c r="P1374" s="53">
        <v>29.355843</v>
      </c>
      <c r="Q1374" s="53">
        <v>30.026544999999999</v>
      </c>
      <c r="R1374" s="53">
        <v>30.760679</v>
      </c>
      <c r="S1374" s="53">
        <v>31.560943999999999</v>
      </c>
      <c r="T1374" s="53">
        <v>32.413094000000001</v>
      </c>
      <c r="U1374" s="53">
        <v>33.247962999999999</v>
      </c>
      <c r="V1374" s="53">
        <v>34.136246</v>
      </c>
      <c r="W1374" s="53">
        <v>35.039349000000001</v>
      </c>
      <c r="X1374" s="53">
        <v>35.906135999999996</v>
      </c>
      <c r="Y1374" s="53">
        <v>36.780890999999997</v>
      </c>
      <c r="Z1374" s="53">
        <v>37.748688000000001</v>
      </c>
      <c r="AA1374" s="53">
        <v>38.771782000000002</v>
      </c>
      <c r="AB1374" s="53">
        <v>39.764159999999997</v>
      </c>
      <c r="AC1374" s="53">
        <v>40.658630000000002</v>
      </c>
      <c r="AD1374" s="53">
        <v>41.609985000000002</v>
      </c>
      <c r="AE1374" s="53">
        <v>42.704265999999997</v>
      </c>
      <c r="AF1374" s="35">
        <v>2.4451000000000001E-2</v>
      </c>
      <c r="AG1374" s="29"/>
    </row>
    <row r="1375" spans="1:33" ht="15" customHeight="1">
      <c r="A1375" s="34" t="s">
        <v>3821</v>
      </c>
      <c r="B1375" s="37" t="s">
        <v>1464</v>
      </c>
      <c r="C1375" s="53">
        <v>5.1877209999999998</v>
      </c>
      <c r="D1375" s="53">
        <v>5.0855560000000004</v>
      </c>
      <c r="E1375" s="53">
        <v>5.0109519999999996</v>
      </c>
      <c r="F1375" s="53">
        <v>5.158474</v>
      </c>
      <c r="G1375" s="53">
        <v>5.442259</v>
      </c>
      <c r="H1375" s="53">
        <v>5.560543</v>
      </c>
      <c r="I1375" s="53">
        <v>5.6497200000000003</v>
      </c>
      <c r="J1375" s="53">
        <v>5.7307670000000002</v>
      </c>
      <c r="K1375" s="53">
        <v>5.7197969999999998</v>
      </c>
      <c r="L1375" s="53">
        <v>5.7347039999999998</v>
      </c>
      <c r="M1375" s="53">
        <v>5.7948919999999999</v>
      </c>
      <c r="N1375" s="53">
        <v>5.8277109999999999</v>
      </c>
      <c r="O1375" s="53">
        <v>5.8598169999999996</v>
      </c>
      <c r="P1375" s="53">
        <v>5.9493549999999997</v>
      </c>
      <c r="Q1375" s="53">
        <v>6.0110950000000001</v>
      </c>
      <c r="R1375" s="53">
        <v>6.126932</v>
      </c>
      <c r="S1375" s="53">
        <v>6.230645</v>
      </c>
      <c r="T1375" s="53">
        <v>6.339461</v>
      </c>
      <c r="U1375" s="53">
        <v>6.4326759999999998</v>
      </c>
      <c r="V1375" s="53">
        <v>6.5471259999999996</v>
      </c>
      <c r="W1375" s="53">
        <v>6.6635049999999998</v>
      </c>
      <c r="X1375" s="53">
        <v>6.7473799999999997</v>
      </c>
      <c r="Y1375" s="53">
        <v>6.8149139999999999</v>
      </c>
      <c r="Z1375" s="53">
        <v>6.8692890000000002</v>
      </c>
      <c r="AA1375" s="53">
        <v>6.9509829999999999</v>
      </c>
      <c r="AB1375" s="53">
        <v>7.0493680000000003</v>
      </c>
      <c r="AC1375" s="53">
        <v>7.1207209999999996</v>
      </c>
      <c r="AD1375" s="53">
        <v>7.1975519999999999</v>
      </c>
      <c r="AE1375" s="53">
        <v>7.338902</v>
      </c>
      <c r="AF1375" s="35">
        <v>1.2466E-2</v>
      </c>
      <c r="AG1375" s="29"/>
    </row>
    <row r="1376" spans="1:33" ht="15" customHeight="1">
      <c r="A1376" s="34" t="s">
        <v>3822</v>
      </c>
      <c r="B1376" s="37" t="s">
        <v>1482</v>
      </c>
      <c r="C1376" s="53">
        <v>5.846959</v>
      </c>
      <c r="D1376" s="53">
        <v>5.8190879999999998</v>
      </c>
      <c r="E1376" s="53">
        <v>5.9172760000000002</v>
      </c>
      <c r="F1376" s="53">
        <v>6.1733650000000004</v>
      </c>
      <c r="G1376" s="53">
        <v>6.4427349999999999</v>
      </c>
      <c r="H1376" s="53">
        <v>6.6299070000000002</v>
      </c>
      <c r="I1376" s="53">
        <v>6.7723079999999998</v>
      </c>
      <c r="J1376" s="53">
        <v>6.8668699999999996</v>
      </c>
      <c r="K1376" s="53">
        <v>6.9503940000000002</v>
      </c>
      <c r="L1376" s="53">
        <v>7.0177269999999998</v>
      </c>
      <c r="M1376" s="53">
        <v>7.1119979999999998</v>
      </c>
      <c r="N1376" s="53">
        <v>7.2038270000000004</v>
      </c>
      <c r="O1376" s="53">
        <v>7.3293090000000003</v>
      </c>
      <c r="P1376" s="53">
        <v>7.461131</v>
      </c>
      <c r="Q1376" s="53">
        <v>7.5701200000000002</v>
      </c>
      <c r="R1376" s="53">
        <v>7.6668079999999996</v>
      </c>
      <c r="S1376" s="53">
        <v>7.7857909999999997</v>
      </c>
      <c r="T1376" s="53">
        <v>7.8945879999999997</v>
      </c>
      <c r="U1376" s="53">
        <v>8.0064600000000006</v>
      </c>
      <c r="V1376" s="53">
        <v>8.1611370000000001</v>
      </c>
      <c r="W1376" s="53">
        <v>8.3238179999999993</v>
      </c>
      <c r="X1376" s="53">
        <v>8.4513730000000002</v>
      </c>
      <c r="Y1376" s="53">
        <v>8.5442230000000006</v>
      </c>
      <c r="Z1376" s="53">
        <v>8.6884080000000008</v>
      </c>
      <c r="AA1376" s="53">
        <v>8.8547560000000001</v>
      </c>
      <c r="AB1376" s="53">
        <v>9.0053839999999994</v>
      </c>
      <c r="AC1376" s="53">
        <v>9.0784210000000005</v>
      </c>
      <c r="AD1376" s="53">
        <v>9.1835070000000005</v>
      </c>
      <c r="AE1376" s="53">
        <v>9.3584259999999997</v>
      </c>
      <c r="AF1376" s="35">
        <v>1.694E-2</v>
      </c>
      <c r="AG1376" s="29"/>
    </row>
    <row r="1377" spans="1:33" ht="15" customHeight="1">
      <c r="A1377" s="34" t="s">
        <v>3823</v>
      </c>
      <c r="B1377" s="37" t="s">
        <v>1486</v>
      </c>
      <c r="C1377" s="53">
        <v>10.677982999999999</v>
      </c>
      <c r="D1377" s="53">
        <v>10.793407</v>
      </c>
      <c r="E1377" s="53">
        <v>11.142976000000001</v>
      </c>
      <c r="F1377" s="53">
        <v>11.716044</v>
      </c>
      <c r="G1377" s="53">
        <v>12.353085</v>
      </c>
      <c r="H1377" s="53">
        <v>12.881478</v>
      </c>
      <c r="I1377" s="53">
        <v>13.297572000000001</v>
      </c>
      <c r="J1377" s="53">
        <v>13.655004</v>
      </c>
      <c r="K1377" s="53">
        <v>13.996933</v>
      </c>
      <c r="L1377" s="53">
        <v>14.330277000000001</v>
      </c>
      <c r="M1377" s="53">
        <v>14.715097</v>
      </c>
      <c r="N1377" s="53">
        <v>15.080619</v>
      </c>
      <c r="O1377" s="53">
        <v>15.494634</v>
      </c>
      <c r="P1377" s="53">
        <v>15.945358000000001</v>
      </c>
      <c r="Q1377" s="53">
        <v>16.445329999999998</v>
      </c>
      <c r="R1377" s="53">
        <v>16.966940000000001</v>
      </c>
      <c r="S1377" s="53">
        <v>17.544505999999998</v>
      </c>
      <c r="T1377" s="53">
        <v>18.179047000000001</v>
      </c>
      <c r="U1377" s="53">
        <v>18.808827999999998</v>
      </c>
      <c r="V1377" s="53">
        <v>19.427983999999999</v>
      </c>
      <c r="W1377" s="53">
        <v>20.052025</v>
      </c>
      <c r="X1377" s="53">
        <v>20.707380000000001</v>
      </c>
      <c r="Y1377" s="53">
        <v>21.421755000000001</v>
      </c>
      <c r="Z1377" s="53">
        <v>22.190988999999998</v>
      </c>
      <c r="AA1377" s="53">
        <v>22.966042000000002</v>
      </c>
      <c r="AB1377" s="53">
        <v>23.709408</v>
      </c>
      <c r="AC1377" s="53">
        <v>24.459489999999999</v>
      </c>
      <c r="AD1377" s="53">
        <v>25.228923999999999</v>
      </c>
      <c r="AE1377" s="53">
        <v>26.006938999999999</v>
      </c>
      <c r="AF1377" s="35">
        <v>3.2302999999999998E-2</v>
      </c>
      <c r="AG1377" s="29"/>
    </row>
    <row r="1378" spans="1:33" ht="15" customHeight="1">
      <c r="A1378" s="34" t="s">
        <v>3824</v>
      </c>
      <c r="B1378" s="37" t="s">
        <v>2747</v>
      </c>
      <c r="C1378" s="53">
        <v>37.665596000000001</v>
      </c>
      <c r="D1378" s="53">
        <v>36.880791000000002</v>
      </c>
      <c r="E1378" s="53">
        <v>36.553814000000003</v>
      </c>
      <c r="F1378" s="53">
        <v>37.170101000000003</v>
      </c>
      <c r="G1378" s="53">
        <v>38.338306000000003</v>
      </c>
      <c r="H1378" s="53">
        <v>39.312584000000001</v>
      </c>
      <c r="I1378" s="53">
        <v>39.856395999999997</v>
      </c>
      <c r="J1378" s="53">
        <v>40.257258999999998</v>
      </c>
      <c r="K1378" s="53">
        <v>40.481864999999999</v>
      </c>
      <c r="L1378" s="53">
        <v>40.845058000000002</v>
      </c>
      <c r="M1378" s="53">
        <v>41.652309000000002</v>
      </c>
      <c r="N1378" s="53">
        <v>42.331215</v>
      </c>
      <c r="O1378" s="53">
        <v>42.881999999999998</v>
      </c>
      <c r="P1378" s="53">
        <v>43.640320000000003</v>
      </c>
      <c r="Q1378" s="53">
        <v>44.473174999999998</v>
      </c>
      <c r="R1378" s="53">
        <v>45.387981000000003</v>
      </c>
      <c r="S1378" s="53">
        <v>46.321373000000001</v>
      </c>
      <c r="T1378" s="53">
        <v>46.988373000000003</v>
      </c>
      <c r="U1378" s="53">
        <v>47.619007000000003</v>
      </c>
      <c r="V1378" s="53">
        <v>48.462226999999999</v>
      </c>
      <c r="W1378" s="53">
        <v>49.159184000000003</v>
      </c>
      <c r="X1378" s="53">
        <v>49.728512000000002</v>
      </c>
      <c r="Y1378" s="53">
        <v>50.069896999999997</v>
      </c>
      <c r="Z1378" s="53">
        <v>50.210953000000003</v>
      </c>
      <c r="AA1378" s="53">
        <v>50.390141</v>
      </c>
      <c r="AB1378" s="53">
        <v>50.739322999999999</v>
      </c>
      <c r="AC1378" s="53">
        <v>50.864196999999997</v>
      </c>
      <c r="AD1378" s="53">
        <v>50.825980999999999</v>
      </c>
      <c r="AE1378" s="53">
        <v>51.468494</v>
      </c>
      <c r="AF1378" s="35">
        <v>1.1213000000000001E-2</v>
      </c>
      <c r="AG1378" s="29"/>
    </row>
    <row r="1379" spans="1:33" ht="12" customHeight="1">
      <c r="A1379" s="34" t="s">
        <v>3825</v>
      </c>
      <c r="B1379" s="37" t="s">
        <v>2749</v>
      </c>
      <c r="C1379" s="53">
        <v>33.996544</v>
      </c>
      <c r="D1379" s="53">
        <v>33.569674999999997</v>
      </c>
      <c r="E1379" s="53">
        <v>33.753802999999998</v>
      </c>
      <c r="F1379" s="53">
        <v>34.324593</v>
      </c>
      <c r="G1379" s="53">
        <v>35.696399999999997</v>
      </c>
      <c r="H1379" s="53">
        <v>36.923110999999999</v>
      </c>
      <c r="I1379" s="53">
        <v>37.458911999999998</v>
      </c>
      <c r="J1379" s="53">
        <v>37.932861000000003</v>
      </c>
      <c r="K1379" s="53">
        <v>38.451160000000002</v>
      </c>
      <c r="L1379" s="53">
        <v>39.166294000000001</v>
      </c>
      <c r="M1379" s="53">
        <v>40.288367999999998</v>
      </c>
      <c r="N1379" s="53">
        <v>41.143329999999999</v>
      </c>
      <c r="O1379" s="53">
        <v>41.898682000000001</v>
      </c>
      <c r="P1379" s="53">
        <v>42.829185000000003</v>
      </c>
      <c r="Q1379" s="53">
        <v>43.670490000000001</v>
      </c>
      <c r="R1379" s="53">
        <v>44.422924000000002</v>
      </c>
      <c r="S1379" s="53">
        <v>45.313152000000002</v>
      </c>
      <c r="T1379" s="53">
        <v>46.097458000000003</v>
      </c>
      <c r="U1379" s="53">
        <v>46.958241000000001</v>
      </c>
      <c r="V1379" s="53">
        <v>47.932163000000003</v>
      </c>
      <c r="W1379" s="53">
        <v>48.712288000000001</v>
      </c>
      <c r="X1379" s="53">
        <v>49.359347999999997</v>
      </c>
      <c r="Y1379" s="53">
        <v>49.897305000000003</v>
      </c>
      <c r="Z1379" s="53">
        <v>50.391758000000003</v>
      </c>
      <c r="AA1379" s="53">
        <v>51.106864999999999</v>
      </c>
      <c r="AB1379" s="53">
        <v>51.885452000000001</v>
      </c>
      <c r="AC1379" s="53">
        <v>52.597946</v>
      </c>
      <c r="AD1379" s="53">
        <v>53.133747</v>
      </c>
      <c r="AE1379" s="53">
        <v>54.025246000000003</v>
      </c>
      <c r="AF1379" s="35">
        <v>1.668E-2</v>
      </c>
      <c r="AG1379" s="29"/>
    </row>
    <row r="1380" spans="1:33" ht="15" customHeight="1">
      <c r="A1380" s="34" t="s">
        <v>3826</v>
      </c>
      <c r="B1380" s="37" t="s">
        <v>2751</v>
      </c>
      <c r="C1380" s="53">
        <v>170.958145</v>
      </c>
      <c r="D1380" s="53">
        <v>175.21579</v>
      </c>
      <c r="E1380" s="53">
        <v>181.62411499999999</v>
      </c>
      <c r="F1380" s="53">
        <v>189.915695</v>
      </c>
      <c r="G1380" s="53">
        <v>198.957977</v>
      </c>
      <c r="H1380" s="53">
        <v>206.62376399999999</v>
      </c>
      <c r="I1380" s="53">
        <v>213.407196</v>
      </c>
      <c r="J1380" s="53">
        <v>218.75370799999999</v>
      </c>
      <c r="K1380" s="53">
        <v>223.055801</v>
      </c>
      <c r="L1380" s="53">
        <v>227.81933599999999</v>
      </c>
      <c r="M1380" s="53">
        <v>233.71000699999999</v>
      </c>
      <c r="N1380" s="53">
        <v>239.520782</v>
      </c>
      <c r="O1380" s="53">
        <v>245.67401100000001</v>
      </c>
      <c r="P1380" s="53">
        <v>251.863968</v>
      </c>
      <c r="Q1380" s="53">
        <v>258.33071899999999</v>
      </c>
      <c r="R1380" s="53">
        <v>265.203033</v>
      </c>
      <c r="S1380" s="53">
        <v>272.82617199999999</v>
      </c>
      <c r="T1380" s="53">
        <v>280.89892600000002</v>
      </c>
      <c r="U1380" s="53">
        <v>290.01413000000002</v>
      </c>
      <c r="V1380" s="53">
        <v>299.12802099999999</v>
      </c>
      <c r="W1380" s="53">
        <v>307.37908900000002</v>
      </c>
      <c r="X1380" s="53">
        <v>316.11236600000001</v>
      </c>
      <c r="Y1380" s="53">
        <v>324.63674900000001</v>
      </c>
      <c r="Z1380" s="53">
        <v>332.94168100000002</v>
      </c>
      <c r="AA1380" s="53">
        <v>341.49743699999999</v>
      </c>
      <c r="AB1380" s="53">
        <v>350.31655899999998</v>
      </c>
      <c r="AC1380" s="53">
        <v>358.94387799999998</v>
      </c>
      <c r="AD1380" s="53">
        <v>368.32076999999998</v>
      </c>
      <c r="AE1380" s="53">
        <v>378.760132</v>
      </c>
      <c r="AF1380" s="35">
        <v>2.8818E-2</v>
      </c>
      <c r="AG1380" s="29"/>
    </row>
    <row r="1381" spans="1:33" ht="15" customHeight="1">
      <c r="A1381" s="34" t="s">
        <v>3827</v>
      </c>
      <c r="B1381" s="37" t="s">
        <v>2753</v>
      </c>
      <c r="C1381" s="53">
        <v>123.789856</v>
      </c>
      <c r="D1381" s="53">
        <v>129.952011</v>
      </c>
      <c r="E1381" s="53">
        <v>132.90621899999999</v>
      </c>
      <c r="F1381" s="53">
        <v>133.19332900000001</v>
      </c>
      <c r="G1381" s="53">
        <v>134.62608299999999</v>
      </c>
      <c r="H1381" s="53">
        <v>137.291901</v>
      </c>
      <c r="I1381" s="53">
        <v>139.100449</v>
      </c>
      <c r="J1381" s="53">
        <v>139.96182300000001</v>
      </c>
      <c r="K1381" s="53">
        <v>141.45079000000001</v>
      </c>
      <c r="L1381" s="53">
        <v>143.579453</v>
      </c>
      <c r="M1381" s="53">
        <v>147.07873499999999</v>
      </c>
      <c r="N1381" s="53">
        <v>150.216431</v>
      </c>
      <c r="O1381" s="53">
        <v>152.495529</v>
      </c>
      <c r="P1381" s="53">
        <v>155.113159</v>
      </c>
      <c r="Q1381" s="53">
        <v>157.88859600000001</v>
      </c>
      <c r="R1381" s="53">
        <v>159.31449900000001</v>
      </c>
      <c r="S1381" s="53">
        <v>160.96433999999999</v>
      </c>
      <c r="T1381" s="53">
        <v>162.12439000000001</v>
      </c>
      <c r="U1381" s="53">
        <v>164.28372200000001</v>
      </c>
      <c r="V1381" s="53">
        <v>167.02063000000001</v>
      </c>
      <c r="W1381" s="53">
        <v>169.67649800000001</v>
      </c>
      <c r="X1381" s="53">
        <v>171.911224</v>
      </c>
      <c r="Y1381" s="53">
        <v>173.628601</v>
      </c>
      <c r="Z1381" s="53">
        <v>175.36253400000001</v>
      </c>
      <c r="AA1381" s="53">
        <v>177.715012</v>
      </c>
      <c r="AB1381" s="53">
        <v>180.309448</v>
      </c>
      <c r="AC1381" s="53">
        <v>182.59497099999999</v>
      </c>
      <c r="AD1381" s="53">
        <v>184.746002</v>
      </c>
      <c r="AE1381" s="53">
        <v>187.52101099999999</v>
      </c>
      <c r="AF1381" s="35">
        <v>1.4943E-2</v>
      </c>
      <c r="AG1381" s="29"/>
    </row>
    <row r="1382" spans="1:33" ht="15" customHeight="1">
      <c r="A1382" s="34" t="s">
        <v>3828</v>
      </c>
      <c r="B1382" s="37" t="s">
        <v>2755</v>
      </c>
      <c r="C1382" s="53">
        <v>14.099727</v>
      </c>
      <c r="D1382" s="53">
        <v>14.170933</v>
      </c>
      <c r="E1382" s="53">
        <v>14.407142</v>
      </c>
      <c r="F1382" s="53">
        <v>14.834179000000001</v>
      </c>
      <c r="G1382" s="53">
        <v>15.270638999999999</v>
      </c>
      <c r="H1382" s="53">
        <v>15.683017</v>
      </c>
      <c r="I1382" s="53">
        <v>16.062403</v>
      </c>
      <c r="J1382" s="53">
        <v>16.398613000000001</v>
      </c>
      <c r="K1382" s="53">
        <v>16.696793</v>
      </c>
      <c r="L1382" s="53">
        <v>16.909220000000001</v>
      </c>
      <c r="M1382" s="53">
        <v>17.354233000000001</v>
      </c>
      <c r="N1382" s="53">
        <v>17.94013</v>
      </c>
      <c r="O1382" s="53">
        <v>18.515302999999999</v>
      </c>
      <c r="P1382" s="53">
        <v>19.123916999999999</v>
      </c>
      <c r="Q1382" s="53">
        <v>19.747444000000002</v>
      </c>
      <c r="R1382" s="53">
        <v>20.407879000000001</v>
      </c>
      <c r="S1382" s="53">
        <v>21.122843</v>
      </c>
      <c r="T1382" s="53">
        <v>21.836425999999999</v>
      </c>
      <c r="U1382" s="53">
        <v>22.595700999999998</v>
      </c>
      <c r="V1382" s="53">
        <v>23.382747999999999</v>
      </c>
      <c r="W1382" s="53">
        <v>24.128371999999999</v>
      </c>
      <c r="X1382" s="53">
        <v>24.920649000000001</v>
      </c>
      <c r="Y1382" s="53">
        <v>25.710182</v>
      </c>
      <c r="Z1382" s="53">
        <v>26.487421000000001</v>
      </c>
      <c r="AA1382" s="53">
        <v>27.292389</v>
      </c>
      <c r="AB1382" s="53">
        <v>28.139786000000001</v>
      </c>
      <c r="AC1382" s="53">
        <v>28.999694999999999</v>
      </c>
      <c r="AD1382" s="53">
        <v>29.852436000000001</v>
      </c>
      <c r="AE1382" s="53">
        <v>30.854679000000001</v>
      </c>
      <c r="AF1382" s="35">
        <v>2.8364E-2</v>
      </c>
      <c r="AG1382" s="29"/>
    </row>
    <row r="1383" spans="1:33" ht="15" customHeight="1">
      <c r="A1383" s="34" t="s">
        <v>3829</v>
      </c>
      <c r="B1383" s="37" t="s">
        <v>1475</v>
      </c>
      <c r="C1383" s="53">
        <v>37.666451000000002</v>
      </c>
      <c r="D1383" s="53">
        <v>37.382832000000001</v>
      </c>
      <c r="E1383" s="53">
        <v>37.558146999999998</v>
      </c>
      <c r="F1383" s="53">
        <v>36.921138999999997</v>
      </c>
      <c r="G1383" s="53">
        <v>36.951087999999999</v>
      </c>
      <c r="H1383" s="53">
        <v>37.297009000000003</v>
      </c>
      <c r="I1383" s="53">
        <v>37.846831999999999</v>
      </c>
      <c r="J1383" s="53">
        <v>38.452927000000003</v>
      </c>
      <c r="K1383" s="53">
        <v>39.052376000000002</v>
      </c>
      <c r="L1383" s="53">
        <v>39.657837000000001</v>
      </c>
      <c r="M1383" s="53">
        <v>40.631191000000001</v>
      </c>
      <c r="N1383" s="53">
        <v>41.574066000000002</v>
      </c>
      <c r="O1383" s="53">
        <v>42.479317000000002</v>
      </c>
      <c r="P1383" s="53">
        <v>43.252403000000001</v>
      </c>
      <c r="Q1383" s="53">
        <v>43.933937</v>
      </c>
      <c r="R1383" s="53">
        <v>44.738407000000002</v>
      </c>
      <c r="S1383" s="53">
        <v>45.765129000000002</v>
      </c>
      <c r="T1383" s="53">
        <v>46.729686999999998</v>
      </c>
      <c r="U1383" s="53">
        <v>47.751305000000002</v>
      </c>
      <c r="V1383" s="53">
        <v>48.713611999999998</v>
      </c>
      <c r="W1383" s="53">
        <v>49.673003999999999</v>
      </c>
      <c r="X1383" s="53">
        <v>50.655582000000003</v>
      </c>
      <c r="Y1383" s="53">
        <v>51.551986999999997</v>
      </c>
      <c r="Z1383" s="53">
        <v>52.510066999999999</v>
      </c>
      <c r="AA1383" s="53">
        <v>53.528205999999997</v>
      </c>
      <c r="AB1383" s="53">
        <v>54.626170999999999</v>
      </c>
      <c r="AC1383" s="53">
        <v>55.658298000000002</v>
      </c>
      <c r="AD1383" s="53">
        <v>56.631542000000003</v>
      </c>
      <c r="AE1383" s="53">
        <v>57.971545999999996</v>
      </c>
      <c r="AF1383" s="35">
        <v>1.5519E-2</v>
      </c>
      <c r="AG1383" s="29"/>
    </row>
    <row r="1384" spans="1:33" ht="15" customHeight="1">
      <c r="B1384" s="29"/>
      <c r="C1384" s="29"/>
      <c r="D1384" s="29"/>
      <c r="E1384" s="29"/>
      <c r="F1384" s="29"/>
      <c r="G1384" s="29"/>
      <c r="H1384" s="29"/>
      <c r="I1384" s="29"/>
      <c r="J1384" s="29"/>
      <c r="K1384" s="29"/>
      <c r="L1384" s="29"/>
      <c r="M1384" s="29"/>
      <c r="N1384" s="29"/>
      <c r="O1384" s="29"/>
      <c r="P1384" s="29"/>
      <c r="Q1384" s="29"/>
      <c r="R1384" s="29"/>
      <c r="S1384" s="29"/>
      <c r="T1384" s="29"/>
      <c r="U1384" s="29"/>
      <c r="V1384" s="29"/>
      <c r="W1384" s="29"/>
      <c r="X1384" s="29"/>
      <c r="Y1384" s="29"/>
      <c r="Z1384" s="29"/>
      <c r="AA1384" s="29"/>
      <c r="AB1384" s="29"/>
      <c r="AC1384" s="29"/>
      <c r="AD1384" s="29"/>
      <c r="AE1384" s="29"/>
      <c r="AF1384" s="29"/>
      <c r="AG1384" s="29"/>
    </row>
    <row r="1385" spans="1:33" ht="15" customHeight="1">
      <c r="A1385" s="34" t="s">
        <v>3830</v>
      </c>
      <c r="B1385" s="33" t="s">
        <v>2758</v>
      </c>
      <c r="C1385" s="40">
        <v>1545.848755</v>
      </c>
      <c r="D1385" s="40">
        <v>1545.5573730000001</v>
      </c>
      <c r="E1385" s="40">
        <v>1555.7067870000001</v>
      </c>
      <c r="F1385" s="40">
        <v>1577.5548100000001</v>
      </c>
      <c r="G1385" s="40">
        <v>1604.0471190000001</v>
      </c>
      <c r="H1385" s="40">
        <v>1628.4163820000001</v>
      </c>
      <c r="I1385" s="40">
        <v>1650.9567870000001</v>
      </c>
      <c r="J1385" s="40">
        <v>1672.6641850000001</v>
      </c>
      <c r="K1385" s="40">
        <v>1690.7960210000001</v>
      </c>
      <c r="L1385" s="40">
        <v>1707.0405270000001</v>
      </c>
      <c r="M1385" s="40">
        <v>1729.0563959999999</v>
      </c>
      <c r="N1385" s="40">
        <v>1751.052124</v>
      </c>
      <c r="O1385" s="40">
        <v>1772.794067</v>
      </c>
      <c r="P1385" s="40">
        <v>1796.168091</v>
      </c>
      <c r="Q1385" s="40">
        <v>1820.4301760000001</v>
      </c>
      <c r="R1385" s="40">
        <v>1845.3648679999999</v>
      </c>
      <c r="S1385" s="40">
        <v>1873.048828</v>
      </c>
      <c r="T1385" s="40">
        <v>1901.506836</v>
      </c>
      <c r="U1385" s="40">
        <v>1933.8291019999999</v>
      </c>
      <c r="V1385" s="40">
        <v>1968.6479489999999</v>
      </c>
      <c r="W1385" s="40">
        <v>2001.4517820000001</v>
      </c>
      <c r="X1385" s="40">
        <v>2033.7907709999999</v>
      </c>
      <c r="Y1385" s="40">
        <v>2064.7114259999998</v>
      </c>
      <c r="Z1385" s="40">
        <v>2095.1896969999998</v>
      </c>
      <c r="AA1385" s="40">
        <v>2127.8933109999998</v>
      </c>
      <c r="AB1385" s="40">
        <v>2162.3208009999998</v>
      </c>
      <c r="AC1385" s="40">
        <v>2194.6127929999998</v>
      </c>
      <c r="AD1385" s="40">
        <v>2227.0876459999999</v>
      </c>
      <c r="AE1385" s="40">
        <v>2266.7829590000001</v>
      </c>
      <c r="AF1385" s="31">
        <v>1.3764999999999999E-2</v>
      </c>
      <c r="AG1385" s="29"/>
    </row>
    <row r="1386" spans="1:33" ht="15" customHeight="1">
      <c r="B1386" s="29"/>
      <c r="C1386" s="29"/>
      <c r="D1386" s="29"/>
      <c r="E1386" s="29"/>
      <c r="F1386" s="29"/>
      <c r="G1386" s="29"/>
      <c r="H1386" s="29"/>
      <c r="I1386" s="29"/>
      <c r="J1386" s="29"/>
      <c r="K1386" s="29"/>
      <c r="L1386" s="29"/>
      <c r="M1386" s="29"/>
      <c r="N1386" s="29"/>
      <c r="O1386" s="29"/>
      <c r="P1386" s="29"/>
      <c r="Q1386" s="29"/>
      <c r="R1386" s="29"/>
      <c r="S1386" s="29"/>
      <c r="T1386" s="29"/>
      <c r="U1386" s="29"/>
      <c r="V1386" s="29"/>
      <c r="W1386" s="29"/>
      <c r="X1386" s="29"/>
      <c r="Y1386" s="29"/>
      <c r="Z1386" s="29"/>
      <c r="AA1386" s="29"/>
      <c r="AB1386" s="29"/>
      <c r="AC1386" s="29"/>
      <c r="AD1386" s="29"/>
      <c r="AE1386" s="29"/>
      <c r="AF1386" s="29"/>
      <c r="AG1386" s="29"/>
    </row>
    <row r="1387" spans="1:33" ht="15" customHeight="1" thickBot="1">
      <c r="B1387" s="29"/>
      <c r="C1387" s="29"/>
      <c r="D1387" s="29"/>
      <c r="E1387" s="29"/>
      <c r="F1387" s="29"/>
      <c r="G1387" s="29"/>
      <c r="H1387" s="29"/>
      <c r="I1387" s="29"/>
      <c r="J1387" s="29"/>
      <c r="K1387" s="29"/>
      <c r="L1387" s="29"/>
      <c r="M1387" s="29"/>
      <c r="N1387" s="29"/>
      <c r="O1387" s="29"/>
      <c r="P1387" s="29"/>
      <c r="Q1387" s="29"/>
      <c r="R1387" s="29"/>
      <c r="S1387" s="29"/>
      <c r="T1387" s="29"/>
      <c r="U1387" s="29"/>
      <c r="V1387" s="29"/>
      <c r="W1387" s="29"/>
      <c r="X1387" s="29"/>
      <c r="Y1387" s="29"/>
      <c r="Z1387" s="29"/>
      <c r="AA1387" s="29"/>
      <c r="AB1387" s="29"/>
      <c r="AC1387" s="29"/>
      <c r="AD1387" s="29"/>
      <c r="AE1387" s="29"/>
      <c r="AF1387" s="29"/>
      <c r="AG1387" s="29"/>
    </row>
    <row r="1388" spans="1:33" ht="15" customHeight="1">
      <c r="B1388" s="54" t="s">
        <v>2584</v>
      </c>
      <c r="C1388" s="30"/>
      <c r="D1388" s="30"/>
      <c r="E1388" s="30"/>
      <c r="F1388" s="30"/>
      <c r="G1388" s="30"/>
      <c r="H1388" s="30"/>
      <c r="I1388" s="30"/>
      <c r="J1388" s="30"/>
      <c r="K1388" s="30"/>
      <c r="L1388" s="30"/>
      <c r="M1388" s="30"/>
      <c r="N1388" s="30"/>
      <c r="O1388" s="30"/>
      <c r="P1388" s="30"/>
      <c r="Q1388" s="30"/>
      <c r="R1388" s="30"/>
      <c r="S1388" s="30"/>
      <c r="T1388" s="30"/>
      <c r="U1388" s="30"/>
      <c r="V1388" s="30"/>
      <c r="W1388" s="30"/>
      <c r="X1388" s="30"/>
      <c r="Y1388" s="30"/>
      <c r="Z1388" s="30"/>
      <c r="AA1388" s="30"/>
      <c r="AB1388" s="30"/>
      <c r="AC1388" s="30"/>
      <c r="AD1388" s="30"/>
      <c r="AE1388" s="30"/>
      <c r="AF1388" s="30"/>
      <c r="AG1388" s="29"/>
    </row>
    <row r="1389" spans="1:33" ht="15" customHeight="1">
      <c r="B1389" s="29" t="s">
        <v>2759</v>
      </c>
      <c r="C1389" s="29"/>
      <c r="D1389" s="29"/>
      <c r="E1389" s="29"/>
      <c r="F1389" s="29"/>
      <c r="G1389" s="29"/>
      <c r="H1389" s="29"/>
      <c r="I1389" s="29"/>
      <c r="J1389" s="29"/>
      <c r="K1389" s="29"/>
      <c r="L1389" s="29"/>
      <c r="M1389" s="29"/>
      <c r="N1389" s="29"/>
      <c r="O1389" s="29"/>
      <c r="P1389" s="29"/>
      <c r="Q1389" s="29"/>
      <c r="R1389" s="29"/>
      <c r="S1389" s="29"/>
      <c r="T1389" s="29"/>
      <c r="U1389" s="29"/>
      <c r="V1389" s="29"/>
      <c r="W1389" s="29"/>
      <c r="X1389" s="29"/>
      <c r="Y1389" s="29"/>
      <c r="Z1389" s="29"/>
      <c r="AA1389" s="29"/>
      <c r="AB1389" s="29"/>
      <c r="AC1389" s="29"/>
      <c r="AD1389" s="29"/>
      <c r="AE1389" s="29"/>
      <c r="AF1389" s="29"/>
      <c r="AG1389" s="29"/>
    </row>
    <row r="1390" spans="1:33" ht="15" customHeight="1">
      <c r="B1390" s="29" t="s">
        <v>2760</v>
      </c>
      <c r="C1390" s="29"/>
      <c r="D1390" s="29"/>
      <c r="E1390" s="29"/>
      <c r="F1390" s="29"/>
      <c r="G1390" s="29"/>
      <c r="H1390" s="29"/>
      <c r="I1390" s="29"/>
      <c r="J1390" s="29"/>
      <c r="K1390" s="29"/>
      <c r="L1390" s="29"/>
      <c r="M1390" s="29"/>
      <c r="N1390" s="29"/>
      <c r="O1390" s="29"/>
      <c r="P1390" s="29"/>
      <c r="Q1390" s="29"/>
      <c r="R1390" s="29"/>
      <c r="S1390" s="29"/>
      <c r="T1390" s="29"/>
      <c r="U1390" s="29"/>
      <c r="V1390" s="29"/>
      <c r="W1390" s="29"/>
      <c r="X1390" s="29"/>
      <c r="Y1390" s="29"/>
      <c r="Z1390" s="29"/>
      <c r="AA1390" s="29"/>
      <c r="AB1390" s="29"/>
      <c r="AC1390" s="29"/>
      <c r="AD1390" s="29"/>
      <c r="AE1390" s="29"/>
      <c r="AF1390" s="29"/>
      <c r="AG1390" s="29"/>
    </row>
    <row r="1393" ht="12" customHeight="1"/>
    <row r="1394" ht="12" customHeight="1"/>
    <row r="1399" ht="12" customHeight="1"/>
    <row r="1405" ht="12" customHeight="1"/>
    <row r="1411" ht="12" customHeight="1"/>
    <row r="1412" ht="12" customHeight="1"/>
    <row r="1414" ht="12" customHeight="1"/>
    <row r="1431" spans="2:32" ht="15" customHeight="1">
      <c r="B1431" s="2178"/>
      <c r="C1431" s="2178"/>
      <c r="D1431" s="2178"/>
      <c r="E1431" s="2178"/>
      <c r="F1431" s="2178"/>
      <c r="G1431" s="2178"/>
      <c r="H1431" s="2178"/>
      <c r="I1431" s="2178"/>
      <c r="J1431" s="2178"/>
      <c r="K1431" s="2178"/>
      <c r="L1431" s="2178"/>
      <c r="M1431" s="2178"/>
      <c r="N1431" s="2178"/>
      <c r="O1431" s="2178"/>
      <c r="P1431" s="2178"/>
      <c r="Q1431" s="2178"/>
      <c r="R1431" s="2178"/>
      <c r="S1431" s="2178"/>
      <c r="T1431" s="2178"/>
      <c r="U1431" s="2178"/>
      <c r="V1431" s="2178"/>
      <c r="W1431" s="2178"/>
      <c r="X1431" s="2178"/>
      <c r="Y1431" s="2178"/>
      <c r="Z1431" s="2178"/>
      <c r="AA1431" s="2178"/>
      <c r="AB1431" s="2178"/>
      <c r="AC1431" s="2178"/>
      <c r="AD1431" s="2178"/>
      <c r="AE1431" s="2178"/>
      <c r="AF1431" s="2178"/>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2178"/>
      <c r="C1535" s="2178"/>
      <c r="D1535" s="2178"/>
      <c r="E1535" s="2178"/>
      <c r="F1535" s="2178"/>
      <c r="G1535" s="2178"/>
      <c r="H1535" s="2178"/>
      <c r="I1535" s="2178"/>
      <c r="J1535" s="2178"/>
      <c r="K1535" s="2178"/>
      <c r="L1535" s="2178"/>
      <c r="M1535" s="2178"/>
      <c r="N1535" s="2178"/>
      <c r="O1535" s="2178"/>
      <c r="P1535" s="2178"/>
      <c r="Q1535" s="2178"/>
      <c r="R1535" s="2178"/>
      <c r="S1535" s="2178"/>
      <c r="T1535" s="2178"/>
      <c r="U1535" s="2178"/>
      <c r="V1535" s="2178"/>
      <c r="W1535" s="2178"/>
      <c r="X1535" s="2178"/>
      <c r="Y1535" s="2178"/>
      <c r="Z1535" s="2178"/>
      <c r="AA1535" s="2178"/>
      <c r="AB1535" s="2178"/>
      <c r="AC1535" s="2178"/>
      <c r="AD1535" s="2178"/>
      <c r="AE1535" s="2178"/>
      <c r="AF1535" s="2178"/>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2178"/>
      <c r="C1628" s="2178"/>
      <c r="D1628" s="2178"/>
      <c r="E1628" s="2178"/>
      <c r="F1628" s="2178"/>
      <c r="G1628" s="2178"/>
      <c r="H1628" s="2178"/>
      <c r="I1628" s="2178"/>
      <c r="J1628" s="2178"/>
      <c r="K1628" s="2178"/>
      <c r="L1628" s="2178"/>
      <c r="M1628" s="2178"/>
      <c r="N1628" s="2178"/>
      <c r="O1628" s="2178"/>
      <c r="P1628" s="2178"/>
      <c r="Q1628" s="2178"/>
      <c r="R1628" s="2178"/>
      <c r="S1628" s="2178"/>
      <c r="T1628" s="2178"/>
      <c r="U1628" s="2178"/>
      <c r="V1628" s="2178"/>
      <c r="W1628" s="2178"/>
      <c r="X1628" s="2178"/>
      <c r="Y1628" s="2178"/>
      <c r="Z1628" s="2178"/>
      <c r="AA1628" s="2178"/>
      <c r="AB1628" s="2178"/>
      <c r="AC1628" s="2178"/>
      <c r="AD1628" s="2178"/>
      <c r="AE1628" s="2178"/>
      <c r="AF1628" s="2178"/>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2178"/>
      <c r="C1778" s="2178"/>
      <c r="D1778" s="2178"/>
      <c r="E1778" s="2178"/>
      <c r="F1778" s="2178"/>
      <c r="G1778" s="2178"/>
      <c r="H1778" s="2178"/>
      <c r="I1778" s="2178"/>
      <c r="J1778" s="2178"/>
      <c r="K1778" s="2178"/>
      <c r="L1778" s="2178"/>
      <c r="M1778" s="2178"/>
      <c r="N1778" s="2178"/>
      <c r="O1778" s="2178"/>
      <c r="P1778" s="2178"/>
      <c r="Q1778" s="2178"/>
      <c r="R1778" s="2178"/>
      <c r="S1778" s="2178"/>
      <c r="T1778" s="2178"/>
      <c r="U1778" s="2178"/>
      <c r="V1778" s="2178"/>
      <c r="W1778" s="2178"/>
      <c r="X1778" s="2178"/>
      <c r="Y1778" s="2178"/>
      <c r="Z1778" s="2178"/>
      <c r="AA1778" s="2178"/>
      <c r="AB1778" s="2178"/>
      <c r="AC1778" s="2178"/>
      <c r="AD1778" s="2178"/>
      <c r="AE1778" s="2178"/>
      <c r="AF1778" s="2178"/>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2178"/>
      <c r="C1928" s="2178"/>
      <c r="D1928" s="2178"/>
      <c r="E1928" s="2178"/>
      <c r="F1928" s="2178"/>
      <c r="G1928" s="2178"/>
      <c r="H1928" s="2178"/>
      <c r="I1928" s="2178"/>
      <c r="J1928" s="2178"/>
      <c r="K1928" s="2178"/>
      <c r="L1928" s="2178"/>
      <c r="M1928" s="2178"/>
      <c r="N1928" s="2178"/>
      <c r="O1928" s="2178"/>
      <c r="P1928" s="2178"/>
      <c r="Q1928" s="2178"/>
      <c r="R1928" s="2178"/>
      <c r="S1928" s="2178"/>
      <c r="T1928" s="2178"/>
      <c r="U1928" s="2178"/>
      <c r="V1928" s="2178"/>
      <c r="W1928" s="2178"/>
      <c r="X1928" s="2178"/>
      <c r="Y1928" s="2178"/>
      <c r="Z1928" s="2178"/>
      <c r="AA1928" s="2178"/>
      <c r="AB1928" s="2178"/>
      <c r="AC1928" s="2178"/>
      <c r="AD1928" s="2178"/>
      <c r="AE1928" s="2178"/>
      <c r="AF1928" s="2178"/>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2178"/>
      <c r="C2078" s="2178"/>
      <c r="D2078" s="2178"/>
      <c r="E2078" s="2178"/>
      <c r="F2078" s="2178"/>
      <c r="G2078" s="2178"/>
      <c r="H2078" s="2178"/>
      <c r="I2078" s="2178"/>
      <c r="J2078" s="2178"/>
      <c r="K2078" s="2178"/>
      <c r="L2078" s="2178"/>
      <c r="M2078" s="2178"/>
      <c r="N2078" s="2178"/>
      <c r="O2078" s="2178"/>
      <c r="P2078" s="2178"/>
      <c r="Q2078" s="2178"/>
      <c r="R2078" s="2178"/>
      <c r="S2078" s="2178"/>
      <c r="T2078" s="2178"/>
      <c r="U2078" s="2178"/>
      <c r="V2078" s="2178"/>
      <c r="W2078" s="2178"/>
      <c r="X2078" s="2178"/>
      <c r="Y2078" s="2178"/>
      <c r="Z2078" s="2178"/>
      <c r="AA2078" s="2178"/>
      <c r="AB2078" s="2178"/>
      <c r="AC2078" s="2178"/>
      <c r="AD2078" s="2178"/>
      <c r="AE2078" s="2178"/>
      <c r="AF2078" s="2178"/>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2178"/>
      <c r="C2228" s="2178"/>
      <c r="D2228" s="2178"/>
      <c r="E2228" s="2178"/>
      <c r="F2228" s="2178"/>
      <c r="G2228" s="2178"/>
      <c r="H2228" s="2178"/>
      <c r="I2228" s="2178"/>
      <c r="J2228" s="2178"/>
      <c r="K2228" s="2178"/>
      <c r="L2228" s="2178"/>
      <c r="M2228" s="2178"/>
      <c r="N2228" s="2178"/>
      <c r="O2228" s="2178"/>
      <c r="P2228" s="2178"/>
      <c r="Q2228" s="2178"/>
      <c r="R2228" s="2178"/>
      <c r="S2228" s="2178"/>
      <c r="T2228" s="2178"/>
      <c r="U2228" s="2178"/>
      <c r="V2228" s="2178"/>
      <c r="W2228" s="2178"/>
      <c r="X2228" s="2178"/>
      <c r="Y2228" s="2178"/>
      <c r="Z2228" s="2178"/>
      <c r="AA2228" s="2178"/>
      <c r="AB2228" s="2178"/>
      <c r="AC2228" s="2178"/>
      <c r="AD2228" s="2178"/>
      <c r="AE2228" s="2178"/>
      <c r="AF2228" s="2178"/>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2178"/>
      <c r="C2378" s="2178"/>
      <c r="D2378" s="2178"/>
      <c r="E2378" s="2178"/>
      <c r="F2378" s="2178"/>
      <c r="G2378" s="2178"/>
      <c r="H2378" s="2178"/>
      <c r="I2378" s="2178"/>
      <c r="J2378" s="2178"/>
      <c r="K2378" s="2178"/>
      <c r="L2378" s="2178"/>
      <c r="M2378" s="2178"/>
      <c r="N2378" s="2178"/>
      <c r="O2378" s="2178"/>
      <c r="P2378" s="2178"/>
      <c r="Q2378" s="2178"/>
      <c r="R2378" s="2178"/>
      <c r="S2378" s="2178"/>
      <c r="T2378" s="2178"/>
      <c r="U2378" s="2178"/>
      <c r="V2378" s="2178"/>
      <c r="W2378" s="2178"/>
      <c r="X2378" s="2178"/>
      <c r="Y2378" s="2178"/>
      <c r="Z2378" s="2178"/>
      <c r="AA2378" s="2178"/>
      <c r="AB2378" s="2178"/>
      <c r="AC2378" s="2178"/>
      <c r="AD2378" s="2178"/>
      <c r="AE2378" s="2178"/>
      <c r="AF2378" s="2178"/>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2178"/>
      <c r="C2528" s="2178"/>
      <c r="D2528" s="2178"/>
      <c r="E2528" s="2178"/>
      <c r="F2528" s="2178"/>
      <c r="G2528" s="2178"/>
      <c r="H2528" s="2178"/>
      <c r="I2528" s="2178"/>
      <c r="J2528" s="2178"/>
      <c r="K2528" s="2178"/>
      <c r="L2528" s="2178"/>
      <c r="M2528" s="2178"/>
      <c r="N2528" s="2178"/>
      <c r="O2528" s="2178"/>
      <c r="P2528" s="2178"/>
      <c r="Q2528" s="2178"/>
      <c r="R2528" s="2178"/>
      <c r="S2528" s="2178"/>
      <c r="T2528" s="2178"/>
      <c r="U2528" s="2178"/>
      <c r="V2528" s="2178"/>
      <c r="W2528" s="2178"/>
      <c r="X2528" s="2178"/>
      <c r="Y2528" s="2178"/>
      <c r="Z2528" s="2178"/>
      <c r="AA2528" s="2178"/>
      <c r="AB2528" s="2178"/>
      <c r="AC2528" s="2178"/>
      <c r="AD2528" s="2178"/>
      <c r="AE2528" s="2178"/>
      <c r="AF2528" s="2178"/>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2178"/>
      <c r="C2678" s="2178"/>
      <c r="D2678" s="2178"/>
      <c r="E2678" s="2178"/>
      <c r="F2678" s="2178"/>
      <c r="G2678" s="2178"/>
      <c r="H2678" s="2178"/>
      <c r="I2678" s="2178"/>
      <c r="J2678" s="2178"/>
      <c r="K2678" s="2178"/>
      <c r="L2678" s="2178"/>
      <c r="M2678" s="2178"/>
      <c r="N2678" s="2178"/>
      <c r="O2678" s="2178"/>
      <c r="P2678" s="2178"/>
      <c r="Q2678" s="2178"/>
      <c r="R2678" s="2178"/>
      <c r="S2678" s="2178"/>
      <c r="T2678" s="2178"/>
      <c r="U2678" s="2178"/>
      <c r="V2678" s="2178"/>
      <c r="W2678" s="2178"/>
      <c r="X2678" s="2178"/>
      <c r="Y2678" s="2178"/>
      <c r="Z2678" s="2178"/>
      <c r="AA2678" s="2178"/>
      <c r="AB2678" s="2178"/>
      <c r="AC2678" s="2178"/>
      <c r="AD2678" s="2178"/>
      <c r="AE2678" s="2178"/>
      <c r="AF2678" s="2178"/>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2178"/>
      <c r="C2828" s="2178"/>
      <c r="D2828" s="2178"/>
      <c r="E2828" s="2178"/>
      <c r="F2828" s="2178"/>
      <c r="G2828" s="2178"/>
      <c r="H2828" s="2178"/>
      <c r="I2828" s="2178"/>
      <c r="J2828" s="2178"/>
      <c r="K2828" s="2178"/>
      <c r="L2828" s="2178"/>
      <c r="M2828" s="2178"/>
      <c r="N2828" s="2178"/>
      <c r="O2828" s="2178"/>
      <c r="P2828" s="2178"/>
      <c r="Q2828" s="2178"/>
      <c r="R2828" s="2178"/>
      <c r="S2828" s="2178"/>
      <c r="T2828" s="2178"/>
      <c r="U2828" s="2178"/>
      <c r="V2828" s="2178"/>
      <c r="W2828" s="2178"/>
      <c r="X2828" s="2178"/>
      <c r="Y2828" s="2178"/>
      <c r="Z2828" s="2178"/>
      <c r="AA2828" s="2178"/>
      <c r="AB2828" s="2178"/>
      <c r="AC2828" s="2178"/>
      <c r="AD2828" s="2178"/>
      <c r="AE2828" s="2178"/>
      <c r="AF2828" s="2178"/>
    </row>
  </sheetData>
  <mergeCells count="24">
    <mergeCell ref="B95:AG95"/>
    <mergeCell ref="B2228:AF2228"/>
    <mergeCell ref="B2378:AF2378"/>
    <mergeCell ref="B2528:AF2528"/>
    <mergeCell ref="B2678:AF2678"/>
    <mergeCell ref="B1778:AF1778"/>
    <mergeCell ref="B1928:AF1928"/>
    <mergeCell ref="B728:AF728"/>
    <mergeCell ref="B156:AF156"/>
    <mergeCell ref="B292:AF292"/>
    <mergeCell ref="B378:AF378"/>
    <mergeCell ref="B560:AF560"/>
    <mergeCell ref="B652:AF652"/>
    <mergeCell ref="B1082:AF1082"/>
    <mergeCell ref="B1179:AF1179"/>
    <mergeCell ref="B1313:AF1313"/>
    <mergeCell ref="B2828:AF2828"/>
    <mergeCell ref="B2078:AF2078"/>
    <mergeCell ref="B819:AF819"/>
    <mergeCell ref="B897:AF897"/>
    <mergeCell ref="B983:AF983"/>
    <mergeCell ref="B1431:AF1431"/>
    <mergeCell ref="B1535:AF1535"/>
    <mergeCell ref="B1628:AF1628"/>
  </mergeCells>
  <pageMargins left="0.75" right="0.75" top="1" bottom="1" header="0.5" footer="0.5"/>
  <pageSetup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AA94F-1623-4771-9C58-BFD21B4461C0}">
  <sheetPr codeName="Sheet45"/>
  <dimension ref="A1:Y133"/>
  <sheetViews>
    <sheetView topLeftCell="A81" workbookViewId="0">
      <selection activeCell="E130" sqref="E130"/>
    </sheetView>
  </sheetViews>
  <sheetFormatPr baseColWidth="10" defaultColWidth="8.5" defaultRowHeight="13"/>
  <cols>
    <col min="1" max="1" width="19.33203125" style="483" customWidth="1"/>
    <col min="2" max="2" width="15.5" style="483" customWidth="1"/>
    <col min="3" max="4" width="15.5" style="485" bestFit="1" customWidth="1"/>
    <col min="5" max="7" width="16.5" style="485" bestFit="1" customWidth="1"/>
    <col min="8" max="9" width="16.5" style="488" bestFit="1" customWidth="1"/>
    <col min="10" max="10" width="16.5" style="485" bestFit="1" customWidth="1"/>
    <col min="11" max="11" width="16.5" style="942" customWidth="1"/>
    <col min="12" max="12" width="10.5" style="483" bestFit="1" customWidth="1"/>
    <col min="13" max="16384" width="8.5" style="483"/>
  </cols>
  <sheetData>
    <row r="1" spans="1:25">
      <c r="D1" s="483"/>
      <c r="E1" s="483"/>
      <c r="F1" s="483"/>
      <c r="G1" s="483"/>
      <c r="H1" s="483"/>
      <c r="I1" s="483"/>
      <c r="J1" s="483"/>
      <c r="K1" s="483"/>
    </row>
    <row r="2" spans="1:25" ht="14" thickBot="1">
      <c r="C2" s="930"/>
      <c r="D2" s="930">
        <v>2020</v>
      </c>
      <c r="E2" s="930">
        <v>2022</v>
      </c>
      <c r="F2" s="930">
        <v>2027</v>
      </c>
      <c r="G2" s="930">
        <v>2032</v>
      </c>
      <c r="H2" s="930">
        <v>2037</v>
      </c>
      <c r="I2" s="930">
        <v>2042</v>
      </c>
      <c r="J2" s="930">
        <v>2047</v>
      </c>
      <c r="K2" s="930">
        <v>2030</v>
      </c>
      <c r="N2" s="549" t="s">
        <v>3842</v>
      </c>
      <c r="Y2" s="549" t="s">
        <v>3842</v>
      </c>
    </row>
    <row r="3" spans="1:25">
      <c r="A3" s="931" t="s">
        <v>3843</v>
      </c>
      <c r="B3" s="932" t="s">
        <v>3844</v>
      </c>
      <c r="C3" s="933"/>
      <c r="D3" s="933">
        <v>1348.616</v>
      </c>
      <c r="E3" s="933">
        <v>1374.6379999999999</v>
      </c>
      <c r="F3" s="933">
        <v>1435.9190000000001</v>
      </c>
      <c r="G3" s="933">
        <v>1490.1790000000001</v>
      </c>
      <c r="H3" s="933">
        <v>1534.9639999999999</v>
      </c>
      <c r="I3" s="933">
        <v>1568.6010000000001</v>
      </c>
      <c r="J3" s="933">
        <v>1592.0419999999999</v>
      </c>
      <c r="K3" s="933">
        <v>1469.441</v>
      </c>
    </row>
    <row r="4" spans="1:25" ht="14" thickBot="1">
      <c r="A4" s="934" t="s">
        <v>3845</v>
      </c>
      <c r="B4" s="935" t="s">
        <v>3846</v>
      </c>
      <c r="C4" s="936"/>
      <c r="D4" s="937">
        <v>145159.58000000002</v>
      </c>
      <c r="E4" s="937">
        <v>147354.99999999997</v>
      </c>
      <c r="F4" s="937">
        <v>206673.01027729848</v>
      </c>
      <c r="G4" s="937">
        <v>289869.5882534039</v>
      </c>
      <c r="H4" s="938">
        <v>406557.09268210805</v>
      </c>
      <c r="I4" s="938">
        <v>570217.35396965104</v>
      </c>
      <c r="J4" s="937">
        <v>799759.33668530872</v>
      </c>
      <c r="K4" s="937">
        <v>253183.32452913257</v>
      </c>
    </row>
    <row r="5" spans="1:25">
      <c r="B5" s="939" t="s">
        <v>3847</v>
      </c>
      <c r="C5" s="940"/>
      <c r="D5" s="941">
        <v>2871000000000</v>
      </c>
      <c r="E5" s="941">
        <v>2914421528362.0957</v>
      </c>
      <c r="F5" s="941">
        <v>4087626958593.5967</v>
      </c>
      <c r="G5" s="941">
        <v>5733108265231.4268</v>
      </c>
      <c r="H5" s="941">
        <v>8040980919690.8125</v>
      </c>
      <c r="I5" s="941">
        <v>11277891705438.029</v>
      </c>
      <c r="J5" s="941">
        <v>15817826530109.283</v>
      </c>
      <c r="K5" s="941">
        <v>5007518792236.375</v>
      </c>
    </row>
    <row r="6" spans="1:25" ht="14" thickBot="1"/>
    <row r="7" spans="1:25">
      <c r="A7" s="943" t="s">
        <v>3848</v>
      </c>
      <c r="B7" s="944"/>
      <c r="C7" s="945"/>
      <c r="D7" s="945"/>
      <c r="E7" s="945"/>
      <c r="F7" s="945"/>
      <c r="G7" s="945"/>
      <c r="H7" s="946"/>
      <c r="I7" s="946"/>
      <c r="J7" s="945"/>
      <c r="K7" s="947"/>
      <c r="L7" s="947"/>
    </row>
    <row r="8" spans="1:25" ht="14" thickBot="1">
      <c r="A8" s="948"/>
      <c r="B8" s="949"/>
      <c r="C8" s="950"/>
      <c r="D8" s="950"/>
      <c r="E8" s="950"/>
      <c r="F8" s="950"/>
      <c r="G8" s="950"/>
      <c r="H8" s="951"/>
      <c r="I8" s="951"/>
      <c r="J8" s="950"/>
      <c r="K8" s="952"/>
      <c r="L8" s="952"/>
    </row>
    <row r="9" spans="1:25" s="549" customFormat="1" ht="14" thickBot="1">
      <c r="A9" s="953" t="s">
        <v>3849</v>
      </c>
      <c r="B9" s="954" t="s">
        <v>420</v>
      </c>
      <c r="C9" s="955"/>
      <c r="D9" s="955">
        <v>2020</v>
      </c>
      <c r="E9" s="955">
        <v>2022</v>
      </c>
      <c r="F9" s="955">
        <v>2027</v>
      </c>
      <c r="G9" s="955">
        <v>2032</v>
      </c>
      <c r="H9" s="954">
        <v>2037</v>
      </c>
      <c r="I9" s="954">
        <v>2042</v>
      </c>
      <c r="J9" s="955">
        <v>2047</v>
      </c>
      <c r="K9" s="956">
        <v>2030</v>
      </c>
      <c r="L9" s="957" t="s">
        <v>3850</v>
      </c>
      <c r="N9" s="958"/>
      <c r="O9" s="958"/>
      <c r="P9" s="959"/>
    </row>
    <row r="10" spans="1:25">
      <c r="A10" s="948" t="s">
        <v>3851</v>
      </c>
      <c r="B10" s="949"/>
      <c r="C10" s="960"/>
      <c r="D10" s="960">
        <v>34.433898863522252</v>
      </c>
      <c r="E10" s="960">
        <v>36.168687220198542</v>
      </c>
      <c r="F10" s="960">
        <v>50.244850068150583</v>
      </c>
      <c r="G10" s="960">
        <v>69.433803200285311</v>
      </c>
      <c r="H10" s="961">
        <v>95.477364080497622</v>
      </c>
      <c r="I10" s="961">
        <v>129.28889268984508</v>
      </c>
      <c r="J10" s="960">
        <v>172.23602473907857</v>
      </c>
      <c r="K10" s="962">
        <v>60.929355754340435</v>
      </c>
      <c r="L10" s="963">
        <v>6.143643784502717E-2</v>
      </c>
      <c r="N10" s="486"/>
      <c r="O10" s="486"/>
      <c r="P10" s="486"/>
    </row>
    <row r="11" spans="1:25">
      <c r="A11" s="948" t="s">
        <v>413</v>
      </c>
      <c r="B11" s="949"/>
      <c r="C11" s="960"/>
      <c r="D11" s="960">
        <v>238.39372131647949</v>
      </c>
      <c r="E11" s="960">
        <v>262.41250218921147</v>
      </c>
      <c r="F11" s="960">
        <v>338.38186099748185</v>
      </c>
      <c r="G11" s="960">
        <v>431.25874879753786</v>
      </c>
      <c r="H11" s="961">
        <v>528.38346782755627</v>
      </c>
      <c r="I11" s="961">
        <v>642.41617325415712</v>
      </c>
      <c r="J11" s="960">
        <v>774.31043011676002</v>
      </c>
      <c r="K11" s="962">
        <v>394.18086501358039</v>
      </c>
      <c r="L11" s="963">
        <v>4.4597302152113327E-2</v>
      </c>
      <c r="N11" s="486"/>
      <c r="O11" s="486"/>
      <c r="P11" s="486"/>
    </row>
    <row r="12" spans="1:25">
      <c r="A12" s="948" t="s">
        <v>3852</v>
      </c>
      <c r="B12" s="949"/>
      <c r="C12" s="960"/>
      <c r="D12" s="960">
        <v>132.66706782813162</v>
      </c>
      <c r="E12" s="960">
        <v>120.01270247224507</v>
      </c>
      <c r="F12" s="960">
        <v>171.39999465645113</v>
      </c>
      <c r="G12" s="960">
        <v>202.1515125419092</v>
      </c>
      <c r="H12" s="961">
        <v>227.18863665746198</v>
      </c>
      <c r="I12" s="961">
        <v>244.37981132168832</v>
      </c>
      <c r="J12" s="960">
        <v>249.20140328322003</v>
      </c>
      <c r="K12" s="962">
        <v>190.3857664771493</v>
      </c>
      <c r="L12" s="963">
        <v>2.3623558023750268E-2</v>
      </c>
      <c r="N12" s="486"/>
      <c r="O12" s="486"/>
      <c r="P12" s="486"/>
    </row>
    <row r="13" spans="1:25">
      <c r="A13" s="948" t="s">
        <v>3853</v>
      </c>
      <c r="B13" s="949"/>
      <c r="C13" s="960"/>
      <c r="D13" s="960">
        <v>31.956774622806591</v>
      </c>
      <c r="E13" s="960">
        <v>34.48923167691634</v>
      </c>
      <c r="F13" s="960">
        <v>41.730599229554663</v>
      </c>
      <c r="G13" s="960">
        <v>50.514564535157596</v>
      </c>
      <c r="H13" s="961">
        <v>55.933183241389401</v>
      </c>
      <c r="I13" s="961">
        <v>61.515709760000142</v>
      </c>
      <c r="J13" s="960">
        <v>67.975973711088145</v>
      </c>
      <c r="K13" s="962">
        <v>46.780590525305669</v>
      </c>
      <c r="L13" s="963">
        <v>2.8348840859157232E-2</v>
      </c>
      <c r="N13" s="486"/>
      <c r="O13" s="486"/>
      <c r="P13" s="486"/>
    </row>
    <row r="14" spans="1:25">
      <c r="A14" s="948" t="s">
        <v>430</v>
      </c>
      <c r="B14" s="949"/>
      <c r="C14" s="960"/>
      <c r="D14" s="960">
        <v>7.7989997542347371</v>
      </c>
      <c r="E14" s="960">
        <v>8.9319236036295013</v>
      </c>
      <c r="F14" s="960">
        <v>11.752821918596906</v>
      </c>
      <c r="G14" s="960">
        <v>13.951471803851113</v>
      </c>
      <c r="H14" s="961">
        <v>15.83575876796553</v>
      </c>
      <c r="I14" s="961">
        <v>16.882560099876283</v>
      </c>
      <c r="J14" s="960">
        <v>16.986351485259092</v>
      </c>
      <c r="K14" s="962">
        <v>13.061605808040504</v>
      </c>
      <c r="L14" s="963">
        <v>2.9249785531752615E-2</v>
      </c>
      <c r="N14" s="486"/>
      <c r="O14" s="486"/>
      <c r="P14" s="486"/>
    </row>
    <row r="15" spans="1:25">
      <c r="A15" s="948" t="s">
        <v>3854</v>
      </c>
      <c r="B15" s="949"/>
      <c r="C15" s="949"/>
      <c r="D15" s="961">
        <v>98.70645519191423</v>
      </c>
      <c r="E15" s="961">
        <v>95.303403558183888</v>
      </c>
      <c r="F15" s="961">
        <v>88.49986025325012</v>
      </c>
      <c r="G15" s="961">
        <v>81.329174563558553</v>
      </c>
      <c r="H15" s="961">
        <v>75.079918213386378</v>
      </c>
      <c r="I15" s="961">
        <v>67.983040706289145</v>
      </c>
      <c r="J15" s="961">
        <v>58.544789966528654</v>
      </c>
      <c r="K15" s="964">
        <v>84.352318692341839</v>
      </c>
      <c r="L15" s="963">
        <v>-1.9160657219838506E-2</v>
      </c>
      <c r="N15" s="486"/>
      <c r="O15" s="486"/>
      <c r="P15" s="486"/>
    </row>
    <row r="16" spans="1:25" s="549" customFormat="1">
      <c r="A16" s="948" t="s">
        <v>3855</v>
      </c>
      <c r="B16" s="949"/>
      <c r="C16" s="960"/>
      <c r="D16" s="960">
        <v>42.043212452278595</v>
      </c>
      <c r="E16" s="960">
        <v>42.682397840801514</v>
      </c>
      <c r="F16" s="960">
        <v>52.496626386943909</v>
      </c>
      <c r="G16" s="960">
        <v>63.17257365366612</v>
      </c>
      <c r="H16" s="960">
        <v>75.550995045192977</v>
      </c>
      <c r="I16" s="960">
        <v>90.422288223284013</v>
      </c>
      <c r="J16" s="960">
        <v>108.325391793942</v>
      </c>
      <c r="K16" s="962">
        <v>58.686515583278947</v>
      </c>
      <c r="L16" s="963">
        <v>3.5675005739738364E-2</v>
      </c>
      <c r="N16" s="486"/>
      <c r="O16" s="486"/>
      <c r="P16" s="486"/>
    </row>
    <row r="17" spans="1:22">
      <c r="A17" s="965" t="s">
        <v>1265</v>
      </c>
      <c r="B17" s="966"/>
      <c r="C17" s="967"/>
      <c r="D17" s="967">
        <v>586.0001300293676</v>
      </c>
      <c r="E17" s="967">
        <v>600.00084856118633</v>
      </c>
      <c r="F17" s="967">
        <v>754.50661351042902</v>
      </c>
      <c r="G17" s="967">
        <v>911.81184909596573</v>
      </c>
      <c r="H17" s="967">
        <v>1073.4493238334503</v>
      </c>
      <c r="I17" s="967">
        <v>1252.8884760551398</v>
      </c>
      <c r="J17" s="967">
        <v>1447.5803650958765</v>
      </c>
      <c r="K17" s="968">
        <v>848.37701785403726</v>
      </c>
      <c r="L17" s="963">
        <v>3.4060883790356655E-2</v>
      </c>
      <c r="N17" s="549"/>
      <c r="O17" s="549"/>
      <c r="P17" s="969"/>
    </row>
    <row r="18" spans="1:22" s="549" customFormat="1">
      <c r="A18" s="965"/>
      <c r="B18" s="966"/>
      <c r="C18" s="966"/>
      <c r="D18" s="970"/>
      <c r="E18" s="970"/>
      <c r="F18" s="970"/>
      <c r="G18" s="970"/>
      <c r="H18" s="970"/>
      <c r="I18" s="970"/>
      <c r="J18" s="970"/>
      <c r="K18" s="971"/>
      <c r="L18" s="971"/>
      <c r="P18" s="969"/>
    </row>
    <row r="19" spans="1:22" ht="14" thickBot="1">
      <c r="A19" s="972" t="s">
        <v>3856</v>
      </c>
      <c r="B19" s="973"/>
      <c r="C19" s="974" t="s">
        <v>3857</v>
      </c>
      <c r="D19" s="974">
        <v>18192.468014668044</v>
      </c>
      <c r="E19" s="974">
        <v>18274.509745518273</v>
      </c>
      <c r="F19" s="974">
        <v>21999.627342805994</v>
      </c>
      <c r="G19" s="974">
        <v>25618.223379842213</v>
      </c>
      <c r="H19" s="974">
        <v>29279.628897002731</v>
      </c>
      <c r="I19" s="974">
        <v>33441.222283727089</v>
      </c>
      <c r="J19" s="974">
        <v>38068.90441699035</v>
      </c>
      <c r="K19" s="975">
        <v>24172.354646095238</v>
      </c>
      <c r="L19" s="976">
        <v>9.3670127978582318E-3</v>
      </c>
      <c r="N19" s="549"/>
      <c r="O19" s="549"/>
      <c r="P19" s="969"/>
    </row>
    <row r="20" spans="1:22" ht="16.25" customHeight="1">
      <c r="A20" s="549"/>
      <c r="C20" s="977"/>
      <c r="D20" s="977"/>
      <c r="E20" s="977"/>
      <c r="F20" s="977"/>
      <c r="G20" s="977"/>
      <c r="H20" s="978"/>
      <c r="I20" s="978"/>
      <c r="J20" s="977"/>
    </row>
    <row r="21" spans="1:22">
      <c r="C21" s="487"/>
      <c r="D21" s="487"/>
      <c r="E21" s="487"/>
      <c r="F21" s="487"/>
      <c r="G21" s="487"/>
      <c r="H21" s="487"/>
      <c r="I21" s="487"/>
      <c r="J21" s="487"/>
      <c r="K21" s="487"/>
    </row>
    <row r="22" spans="1:22" ht="14" thickBot="1">
      <c r="C22" s="487"/>
      <c r="D22" s="487"/>
      <c r="E22" s="487"/>
      <c r="F22" s="487"/>
      <c r="G22" s="487"/>
      <c r="H22" s="487"/>
      <c r="I22" s="487"/>
      <c r="J22" s="487"/>
      <c r="K22" s="487"/>
    </row>
    <row r="23" spans="1:22" ht="14" thickBot="1">
      <c r="A23" s="953" t="s">
        <v>3858</v>
      </c>
      <c r="B23" s="954"/>
      <c r="C23" s="955" t="s">
        <v>420</v>
      </c>
      <c r="D23" s="955" t="s">
        <v>3859</v>
      </c>
      <c r="E23" s="955">
        <v>2022</v>
      </c>
      <c r="F23" s="955">
        <v>2027</v>
      </c>
      <c r="G23" s="955">
        <v>2032</v>
      </c>
      <c r="H23" s="955">
        <v>2037</v>
      </c>
      <c r="I23" s="955">
        <v>2042</v>
      </c>
      <c r="J23" s="955">
        <v>2047</v>
      </c>
      <c r="K23" s="956" t="s">
        <v>3860</v>
      </c>
      <c r="L23" s="957" t="s">
        <v>3850</v>
      </c>
    </row>
    <row r="24" spans="1:22">
      <c r="A24" s="948" t="s">
        <v>1255</v>
      </c>
      <c r="B24" s="949"/>
      <c r="C24" s="960"/>
      <c r="D24" s="960">
        <v>146.35449674369553</v>
      </c>
      <c r="E24" s="960">
        <v>157.42666995337615</v>
      </c>
      <c r="F24" s="960">
        <v>202.68330991332846</v>
      </c>
      <c r="G24" s="960">
        <v>256.21958151752563</v>
      </c>
      <c r="H24" s="960">
        <v>305.91440111036104</v>
      </c>
      <c r="I24" s="960">
        <v>358.91161595229687</v>
      </c>
      <c r="J24" s="960">
        <v>414.96825343559919</v>
      </c>
      <c r="K24" s="979">
        <v>235.70817663172545</v>
      </c>
      <c r="L24" s="963">
        <v>3.9353514603926998E-2</v>
      </c>
    </row>
    <row r="25" spans="1:22">
      <c r="A25" s="948" t="s">
        <v>3861</v>
      </c>
      <c r="B25" s="949"/>
      <c r="C25" s="960"/>
      <c r="D25" s="960">
        <v>220.62119420170512</v>
      </c>
      <c r="E25" s="960">
        <v>215.91896342969409</v>
      </c>
      <c r="F25" s="960">
        <v>275.50361656104218</v>
      </c>
      <c r="G25" s="960">
        <v>319.77222134437585</v>
      </c>
      <c r="H25" s="960">
        <v>354.22272462942328</v>
      </c>
      <c r="I25" s="960">
        <v>381.39909885171613</v>
      </c>
      <c r="J25" s="960">
        <v>397.74925570648566</v>
      </c>
      <c r="K25" s="962">
        <v>302.15649545077201</v>
      </c>
      <c r="L25" s="963">
        <v>2.2068678451302892E-2</v>
      </c>
    </row>
    <row r="26" spans="1:22">
      <c r="A26" s="948" t="s">
        <v>448</v>
      </c>
      <c r="B26" s="949"/>
      <c r="C26" s="960"/>
      <c r="D26" s="960">
        <v>16.353839371702264</v>
      </c>
      <c r="E26" s="960">
        <v>20.50155472126217</v>
      </c>
      <c r="F26" s="960">
        <v>34.43033235801542</v>
      </c>
      <c r="G26" s="960">
        <v>48.903729111957055</v>
      </c>
      <c r="H26" s="960">
        <v>66.500298619770746</v>
      </c>
      <c r="I26" s="960">
        <v>87.707906987427833</v>
      </c>
      <c r="J26" s="960">
        <v>112.97000506406954</v>
      </c>
      <c r="K26" s="962">
        <v>42.758950715127988</v>
      </c>
      <c r="L26" s="963">
        <v>7.4204069579507648E-2</v>
      </c>
    </row>
    <row r="27" spans="1:22">
      <c r="A27" s="948" t="s">
        <v>3862</v>
      </c>
      <c r="B27" s="949"/>
      <c r="C27" s="960"/>
      <c r="D27" s="960">
        <v>87.827098698690946</v>
      </c>
      <c r="E27" s="960">
        <v>94.745513120245718</v>
      </c>
      <c r="F27" s="960">
        <v>128.96457858605473</v>
      </c>
      <c r="G27" s="960">
        <v>171.87771985922598</v>
      </c>
      <c r="H27" s="960">
        <v>225.16818880146275</v>
      </c>
      <c r="I27" s="960">
        <v>291.83288878166536</v>
      </c>
      <c r="J27" s="960">
        <v>374.22503953697611</v>
      </c>
      <c r="K27" s="962">
        <v>153.48325202028272</v>
      </c>
      <c r="L27" s="963">
        <v>5.5151873302399235E-2</v>
      </c>
      <c r="N27" s="491"/>
      <c r="O27" s="491"/>
      <c r="P27" s="491"/>
      <c r="Q27" s="491"/>
      <c r="R27" s="491"/>
      <c r="S27" s="491"/>
      <c r="T27" s="491"/>
      <c r="U27" s="491"/>
    </row>
    <row r="28" spans="1:22">
      <c r="A28" s="948" t="s">
        <v>3863</v>
      </c>
      <c r="B28" s="949"/>
      <c r="C28" s="960"/>
      <c r="D28" s="960">
        <v>89.361219444846867</v>
      </c>
      <c r="E28" s="960">
        <v>86.317641395598514</v>
      </c>
      <c r="F28" s="960">
        <v>80.902740214439831</v>
      </c>
      <c r="G28" s="960">
        <v>75.21138977910779</v>
      </c>
      <c r="H28" s="960">
        <v>72.41286545671187</v>
      </c>
      <c r="I28" s="960">
        <v>70.707482575218364</v>
      </c>
      <c r="J28" s="960">
        <v>69.432591830122064</v>
      </c>
      <c r="K28" s="962">
        <v>77.518886325257171</v>
      </c>
      <c r="L28" s="963">
        <v>-9.3020370174300426E-3</v>
      </c>
    </row>
    <row r="29" spans="1:22">
      <c r="A29" s="948" t="s">
        <v>3864</v>
      </c>
      <c r="B29" s="949"/>
      <c r="C29" s="960"/>
      <c r="D29" s="960">
        <v>0</v>
      </c>
      <c r="E29" s="960">
        <v>0</v>
      </c>
      <c r="F29" s="960">
        <v>1.3943656770836601</v>
      </c>
      <c r="G29" s="960">
        <v>3.8088637050801419</v>
      </c>
      <c r="H29" s="960">
        <v>7.2947433830141097</v>
      </c>
      <c r="I29" s="960">
        <v>13.584193528650506</v>
      </c>
      <c r="J29" s="960">
        <v>21.533721884294831</v>
      </c>
      <c r="K29" s="964">
        <v>2.9341162774354235</v>
      </c>
      <c r="L29" s="963" t="e">
        <v>#DIV/0!</v>
      </c>
      <c r="N29" s="492"/>
    </row>
    <row r="30" spans="1:22">
      <c r="A30" s="948" t="s">
        <v>3865</v>
      </c>
      <c r="B30" s="949"/>
      <c r="C30" s="960"/>
      <c r="D30" s="960">
        <v>0.27578450767775303</v>
      </c>
      <c r="E30" s="960">
        <v>0.5905059410096718</v>
      </c>
      <c r="F30" s="960">
        <v>1.5122390052973547</v>
      </c>
      <c r="G30" s="960">
        <v>2.7113825432457546</v>
      </c>
      <c r="H30" s="960">
        <v>4.2587308107202713</v>
      </c>
      <c r="I30" s="960">
        <v>6.1929033756207534</v>
      </c>
      <c r="J30" s="960">
        <v>8.5417857540673801</v>
      </c>
      <c r="K30" s="962">
        <v>2.1922232916149791</v>
      </c>
      <c r="L30" s="963">
        <v>0.1355896806600041</v>
      </c>
      <c r="O30" s="980"/>
      <c r="P30" s="980"/>
      <c r="Q30" s="980"/>
      <c r="R30" s="980"/>
      <c r="S30" s="980"/>
      <c r="T30" s="980"/>
      <c r="U30" s="980"/>
      <c r="V30" s="980"/>
    </row>
    <row r="31" spans="1:22" ht="14" thickBot="1">
      <c r="A31" s="981" t="s">
        <v>1265</v>
      </c>
      <c r="B31" s="982"/>
      <c r="C31" s="983"/>
      <c r="D31" s="984">
        <v>560.79363296831843</v>
      </c>
      <c r="E31" s="984">
        <v>575.50084856118633</v>
      </c>
      <c r="F31" s="984">
        <v>725.39118231526163</v>
      </c>
      <c r="G31" s="984">
        <v>878.50488786051835</v>
      </c>
      <c r="H31" s="984">
        <v>1035.771952811464</v>
      </c>
      <c r="I31" s="984">
        <v>1210.3360900525959</v>
      </c>
      <c r="J31" s="984">
        <v>1399.4206532116148</v>
      </c>
      <c r="K31" s="985">
        <v>816.75210071221579</v>
      </c>
      <c r="L31" s="986">
        <v>3.4448994167998626E-2</v>
      </c>
      <c r="O31" s="980"/>
      <c r="P31" s="980"/>
      <c r="Q31" s="980"/>
      <c r="R31" s="980"/>
      <c r="S31" s="980"/>
      <c r="T31" s="980"/>
      <c r="U31" s="980"/>
      <c r="V31" s="980"/>
    </row>
    <row r="32" spans="1:22" ht="14" thickBot="1">
      <c r="D32" s="486"/>
      <c r="E32" s="486"/>
      <c r="F32" s="486"/>
      <c r="G32" s="486"/>
      <c r="H32" s="486"/>
      <c r="I32" s="486"/>
      <c r="J32" s="486"/>
      <c r="K32" s="486"/>
    </row>
    <row r="33" spans="1:12" ht="14">
      <c r="A33" s="987" t="s">
        <v>3866</v>
      </c>
      <c r="B33" s="988" t="s">
        <v>420</v>
      </c>
      <c r="C33" s="989"/>
      <c r="D33" s="989"/>
      <c r="E33" s="989"/>
      <c r="F33" s="989"/>
      <c r="G33" s="989"/>
      <c r="H33" s="990"/>
      <c r="I33" s="990"/>
      <c r="J33" s="989"/>
      <c r="K33" s="991"/>
      <c r="L33" s="991"/>
    </row>
    <row r="34" spans="1:12" ht="12.75" customHeight="1">
      <c r="A34" s="992"/>
      <c r="B34" s="993"/>
      <c r="C34" s="994"/>
      <c r="D34" s="994">
        <v>2020</v>
      </c>
      <c r="E34" s="994">
        <v>2022</v>
      </c>
      <c r="F34" s="994">
        <v>2027</v>
      </c>
      <c r="G34" s="994">
        <v>2032</v>
      </c>
      <c r="H34" s="995">
        <v>2037</v>
      </c>
      <c r="I34" s="995">
        <v>2042</v>
      </c>
      <c r="J34" s="994">
        <v>2047</v>
      </c>
      <c r="K34" s="996">
        <v>2030</v>
      </c>
      <c r="L34" s="996" t="s">
        <v>3850</v>
      </c>
    </row>
    <row r="35" spans="1:12" ht="12.75" customHeight="1">
      <c r="A35" s="997" t="s">
        <v>3867</v>
      </c>
      <c r="B35" s="998"/>
      <c r="C35" s="999"/>
      <c r="D35" s="999">
        <v>94.288948901500731</v>
      </c>
      <c r="E35" s="999">
        <v>91.606673204372385</v>
      </c>
      <c r="F35" s="999">
        <v>87.678931469937822</v>
      </c>
      <c r="G35" s="999">
        <v>82.471784313527081</v>
      </c>
      <c r="H35" s="1000">
        <v>80.176426130668162</v>
      </c>
      <c r="I35" s="1000">
        <v>78.992987979261244</v>
      </c>
      <c r="J35" s="999">
        <v>78.445187338389559</v>
      </c>
      <c r="K35" s="1001">
        <v>84.583830620001237</v>
      </c>
      <c r="L35" s="1002">
        <v>-6.790317248826172E-3</v>
      </c>
    </row>
    <row r="36" spans="1:12" ht="12.75" customHeight="1">
      <c r="A36" s="1003" t="s">
        <v>3868</v>
      </c>
      <c r="B36" s="1004"/>
      <c r="C36" s="1005"/>
      <c r="D36" s="1006">
        <v>94.218451166783552</v>
      </c>
      <c r="E36" s="1006">
        <v>104.61888638881067</v>
      </c>
      <c r="F36" s="1006">
        <v>153.3930203894555</v>
      </c>
      <c r="G36" s="1006">
        <v>193.40056360736719</v>
      </c>
      <c r="H36" s="1007">
        <v>206.48236888732401</v>
      </c>
      <c r="I36" s="1007">
        <v>220.60669767777011</v>
      </c>
      <c r="J36" s="1006">
        <v>256.93691764861092</v>
      </c>
      <c r="K36" s="1008">
        <v>183.63414578096314</v>
      </c>
      <c r="L36" s="1009">
        <v>3.7855012114696329E-2</v>
      </c>
    </row>
    <row r="37" spans="1:12" ht="12.75" customHeight="1">
      <c r="A37" s="1003" t="s">
        <v>3869</v>
      </c>
      <c r="B37" s="1004"/>
      <c r="C37" s="1005"/>
      <c r="D37" s="1006">
        <v>293.32873233973442</v>
      </c>
      <c r="E37" s="1006">
        <v>305.14276566866266</v>
      </c>
      <c r="F37" s="1006">
        <v>336.94477724393431</v>
      </c>
      <c r="G37" s="1006">
        <v>365.23441759755349</v>
      </c>
      <c r="H37" s="1007">
        <v>384.807768409451</v>
      </c>
      <c r="I37" s="1007">
        <v>405.4620162321408</v>
      </c>
      <c r="J37" s="1006">
        <v>427.25687989229959</v>
      </c>
      <c r="K37" s="1010">
        <v>357.69495077465257</v>
      </c>
      <c r="L37" s="1009">
        <v>1.4026779401076661E-2</v>
      </c>
    </row>
    <row r="38" spans="1:12" ht="12.75" customHeight="1">
      <c r="A38" s="997" t="s">
        <v>1255</v>
      </c>
      <c r="B38" s="998"/>
      <c r="C38" s="999"/>
      <c r="D38" s="999">
        <v>387.54718350651797</v>
      </c>
      <c r="E38" s="999">
        <v>409.76165205747333</v>
      </c>
      <c r="F38" s="999">
        <v>490.33779763338981</v>
      </c>
      <c r="G38" s="999">
        <v>558.63498120492068</v>
      </c>
      <c r="H38" s="1011">
        <v>591.29013729677501</v>
      </c>
      <c r="I38" s="1000">
        <v>626.06871390991091</v>
      </c>
      <c r="J38" s="999">
        <v>684.19379754091051</v>
      </c>
      <c r="K38" s="1012">
        <v>541.32909655561571</v>
      </c>
      <c r="L38" s="1009">
        <v>2.1275141509135231E-2</v>
      </c>
    </row>
    <row r="39" spans="1:12" ht="12.75" customHeight="1">
      <c r="A39" s="1003" t="s">
        <v>3870</v>
      </c>
      <c r="B39" s="1004"/>
      <c r="C39" s="1005"/>
      <c r="D39" s="1013">
        <v>32.024608000000008</v>
      </c>
      <c r="E39" s="1013">
        <v>29.674114975883853</v>
      </c>
      <c r="F39" s="1013">
        <v>44.062661387737435</v>
      </c>
      <c r="G39" s="1013">
        <v>47.071814358182074</v>
      </c>
      <c r="H39" s="1014">
        <v>50.2864701583322</v>
      </c>
      <c r="I39" s="1014">
        <v>53.720663107290846</v>
      </c>
      <c r="J39" s="1013">
        <v>57.389385964066506</v>
      </c>
      <c r="K39" s="1008">
        <v>45.84424797307431</v>
      </c>
      <c r="L39" s="1009">
        <v>2.1840825954506649E-2</v>
      </c>
    </row>
    <row r="40" spans="1:12" ht="12.75" customHeight="1">
      <c r="A40" s="1003" t="s">
        <v>3871</v>
      </c>
      <c r="B40" s="1004"/>
      <c r="C40" s="1005"/>
      <c r="D40" s="1013">
        <v>205.73245069287685</v>
      </c>
      <c r="E40" s="1013">
        <v>203.01548606998944</v>
      </c>
      <c r="F40" s="1013">
        <v>252.83959122592955</v>
      </c>
      <c r="G40" s="1013">
        <v>297.53742898140808</v>
      </c>
      <c r="H40" s="1014">
        <v>331.44908083805365</v>
      </c>
      <c r="I40" s="1014">
        <v>357.30207774594021</v>
      </c>
      <c r="J40" s="1013">
        <v>371.25344445953971</v>
      </c>
      <c r="K40" s="1008">
        <v>279.78103876906385</v>
      </c>
      <c r="L40" s="1009">
        <v>2.2104027799512149E-2</v>
      </c>
    </row>
    <row r="41" spans="1:12" ht="12.75" customHeight="1">
      <c r="A41" s="997" t="s">
        <v>3872</v>
      </c>
      <c r="B41" s="998"/>
      <c r="C41" s="999"/>
      <c r="D41" s="999">
        <v>237.75705869287685</v>
      </c>
      <c r="E41" s="999">
        <v>232.6896010458733</v>
      </c>
      <c r="F41" s="999">
        <v>296.90225261366697</v>
      </c>
      <c r="G41" s="999">
        <v>344.60924333959014</v>
      </c>
      <c r="H41" s="1011">
        <v>381.73555099638583</v>
      </c>
      <c r="I41" s="1015">
        <v>411.02274085323108</v>
      </c>
      <c r="J41" s="999">
        <v>428.6428304236062</v>
      </c>
      <c r="K41" s="1016">
        <v>325.62528674213814</v>
      </c>
      <c r="L41" s="1009">
        <v>2.2068678451302892E-2</v>
      </c>
    </row>
    <row r="42" spans="1:12" ht="12.75" customHeight="1">
      <c r="A42" s="1003" t="s">
        <v>3873</v>
      </c>
      <c r="B42" s="1004"/>
      <c r="C42" s="1005"/>
      <c r="D42" s="1006">
        <v>29.618532770245825</v>
      </c>
      <c r="E42" s="1006">
        <v>30.487391013090225</v>
      </c>
      <c r="F42" s="1013">
        <v>44.525534772156639</v>
      </c>
      <c r="G42" s="1013">
        <v>57.505087943485677</v>
      </c>
      <c r="H42" s="1014">
        <v>72.319964071744067</v>
      </c>
      <c r="I42" s="1014">
        <v>89.511404938906821</v>
      </c>
      <c r="J42" s="1013">
        <v>110.54242398871946</v>
      </c>
      <c r="K42" s="1008">
        <v>52.074081737317229</v>
      </c>
      <c r="L42" s="1009">
        <v>4.9986959457887892E-2</v>
      </c>
    </row>
    <row r="43" spans="1:12" ht="12.75" customHeight="1">
      <c r="A43" s="1003" t="s">
        <v>3874</v>
      </c>
      <c r="B43" s="1004"/>
      <c r="C43" s="1005"/>
      <c r="D43" s="1006">
        <v>22.38614835838349</v>
      </c>
      <c r="E43" s="1006">
        <v>24.447199813865218</v>
      </c>
      <c r="F43" s="1013">
        <v>30.697985149587289</v>
      </c>
      <c r="G43" s="1013">
        <v>37.724097731856958</v>
      </c>
      <c r="H43" s="1014">
        <v>46.232731641012094</v>
      </c>
      <c r="I43" s="1014">
        <v>56.521776420267862</v>
      </c>
      <c r="J43" s="1013">
        <v>67.705403335510653</v>
      </c>
      <c r="K43" s="1008">
        <v>34.750706733221321</v>
      </c>
      <c r="L43" s="1009">
        <v>4.1841440080433445E-2</v>
      </c>
    </row>
    <row r="44" spans="1:12" ht="12.75" customHeight="1">
      <c r="A44" s="997" t="s">
        <v>3875</v>
      </c>
      <c r="B44" s="998"/>
      <c r="C44" s="999"/>
      <c r="D44" s="1017">
        <v>52.004681128629315</v>
      </c>
      <c r="E44" s="1017">
        <v>54.934590826955443</v>
      </c>
      <c r="F44" s="999">
        <v>75.223519921743929</v>
      </c>
      <c r="G44" s="999">
        <v>95.229185675342634</v>
      </c>
      <c r="H44" s="1000">
        <v>118.55269571275616</v>
      </c>
      <c r="I44" s="1000">
        <v>146.03318135917468</v>
      </c>
      <c r="J44" s="999">
        <v>178.24782732423012</v>
      </c>
      <c r="K44" s="1001">
        <v>86.82478847053855</v>
      </c>
      <c r="L44" s="1009">
        <v>4.6680518820113148E-2</v>
      </c>
    </row>
    <row r="45" spans="1:12" ht="12.75" customHeight="1">
      <c r="A45" s="997" t="s">
        <v>3876</v>
      </c>
      <c r="B45" s="998"/>
      <c r="C45" s="999"/>
      <c r="D45" s="999">
        <v>37.647823433696104</v>
      </c>
      <c r="E45" s="999">
        <v>40.612190082453232</v>
      </c>
      <c r="F45" s="999">
        <v>81.119720791851933</v>
      </c>
      <c r="G45" s="999">
        <v>141.88389818018578</v>
      </c>
      <c r="H45" s="1018">
        <v>229.03271730874928</v>
      </c>
      <c r="I45" s="999">
        <v>341.29900599017594</v>
      </c>
      <c r="J45" s="999">
        <v>470.2341760224549</v>
      </c>
      <c r="K45" s="1012">
        <v>113.04665066005744</v>
      </c>
      <c r="L45" s="1009">
        <v>9.8029134477355839E-2</v>
      </c>
    </row>
    <row r="46" spans="1:12" ht="12.75" customHeight="1">
      <c r="A46" s="997" t="s">
        <v>3877</v>
      </c>
      <c r="B46" s="998"/>
      <c r="C46" s="999"/>
      <c r="D46" s="999">
        <v>-0.26163155855545983</v>
      </c>
      <c r="E46" s="999">
        <v>-0.13974194909716242</v>
      </c>
      <c r="F46" s="999">
        <v>-0.13280433469475472</v>
      </c>
      <c r="G46" s="999">
        <v>0.19220378331900223</v>
      </c>
      <c r="H46" s="999">
        <v>0.73543385855546006</v>
      </c>
      <c r="I46" s="999">
        <v>0.938620674112566</v>
      </c>
      <c r="J46" s="999">
        <v>1.1979442605511892</v>
      </c>
      <c r="K46" s="1001">
        <v>-0.12436715391229569</v>
      </c>
      <c r="L46" s="1009" t="s">
        <v>3878</v>
      </c>
    </row>
    <row r="47" spans="1:12" ht="12.75" customHeight="1">
      <c r="A47" s="997"/>
      <c r="B47" s="998"/>
      <c r="C47" s="999"/>
      <c r="D47" s="999"/>
      <c r="E47" s="999"/>
      <c r="F47" s="999"/>
      <c r="G47" s="999"/>
      <c r="H47" s="999"/>
      <c r="I47" s="999"/>
      <c r="J47" s="999"/>
      <c r="K47" s="1001"/>
      <c r="L47" s="1009"/>
    </row>
    <row r="48" spans="1:12" ht="12.75" customHeight="1">
      <c r="A48" s="1019" t="s">
        <v>3879</v>
      </c>
      <c r="B48" s="994" t="s">
        <v>420</v>
      </c>
      <c r="C48" s="1020"/>
      <c r="D48" s="1020">
        <v>808.98406410466544</v>
      </c>
      <c r="E48" s="1020">
        <v>829.4649652680306</v>
      </c>
      <c r="F48" s="1020">
        <v>1031.1294180958957</v>
      </c>
      <c r="G48" s="1020">
        <v>1223.0212964968853</v>
      </c>
      <c r="H48" s="1020">
        <v>1401.52296130389</v>
      </c>
      <c r="I48" s="1020">
        <v>1604.3552507658662</v>
      </c>
      <c r="J48" s="1020">
        <v>1840.9617629101426</v>
      </c>
      <c r="K48" s="1021">
        <v>1151.2852858944386</v>
      </c>
      <c r="L48" s="1009">
        <v>3.0922702975366034E-2</v>
      </c>
    </row>
    <row r="49" spans="1:12" ht="12.75" customHeight="1" thickBot="1">
      <c r="A49" s="1022" t="s">
        <v>3880</v>
      </c>
      <c r="B49" s="1023" t="s">
        <v>3881</v>
      </c>
      <c r="C49" s="1024"/>
      <c r="D49" s="1025">
        <v>0.2333331688885717</v>
      </c>
      <c r="E49" s="1025">
        <v>0.23567601483384965</v>
      </c>
      <c r="F49" s="1025">
        <v>0.20888710344381634</v>
      </c>
      <c r="G49" s="1025">
        <v>0.17664997542607955</v>
      </c>
      <c r="H49" s="1025">
        <v>0.14433142208086644</v>
      </c>
      <c r="I49" s="1025">
        <v>0.11779919564258014</v>
      </c>
      <c r="J49" s="1025">
        <v>9.6375726489143138E-2</v>
      </c>
      <c r="K49" s="1025">
        <v>0.19038383526827413</v>
      </c>
      <c r="L49" s="1026"/>
    </row>
    <row r="50" spans="1:12">
      <c r="A50" s="549"/>
      <c r="B50" s="549"/>
      <c r="C50" s="959"/>
      <c r="D50" s="1027"/>
      <c r="E50" s="1027"/>
      <c r="F50" s="1027"/>
      <c r="G50" s="1027"/>
      <c r="H50" s="1027"/>
      <c r="I50" s="1027"/>
      <c r="J50" s="1027"/>
      <c r="K50" s="1027"/>
      <c r="L50" s="549"/>
    </row>
    <row r="51" spans="1:12" ht="14" thickBot="1"/>
    <row r="52" spans="1:12">
      <c r="A52" s="1028" t="s">
        <v>3882</v>
      </c>
      <c r="B52" s="1029"/>
      <c r="C52" s="1030"/>
      <c r="D52" s="1030"/>
      <c r="E52" s="1030"/>
      <c r="F52" s="1030"/>
      <c r="G52" s="1030"/>
      <c r="H52" s="1031"/>
      <c r="I52" s="1031"/>
      <c r="J52" s="1030"/>
      <c r="K52" s="1032"/>
      <c r="L52" s="1032"/>
    </row>
    <row r="53" spans="1:12">
      <c r="A53" s="1033"/>
      <c r="B53" s="656"/>
      <c r="C53" s="903"/>
      <c r="D53" s="903"/>
      <c r="E53" s="903"/>
      <c r="F53" s="903"/>
      <c r="G53" s="903"/>
      <c r="H53" s="1034"/>
      <c r="I53" s="1034"/>
      <c r="J53" s="903"/>
      <c r="K53" s="1035"/>
      <c r="L53" s="1035"/>
    </row>
    <row r="54" spans="1:12" s="549" customFormat="1">
      <c r="A54" s="1036" t="s">
        <v>1065</v>
      </c>
      <c r="B54" s="1037"/>
      <c r="C54" s="1038"/>
      <c r="D54" s="1038">
        <v>2020</v>
      </c>
      <c r="E54" s="1038">
        <v>2022</v>
      </c>
      <c r="F54" s="1038">
        <v>2027</v>
      </c>
      <c r="G54" s="1038">
        <v>2032</v>
      </c>
      <c r="H54" s="1038">
        <v>2037</v>
      </c>
      <c r="I54" s="1038">
        <v>2042</v>
      </c>
      <c r="J54" s="1038">
        <v>2047</v>
      </c>
      <c r="K54" s="1039">
        <v>2030</v>
      </c>
      <c r="L54" s="1039" t="s">
        <v>3850</v>
      </c>
    </row>
    <row r="55" spans="1:12">
      <c r="A55" s="1033" t="s">
        <v>3883</v>
      </c>
      <c r="B55" s="656"/>
      <c r="C55" s="1040"/>
      <c r="D55" s="1040">
        <v>477.30990008470656</v>
      </c>
      <c r="E55" s="1040">
        <v>498.71294718441663</v>
      </c>
      <c r="F55" s="1040">
        <v>659.55765999587982</v>
      </c>
      <c r="G55" s="1040">
        <v>863.68500211078992</v>
      </c>
      <c r="H55" s="1040">
        <v>1082.4833251093517</v>
      </c>
      <c r="I55" s="1040">
        <v>1343.7173718157262</v>
      </c>
      <c r="J55" s="1040">
        <v>1650.679784329036</v>
      </c>
      <c r="K55" s="1041">
        <v>780.7356660060874</v>
      </c>
      <c r="L55" s="1042">
        <v>4.702696431675224E-2</v>
      </c>
    </row>
    <row r="56" spans="1:12">
      <c r="A56" s="1033" t="s">
        <v>416</v>
      </c>
      <c r="B56" s="656"/>
      <c r="C56" s="1040"/>
      <c r="D56" s="1040">
        <v>305.86891065966705</v>
      </c>
      <c r="E56" s="1040">
        <v>320.65978102802569</v>
      </c>
      <c r="F56" s="1040">
        <v>461.73467601886847</v>
      </c>
      <c r="G56" s="1040">
        <v>655.5417941134225</v>
      </c>
      <c r="H56" s="1040">
        <v>919.78818482603231</v>
      </c>
      <c r="I56" s="1040">
        <v>1261.4855405298929</v>
      </c>
      <c r="J56" s="1040">
        <v>1691.4221396262487</v>
      </c>
      <c r="K56" s="1041">
        <v>569.33013947827953</v>
      </c>
      <c r="L56" s="1042">
        <v>6.5388549956835185E-2</v>
      </c>
    </row>
    <row r="57" spans="1:12">
      <c r="A57" s="1033" t="s">
        <v>3884</v>
      </c>
      <c r="B57" s="656"/>
      <c r="C57" s="1040"/>
      <c r="D57" s="1040">
        <v>94.597333123096746</v>
      </c>
      <c r="E57" s="1040">
        <v>99.982051342883381</v>
      </c>
      <c r="F57" s="1040">
        <v>122.61293027372281</v>
      </c>
      <c r="G57" s="1040">
        <v>151.97333710589564</v>
      </c>
      <c r="H57" s="1040">
        <v>190.61355943015516</v>
      </c>
      <c r="I57" s="1040">
        <v>242.14428145300548</v>
      </c>
      <c r="J57" s="1040">
        <v>311.68282808923527</v>
      </c>
      <c r="K57" s="1041">
        <v>139.27826794469979</v>
      </c>
      <c r="L57" s="1042">
        <v>4.5150990311935368E-2</v>
      </c>
    </row>
    <row r="58" spans="1:12">
      <c r="A58" s="1033" t="s">
        <v>428</v>
      </c>
      <c r="B58" s="656"/>
      <c r="C58" s="1040"/>
      <c r="D58" s="1040">
        <v>184.45168670638756</v>
      </c>
      <c r="E58" s="1040">
        <v>198.91674730008617</v>
      </c>
      <c r="F58" s="1040">
        <v>240.19987374848341</v>
      </c>
      <c r="G58" s="1040">
        <v>289.99160513851183</v>
      </c>
      <c r="H58" s="1040">
        <v>349.67920359325757</v>
      </c>
      <c r="I58" s="1040">
        <v>421.37700695510858</v>
      </c>
      <c r="J58" s="1040">
        <v>507.43714979111002</v>
      </c>
      <c r="K58" s="1041">
        <v>268.9614150678882</v>
      </c>
      <c r="L58" s="1042">
        <v>3.8192205564141712E-2</v>
      </c>
    </row>
    <row r="59" spans="1:12">
      <c r="A59" s="1033" t="s">
        <v>3885</v>
      </c>
      <c r="B59" s="656"/>
      <c r="C59" s="1040"/>
      <c r="D59" s="1040">
        <v>59.275727729583338</v>
      </c>
      <c r="E59" s="1040">
        <v>71.927006094001257</v>
      </c>
      <c r="F59" s="1040">
        <v>132.5220625236382</v>
      </c>
      <c r="G59" s="1040">
        <v>189.35631927019767</v>
      </c>
      <c r="H59" s="1040">
        <v>259.15232305288623</v>
      </c>
      <c r="I59" s="1040">
        <v>341.55189286015252</v>
      </c>
      <c r="J59" s="1040">
        <v>440.50351327060042</v>
      </c>
      <c r="K59" s="1041">
        <v>164.91290993776812</v>
      </c>
      <c r="L59" s="1042">
        <v>7.7114677136190579E-2</v>
      </c>
    </row>
    <row r="60" spans="1:12" s="549" customFormat="1">
      <c r="A60" s="1033" t="s">
        <v>3886</v>
      </c>
      <c r="B60" s="715"/>
      <c r="C60" s="1043"/>
      <c r="D60" s="1040">
        <v>78.347999999999999</v>
      </c>
      <c r="E60" s="1040">
        <v>83.147016314940956</v>
      </c>
      <c r="F60" s="1040">
        <v>112.9372324576678</v>
      </c>
      <c r="G60" s="1040">
        <v>150.23682981675634</v>
      </c>
      <c r="H60" s="1040">
        <v>195.72732537414839</v>
      </c>
      <c r="I60" s="1040">
        <v>252.21311986772005</v>
      </c>
      <c r="J60" s="1040">
        <v>321.47555855118691</v>
      </c>
      <c r="K60" s="1041">
        <v>134.35562817875112</v>
      </c>
      <c r="L60" s="1042">
        <v>5.3678575991181532E-2</v>
      </c>
    </row>
    <row r="61" spans="1:12" s="549" customFormat="1">
      <c r="A61" s="1033" t="s">
        <v>44</v>
      </c>
      <c r="B61" s="715"/>
      <c r="C61" s="1043"/>
      <c r="D61" s="1044">
        <v>0</v>
      </c>
      <c r="E61" s="1044">
        <v>0</v>
      </c>
      <c r="F61" s="1044">
        <v>68.779321213371347</v>
      </c>
      <c r="G61" s="1044">
        <v>135.60993003635292</v>
      </c>
      <c r="H61" s="1044">
        <v>198.29245549846826</v>
      </c>
      <c r="I61" s="1044">
        <v>267.73267628590429</v>
      </c>
      <c r="J61" s="1045">
        <v>329.45098975092839</v>
      </c>
      <c r="K61" s="1044">
        <v>111.36673997512204</v>
      </c>
      <c r="L61" s="1042" t="e">
        <v>#DIV/0!</v>
      </c>
    </row>
    <row r="62" spans="1:12" s="549" customFormat="1">
      <c r="A62" s="1033" t="s">
        <v>3887</v>
      </c>
      <c r="B62" s="715"/>
      <c r="C62" s="1043"/>
      <c r="D62" s="1044">
        <v>0.94756720526811511</v>
      </c>
      <c r="E62" s="1044">
        <v>0.92737114166106838</v>
      </c>
      <c r="F62" s="1044">
        <v>1.1832870043633708</v>
      </c>
      <c r="G62" s="1044">
        <v>1.3734204966030659</v>
      </c>
      <c r="H62" s="1044">
        <v>1.5213852795696887</v>
      </c>
      <c r="I62" s="1044">
        <v>1.6381077053743234</v>
      </c>
      <c r="J62" s="1045">
        <v>1.7083315680119484</v>
      </c>
      <c r="K62" s="1044">
        <v>1.2977610196694471</v>
      </c>
      <c r="L62" s="1042">
        <v>2.2068678451302892E-2</v>
      </c>
    </row>
    <row r="63" spans="1:12">
      <c r="A63" s="1046" t="s">
        <v>1265</v>
      </c>
      <c r="B63" s="715"/>
      <c r="C63" s="1043"/>
      <c r="D63" s="1043">
        <v>1200.7991255087093</v>
      </c>
      <c r="E63" s="1043">
        <v>1274.2729204060149</v>
      </c>
      <c r="F63" s="1043">
        <v>1799.5270432359953</v>
      </c>
      <c r="G63" s="1043">
        <v>2437.7682380885299</v>
      </c>
      <c r="H63" s="1043">
        <v>3197.2577621638688</v>
      </c>
      <c r="I63" s="1043">
        <v>4131.859997472885</v>
      </c>
      <c r="J63" s="1047">
        <v>5254.3602949763581</v>
      </c>
      <c r="K63" s="1043">
        <v>2170.2385276082659</v>
      </c>
      <c r="L63" s="1042">
        <v>5.6191270204718258E-2</v>
      </c>
    </row>
    <row r="64" spans="1:12" s="549" customFormat="1">
      <c r="A64" s="1048"/>
      <c r="B64" s="715"/>
      <c r="C64" s="1043"/>
      <c r="D64" s="1049"/>
      <c r="E64" s="1049"/>
      <c r="F64" s="1049"/>
      <c r="G64" s="1049"/>
      <c r="H64" s="1049"/>
      <c r="I64" s="1049"/>
      <c r="J64" s="1049"/>
      <c r="K64" s="1050"/>
      <c r="L64" s="1051"/>
    </row>
    <row r="65" spans="1:19" ht="28">
      <c r="A65" s="1052" t="s">
        <v>3888</v>
      </c>
      <c r="B65" s="1053" t="s">
        <v>1060</v>
      </c>
      <c r="C65" s="1043"/>
      <c r="D65" s="1043">
        <v>890.39365209126197</v>
      </c>
      <c r="E65" s="1043">
        <v>926.98799277047124</v>
      </c>
      <c r="F65" s="1043">
        <v>1253.2232272405304</v>
      </c>
      <c r="G65" s="1043">
        <v>1635.889539503999</v>
      </c>
      <c r="H65" s="1043">
        <v>2082.9529305989381</v>
      </c>
      <c r="I65" s="1043">
        <v>2634.1051659873256</v>
      </c>
      <c r="J65" s="1043">
        <v>3300.390501617645</v>
      </c>
      <c r="K65" s="1050">
        <v>1476.91436921133</v>
      </c>
      <c r="L65" s="1051">
        <v>1.5646805564441202E-2</v>
      </c>
    </row>
    <row r="66" spans="1:19" ht="14">
      <c r="A66" s="1048" t="s">
        <v>3889</v>
      </c>
      <c r="B66" s="715" t="s">
        <v>1060</v>
      </c>
      <c r="C66" s="1043"/>
      <c r="D66" s="1043">
        <v>950.65979250950704</v>
      </c>
      <c r="E66" s="1043">
        <v>991.20293323960311</v>
      </c>
      <c r="F66" s="1043">
        <v>1263.9547466257018</v>
      </c>
      <c r="G66" s="1043">
        <v>1620.86971456285</v>
      </c>
      <c r="H66" s="1043">
        <v>2050.9065528280012</v>
      </c>
      <c r="I66" s="1043">
        <v>2588.6956278593134</v>
      </c>
      <c r="J66" s="1043">
        <v>3245.7728640684463</v>
      </c>
      <c r="K66" s="1050">
        <v>1470.4694625272357</v>
      </c>
      <c r="L66" s="1051">
        <v>4.6529783471188857E-2</v>
      </c>
    </row>
    <row r="67" spans="1:19" ht="14" thickBot="1">
      <c r="H67" s="485"/>
      <c r="I67" s="485"/>
      <c r="K67" s="485"/>
    </row>
    <row r="68" spans="1:19">
      <c r="A68" s="1054" t="s">
        <v>3890</v>
      </c>
      <c r="B68" s="1055"/>
      <c r="C68" s="1056"/>
      <c r="D68" s="1057">
        <v>2020</v>
      </c>
      <c r="E68" s="1057">
        <v>2022</v>
      </c>
      <c r="F68" s="1057">
        <v>2027</v>
      </c>
      <c r="G68" s="1057">
        <v>2032</v>
      </c>
      <c r="H68" s="1057">
        <v>2037</v>
      </c>
      <c r="I68" s="1057">
        <v>2042</v>
      </c>
      <c r="J68" s="1057">
        <v>2047</v>
      </c>
      <c r="K68" s="1058">
        <v>2030</v>
      </c>
    </row>
    <row r="69" spans="1:19">
      <c r="A69" s="1059" t="s">
        <v>3891</v>
      </c>
      <c r="B69" s="1060"/>
      <c r="C69" s="1061"/>
      <c r="D69" s="1062">
        <v>0.53948944596812987</v>
      </c>
      <c r="E69" s="1062">
        <v>0.55472586338585417</v>
      </c>
      <c r="F69" s="1062">
        <v>0.56378069070868331</v>
      </c>
      <c r="G69" s="1062">
        <v>0.57283551803151245</v>
      </c>
      <c r="H69" s="1062">
        <v>0.5818903453543417</v>
      </c>
      <c r="I69" s="1062">
        <v>0.59094517267717084</v>
      </c>
      <c r="J69" s="1062">
        <v>0.6</v>
      </c>
      <c r="K69" s="1063">
        <v>0.56921358710238079</v>
      </c>
      <c r="L69" s="2190"/>
      <c r="M69" s="2190"/>
      <c r="N69" s="2190"/>
      <c r="O69" s="2190"/>
    </row>
    <row r="70" spans="1:19">
      <c r="A70" s="1064"/>
      <c r="B70" s="1065"/>
      <c r="C70" s="1066"/>
      <c r="D70" s="1067"/>
      <c r="E70" s="1067"/>
      <c r="F70" s="1067"/>
      <c r="G70" s="1067"/>
      <c r="H70" s="1067"/>
      <c r="I70" s="1067"/>
      <c r="J70" s="1067"/>
      <c r="K70" s="1068"/>
    </row>
    <row r="71" spans="1:19">
      <c r="A71" s="1059"/>
      <c r="B71" s="1060"/>
      <c r="C71" s="1061"/>
      <c r="D71" s="1062"/>
      <c r="E71" s="1062"/>
      <c r="F71" s="1062"/>
      <c r="G71" s="1062"/>
      <c r="H71" s="1062"/>
      <c r="I71" s="1062"/>
      <c r="J71" s="1062"/>
      <c r="K71" s="1063"/>
    </row>
    <row r="72" spans="1:19">
      <c r="A72" s="1069" t="s">
        <v>3892</v>
      </c>
      <c r="B72" s="1060"/>
      <c r="C72" s="1061"/>
      <c r="D72" s="1070"/>
      <c r="E72" s="1061"/>
      <c r="F72" s="1061"/>
      <c r="G72" s="1061"/>
      <c r="H72" s="1071"/>
      <c r="I72" s="1071"/>
      <c r="J72" s="1061"/>
      <c r="K72" s="1072"/>
    </row>
    <row r="73" spans="1:19">
      <c r="A73" s="1073"/>
      <c r="B73" s="1074"/>
      <c r="C73" s="1074"/>
      <c r="D73" s="1074">
        <v>2020</v>
      </c>
      <c r="E73" s="1074">
        <v>2022</v>
      </c>
      <c r="F73" s="1074">
        <v>2027</v>
      </c>
      <c r="G73" s="1074">
        <v>2032</v>
      </c>
      <c r="H73" s="1074">
        <v>2037</v>
      </c>
      <c r="I73" s="1074">
        <v>2042</v>
      </c>
      <c r="J73" s="1074">
        <v>2047</v>
      </c>
      <c r="K73" s="1075">
        <v>2030</v>
      </c>
    </row>
    <row r="74" spans="1:19">
      <c r="A74" s="1059" t="s">
        <v>3893</v>
      </c>
      <c r="B74" s="1060"/>
      <c r="C74" s="1076" t="s">
        <v>58</v>
      </c>
      <c r="D74" s="1077">
        <v>230.09</v>
      </c>
      <c r="E74" s="1077">
        <v>235.53399999999999</v>
      </c>
      <c r="F74" s="1077">
        <v>268.04386713284043</v>
      </c>
      <c r="G74" s="1077">
        <v>282.1460742016539</v>
      </c>
      <c r="H74" s="1077">
        <v>269.36710262254286</v>
      </c>
      <c r="I74" s="1077">
        <v>254.40637514775401</v>
      </c>
      <c r="J74" s="1077">
        <v>257.2775339739996</v>
      </c>
      <c r="K74" s="1078">
        <v>284.62414122477389</v>
      </c>
    </row>
    <row r="75" spans="1:19">
      <c r="A75" s="1059" t="s">
        <v>3894</v>
      </c>
      <c r="B75" s="1060"/>
      <c r="C75" s="1076" t="s">
        <v>58</v>
      </c>
      <c r="D75" s="1077">
        <v>52.478999999999999</v>
      </c>
      <c r="E75" s="1077">
        <v>53.502000000000002</v>
      </c>
      <c r="F75" s="1077">
        <v>65.510416988048974</v>
      </c>
      <c r="G75" s="1077">
        <v>78.123017346458127</v>
      </c>
      <c r="H75" s="1077">
        <v>94.391202505339336</v>
      </c>
      <c r="I75" s="1077">
        <v>116.23540795614997</v>
      </c>
      <c r="J75" s="1077">
        <v>146.16715673171436</v>
      </c>
      <c r="K75" s="1078">
        <v>72.703700268165889</v>
      </c>
    </row>
    <row r="76" spans="1:19">
      <c r="A76" s="1059" t="s">
        <v>3895</v>
      </c>
      <c r="B76" s="1060"/>
      <c r="C76" s="1076" t="s">
        <v>58</v>
      </c>
      <c r="D76" s="1077">
        <v>87.255999999999986</v>
      </c>
      <c r="E76" s="1077">
        <v>109.98804244418045</v>
      </c>
      <c r="F76" s="1077">
        <v>205.96755827298685</v>
      </c>
      <c r="G76" s="1077">
        <v>400.8414457676721</v>
      </c>
      <c r="H76" s="1077">
        <v>670.19543751401602</v>
      </c>
      <c r="I76" s="1077">
        <v>967.231656655866</v>
      </c>
      <c r="J76" s="1077">
        <v>1228.815975056938</v>
      </c>
      <c r="K76" s="1078">
        <v>301.20246842255011</v>
      </c>
    </row>
    <row r="77" spans="1:19">
      <c r="A77" s="1059" t="s">
        <v>3896</v>
      </c>
      <c r="B77" s="1060"/>
      <c r="C77" s="1076" t="s">
        <v>58</v>
      </c>
      <c r="D77" s="1077">
        <v>0</v>
      </c>
      <c r="E77" s="1077">
        <v>0</v>
      </c>
      <c r="F77" s="1077">
        <v>35.820371992188122</v>
      </c>
      <c r="G77" s="1077">
        <v>71.294302627787559</v>
      </c>
      <c r="H77" s="1077">
        <v>105.39190635169356</v>
      </c>
      <c r="I77" s="1077">
        <v>144.12974115267565</v>
      </c>
      <c r="J77" s="1077">
        <v>180.06834700201907</v>
      </c>
      <c r="K77" s="1078">
        <v>58.319331518141986</v>
      </c>
    </row>
    <row r="78" spans="1:19">
      <c r="A78" s="1059" t="s">
        <v>3897</v>
      </c>
      <c r="B78" s="1060"/>
      <c r="C78" s="1076" t="s">
        <v>58</v>
      </c>
      <c r="D78" s="1077">
        <v>0</v>
      </c>
      <c r="E78" s="1077">
        <v>0</v>
      </c>
      <c r="F78" s="1077">
        <v>8.1744933144708334</v>
      </c>
      <c r="G78" s="1077">
        <v>14.825974296460366</v>
      </c>
      <c r="H78" s="1077">
        <v>19.848368595342883</v>
      </c>
      <c r="I78" s="1077">
        <v>24.352372383197622</v>
      </c>
      <c r="J78" s="1077">
        <v>26.911313398103957</v>
      </c>
      <c r="K78" s="1078">
        <v>12.594653156663522</v>
      </c>
      <c r="L78" s="492"/>
      <c r="M78" s="492"/>
      <c r="N78" s="492"/>
      <c r="O78" s="492"/>
      <c r="P78" s="492"/>
      <c r="Q78" s="492"/>
      <c r="R78" s="492"/>
      <c r="S78" s="492"/>
    </row>
    <row r="79" spans="1:19" ht="14" thickBot="1">
      <c r="A79" s="1079" t="s">
        <v>3898</v>
      </c>
      <c r="B79" s="1080"/>
      <c r="C79" s="1081" t="s">
        <v>58</v>
      </c>
      <c r="D79" s="1082">
        <v>369.82500000000005</v>
      </c>
      <c r="E79" s="1082">
        <v>399.02404244418045</v>
      </c>
      <c r="F79" s="1082">
        <v>539.52184239387623</v>
      </c>
      <c r="G79" s="1082">
        <v>761.11053731578409</v>
      </c>
      <c r="H79" s="1082">
        <v>1033.9537426418985</v>
      </c>
      <c r="I79" s="1082">
        <v>1337.87343975977</v>
      </c>
      <c r="J79" s="1082">
        <v>1632.2606657626518</v>
      </c>
      <c r="K79" s="1083">
        <v>658.53030991548974</v>
      </c>
      <c r="L79" s="492"/>
      <c r="M79" s="492"/>
      <c r="N79" s="492"/>
      <c r="O79" s="492"/>
      <c r="P79" s="492"/>
      <c r="Q79" s="492"/>
      <c r="R79" s="492"/>
      <c r="S79" s="492"/>
    </row>
    <row r="80" spans="1:19">
      <c r="A80" s="1069"/>
      <c r="B80" s="1060"/>
      <c r="C80" s="1070"/>
      <c r="D80" s="1077"/>
      <c r="E80" s="1077"/>
      <c r="F80" s="1077"/>
      <c r="G80" s="1077"/>
      <c r="H80" s="1077"/>
      <c r="I80" s="1077"/>
      <c r="J80" s="1077"/>
      <c r="K80" s="1078"/>
    </row>
    <row r="81" spans="1:11">
      <c r="A81" s="1059" t="s">
        <v>3899</v>
      </c>
      <c r="B81" s="1060"/>
      <c r="C81" s="1061"/>
      <c r="D81" s="1062">
        <v>0.62215912931792061</v>
      </c>
      <c r="E81" s="1062">
        <v>0.59027520887528695</v>
      </c>
      <c r="F81" s="1062">
        <v>0.49681745217861978</v>
      </c>
      <c r="G81" s="1062">
        <v>0.37070315068386939</v>
      </c>
      <c r="H81" s="1062">
        <v>0.26052142519864735</v>
      </c>
      <c r="I81" s="1062">
        <v>0.19015728064190845</v>
      </c>
      <c r="J81" s="1062">
        <v>0.15762037238935125</v>
      </c>
      <c r="K81" s="1063">
        <v>0.43221114797479887</v>
      </c>
    </row>
    <row r="82" spans="1:11">
      <c r="A82" s="1059" t="s">
        <v>3900</v>
      </c>
      <c r="B82" s="1060"/>
      <c r="C82" s="1061"/>
      <c r="D82" s="1062">
        <v>0.14190225106469273</v>
      </c>
      <c r="E82" s="1062">
        <v>0.1340821462092335</v>
      </c>
      <c r="F82" s="1062">
        <v>0.12142310438698291</v>
      </c>
      <c r="G82" s="1062">
        <v>0.10264345783724836</v>
      </c>
      <c r="H82" s="1062">
        <v>9.129151393577474E-2</v>
      </c>
      <c r="I82" s="1062">
        <v>8.6880720180095156E-2</v>
      </c>
      <c r="J82" s="1062">
        <v>8.954890588104672E-2</v>
      </c>
      <c r="K82" s="1063">
        <v>0.11040296729469608</v>
      </c>
    </row>
    <row r="83" spans="1:11">
      <c r="A83" s="1059" t="s">
        <v>3901</v>
      </c>
      <c r="B83" s="1060"/>
      <c r="C83" s="1061"/>
      <c r="D83" s="1062">
        <v>0.23593861961738655</v>
      </c>
      <c r="E83" s="1062">
        <v>0.27564264491547952</v>
      </c>
      <c r="F83" s="1062">
        <v>0.38175944343439738</v>
      </c>
      <c r="G83" s="1062">
        <v>0.52665339147888235</v>
      </c>
      <c r="H83" s="1062">
        <v>0.64818706086557754</v>
      </c>
      <c r="I83" s="1062">
        <v>0.72296199917799631</v>
      </c>
      <c r="J83" s="1062">
        <v>0.75283072172960208</v>
      </c>
      <c r="K83" s="1063">
        <v>0.45738588473050529</v>
      </c>
    </row>
    <row r="84" spans="1:11">
      <c r="A84" s="1059"/>
      <c r="B84" s="1060"/>
      <c r="C84" s="1061"/>
      <c r="D84" s="1061"/>
      <c r="E84" s="1061"/>
      <c r="F84" s="1061"/>
      <c r="G84" s="1061"/>
      <c r="H84" s="1071"/>
      <c r="I84" s="1071"/>
      <c r="J84" s="1061"/>
      <c r="K84" s="1072"/>
    </row>
    <row r="85" spans="1:11">
      <c r="A85" s="1084" t="s">
        <v>3902</v>
      </c>
      <c r="B85" s="1085"/>
      <c r="C85" s="1086"/>
      <c r="D85" s="1087"/>
      <c r="E85" s="1086"/>
      <c r="F85" s="1086"/>
      <c r="G85" s="1086"/>
      <c r="H85" s="1088"/>
      <c r="I85" s="1088"/>
      <c r="J85" s="1086"/>
      <c r="K85" s="1089"/>
    </row>
    <row r="86" spans="1:11">
      <c r="A86" s="1073"/>
      <c r="B86" s="1074"/>
      <c r="C86" s="1074"/>
      <c r="D86" s="1074">
        <v>2020</v>
      </c>
      <c r="E86" s="1074">
        <v>2022</v>
      </c>
      <c r="F86" s="1074">
        <v>2027</v>
      </c>
      <c r="G86" s="1074">
        <v>2032</v>
      </c>
      <c r="H86" s="1074">
        <v>2037</v>
      </c>
      <c r="I86" s="1074">
        <v>2042</v>
      </c>
      <c r="J86" s="1074">
        <v>2047</v>
      </c>
      <c r="K86" s="1075">
        <v>2030</v>
      </c>
    </row>
    <row r="87" spans="1:11">
      <c r="A87" s="1059" t="s">
        <v>3893</v>
      </c>
      <c r="B87" s="1060"/>
      <c r="C87" s="1076" t="s">
        <v>1065</v>
      </c>
      <c r="D87" s="1077">
        <v>944.25086218078161</v>
      </c>
      <c r="E87" s="1077">
        <v>992.47071025588036</v>
      </c>
      <c r="F87" s="1077">
        <v>1161.0991221532549</v>
      </c>
      <c r="G87" s="1077">
        <v>1247.2385028239057</v>
      </c>
      <c r="H87" s="1077">
        <v>1208.1824775265927</v>
      </c>
      <c r="I87" s="1077">
        <v>1156.2872667598172</v>
      </c>
      <c r="J87" s="1077">
        <v>1227.1593196161307</v>
      </c>
      <c r="K87" s="1078">
        <v>1250.0440752275679</v>
      </c>
    </row>
    <row r="88" spans="1:11">
      <c r="A88" s="1059" t="s">
        <v>3894</v>
      </c>
      <c r="B88" s="1060"/>
      <c r="C88" s="1076" t="s">
        <v>1065</v>
      </c>
      <c r="D88" s="1077">
        <v>197.36573761421997</v>
      </c>
      <c r="E88" s="1077">
        <v>193.6628049531528</v>
      </c>
      <c r="F88" s="1077">
        <v>260.52366729174895</v>
      </c>
      <c r="G88" s="1077">
        <v>328.80978002104138</v>
      </c>
      <c r="H88" s="1077">
        <v>420.50304487859813</v>
      </c>
      <c r="I88" s="1077">
        <v>548.66158778989416</v>
      </c>
      <c r="J88" s="1077">
        <v>730.39810898317853</v>
      </c>
      <c r="K88" s="1078">
        <v>299.12117777313949</v>
      </c>
    </row>
    <row r="89" spans="1:11">
      <c r="A89" s="1059" t="s">
        <v>3903</v>
      </c>
      <c r="B89" s="1060"/>
      <c r="C89" s="1076" t="s">
        <v>1065</v>
      </c>
      <c r="D89" s="1077">
        <v>143.50118196599999</v>
      </c>
      <c r="E89" s="1077">
        <v>178.0369014015881</v>
      </c>
      <c r="F89" s="1077">
        <v>394.85836078752709</v>
      </c>
      <c r="G89" s="1077">
        <v>837.10239753260635</v>
      </c>
      <c r="H89" s="1077">
        <v>1510.8291077748891</v>
      </c>
      <c r="I89" s="1077">
        <v>2344.7655375661075</v>
      </c>
      <c r="J89" s="1077">
        <v>3195.9172017077371</v>
      </c>
      <c r="K89" s="1078">
        <v>613.04925448477616</v>
      </c>
    </row>
    <row r="90" spans="1:11">
      <c r="A90" s="1059" t="s">
        <v>3877</v>
      </c>
      <c r="B90" s="1060"/>
      <c r="C90" s="1076" t="s">
        <v>1065</v>
      </c>
      <c r="D90" s="1077">
        <v>-3.0427750259999979</v>
      </c>
      <c r="E90" s="1077">
        <v>-1.6251988679999991</v>
      </c>
      <c r="F90" s="1077">
        <v>-1.5445144124999974</v>
      </c>
      <c r="G90" s="1077">
        <v>2.2353299999999958</v>
      </c>
      <c r="H90" s="1077">
        <v>8.553095775000001</v>
      </c>
      <c r="I90" s="1077">
        <v>10.916158439929143</v>
      </c>
      <c r="J90" s="1077">
        <v>13.932091750210331</v>
      </c>
      <c r="K90" s="1078">
        <v>-1.446389999999999</v>
      </c>
    </row>
    <row r="91" spans="1:11" ht="14" thickBot="1">
      <c r="A91" s="1079" t="s">
        <v>1265</v>
      </c>
      <c r="B91" s="1080"/>
      <c r="C91" s="1081" t="s">
        <v>1065</v>
      </c>
      <c r="D91" s="1082">
        <v>1282.0750067350014</v>
      </c>
      <c r="E91" s="1082">
        <v>1362.5452177426214</v>
      </c>
      <c r="F91" s="1082">
        <v>1814.9366358200311</v>
      </c>
      <c r="G91" s="1082">
        <v>2415.3860103775537</v>
      </c>
      <c r="H91" s="1082">
        <v>3148.0677259550794</v>
      </c>
      <c r="I91" s="1082">
        <v>4060.630550555747</v>
      </c>
      <c r="J91" s="1082">
        <v>5167.406722057257</v>
      </c>
      <c r="K91" s="1083">
        <v>2160.7681174854838</v>
      </c>
    </row>
    <row r="92" spans="1:11">
      <c r="A92" s="1069"/>
      <c r="B92" s="1060"/>
      <c r="C92" s="1070"/>
      <c r="D92" s="1077"/>
      <c r="E92" s="1077"/>
      <c r="F92" s="1077"/>
      <c r="G92" s="1077"/>
      <c r="H92" s="1077"/>
      <c r="I92" s="1077"/>
      <c r="J92" s="1077"/>
      <c r="K92" s="1078"/>
    </row>
    <row r="93" spans="1:11">
      <c r="A93" s="1059" t="s">
        <v>3904</v>
      </c>
      <c r="B93" s="1060"/>
      <c r="C93" s="1061"/>
      <c r="D93" s="1062">
        <v>0.73650204334414082</v>
      </c>
      <c r="E93" s="1062">
        <v>0.72839469643447352</v>
      </c>
      <c r="F93" s="1062">
        <v>0.63974636868170498</v>
      </c>
      <c r="G93" s="1062">
        <v>0.51637233032948937</v>
      </c>
      <c r="H93" s="1062">
        <v>0.38378541464194427</v>
      </c>
      <c r="I93" s="1062">
        <v>0.28475559457177535</v>
      </c>
      <c r="J93" s="1062">
        <v>0.23748069111300221</v>
      </c>
      <c r="K93" s="1063">
        <v>0.57851838201049621</v>
      </c>
    </row>
    <row r="94" spans="1:11">
      <c r="A94" s="1059" t="s">
        <v>3900</v>
      </c>
      <c r="B94" s="1060"/>
      <c r="C94" s="1061"/>
      <c r="D94" s="1062">
        <v>0.15394242659549365</v>
      </c>
      <c r="E94" s="1062">
        <v>0.14213312147834703</v>
      </c>
      <c r="F94" s="1062">
        <v>0.14354422195794081</v>
      </c>
      <c r="G94" s="1062">
        <v>0.13613135896636433</v>
      </c>
      <c r="H94" s="1062">
        <v>0.13357496772119903</v>
      </c>
      <c r="I94" s="1062">
        <v>0.13511733730979369</v>
      </c>
      <c r="J94" s="1062">
        <v>0.14134712986021569</v>
      </c>
      <c r="K94" s="1063">
        <v>0.13843279866662925</v>
      </c>
    </row>
    <row r="95" spans="1:11">
      <c r="A95" s="1059" t="s">
        <v>3905</v>
      </c>
      <c r="B95" s="1060"/>
      <c r="C95" s="1061"/>
      <c r="D95" s="1090">
        <v>0.11192885066174681</v>
      </c>
      <c r="E95" s="1090">
        <v>0.13066494901104886</v>
      </c>
      <c r="F95" s="1090">
        <v>0.2175604111981137</v>
      </c>
      <c r="G95" s="1090">
        <v>0.34657085614309624</v>
      </c>
      <c r="H95" s="1090">
        <v>0.47992268251361231</v>
      </c>
      <c r="I95" s="1090">
        <v>0.57743877665629972</v>
      </c>
      <c r="J95" s="1090">
        <v>0.61847603132647799</v>
      </c>
      <c r="K95" s="1091">
        <v>0.28371820628221328</v>
      </c>
    </row>
    <row r="96" spans="1:11">
      <c r="A96" s="1069" t="s">
        <v>3906</v>
      </c>
      <c r="B96" s="1060"/>
      <c r="C96" s="1061"/>
      <c r="D96" s="1092">
        <v>0.26587127725724047</v>
      </c>
      <c r="E96" s="1092">
        <v>0.27279807048939586</v>
      </c>
      <c r="F96" s="1090">
        <v>0.36110463315605451</v>
      </c>
      <c r="G96" s="1090">
        <v>0.48270221510946054</v>
      </c>
      <c r="H96" s="1090">
        <v>0.61349765023481129</v>
      </c>
      <c r="I96" s="1090">
        <v>0.71255611396609342</v>
      </c>
      <c r="J96" s="1090">
        <v>0.75982316118669369</v>
      </c>
      <c r="K96" s="1091"/>
    </row>
    <row r="97" spans="1:21">
      <c r="A97" s="1093" t="s">
        <v>1272</v>
      </c>
      <c r="B97" s="1060"/>
      <c r="C97" s="1061"/>
      <c r="D97" s="1090"/>
      <c r="E97" s="1090"/>
      <c r="F97" s="1090"/>
      <c r="G97" s="1090"/>
      <c r="H97" s="1090"/>
      <c r="I97" s="1090"/>
      <c r="J97" s="1090"/>
      <c r="K97" s="1091"/>
    </row>
    <row r="98" spans="1:21">
      <c r="A98" s="1069" t="s">
        <v>3907</v>
      </c>
      <c r="B98" s="1060"/>
      <c r="C98" s="1061"/>
      <c r="D98" s="1060"/>
      <c r="E98" s="1060"/>
      <c r="F98" s="1060"/>
      <c r="G98" s="1060"/>
      <c r="H98" s="1060"/>
      <c r="I98" s="1060"/>
      <c r="J98" s="1060"/>
      <c r="K98" s="1094" t="s">
        <v>1065</v>
      </c>
    </row>
    <row r="99" spans="1:21">
      <c r="A99" s="1095"/>
      <c r="B99" s="1085"/>
      <c r="C99" s="1086"/>
      <c r="D99" s="1096">
        <v>2020</v>
      </c>
      <c r="E99" s="1096">
        <v>2022</v>
      </c>
      <c r="F99" s="1096">
        <v>2027</v>
      </c>
      <c r="G99" s="1096">
        <v>2032</v>
      </c>
      <c r="H99" s="1096">
        <v>2037</v>
      </c>
      <c r="I99" s="1096">
        <v>2042</v>
      </c>
      <c r="J99" s="1096">
        <v>2047</v>
      </c>
      <c r="K99" s="1097">
        <v>2030</v>
      </c>
    </row>
    <row r="100" spans="1:21">
      <c r="A100" s="1098"/>
      <c r="B100" s="1099"/>
      <c r="C100" s="1100"/>
      <c r="D100" s="1101">
        <v>0</v>
      </c>
      <c r="E100" s="1101">
        <v>0</v>
      </c>
      <c r="F100" s="1101">
        <v>0</v>
      </c>
      <c r="G100" s="1101">
        <v>0</v>
      </c>
      <c r="H100" s="1101">
        <v>0</v>
      </c>
      <c r="I100" s="1101">
        <v>0</v>
      </c>
      <c r="J100" s="1101">
        <v>0</v>
      </c>
      <c r="K100" s="1102">
        <v>0</v>
      </c>
    </row>
    <row r="101" spans="1:21">
      <c r="A101" s="1069"/>
      <c r="B101" s="1060"/>
      <c r="C101" s="1061"/>
      <c r="D101" s="1103"/>
      <c r="E101" s="1103"/>
      <c r="F101" s="1103"/>
      <c r="G101" s="1103"/>
      <c r="H101" s="1103"/>
      <c r="I101" s="1103"/>
      <c r="J101" s="1103"/>
      <c r="K101" s="1104"/>
    </row>
    <row r="102" spans="1:21">
      <c r="A102" s="1084" t="s">
        <v>3908</v>
      </c>
      <c r="B102" s="1085"/>
      <c r="C102" s="1086"/>
      <c r="D102" s="1096">
        <v>2020</v>
      </c>
      <c r="E102" s="1096">
        <v>2022</v>
      </c>
      <c r="F102" s="1096">
        <v>2027</v>
      </c>
      <c r="G102" s="1096">
        <v>2032</v>
      </c>
      <c r="H102" s="1096">
        <v>2037</v>
      </c>
      <c r="I102" s="1096">
        <v>2042</v>
      </c>
      <c r="J102" s="1096">
        <v>2047</v>
      </c>
      <c r="K102" s="1097">
        <v>2030</v>
      </c>
    </row>
    <row r="103" spans="1:21" ht="14" thickBot="1">
      <c r="A103" s="1105"/>
      <c r="B103" s="1106"/>
      <c r="C103" s="1107" t="s">
        <v>1062</v>
      </c>
      <c r="D103" s="1108">
        <v>0</v>
      </c>
      <c r="E103" s="1108">
        <v>0</v>
      </c>
      <c r="F103" s="1108">
        <v>0</v>
      </c>
      <c r="G103" s="1108">
        <v>50.642435588825734</v>
      </c>
      <c r="H103" s="1108">
        <v>476.61560903672</v>
      </c>
      <c r="I103" s="1108">
        <v>987.78851388545468</v>
      </c>
      <c r="J103" s="1108">
        <v>1410.8761475097649</v>
      </c>
      <c r="K103" s="1109">
        <v>0</v>
      </c>
    </row>
    <row r="104" spans="1:21" ht="14" thickBot="1"/>
    <row r="105" spans="1:21">
      <c r="A105" s="1110" t="s">
        <v>3909</v>
      </c>
      <c r="B105" s="1111"/>
      <c r="C105" s="1112"/>
      <c r="D105" s="1112"/>
      <c r="E105" s="1112"/>
      <c r="F105" s="1112"/>
      <c r="G105" s="1112"/>
      <c r="H105" s="1113"/>
      <c r="I105" s="1113"/>
      <c r="J105" s="1114"/>
      <c r="K105" s="1115"/>
    </row>
    <row r="106" spans="1:21">
      <c r="A106" s="1116"/>
      <c r="B106" s="1117"/>
      <c r="C106" s="1118"/>
      <c r="D106" s="1119">
        <v>2020</v>
      </c>
      <c r="E106" s="1120">
        <v>2022</v>
      </c>
      <c r="F106" s="1120">
        <v>2027</v>
      </c>
      <c r="G106" s="1120">
        <v>2032</v>
      </c>
      <c r="H106" s="1121">
        <v>2037</v>
      </c>
      <c r="I106" s="1121">
        <v>2042</v>
      </c>
      <c r="J106" s="1122">
        <v>2047</v>
      </c>
      <c r="K106" s="1123">
        <v>2030</v>
      </c>
      <c r="L106" s="549"/>
    </row>
    <row r="107" spans="1:21">
      <c r="A107" s="1116" t="s">
        <v>3910</v>
      </c>
      <c r="B107" s="1124"/>
      <c r="C107" s="1125"/>
      <c r="D107" s="1126">
        <v>0.24546922176791378</v>
      </c>
      <c r="E107" s="1125">
        <v>0.2462560015604941</v>
      </c>
      <c r="F107" s="1125">
        <v>0.27328474165650962</v>
      </c>
      <c r="G107" s="1125">
        <v>0.27378308042127525</v>
      </c>
      <c r="H107" s="1127">
        <v>0.25701518079300401</v>
      </c>
      <c r="I107" s="1127">
        <v>0.24568143316713265</v>
      </c>
      <c r="J107" s="1128">
        <v>0.27454413587703896</v>
      </c>
      <c r="K107" s="1129">
        <v>0.27674016865592183</v>
      </c>
      <c r="N107" s="958"/>
      <c r="O107" s="958"/>
      <c r="P107" s="958"/>
      <c r="Q107" s="958"/>
      <c r="R107" s="958"/>
      <c r="S107" s="958"/>
      <c r="T107" s="958"/>
    </row>
    <row r="108" spans="1:21">
      <c r="A108" s="1116" t="s">
        <v>3911</v>
      </c>
      <c r="B108" s="1124"/>
      <c r="C108" s="1125"/>
      <c r="D108" s="1126">
        <v>0.53398805336122157</v>
      </c>
      <c r="E108" s="1125">
        <v>0.5776484124216732</v>
      </c>
      <c r="F108" s="1125">
        <v>0.67884710653590308</v>
      </c>
      <c r="G108" s="1125">
        <v>0.74783439764440229</v>
      </c>
      <c r="H108" s="1127">
        <v>0.7697630714946202</v>
      </c>
      <c r="I108" s="1127">
        <v>0.78294341921310229</v>
      </c>
      <c r="J108" s="1128">
        <v>0.78591527335571798</v>
      </c>
      <c r="K108" s="1129">
        <v>0.73199393487711728</v>
      </c>
      <c r="N108" s="486"/>
      <c r="O108" s="958"/>
      <c r="P108" s="486"/>
      <c r="Q108" s="486"/>
      <c r="R108" s="486"/>
      <c r="S108" s="486"/>
      <c r="T108" s="486"/>
      <c r="U108" s="486"/>
    </row>
    <row r="109" spans="1:21">
      <c r="A109" s="1116" t="s">
        <v>3912</v>
      </c>
      <c r="B109" s="1124"/>
      <c r="C109" s="1125"/>
      <c r="D109" s="1126">
        <v>0.86530533235874252</v>
      </c>
      <c r="E109" s="1125">
        <v>0.87247339441682314</v>
      </c>
      <c r="F109" s="1125">
        <v>0.85159202734284301</v>
      </c>
      <c r="G109" s="1125">
        <v>0.86340524734040336</v>
      </c>
      <c r="H109" s="1127">
        <v>0.86826883158490975</v>
      </c>
      <c r="I109" s="1127">
        <v>0.86930002219397007</v>
      </c>
      <c r="J109" s="1128">
        <v>0.86611373878025344</v>
      </c>
      <c r="K109" s="1129">
        <v>0.85921164651632775</v>
      </c>
      <c r="N109" s="486"/>
      <c r="O109" s="486"/>
      <c r="P109" s="486"/>
      <c r="Q109" s="486"/>
      <c r="R109" s="486"/>
      <c r="S109" s="486"/>
      <c r="T109" s="486"/>
      <c r="U109" s="486"/>
    </row>
    <row r="110" spans="1:21">
      <c r="A110" s="1116" t="s">
        <v>524</v>
      </c>
      <c r="B110" s="1124"/>
      <c r="C110" s="1125"/>
      <c r="D110" s="1126">
        <v>0.569535898066307</v>
      </c>
      <c r="E110" s="1125">
        <v>0.55497620996442543</v>
      </c>
      <c r="F110" s="1125">
        <v>0.59190974868601165</v>
      </c>
      <c r="G110" s="1125">
        <v>0.60385991474854406</v>
      </c>
      <c r="H110" s="1127">
        <v>0.61002378425008263</v>
      </c>
      <c r="I110" s="1127">
        <v>0.61295250918864663</v>
      </c>
      <c r="J110" s="1128">
        <v>0.62016141036964478</v>
      </c>
      <c r="K110" s="1129">
        <v>0.59976053676176877</v>
      </c>
      <c r="N110" s="486"/>
      <c r="O110" s="486"/>
      <c r="P110" s="486"/>
      <c r="Q110" s="486"/>
      <c r="R110" s="486"/>
      <c r="S110" s="486"/>
      <c r="T110" s="486"/>
      <c r="U110" s="489"/>
    </row>
    <row r="111" spans="1:21" ht="14" thickBot="1">
      <c r="A111" s="1130" t="s">
        <v>3913</v>
      </c>
      <c r="B111" s="1131"/>
      <c r="C111" s="1132"/>
      <c r="D111" s="1133">
        <v>0.40738680680274431</v>
      </c>
      <c r="E111" s="1132">
        <v>0.40763839056497198</v>
      </c>
      <c r="F111" s="1132">
        <v>0.43714992364384359</v>
      </c>
      <c r="G111" s="1132">
        <v>0.44843297668092374</v>
      </c>
      <c r="H111" s="1134">
        <v>0.43542020405386844</v>
      </c>
      <c r="I111" s="1134">
        <v>0.41600523328234978</v>
      </c>
      <c r="J111" s="1135">
        <v>0.40127546426010569</v>
      </c>
      <c r="K111" s="1136">
        <v>0.44775111139100349</v>
      </c>
      <c r="N111" s="486"/>
      <c r="O111" s="486"/>
      <c r="P111" s="486"/>
      <c r="Q111" s="486"/>
      <c r="R111" s="486"/>
      <c r="S111" s="486"/>
      <c r="T111" s="486"/>
      <c r="U111" s="489"/>
    </row>
    <row r="112" spans="1:21">
      <c r="N112" s="486"/>
      <c r="O112" s="486"/>
      <c r="P112" s="486"/>
      <c r="Q112" s="486"/>
      <c r="R112" s="486"/>
      <c r="S112" s="486"/>
      <c r="T112" s="486"/>
      <c r="U112" s="489"/>
    </row>
    <row r="113" spans="1:21" ht="14" thickBot="1">
      <c r="D113" s="486"/>
      <c r="E113" s="486"/>
      <c r="F113" s="486"/>
      <c r="G113" s="486"/>
      <c r="H113" s="489"/>
      <c r="I113" s="489"/>
      <c r="J113" s="486"/>
      <c r="N113" s="489"/>
      <c r="O113" s="489"/>
      <c r="P113" s="489"/>
      <c r="Q113" s="489"/>
      <c r="R113" s="489"/>
      <c r="S113" s="489"/>
      <c r="T113" s="489"/>
      <c r="U113" s="489"/>
    </row>
    <row r="114" spans="1:21">
      <c r="A114" s="1137" t="s">
        <v>3914</v>
      </c>
      <c r="B114" s="1138"/>
      <c r="C114" s="1139"/>
      <c r="D114" s="1139"/>
      <c r="E114" s="1139"/>
      <c r="F114" s="1139"/>
      <c r="G114" s="1139"/>
      <c r="H114" s="1140"/>
      <c r="I114" s="1140"/>
      <c r="J114" s="1139"/>
      <c r="K114" s="1141"/>
      <c r="M114" s="485"/>
      <c r="N114" s="486"/>
      <c r="O114" s="486"/>
      <c r="P114" s="486"/>
      <c r="Q114" s="486"/>
      <c r="R114" s="486"/>
      <c r="S114" s="486"/>
      <c r="T114" s="486"/>
      <c r="U114" s="489"/>
    </row>
    <row r="115" spans="1:21" s="549" customFormat="1">
      <c r="A115" s="1142"/>
      <c r="B115" s="1143"/>
      <c r="C115" s="1144"/>
      <c r="D115" s="1145">
        <v>2020</v>
      </c>
      <c r="E115" s="1146">
        <v>2022</v>
      </c>
      <c r="F115" s="1146">
        <v>2027</v>
      </c>
      <c r="G115" s="1146">
        <v>2032</v>
      </c>
      <c r="H115" s="1146">
        <v>2037</v>
      </c>
      <c r="I115" s="1146">
        <v>2042</v>
      </c>
      <c r="J115" s="1146">
        <v>2047</v>
      </c>
      <c r="K115" s="1147">
        <v>2030</v>
      </c>
      <c r="L115" s="483"/>
      <c r="M115" s="484"/>
      <c r="N115" s="484"/>
      <c r="O115" s="484"/>
      <c r="P115" s="484"/>
      <c r="Q115" s="484"/>
      <c r="R115" s="484"/>
      <c r="S115" s="484"/>
      <c r="T115" s="489"/>
      <c r="U115" s="489"/>
    </row>
    <row r="116" spans="1:21" s="549" customFormat="1">
      <c r="A116" s="1142" t="s">
        <v>3915</v>
      </c>
      <c r="B116" s="1143"/>
      <c r="C116" s="1148" t="s">
        <v>3916</v>
      </c>
      <c r="D116" s="1149">
        <v>2480.0336962723541</v>
      </c>
      <c r="E116" s="1149">
        <v>2576.934904616342</v>
      </c>
      <c r="F116" s="1149">
        <v>3196.9164438100638</v>
      </c>
      <c r="G116" s="1149">
        <v>3701.6454125982173</v>
      </c>
      <c r="H116" s="1149">
        <v>4039.0356131660001</v>
      </c>
      <c r="I116" s="1149">
        <v>4364.4265293925928</v>
      </c>
      <c r="J116" s="1148">
        <v>4772.0989322105834</v>
      </c>
      <c r="K116" s="1150">
        <v>3541.5326103267444</v>
      </c>
      <c r="L116" s="483"/>
      <c r="M116" s="1151"/>
      <c r="N116" s="484"/>
      <c r="O116" s="484"/>
      <c r="P116" s="484"/>
      <c r="Q116" s="484"/>
      <c r="R116" s="484"/>
      <c r="S116" s="484"/>
    </row>
    <row r="117" spans="1:21" s="549" customFormat="1">
      <c r="A117" s="1152" t="s">
        <v>3917</v>
      </c>
      <c r="B117" s="1153"/>
      <c r="C117" s="1154" t="s">
        <v>3918</v>
      </c>
      <c r="D117" s="1155">
        <v>1.8389472587247624</v>
      </c>
      <c r="E117" s="1155">
        <v>1.8746280145146157</v>
      </c>
      <c r="F117" s="1155">
        <v>2.2263905163244329</v>
      </c>
      <c r="G117" s="1155">
        <v>2.484027363557141</v>
      </c>
      <c r="H117" s="1155">
        <v>2.6313552716324291</v>
      </c>
      <c r="I117" s="1155">
        <v>2.7823688301821767</v>
      </c>
      <c r="J117" s="1154">
        <v>2.9974705015386425</v>
      </c>
      <c r="K117" s="1156">
        <v>2.4101223596774175</v>
      </c>
      <c r="L117" s="483"/>
      <c r="M117" s="484"/>
      <c r="N117" s="484"/>
      <c r="O117" s="484"/>
      <c r="P117" s="484"/>
      <c r="Q117" s="484"/>
      <c r="R117" s="484"/>
      <c r="S117" s="484"/>
    </row>
    <row r="118" spans="1:21" s="549" customFormat="1" ht="29" thickBot="1">
      <c r="A118" s="1157" t="s">
        <v>3919</v>
      </c>
      <c r="B118" s="1158"/>
      <c r="C118" s="1159" t="s">
        <v>3920</v>
      </c>
      <c r="D118" s="1160">
        <v>17.08487787214839</v>
      </c>
      <c r="E118" s="1160">
        <v>17.487936646984103</v>
      </c>
      <c r="F118" s="1160">
        <v>15.468475731401403</v>
      </c>
      <c r="G118" s="1160">
        <v>12.770037156716974</v>
      </c>
      <c r="H118" s="1160">
        <v>9.9347316425350662</v>
      </c>
      <c r="I118" s="1160">
        <v>7.6539700151337087</v>
      </c>
      <c r="J118" s="1161">
        <v>5.9669186883007548</v>
      </c>
      <c r="K118" s="1162">
        <v>13.98801685266297</v>
      </c>
      <c r="L118" s="483"/>
    </row>
    <row r="120" spans="1:21" ht="14" thickBot="1">
      <c r="A120" s="549"/>
      <c r="D120" s="1163"/>
      <c r="E120" s="1163"/>
      <c r="F120" s="1163"/>
      <c r="G120" s="1163"/>
      <c r="H120" s="1163"/>
      <c r="I120" s="1163"/>
      <c r="J120" s="1163"/>
      <c r="K120" s="1163"/>
    </row>
    <row r="121" spans="1:21">
      <c r="A121" s="1164" t="s">
        <v>3921</v>
      </c>
      <c r="B121" s="1165"/>
      <c r="C121" s="1166"/>
      <c r="D121" s="1166"/>
      <c r="E121" s="1166"/>
      <c r="F121" s="1166"/>
      <c r="G121" s="1166"/>
      <c r="H121" s="1167"/>
      <c r="I121" s="1167"/>
      <c r="J121" s="1166"/>
      <c r="K121" s="1168"/>
      <c r="M121" s="492"/>
      <c r="N121" s="492"/>
      <c r="O121" s="492"/>
      <c r="P121" s="492"/>
      <c r="Q121" s="492"/>
      <c r="R121" s="492"/>
      <c r="S121" s="492"/>
    </row>
    <row r="122" spans="1:21">
      <c r="A122" s="1169"/>
      <c r="D122" s="1170">
        <v>2020</v>
      </c>
      <c r="E122" s="1171">
        <v>2022</v>
      </c>
      <c r="F122" s="1171">
        <v>2027</v>
      </c>
      <c r="G122" s="1171">
        <v>2032</v>
      </c>
      <c r="H122" s="1171">
        <v>2037</v>
      </c>
      <c r="I122" s="1171">
        <v>2042</v>
      </c>
      <c r="J122" s="1171">
        <v>2047</v>
      </c>
      <c r="K122" s="1172">
        <v>2030</v>
      </c>
    </row>
    <row r="123" spans="1:21">
      <c r="A123" s="1173" t="s">
        <v>3912</v>
      </c>
      <c r="B123" s="483" t="s">
        <v>3922</v>
      </c>
      <c r="D123" s="1174">
        <v>32.024608000000008</v>
      </c>
      <c r="E123" s="484">
        <v>29.674114975883853</v>
      </c>
      <c r="F123" s="484">
        <v>44.062661387737435</v>
      </c>
      <c r="G123" s="484">
        <v>47.071814358182074</v>
      </c>
      <c r="H123" s="484">
        <v>50.2864701583322</v>
      </c>
      <c r="I123" s="484">
        <v>53.720663107290846</v>
      </c>
      <c r="J123" s="1175">
        <v>57.389385964066506</v>
      </c>
      <c r="K123" s="1176">
        <v>45.84424797307431</v>
      </c>
    </row>
    <row r="124" spans="1:21">
      <c r="A124" s="1173" t="s">
        <v>524</v>
      </c>
      <c r="B124" s="483" t="s">
        <v>3923</v>
      </c>
      <c r="D124" s="1177">
        <v>24.91396224</v>
      </c>
      <c r="E124" s="490">
        <v>27.207744864617464</v>
      </c>
      <c r="F124" s="490">
        <v>34.164360506191407</v>
      </c>
      <c r="G124" s="490">
        <v>41.983852308277172</v>
      </c>
      <c r="H124" s="490">
        <v>51.453269759327334</v>
      </c>
      <c r="I124" s="490">
        <v>62.90413969069045</v>
      </c>
      <c r="J124" s="1178">
        <v>75.350606774352997</v>
      </c>
      <c r="K124" s="1179">
        <v>38.674709981565933</v>
      </c>
    </row>
    <row r="125" spans="1:21" ht="14" thickBot="1">
      <c r="A125" s="1180"/>
      <c r="B125" s="1181"/>
      <c r="C125" s="1182"/>
      <c r="D125" s="1182"/>
      <c r="E125" s="1182"/>
      <c r="F125" s="1182"/>
      <c r="G125" s="1182"/>
      <c r="H125" s="1183"/>
      <c r="I125" s="1183"/>
      <c r="J125" s="1182"/>
      <c r="K125" s="1184"/>
    </row>
    <row r="126" spans="1:21" ht="14" thickBot="1"/>
    <row r="127" spans="1:21">
      <c r="A127" s="1164" t="s">
        <v>3909</v>
      </c>
      <c r="B127" s="1165"/>
      <c r="C127" s="1166"/>
      <c r="D127" s="1166"/>
      <c r="E127" s="1166"/>
      <c r="F127" s="1166"/>
      <c r="G127" s="1166"/>
      <c r="H127" s="1167"/>
      <c r="I127" s="1167"/>
      <c r="J127" s="1166"/>
      <c r="K127" s="1168"/>
    </row>
    <row r="128" spans="1:21">
      <c r="A128" s="1169"/>
      <c r="D128" s="1185">
        <v>2020</v>
      </c>
      <c r="E128" s="1186">
        <v>2022</v>
      </c>
      <c r="F128" s="1186">
        <v>2027</v>
      </c>
      <c r="G128" s="1186">
        <v>2032</v>
      </c>
      <c r="H128" s="1186">
        <v>2037</v>
      </c>
      <c r="I128" s="1186">
        <v>2042</v>
      </c>
      <c r="J128" s="1186">
        <v>2047</v>
      </c>
      <c r="K128" s="1172">
        <v>2030</v>
      </c>
    </row>
    <row r="129" spans="1:11">
      <c r="A129" s="1169" t="s">
        <v>3924</v>
      </c>
      <c r="B129" s="483" t="s">
        <v>3925</v>
      </c>
      <c r="D129" s="1187">
        <v>138.72962208674895</v>
      </c>
      <c r="E129" s="1187">
        <v>147.21414598104221</v>
      </c>
      <c r="F129" s="1187">
        <v>203.57970108979268</v>
      </c>
      <c r="G129" s="1187">
        <v>229.74279067280489</v>
      </c>
      <c r="H129" s="1187">
        <v>223.50217955075459</v>
      </c>
      <c r="I129" s="1187">
        <v>224.367641459109</v>
      </c>
      <c r="J129" s="1187">
        <v>285.04193204032566</v>
      </c>
      <c r="K129" s="1188">
        <v>226.81490979721508</v>
      </c>
    </row>
    <row r="130" spans="1:11">
      <c r="A130" s="1169" t="s">
        <v>3911</v>
      </c>
      <c r="B130" s="483" t="s">
        <v>3925</v>
      </c>
      <c r="D130" s="1174">
        <v>46.971346858437506</v>
      </c>
      <c r="E130" s="1174">
        <v>57.191399422630973</v>
      </c>
      <c r="F130" s="1174">
        <v>92.898407954219536</v>
      </c>
      <c r="G130" s="1174">
        <v>136.98550049424796</v>
      </c>
      <c r="H130" s="1174">
        <v>162.30951002075207</v>
      </c>
      <c r="I130" s="1174">
        <v>184.04590832011655</v>
      </c>
      <c r="J130" s="1174">
        <v>196.86370716512508</v>
      </c>
      <c r="K130" s="1176">
        <v>123.67306406541171</v>
      </c>
    </row>
    <row r="131" spans="1:11">
      <c r="A131" s="1169" t="s">
        <v>3912</v>
      </c>
      <c r="B131" s="483" t="s">
        <v>3922</v>
      </c>
      <c r="D131" s="1174">
        <v>205.73245069287685</v>
      </c>
      <c r="E131" s="1174">
        <v>203.01548606998944</v>
      </c>
      <c r="F131" s="1174">
        <v>252.83959122592955</v>
      </c>
      <c r="G131" s="1174">
        <v>297.53742898140808</v>
      </c>
      <c r="H131" s="1174">
        <v>331.44908083805365</v>
      </c>
      <c r="I131" s="1174">
        <v>357.30207774594021</v>
      </c>
      <c r="J131" s="1174">
        <v>371.25344445953971</v>
      </c>
      <c r="K131" s="1176">
        <v>279.78103876906385</v>
      </c>
    </row>
    <row r="132" spans="1:11">
      <c r="A132" s="1169" t="s">
        <v>524</v>
      </c>
      <c r="B132" s="483" t="s">
        <v>3923</v>
      </c>
      <c r="D132" s="1177">
        <v>32.963017810330996</v>
      </c>
      <c r="E132" s="1177">
        <v>33.929986361936777</v>
      </c>
      <c r="F132" s="1177">
        <v>49.55329850719442</v>
      </c>
      <c r="G132" s="1177">
        <v>63.998485433754873</v>
      </c>
      <c r="H132" s="1177">
        <v>80.486237526735266</v>
      </c>
      <c r="I132" s="1177">
        <v>99.618912865022608</v>
      </c>
      <c r="J132" s="1177">
        <v>123.02472641041219</v>
      </c>
      <c r="K132" s="1179">
        <v>57.954217282775062</v>
      </c>
    </row>
    <row r="133" spans="1:11" ht="14" thickBot="1">
      <c r="A133" s="1180"/>
      <c r="B133" s="1181"/>
      <c r="C133" s="1182"/>
      <c r="D133" s="1182"/>
      <c r="E133" s="1182"/>
      <c r="F133" s="1182"/>
      <c r="G133" s="1182"/>
      <c r="H133" s="1183"/>
      <c r="I133" s="1183"/>
      <c r="J133" s="1182"/>
      <c r="K133" s="1184"/>
    </row>
  </sheetData>
  <mergeCells count="1">
    <mergeCell ref="L69:O69"/>
  </mergeCells>
  <conditionalFormatting sqref="A68 A71">
    <cfRule type="containsText" dxfId="17" priority="5" operator="containsText" text="NOT SUFFICIENT">
      <formula>NOT(ISERROR(SEARCH("NOT SUFFICIENT",A68)))</formula>
    </cfRule>
  </conditionalFormatting>
  <conditionalFormatting sqref="D36:J36">
    <cfRule type="cellIs" dxfId="16" priority="7" operator="lessThan">
      <formula>0</formula>
    </cfRule>
  </conditionalFormatting>
  <conditionalFormatting sqref="D36:K36 D71:J71">
    <cfRule type="cellIs" dxfId="15" priority="6" operator="lessThan">
      <formula>0</formula>
    </cfRule>
  </conditionalFormatting>
  <conditionalFormatting sqref="D69:K69 D71:K71">
    <cfRule type="cellIs" dxfId="14" priority="4" operator="greaterThan">
      <formula>1</formula>
    </cfRule>
  </conditionalFormatting>
  <conditionalFormatting sqref="D69:K69">
    <cfRule type="cellIs" dxfId="13" priority="1" operator="lessThan">
      <formula>0</formula>
    </cfRule>
  </conditionalFormatting>
  <conditionalFormatting sqref="D129:K130">
    <cfRule type="cellIs" dxfId="12" priority="2" operator="lessThan">
      <formula>0</formula>
    </cfRule>
    <cfRule type="cellIs" dxfId="11" priority="3" operator="lessThan">
      <formula>0</formula>
    </cfRule>
  </conditionalFormatting>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AF2F7-4DF0-4909-A68E-F7169EA97170}">
  <sheetPr codeName="Sheet46"/>
  <dimension ref="A1:DD319"/>
  <sheetViews>
    <sheetView topLeftCell="A165" workbookViewId="0">
      <selection activeCell="AW201" sqref="AW201"/>
    </sheetView>
  </sheetViews>
  <sheetFormatPr baseColWidth="10" defaultColWidth="9.33203125" defaultRowHeight="13" outlineLevelCol="1"/>
  <cols>
    <col min="1" max="1" width="2.33203125" style="483" customWidth="1"/>
    <col min="2" max="2" width="4.5" style="483" customWidth="1"/>
    <col min="3" max="3" width="5.5" style="483" bestFit="1" customWidth="1"/>
    <col min="4" max="4" width="28.33203125" style="483" customWidth="1"/>
    <col min="5" max="5" width="21.5" style="483" hidden="1" customWidth="1"/>
    <col min="6" max="6" width="16" style="483" hidden="1" customWidth="1"/>
    <col min="7" max="48" width="10.5" style="483" hidden="1" customWidth="1" outlineLevel="1"/>
    <col min="49" max="49" width="17.5" style="483" hidden="1" customWidth="1" outlineLevel="1"/>
    <col min="50" max="50" width="10.5" style="483" customWidth="1" collapsed="1"/>
    <col min="51" max="52" width="10" style="483" hidden="1" customWidth="1"/>
    <col min="53" max="53" width="10" style="485" customWidth="1"/>
    <col min="54" max="54" width="15" style="485" customWidth="1"/>
    <col min="55" max="55" width="18.5" style="485" bestFit="1" customWidth="1"/>
    <col min="56" max="56" width="15" style="485" customWidth="1"/>
    <col min="57" max="59" width="16.5" style="485" customWidth="1"/>
    <col min="60" max="60" width="18.5" style="485" bestFit="1" customWidth="1"/>
    <col min="61" max="61" width="16.5" style="485" customWidth="1"/>
    <col min="62" max="62" width="9.33203125" style="483"/>
    <col min="63" max="63" width="16.5" style="494" customWidth="1"/>
    <col min="64" max="64" width="21.5" style="482" customWidth="1"/>
    <col min="65" max="65" width="8.5" style="482" customWidth="1"/>
    <col min="66" max="67" width="10.5" style="482" customWidth="1"/>
    <col min="68" max="68" width="8.5" style="482" customWidth="1"/>
    <col min="69" max="69" width="10.5" style="482" customWidth="1"/>
    <col min="70" max="71" width="11.5" style="482" customWidth="1"/>
    <col min="72" max="72" width="8.5" style="482" customWidth="1"/>
    <col min="73" max="73" width="5.5" style="482" bestFit="1" customWidth="1"/>
    <col min="74" max="74" width="27.5" style="482" customWidth="1"/>
    <col min="75" max="75" width="13.5" style="482" customWidth="1"/>
    <col min="76" max="76" width="15.5" style="482" bestFit="1" customWidth="1"/>
    <col min="77" max="77" width="14.5" style="482" customWidth="1"/>
    <col min="78" max="78" width="16.5" style="482" bestFit="1" customWidth="1"/>
    <col min="79" max="79" width="14.5" style="482" hidden="1" customWidth="1"/>
    <col min="80" max="80" width="14.5" style="482" customWidth="1"/>
    <col min="81" max="83" width="14.5" style="482" hidden="1" customWidth="1"/>
    <col min="84" max="84" width="16.5" style="482" bestFit="1" customWidth="1"/>
    <col min="85" max="89" width="9.33203125" style="482"/>
    <col min="90" max="16384" width="9.33203125" style="483"/>
  </cols>
  <sheetData>
    <row r="1" spans="1:89" ht="6.75" customHeight="1"/>
    <row r="2" spans="1:89" ht="23">
      <c r="A2" s="495"/>
      <c r="B2" s="496" t="s">
        <v>3926</v>
      </c>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8"/>
      <c r="BB2" s="499"/>
      <c r="BC2" s="498"/>
      <c r="BD2" s="498"/>
      <c r="BE2" s="498"/>
      <c r="BF2" s="498"/>
      <c r="BG2" s="498"/>
      <c r="BH2" s="498"/>
      <c r="BI2" s="498"/>
      <c r="BJ2" s="500"/>
    </row>
    <row r="3" spans="1:89" s="501" customFormat="1" ht="20.25" customHeight="1">
      <c r="B3" s="502"/>
      <c r="C3" s="503"/>
      <c r="D3" s="503"/>
      <c r="E3" s="503"/>
      <c r="F3" s="503"/>
      <c r="G3" s="503"/>
      <c r="H3" s="504" t="s">
        <v>3927</v>
      </c>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504"/>
      <c r="AT3" s="504"/>
      <c r="AU3" s="504"/>
      <c r="AV3" s="504"/>
      <c r="AW3" s="504"/>
      <c r="AX3" s="503"/>
      <c r="AY3" s="503" t="s">
        <v>3928</v>
      </c>
      <c r="AZ3" s="503"/>
      <c r="BA3" s="505"/>
      <c r="BB3" s="505"/>
      <c r="BC3" s="505"/>
      <c r="BD3" s="505"/>
      <c r="BE3" s="505"/>
      <c r="BF3" s="505"/>
      <c r="BG3" s="505"/>
      <c r="BH3" s="506"/>
      <c r="BI3" s="506"/>
      <c r="BJ3" s="507"/>
      <c r="BK3" s="508"/>
      <c r="BL3" s="482"/>
      <c r="BM3" s="482"/>
      <c r="BN3" s="482"/>
      <c r="BO3" s="482"/>
      <c r="BP3" s="482"/>
      <c r="BQ3" s="482"/>
      <c r="BR3" s="482"/>
      <c r="BS3" s="482"/>
      <c r="BT3" s="482"/>
      <c r="BU3" s="482"/>
      <c r="BV3" s="482"/>
      <c r="BW3" s="482"/>
      <c r="BX3" s="482"/>
      <c r="BY3" s="509"/>
      <c r="BZ3" s="509"/>
      <c r="CA3" s="509"/>
      <c r="CB3" s="509"/>
      <c r="CC3" s="509"/>
      <c r="CD3" s="509"/>
      <c r="CE3" s="509"/>
      <c r="CF3" s="509"/>
      <c r="CG3" s="509"/>
      <c r="CH3" s="509"/>
      <c r="CI3" s="509"/>
      <c r="CJ3" s="509"/>
      <c r="CK3" s="509"/>
    </row>
    <row r="4" spans="1:89" ht="20.25" customHeight="1">
      <c r="B4" s="502"/>
      <c r="C4" s="503"/>
      <c r="D4" s="510" t="s">
        <v>3929</v>
      </c>
      <c r="E4" s="503"/>
      <c r="F4" s="511" t="s">
        <v>3930</v>
      </c>
      <c r="G4" s="512"/>
      <c r="H4" s="513">
        <v>1970</v>
      </c>
      <c r="I4" s="513">
        <v>1971</v>
      </c>
      <c r="J4" s="513">
        <v>1972</v>
      </c>
      <c r="K4" s="513">
        <v>1973</v>
      </c>
      <c r="L4" s="513">
        <v>1974</v>
      </c>
      <c r="M4" s="513">
        <v>1975</v>
      </c>
      <c r="N4" s="513">
        <v>1976</v>
      </c>
      <c r="O4" s="513">
        <v>1977</v>
      </c>
      <c r="P4" s="513">
        <v>1978</v>
      </c>
      <c r="Q4" s="513">
        <v>1979</v>
      </c>
      <c r="R4" s="513">
        <v>1980</v>
      </c>
      <c r="S4" s="513">
        <v>1981</v>
      </c>
      <c r="T4" s="513">
        <v>1982</v>
      </c>
      <c r="U4" s="513">
        <v>1983</v>
      </c>
      <c r="V4" s="513">
        <v>1984</v>
      </c>
      <c r="W4" s="513">
        <v>1985</v>
      </c>
      <c r="X4" s="513">
        <v>1986</v>
      </c>
      <c r="Y4" s="513">
        <v>1987</v>
      </c>
      <c r="Z4" s="513">
        <v>1988</v>
      </c>
      <c r="AA4" s="513">
        <v>1989</v>
      </c>
      <c r="AB4" s="513">
        <v>1990</v>
      </c>
      <c r="AC4" s="513">
        <v>1991</v>
      </c>
      <c r="AD4" s="513">
        <v>1992</v>
      </c>
      <c r="AE4" s="513">
        <v>1993</v>
      </c>
      <c r="AF4" s="513">
        <v>1994</v>
      </c>
      <c r="AG4" s="513">
        <v>1995</v>
      </c>
      <c r="AH4" s="513">
        <v>1996</v>
      </c>
      <c r="AI4" s="513">
        <v>1997</v>
      </c>
      <c r="AJ4" s="513">
        <v>1998</v>
      </c>
      <c r="AK4" s="513">
        <v>1999</v>
      </c>
      <c r="AL4" s="513">
        <v>2000</v>
      </c>
      <c r="AM4" s="513">
        <v>2001</v>
      </c>
      <c r="AN4" s="513">
        <v>2002</v>
      </c>
      <c r="AO4" s="513">
        <v>2003</v>
      </c>
      <c r="AP4" s="513">
        <v>2004</v>
      </c>
      <c r="AQ4" s="513">
        <v>2005</v>
      </c>
      <c r="AR4" s="513">
        <v>2006</v>
      </c>
      <c r="AS4" s="513">
        <v>2007</v>
      </c>
      <c r="AT4" s="513">
        <v>2008</v>
      </c>
      <c r="AU4" s="513">
        <v>2009</v>
      </c>
      <c r="AV4" s="513">
        <v>2010</v>
      </c>
      <c r="AW4" s="514" t="s">
        <v>619</v>
      </c>
      <c r="AX4" s="503"/>
      <c r="AY4" s="515"/>
      <c r="AZ4" s="515"/>
      <c r="BA4" s="516"/>
      <c r="BB4" s="516" t="s">
        <v>3859</v>
      </c>
      <c r="BC4" s="516">
        <v>2022</v>
      </c>
      <c r="BD4" s="516">
        <v>2027</v>
      </c>
      <c r="BE4" s="516">
        <v>2032</v>
      </c>
      <c r="BF4" s="516">
        <v>2037</v>
      </c>
      <c r="BG4" s="516">
        <v>2042</v>
      </c>
      <c r="BH4" s="516">
        <v>2047</v>
      </c>
      <c r="BI4" s="516" t="s">
        <v>3860</v>
      </c>
      <c r="BJ4" s="517"/>
    </row>
    <row r="5" spans="1:89" ht="14">
      <c r="B5" s="502"/>
      <c r="C5" s="503"/>
      <c r="D5" s="503"/>
      <c r="E5" s="503"/>
      <c r="F5" s="503"/>
      <c r="G5" s="503"/>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504"/>
      <c r="AT5" s="504"/>
      <c r="AU5" s="504"/>
      <c r="AV5" s="504"/>
      <c r="AW5" s="504"/>
      <c r="AX5" s="503"/>
      <c r="AY5" s="503"/>
      <c r="AZ5" s="503"/>
      <c r="BA5" s="505"/>
      <c r="BB5" s="505">
        <v>2020</v>
      </c>
      <c r="BC5" s="505">
        <v>2022</v>
      </c>
      <c r="BD5" s="505">
        <v>2027</v>
      </c>
      <c r="BE5" s="505">
        <v>2032</v>
      </c>
      <c r="BF5" s="505">
        <v>2037</v>
      </c>
      <c r="BG5" s="505">
        <v>2042</v>
      </c>
      <c r="BH5" s="505">
        <v>2047</v>
      </c>
      <c r="BI5" s="505">
        <v>2030</v>
      </c>
      <c r="BJ5" s="517"/>
    </row>
    <row r="6" spans="1:89" s="518" customFormat="1" ht="14">
      <c r="B6" s="519"/>
      <c r="C6" s="520" t="s">
        <v>3931</v>
      </c>
      <c r="D6" s="521"/>
      <c r="E6" s="503"/>
      <c r="F6" s="522"/>
      <c r="G6" s="522"/>
      <c r="H6" s="523"/>
      <c r="I6" s="523"/>
      <c r="J6" s="523"/>
      <c r="K6" s="523"/>
      <c r="L6" s="523"/>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c r="AM6" s="523"/>
      <c r="AN6" s="523"/>
      <c r="AO6" s="523"/>
      <c r="AP6" s="523"/>
      <c r="AQ6" s="523"/>
      <c r="AR6" s="523"/>
      <c r="AS6" s="523"/>
      <c r="AT6" s="523"/>
      <c r="AU6" s="523"/>
      <c r="AV6" s="523"/>
      <c r="AW6" s="523"/>
      <c r="AX6" s="503"/>
      <c r="AY6" s="524"/>
      <c r="AZ6" s="524"/>
      <c r="BA6" s="525"/>
      <c r="BB6" s="525"/>
      <c r="BC6" s="525"/>
      <c r="BD6" s="525"/>
      <c r="BE6" s="525"/>
      <c r="BF6" s="525"/>
      <c r="BG6" s="525"/>
      <c r="BH6" s="525"/>
      <c r="BI6" s="525"/>
      <c r="BJ6" s="526"/>
      <c r="BK6" s="527"/>
    </row>
    <row r="7" spans="1:89" s="518" customFormat="1" ht="14">
      <c r="B7" s="519"/>
      <c r="C7" s="528" t="s">
        <v>3932</v>
      </c>
      <c r="D7" s="521" t="s">
        <v>3933</v>
      </c>
      <c r="E7" s="503"/>
      <c r="F7" s="522"/>
      <c r="G7" s="522"/>
      <c r="H7" s="523"/>
      <c r="I7" s="523"/>
      <c r="J7" s="523"/>
      <c r="K7" s="523"/>
      <c r="L7" s="523"/>
      <c r="M7" s="523"/>
      <c r="N7" s="523"/>
      <c r="O7" s="523"/>
      <c r="P7" s="523"/>
      <c r="Q7" s="523"/>
      <c r="R7" s="523"/>
      <c r="S7" s="523"/>
      <c r="T7" s="523"/>
      <c r="U7" s="523"/>
      <c r="V7" s="523"/>
      <c r="W7" s="523"/>
      <c r="X7" s="523"/>
      <c r="Y7" s="523"/>
      <c r="Z7" s="523"/>
      <c r="AA7" s="523"/>
      <c r="AB7" s="523"/>
      <c r="AC7" s="523"/>
      <c r="AD7" s="523"/>
      <c r="AE7" s="523"/>
      <c r="AF7" s="523"/>
      <c r="AG7" s="523"/>
      <c r="AH7" s="523"/>
      <c r="AI7" s="523"/>
      <c r="AJ7" s="523"/>
      <c r="AK7" s="523"/>
      <c r="AL7" s="523"/>
      <c r="AM7" s="523"/>
      <c r="AN7" s="523"/>
      <c r="AO7" s="523"/>
      <c r="AP7" s="523"/>
      <c r="AQ7" s="523"/>
      <c r="AR7" s="523"/>
      <c r="AS7" s="523"/>
      <c r="AT7" s="523"/>
      <c r="AU7" s="523"/>
      <c r="AV7" s="523"/>
      <c r="AW7" s="523"/>
      <c r="AX7" s="503"/>
      <c r="AY7" s="524"/>
      <c r="AZ7" s="524"/>
      <c r="BA7" s="525"/>
      <c r="BB7" s="525">
        <v>0</v>
      </c>
      <c r="BC7" s="525">
        <v>0</v>
      </c>
      <c r="BD7" s="525">
        <v>0</v>
      </c>
      <c r="BE7" s="525">
        <v>0</v>
      </c>
      <c r="BF7" s="525">
        <v>0</v>
      </c>
      <c r="BG7" s="525">
        <v>0</v>
      </c>
      <c r="BH7" s="525">
        <v>0</v>
      </c>
      <c r="BI7" s="525">
        <v>0</v>
      </c>
      <c r="BJ7" s="526"/>
      <c r="BK7" s="527"/>
    </row>
    <row r="8" spans="1:89" s="518" customFormat="1" ht="14">
      <c r="B8" s="519"/>
      <c r="C8" s="528" t="s">
        <v>3934</v>
      </c>
      <c r="D8" s="521" t="s">
        <v>3935</v>
      </c>
      <c r="E8" s="503"/>
      <c r="F8" s="522"/>
      <c r="G8" s="522"/>
      <c r="H8" s="523"/>
      <c r="I8" s="523"/>
      <c r="J8" s="523"/>
      <c r="K8" s="523"/>
      <c r="L8" s="523"/>
      <c r="M8" s="523"/>
      <c r="N8" s="523"/>
      <c r="O8" s="523"/>
      <c r="P8" s="523"/>
      <c r="Q8" s="523"/>
      <c r="R8" s="523"/>
      <c r="S8" s="523"/>
      <c r="T8" s="523"/>
      <c r="U8" s="523"/>
      <c r="V8" s="523"/>
      <c r="W8" s="523"/>
      <c r="X8" s="523"/>
      <c r="Y8" s="523"/>
      <c r="Z8" s="523"/>
      <c r="AA8" s="523"/>
      <c r="AB8" s="523"/>
      <c r="AC8" s="523"/>
      <c r="AD8" s="523"/>
      <c r="AE8" s="523"/>
      <c r="AF8" s="523"/>
      <c r="AG8" s="523"/>
      <c r="AH8" s="523"/>
      <c r="AI8" s="523"/>
      <c r="AJ8" s="523"/>
      <c r="AK8" s="523"/>
      <c r="AL8" s="523"/>
      <c r="AM8" s="523"/>
      <c r="AN8" s="523"/>
      <c r="AO8" s="523"/>
      <c r="AP8" s="523"/>
      <c r="AQ8" s="523"/>
      <c r="AR8" s="523"/>
      <c r="AS8" s="523"/>
      <c r="AT8" s="523"/>
      <c r="AU8" s="523"/>
      <c r="AV8" s="523"/>
      <c r="AW8" s="523"/>
      <c r="AX8" s="503"/>
      <c r="AY8" s="524"/>
      <c r="AZ8" s="524"/>
      <c r="BA8" s="525"/>
      <c r="BB8" s="525">
        <v>0</v>
      </c>
      <c r="BC8" s="525">
        <v>0</v>
      </c>
      <c r="BD8" s="525">
        <v>0</v>
      </c>
      <c r="BE8" s="525">
        <v>0</v>
      </c>
      <c r="BF8" s="525">
        <v>0</v>
      </c>
      <c r="BG8" s="525">
        <v>0</v>
      </c>
      <c r="BH8" s="525">
        <v>0</v>
      </c>
      <c r="BI8" s="525">
        <v>0</v>
      </c>
      <c r="BJ8" s="526"/>
      <c r="BK8" s="527"/>
    </row>
    <row r="9" spans="1:89" s="529" customFormat="1" ht="14">
      <c r="B9" s="530"/>
      <c r="C9" s="528" t="s">
        <v>3936</v>
      </c>
      <c r="D9" s="521" t="s">
        <v>3937</v>
      </c>
      <c r="E9" s="531"/>
      <c r="F9" s="522"/>
      <c r="G9" s="522"/>
      <c r="H9" s="523"/>
      <c r="I9" s="523"/>
      <c r="J9" s="523"/>
      <c r="K9" s="523"/>
      <c r="L9" s="523"/>
      <c r="M9" s="523"/>
      <c r="N9" s="523"/>
      <c r="O9" s="523"/>
      <c r="P9" s="523"/>
      <c r="Q9" s="523"/>
      <c r="R9" s="523"/>
      <c r="S9" s="523"/>
      <c r="T9" s="523"/>
      <c r="U9" s="523"/>
      <c r="V9" s="523"/>
      <c r="W9" s="523"/>
      <c r="X9" s="523"/>
      <c r="Y9" s="523"/>
      <c r="Z9" s="523"/>
      <c r="AA9" s="523"/>
      <c r="AB9" s="523"/>
      <c r="AC9" s="523"/>
      <c r="AD9" s="523"/>
      <c r="AE9" s="523"/>
      <c r="AF9" s="523"/>
      <c r="AG9" s="523"/>
      <c r="AH9" s="523"/>
      <c r="AI9" s="523"/>
      <c r="AJ9" s="523"/>
      <c r="AK9" s="523"/>
      <c r="AL9" s="523"/>
      <c r="AM9" s="523"/>
      <c r="AN9" s="523"/>
      <c r="AO9" s="523"/>
      <c r="AP9" s="523"/>
      <c r="AQ9" s="523"/>
      <c r="AR9" s="523"/>
      <c r="AS9" s="523"/>
      <c r="AT9" s="523"/>
      <c r="AU9" s="523"/>
      <c r="AV9" s="523"/>
      <c r="AW9" s="523"/>
      <c r="AX9" s="503"/>
      <c r="AY9" s="532">
        <v>57.609655594557744</v>
      </c>
      <c r="AZ9" s="532"/>
      <c r="BA9" s="525"/>
      <c r="BB9" s="525">
        <v>26.299992318114107</v>
      </c>
      <c r="BC9" s="525">
        <v>27.571778248325508</v>
      </c>
      <c r="BD9" s="525">
        <v>39.702035771183873</v>
      </c>
      <c r="BE9" s="525">
        <v>56.366448333054386</v>
      </c>
      <c r="BF9" s="525">
        <v>79.087548136374224</v>
      </c>
      <c r="BG9" s="525">
        <v>108.46823220377411</v>
      </c>
      <c r="BH9" s="525">
        <v>145.43612550526643</v>
      </c>
      <c r="BI9" s="525">
        <v>48.953580350668915</v>
      </c>
      <c r="BJ9" s="533"/>
      <c r="BK9" s="534"/>
      <c r="BL9" s="535"/>
      <c r="BM9" s="536"/>
    </row>
    <row r="10" spans="1:89" s="529" customFormat="1" ht="14">
      <c r="B10" s="530"/>
      <c r="C10" s="528" t="s">
        <v>3938</v>
      </c>
      <c r="D10" s="521" t="s">
        <v>3939</v>
      </c>
      <c r="E10" s="531"/>
      <c r="F10" s="522"/>
      <c r="G10" s="522"/>
      <c r="H10" s="523"/>
      <c r="I10" s="523"/>
      <c r="J10" s="523"/>
      <c r="K10" s="523"/>
      <c r="L10" s="523"/>
      <c r="M10" s="523"/>
      <c r="N10" s="523"/>
      <c r="O10" s="523"/>
      <c r="P10" s="523"/>
      <c r="Q10" s="523"/>
      <c r="R10" s="523"/>
      <c r="S10" s="523"/>
      <c r="T10" s="523"/>
      <c r="U10" s="523"/>
      <c r="V10" s="523"/>
      <c r="W10" s="523"/>
      <c r="X10" s="523"/>
      <c r="Y10" s="523"/>
      <c r="Z10" s="523"/>
      <c r="AA10" s="523"/>
      <c r="AB10" s="523"/>
      <c r="AC10" s="523"/>
      <c r="AD10" s="523"/>
      <c r="AE10" s="523"/>
      <c r="AF10" s="523"/>
      <c r="AG10" s="523"/>
      <c r="AH10" s="523"/>
      <c r="AI10" s="523"/>
      <c r="AJ10" s="523"/>
      <c r="AK10" s="523"/>
      <c r="AL10" s="523"/>
      <c r="AM10" s="523"/>
      <c r="AN10" s="523"/>
      <c r="AO10" s="523"/>
      <c r="AP10" s="523"/>
      <c r="AQ10" s="523"/>
      <c r="AR10" s="523"/>
      <c r="AS10" s="523"/>
      <c r="AT10" s="523"/>
      <c r="AU10" s="523"/>
      <c r="AV10" s="523"/>
      <c r="AW10" s="523"/>
      <c r="AX10" s="503"/>
      <c r="AY10" s="532">
        <v>312.35315002606166</v>
      </c>
      <c r="AZ10" s="532"/>
      <c r="BA10" s="525"/>
      <c r="BB10" s="525">
        <v>8.1339065454081467</v>
      </c>
      <c r="BC10" s="525">
        <v>8.5969089718730327</v>
      </c>
      <c r="BD10" s="525">
        <v>10.542814296966707</v>
      </c>
      <c r="BE10" s="525">
        <v>13.067354867230923</v>
      </c>
      <c r="BF10" s="525">
        <v>16.389815944123402</v>
      </c>
      <c r="BG10" s="525">
        <v>20.820660486070977</v>
      </c>
      <c r="BH10" s="525">
        <v>26.799899233812145</v>
      </c>
      <c r="BI10" s="525">
        <v>11.97577540367152</v>
      </c>
      <c r="BJ10" s="533"/>
      <c r="BK10" s="534"/>
      <c r="BL10" s="535"/>
    </row>
    <row r="11" spans="1:89" s="529" customFormat="1" ht="14">
      <c r="B11" s="530"/>
      <c r="C11" s="528"/>
      <c r="D11" s="537" t="s">
        <v>3851</v>
      </c>
      <c r="E11" s="531"/>
      <c r="F11" s="538"/>
      <c r="G11" s="538"/>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1"/>
      <c r="AY11" s="532">
        <v>216.01255830269804</v>
      </c>
      <c r="AZ11" s="532"/>
      <c r="BA11" s="540"/>
      <c r="BB11" s="540">
        <v>34.433898863522252</v>
      </c>
      <c r="BC11" s="540">
        <v>36.168687220198542</v>
      </c>
      <c r="BD11" s="540">
        <v>50.244850068150583</v>
      </c>
      <c r="BE11" s="540">
        <v>69.433803200285311</v>
      </c>
      <c r="BF11" s="540">
        <v>95.477364080497622</v>
      </c>
      <c r="BG11" s="540">
        <v>129.28889268984508</v>
      </c>
      <c r="BH11" s="540">
        <v>172.23602473907857</v>
      </c>
      <c r="BI11" s="540">
        <v>60.929355754340435</v>
      </c>
      <c r="BJ11" s="533"/>
      <c r="BK11" s="534"/>
      <c r="BL11" s="535"/>
    </row>
    <row r="12" spans="1:89" s="518" customFormat="1" ht="14">
      <c r="B12" s="519"/>
      <c r="C12" s="528" t="s">
        <v>3940</v>
      </c>
      <c r="D12" s="537" t="s">
        <v>413</v>
      </c>
      <c r="E12" s="531"/>
      <c r="F12" s="538"/>
      <c r="G12" s="538"/>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1"/>
      <c r="AY12" s="532">
        <v>36.557739142594244</v>
      </c>
      <c r="AZ12" s="532"/>
      <c r="BA12" s="540"/>
      <c r="BB12" s="540">
        <v>238.39372131647949</v>
      </c>
      <c r="BC12" s="540">
        <v>262.41250218921147</v>
      </c>
      <c r="BD12" s="540">
        <v>338.38186099748185</v>
      </c>
      <c r="BE12" s="540">
        <v>431.25874879753786</v>
      </c>
      <c r="BF12" s="540">
        <v>528.38346782755627</v>
      </c>
      <c r="BG12" s="540">
        <v>642.41617325415712</v>
      </c>
      <c r="BH12" s="540">
        <v>774.31043011676002</v>
      </c>
      <c r="BI12" s="540">
        <v>394.18086501358039</v>
      </c>
      <c r="BJ12" s="526"/>
      <c r="BK12" s="534"/>
    </row>
    <row r="13" spans="1:89" s="518" customFormat="1" ht="14">
      <c r="B13" s="519"/>
      <c r="C13" s="528" t="s">
        <v>3941</v>
      </c>
      <c r="D13" s="521" t="s">
        <v>3942</v>
      </c>
      <c r="E13" s="503"/>
      <c r="F13" s="522"/>
      <c r="G13" s="522"/>
      <c r="H13" s="523"/>
      <c r="I13" s="523"/>
      <c r="J13" s="523"/>
      <c r="K13" s="523"/>
      <c r="L13" s="523"/>
      <c r="M13" s="523"/>
      <c r="N13" s="523"/>
      <c r="O13" s="523"/>
      <c r="P13" s="523"/>
      <c r="Q13" s="523"/>
      <c r="R13" s="523"/>
      <c r="S13" s="523"/>
      <c r="T13" s="523"/>
      <c r="U13" s="523"/>
      <c r="V13" s="523"/>
      <c r="W13" s="523"/>
      <c r="X13" s="523"/>
      <c r="Y13" s="523"/>
      <c r="Z13" s="523"/>
      <c r="AA13" s="523"/>
      <c r="AB13" s="523"/>
      <c r="AC13" s="523"/>
      <c r="AD13" s="523"/>
      <c r="AE13" s="523"/>
      <c r="AF13" s="523"/>
      <c r="AG13" s="523"/>
      <c r="AH13" s="523"/>
      <c r="AI13" s="523"/>
      <c r="AJ13" s="523"/>
      <c r="AK13" s="523"/>
      <c r="AL13" s="523"/>
      <c r="AM13" s="523"/>
      <c r="AN13" s="523"/>
      <c r="AO13" s="523"/>
      <c r="AP13" s="523"/>
      <c r="AQ13" s="523"/>
      <c r="AR13" s="523"/>
      <c r="AS13" s="523"/>
      <c r="AT13" s="523"/>
      <c r="AU13" s="523"/>
      <c r="AV13" s="523"/>
      <c r="AW13" s="523"/>
      <c r="AX13" s="503"/>
      <c r="AY13" s="524">
        <v>11.400362174412928</v>
      </c>
      <c r="AZ13" s="524"/>
      <c r="BA13" s="525"/>
      <c r="BB13" s="525">
        <v>124.83194557316904</v>
      </c>
      <c r="BC13" s="525">
        <v>113.19617684401635</v>
      </c>
      <c r="BD13" s="525">
        <v>161.73558750178009</v>
      </c>
      <c r="BE13" s="525">
        <v>189.83262729815402</v>
      </c>
      <c r="BF13" s="525">
        <v>212.01205983297092</v>
      </c>
      <c r="BG13" s="525">
        <v>226.0758518308611</v>
      </c>
      <c r="BH13" s="525">
        <v>227.70109247956867</v>
      </c>
      <c r="BI13" s="525">
        <v>179.15290982101993</v>
      </c>
      <c r="BJ13" s="526"/>
      <c r="BK13" s="527"/>
      <c r="BL13" s="541"/>
      <c r="BM13" s="542"/>
    </row>
    <row r="14" spans="1:89" s="518" customFormat="1" ht="14">
      <c r="B14" s="519"/>
      <c r="C14" s="528" t="s">
        <v>3943</v>
      </c>
      <c r="D14" s="521" t="s">
        <v>3944</v>
      </c>
      <c r="E14" s="503"/>
      <c r="F14" s="522"/>
      <c r="G14" s="522"/>
      <c r="H14" s="523"/>
      <c r="I14" s="523"/>
      <c r="J14" s="523"/>
      <c r="K14" s="523"/>
      <c r="L14" s="523"/>
      <c r="M14" s="523"/>
      <c r="N14" s="523"/>
      <c r="O14" s="523"/>
      <c r="P14" s="523"/>
      <c r="Q14" s="523"/>
      <c r="R14" s="523"/>
      <c r="S14" s="523"/>
      <c r="T14" s="523"/>
      <c r="U14" s="523"/>
      <c r="V14" s="523"/>
      <c r="W14" s="523"/>
      <c r="X14" s="523"/>
      <c r="Y14" s="523"/>
      <c r="Z14" s="523"/>
      <c r="AA14" s="523"/>
      <c r="AB14" s="523"/>
      <c r="AC14" s="523"/>
      <c r="AD14" s="523"/>
      <c r="AE14" s="523"/>
      <c r="AF14" s="523"/>
      <c r="AG14" s="523"/>
      <c r="AH14" s="523"/>
      <c r="AI14" s="523"/>
      <c r="AJ14" s="523"/>
      <c r="AK14" s="523"/>
      <c r="AL14" s="523"/>
      <c r="AM14" s="523"/>
      <c r="AN14" s="523"/>
      <c r="AO14" s="523"/>
      <c r="AP14" s="523"/>
      <c r="AQ14" s="523"/>
      <c r="AR14" s="523"/>
      <c r="AS14" s="523"/>
      <c r="AT14" s="523"/>
      <c r="AU14" s="523"/>
      <c r="AV14" s="523"/>
      <c r="AW14" s="523"/>
      <c r="AX14" s="503"/>
      <c r="AY14" s="524">
        <v>64.93947612463873</v>
      </c>
      <c r="AZ14" s="524"/>
      <c r="BA14" s="525"/>
      <c r="BB14" s="525">
        <v>3.9114443204257201</v>
      </c>
      <c r="BC14" s="525">
        <v>3.2132653197737691</v>
      </c>
      <c r="BD14" s="525">
        <v>3.5957054264625548</v>
      </c>
      <c r="BE14" s="525">
        <v>4.4088421234117874</v>
      </c>
      <c r="BF14" s="525">
        <v>5.2004405523816466</v>
      </c>
      <c r="BG14" s="525">
        <v>5.9474206481327307</v>
      </c>
      <c r="BH14" s="525">
        <v>6.5185420006221833</v>
      </c>
      <c r="BI14" s="525">
        <v>4.0843870061300738</v>
      </c>
      <c r="BJ14" s="526"/>
      <c r="BK14" s="543"/>
      <c r="BL14" s="541"/>
      <c r="BM14" s="542"/>
    </row>
    <row r="15" spans="1:89" s="529" customFormat="1" ht="14">
      <c r="B15" s="530"/>
      <c r="C15" s="528" t="s">
        <v>3945</v>
      </c>
      <c r="D15" s="521" t="s">
        <v>3946</v>
      </c>
      <c r="E15" s="531"/>
      <c r="F15" s="522"/>
      <c r="G15" s="522"/>
      <c r="H15" s="523"/>
      <c r="I15" s="523"/>
      <c r="J15" s="523"/>
      <c r="K15" s="523"/>
      <c r="L15" s="523"/>
      <c r="M15" s="523"/>
      <c r="N15" s="523"/>
      <c r="O15" s="523"/>
      <c r="P15" s="523"/>
      <c r="Q15" s="523"/>
      <c r="R15" s="523"/>
      <c r="S15" s="523"/>
      <c r="T15" s="523"/>
      <c r="U15" s="523"/>
      <c r="V15" s="523"/>
      <c r="W15" s="523"/>
      <c r="X15" s="523"/>
      <c r="Y15" s="523"/>
      <c r="Z15" s="523"/>
      <c r="AA15" s="523"/>
      <c r="AB15" s="523"/>
      <c r="AC15" s="523"/>
      <c r="AD15" s="523"/>
      <c r="AE15" s="523"/>
      <c r="AF15" s="523"/>
      <c r="AG15" s="523"/>
      <c r="AH15" s="523"/>
      <c r="AI15" s="523"/>
      <c r="AJ15" s="523"/>
      <c r="AK15" s="523"/>
      <c r="AL15" s="523"/>
      <c r="AM15" s="523"/>
      <c r="AN15" s="523"/>
      <c r="AO15" s="523"/>
      <c r="AP15" s="523"/>
      <c r="AQ15" s="523"/>
      <c r="AR15" s="523"/>
      <c r="AS15" s="523"/>
      <c r="AT15" s="523"/>
      <c r="AU15" s="523"/>
      <c r="AV15" s="523"/>
      <c r="AW15" s="523"/>
      <c r="AX15" s="503"/>
      <c r="AY15" s="532">
        <v>44.801320639449095</v>
      </c>
      <c r="AZ15" s="532"/>
      <c r="BA15" s="525"/>
      <c r="BB15" s="525">
        <v>3.8554332720768563</v>
      </c>
      <c r="BC15" s="525">
        <v>3.5223235991217856</v>
      </c>
      <c r="BD15" s="525">
        <v>5.9078201685967153</v>
      </c>
      <c r="BE15" s="525">
        <v>7.5937664746695877</v>
      </c>
      <c r="BF15" s="525">
        <v>9.3713813640882524</v>
      </c>
      <c r="BG15" s="525">
        <v>11.240775957337734</v>
      </c>
      <c r="BH15" s="525">
        <v>13.072081216827463</v>
      </c>
      <c r="BI15" s="525">
        <v>6.906421987619261</v>
      </c>
      <c r="BJ15" s="533"/>
      <c r="BK15" s="544"/>
      <c r="BL15" s="535"/>
      <c r="BM15" s="536"/>
    </row>
    <row r="16" spans="1:89" s="529" customFormat="1" ht="14">
      <c r="B16" s="530"/>
      <c r="C16" s="528" t="s">
        <v>3947</v>
      </c>
      <c r="D16" s="521" t="s">
        <v>3948</v>
      </c>
      <c r="E16" s="531"/>
      <c r="F16" s="522"/>
      <c r="G16" s="522"/>
      <c r="H16" s="523"/>
      <c r="I16" s="523"/>
      <c r="J16" s="523"/>
      <c r="K16" s="523"/>
      <c r="L16" s="523"/>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523"/>
      <c r="AQ16" s="523"/>
      <c r="AR16" s="523"/>
      <c r="AS16" s="523"/>
      <c r="AT16" s="523"/>
      <c r="AU16" s="523"/>
      <c r="AV16" s="523"/>
      <c r="AW16" s="523"/>
      <c r="AX16" s="503"/>
      <c r="AY16" s="532"/>
      <c r="AZ16" s="532"/>
      <c r="BA16" s="525"/>
      <c r="BB16" s="525">
        <v>6.8244662460012151E-2</v>
      </c>
      <c r="BC16" s="525">
        <v>8.0936709333162521E-2</v>
      </c>
      <c r="BD16" s="525">
        <v>0.16088155961177331</v>
      </c>
      <c r="BE16" s="525">
        <v>0.31627664567380931</v>
      </c>
      <c r="BF16" s="525">
        <v>0.60475490802117227</v>
      </c>
      <c r="BG16" s="525">
        <v>1.1157628853567556</v>
      </c>
      <c r="BH16" s="525">
        <v>1.9096875862017215</v>
      </c>
      <c r="BI16" s="525">
        <v>0.24204766238002531</v>
      </c>
      <c r="BJ16" s="533"/>
      <c r="BK16" s="544"/>
      <c r="BL16" s="535"/>
      <c r="BM16" s="536"/>
    </row>
    <row r="17" spans="1:89" s="529" customFormat="1" ht="14">
      <c r="B17" s="530"/>
      <c r="C17" s="528"/>
      <c r="D17" s="537" t="s">
        <v>3852</v>
      </c>
      <c r="E17" s="531"/>
      <c r="F17" s="538"/>
      <c r="G17" s="538"/>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1"/>
      <c r="AY17" s="532"/>
      <c r="AZ17" s="532"/>
      <c r="BA17" s="540"/>
      <c r="BB17" s="540">
        <v>132.66706782813162</v>
      </c>
      <c r="BC17" s="540">
        <v>120.01270247224507</v>
      </c>
      <c r="BD17" s="540">
        <v>171.39999465645113</v>
      </c>
      <c r="BE17" s="540">
        <v>202.1515125419092</v>
      </c>
      <c r="BF17" s="540">
        <v>227.18863665746198</v>
      </c>
      <c r="BG17" s="540">
        <v>244.37981132168832</v>
      </c>
      <c r="BH17" s="540">
        <v>249.20140328322003</v>
      </c>
      <c r="BI17" s="540">
        <v>190.3857664771493</v>
      </c>
      <c r="BJ17" s="533"/>
      <c r="BK17" s="544"/>
    </row>
    <row r="18" spans="1:89" ht="14">
      <c r="B18" s="502"/>
      <c r="C18" s="528" t="s">
        <v>3949</v>
      </c>
      <c r="D18" s="537" t="s">
        <v>3853</v>
      </c>
      <c r="E18" s="531"/>
      <c r="F18" s="538"/>
      <c r="G18" s="538"/>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1"/>
      <c r="AY18" s="545"/>
      <c r="AZ18" s="532"/>
      <c r="BA18" s="540"/>
      <c r="BB18" s="540">
        <v>31.956774622806591</v>
      </c>
      <c r="BC18" s="540">
        <v>34.48923167691634</v>
      </c>
      <c r="BD18" s="540">
        <v>41.730599229554663</v>
      </c>
      <c r="BE18" s="540">
        <v>50.514564535157596</v>
      </c>
      <c r="BF18" s="540">
        <v>55.933183241389401</v>
      </c>
      <c r="BG18" s="540">
        <v>61.515709760000142</v>
      </c>
      <c r="BH18" s="540">
        <v>67.975973711088145</v>
      </c>
      <c r="BI18" s="540">
        <v>46.780590525305669</v>
      </c>
      <c r="BJ18" s="546"/>
      <c r="BK18" s="547"/>
      <c r="BM18" s="548"/>
      <c r="BN18" s="548"/>
    </row>
    <row r="19" spans="1:89" s="549" customFormat="1" ht="14">
      <c r="B19" s="550"/>
      <c r="C19" s="528" t="s">
        <v>3950</v>
      </c>
      <c r="D19" s="537" t="s">
        <v>430</v>
      </c>
      <c r="E19" s="531"/>
      <c r="F19" s="538"/>
      <c r="G19" s="538"/>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1"/>
      <c r="AY19" s="532"/>
      <c r="AZ19" s="532"/>
      <c r="BA19" s="540"/>
      <c r="BB19" s="540">
        <v>7.7989997542347371</v>
      </c>
      <c r="BC19" s="540">
        <v>8.9319236036295013</v>
      </c>
      <c r="BD19" s="540">
        <v>11.752821918596906</v>
      </c>
      <c r="BE19" s="540">
        <v>13.951471803851113</v>
      </c>
      <c r="BF19" s="540">
        <v>15.83575876796553</v>
      </c>
      <c r="BG19" s="540">
        <v>16.882560099876283</v>
      </c>
      <c r="BH19" s="540">
        <v>16.986351485259092</v>
      </c>
      <c r="BI19" s="540">
        <v>13.061605808040504</v>
      </c>
      <c r="BJ19" s="551"/>
      <c r="BK19" s="552"/>
      <c r="BL19" s="481"/>
      <c r="BM19" s="481"/>
      <c r="BN19" s="481"/>
      <c r="BO19" s="481"/>
      <c r="BP19" s="481"/>
      <c r="BQ19" s="481"/>
      <c r="BR19" s="481"/>
      <c r="BS19" s="481"/>
      <c r="BT19" s="481"/>
      <c r="BU19" s="481"/>
      <c r="BV19" s="481"/>
      <c r="BW19" s="481"/>
      <c r="BX19" s="481"/>
      <c r="BY19" s="481"/>
      <c r="BZ19" s="481"/>
      <c r="CA19" s="481"/>
      <c r="CB19" s="481"/>
      <c r="CC19" s="481"/>
      <c r="CD19" s="481"/>
      <c r="CE19" s="481"/>
      <c r="CF19" s="481"/>
      <c r="CG19" s="481"/>
      <c r="CH19" s="481"/>
      <c r="CI19" s="481"/>
      <c r="CJ19" s="481"/>
      <c r="CK19" s="481"/>
    </row>
    <row r="20" spans="1:89" s="549" customFormat="1" ht="14">
      <c r="B20" s="550"/>
      <c r="C20" s="528" t="s">
        <v>3951</v>
      </c>
      <c r="D20" s="537" t="s">
        <v>3854</v>
      </c>
      <c r="E20" s="531"/>
      <c r="F20" s="538"/>
      <c r="G20" s="538"/>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1"/>
      <c r="AY20" s="532"/>
      <c r="AZ20" s="532"/>
      <c r="BA20" s="540"/>
      <c r="BB20" s="540">
        <v>98.70645519191423</v>
      </c>
      <c r="BC20" s="540">
        <v>95.303403558183888</v>
      </c>
      <c r="BD20" s="540">
        <v>88.49986025325012</v>
      </c>
      <c r="BE20" s="540">
        <v>81.329174563558553</v>
      </c>
      <c r="BF20" s="540">
        <v>75.079918213386378</v>
      </c>
      <c r="BG20" s="540">
        <v>67.983040706289145</v>
      </c>
      <c r="BH20" s="540">
        <v>58.544789966528654</v>
      </c>
      <c r="BI20" s="540">
        <v>84.352318692341839</v>
      </c>
      <c r="BJ20" s="551"/>
      <c r="BK20" s="552"/>
      <c r="BL20" s="481"/>
      <c r="BM20" s="481"/>
      <c r="BN20" s="481"/>
      <c r="BO20" s="481"/>
      <c r="BP20" s="481"/>
      <c r="BQ20" s="481"/>
      <c r="BR20" s="481"/>
      <c r="BS20" s="481"/>
      <c r="BT20" s="481"/>
      <c r="BU20" s="481"/>
      <c r="BV20" s="481"/>
      <c r="BW20" s="481"/>
      <c r="BX20" s="481"/>
      <c r="BY20" s="481"/>
      <c r="BZ20" s="481"/>
      <c r="CA20" s="481"/>
      <c r="CB20" s="481"/>
      <c r="CC20" s="481"/>
      <c r="CD20" s="481"/>
      <c r="CE20" s="481"/>
      <c r="CF20" s="481"/>
      <c r="CG20" s="481"/>
      <c r="CH20" s="481"/>
      <c r="CI20" s="481"/>
      <c r="CJ20" s="481"/>
      <c r="CK20" s="481"/>
    </row>
    <row r="21" spans="1:89" s="549" customFormat="1" ht="14">
      <c r="B21" s="550"/>
      <c r="C21" s="528" t="s">
        <v>3952</v>
      </c>
      <c r="D21" s="537" t="s">
        <v>3953</v>
      </c>
      <c r="E21" s="531"/>
      <c r="F21" s="538"/>
      <c r="G21" s="538"/>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1"/>
      <c r="AY21" s="532"/>
      <c r="AZ21" s="532"/>
      <c r="BA21" s="540"/>
      <c r="BB21" s="540">
        <v>35.306497061049015</v>
      </c>
      <c r="BC21" s="540">
        <v>35.533041321889996</v>
      </c>
      <c r="BD21" s="540">
        <v>42.785772349311252</v>
      </c>
      <c r="BE21" s="540">
        <v>50.254531537006073</v>
      </c>
      <c r="BF21" s="540">
        <v>58.721474376736538</v>
      </c>
      <c r="BG21" s="540">
        <v>68.735863471115479</v>
      </c>
      <c r="BH21" s="540">
        <v>80.683469304588016</v>
      </c>
      <c r="BI21" s="540">
        <v>47.134011010729409</v>
      </c>
      <c r="BJ21" s="551"/>
      <c r="BK21" s="552"/>
      <c r="BL21" s="481"/>
      <c r="BM21" s="481"/>
      <c r="BN21" s="481"/>
      <c r="BO21" s="481"/>
      <c r="BP21" s="481"/>
      <c r="BQ21" s="481"/>
      <c r="BR21" s="481"/>
      <c r="BS21" s="481"/>
      <c r="BT21" s="481"/>
      <c r="BU21" s="481"/>
      <c r="BV21" s="481"/>
      <c r="BW21" s="481"/>
      <c r="BX21" s="481"/>
      <c r="BY21" s="481"/>
      <c r="BZ21" s="481"/>
      <c r="CA21" s="481"/>
      <c r="CB21" s="481"/>
      <c r="CC21" s="481"/>
      <c r="CD21" s="481"/>
      <c r="CE21" s="481"/>
      <c r="CF21" s="481"/>
      <c r="CG21" s="481"/>
      <c r="CH21" s="481"/>
      <c r="CI21" s="481"/>
      <c r="CJ21" s="481"/>
      <c r="CK21" s="481"/>
    </row>
    <row r="22" spans="1:89" s="549" customFormat="1" ht="14">
      <c r="B22" s="550"/>
      <c r="C22" s="553"/>
      <c r="D22" s="537" t="s">
        <v>3954</v>
      </c>
      <c r="E22" s="531"/>
      <c r="F22" s="538"/>
      <c r="G22" s="538"/>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1"/>
      <c r="AY22" s="532"/>
      <c r="AZ22" s="532"/>
      <c r="BA22" s="540"/>
      <c r="BB22" s="540">
        <v>6.7367153912295787</v>
      </c>
      <c r="BC22" s="540">
        <v>7.1493565189115174</v>
      </c>
      <c r="BD22" s="540">
        <v>9.7108540376326573</v>
      </c>
      <c r="BE22" s="540">
        <v>12.918042116660047</v>
      </c>
      <c r="BF22" s="540">
        <v>16.829520668456439</v>
      </c>
      <c r="BG22" s="540">
        <v>21.686424752168534</v>
      </c>
      <c r="BH22" s="540">
        <v>27.641922489353988</v>
      </c>
      <c r="BI22" s="540">
        <v>11.552504572549537</v>
      </c>
      <c r="BJ22" s="551"/>
      <c r="BK22" s="552"/>
      <c r="BL22" s="481"/>
      <c r="BM22" s="481"/>
      <c r="BN22" s="481"/>
      <c r="BO22" s="481"/>
      <c r="BP22" s="481"/>
      <c r="BQ22" s="481"/>
      <c r="BR22" s="481"/>
      <c r="BS22" s="481"/>
      <c r="BT22" s="481"/>
      <c r="BU22" s="481"/>
      <c r="BV22" s="481"/>
      <c r="BW22" s="481"/>
      <c r="BX22" s="481"/>
      <c r="BY22" s="481"/>
      <c r="BZ22" s="481"/>
      <c r="CA22" s="481"/>
      <c r="CB22" s="481"/>
      <c r="CC22" s="481"/>
      <c r="CD22" s="481"/>
      <c r="CE22" s="481"/>
      <c r="CF22" s="481"/>
      <c r="CG22" s="481"/>
      <c r="CH22" s="481"/>
      <c r="CI22" s="481"/>
      <c r="CJ22" s="481"/>
      <c r="CK22" s="481"/>
    </row>
    <row r="23" spans="1:89" s="564" customFormat="1" ht="18">
      <c r="A23" s="554"/>
      <c r="B23" s="555"/>
      <c r="C23" s="556"/>
      <c r="D23" s="557" t="s">
        <v>3955</v>
      </c>
      <c r="E23" s="503"/>
      <c r="F23" s="522"/>
      <c r="G23" s="522"/>
      <c r="H23" s="523"/>
      <c r="I23" s="523"/>
      <c r="J23" s="523"/>
      <c r="K23" s="523"/>
      <c r="L23" s="523"/>
      <c r="M23" s="523"/>
      <c r="N23" s="523"/>
      <c r="O23" s="523"/>
      <c r="P23" s="523"/>
      <c r="Q23" s="523"/>
      <c r="R23" s="523"/>
      <c r="S23" s="523"/>
      <c r="T23" s="523"/>
      <c r="U23" s="523"/>
      <c r="V23" s="523"/>
      <c r="W23" s="523"/>
      <c r="X23" s="523"/>
      <c r="Y23" s="523"/>
      <c r="Z23" s="523"/>
      <c r="AA23" s="523"/>
      <c r="AB23" s="523"/>
      <c r="AC23" s="523"/>
      <c r="AD23" s="523"/>
      <c r="AE23" s="523"/>
      <c r="AF23" s="523"/>
      <c r="AG23" s="523"/>
      <c r="AH23" s="523"/>
      <c r="AI23" s="523"/>
      <c r="AJ23" s="523"/>
      <c r="AK23" s="523"/>
      <c r="AL23" s="523"/>
      <c r="AM23" s="523"/>
      <c r="AN23" s="523"/>
      <c r="AO23" s="523"/>
      <c r="AP23" s="523"/>
      <c r="AQ23" s="523"/>
      <c r="AR23" s="523"/>
      <c r="AS23" s="523"/>
      <c r="AT23" s="523"/>
      <c r="AU23" s="523"/>
      <c r="AV23" s="523"/>
      <c r="AW23" s="523"/>
      <c r="AX23" s="503"/>
      <c r="AY23" s="558"/>
      <c r="AZ23" s="558"/>
      <c r="BA23" s="559"/>
      <c r="BB23" s="560">
        <v>586.0001300293676</v>
      </c>
      <c r="BC23" s="560">
        <v>600.00084856118633</v>
      </c>
      <c r="BD23" s="560">
        <v>754.50661351042902</v>
      </c>
      <c r="BE23" s="560">
        <v>911.81184909596573</v>
      </c>
      <c r="BF23" s="560">
        <v>1073.4493238334503</v>
      </c>
      <c r="BG23" s="560">
        <v>1252.8884760551398</v>
      </c>
      <c r="BH23" s="560">
        <v>1447.5803650958765</v>
      </c>
      <c r="BI23" s="560">
        <v>848.37701785403726</v>
      </c>
      <c r="BJ23" s="561"/>
      <c r="BK23" s="562"/>
      <c r="BL23" s="563"/>
      <c r="BM23" s="563"/>
      <c r="BN23" s="563"/>
      <c r="BO23" s="563"/>
      <c r="BP23" s="563"/>
      <c r="BQ23" s="563"/>
      <c r="BR23" s="563"/>
      <c r="BS23" s="563"/>
      <c r="BT23" s="563"/>
      <c r="BU23" s="563"/>
      <c r="BV23" s="563"/>
      <c r="BW23" s="563"/>
      <c r="BX23" s="563"/>
      <c r="BY23" s="563"/>
      <c r="BZ23" s="563"/>
      <c r="CA23" s="563"/>
      <c r="CB23" s="563"/>
      <c r="CC23" s="563"/>
      <c r="CD23" s="563"/>
      <c r="CE23" s="563"/>
      <c r="CF23" s="563"/>
      <c r="CG23" s="563"/>
      <c r="CH23" s="563"/>
      <c r="CI23" s="563"/>
      <c r="CJ23" s="563"/>
      <c r="CK23" s="563"/>
    </row>
    <row r="24" spans="1:89" s="565" customFormat="1" ht="14">
      <c r="B24" s="566"/>
      <c r="C24" s="567"/>
      <c r="D24" s="568"/>
      <c r="E24" s="569"/>
      <c r="F24" s="522"/>
      <c r="G24" s="522"/>
      <c r="H24" s="523"/>
      <c r="I24" s="523"/>
      <c r="J24" s="523"/>
      <c r="K24" s="523"/>
      <c r="L24" s="523"/>
      <c r="M24" s="523"/>
      <c r="N24" s="523"/>
      <c r="O24" s="523"/>
      <c r="P24" s="523"/>
      <c r="Q24" s="523"/>
      <c r="R24" s="523"/>
      <c r="S24" s="523"/>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c r="AT24" s="523"/>
      <c r="AU24" s="523"/>
      <c r="AV24" s="523"/>
      <c r="AW24" s="523"/>
      <c r="AX24" s="503"/>
      <c r="AY24" s="570"/>
      <c r="AZ24" s="570"/>
      <c r="BA24" s="571"/>
      <c r="BB24" s="571"/>
      <c r="BC24" s="571"/>
      <c r="BD24" s="571"/>
      <c r="BE24" s="571"/>
      <c r="BF24" s="571"/>
      <c r="BG24" s="571"/>
      <c r="BH24" s="571"/>
      <c r="BI24" s="571"/>
      <c r="BJ24" s="572"/>
      <c r="BK24" s="552"/>
      <c r="BL24" s="481"/>
      <c r="BM24" s="481"/>
      <c r="BN24" s="481"/>
      <c r="BO24" s="481"/>
      <c r="BP24" s="481"/>
      <c r="BQ24" s="481"/>
      <c r="BR24" s="481"/>
      <c r="BS24" s="481"/>
      <c r="BT24" s="481"/>
      <c r="BU24" s="481"/>
      <c r="BV24" s="481"/>
      <c r="BW24" s="481"/>
      <c r="BX24" s="481"/>
      <c r="BY24" s="481"/>
      <c r="BZ24" s="481"/>
      <c r="CA24" s="481"/>
      <c r="CB24" s="481"/>
      <c r="CC24" s="481"/>
      <c r="CD24" s="481"/>
      <c r="CE24" s="481"/>
      <c r="CF24" s="481"/>
      <c r="CG24" s="481"/>
      <c r="CH24" s="481"/>
      <c r="CI24" s="481"/>
      <c r="CJ24" s="481"/>
      <c r="CK24" s="481"/>
    </row>
    <row r="25" spans="1:89" s="573" customFormat="1" ht="14">
      <c r="B25" s="574"/>
      <c r="C25" s="575"/>
      <c r="D25" s="522" t="s">
        <v>3956</v>
      </c>
      <c r="E25" s="503"/>
      <c r="F25" s="522"/>
      <c r="G25" s="522"/>
      <c r="H25" s="523"/>
      <c r="I25" s="523"/>
      <c r="J25" s="523"/>
      <c r="K25" s="523"/>
      <c r="L25" s="523"/>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c r="AM25" s="523"/>
      <c r="AN25" s="523"/>
      <c r="AO25" s="523"/>
      <c r="AP25" s="523"/>
      <c r="AQ25" s="523"/>
      <c r="AR25" s="523"/>
      <c r="AS25" s="523"/>
      <c r="AT25" s="523"/>
      <c r="AU25" s="523"/>
      <c r="AV25" s="523"/>
      <c r="AW25" s="523"/>
      <c r="AX25" s="503"/>
      <c r="AY25" s="576"/>
      <c r="AZ25" s="576"/>
      <c r="BA25" s="577"/>
      <c r="BB25" s="578">
        <v>555.46647147671183</v>
      </c>
      <c r="BC25" s="578">
        <v>635.59581105170469</v>
      </c>
      <c r="BD25" s="578">
        <v>804.67097533975186</v>
      </c>
      <c r="BE25" s="578">
        <v>973.62503013324215</v>
      </c>
      <c r="BF25" s="578">
        <v>1143.944241568021</v>
      </c>
      <c r="BG25" s="578">
        <v>1330.5490432790684</v>
      </c>
      <c r="BH25" s="578">
        <v>1559.1513792429528</v>
      </c>
      <c r="BI25" s="579"/>
      <c r="BJ25" s="580"/>
      <c r="BK25" s="581"/>
      <c r="BL25" s="582"/>
      <c r="BM25" s="582"/>
      <c r="BN25" s="582"/>
      <c r="BO25" s="582"/>
      <c r="BP25" s="582"/>
      <c r="BQ25" s="582"/>
      <c r="BR25" s="582"/>
      <c r="BS25" s="582"/>
      <c r="BT25" s="582"/>
      <c r="BU25" s="582"/>
      <c r="BV25" s="582"/>
      <c r="BW25" s="582"/>
      <c r="BX25" s="582"/>
      <c r="BY25" s="582"/>
      <c r="BZ25" s="582"/>
      <c r="CA25" s="582"/>
      <c r="CB25" s="582"/>
      <c r="CC25" s="582"/>
      <c r="CD25" s="582"/>
      <c r="CE25" s="582"/>
      <c r="CF25" s="582"/>
      <c r="CG25" s="582"/>
      <c r="CH25" s="582"/>
      <c r="CI25" s="582"/>
      <c r="CJ25" s="582"/>
      <c r="CK25" s="582"/>
    </row>
    <row r="26" spans="1:89" ht="14">
      <c r="B26" s="502"/>
      <c r="C26" s="583"/>
      <c r="D26" s="503" t="s">
        <v>3957</v>
      </c>
      <c r="E26" s="503"/>
      <c r="F26" s="522"/>
      <c r="G26" s="522"/>
      <c r="H26" s="523"/>
      <c r="I26" s="523"/>
      <c r="J26" s="523"/>
      <c r="K26" s="523"/>
      <c r="L26" s="523"/>
      <c r="M26" s="523"/>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c r="AM26" s="523"/>
      <c r="AN26" s="523"/>
      <c r="AO26" s="523"/>
      <c r="AP26" s="523"/>
      <c r="AQ26" s="523"/>
      <c r="AR26" s="523"/>
      <c r="AS26" s="523"/>
      <c r="AT26" s="523"/>
      <c r="AU26" s="523"/>
      <c r="AV26" s="523"/>
      <c r="AW26" s="523"/>
      <c r="AX26" s="503"/>
      <c r="AY26" s="584"/>
      <c r="AZ26" s="584"/>
      <c r="BA26" s="585"/>
      <c r="BB26" s="585"/>
      <c r="BC26" s="585"/>
      <c r="BD26" s="585"/>
      <c r="BE26" s="585"/>
      <c r="BF26" s="585"/>
      <c r="BG26" s="585"/>
      <c r="BH26" s="585"/>
      <c r="BI26" s="579"/>
      <c r="BJ26" s="546"/>
      <c r="BK26" s="547"/>
    </row>
    <row r="27" spans="1:89" ht="14">
      <c r="B27" s="502"/>
      <c r="C27" s="583"/>
      <c r="D27" s="503"/>
      <c r="E27" s="503"/>
      <c r="F27" s="522"/>
      <c r="G27" s="522"/>
      <c r="H27" s="523"/>
      <c r="I27" s="523"/>
      <c r="J27" s="523"/>
      <c r="K27" s="523"/>
      <c r="L27" s="523"/>
      <c r="M27" s="523"/>
      <c r="N27" s="523"/>
      <c r="O27" s="523"/>
      <c r="P27" s="523"/>
      <c r="Q27" s="523"/>
      <c r="R27" s="523"/>
      <c r="S27" s="523"/>
      <c r="T27" s="523"/>
      <c r="U27" s="523"/>
      <c r="V27" s="523"/>
      <c r="W27" s="523"/>
      <c r="X27" s="523"/>
      <c r="Y27" s="523"/>
      <c r="Z27" s="523"/>
      <c r="AA27" s="523"/>
      <c r="AB27" s="523"/>
      <c r="AC27" s="523"/>
      <c r="AD27" s="523"/>
      <c r="AE27" s="523"/>
      <c r="AF27" s="523"/>
      <c r="AG27" s="523"/>
      <c r="AH27" s="523"/>
      <c r="AI27" s="523"/>
      <c r="AJ27" s="523"/>
      <c r="AK27" s="523"/>
      <c r="AL27" s="523"/>
      <c r="AM27" s="523"/>
      <c r="AN27" s="523"/>
      <c r="AO27" s="523"/>
      <c r="AP27" s="523"/>
      <c r="AQ27" s="523"/>
      <c r="AR27" s="523"/>
      <c r="AS27" s="523"/>
      <c r="AT27" s="523"/>
      <c r="AU27" s="523"/>
      <c r="AV27" s="523"/>
      <c r="AW27" s="523"/>
      <c r="AX27" s="503"/>
      <c r="AY27" s="584"/>
      <c r="AZ27" s="584"/>
      <c r="BA27" s="585"/>
      <c r="BB27" s="585"/>
      <c r="BC27" s="585"/>
      <c r="BD27" s="585"/>
      <c r="BE27" s="585"/>
      <c r="BF27" s="585"/>
      <c r="BG27" s="585"/>
      <c r="BH27" s="585"/>
      <c r="BI27" s="585"/>
      <c r="BJ27" s="546"/>
      <c r="BK27" s="547"/>
    </row>
    <row r="28" spans="1:89" s="518" customFormat="1" ht="14">
      <c r="B28" s="519"/>
      <c r="C28" s="520" t="s">
        <v>3958</v>
      </c>
      <c r="D28" s="537" t="s">
        <v>3959</v>
      </c>
      <c r="E28" s="503"/>
      <c r="F28" s="522"/>
      <c r="G28" s="522"/>
      <c r="H28" s="523"/>
      <c r="I28" s="523"/>
      <c r="J28" s="523"/>
      <c r="K28" s="523"/>
      <c r="L28" s="523"/>
      <c r="M28" s="523"/>
      <c r="N28" s="523"/>
      <c r="O28" s="523"/>
      <c r="P28" s="523"/>
      <c r="Q28" s="523"/>
      <c r="R28" s="523"/>
      <c r="S28" s="523"/>
      <c r="T28" s="523"/>
      <c r="U28" s="523"/>
      <c r="V28" s="523"/>
      <c r="W28" s="523"/>
      <c r="X28" s="523"/>
      <c r="Y28" s="523"/>
      <c r="Z28" s="523"/>
      <c r="AA28" s="523"/>
      <c r="AB28" s="523"/>
      <c r="AC28" s="523"/>
      <c r="AD28" s="523"/>
      <c r="AE28" s="523"/>
      <c r="AF28" s="523"/>
      <c r="AG28" s="523"/>
      <c r="AH28" s="523"/>
      <c r="AI28" s="523"/>
      <c r="AJ28" s="523"/>
      <c r="AK28" s="523"/>
      <c r="AL28" s="523"/>
      <c r="AM28" s="523"/>
      <c r="AN28" s="523"/>
      <c r="AO28" s="523"/>
      <c r="AP28" s="523"/>
      <c r="AQ28" s="523"/>
      <c r="AR28" s="523"/>
      <c r="AS28" s="523"/>
      <c r="AT28" s="523"/>
      <c r="AU28" s="523"/>
      <c r="AV28" s="523"/>
      <c r="AW28" s="523"/>
      <c r="AX28" s="503" t="s">
        <v>420</v>
      </c>
      <c r="AY28" s="524"/>
      <c r="AZ28" s="524"/>
      <c r="BA28" s="525"/>
      <c r="BB28" s="505">
        <v>2020</v>
      </c>
      <c r="BC28" s="505">
        <v>2022</v>
      </c>
      <c r="BD28" s="505">
        <v>2027</v>
      </c>
      <c r="BE28" s="505">
        <v>2032</v>
      </c>
      <c r="BF28" s="505">
        <v>2037</v>
      </c>
      <c r="BG28" s="505">
        <v>2042</v>
      </c>
      <c r="BH28" s="505">
        <v>2047</v>
      </c>
      <c r="BI28" s="505">
        <v>2030</v>
      </c>
      <c r="BJ28" s="526"/>
      <c r="BK28" s="527"/>
    </row>
    <row r="29" spans="1:89" s="518" customFormat="1" ht="14">
      <c r="B29" s="519"/>
      <c r="C29" s="521" t="s">
        <v>3960</v>
      </c>
      <c r="D29" s="521" t="s">
        <v>3961</v>
      </c>
      <c r="E29" s="503"/>
      <c r="F29" s="522"/>
      <c r="G29" s="522"/>
      <c r="H29" s="523"/>
      <c r="I29" s="523"/>
      <c r="J29" s="523"/>
      <c r="K29" s="523"/>
      <c r="L29" s="523"/>
      <c r="M29" s="523"/>
      <c r="N29" s="523"/>
      <c r="O29" s="523"/>
      <c r="P29" s="523"/>
      <c r="Q29" s="523"/>
      <c r="R29" s="523"/>
      <c r="S29" s="523"/>
      <c r="T29" s="523"/>
      <c r="U29" s="523"/>
      <c r="V29" s="523"/>
      <c r="W29" s="523"/>
      <c r="X29" s="523"/>
      <c r="Y29" s="523"/>
      <c r="Z29" s="523"/>
      <c r="AA29" s="523"/>
      <c r="AB29" s="523"/>
      <c r="AC29" s="523"/>
      <c r="AD29" s="523"/>
      <c r="AE29" s="523"/>
      <c r="AF29" s="523"/>
      <c r="AG29" s="523"/>
      <c r="AH29" s="523"/>
      <c r="AI29" s="523"/>
      <c r="AJ29" s="523"/>
      <c r="AK29" s="523"/>
      <c r="AL29" s="523"/>
      <c r="AM29" s="523"/>
      <c r="AN29" s="523"/>
      <c r="AO29" s="523"/>
      <c r="AP29" s="523"/>
      <c r="AQ29" s="523"/>
      <c r="AR29" s="523"/>
      <c r="AS29" s="523"/>
      <c r="AT29" s="523"/>
      <c r="AU29" s="523"/>
      <c r="AV29" s="523"/>
      <c r="AW29" s="523"/>
      <c r="AX29" s="503"/>
      <c r="AY29" s="586"/>
      <c r="AZ29" s="586"/>
      <c r="BA29" s="587"/>
      <c r="BB29" s="588">
        <v>12.899536266052754</v>
      </c>
      <c r="BC29" s="588">
        <v>13.044604533325936</v>
      </c>
      <c r="BD29" s="588">
        <v>26.519046776446679</v>
      </c>
      <c r="BE29" s="588">
        <v>40.61567163763268</v>
      </c>
      <c r="BF29" s="588">
        <v>61.072026384004303</v>
      </c>
      <c r="BG29" s="588">
        <v>91.831361055043018</v>
      </c>
      <c r="BH29" s="588">
        <v>138.08284041857831</v>
      </c>
      <c r="BI29" s="588">
        <v>34.342934627854973</v>
      </c>
      <c r="BJ29" s="526"/>
      <c r="BK29" s="589"/>
    </row>
    <row r="30" spans="1:89" s="518" customFormat="1" ht="14">
      <c r="B30" s="519"/>
      <c r="C30" s="521" t="s">
        <v>3962</v>
      </c>
      <c r="D30" s="521" t="s">
        <v>3963</v>
      </c>
      <c r="E30" s="503"/>
      <c r="F30" s="522"/>
      <c r="G30" s="522"/>
      <c r="H30" s="523"/>
      <c r="I30" s="523"/>
      <c r="J30" s="523"/>
      <c r="K30" s="523"/>
      <c r="L30" s="523"/>
      <c r="M30" s="523"/>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c r="AM30" s="523"/>
      <c r="AN30" s="523"/>
      <c r="AO30" s="523"/>
      <c r="AP30" s="523"/>
      <c r="AQ30" s="523"/>
      <c r="AR30" s="523"/>
      <c r="AS30" s="523"/>
      <c r="AT30" s="523"/>
      <c r="AU30" s="523"/>
      <c r="AV30" s="523"/>
      <c r="AW30" s="523"/>
      <c r="AX30" s="503"/>
      <c r="AY30" s="586"/>
      <c r="AZ30" s="586"/>
      <c r="BA30" s="587"/>
      <c r="BB30" s="588">
        <v>4.9716714636880717</v>
      </c>
      <c r="BC30" s="588">
        <v>7.7194886551634117</v>
      </c>
      <c r="BD30" s="588">
        <v>23.649972735187994</v>
      </c>
      <c r="BE30" s="588">
        <v>52.278259132657986</v>
      </c>
      <c r="BF30" s="588">
        <v>91.835086918038741</v>
      </c>
      <c r="BG30" s="588">
        <v>140.14722309964816</v>
      </c>
      <c r="BH30" s="588">
        <v>188.09312194913096</v>
      </c>
      <c r="BI30" s="588">
        <v>38.433747055994061</v>
      </c>
      <c r="BJ30" s="526"/>
      <c r="BK30" s="589"/>
    </row>
    <row r="31" spans="1:89" s="518" customFormat="1" ht="14">
      <c r="B31" s="519"/>
      <c r="C31" s="521" t="s">
        <v>3964</v>
      </c>
      <c r="D31" s="521" t="s">
        <v>3965</v>
      </c>
      <c r="E31" s="503"/>
      <c r="F31" s="522"/>
      <c r="G31" s="522"/>
      <c r="H31" s="523"/>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3"/>
      <c r="AO31" s="523"/>
      <c r="AP31" s="523"/>
      <c r="AQ31" s="523"/>
      <c r="AR31" s="523"/>
      <c r="AS31" s="523"/>
      <c r="AT31" s="523"/>
      <c r="AU31" s="523"/>
      <c r="AV31" s="523"/>
      <c r="AW31" s="523"/>
      <c r="AX31" s="503"/>
      <c r="AY31" s="586"/>
      <c r="AZ31" s="586"/>
      <c r="BA31" s="587"/>
      <c r="BB31" s="588">
        <v>5.568503890627686</v>
      </c>
      <c r="BC31" s="588">
        <v>5.9047082558899397</v>
      </c>
      <c r="BD31" s="588">
        <v>15.001362353392668</v>
      </c>
      <c r="BE31" s="588">
        <v>30.96672184650572</v>
      </c>
      <c r="BF31" s="588">
        <v>55.774785812330713</v>
      </c>
      <c r="BG31" s="588">
        <v>86.356200271941518</v>
      </c>
      <c r="BH31" s="588">
        <v>118.15856019096478</v>
      </c>
      <c r="BI31" s="588">
        <v>23.105049768842502</v>
      </c>
      <c r="BJ31" s="526"/>
      <c r="BK31" s="589"/>
    </row>
    <row r="32" spans="1:89" s="518" customFormat="1" ht="14">
      <c r="B32" s="519"/>
      <c r="C32" s="521" t="s">
        <v>3966</v>
      </c>
      <c r="D32" s="521" t="s">
        <v>3967</v>
      </c>
      <c r="E32" s="503"/>
      <c r="F32" s="522"/>
      <c r="G32" s="522"/>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3"/>
      <c r="AX32" s="503"/>
      <c r="AY32" s="586"/>
      <c r="AZ32" s="586"/>
      <c r="BA32" s="587"/>
      <c r="BB32" s="588">
        <v>0</v>
      </c>
      <c r="BC32" s="588">
        <v>0</v>
      </c>
      <c r="BD32" s="588">
        <v>0</v>
      </c>
      <c r="BE32" s="588">
        <v>0</v>
      </c>
      <c r="BF32" s="588">
        <v>0</v>
      </c>
      <c r="BG32" s="588">
        <v>0</v>
      </c>
      <c r="BH32" s="588">
        <v>0</v>
      </c>
      <c r="BI32" s="588">
        <v>0</v>
      </c>
      <c r="BJ32" s="526"/>
      <c r="BK32" s="589"/>
    </row>
    <row r="33" spans="2:69" s="518" customFormat="1" ht="14">
      <c r="B33" s="519"/>
      <c r="C33" s="521" t="s">
        <v>3968</v>
      </c>
      <c r="D33" s="521" t="s">
        <v>3969</v>
      </c>
      <c r="E33" s="503"/>
      <c r="F33" s="522"/>
      <c r="G33" s="522"/>
      <c r="H33" s="523"/>
      <c r="I33" s="523"/>
      <c r="J33" s="523"/>
      <c r="K33" s="523"/>
      <c r="L33" s="523"/>
      <c r="M33" s="523"/>
      <c r="N33" s="523"/>
      <c r="O33" s="523"/>
      <c r="P33" s="523"/>
      <c r="Q33" s="523"/>
      <c r="R33" s="523"/>
      <c r="S33" s="523"/>
      <c r="T33" s="523"/>
      <c r="U33" s="523"/>
      <c r="V33" s="523"/>
      <c r="W33" s="523"/>
      <c r="X33" s="523"/>
      <c r="Y33" s="523"/>
      <c r="Z33" s="523"/>
      <c r="AA33" s="523"/>
      <c r="AB33" s="523"/>
      <c r="AC33" s="523"/>
      <c r="AD33" s="523"/>
      <c r="AE33" s="523"/>
      <c r="AF33" s="523"/>
      <c r="AG33" s="523"/>
      <c r="AH33" s="523"/>
      <c r="AI33" s="523"/>
      <c r="AJ33" s="523"/>
      <c r="AK33" s="523"/>
      <c r="AL33" s="523"/>
      <c r="AM33" s="523"/>
      <c r="AN33" s="523"/>
      <c r="AO33" s="523"/>
      <c r="AP33" s="523"/>
      <c r="AQ33" s="523"/>
      <c r="AR33" s="523"/>
      <c r="AS33" s="523"/>
      <c r="AT33" s="523"/>
      <c r="AU33" s="523"/>
      <c r="AV33" s="523"/>
      <c r="AW33" s="523"/>
      <c r="AX33" s="503"/>
      <c r="AY33" s="586"/>
      <c r="AZ33" s="586"/>
      <c r="BA33" s="587"/>
      <c r="BB33" s="588">
        <v>0</v>
      </c>
      <c r="BC33" s="588">
        <v>0</v>
      </c>
      <c r="BD33" s="588">
        <v>0</v>
      </c>
      <c r="BE33" s="588">
        <v>0</v>
      </c>
      <c r="BF33" s="588">
        <v>0</v>
      </c>
      <c r="BG33" s="588">
        <v>0</v>
      </c>
      <c r="BH33" s="588">
        <v>0</v>
      </c>
      <c r="BI33" s="588">
        <v>0</v>
      </c>
      <c r="BJ33" s="526"/>
      <c r="BK33" s="589"/>
    </row>
    <row r="34" spans="2:69" s="518" customFormat="1" ht="14">
      <c r="B34" s="519"/>
      <c r="C34" s="521" t="s">
        <v>3970</v>
      </c>
      <c r="D34" s="521" t="s">
        <v>3971</v>
      </c>
      <c r="E34" s="503"/>
      <c r="F34" s="522"/>
      <c r="G34" s="522"/>
      <c r="H34" s="523"/>
      <c r="I34" s="523"/>
      <c r="J34" s="523"/>
      <c r="K34" s="523"/>
      <c r="L34" s="523"/>
      <c r="M34" s="523"/>
      <c r="N34" s="523"/>
      <c r="O34" s="523"/>
      <c r="P34" s="523"/>
      <c r="Q34" s="523"/>
      <c r="R34" s="523"/>
      <c r="S34" s="523"/>
      <c r="T34" s="523"/>
      <c r="U34" s="523"/>
      <c r="V34" s="523"/>
      <c r="W34" s="523"/>
      <c r="X34" s="523"/>
      <c r="Y34" s="523"/>
      <c r="Z34" s="523"/>
      <c r="AA34" s="523"/>
      <c r="AB34" s="523"/>
      <c r="AC34" s="523"/>
      <c r="AD34" s="523"/>
      <c r="AE34" s="523"/>
      <c r="AF34" s="523"/>
      <c r="AG34" s="523"/>
      <c r="AH34" s="523"/>
      <c r="AI34" s="523"/>
      <c r="AJ34" s="523"/>
      <c r="AK34" s="523"/>
      <c r="AL34" s="523"/>
      <c r="AM34" s="523"/>
      <c r="AN34" s="523"/>
      <c r="AO34" s="523"/>
      <c r="AP34" s="523"/>
      <c r="AQ34" s="523"/>
      <c r="AR34" s="523"/>
      <c r="AS34" s="523"/>
      <c r="AT34" s="523"/>
      <c r="AU34" s="523"/>
      <c r="AV34" s="523"/>
      <c r="AW34" s="523"/>
      <c r="AX34" s="503"/>
      <c r="AY34" s="586"/>
      <c r="AZ34" s="586"/>
      <c r="BA34" s="587"/>
      <c r="BB34" s="588">
        <v>0</v>
      </c>
      <c r="BC34" s="588">
        <v>0</v>
      </c>
      <c r="BD34" s="588">
        <v>0</v>
      </c>
      <c r="BE34" s="588">
        <v>0</v>
      </c>
      <c r="BF34" s="588">
        <v>0</v>
      </c>
      <c r="BG34" s="588">
        <v>0</v>
      </c>
      <c r="BH34" s="588">
        <v>0</v>
      </c>
      <c r="BI34" s="588">
        <v>0</v>
      </c>
      <c r="BJ34" s="526"/>
      <c r="BK34" s="589"/>
    </row>
    <row r="35" spans="2:69" s="518" customFormat="1" ht="14">
      <c r="B35" s="519"/>
      <c r="C35" s="521" t="s">
        <v>3972</v>
      </c>
      <c r="D35" s="521" t="s">
        <v>3973</v>
      </c>
      <c r="E35" s="503"/>
      <c r="F35" s="522"/>
      <c r="G35" s="522"/>
      <c r="H35" s="523"/>
      <c r="I35" s="523"/>
      <c r="J35" s="523"/>
      <c r="K35" s="523"/>
      <c r="L35" s="523"/>
      <c r="M35" s="523"/>
      <c r="N35" s="523"/>
      <c r="O35" s="523"/>
      <c r="P35" s="523"/>
      <c r="Q35" s="523"/>
      <c r="R35" s="523"/>
      <c r="S35" s="523"/>
      <c r="T35" s="523"/>
      <c r="U35" s="523"/>
      <c r="V35" s="523"/>
      <c r="W35" s="523"/>
      <c r="X35" s="523"/>
      <c r="Y35" s="523"/>
      <c r="Z35" s="523"/>
      <c r="AA35" s="523"/>
      <c r="AB35" s="523"/>
      <c r="AC35" s="523"/>
      <c r="AD35" s="523"/>
      <c r="AE35" s="523"/>
      <c r="AF35" s="523"/>
      <c r="AG35" s="523"/>
      <c r="AH35" s="523"/>
      <c r="AI35" s="523"/>
      <c r="AJ35" s="523"/>
      <c r="AK35" s="523"/>
      <c r="AL35" s="523"/>
      <c r="AM35" s="523"/>
      <c r="AN35" s="523"/>
      <c r="AO35" s="523"/>
      <c r="AP35" s="523"/>
      <c r="AQ35" s="523"/>
      <c r="AR35" s="523"/>
      <c r="AS35" s="523"/>
      <c r="AT35" s="523"/>
      <c r="AU35" s="523"/>
      <c r="AV35" s="523"/>
      <c r="AW35" s="523"/>
      <c r="AX35" s="503"/>
      <c r="AY35" s="586"/>
      <c r="AZ35" s="586"/>
      <c r="BA35" s="587"/>
      <c r="BB35" s="588">
        <v>14.208111813327598</v>
      </c>
      <c r="BC35" s="588">
        <v>13.943388638073946</v>
      </c>
      <c r="BD35" s="588">
        <v>15.949338926824588</v>
      </c>
      <c r="BE35" s="588">
        <v>18.023245563389381</v>
      </c>
      <c r="BF35" s="588">
        <v>20.350818194375506</v>
      </c>
      <c r="BG35" s="588">
        <v>22.964221563543219</v>
      </c>
      <c r="BH35" s="588">
        <v>25.899653463780869</v>
      </c>
      <c r="BI35" s="588">
        <v>17.164919207365902</v>
      </c>
      <c r="BJ35" s="526"/>
      <c r="BK35" s="589"/>
    </row>
    <row r="36" spans="2:69" s="518" customFormat="1" ht="14">
      <c r="B36" s="519"/>
      <c r="C36" s="521" t="s">
        <v>3974</v>
      </c>
      <c r="D36" s="521" t="s">
        <v>3975</v>
      </c>
      <c r="E36" s="503"/>
      <c r="F36" s="522"/>
      <c r="G36" s="522"/>
      <c r="H36" s="523"/>
      <c r="I36" s="523"/>
      <c r="J36" s="523"/>
      <c r="K36" s="523"/>
      <c r="L36" s="523"/>
      <c r="M36" s="523"/>
      <c r="N36" s="523"/>
      <c r="O36" s="523"/>
      <c r="P36" s="523"/>
      <c r="Q36" s="523"/>
      <c r="R36" s="523"/>
      <c r="S36" s="523"/>
      <c r="T36" s="523"/>
      <c r="U36" s="523"/>
      <c r="V36" s="523"/>
      <c r="W36" s="523"/>
      <c r="X36" s="523"/>
      <c r="Y36" s="523"/>
      <c r="Z36" s="523"/>
      <c r="AA36" s="523"/>
      <c r="AB36" s="523"/>
      <c r="AC36" s="523"/>
      <c r="AD36" s="523"/>
      <c r="AE36" s="523"/>
      <c r="AF36" s="523"/>
      <c r="AG36" s="523"/>
      <c r="AH36" s="523"/>
      <c r="AI36" s="523"/>
      <c r="AJ36" s="523"/>
      <c r="AK36" s="523"/>
      <c r="AL36" s="523"/>
      <c r="AM36" s="523"/>
      <c r="AN36" s="523"/>
      <c r="AO36" s="523"/>
      <c r="AP36" s="523"/>
      <c r="AQ36" s="523"/>
      <c r="AR36" s="523"/>
      <c r="AS36" s="523"/>
      <c r="AT36" s="523"/>
      <c r="AU36" s="523"/>
      <c r="AV36" s="523"/>
      <c r="AW36" s="523"/>
      <c r="AX36" s="503"/>
      <c r="AY36" s="586"/>
      <c r="AZ36" s="586"/>
      <c r="BA36" s="587"/>
      <c r="BB36" s="588">
        <v>-0.26163155855545983</v>
      </c>
      <c r="BC36" s="588">
        <v>-0.13974194909716242</v>
      </c>
      <c r="BD36" s="588">
        <v>-0.13280433469475472</v>
      </c>
      <c r="BE36" s="588">
        <v>0.19220378331900223</v>
      </c>
      <c r="BF36" s="588">
        <v>0.73543385855546006</v>
      </c>
      <c r="BG36" s="588">
        <v>0.938620674112566</v>
      </c>
      <c r="BH36" s="588">
        <v>1.1979442605511892</v>
      </c>
      <c r="BI36" s="588">
        <v>-0.12436715391229569</v>
      </c>
      <c r="BJ36" s="526"/>
      <c r="BK36" s="589"/>
    </row>
    <row r="37" spans="2:69" s="518" customFormat="1" ht="14">
      <c r="B37" s="519"/>
      <c r="C37" s="521"/>
      <c r="D37" s="521" t="s">
        <v>3876</v>
      </c>
      <c r="E37" s="503"/>
      <c r="F37" s="522"/>
      <c r="G37" s="522"/>
      <c r="H37" s="523"/>
      <c r="I37" s="523"/>
      <c r="J37" s="523"/>
      <c r="K37" s="523"/>
      <c r="L37" s="523"/>
      <c r="M37" s="523"/>
      <c r="N37" s="523"/>
      <c r="O37" s="523"/>
      <c r="P37" s="523"/>
      <c r="Q37" s="523"/>
      <c r="R37" s="523"/>
      <c r="S37" s="523"/>
      <c r="T37" s="523"/>
      <c r="U37" s="523"/>
      <c r="V37" s="523"/>
      <c r="W37" s="523"/>
      <c r="X37" s="523"/>
      <c r="Y37" s="523"/>
      <c r="Z37" s="523"/>
      <c r="AA37" s="523"/>
      <c r="AB37" s="523"/>
      <c r="AC37" s="523"/>
      <c r="AD37" s="523"/>
      <c r="AE37" s="523"/>
      <c r="AF37" s="523"/>
      <c r="AG37" s="523"/>
      <c r="AH37" s="523"/>
      <c r="AI37" s="523"/>
      <c r="AJ37" s="523"/>
      <c r="AK37" s="523"/>
      <c r="AL37" s="523"/>
      <c r="AM37" s="523"/>
      <c r="AN37" s="523"/>
      <c r="AO37" s="523"/>
      <c r="AP37" s="523"/>
      <c r="AQ37" s="523"/>
      <c r="AR37" s="523"/>
      <c r="AS37" s="523"/>
      <c r="AT37" s="523"/>
      <c r="AU37" s="523"/>
      <c r="AV37" s="523"/>
      <c r="AW37" s="523"/>
      <c r="AX37" s="503"/>
      <c r="AY37" s="586"/>
      <c r="AZ37" s="586"/>
      <c r="BA37" s="590"/>
      <c r="BB37" s="591">
        <v>37.647823433696104</v>
      </c>
      <c r="BC37" s="591">
        <v>40.612190082453232</v>
      </c>
      <c r="BD37" s="591">
        <v>81.119720791851933</v>
      </c>
      <c r="BE37" s="591">
        <v>141.88389818018578</v>
      </c>
      <c r="BF37" s="591">
        <v>229.03271730874928</v>
      </c>
      <c r="BG37" s="591">
        <v>341.29900599017594</v>
      </c>
      <c r="BH37" s="591">
        <v>470.2341760224549</v>
      </c>
      <c r="BI37" s="591">
        <v>113.04665066005744</v>
      </c>
      <c r="BJ37" s="526"/>
      <c r="BK37" s="589"/>
    </row>
    <row r="38" spans="2:69" ht="14">
      <c r="B38" s="519"/>
      <c r="C38" s="583"/>
      <c r="D38" s="503" t="s">
        <v>3976</v>
      </c>
      <c r="E38" s="503"/>
      <c r="F38" s="522"/>
      <c r="G38" s="522"/>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03"/>
      <c r="AY38" s="592"/>
      <c r="AZ38" s="592"/>
      <c r="BA38" s="593"/>
      <c r="BB38" s="594">
        <v>37.386191875140646</v>
      </c>
      <c r="BC38" s="594">
        <v>40.472448133356068</v>
      </c>
      <c r="BD38" s="594">
        <v>80.986916457157179</v>
      </c>
      <c r="BE38" s="594">
        <v>142.07610196350478</v>
      </c>
      <c r="BF38" s="594">
        <v>229.76815116730475</v>
      </c>
      <c r="BG38" s="594">
        <v>342.23762666428848</v>
      </c>
      <c r="BH38" s="594">
        <v>471.4321202830061</v>
      </c>
      <c r="BI38" s="594">
        <v>112.92228350614513</v>
      </c>
      <c r="BJ38" s="546"/>
      <c r="BK38" s="589"/>
    </row>
    <row r="39" spans="2:69" ht="14">
      <c r="B39" s="519"/>
      <c r="C39" s="583" t="s">
        <v>3977</v>
      </c>
      <c r="D39" s="521" t="s">
        <v>3978</v>
      </c>
      <c r="E39" s="503"/>
      <c r="F39" s="522"/>
      <c r="G39" s="522"/>
      <c r="H39" s="523"/>
      <c r="I39" s="523"/>
      <c r="J39" s="523"/>
      <c r="K39" s="523"/>
      <c r="L39" s="523"/>
      <c r="M39" s="523"/>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c r="AM39" s="523"/>
      <c r="AN39" s="523"/>
      <c r="AO39" s="523"/>
      <c r="AP39" s="523"/>
      <c r="AQ39" s="523"/>
      <c r="AR39" s="523"/>
      <c r="AS39" s="523"/>
      <c r="AT39" s="523"/>
      <c r="AU39" s="523"/>
      <c r="AV39" s="523"/>
      <c r="AW39" s="523"/>
      <c r="AX39" s="503"/>
      <c r="AY39" s="592"/>
      <c r="AZ39" s="592"/>
      <c r="BA39" s="593"/>
      <c r="BB39" s="594">
        <v>0</v>
      </c>
      <c r="BC39" s="594">
        <v>0</v>
      </c>
      <c r="BD39" s="594">
        <v>0</v>
      </c>
      <c r="BE39" s="594">
        <v>0</v>
      </c>
      <c r="BF39" s="594">
        <v>0</v>
      </c>
      <c r="BG39" s="594">
        <v>0</v>
      </c>
      <c r="BH39" s="594">
        <v>0</v>
      </c>
      <c r="BI39" s="594">
        <v>0</v>
      </c>
      <c r="BJ39" s="546"/>
      <c r="BK39" s="589"/>
    </row>
    <row r="40" spans="2:69" s="518" customFormat="1" ht="14">
      <c r="B40" s="502"/>
      <c r="C40" s="521" t="s">
        <v>3979</v>
      </c>
      <c r="D40" s="521" t="s">
        <v>3980</v>
      </c>
      <c r="E40" s="503"/>
      <c r="F40" s="522"/>
      <c r="G40" s="522"/>
      <c r="H40" s="523"/>
      <c r="I40" s="523"/>
      <c r="J40" s="523"/>
      <c r="K40" s="523"/>
      <c r="L40" s="523"/>
      <c r="M40" s="523"/>
      <c r="N40" s="523"/>
      <c r="O40" s="523"/>
      <c r="P40" s="523"/>
      <c r="Q40" s="523"/>
      <c r="R40" s="523"/>
      <c r="S40" s="523"/>
      <c r="T40" s="523"/>
      <c r="U40" s="523"/>
      <c r="V40" s="523"/>
      <c r="W40" s="523"/>
      <c r="X40" s="523"/>
      <c r="Y40" s="523"/>
      <c r="Z40" s="523"/>
      <c r="AA40" s="523"/>
      <c r="AB40" s="523"/>
      <c r="AC40" s="523"/>
      <c r="AD40" s="523"/>
      <c r="AE40" s="523"/>
      <c r="AF40" s="523"/>
      <c r="AG40" s="523"/>
      <c r="AH40" s="523"/>
      <c r="AI40" s="523"/>
      <c r="AJ40" s="523"/>
      <c r="AK40" s="523"/>
      <c r="AL40" s="523"/>
      <c r="AM40" s="523"/>
      <c r="AN40" s="523"/>
      <c r="AO40" s="523"/>
      <c r="AP40" s="523"/>
      <c r="AQ40" s="523"/>
      <c r="AR40" s="523"/>
      <c r="AS40" s="523"/>
      <c r="AT40" s="523"/>
      <c r="AU40" s="523"/>
      <c r="AV40" s="523"/>
      <c r="AW40" s="523"/>
      <c r="AX40" s="503"/>
      <c r="AY40" s="592"/>
      <c r="AZ40" s="592"/>
      <c r="BA40" s="593"/>
      <c r="BB40" s="594">
        <v>72.978639027474557</v>
      </c>
      <c r="BC40" s="594">
        <v>67.733789514681931</v>
      </c>
      <c r="BD40" s="594">
        <v>56.161582384432542</v>
      </c>
      <c r="BE40" s="594">
        <v>44.019779175796877</v>
      </c>
      <c r="BF40" s="594">
        <v>33.659682813404331</v>
      </c>
      <c r="BG40" s="594">
        <v>23.451212490406132</v>
      </c>
      <c r="BH40" s="594">
        <v>12.338718076771421</v>
      </c>
      <c r="BI40" s="594">
        <v>49.042814125625178</v>
      </c>
      <c r="BJ40" s="526"/>
      <c r="BK40" s="589"/>
      <c r="BQ40" s="595"/>
    </row>
    <row r="41" spans="2:69" s="518" customFormat="1" ht="14">
      <c r="B41" s="502"/>
      <c r="C41" s="521" t="s">
        <v>3981</v>
      </c>
      <c r="D41" s="521" t="s">
        <v>428</v>
      </c>
      <c r="E41" s="503"/>
      <c r="F41" s="522"/>
      <c r="G41" s="522"/>
      <c r="H41" s="523"/>
      <c r="I41" s="523"/>
      <c r="J41" s="523"/>
      <c r="K41" s="523"/>
      <c r="L41" s="523"/>
      <c r="M41" s="523"/>
      <c r="N41" s="523"/>
      <c r="O41" s="523"/>
      <c r="P41" s="523"/>
      <c r="Q41" s="523"/>
      <c r="R41" s="523"/>
      <c r="S41" s="523"/>
      <c r="T41" s="523"/>
      <c r="U41" s="523"/>
      <c r="V41" s="523"/>
      <c r="W41" s="523"/>
      <c r="X41" s="523"/>
      <c r="Y41" s="523"/>
      <c r="Z41" s="523"/>
      <c r="AA41" s="523"/>
      <c r="AB41" s="523"/>
      <c r="AC41" s="523"/>
      <c r="AD41" s="523"/>
      <c r="AE41" s="523"/>
      <c r="AF41" s="523"/>
      <c r="AG41" s="523"/>
      <c r="AH41" s="523"/>
      <c r="AI41" s="523"/>
      <c r="AJ41" s="523"/>
      <c r="AK41" s="523"/>
      <c r="AL41" s="523"/>
      <c r="AM41" s="523"/>
      <c r="AN41" s="523"/>
      <c r="AO41" s="523"/>
      <c r="AP41" s="523"/>
      <c r="AQ41" s="523"/>
      <c r="AR41" s="523"/>
      <c r="AS41" s="523"/>
      <c r="AT41" s="523"/>
      <c r="AU41" s="523"/>
      <c r="AV41" s="523"/>
      <c r="AW41" s="523"/>
      <c r="AX41" s="503"/>
      <c r="AY41" s="592"/>
      <c r="AZ41" s="592"/>
      <c r="BA41" s="593"/>
      <c r="BB41" s="594">
        <v>21.310309874026181</v>
      </c>
      <c r="BC41" s="594">
        <v>23.872883689690454</v>
      </c>
      <c r="BD41" s="594">
        <v>31.517349085505273</v>
      </c>
      <c r="BE41" s="594">
        <v>38.452005137730211</v>
      </c>
      <c r="BF41" s="594">
        <v>46.516743317263831</v>
      </c>
      <c r="BG41" s="594">
        <v>55.541775488855109</v>
      </c>
      <c r="BH41" s="594">
        <v>66.106469261618145</v>
      </c>
      <c r="BI41" s="594">
        <v>35.541016494376066</v>
      </c>
      <c r="BJ41" s="526"/>
      <c r="BK41" s="589"/>
    </row>
    <row r="42" spans="2:69" ht="14">
      <c r="B42" s="519"/>
      <c r="C42" s="503"/>
      <c r="D42" s="503" t="s">
        <v>3867</v>
      </c>
      <c r="E42" s="503"/>
      <c r="F42" s="522"/>
      <c r="G42" s="522"/>
      <c r="H42" s="523"/>
      <c r="I42" s="523"/>
      <c r="J42" s="523"/>
      <c r="K42" s="523"/>
      <c r="L42" s="523"/>
      <c r="M42" s="523"/>
      <c r="N42" s="523"/>
      <c r="O42" s="523"/>
      <c r="P42" s="523"/>
      <c r="Q42" s="523"/>
      <c r="R42" s="523"/>
      <c r="S42" s="523"/>
      <c r="T42" s="523"/>
      <c r="U42" s="523"/>
      <c r="V42" s="523"/>
      <c r="W42" s="523"/>
      <c r="X42" s="523"/>
      <c r="Y42" s="523"/>
      <c r="Z42" s="523"/>
      <c r="AA42" s="523"/>
      <c r="AB42" s="523"/>
      <c r="AC42" s="523"/>
      <c r="AD42" s="523"/>
      <c r="AE42" s="523"/>
      <c r="AF42" s="523"/>
      <c r="AG42" s="523"/>
      <c r="AH42" s="523"/>
      <c r="AI42" s="523"/>
      <c r="AJ42" s="523"/>
      <c r="AK42" s="523"/>
      <c r="AL42" s="523"/>
      <c r="AM42" s="523"/>
      <c r="AN42" s="523"/>
      <c r="AO42" s="523"/>
      <c r="AP42" s="523"/>
      <c r="AQ42" s="523"/>
      <c r="AR42" s="523"/>
      <c r="AS42" s="523"/>
      <c r="AT42" s="523"/>
      <c r="AU42" s="523"/>
      <c r="AV42" s="523"/>
      <c r="AW42" s="523"/>
      <c r="AX42" s="503"/>
      <c r="AY42" s="592"/>
      <c r="AZ42" s="592"/>
      <c r="BA42" s="593"/>
      <c r="BB42" s="594">
        <v>94.288948901500731</v>
      </c>
      <c r="BC42" s="594">
        <v>91.606673204372385</v>
      </c>
      <c r="BD42" s="594">
        <v>87.678931469937822</v>
      </c>
      <c r="BE42" s="594">
        <v>82.471784313527081</v>
      </c>
      <c r="BF42" s="594">
        <v>80.176426130668162</v>
      </c>
      <c r="BG42" s="594">
        <v>78.992987979261244</v>
      </c>
      <c r="BH42" s="594">
        <v>78.445187338389559</v>
      </c>
      <c r="BI42" s="594">
        <v>84.583830620001237</v>
      </c>
      <c r="BJ42" s="546"/>
      <c r="BK42" s="589"/>
    </row>
    <row r="43" spans="2:69" s="518" customFormat="1" ht="14">
      <c r="B43" s="519"/>
      <c r="C43" s="521" t="s">
        <v>3982</v>
      </c>
      <c r="D43" s="521" t="s">
        <v>3868</v>
      </c>
      <c r="E43" s="503"/>
      <c r="F43" s="596"/>
      <c r="G43" s="522"/>
      <c r="H43" s="523"/>
      <c r="I43" s="523"/>
      <c r="J43" s="523"/>
      <c r="K43" s="523"/>
      <c r="L43" s="523"/>
      <c r="M43" s="523"/>
      <c r="N43" s="523"/>
      <c r="O43" s="523"/>
      <c r="P43" s="523"/>
      <c r="Q43" s="523"/>
      <c r="R43" s="523"/>
      <c r="S43" s="523"/>
      <c r="T43" s="523"/>
      <c r="U43" s="523"/>
      <c r="V43" s="523"/>
      <c r="W43" s="523"/>
      <c r="X43" s="523"/>
      <c r="Y43" s="523"/>
      <c r="Z43" s="523"/>
      <c r="AA43" s="523"/>
      <c r="AB43" s="523"/>
      <c r="AC43" s="523"/>
      <c r="AD43" s="523"/>
      <c r="AE43" s="523"/>
      <c r="AF43" s="523"/>
      <c r="AG43" s="523"/>
      <c r="AH43" s="523"/>
      <c r="AI43" s="523"/>
      <c r="AJ43" s="523"/>
      <c r="AK43" s="523"/>
      <c r="AL43" s="523"/>
      <c r="AM43" s="523"/>
      <c r="AN43" s="523"/>
      <c r="AO43" s="523"/>
      <c r="AP43" s="523"/>
      <c r="AQ43" s="523"/>
      <c r="AR43" s="523"/>
      <c r="AS43" s="523"/>
      <c r="AT43" s="523"/>
      <c r="AU43" s="523"/>
      <c r="AV43" s="523"/>
      <c r="AW43" s="523"/>
      <c r="AX43" s="503"/>
      <c r="AY43" s="586"/>
      <c r="AZ43" s="586"/>
      <c r="BA43" s="587"/>
      <c r="BB43" s="588">
        <v>94.218451166783552</v>
      </c>
      <c r="BC43" s="588">
        <v>104.61888638881067</v>
      </c>
      <c r="BD43" s="588">
        <v>153.3930203894555</v>
      </c>
      <c r="BE43" s="588">
        <v>193.40056360736719</v>
      </c>
      <c r="BF43" s="588">
        <v>206.48236888732401</v>
      </c>
      <c r="BG43" s="588">
        <v>220.60669767777011</v>
      </c>
      <c r="BH43" s="588">
        <v>256.93691764861092</v>
      </c>
      <c r="BI43" s="588">
        <v>183.63414578096314</v>
      </c>
      <c r="BJ43" s="526"/>
      <c r="BK43" s="589"/>
    </row>
    <row r="44" spans="2:69" s="518" customFormat="1" ht="14">
      <c r="B44" s="519"/>
      <c r="C44" s="521"/>
      <c r="D44" s="521" t="s">
        <v>3983</v>
      </c>
      <c r="E44" s="503"/>
      <c r="F44" s="596"/>
      <c r="G44" s="522"/>
      <c r="H44" s="523"/>
      <c r="I44" s="523"/>
      <c r="J44" s="523"/>
      <c r="K44" s="523"/>
      <c r="L44" s="523"/>
      <c r="M44" s="523"/>
      <c r="N44" s="523"/>
      <c r="O44" s="523"/>
      <c r="P44" s="523"/>
      <c r="Q44" s="523"/>
      <c r="R44" s="523"/>
      <c r="S44" s="523"/>
      <c r="T44" s="523"/>
      <c r="U44" s="523"/>
      <c r="V44" s="523"/>
      <c r="W44" s="523"/>
      <c r="X44" s="523"/>
      <c r="Y44" s="523"/>
      <c r="Z44" s="523"/>
      <c r="AA44" s="523"/>
      <c r="AB44" s="523"/>
      <c r="AC44" s="523"/>
      <c r="AD44" s="523"/>
      <c r="AE44" s="523"/>
      <c r="AF44" s="523"/>
      <c r="AG44" s="523"/>
      <c r="AH44" s="523"/>
      <c r="AI44" s="523"/>
      <c r="AJ44" s="523"/>
      <c r="AK44" s="523"/>
      <c r="AL44" s="523"/>
      <c r="AM44" s="523"/>
      <c r="AN44" s="523"/>
      <c r="AO44" s="523"/>
      <c r="AP44" s="523"/>
      <c r="AQ44" s="523"/>
      <c r="AR44" s="523"/>
      <c r="AS44" s="523"/>
      <c r="AT44" s="523"/>
      <c r="AU44" s="523"/>
      <c r="AV44" s="523"/>
      <c r="AW44" s="523"/>
      <c r="AX44" s="503"/>
      <c r="AY44" s="586"/>
      <c r="AZ44" s="586"/>
      <c r="BA44" s="587"/>
      <c r="BB44" s="588">
        <v>29.651588264748817</v>
      </c>
      <c r="BC44" s="588">
        <v>36.103197829849449</v>
      </c>
      <c r="BD44" s="588">
        <v>58.643950564393393</v>
      </c>
      <c r="BE44" s="588">
        <v>86.47479645703099</v>
      </c>
      <c r="BF44" s="588">
        <v>102.46107647483706</v>
      </c>
      <c r="BG44" s="588">
        <v>116.18260621239804</v>
      </c>
      <c r="BH44" s="588">
        <v>124.27409430529895</v>
      </c>
      <c r="BI44" s="588">
        <v>78.071058642610865</v>
      </c>
      <c r="BJ44" s="526"/>
      <c r="BK44" s="589"/>
    </row>
    <row r="45" spans="2:69" s="518" customFormat="1" ht="14">
      <c r="B45" s="519"/>
      <c r="C45" s="521"/>
      <c r="D45" s="521" t="s">
        <v>3984</v>
      </c>
      <c r="E45" s="503"/>
      <c r="F45" s="596"/>
      <c r="G45" s="522"/>
      <c r="H45" s="523"/>
      <c r="I45" s="523"/>
      <c r="J45" s="523"/>
      <c r="K45" s="523"/>
      <c r="L45" s="523"/>
      <c r="M45" s="523"/>
      <c r="N45" s="523"/>
      <c r="O45" s="523"/>
      <c r="P45" s="523"/>
      <c r="Q45" s="523"/>
      <c r="R45" s="523"/>
      <c r="S45" s="523"/>
      <c r="T45" s="523"/>
      <c r="U45" s="523"/>
      <c r="V45" s="523"/>
      <c r="W45" s="523"/>
      <c r="X45" s="523"/>
      <c r="Y45" s="523"/>
      <c r="Z45" s="523"/>
      <c r="AA45" s="523"/>
      <c r="AB45" s="523"/>
      <c r="AC45" s="523"/>
      <c r="AD45" s="523"/>
      <c r="AE45" s="523"/>
      <c r="AF45" s="523"/>
      <c r="AG45" s="523"/>
      <c r="AH45" s="523"/>
      <c r="AI45" s="523"/>
      <c r="AJ45" s="523"/>
      <c r="AK45" s="523"/>
      <c r="AL45" s="523"/>
      <c r="AM45" s="523"/>
      <c r="AN45" s="523"/>
      <c r="AO45" s="523"/>
      <c r="AP45" s="523"/>
      <c r="AQ45" s="523"/>
      <c r="AR45" s="523"/>
      <c r="AS45" s="523"/>
      <c r="AT45" s="523"/>
      <c r="AU45" s="523"/>
      <c r="AV45" s="523"/>
      <c r="AW45" s="523"/>
      <c r="AX45" s="503"/>
      <c r="AY45" s="586"/>
      <c r="AZ45" s="586"/>
      <c r="BA45" s="587"/>
      <c r="BB45" s="588">
        <v>64.566862902034728</v>
      </c>
      <c r="BC45" s="588">
        <v>68.515688558961216</v>
      </c>
      <c r="BD45" s="588">
        <v>94.749069825062108</v>
      </c>
      <c r="BE45" s="588">
        <v>106.9257671503362</v>
      </c>
      <c r="BF45" s="588">
        <v>104.02129241248696</v>
      </c>
      <c r="BG45" s="588">
        <v>104.42409146537207</v>
      </c>
      <c r="BH45" s="588">
        <v>132.66282334331197</v>
      </c>
      <c r="BI45" s="588">
        <v>105.56308713835227</v>
      </c>
      <c r="BJ45" s="526"/>
      <c r="BK45" s="589"/>
    </row>
    <row r="46" spans="2:69" s="518" customFormat="1" ht="14">
      <c r="B46" s="502"/>
      <c r="C46" s="521" t="s">
        <v>3985</v>
      </c>
      <c r="D46" s="521" t="s">
        <v>3869</v>
      </c>
      <c r="E46" s="503"/>
      <c r="F46" s="596"/>
      <c r="G46" s="522"/>
      <c r="H46" s="523"/>
      <c r="I46" s="523"/>
      <c r="J46" s="523"/>
      <c r="K46" s="523"/>
      <c r="L46" s="523"/>
      <c r="M46" s="523"/>
      <c r="N46" s="523"/>
      <c r="O46" s="523"/>
      <c r="P46" s="523"/>
      <c r="Q46" s="523"/>
      <c r="R46" s="523"/>
      <c r="S46" s="523"/>
      <c r="T46" s="523"/>
      <c r="U46" s="523"/>
      <c r="V46" s="523"/>
      <c r="W46" s="523"/>
      <c r="X46" s="523"/>
      <c r="Y46" s="523"/>
      <c r="Z46" s="523"/>
      <c r="AA46" s="523"/>
      <c r="AB46" s="523"/>
      <c r="AC46" s="523"/>
      <c r="AD46" s="523"/>
      <c r="AE46" s="523"/>
      <c r="AF46" s="523"/>
      <c r="AG46" s="523"/>
      <c r="AH46" s="523"/>
      <c r="AI46" s="523"/>
      <c r="AJ46" s="523"/>
      <c r="AK46" s="523"/>
      <c r="AL46" s="523"/>
      <c r="AM46" s="523"/>
      <c r="AN46" s="523"/>
      <c r="AO46" s="523"/>
      <c r="AP46" s="523"/>
      <c r="AQ46" s="523"/>
      <c r="AR46" s="523"/>
      <c r="AS46" s="523"/>
      <c r="AT46" s="523"/>
      <c r="AU46" s="523"/>
      <c r="AV46" s="523"/>
      <c r="AW46" s="523"/>
      <c r="AX46" s="503"/>
      <c r="AY46" s="586"/>
      <c r="AZ46" s="586"/>
      <c r="BA46" s="587"/>
      <c r="BB46" s="588">
        <v>293.32873233973442</v>
      </c>
      <c r="BC46" s="588">
        <v>305.14276566866266</v>
      </c>
      <c r="BD46" s="588">
        <v>336.94477724393431</v>
      </c>
      <c r="BE46" s="588">
        <v>365.23441759755349</v>
      </c>
      <c r="BF46" s="588">
        <v>384.807768409451</v>
      </c>
      <c r="BG46" s="588">
        <v>405.4620162321408</v>
      </c>
      <c r="BH46" s="588">
        <v>427.25687989229959</v>
      </c>
      <c r="BI46" s="588">
        <v>357.69495077465257</v>
      </c>
      <c r="BJ46" s="526"/>
      <c r="BK46" s="589"/>
    </row>
    <row r="47" spans="2:69" ht="14">
      <c r="B47" s="519"/>
      <c r="C47" s="503"/>
      <c r="D47" s="503" t="s">
        <v>1255</v>
      </c>
      <c r="E47" s="503"/>
      <c r="F47" s="596"/>
      <c r="G47" s="522"/>
      <c r="H47" s="523"/>
      <c r="I47" s="523"/>
      <c r="J47" s="523"/>
      <c r="K47" s="523"/>
      <c r="L47" s="523"/>
      <c r="M47" s="523"/>
      <c r="N47" s="523"/>
      <c r="O47" s="523"/>
      <c r="P47" s="523"/>
      <c r="Q47" s="523"/>
      <c r="R47" s="523"/>
      <c r="S47" s="523"/>
      <c r="T47" s="523"/>
      <c r="U47" s="523"/>
      <c r="V47" s="523"/>
      <c r="W47" s="523"/>
      <c r="X47" s="523"/>
      <c r="Y47" s="523"/>
      <c r="Z47" s="523"/>
      <c r="AA47" s="523"/>
      <c r="AB47" s="523"/>
      <c r="AC47" s="523"/>
      <c r="AD47" s="523"/>
      <c r="AE47" s="523"/>
      <c r="AF47" s="523"/>
      <c r="AG47" s="523"/>
      <c r="AH47" s="523"/>
      <c r="AI47" s="523"/>
      <c r="AJ47" s="523"/>
      <c r="AK47" s="523"/>
      <c r="AL47" s="523"/>
      <c r="AM47" s="523"/>
      <c r="AN47" s="523"/>
      <c r="AO47" s="523"/>
      <c r="AP47" s="523"/>
      <c r="AQ47" s="523"/>
      <c r="AR47" s="523"/>
      <c r="AS47" s="523"/>
      <c r="AT47" s="523"/>
      <c r="AU47" s="523"/>
      <c r="AV47" s="523"/>
      <c r="AW47" s="523"/>
      <c r="AX47" s="503"/>
      <c r="AY47" s="592"/>
      <c r="AZ47" s="592"/>
      <c r="BA47" s="593"/>
      <c r="BB47" s="594">
        <v>387.54718350651797</v>
      </c>
      <c r="BC47" s="594">
        <v>409.76165205747333</v>
      </c>
      <c r="BD47" s="594">
        <v>490.33779763338981</v>
      </c>
      <c r="BE47" s="594">
        <v>558.63498120492068</v>
      </c>
      <c r="BF47" s="594">
        <v>591.29013729677501</v>
      </c>
      <c r="BG47" s="594">
        <v>626.06871390991091</v>
      </c>
      <c r="BH47" s="594">
        <v>684.19379754091051</v>
      </c>
      <c r="BI47" s="594">
        <v>541.32909655561571</v>
      </c>
      <c r="BJ47" s="546"/>
      <c r="BK47" s="589"/>
      <c r="BM47" s="548"/>
      <c r="BN47" s="548"/>
    </row>
    <row r="48" spans="2:69" s="518" customFormat="1" ht="14">
      <c r="B48" s="519"/>
      <c r="C48" s="521" t="s">
        <v>3986</v>
      </c>
      <c r="D48" s="521" t="s">
        <v>3870</v>
      </c>
      <c r="E48" s="503"/>
      <c r="F48" s="596"/>
      <c r="G48" s="522"/>
      <c r="H48" s="523"/>
      <c r="I48" s="523"/>
      <c r="J48" s="523"/>
      <c r="K48" s="523"/>
      <c r="L48" s="523"/>
      <c r="M48" s="523"/>
      <c r="N48" s="523"/>
      <c r="O48" s="523"/>
      <c r="P48" s="523"/>
      <c r="Q48" s="523"/>
      <c r="R48" s="523"/>
      <c r="S48" s="523"/>
      <c r="T48" s="523"/>
      <c r="U48" s="523"/>
      <c r="V48" s="523"/>
      <c r="W48" s="523"/>
      <c r="X48" s="523"/>
      <c r="Y48" s="523"/>
      <c r="Z48" s="523"/>
      <c r="AA48" s="523"/>
      <c r="AB48" s="523"/>
      <c r="AC48" s="523"/>
      <c r="AD48" s="523"/>
      <c r="AE48" s="523"/>
      <c r="AF48" s="523"/>
      <c r="AG48" s="523"/>
      <c r="AH48" s="523"/>
      <c r="AI48" s="523"/>
      <c r="AJ48" s="523"/>
      <c r="AK48" s="523"/>
      <c r="AL48" s="523"/>
      <c r="AM48" s="523"/>
      <c r="AN48" s="523"/>
      <c r="AO48" s="523"/>
      <c r="AP48" s="523"/>
      <c r="AQ48" s="523"/>
      <c r="AR48" s="523"/>
      <c r="AS48" s="523"/>
      <c r="AT48" s="523"/>
      <c r="AU48" s="523"/>
      <c r="AV48" s="523"/>
      <c r="AW48" s="523"/>
      <c r="AX48" s="503"/>
      <c r="AY48" s="586"/>
      <c r="AZ48" s="586"/>
      <c r="BA48" s="587"/>
      <c r="BB48" s="588">
        <v>32.024608000000008</v>
      </c>
      <c r="BC48" s="588">
        <v>29.674114975883853</v>
      </c>
      <c r="BD48" s="588">
        <v>44.062661387737435</v>
      </c>
      <c r="BE48" s="588">
        <v>47.071814358182074</v>
      </c>
      <c r="BF48" s="588">
        <v>50.2864701583322</v>
      </c>
      <c r="BG48" s="588">
        <v>53.720663107290846</v>
      </c>
      <c r="BH48" s="588">
        <v>57.389385964066506</v>
      </c>
      <c r="BI48" s="588">
        <v>45.84424797307431</v>
      </c>
      <c r="BJ48" s="526"/>
      <c r="BK48" s="589"/>
      <c r="BM48" s="597"/>
    </row>
    <row r="49" spans="1:89" s="518" customFormat="1" ht="14">
      <c r="B49" s="502"/>
      <c r="C49" s="521" t="s">
        <v>3987</v>
      </c>
      <c r="D49" s="521" t="s">
        <v>3871</v>
      </c>
      <c r="E49" s="503"/>
      <c r="F49" s="596"/>
      <c r="G49" s="522"/>
      <c r="H49" s="523"/>
      <c r="I49" s="523"/>
      <c r="J49" s="523"/>
      <c r="K49" s="523"/>
      <c r="L49" s="523"/>
      <c r="M49" s="523"/>
      <c r="N49" s="523"/>
      <c r="O49" s="523"/>
      <c r="P49" s="523"/>
      <c r="Q49" s="523"/>
      <c r="R49" s="523"/>
      <c r="S49" s="523"/>
      <c r="T49" s="523"/>
      <c r="U49" s="523"/>
      <c r="V49" s="523"/>
      <c r="W49" s="523"/>
      <c r="X49" s="523"/>
      <c r="Y49" s="523"/>
      <c r="Z49" s="523"/>
      <c r="AA49" s="523"/>
      <c r="AB49" s="523"/>
      <c r="AC49" s="523"/>
      <c r="AD49" s="523"/>
      <c r="AE49" s="523"/>
      <c r="AF49" s="523"/>
      <c r="AG49" s="523"/>
      <c r="AH49" s="523"/>
      <c r="AI49" s="523"/>
      <c r="AJ49" s="523"/>
      <c r="AK49" s="523"/>
      <c r="AL49" s="523"/>
      <c r="AM49" s="523"/>
      <c r="AN49" s="523"/>
      <c r="AO49" s="523"/>
      <c r="AP49" s="523"/>
      <c r="AQ49" s="523"/>
      <c r="AR49" s="523"/>
      <c r="AS49" s="523"/>
      <c r="AT49" s="523"/>
      <c r="AU49" s="523"/>
      <c r="AV49" s="523"/>
      <c r="AW49" s="523"/>
      <c r="AX49" s="598"/>
      <c r="AY49" s="586"/>
      <c r="AZ49" s="586"/>
      <c r="BA49" s="587"/>
      <c r="BB49" s="588">
        <v>205.73245069287685</v>
      </c>
      <c r="BC49" s="588">
        <v>203.01548606998944</v>
      </c>
      <c r="BD49" s="588">
        <v>252.83959122592955</v>
      </c>
      <c r="BE49" s="588">
        <v>297.53742898140808</v>
      </c>
      <c r="BF49" s="588">
        <v>331.44908083805365</v>
      </c>
      <c r="BG49" s="588">
        <v>357.30207774594021</v>
      </c>
      <c r="BH49" s="588">
        <v>371.25344445953971</v>
      </c>
      <c r="BI49" s="588">
        <v>279.78103876906385</v>
      </c>
      <c r="BJ49" s="526"/>
      <c r="BK49" s="589"/>
      <c r="BM49" s="597"/>
    </row>
    <row r="50" spans="1:89" ht="14">
      <c r="B50" s="519"/>
      <c r="C50" s="503"/>
      <c r="D50" s="503" t="s">
        <v>3872</v>
      </c>
      <c r="E50" s="503"/>
      <c r="F50" s="596"/>
      <c r="G50" s="522"/>
      <c r="H50" s="523"/>
      <c r="I50" s="523"/>
      <c r="J50" s="523"/>
      <c r="K50" s="523"/>
      <c r="L50" s="523"/>
      <c r="M50" s="523"/>
      <c r="N50" s="523"/>
      <c r="O50" s="523"/>
      <c r="P50" s="523"/>
      <c r="Q50" s="523"/>
      <c r="R50" s="523"/>
      <c r="S50" s="523"/>
      <c r="T50" s="523"/>
      <c r="U50" s="523"/>
      <c r="V50" s="523"/>
      <c r="W50" s="523"/>
      <c r="X50" s="523"/>
      <c r="Y50" s="523"/>
      <c r="Z50" s="523"/>
      <c r="AA50" s="523"/>
      <c r="AB50" s="523"/>
      <c r="AC50" s="523"/>
      <c r="AD50" s="523"/>
      <c r="AE50" s="523"/>
      <c r="AF50" s="523"/>
      <c r="AG50" s="523"/>
      <c r="AH50" s="523"/>
      <c r="AI50" s="523"/>
      <c r="AJ50" s="523"/>
      <c r="AK50" s="523"/>
      <c r="AL50" s="523"/>
      <c r="AM50" s="523"/>
      <c r="AN50" s="523"/>
      <c r="AO50" s="523"/>
      <c r="AP50" s="523"/>
      <c r="AQ50" s="523"/>
      <c r="AR50" s="523"/>
      <c r="AS50" s="523"/>
      <c r="AT50" s="523"/>
      <c r="AU50" s="523"/>
      <c r="AV50" s="523"/>
      <c r="AW50" s="523"/>
      <c r="AX50" s="503"/>
      <c r="AY50" s="592"/>
      <c r="AZ50" s="592"/>
      <c r="BA50" s="593"/>
      <c r="BB50" s="594">
        <v>237.75705869287685</v>
      </c>
      <c r="BC50" s="594">
        <v>232.6896010458733</v>
      </c>
      <c r="BD50" s="594">
        <v>296.90225261366697</v>
      </c>
      <c r="BE50" s="594">
        <v>344.60924333959014</v>
      </c>
      <c r="BF50" s="594">
        <v>381.73555099638583</v>
      </c>
      <c r="BG50" s="594">
        <v>411.02274085323108</v>
      </c>
      <c r="BH50" s="594">
        <v>428.6428304236062</v>
      </c>
      <c r="BI50" s="594">
        <v>325.62528674213814</v>
      </c>
      <c r="BJ50" s="546"/>
      <c r="BK50" s="599"/>
      <c r="BM50" s="548"/>
      <c r="BN50" s="548"/>
    </row>
    <row r="51" spans="1:89" s="518" customFormat="1" ht="14">
      <c r="B51" s="519"/>
      <c r="C51" s="521" t="s">
        <v>3988</v>
      </c>
      <c r="D51" s="521" t="s">
        <v>3873</v>
      </c>
      <c r="E51" s="503"/>
      <c r="F51" s="596"/>
      <c r="G51" s="522"/>
      <c r="H51" s="523"/>
      <c r="I51" s="523"/>
      <c r="J51" s="523"/>
      <c r="K51" s="523"/>
      <c r="L51" s="523"/>
      <c r="M51" s="523"/>
      <c r="N51" s="523"/>
      <c r="O51" s="523"/>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c r="AM51" s="523"/>
      <c r="AN51" s="523"/>
      <c r="AO51" s="523"/>
      <c r="AP51" s="523"/>
      <c r="AQ51" s="523"/>
      <c r="AR51" s="523"/>
      <c r="AS51" s="523"/>
      <c r="AT51" s="523"/>
      <c r="AU51" s="523"/>
      <c r="AV51" s="523"/>
      <c r="AW51" s="523"/>
      <c r="AX51" s="503"/>
      <c r="AY51" s="586"/>
      <c r="AZ51" s="586"/>
      <c r="BA51" s="587"/>
      <c r="BB51" s="588">
        <v>29.618532770245825</v>
      </c>
      <c r="BC51" s="588">
        <v>30.487391013090225</v>
      </c>
      <c r="BD51" s="588">
        <v>44.525534772156639</v>
      </c>
      <c r="BE51" s="588">
        <v>57.505087943485677</v>
      </c>
      <c r="BF51" s="588">
        <v>72.319964071744067</v>
      </c>
      <c r="BG51" s="588">
        <v>89.511404938906821</v>
      </c>
      <c r="BH51" s="588">
        <v>110.54242398871946</v>
      </c>
      <c r="BI51" s="588">
        <v>52.074081737317229</v>
      </c>
      <c r="BJ51" s="526"/>
      <c r="BK51" s="527"/>
      <c r="BM51" s="597"/>
    </row>
    <row r="52" spans="1:89" s="518" customFormat="1" ht="14">
      <c r="B52" s="502"/>
      <c r="C52" s="521" t="s">
        <v>3989</v>
      </c>
      <c r="D52" s="521" t="s">
        <v>3874</v>
      </c>
      <c r="E52" s="503"/>
      <c r="F52" s="596"/>
      <c r="G52" s="522"/>
      <c r="H52" s="523"/>
      <c r="I52" s="523"/>
      <c r="J52" s="523"/>
      <c r="K52" s="523"/>
      <c r="L52" s="523"/>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3"/>
      <c r="AK52" s="523"/>
      <c r="AL52" s="523"/>
      <c r="AM52" s="523"/>
      <c r="AN52" s="523"/>
      <c r="AO52" s="523"/>
      <c r="AP52" s="523"/>
      <c r="AQ52" s="523"/>
      <c r="AR52" s="523"/>
      <c r="AS52" s="523"/>
      <c r="AT52" s="523"/>
      <c r="AU52" s="523"/>
      <c r="AV52" s="523"/>
      <c r="AW52" s="523"/>
      <c r="AX52" s="503"/>
      <c r="AY52" s="586"/>
      <c r="AZ52" s="586"/>
      <c r="BA52" s="587"/>
      <c r="BB52" s="588">
        <v>22.38614835838349</v>
      </c>
      <c r="BC52" s="588">
        <v>24.447199813865218</v>
      </c>
      <c r="BD52" s="588">
        <v>30.697985149587289</v>
      </c>
      <c r="BE52" s="588">
        <v>37.724097731856958</v>
      </c>
      <c r="BF52" s="588">
        <v>46.232731641012094</v>
      </c>
      <c r="BG52" s="588">
        <v>56.521776420267862</v>
      </c>
      <c r="BH52" s="588">
        <v>67.705403335510653</v>
      </c>
      <c r="BI52" s="588">
        <v>34.750706733221321</v>
      </c>
      <c r="BJ52" s="526"/>
      <c r="BK52" s="527"/>
      <c r="BM52" s="597"/>
    </row>
    <row r="53" spans="1:89" ht="14">
      <c r="B53" s="519"/>
      <c r="C53" s="503"/>
      <c r="D53" s="503" t="s">
        <v>3875</v>
      </c>
      <c r="E53" s="503"/>
      <c r="F53" s="522"/>
      <c r="G53" s="522"/>
      <c r="H53" s="523"/>
      <c r="I53" s="523"/>
      <c r="J53" s="523"/>
      <c r="K53" s="523"/>
      <c r="L53" s="523"/>
      <c r="M53" s="523"/>
      <c r="N53" s="523"/>
      <c r="O53" s="523"/>
      <c r="P53" s="523"/>
      <c r="Q53" s="523"/>
      <c r="R53" s="523"/>
      <c r="S53" s="523"/>
      <c r="T53" s="523"/>
      <c r="U53" s="523"/>
      <c r="V53" s="523"/>
      <c r="W53" s="523"/>
      <c r="X53" s="523"/>
      <c r="Y53" s="523"/>
      <c r="Z53" s="523"/>
      <c r="AA53" s="523"/>
      <c r="AB53" s="523"/>
      <c r="AC53" s="523"/>
      <c r="AD53" s="523"/>
      <c r="AE53" s="523"/>
      <c r="AF53" s="523"/>
      <c r="AG53" s="523"/>
      <c r="AH53" s="523"/>
      <c r="AI53" s="523"/>
      <c r="AJ53" s="523"/>
      <c r="AK53" s="523"/>
      <c r="AL53" s="523"/>
      <c r="AM53" s="523"/>
      <c r="AN53" s="523"/>
      <c r="AO53" s="523"/>
      <c r="AP53" s="523"/>
      <c r="AQ53" s="523"/>
      <c r="AR53" s="523"/>
      <c r="AS53" s="523"/>
      <c r="AT53" s="523"/>
      <c r="AU53" s="523"/>
      <c r="AV53" s="523"/>
      <c r="AW53" s="523"/>
      <c r="AX53" s="503"/>
      <c r="AY53" s="592"/>
      <c r="AZ53" s="592"/>
      <c r="BA53" s="593"/>
      <c r="BB53" s="594">
        <v>52.004681128629315</v>
      </c>
      <c r="BC53" s="594">
        <v>54.934590826955443</v>
      </c>
      <c r="BD53" s="594">
        <v>75.223519921743929</v>
      </c>
      <c r="BE53" s="594">
        <v>95.229185675342634</v>
      </c>
      <c r="BF53" s="594">
        <v>118.55269571275616</v>
      </c>
      <c r="BG53" s="594">
        <v>146.03318135917468</v>
      </c>
      <c r="BH53" s="594">
        <v>178.24782732423012</v>
      </c>
      <c r="BI53" s="594">
        <v>86.82478847053855</v>
      </c>
      <c r="BJ53" s="546"/>
      <c r="BK53" s="599"/>
      <c r="BM53" s="548"/>
      <c r="BN53" s="548"/>
    </row>
    <row r="54" spans="1:89" s="564" customFormat="1" ht="14">
      <c r="B54" s="519"/>
      <c r="C54" s="600"/>
      <c r="D54" s="557" t="s">
        <v>3879</v>
      </c>
      <c r="E54" s="503"/>
      <c r="F54" s="522"/>
      <c r="G54" s="522"/>
      <c r="H54" s="523"/>
      <c r="I54" s="523"/>
      <c r="J54" s="523"/>
      <c r="K54" s="523"/>
      <c r="L54" s="523"/>
      <c r="M54" s="523"/>
      <c r="N54" s="523"/>
      <c r="O54" s="523"/>
      <c r="P54" s="523"/>
      <c r="Q54" s="523"/>
      <c r="R54" s="523"/>
      <c r="S54" s="523"/>
      <c r="T54" s="523"/>
      <c r="U54" s="523"/>
      <c r="V54" s="523"/>
      <c r="W54" s="523"/>
      <c r="X54" s="523"/>
      <c r="Y54" s="523"/>
      <c r="Z54" s="523"/>
      <c r="AA54" s="523"/>
      <c r="AB54" s="523"/>
      <c r="AC54" s="523"/>
      <c r="AD54" s="523"/>
      <c r="AE54" s="523"/>
      <c r="AF54" s="523"/>
      <c r="AG54" s="523"/>
      <c r="AH54" s="523"/>
      <c r="AI54" s="523"/>
      <c r="AJ54" s="523"/>
      <c r="AK54" s="523"/>
      <c r="AL54" s="523"/>
      <c r="AM54" s="523"/>
      <c r="AN54" s="523"/>
      <c r="AO54" s="523"/>
      <c r="AP54" s="523"/>
      <c r="AQ54" s="523"/>
      <c r="AR54" s="523"/>
      <c r="AS54" s="523"/>
      <c r="AT54" s="523"/>
      <c r="AU54" s="523"/>
      <c r="AV54" s="523"/>
      <c r="AW54" s="523"/>
      <c r="AX54" s="503"/>
      <c r="AY54" s="558"/>
      <c r="AZ54" s="558"/>
      <c r="BA54" s="559"/>
      <c r="BB54" s="559">
        <v>808.98406410466544</v>
      </c>
      <c r="BC54" s="559">
        <v>829.46496526803048</v>
      </c>
      <c r="BD54" s="559">
        <v>1031.1294180958957</v>
      </c>
      <c r="BE54" s="559">
        <v>1223.0212964968855</v>
      </c>
      <c r="BF54" s="559">
        <v>1401.5229613038898</v>
      </c>
      <c r="BG54" s="559">
        <v>1604.3552507658665</v>
      </c>
      <c r="BH54" s="559">
        <v>1840.9617629101426</v>
      </c>
      <c r="BI54" s="559">
        <v>1151.2852858944389</v>
      </c>
      <c r="BJ54" s="561"/>
      <c r="BK54" s="601"/>
      <c r="BL54" s="602"/>
      <c r="BM54" s="603"/>
      <c r="BN54" s="563"/>
      <c r="BO54" s="563"/>
      <c r="BP54" s="563"/>
      <c r="BQ54" s="563"/>
      <c r="BR54" s="563"/>
      <c r="BS54" s="563"/>
      <c r="BT54" s="563"/>
      <c r="BU54" s="563"/>
      <c r="BV54" s="563"/>
      <c r="BW54" s="563"/>
      <c r="BX54" s="563"/>
      <c r="BY54" s="563"/>
      <c r="BZ54" s="563"/>
      <c r="CA54" s="563"/>
      <c r="CB54" s="563"/>
      <c r="CC54" s="563"/>
      <c r="CD54" s="563"/>
      <c r="CE54" s="563"/>
      <c r="CF54" s="563"/>
      <c r="CG54" s="563"/>
      <c r="CH54" s="563"/>
      <c r="CI54" s="563"/>
      <c r="CJ54" s="563"/>
      <c r="CK54" s="563"/>
    </row>
    <row r="55" spans="1:89" ht="14">
      <c r="B55" s="574"/>
      <c r="C55" s="503"/>
      <c r="D55" s="503"/>
      <c r="E55" s="503"/>
      <c r="F55" s="503"/>
      <c r="G55" s="503"/>
      <c r="H55" s="504"/>
      <c r="I55" s="504"/>
      <c r="J55" s="504"/>
      <c r="K55" s="504"/>
      <c r="L55" s="504"/>
      <c r="M55" s="504"/>
      <c r="N55" s="504"/>
      <c r="O55" s="504"/>
      <c r="P55" s="504"/>
      <c r="Q55" s="504"/>
      <c r="R55" s="504"/>
      <c r="S55" s="504"/>
      <c r="T55" s="504"/>
      <c r="U55" s="504"/>
      <c r="V55" s="504"/>
      <c r="W55" s="504"/>
      <c r="X55" s="504"/>
      <c r="Y55" s="504"/>
      <c r="Z55" s="504"/>
      <c r="AA55" s="504"/>
      <c r="AB55" s="504"/>
      <c r="AC55" s="504"/>
      <c r="AD55" s="504"/>
      <c r="AE55" s="504"/>
      <c r="AF55" s="504"/>
      <c r="AG55" s="504"/>
      <c r="AH55" s="504"/>
      <c r="AI55" s="504"/>
      <c r="AJ55" s="504"/>
      <c r="AK55" s="504"/>
      <c r="AL55" s="504"/>
      <c r="AM55" s="504"/>
      <c r="AN55" s="504"/>
      <c r="AO55" s="504"/>
      <c r="AP55" s="504"/>
      <c r="AQ55" s="504"/>
      <c r="AR55" s="504"/>
      <c r="AS55" s="504"/>
      <c r="AT55" s="504"/>
      <c r="AU55" s="504"/>
      <c r="AV55" s="504"/>
      <c r="AW55" s="504"/>
      <c r="AX55" s="503"/>
      <c r="AY55" s="584"/>
      <c r="AZ55" s="584"/>
      <c r="BA55" s="604"/>
      <c r="BB55" s="604"/>
      <c r="BC55" s="604"/>
      <c r="BD55" s="604"/>
      <c r="BE55" s="605"/>
      <c r="BF55" s="606"/>
      <c r="BG55" s="606"/>
      <c r="BH55" s="606"/>
      <c r="BI55" s="606"/>
      <c r="BJ55" s="546"/>
      <c r="BK55" s="547"/>
    </row>
    <row r="56" spans="1:89" ht="14">
      <c r="B56" s="574"/>
      <c r="C56" s="550" t="s">
        <v>3990</v>
      </c>
      <c r="D56" s="503"/>
      <c r="E56" s="503"/>
      <c r="F56" s="503"/>
      <c r="G56" s="503"/>
      <c r="H56" s="504"/>
      <c r="I56" s="504"/>
      <c r="J56" s="504"/>
      <c r="K56" s="504"/>
      <c r="L56" s="504"/>
      <c r="M56" s="504"/>
      <c r="N56" s="504"/>
      <c r="O56" s="504"/>
      <c r="P56" s="504"/>
      <c r="Q56" s="504"/>
      <c r="R56" s="504"/>
      <c r="S56" s="504"/>
      <c r="T56" s="504"/>
      <c r="U56" s="504"/>
      <c r="V56" s="504"/>
      <c r="W56" s="504"/>
      <c r="X56" s="504"/>
      <c r="Y56" s="504"/>
      <c r="Z56" s="504"/>
      <c r="AA56" s="504"/>
      <c r="AB56" s="504"/>
      <c r="AC56" s="504"/>
      <c r="AD56" s="504"/>
      <c r="AE56" s="504"/>
      <c r="AF56" s="504"/>
      <c r="AG56" s="504"/>
      <c r="AH56" s="504"/>
      <c r="AI56" s="504"/>
      <c r="AJ56" s="504"/>
      <c r="AK56" s="504"/>
      <c r="AL56" s="504"/>
      <c r="AM56" s="504"/>
      <c r="AN56" s="504"/>
      <c r="AO56" s="504"/>
      <c r="AP56" s="504"/>
      <c r="AQ56" s="504"/>
      <c r="AR56" s="504"/>
      <c r="AS56" s="504"/>
      <c r="AT56" s="504"/>
      <c r="AU56" s="504"/>
      <c r="AV56" s="504"/>
      <c r="AW56" s="504"/>
      <c r="AX56" s="503"/>
      <c r="AY56" s="584"/>
      <c r="AZ56" s="584"/>
      <c r="BA56" s="579"/>
      <c r="BB56" s="579"/>
      <c r="BC56" s="607"/>
      <c r="BD56" s="605"/>
      <c r="BE56" s="605"/>
      <c r="BF56" s="608"/>
      <c r="BG56" s="608"/>
      <c r="BH56" s="608"/>
      <c r="BI56" s="608"/>
      <c r="BJ56" s="609"/>
      <c r="BK56" s="547"/>
    </row>
    <row r="57" spans="1:89">
      <c r="B57" s="502"/>
      <c r="C57" s="583" t="s">
        <v>3991</v>
      </c>
      <c r="D57" s="521" t="s">
        <v>3992</v>
      </c>
      <c r="E57" s="503"/>
      <c r="F57" s="524"/>
      <c r="G57" s="524"/>
      <c r="H57" s="610"/>
      <c r="I57" s="610"/>
      <c r="J57" s="610"/>
      <c r="K57" s="610"/>
      <c r="L57" s="610"/>
      <c r="M57" s="610"/>
      <c r="N57" s="610"/>
      <c r="O57" s="610"/>
      <c r="P57" s="610"/>
      <c r="Q57" s="610"/>
      <c r="R57" s="610"/>
      <c r="S57" s="610"/>
      <c r="T57" s="610"/>
      <c r="U57" s="610"/>
      <c r="V57" s="610"/>
      <c r="W57" s="610"/>
      <c r="X57" s="610"/>
      <c r="Y57" s="610"/>
      <c r="Z57" s="610"/>
      <c r="AA57" s="610"/>
      <c r="AB57" s="610"/>
      <c r="AC57" s="610"/>
      <c r="AD57" s="610"/>
      <c r="AE57" s="610"/>
      <c r="AF57" s="610"/>
      <c r="AG57" s="610"/>
      <c r="AH57" s="610"/>
      <c r="AI57" s="610"/>
      <c r="AJ57" s="610"/>
      <c r="AK57" s="610"/>
      <c r="AL57" s="610"/>
      <c r="AM57" s="610"/>
      <c r="AN57" s="610"/>
      <c r="AO57" s="610"/>
      <c r="AP57" s="610"/>
      <c r="AQ57" s="610"/>
      <c r="AR57" s="610"/>
      <c r="AS57" s="610"/>
      <c r="AT57" s="610"/>
      <c r="AU57" s="610"/>
      <c r="AV57" s="610"/>
      <c r="AW57" s="610"/>
      <c r="AX57" s="503"/>
      <c r="AY57" s="584"/>
      <c r="AZ57" s="584"/>
      <c r="BA57" s="579"/>
      <c r="BB57" s="579">
        <v>174.25983237211926</v>
      </c>
      <c r="BC57" s="579">
        <v>180.79472103513743</v>
      </c>
      <c r="BD57" s="579">
        <v>220.16292685991368</v>
      </c>
      <c r="BE57" s="579">
        <v>246.09230965597573</v>
      </c>
      <c r="BF57" s="579">
        <v>256.73883763785017</v>
      </c>
      <c r="BG57" s="579">
        <v>275.84546670691833</v>
      </c>
      <c r="BH57" s="579">
        <v>315.7374282765964</v>
      </c>
      <c r="BI57" s="579">
        <v>240.98611317547835</v>
      </c>
      <c r="BJ57" s="546"/>
      <c r="BK57" s="547"/>
    </row>
    <row r="58" spans="1:89">
      <c r="B58" s="502"/>
      <c r="C58" s="583" t="s">
        <v>3993</v>
      </c>
      <c r="D58" s="521" t="s">
        <v>3994</v>
      </c>
      <c r="E58" s="503"/>
      <c r="F58" s="524"/>
      <c r="G58" s="524"/>
      <c r="H58" s="610"/>
      <c r="I58" s="610"/>
      <c r="J58" s="610"/>
      <c r="K58" s="610"/>
      <c r="L58" s="610"/>
      <c r="M58" s="610"/>
      <c r="N58" s="610"/>
      <c r="O58" s="610"/>
      <c r="P58" s="610"/>
      <c r="Q58" s="610"/>
      <c r="R58" s="610"/>
      <c r="S58" s="610"/>
      <c r="T58" s="610"/>
      <c r="U58" s="610"/>
      <c r="V58" s="610"/>
      <c r="W58" s="610"/>
      <c r="X58" s="610"/>
      <c r="Y58" s="610"/>
      <c r="Z58" s="610"/>
      <c r="AA58" s="610"/>
      <c r="AB58" s="610"/>
      <c r="AC58" s="610"/>
      <c r="AD58" s="610"/>
      <c r="AE58" s="610"/>
      <c r="AF58" s="610"/>
      <c r="AG58" s="610"/>
      <c r="AH58" s="610"/>
      <c r="AI58" s="610"/>
      <c r="AJ58" s="610"/>
      <c r="AK58" s="610"/>
      <c r="AL58" s="610"/>
      <c r="AM58" s="610"/>
      <c r="AN58" s="610"/>
      <c r="AO58" s="610"/>
      <c r="AP58" s="610"/>
      <c r="AQ58" s="610"/>
      <c r="AR58" s="610"/>
      <c r="AS58" s="610"/>
      <c r="AT58" s="610"/>
      <c r="AU58" s="610"/>
      <c r="AV58" s="610"/>
      <c r="AW58" s="610"/>
      <c r="AX58" s="503"/>
      <c r="AY58" s="584"/>
      <c r="AZ58" s="584"/>
      <c r="BA58" s="579"/>
      <c r="BB58" s="579">
        <v>48.872361103130139</v>
      </c>
      <c r="BC58" s="579">
        <v>48.844657500195169</v>
      </c>
      <c r="BD58" s="579">
        <v>56.646599967525418</v>
      </c>
      <c r="BE58" s="579">
        <v>65.473213403951434</v>
      </c>
      <c r="BF58" s="579">
        <v>72.271901250929233</v>
      </c>
      <c r="BG58" s="579">
        <v>77.919575677116654</v>
      </c>
      <c r="BH58" s="579">
        <v>82.690486402728411</v>
      </c>
      <c r="BI58" s="579">
        <v>62.218039642001997</v>
      </c>
      <c r="BJ58" s="546"/>
      <c r="BK58" s="547"/>
    </row>
    <row r="59" spans="1:89" s="501" customFormat="1" ht="14">
      <c r="A59" s="611"/>
      <c r="B59" s="502"/>
      <c r="C59" s="612"/>
      <c r="D59" s="557" t="s">
        <v>3995</v>
      </c>
      <c r="E59" s="503"/>
      <c r="F59" s="613"/>
      <c r="G59" s="614"/>
      <c r="H59" s="615"/>
      <c r="I59" s="615"/>
      <c r="J59" s="615"/>
      <c r="K59" s="615"/>
      <c r="L59" s="615"/>
      <c r="M59" s="615"/>
      <c r="N59" s="615"/>
      <c r="O59" s="615"/>
      <c r="P59" s="615"/>
      <c r="Q59" s="615"/>
      <c r="R59" s="615"/>
      <c r="S59" s="615"/>
      <c r="T59" s="615"/>
      <c r="U59" s="615"/>
      <c r="V59" s="615"/>
      <c r="W59" s="615"/>
      <c r="X59" s="615"/>
      <c r="Y59" s="615"/>
      <c r="Z59" s="615"/>
      <c r="AA59" s="615"/>
      <c r="AB59" s="615"/>
      <c r="AC59" s="615"/>
      <c r="AD59" s="615"/>
      <c r="AE59" s="615"/>
      <c r="AF59" s="615"/>
      <c r="AG59" s="615"/>
      <c r="AH59" s="615"/>
      <c r="AI59" s="615"/>
      <c r="AJ59" s="615"/>
      <c r="AK59" s="615"/>
      <c r="AL59" s="615"/>
      <c r="AM59" s="615"/>
      <c r="AN59" s="615"/>
      <c r="AO59" s="615"/>
      <c r="AP59" s="615"/>
      <c r="AQ59" s="615"/>
      <c r="AR59" s="615"/>
      <c r="AS59" s="615"/>
      <c r="AT59" s="615"/>
      <c r="AU59" s="615"/>
      <c r="AV59" s="615"/>
      <c r="AW59" s="615"/>
      <c r="AX59" s="503"/>
      <c r="AY59" s="613"/>
      <c r="AZ59" s="613"/>
      <c r="BA59" s="616"/>
      <c r="BB59" s="616">
        <v>585.851870629416</v>
      </c>
      <c r="BC59" s="616">
        <v>599.82558673269796</v>
      </c>
      <c r="BD59" s="616">
        <v>754.31989126845667</v>
      </c>
      <c r="BE59" s="616">
        <v>911.45577343695834</v>
      </c>
      <c r="BF59" s="616">
        <v>1072.5122224151105</v>
      </c>
      <c r="BG59" s="616">
        <v>1250.5902083818314</v>
      </c>
      <c r="BH59" s="616">
        <v>1442.5338482308177</v>
      </c>
      <c r="BI59" s="616">
        <v>848.08113307695851</v>
      </c>
      <c r="BJ59" s="617"/>
      <c r="BK59" s="618"/>
      <c r="BL59" s="509"/>
      <c r="BM59" s="509"/>
      <c r="BN59" s="509"/>
      <c r="BO59" s="509"/>
      <c r="BP59" s="509"/>
      <c r="BQ59" s="509"/>
      <c r="BR59" s="509"/>
      <c r="BS59" s="509"/>
      <c r="BT59" s="509"/>
      <c r="BU59" s="509"/>
      <c r="BV59" s="509"/>
      <c r="BW59" s="509"/>
      <c r="BX59" s="509"/>
      <c r="BY59" s="509"/>
      <c r="BZ59" s="509"/>
      <c r="CA59" s="509"/>
      <c r="CB59" s="509"/>
      <c r="CC59" s="509"/>
      <c r="CD59" s="509"/>
      <c r="CE59" s="509"/>
      <c r="CF59" s="509"/>
      <c r="CG59" s="509"/>
      <c r="CH59" s="509"/>
      <c r="CI59" s="509"/>
      <c r="CJ59" s="509"/>
      <c r="CK59" s="509"/>
    </row>
    <row r="60" spans="1:89" s="501" customFormat="1" ht="14">
      <c r="B60" s="502"/>
      <c r="C60" s="612"/>
      <c r="D60" s="600"/>
      <c r="E60" s="503"/>
      <c r="F60" s="614"/>
      <c r="G60" s="614"/>
      <c r="H60" s="615"/>
      <c r="I60" s="615"/>
      <c r="J60" s="615"/>
      <c r="K60" s="615"/>
      <c r="L60" s="615"/>
      <c r="M60" s="615"/>
      <c r="N60" s="615"/>
      <c r="O60" s="615"/>
      <c r="P60" s="615"/>
      <c r="Q60" s="615"/>
      <c r="R60" s="615"/>
      <c r="S60" s="615"/>
      <c r="T60" s="615"/>
      <c r="U60" s="615"/>
      <c r="V60" s="615"/>
      <c r="W60" s="615"/>
      <c r="X60" s="615"/>
      <c r="Y60" s="615"/>
      <c r="Z60" s="615"/>
      <c r="AA60" s="615"/>
      <c r="AB60" s="615"/>
      <c r="AC60" s="615"/>
      <c r="AD60" s="615"/>
      <c r="AE60" s="615"/>
      <c r="AF60" s="615"/>
      <c r="AG60" s="615"/>
      <c r="AH60" s="615"/>
      <c r="AI60" s="615"/>
      <c r="AJ60" s="615"/>
      <c r="AK60" s="615"/>
      <c r="AL60" s="615"/>
      <c r="AM60" s="615"/>
      <c r="AN60" s="615"/>
      <c r="AO60" s="615"/>
      <c r="AP60" s="615"/>
      <c r="AQ60" s="615"/>
      <c r="AR60" s="615"/>
      <c r="AS60" s="615"/>
      <c r="AT60" s="615"/>
      <c r="AU60" s="615"/>
      <c r="AV60" s="615"/>
      <c r="AW60" s="615"/>
      <c r="AX60" s="503"/>
      <c r="AY60" s="614"/>
      <c r="AZ60" s="614"/>
      <c r="BA60" s="619"/>
      <c r="BB60" s="619"/>
      <c r="BC60" s="619"/>
      <c r="BD60" s="619"/>
      <c r="BE60" s="619"/>
      <c r="BF60" s="619"/>
      <c r="BG60" s="619"/>
      <c r="BH60" s="619"/>
      <c r="BI60" s="619"/>
      <c r="BJ60" s="617"/>
      <c r="BK60" s="618"/>
      <c r="BL60" s="509"/>
      <c r="BM60" s="509"/>
      <c r="BN60" s="509"/>
      <c r="BO60" s="509"/>
      <c r="BP60" s="509"/>
      <c r="BQ60" s="509"/>
      <c r="BR60" s="509"/>
      <c r="BS60" s="509"/>
      <c r="BT60" s="509"/>
      <c r="BU60" s="509"/>
      <c r="BV60" s="509"/>
      <c r="BW60" s="509"/>
      <c r="BX60" s="509"/>
      <c r="BY60" s="509"/>
      <c r="BZ60" s="509"/>
      <c r="CA60" s="509"/>
      <c r="CB60" s="509"/>
      <c r="CC60" s="509"/>
      <c r="CD60" s="509"/>
      <c r="CE60" s="509"/>
      <c r="CF60" s="509"/>
      <c r="CG60" s="509"/>
      <c r="CH60" s="509"/>
      <c r="CI60" s="509"/>
      <c r="CJ60" s="509"/>
      <c r="CK60" s="509"/>
    </row>
    <row r="61" spans="1:89" s="501" customFormat="1" ht="14">
      <c r="B61" s="502"/>
      <c r="C61" s="600" t="s">
        <v>3996</v>
      </c>
      <c r="D61" s="600"/>
      <c r="E61" s="503"/>
      <c r="F61" s="503"/>
      <c r="G61" s="614"/>
      <c r="H61" s="615"/>
      <c r="I61" s="615"/>
      <c r="J61" s="615"/>
      <c r="K61" s="615"/>
      <c r="L61" s="615"/>
      <c r="M61" s="615"/>
      <c r="N61" s="615"/>
      <c r="O61" s="615"/>
      <c r="P61" s="615"/>
      <c r="Q61" s="615"/>
      <c r="R61" s="615"/>
      <c r="S61" s="615"/>
      <c r="T61" s="615"/>
      <c r="U61" s="615"/>
      <c r="V61" s="615"/>
      <c r="W61" s="615"/>
      <c r="X61" s="615"/>
      <c r="Y61" s="615"/>
      <c r="Z61" s="615"/>
      <c r="AA61" s="615"/>
      <c r="AB61" s="615"/>
      <c r="AC61" s="615"/>
      <c r="AD61" s="615"/>
      <c r="AE61" s="615"/>
      <c r="AF61" s="615"/>
      <c r="AG61" s="615"/>
      <c r="AH61" s="615"/>
      <c r="AI61" s="615"/>
      <c r="AJ61" s="615"/>
      <c r="AK61" s="615"/>
      <c r="AL61" s="615"/>
      <c r="AM61" s="615"/>
      <c r="AN61" s="615"/>
      <c r="AO61" s="615"/>
      <c r="AP61" s="615"/>
      <c r="AQ61" s="615"/>
      <c r="AR61" s="615"/>
      <c r="AS61" s="615"/>
      <c r="AT61" s="615"/>
      <c r="AU61" s="615"/>
      <c r="AV61" s="615"/>
      <c r="AW61" s="615"/>
      <c r="AX61" s="503"/>
      <c r="AY61" s="614"/>
      <c r="AZ61" s="614"/>
      <c r="BA61" s="619"/>
      <c r="BB61" s="619"/>
      <c r="BC61" s="619"/>
      <c r="BD61" s="619"/>
      <c r="BE61" s="619"/>
      <c r="BF61" s="619"/>
      <c r="BG61" s="619"/>
      <c r="BH61" s="619"/>
      <c r="BI61" s="619"/>
      <c r="BJ61" s="617"/>
      <c r="BK61" s="618"/>
      <c r="BL61" s="509"/>
      <c r="BM61" s="509"/>
      <c r="BN61" s="509"/>
      <c r="BO61" s="509"/>
      <c r="BP61" s="509"/>
      <c r="BQ61" s="509"/>
      <c r="BR61" s="509"/>
      <c r="BS61" s="509"/>
      <c r="BT61" s="509"/>
      <c r="BU61" s="509"/>
      <c r="BV61" s="509"/>
      <c r="BW61" s="509"/>
      <c r="BX61" s="509"/>
      <c r="BY61" s="509"/>
      <c r="BZ61" s="509"/>
      <c r="CA61" s="509"/>
      <c r="CB61" s="509"/>
      <c r="CC61" s="509"/>
      <c r="CD61" s="509"/>
      <c r="CE61" s="509"/>
      <c r="CF61" s="509"/>
      <c r="CG61" s="509"/>
      <c r="CH61" s="509"/>
      <c r="CI61" s="509"/>
      <c r="CJ61" s="509"/>
      <c r="CK61" s="509"/>
    </row>
    <row r="62" spans="1:89" s="501" customFormat="1" ht="14">
      <c r="B62" s="502"/>
      <c r="C62" s="612" t="s">
        <v>3997</v>
      </c>
      <c r="D62" s="503" t="s">
        <v>3998</v>
      </c>
      <c r="E62" s="503"/>
      <c r="F62" s="524"/>
      <c r="G62" s="614"/>
      <c r="H62" s="615"/>
      <c r="I62" s="615"/>
      <c r="J62" s="615"/>
      <c r="K62" s="615"/>
      <c r="L62" s="615"/>
      <c r="M62" s="615"/>
      <c r="N62" s="615"/>
      <c r="O62" s="615"/>
      <c r="P62" s="615"/>
      <c r="Q62" s="615"/>
      <c r="R62" s="615"/>
      <c r="S62" s="615"/>
      <c r="T62" s="615"/>
      <c r="U62" s="615"/>
      <c r="V62" s="615"/>
      <c r="W62" s="615"/>
      <c r="X62" s="615"/>
      <c r="Y62" s="615"/>
      <c r="Z62" s="615"/>
      <c r="AA62" s="615"/>
      <c r="AB62" s="615"/>
      <c r="AC62" s="615"/>
      <c r="AD62" s="615"/>
      <c r="AE62" s="615"/>
      <c r="AF62" s="615"/>
      <c r="AG62" s="615"/>
      <c r="AH62" s="615"/>
      <c r="AI62" s="615"/>
      <c r="AJ62" s="615"/>
      <c r="AK62" s="615"/>
      <c r="AL62" s="615"/>
      <c r="AM62" s="615"/>
      <c r="AN62" s="615"/>
      <c r="AO62" s="615"/>
      <c r="AP62" s="615"/>
      <c r="AQ62" s="615"/>
      <c r="AR62" s="615"/>
      <c r="AS62" s="615"/>
      <c r="AT62" s="615"/>
      <c r="AU62" s="615"/>
      <c r="AV62" s="615"/>
      <c r="AW62" s="615"/>
      <c r="AX62" s="503"/>
      <c r="AY62" s="620"/>
      <c r="AZ62" s="620"/>
      <c r="BA62" s="621"/>
      <c r="BB62" s="621">
        <v>385.42516680739641</v>
      </c>
      <c r="BC62" s="621">
        <v>407.68486316276756</v>
      </c>
      <c r="BD62" s="621">
        <v>487.68790138418171</v>
      </c>
      <c r="BE62" s="621">
        <v>555.55929305055611</v>
      </c>
      <c r="BF62" s="621">
        <v>587.88309138900627</v>
      </c>
      <c r="BG62" s="621">
        <v>622.40027552745289</v>
      </c>
      <c r="BH62" s="621">
        <v>680.36809726888373</v>
      </c>
      <c r="BI62" s="621">
        <v>538.42284300452502</v>
      </c>
      <c r="BJ62" s="622"/>
      <c r="BK62" s="618"/>
      <c r="BL62" s="509"/>
      <c r="BM62" s="509"/>
      <c r="BN62" s="509"/>
      <c r="BO62" s="509"/>
      <c r="BP62" s="509"/>
      <c r="BQ62" s="509"/>
      <c r="BR62" s="509"/>
      <c r="BS62" s="509"/>
      <c r="BT62" s="509"/>
      <c r="BU62" s="509"/>
      <c r="BV62" s="509"/>
      <c r="BW62" s="509"/>
      <c r="BX62" s="509"/>
      <c r="BY62" s="509"/>
      <c r="BZ62" s="509"/>
      <c r="CA62" s="509"/>
      <c r="CB62" s="509"/>
      <c r="CC62" s="509"/>
      <c r="CD62" s="509"/>
      <c r="CE62" s="509"/>
      <c r="CF62" s="509"/>
      <c r="CG62" s="509"/>
      <c r="CH62" s="509"/>
      <c r="CI62" s="509"/>
      <c r="CJ62" s="509"/>
      <c r="CK62" s="509"/>
    </row>
    <row r="63" spans="1:89" s="501" customFormat="1" ht="14">
      <c r="B63" s="502"/>
      <c r="C63" s="612" t="s">
        <v>3999</v>
      </c>
      <c r="D63" s="503" t="s">
        <v>4000</v>
      </c>
      <c r="E63" s="503"/>
      <c r="F63" s="524"/>
      <c r="G63" s="614"/>
      <c r="H63" s="615"/>
      <c r="I63" s="615"/>
      <c r="J63" s="615"/>
      <c r="K63" s="615"/>
      <c r="L63" s="615"/>
      <c r="M63" s="615"/>
      <c r="N63" s="615"/>
      <c r="O63" s="615"/>
      <c r="P63" s="615"/>
      <c r="Q63" s="615"/>
      <c r="R63" s="615"/>
      <c r="S63" s="615"/>
      <c r="T63" s="615"/>
      <c r="U63" s="615"/>
      <c r="V63" s="615"/>
      <c r="W63" s="615"/>
      <c r="X63" s="615"/>
      <c r="Y63" s="615"/>
      <c r="Z63" s="615"/>
      <c r="AA63" s="615"/>
      <c r="AB63" s="615"/>
      <c r="AC63" s="615"/>
      <c r="AD63" s="615"/>
      <c r="AE63" s="615"/>
      <c r="AF63" s="615"/>
      <c r="AG63" s="615"/>
      <c r="AH63" s="615"/>
      <c r="AI63" s="615"/>
      <c r="AJ63" s="615"/>
      <c r="AK63" s="615"/>
      <c r="AL63" s="615"/>
      <c r="AM63" s="615"/>
      <c r="AN63" s="615"/>
      <c r="AO63" s="615"/>
      <c r="AP63" s="615"/>
      <c r="AQ63" s="615"/>
      <c r="AR63" s="615"/>
      <c r="AS63" s="615"/>
      <c r="AT63" s="615"/>
      <c r="AU63" s="615"/>
      <c r="AV63" s="615"/>
      <c r="AW63" s="615"/>
      <c r="AX63" s="503"/>
      <c r="AY63" s="620"/>
      <c r="AZ63" s="620"/>
      <c r="BA63" s="621"/>
      <c r="BB63" s="621">
        <v>210.52119420170513</v>
      </c>
      <c r="BC63" s="621">
        <v>204.88592210780408</v>
      </c>
      <c r="BD63" s="621">
        <v>261.74325256811812</v>
      </c>
      <c r="BE63" s="621">
        <v>302.61035167548528</v>
      </c>
      <c r="BF63" s="621">
        <v>332.81851099935926</v>
      </c>
      <c r="BG63" s="621">
        <v>354.70385119161466</v>
      </c>
      <c r="BH63" s="621">
        <v>364.45505205336968</v>
      </c>
      <c r="BI63" s="621">
        <v>286.44596935024055</v>
      </c>
      <c r="BJ63" s="622"/>
      <c r="BK63" s="618"/>
      <c r="BL63" s="509"/>
      <c r="BM63" s="509"/>
      <c r="BN63" s="509"/>
      <c r="BO63" s="509"/>
      <c r="BP63" s="509"/>
      <c r="BQ63" s="509"/>
      <c r="BR63" s="509"/>
      <c r="BS63" s="509"/>
      <c r="BT63" s="509"/>
      <c r="BU63" s="509"/>
      <c r="BV63" s="509"/>
      <c r="BW63" s="509"/>
      <c r="BX63" s="509"/>
      <c r="BY63" s="509"/>
      <c r="BZ63" s="509"/>
      <c r="CA63" s="509"/>
      <c r="CB63" s="509"/>
      <c r="CC63" s="509"/>
      <c r="CD63" s="509"/>
      <c r="CE63" s="509"/>
      <c r="CF63" s="509"/>
      <c r="CG63" s="509"/>
      <c r="CH63" s="509"/>
      <c r="CI63" s="509"/>
      <c r="CJ63" s="509"/>
      <c r="CK63" s="509"/>
    </row>
    <row r="64" spans="1:89" s="501" customFormat="1" ht="14">
      <c r="B64" s="502"/>
      <c r="C64" s="612" t="s">
        <v>4001</v>
      </c>
      <c r="D64" s="503" t="s">
        <v>4002</v>
      </c>
      <c r="E64" s="503"/>
      <c r="F64" s="613"/>
      <c r="G64" s="614"/>
      <c r="H64" s="615"/>
      <c r="I64" s="615"/>
      <c r="J64" s="615"/>
      <c r="K64" s="615"/>
      <c r="L64" s="615"/>
      <c r="M64" s="615"/>
      <c r="N64" s="615"/>
      <c r="O64" s="615"/>
      <c r="P64" s="615"/>
      <c r="Q64" s="615"/>
      <c r="R64" s="615"/>
      <c r="S64" s="615"/>
      <c r="T64" s="615"/>
      <c r="U64" s="615"/>
      <c r="V64" s="615"/>
      <c r="W64" s="615"/>
      <c r="X64" s="615"/>
      <c r="Y64" s="615"/>
      <c r="Z64" s="615"/>
      <c r="AA64" s="615"/>
      <c r="AB64" s="615"/>
      <c r="AC64" s="615"/>
      <c r="AD64" s="615"/>
      <c r="AE64" s="615"/>
      <c r="AF64" s="615"/>
      <c r="AG64" s="615"/>
      <c r="AH64" s="615"/>
      <c r="AI64" s="615"/>
      <c r="AJ64" s="615"/>
      <c r="AK64" s="615"/>
      <c r="AL64" s="615"/>
      <c r="AM64" s="615"/>
      <c r="AN64" s="615"/>
      <c r="AO64" s="615"/>
      <c r="AP64" s="615"/>
      <c r="AQ64" s="615"/>
      <c r="AR64" s="615"/>
      <c r="AS64" s="615"/>
      <c r="AT64" s="615"/>
      <c r="AU64" s="615"/>
      <c r="AV64" s="615"/>
      <c r="AW64" s="615"/>
      <c r="AX64" s="503"/>
      <c r="AY64" s="620"/>
      <c r="AZ64" s="620"/>
      <c r="BA64" s="621"/>
      <c r="BB64" s="621">
        <v>26.278137256294009</v>
      </c>
      <c r="BC64" s="621">
        <v>29.885244918685888</v>
      </c>
      <c r="BD64" s="621">
        <v>45.445876366139288</v>
      </c>
      <c r="BE64" s="621">
        <v>61.184231950473723</v>
      </c>
      <c r="BF64" s="621">
        <v>80.049908008956066</v>
      </c>
      <c r="BG64" s="621">
        <v>102.53223373456892</v>
      </c>
      <c r="BH64" s="621">
        <v>129.0760833995158</v>
      </c>
      <c r="BI64" s="621">
        <v>54.533055675635204</v>
      </c>
      <c r="BJ64" s="622"/>
      <c r="BK64" s="618"/>
      <c r="BL64" s="509"/>
      <c r="BM64" s="509"/>
      <c r="BN64" s="509"/>
      <c r="BO64" s="509"/>
      <c r="BP64" s="509"/>
      <c r="BQ64" s="509"/>
      <c r="BR64" s="509"/>
      <c r="BS64" s="509"/>
      <c r="BT64" s="509"/>
      <c r="BU64" s="509"/>
      <c r="BV64" s="509"/>
      <c r="BW64" s="509"/>
      <c r="BX64" s="509"/>
      <c r="BY64" s="509"/>
      <c r="BZ64" s="509"/>
      <c r="CA64" s="509"/>
      <c r="CB64" s="509"/>
      <c r="CC64" s="509"/>
      <c r="CD64" s="509"/>
      <c r="CE64" s="509"/>
      <c r="CF64" s="509"/>
      <c r="CG64" s="509"/>
      <c r="CH64" s="509"/>
      <c r="CI64" s="509"/>
      <c r="CJ64" s="509"/>
      <c r="CK64" s="509"/>
    </row>
    <row r="65" spans="2:89" s="501" customFormat="1" ht="14">
      <c r="B65" s="502"/>
      <c r="C65" s="612"/>
      <c r="D65" s="600"/>
      <c r="E65" s="503"/>
      <c r="F65" s="614"/>
      <c r="G65" s="614"/>
      <c r="H65" s="615"/>
      <c r="I65" s="615"/>
      <c r="J65" s="615"/>
      <c r="K65" s="615"/>
      <c r="L65" s="615"/>
      <c r="M65" s="615"/>
      <c r="N65" s="615"/>
      <c r="O65" s="615"/>
      <c r="P65" s="615"/>
      <c r="Q65" s="615"/>
      <c r="R65" s="615"/>
      <c r="S65" s="615"/>
      <c r="T65" s="615"/>
      <c r="U65" s="615"/>
      <c r="V65" s="615"/>
      <c r="W65" s="615"/>
      <c r="X65" s="615"/>
      <c r="Y65" s="615"/>
      <c r="Z65" s="615"/>
      <c r="AA65" s="615"/>
      <c r="AB65" s="615"/>
      <c r="AC65" s="615"/>
      <c r="AD65" s="615"/>
      <c r="AE65" s="615"/>
      <c r="AF65" s="615"/>
      <c r="AG65" s="615"/>
      <c r="AH65" s="615"/>
      <c r="AI65" s="615"/>
      <c r="AJ65" s="615"/>
      <c r="AK65" s="615"/>
      <c r="AL65" s="615"/>
      <c r="AM65" s="615"/>
      <c r="AN65" s="615"/>
      <c r="AO65" s="615"/>
      <c r="AP65" s="615"/>
      <c r="AQ65" s="615"/>
      <c r="AR65" s="615"/>
      <c r="AS65" s="615"/>
      <c r="AT65" s="615"/>
      <c r="AU65" s="615"/>
      <c r="AV65" s="615"/>
      <c r="AW65" s="615"/>
      <c r="AX65" s="503"/>
      <c r="AY65" s="614"/>
      <c r="AZ65" s="614"/>
      <c r="BA65" s="619"/>
      <c r="BB65" s="619"/>
      <c r="BC65" s="619"/>
      <c r="BD65" s="619"/>
      <c r="BE65" s="619"/>
      <c r="BF65" s="619"/>
      <c r="BG65" s="619"/>
      <c r="BH65" s="619"/>
      <c r="BI65" s="619"/>
      <c r="BJ65" s="617"/>
      <c r="BK65" s="618"/>
      <c r="BL65" s="509"/>
      <c r="BM65" s="509"/>
      <c r="BN65" s="509"/>
      <c r="BO65" s="509"/>
      <c r="BP65" s="509"/>
      <c r="BQ65" s="509"/>
      <c r="BR65" s="509"/>
      <c r="BS65" s="509"/>
      <c r="BT65" s="509"/>
      <c r="BU65" s="509"/>
      <c r="BV65" s="509"/>
      <c r="BW65" s="509"/>
      <c r="BX65" s="509"/>
      <c r="BY65" s="509"/>
      <c r="BZ65" s="509"/>
      <c r="CA65" s="509"/>
      <c r="CB65" s="509"/>
      <c r="CC65" s="509"/>
      <c r="CD65" s="509"/>
      <c r="CE65" s="509"/>
      <c r="CF65" s="509"/>
      <c r="CG65" s="509"/>
      <c r="CH65" s="509"/>
      <c r="CI65" s="509"/>
      <c r="CJ65" s="509"/>
      <c r="CK65" s="509"/>
    </row>
    <row r="66" spans="2:89" s="501" customFormat="1" ht="18">
      <c r="B66" s="623"/>
      <c r="C66" s="600" t="s">
        <v>4003</v>
      </c>
      <c r="D66" s="600"/>
      <c r="E66" s="503"/>
      <c r="F66" s="614"/>
      <c r="G66" s="614"/>
      <c r="H66" s="615"/>
      <c r="I66" s="615"/>
      <c r="J66" s="615"/>
      <c r="K66" s="615"/>
      <c r="L66" s="615"/>
      <c r="M66" s="615"/>
      <c r="N66" s="615"/>
      <c r="O66" s="615"/>
      <c r="P66" s="615"/>
      <c r="Q66" s="615"/>
      <c r="R66" s="615"/>
      <c r="S66" s="615"/>
      <c r="T66" s="615"/>
      <c r="U66" s="615"/>
      <c r="V66" s="615"/>
      <c r="W66" s="615"/>
      <c r="X66" s="615"/>
      <c r="Y66" s="615"/>
      <c r="Z66" s="615"/>
      <c r="AA66" s="615"/>
      <c r="AB66" s="615"/>
      <c r="AC66" s="615"/>
      <c r="AD66" s="615"/>
      <c r="AE66" s="615"/>
      <c r="AF66" s="615"/>
      <c r="AG66" s="615"/>
      <c r="AH66" s="615"/>
      <c r="AI66" s="615"/>
      <c r="AJ66" s="615"/>
      <c r="AK66" s="615"/>
      <c r="AL66" s="615"/>
      <c r="AM66" s="615"/>
      <c r="AN66" s="615"/>
      <c r="AO66" s="615"/>
      <c r="AP66" s="615"/>
      <c r="AQ66" s="615"/>
      <c r="AR66" s="615"/>
      <c r="AS66" s="615"/>
      <c r="AT66" s="615"/>
      <c r="AU66" s="615"/>
      <c r="AV66" s="615"/>
      <c r="AW66" s="615"/>
      <c r="AX66" s="503"/>
      <c r="AY66" s="515"/>
      <c r="AZ66" s="515"/>
      <c r="BA66" s="516"/>
      <c r="BB66" s="516" t="s">
        <v>3859</v>
      </c>
      <c r="BC66" s="516">
        <v>2022</v>
      </c>
      <c r="BD66" s="516">
        <v>2027</v>
      </c>
      <c r="BE66" s="516">
        <v>2032</v>
      </c>
      <c r="BF66" s="516">
        <v>2037</v>
      </c>
      <c r="BG66" s="516">
        <v>2042</v>
      </c>
      <c r="BH66" s="516">
        <v>2047</v>
      </c>
      <c r="BI66" s="516" t="s">
        <v>3860</v>
      </c>
      <c r="BJ66" s="617"/>
      <c r="BK66" s="618"/>
      <c r="BL66" s="509"/>
      <c r="BM66" s="509"/>
      <c r="BN66" s="509"/>
      <c r="BO66" s="509"/>
      <c r="BP66" s="509"/>
      <c r="BQ66" s="509"/>
      <c r="BR66" s="509"/>
      <c r="BS66" s="509"/>
      <c r="BT66" s="509"/>
      <c r="BU66" s="509"/>
      <c r="BV66" s="509"/>
      <c r="BW66" s="509"/>
      <c r="BX66" s="509"/>
      <c r="BY66" s="509"/>
      <c r="BZ66" s="509"/>
      <c r="CA66" s="509"/>
      <c r="CB66" s="509"/>
      <c r="CC66" s="509"/>
      <c r="CD66" s="509"/>
      <c r="CE66" s="509"/>
      <c r="CF66" s="509"/>
      <c r="CG66" s="509"/>
      <c r="CH66" s="509"/>
      <c r="CI66" s="509"/>
      <c r="CJ66" s="509"/>
      <c r="CK66" s="509"/>
    </row>
    <row r="67" spans="2:89" s="501" customFormat="1" ht="18">
      <c r="B67" s="623"/>
      <c r="C67" s="612"/>
      <c r="D67" s="600" t="s">
        <v>3910</v>
      </c>
      <c r="E67" s="503"/>
      <c r="F67" s="614"/>
      <c r="G67" s="614"/>
      <c r="H67" s="615"/>
      <c r="I67" s="615"/>
      <c r="J67" s="615"/>
      <c r="K67" s="615"/>
      <c r="L67" s="615"/>
      <c r="M67" s="615"/>
      <c r="N67" s="615"/>
      <c r="O67" s="615"/>
      <c r="P67" s="615"/>
      <c r="Q67" s="615"/>
      <c r="R67" s="615"/>
      <c r="S67" s="615"/>
      <c r="T67" s="615"/>
      <c r="U67" s="615"/>
      <c r="V67" s="615"/>
      <c r="W67" s="615"/>
      <c r="X67" s="615"/>
      <c r="Y67" s="615"/>
      <c r="Z67" s="615"/>
      <c r="AA67" s="615"/>
      <c r="AB67" s="615"/>
      <c r="AC67" s="615"/>
      <c r="AD67" s="615"/>
      <c r="AE67" s="615"/>
      <c r="AF67" s="615"/>
      <c r="AG67" s="615"/>
      <c r="AH67" s="615"/>
      <c r="AI67" s="615"/>
      <c r="AJ67" s="615"/>
      <c r="AK67" s="615"/>
      <c r="AL67" s="615"/>
      <c r="AM67" s="615"/>
      <c r="AN67" s="615"/>
      <c r="AO67" s="615"/>
      <c r="AP67" s="615"/>
      <c r="AQ67" s="615"/>
      <c r="AR67" s="615"/>
      <c r="AS67" s="615"/>
      <c r="AT67" s="615"/>
      <c r="AU67" s="615"/>
      <c r="AV67" s="615"/>
      <c r="AW67" s="615"/>
      <c r="AX67" s="503"/>
      <c r="AY67" s="624"/>
      <c r="AZ67" s="624"/>
      <c r="BA67" s="625"/>
      <c r="BB67" s="625">
        <v>0.24546922176791378</v>
      </c>
      <c r="BC67" s="625">
        <v>0.2462560015604941</v>
      </c>
      <c r="BD67" s="625">
        <v>0.27328474165650962</v>
      </c>
      <c r="BE67" s="625">
        <v>0.27378308042127525</v>
      </c>
      <c r="BF67" s="625">
        <v>0.25701518079300401</v>
      </c>
      <c r="BG67" s="625">
        <v>0.24568143316713265</v>
      </c>
      <c r="BH67" s="625">
        <v>0.27454413587703896</v>
      </c>
      <c r="BI67" s="625">
        <v>0.27674016865592183</v>
      </c>
      <c r="BJ67" s="617"/>
      <c r="BK67" s="618"/>
      <c r="BL67" s="509"/>
      <c r="BM67" s="509"/>
      <c r="BN67" s="509"/>
      <c r="BO67" s="509"/>
      <c r="BP67" s="509"/>
      <c r="BQ67" s="509"/>
      <c r="BR67" s="509"/>
      <c r="BS67" s="509"/>
      <c r="BT67" s="509"/>
      <c r="BU67" s="509"/>
      <c r="BV67" s="509"/>
      <c r="BW67" s="509"/>
      <c r="BX67" s="509"/>
      <c r="BY67" s="509"/>
      <c r="BZ67" s="509"/>
      <c r="CA67" s="509"/>
      <c r="CB67" s="509"/>
      <c r="CC67" s="509"/>
      <c r="CD67" s="509"/>
      <c r="CE67" s="509"/>
      <c r="CF67" s="509"/>
      <c r="CG67" s="509"/>
      <c r="CH67" s="509"/>
      <c r="CI67" s="509"/>
      <c r="CJ67" s="509"/>
      <c r="CK67" s="509"/>
    </row>
    <row r="68" spans="2:89" s="501" customFormat="1" ht="18">
      <c r="B68" s="623"/>
      <c r="C68" s="612"/>
      <c r="D68" s="600" t="s">
        <v>3911</v>
      </c>
      <c r="E68" s="503"/>
      <c r="F68" s="614"/>
      <c r="G68" s="614"/>
      <c r="H68" s="615"/>
      <c r="I68" s="615"/>
      <c r="J68" s="615"/>
      <c r="K68" s="615"/>
      <c r="L68" s="615"/>
      <c r="M68" s="615"/>
      <c r="N68" s="615"/>
      <c r="O68" s="615"/>
      <c r="P68" s="615"/>
      <c r="Q68" s="615"/>
      <c r="R68" s="615"/>
      <c r="S68" s="615"/>
      <c r="T68" s="615"/>
      <c r="U68" s="615"/>
      <c r="V68" s="615"/>
      <c r="W68" s="615"/>
      <c r="X68" s="615"/>
      <c r="Y68" s="615"/>
      <c r="Z68" s="615"/>
      <c r="AA68" s="615"/>
      <c r="AB68" s="615"/>
      <c r="AC68" s="615"/>
      <c r="AD68" s="615"/>
      <c r="AE68" s="615"/>
      <c r="AF68" s="615"/>
      <c r="AG68" s="615"/>
      <c r="AH68" s="615"/>
      <c r="AI68" s="615"/>
      <c r="AJ68" s="615"/>
      <c r="AK68" s="615"/>
      <c r="AL68" s="615"/>
      <c r="AM68" s="615"/>
      <c r="AN68" s="615"/>
      <c r="AO68" s="615"/>
      <c r="AP68" s="615"/>
      <c r="AQ68" s="615"/>
      <c r="AR68" s="615"/>
      <c r="AS68" s="615"/>
      <c r="AT68" s="615"/>
      <c r="AU68" s="615"/>
      <c r="AV68" s="615"/>
      <c r="AW68" s="615"/>
      <c r="AX68" s="503"/>
      <c r="AY68" s="624"/>
      <c r="AZ68" s="624"/>
      <c r="BA68" s="625"/>
      <c r="BB68" s="625">
        <v>0.53398805336122157</v>
      </c>
      <c r="BC68" s="625">
        <v>0.5776484124216732</v>
      </c>
      <c r="BD68" s="625">
        <v>0.67884710653590308</v>
      </c>
      <c r="BE68" s="625">
        <v>0.74783439764440229</v>
      </c>
      <c r="BF68" s="625">
        <v>0.7697630714946202</v>
      </c>
      <c r="BG68" s="625">
        <v>0.78294341921310229</v>
      </c>
      <c r="BH68" s="625">
        <v>0.78591527335571798</v>
      </c>
      <c r="BI68" s="625">
        <v>0.73199393487711728</v>
      </c>
      <c r="BJ68" s="617"/>
      <c r="BK68" s="618"/>
      <c r="BL68" s="509"/>
      <c r="BM68" s="509"/>
      <c r="BN68" s="509"/>
      <c r="BO68" s="509"/>
      <c r="BP68" s="509"/>
      <c r="BQ68" s="509"/>
      <c r="BR68" s="509"/>
      <c r="BS68" s="509"/>
      <c r="BT68" s="509"/>
      <c r="BU68" s="509"/>
      <c r="BV68" s="509"/>
      <c r="BW68" s="509"/>
      <c r="BX68" s="509"/>
      <c r="BY68" s="509"/>
      <c r="BZ68" s="509"/>
      <c r="CA68" s="509"/>
      <c r="CB68" s="509"/>
      <c r="CC68" s="509"/>
      <c r="CD68" s="509"/>
      <c r="CE68" s="509"/>
      <c r="CF68" s="509"/>
      <c r="CG68" s="509"/>
      <c r="CH68" s="509"/>
      <c r="CI68" s="509"/>
      <c r="CJ68" s="509"/>
      <c r="CK68" s="509"/>
    </row>
    <row r="69" spans="2:89" s="501" customFormat="1" ht="18">
      <c r="B69" s="623"/>
      <c r="C69" s="612"/>
      <c r="D69" s="600" t="s">
        <v>3912</v>
      </c>
      <c r="E69" s="503"/>
      <c r="F69" s="614"/>
      <c r="G69" s="614"/>
      <c r="H69" s="615"/>
      <c r="I69" s="615"/>
      <c r="J69" s="615"/>
      <c r="K69" s="615"/>
      <c r="L69" s="615"/>
      <c r="M69" s="615"/>
      <c r="N69" s="615"/>
      <c r="O69" s="615"/>
      <c r="P69" s="615"/>
      <c r="Q69" s="615"/>
      <c r="R69" s="615"/>
      <c r="S69" s="615"/>
      <c r="T69" s="615"/>
      <c r="U69" s="615"/>
      <c r="V69" s="615"/>
      <c r="W69" s="615"/>
      <c r="X69" s="615"/>
      <c r="Y69" s="615"/>
      <c r="Z69" s="615"/>
      <c r="AA69" s="615"/>
      <c r="AB69" s="615"/>
      <c r="AC69" s="615"/>
      <c r="AD69" s="615"/>
      <c r="AE69" s="615"/>
      <c r="AF69" s="615"/>
      <c r="AG69" s="615"/>
      <c r="AH69" s="615"/>
      <c r="AI69" s="615"/>
      <c r="AJ69" s="615"/>
      <c r="AK69" s="615"/>
      <c r="AL69" s="615"/>
      <c r="AM69" s="615"/>
      <c r="AN69" s="615"/>
      <c r="AO69" s="615"/>
      <c r="AP69" s="615"/>
      <c r="AQ69" s="615"/>
      <c r="AR69" s="615"/>
      <c r="AS69" s="615"/>
      <c r="AT69" s="615"/>
      <c r="AU69" s="615"/>
      <c r="AV69" s="615"/>
      <c r="AW69" s="615"/>
      <c r="AX69" s="503"/>
      <c r="AY69" s="624"/>
      <c r="AZ69" s="626"/>
      <c r="BA69" s="625"/>
      <c r="BB69" s="625">
        <v>0.86530533235874252</v>
      </c>
      <c r="BC69" s="625">
        <v>0.87247339441682314</v>
      </c>
      <c r="BD69" s="625">
        <v>0.85159202734284301</v>
      </c>
      <c r="BE69" s="625">
        <v>0.86340524734040336</v>
      </c>
      <c r="BF69" s="625">
        <v>0.86826883158490975</v>
      </c>
      <c r="BG69" s="625">
        <v>0.86930002219397007</v>
      </c>
      <c r="BH69" s="625">
        <v>0.86611373878025344</v>
      </c>
      <c r="BI69" s="625">
        <v>0.85921164651632775</v>
      </c>
      <c r="BJ69" s="617"/>
      <c r="BK69" s="627"/>
      <c r="BL69" s="509"/>
      <c r="BM69" s="509"/>
      <c r="BN69" s="509"/>
      <c r="BO69" s="509"/>
      <c r="BP69" s="509"/>
      <c r="BQ69" s="509"/>
      <c r="BR69" s="509"/>
      <c r="BS69" s="509"/>
      <c r="BT69" s="509"/>
      <c r="BU69" s="509"/>
      <c r="BV69" s="509"/>
      <c r="BW69" s="509"/>
      <c r="BX69" s="509"/>
      <c r="BY69" s="509"/>
      <c r="BZ69" s="509"/>
      <c r="CA69" s="509"/>
      <c r="CB69" s="509"/>
      <c r="CC69" s="509"/>
      <c r="CD69" s="509"/>
      <c r="CE69" s="509"/>
      <c r="CF69" s="509"/>
      <c r="CG69" s="509"/>
      <c r="CH69" s="509"/>
      <c r="CI69" s="509"/>
      <c r="CJ69" s="509"/>
      <c r="CK69" s="509"/>
    </row>
    <row r="70" spans="2:89" s="501" customFormat="1" ht="18">
      <c r="B70" s="623"/>
      <c r="C70" s="612"/>
      <c r="D70" s="600" t="s">
        <v>524</v>
      </c>
      <c r="E70" s="503"/>
      <c r="F70" s="614"/>
      <c r="G70" s="614"/>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5"/>
      <c r="AP70" s="615"/>
      <c r="AQ70" s="615"/>
      <c r="AR70" s="615"/>
      <c r="AS70" s="615"/>
      <c r="AT70" s="615"/>
      <c r="AU70" s="615"/>
      <c r="AV70" s="615"/>
      <c r="AW70" s="615"/>
      <c r="AX70" s="503"/>
      <c r="AY70" s="624"/>
      <c r="AZ70" s="624"/>
      <c r="BA70" s="625"/>
      <c r="BB70" s="625">
        <v>0.569535898066307</v>
      </c>
      <c r="BC70" s="625">
        <v>0.55497620996442543</v>
      </c>
      <c r="BD70" s="625">
        <v>0.59190974868601165</v>
      </c>
      <c r="BE70" s="625">
        <v>0.60385991474854406</v>
      </c>
      <c r="BF70" s="625">
        <v>0.61002378425008263</v>
      </c>
      <c r="BG70" s="625">
        <v>0.61295250918864663</v>
      </c>
      <c r="BH70" s="625">
        <v>0.62016141036964478</v>
      </c>
      <c r="BI70" s="625">
        <v>0.59976053676176877</v>
      </c>
      <c r="BJ70" s="617"/>
      <c r="BK70" s="618"/>
      <c r="BL70" s="509"/>
      <c r="BM70" s="509"/>
      <c r="BN70" s="509"/>
      <c r="BO70" s="509"/>
      <c r="BP70" s="509"/>
      <c r="BQ70" s="509"/>
      <c r="BR70" s="509"/>
      <c r="BS70" s="509"/>
      <c r="BT70" s="509"/>
      <c r="BU70" s="509"/>
      <c r="BV70" s="509"/>
      <c r="BW70" s="509"/>
      <c r="BX70" s="509"/>
      <c r="BY70" s="509"/>
      <c r="BZ70" s="509"/>
      <c r="CA70" s="509"/>
      <c r="CB70" s="509"/>
      <c r="CC70" s="509"/>
      <c r="CD70" s="509"/>
      <c r="CE70" s="509"/>
      <c r="CF70" s="509"/>
      <c r="CG70" s="509"/>
      <c r="CH70" s="509"/>
      <c r="CI70" s="509"/>
      <c r="CJ70" s="509"/>
      <c r="CK70" s="509"/>
    </row>
    <row r="71" spans="2:89" s="501" customFormat="1" ht="18">
      <c r="B71" s="623"/>
      <c r="C71" s="612"/>
      <c r="D71" s="600" t="s">
        <v>3913</v>
      </c>
      <c r="E71" s="503"/>
      <c r="F71" s="614"/>
      <c r="G71" s="614"/>
      <c r="H71" s="615"/>
      <c r="I71" s="615"/>
      <c r="J71" s="615"/>
      <c r="K71" s="615"/>
      <c r="L71" s="615"/>
      <c r="M71" s="615"/>
      <c r="N71" s="615"/>
      <c r="O71" s="615"/>
      <c r="P71" s="615"/>
      <c r="Q71" s="615"/>
      <c r="R71" s="615"/>
      <c r="S71" s="615"/>
      <c r="T71" s="615"/>
      <c r="U71" s="615"/>
      <c r="V71" s="615"/>
      <c r="W71" s="615"/>
      <c r="X71" s="615"/>
      <c r="Y71" s="615"/>
      <c r="Z71" s="615"/>
      <c r="AA71" s="615"/>
      <c r="AB71" s="615"/>
      <c r="AC71" s="615"/>
      <c r="AD71" s="615"/>
      <c r="AE71" s="615"/>
      <c r="AF71" s="615"/>
      <c r="AG71" s="615"/>
      <c r="AH71" s="615"/>
      <c r="AI71" s="615"/>
      <c r="AJ71" s="615"/>
      <c r="AK71" s="615"/>
      <c r="AL71" s="615"/>
      <c r="AM71" s="615"/>
      <c r="AN71" s="615"/>
      <c r="AO71" s="615"/>
      <c r="AP71" s="615"/>
      <c r="AQ71" s="615"/>
      <c r="AR71" s="615"/>
      <c r="AS71" s="615"/>
      <c r="AT71" s="615"/>
      <c r="AU71" s="615"/>
      <c r="AV71" s="615"/>
      <c r="AW71" s="615"/>
      <c r="AX71" s="503"/>
      <c r="AY71" s="624"/>
      <c r="AZ71" s="624"/>
      <c r="BA71" s="625"/>
      <c r="BB71" s="625">
        <v>0.40738680680274431</v>
      </c>
      <c r="BC71" s="625">
        <v>0.40763839056497198</v>
      </c>
      <c r="BD71" s="625">
        <v>0.43714992364384359</v>
      </c>
      <c r="BE71" s="625">
        <v>0.44843297668092374</v>
      </c>
      <c r="BF71" s="625">
        <v>0.43542020405386844</v>
      </c>
      <c r="BG71" s="625">
        <v>0.41600523328234978</v>
      </c>
      <c r="BH71" s="625">
        <v>0.40127546426010569</v>
      </c>
      <c r="BI71" s="625">
        <v>0.44775111139100349</v>
      </c>
      <c r="BJ71" s="617"/>
      <c r="BK71" s="618"/>
      <c r="BL71" s="509"/>
      <c r="BM71" s="509"/>
      <c r="BN71" s="509"/>
      <c r="BO71" s="509"/>
      <c r="BP71" s="509"/>
      <c r="BQ71" s="509"/>
      <c r="BR71" s="509"/>
      <c r="BS71" s="509"/>
      <c r="BT71" s="509"/>
      <c r="BU71" s="509"/>
      <c r="BV71" s="509"/>
      <c r="BW71" s="509"/>
      <c r="BX71" s="509"/>
      <c r="BY71" s="509"/>
      <c r="BZ71" s="509"/>
      <c r="CA71" s="509"/>
      <c r="CB71" s="509"/>
      <c r="CC71" s="509"/>
      <c r="CD71" s="509"/>
      <c r="CE71" s="509"/>
      <c r="CF71" s="509"/>
      <c r="CG71" s="509"/>
      <c r="CH71" s="509"/>
      <c r="CI71" s="509"/>
      <c r="CJ71" s="509"/>
      <c r="CK71" s="509"/>
    </row>
    <row r="72" spans="2:89" s="501" customFormat="1" ht="18">
      <c r="B72" s="623"/>
      <c r="C72" s="612"/>
      <c r="D72" s="600"/>
      <c r="E72" s="503"/>
      <c r="F72" s="614"/>
      <c r="G72" s="614"/>
      <c r="H72" s="615"/>
      <c r="I72" s="615"/>
      <c r="J72" s="615"/>
      <c r="K72" s="615"/>
      <c r="L72" s="615"/>
      <c r="M72" s="615"/>
      <c r="N72" s="615"/>
      <c r="O72" s="615"/>
      <c r="P72" s="615"/>
      <c r="Q72" s="615"/>
      <c r="R72" s="615"/>
      <c r="S72" s="615"/>
      <c r="T72" s="615"/>
      <c r="U72" s="615"/>
      <c r="V72" s="615"/>
      <c r="W72" s="615"/>
      <c r="X72" s="615"/>
      <c r="Y72" s="615"/>
      <c r="Z72" s="615"/>
      <c r="AA72" s="615"/>
      <c r="AB72" s="615"/>
      <c r="AC72" s="615"/>
      <c r="AD72" s="615"/>
      <c r="AE72" s="615"/>
      <c r="AF72" s="615"/>
      <c r="AG72" s="615"/>
      <c r="AH72" s="615"/>
      <c r="AI72" s="615"/>
      <c r="AJ72" s="615"/>
      <c r="AK72" s="615"/>
      <c r="AL72" s="615"/>
      <c r="AM72" s="615"/>
      <c r="AN72" s="615"/>
      <c r="AO72" s="615"/>
      <c r="AP72" s="615"/>
      <c r="AQ72" s="615"/>
      <c r="AR72" s="615"/>
      <c r="AS72" s="615"/>
      <c r="AT72" s="615"/>
      <c r="AU72" s="615"/>
      <c r="AV72" s="615"/>
      <c r="AW72" s="615"/>
      <c r="AX72" s="503"/>
      <c r="AY72" s="624"/>
      <c r="AZ72" s="624"/>
      <c r="BA72" s="625"/>
      <c r="BB72" s="625"/>
      <c r="BC72" s="625"/>
      <c r="BD72" s="625"/>
      <c r="BE72" s="625"/>
      <c r="BF72" s="625"/>
      <c r="BG72" s="625"/>
      <c r="BH72" s="625"/>
      <c r="BI72" s="625"/>
      <c r="BJ72" s="617"/>
      <c r="BK72" s="618"/>
      <c r="BL72" s="509"/>
      <c r="BM72" s="509"/>
      <c r="BN72" s="509"/>
      <c r="BO72" s="509"/>
      <c r="BP72" s="509"/>
      <c r="BQ72" s="509"/>
      <c r="BR72" s="509"/>
      <c r="BS72" s="509"/>
      <c r="BT72" s="509"/>
      <c r="BU72" s="509"/>
      <c r="BV72" s="509"/>
      <c r="BW72" s="509"/>
      <c r="BX72" s="509"/>
      <c r="BY72" s="509"/>
      <c r="BZ72" s="509"/>
      <c r="CA72" s="509"/>
      <c r="CB72" s="509"/>
      <c r="CC72" s="509"/>
      <c r="CD72" s="509"/>
      <c r="CE72" s="509"/>
      <c r="CF72" s="509"/>
      <c r="CG72" s="509"/>
      <c r="CH72" s="509"/>
      <c r="CI72" s="509"/>
      <c r="CJ72" s="509"/>
      <c r="CK72" s="509"/>
    </row>
    <row r="73" spans="2:89" s="501" customFormat="1" ht="18">
      <c r="B73" s="623"/>
      <c r="C73" s="628" t="s">
        <v>4004</v>
      </c>
      <c r="D73" s="628"/>
      <c r="E73" s="629"/>
      <c r="F73" s="630"/>
      <c r="G73" s="630"/>
      <c r="H73" s="631"/>
      <c r="I73" s="631"/>
      <c r="J73" s="631"/>
      <c r="K73" s="631"/>
      <c r="L73" s="631"/>
      <c r="M73" s="631"/>
      <c r="N73" s="631"/>
      <c r="O73" s="631"/>
      <c r="P73" s="631"/>
      <c r="Q73" s="631"/>
      <c r="R73" s="631"/>
      <c r="S73" s="631"/>
      <c r="T73" s="631"/>
      <c r="U73" s="631"/>
      <c r="V73" s="631"/>
      <c r="W73" s="631"/>
      <c r="X73" s="631"/>
      <c r="Y73" s="631"/>
      <c r="Z73" s="631"/>
      <c r="AA73" s="631"/>
      <c r="AB73" s="631"/>
      <c r="AC73" s="631"/>
      <c r="AD73" s="631"/>
      <c r="AE73" s="631"/>
      <c r="AF73" s="631"/>
      <c r="AG73" s="631"/>
      <c r="AH73" s="631"/>
      <c r="AI73" s="631"/>
      <c r="AJ73" s="631"/>
      <c r="AK73" s="631"/>
      <c r="AL73" s="631"/>
      <c r="AM73" s="631"/>
      <c r="AN73" s="631"/>
      <c r="AO73" s="631"/>
      <c r="AP73" s="631"/>
      <c r="AQ73" s="631"/>
      <c r="AR73" s="631"/>
      <c r="AS73" s="631"/>
      <c r="AT73" s="631"/>
      <c r="AU73" s="631"/>
      <c r="AV73" s="631"/>
      <c r="AW73" s="631"/>
      <c r="AX73" s="629"/>
      <c r="AY73" s="632"/>
      <c r="AZ73" s="632"/>
      <c r="BA73" s="633"/>
      <c r="BB73" s="633" t="s">
        <v>3859</v>
      </c>
      <c r="BC73" s="633">
        <v>2022</v>
      </c>
      <c r="BD73" s="633">
        <v>2027</v>
      </c>
      <c r="BE73" s="633">
        <v>2032</v>
      </c>
      <c r="BF73" s="633">
        <v>2037</v>
      </c>
      <c r="BG73" s="633">
        <v>2042</v>
      </c>
      <c r="BH73" s="633">
        <v>2047</v>
      </c>
      <c r="BI73" s="633" t="s">
        <v>3860</v>
      </c>
      <c r="BJ73" s="617"/>
      <c r="BK73" s="618"/>
      <c r="BL73" s="509"/>
      <c r="BM73" s="509"/>
      <c r="BN73" s="509"/>
      <c r="BO73" s="509"/>
      <c r="BP73" s="509"/>
      <c r="BQ73" s="509"/>
      <c r="BR73" s="509"/>
      <c r="BS73" s="509"/>
      <c r="BT73" s="509"/>
      <c r="BU73" s="509"/>
      <c r="BV73" s="509"/>
      <c r="BW73" s="509"/>
      <c r="BX73" s="509"/>
      <c r="BY73" s="509"/>
      <c r="BZ73" s="509"/>
      <c r="CA73" s="509"/>
      <c r="CB73" s="509"/>
      <c r="CC73" s="509"/>
      <c r="CD73" s="509"/>
      <c r="CE73" s="509"/>
      <c r="CF73" s="509"/>
      <c r="CG73" s="509"/>
      <c r="CH73" s="509"/>
      <c r="CI73" s="509"/>
      <c r="CJ73" s="509"/>
      <c r="CK73" s="509"/>
    </row>
    <row r="74" spans="2:89" s="501" customFormat="1" ht="18">
      <c r="B74" s="623"/>
      <c r="C74" s="634"/>
      <c r="D74" s="628" t="s">
        <v>3910</v>
      </c>
      <c r="E74" s="629"/>
      <c r="F74" s="630"/>
      <c r="G74" s="630"/>
      <c r="H74" s="631"/>
      <c r="I74" s="631"/>
      <c r="J74" s="631"/>
      <c r="K74" s="631"/>
      <c r="L74" s="631"/>
      <c r="M74" s="631"/>
      <c r="N74" s="631"/>
      <c r="O74" s="631"/>
      <c r="P74" s="631"/>
      <c r="Q74" s="631"/>
      <c r="R74" s="631"/>
      <c r="S74" s="631"/>
      <c r="T74" s="631"/>
      <c r="U74" s="631"/>
      <c r="V74" s="631"/>
      <c r="W74" s="631"/>
      <c r="X74" s="631"/>
      <c r="Y74" s="631"/>
      <c r="Z74" s="631"/>
      <c r="AA74" s="631"/>
      <c r="AB74" s="631"/>
      <c r="AC74" s="631"/>
      <c r="AD74" s="631"/>
      <c r="AE74" s="631"/>
      <c r="AF74" s="631"/>
      <c r="AG74" s="631"/>
      <c r="AH74" s="631"/>
      <c r="AI74" s="631"/>
      <c r="AJ74" s="631"/>
      <c r="AK74" s="631"/>
      <c r="AL74" s="631"/>
      <c r="AM74" s="631"/>
      <c r="AN74" s="631"/>
      <c r="AO74" s="631"/>
      <c r="AP74" s="631"/>
      <c r="AQ74" s="631"/>
      <c r="AR74" s="631"/>
      <c r="AS74" s="631"/>
      <c r="AT74" s="631"/>
      <c r="AU74" s="631"/>
      <c r="AV74" s="631"/>
      <c r="AW74" s="631"/>
      <c r="AX74" s="629"/>
      <c r="AY74" s="635"/>
      <c r="AZ74" s="635"/>
      <c r="BA74" s="636"/>
      <c r="BB74" s="636">
        <v>0.24546922176791378</v>
      </c>
      <c r="BC74" s="636">
        <v>0.2462560015604941</v>
      </c>
      <c r="BD74" s="636">
        <v>0.27328474165650962</v>
      </c>
      <c r="BE74" s="636">
        <v>0.27378308042127525</v>
      </c>
      <c r="BF74" s="636">
        <v>0.25701518079300401</v>
      </c>
      <c r="BG74" s="636">
        <v>0.24568143316713265</v>
      </c>
      <c r="BH74" s="636">
        <v>0.27454413587703896</v>
      </c>
      <c r="BI74" s="636">
        <v>0.27674016865592183</v>
      </c>
      <c r="BJ74" s="617"/>
      <c r="BK74" s="618"/>
      <c r="BL74" s="509"/>
      <c r="BM74" s="509"/>
      <c r="BN74" s="509"/>
      <c r="BO74" s="509"/>
      <c r="BP74" s="509"/>
      <c r="BQ74" s="509"/>
      <c r="BR74" s="509"/>
      <c r="BS74" s="509"/>
      <c r="BT74" s="509"/>
      <c r="BU74" s="509"/>
      <c r="BV74" s="509"/>
      <c r="BW74" s="509"/>
      <c r="BX74" s="509"/>
      <c r="BY74" s="509"/>
      <c r="BZ74" s="509"/>
      <c r="CA74" s="509"/>
      <c r="CB74" s="509"/>
      <c r="CC74" s="509"/>
      <c r="CD74" s="509"/>
      <c r="CE74" s="509"/>
      <c r="CF74" s="509"/>
      <c r="CG74" s="509"/>
      <c r="CH74" s="509"/>
      <c r="CI74" s="509"/>
      <c r="CJ74" s="509"/>
      <c r="CK74" s="509"/>
    </row>
    <row r="75" spans="2:89" s="501" customFormat="1" ht="18">
      <c r="B75" s="623"/>
      <c r="C75" s="634"/>
      <c r="D75" s="628" t="s">
        <v>3912</v>
      </c>
      <c r="E75" s="629"/>
      <c r="F75" s="630"/>
      <c r="G75" s="630"/>
      <c r="H75" s="631"/>
      <c r="I75" s="631"/>
      <c r="J75" s="631"/>
      <c r="K75" s="631"/>
      <c r="L75" s="631"/>
      <c r="M75" s="631"/>
      <c r="N75" s="631"/>
      <c r="O75" s="631"/>
      <c r="P75" s="631"/>
      <c r="Q75" s="631"/>
      <c r="R75" s="631"/>
      <c r="S75" s="631"/>
      <c r="T75" s="631"/>
      <c r="U75" s="631"/>
      <c r="V75" s="631"/>
      <c r="W75" s="631"/>
      <c r="X75" s="631"/>
      <c r="Y75" s="631"/>
      <c r="Z75" s="631"/>
      <c r="AA75" s="631"/>
      <c r="AB75" s="631"/>
      <c r="AC75" s="631"/>
      <c r="AD75" s="631"/>
      <c r="AE75" s="631"/>
      <c r="AF75" s="631"/>
      <c r="AG75" s="631"/>
      <c r="AH75" s="631"/>
      <c r="AI75" s="631"/>
      <c r="AJ75" s="631"/>
      <c r="AK75" s="631"/>
      <c r="AL75" s="631"/>
      <c r="AM75" s="631"/>
      <c r="AN75" s="631"/>
      <c r="AO75" s="631"/>
      <c r="AP75" s="631"/>
      <c r="AQ75" s="631"/>
      <c r="AR75" s="631"/>
      <c r="AS75" s="631"/>
      <c r="AT75" s="631"/>
      <c r="AU75" s="631"/>
      <c r="AV75" s="631"/>
      <c r="AW75" s="631"/>
      <c r="AX75" s="629"/>
      <c r="AY75" s="635"/>
      <c r="AZ75" s="637"/>
      <c r="BA75" s="636"/>
      <c r="BB75" s="636">
        <v>0.85884319847082025</v>
      </c>
      <c r="BC75" s="636">
        <v>0.86560612752720634</v>
      </c>
      <c r="BD75" s="636">
        <v>0.84378992469768332</v>
      </c>
      <c r="BE75" s="636">
        <v>0.85565858127422645</v>
      </c>
      <c r="BF75" s="636">
        <v>0.85979694081769231</v>
      </c>
      <c r="BG75" s="636">
        <v>0.85946345497041088</v>
      </c>
      <c r="BH75" s="636">
        <v>0.85388277525734479</v>
      </c>
      <c r="BI75" s="636">
        <v>0.8514899141872837</v>
      </c>
      <c r="BJ75" s="617"/>
      <c r="BK75" s="618"/>
      <c r="BL75" s="509"/>
      <c r="BM75" s="509"/>
      <c r="BN75" s="509"/>
      <c r="BO75" s="509"/>
      <c r="BP75" s="509"/>
      <c r="BQ75" s="509"/>
      <c r="BR75" s="509"/>
      <c r="BS75" s="509"/>
      <c r="BT75" s="509"/>
      <c r="BU75" s="509"/>
      <c r="BV75" s="509"/>
      <c r="BW75" s="509"/>
      <c r="BX75" s="509"/>
      <c r="BY75" s="509"/>
      <c r="BZ75" s="509"/>
      <c r="CA75" s="509"/>
      <c r="CB75" s="509"/>
      <c r="CC75" s="509"/>
      <c r="CD75" s="509"/>
      <c r="CE75" s="509"/>
      <c r="CF75" s="509"/>
      <c r="CG75" s="509"/>
      <c r="CH75" s="509"/>
      <c r="CI75" s="509"/>
      <c r="CJ75" s="509"/>
      <c r="CK75" s="509"/>
    </row>
    <row r="76" spans="2:89" s="501" customFormat="1" ht="18">
      <c r="B76" s="623"/>
      <c r="C76" s="634"/>
      <c r="D76" s="628" t="s">
        <v>524</v>
      </c>
      <c r="E76" s="629"/>
      <c r="F76" s="630"/>
      <c r="G76" s="630"/>
      <c r="H76" s="631"/>
      <c r="I76" s="631"/>
      <c r="J76" s="631"/>
      <c r="K76" s="631"/>
      <c r="L76" s="631"/>
      <c r="M76" s="631"/>
      <c r="N76" s="631"/>
      <c r="O76" s="631"/>
      <c r="P76" s="631"/>
      <c r="Q76" s="631"/>
      <c r="R76" s="631"/>
      <c r="S76" s="631"/>
      <c r="T76" s="631"/>
      <c r="U76" s="631"/>
      <c r="V76" s="631"/>
      <c r="W76" s="631"/>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29"/>
      <c r="AY76" s="635"/>
      <c r="AZ76" s="635"/>
      <c r="BA76" s="636"/>
      <c r="BB76" s="636">
        <v>0.31828852125244339</v>
      </c>
      <c r="BC76" s="636">
        <v>0.29243529707100968</v>
      </c>
      <c r="BD76" s="636">
        <v>0.39351587094662804</v>
      </c>
      <c r="BE76" s="636">
        <v>0.43904054129479725</v>
      </c>
      <c r="BF76" s="636">
        <v>0.4676667404216106</v>
      </c>
      <c r="BG76" s="636">
        <v>0.48594407427969782</v>
      </c>
      <c r="BH76" s="636">
        <v>0.50558370699094157</v>
      </c>
      <c r="BI76" s="636">
        <v>0.42312829201954955</v>
      </c>
      <c r="BJ76" s="617"/>
      <c r="BK76" s="618"/>
      <c r="BL76" s="509"/>
      <c r="BM76" s="509"/>
      <c r="BN76" s="509"/>
      <c r="BO76" s="509"/>
      <c r="BP76" s="509"/>
      <c r="BQ76" s="509"/>
      <c r="BR76" s="509"/>
      <c r="BS76" s="509"/>
      <c r="BT76" s="509"/>
      <c r="BU76" s="509"/>
      <c r="BV76" s="509"/>
      <c r="BW76" s="509"/>
      <c r="BX76" s="509"/>
      <c r="BY76" s="509"/>
      <c r="BZ76" s="509"/>
      <c r="CA76" s="509"/>
      <c r="CB76" s="509"/>
      <c r="CC76" s="509"/>
      <c r="CD76" s="509"/>
      <c r="CE76" s="509"/>
      <c r="CF76" s="509"/>
      <c r="CG76" s="509"/>
      <c r="CH76" s="509"/>
      <c r="CI76" s="509"/>
      <c r="CJ76" s="509"/>
      <c r="CK76" s="509"/>
    </row>
    <row r="77" spans="2:89" s="501" customFormat="1" ht="18">
      <c r="B77" s="623"/>
      <c r="C77" s="612"/>
      <c r="D77" s="600"/>
      <c r="E77" s="503"/>
      <c r="F77" s="614"/>
      <c r="G77" s="614"/>
      <c r="H77" s="615"/>
      <c r="I77" s="615"/>
      <c r="J77" s="615"/>
      <c r="K77" s="615"/>
      <c r="L77" s="615"/>
      <c r="M77" s="615"/>
      <c r="N77" s="615"/>
      <c r="O77" s="615"/>
      <c r="P77" s="615"/>
      <c r="Q77" s="615"/>
      <c r="R77" s="615"/>
      <c r="S77" s="615"/>
      <c r="T77" s="615"/>
      <c r="U77" s="615"/>
      <c r="V77" s="615"/>
      <c r="W77" s="615"/>
      <c r="X77" s="615"/>
      <c r="Y77" s="615"/>
      <c r="Z77" s="615"/>
      <c r="AA77" s="615"/>
      <c r="AB77" s="615"/>
      <c r="AC77" s="615"/>
      <c r="AD77" s="615"/>
      <c r="AE77" s="615"/>
      <c r="AF77" s="615"/>
      <c r="AG77" s="615"/>
      <c r="AH77" s="615"/>
      <c r="AI77" s="615"/>
      <c r="AJ77" s="615"/>
      <c r="AK77" s="615"/>
      <c r="AL77" s="615"/>
      <c r="AM77" s="615"/>
      <c r="AN77" s="615"/>
      <c r="AO77" s="615"/>
      <c r="AP77" s="615"/>
      <c r="AQ77" s="615"/>
      <c r="AR77" s="615"/>
      <c r="AS77" s="615"/>
      <c r="AT77" s="615"/>
      <c r="AU77" s="615"/>
      <c r="AV77" s="615"/>
      <c r="AW77" s="615"/>
      <c r="AX77" s="503"/>
      <c r="AY77" s="624"/>
      <c r="AZ77" s="624"/>
      <c r="BA77" s="625"/>
      <c r="BB77" s="625"/>
      <c r="BC77" s="625"/>
      <c r="BD77" s="625"/>
      <c r="BE77" s="625"/>
      <c r="BF77" s="625"/>
      <c r="BG77" s="625"/>
      <c r="BH77" s="625"/>
      <c r="BI77" s="625"/>
      <c r="BJ77" s="617"/>
      <c r="BK77" s="618"/>
      <c r="BL77" s="509"/>
      <c r="BM77" s="509"/>
      <c r="BN77" s="509"/>
      <c r="BO77" s="509"/>
      <c r="BP77" s="509"/>
      <c r="BQ77" s="509"/>
      <c r="BR77" s="509"/>
      <c r="BS77" s="509"/>
      <c r="BT77" s="509"/>
      <c r="BU77" s="509"/>
      <c r="BV77" s="509"/>
      <c r="BW77" s="509"/>
      <c r="BX77" s="509"/>
      <c r="BY77" s="509"/>
      <c r="BZ77" s="509"/>
      <c r="CA77" s="509"/>
      <c r="CB77" s="509"/>
      <c r="CC77" s="509"/>
      <c r="CD77" s="509"/>
      <c r="CE77" s="509"/>
      <c r="CF77" s="509"/>
      <c r="CG77" s="509"/>
      <c r="CH77" s="509"/>
      <c r="CI77" s="509"/>
      <c r="CJ77" s="509"/>
      <c r="CK77" s="509"/>
    </row>
    <row r="78" spans="2:89" s="501" customFormat="1" ht="18">
      <c r="B78" s="623"/>
      <c r="C78" s="612"/>
      <c r="D78" s="600"/>
      <c r="E78" s="503"/>
      <c r="F78" s="614"/>
      <c r="G78" s="614"/>
      <c r="H78" s="615"/>
      <c r="I78" s="615"/>
      <c r="J78" s="615"/>
      <c r="K78" s="615"/>
      <c r="L78" s="615"/>
      <c r="M78" s="615"/>
      <c r="N78" s="615"/>
      <c r="O78" s="615"/>
      <c r="P78" s="615"/>
      <c r="Q78" s="615"/>
      <c r="R78" s="615"/>
      <c r="S78" s="615"/>
      <c r="T78" s="615"/>
      <c r="U78" s="615"/>
      <c r="V78" s="615"/>
      <c r="W78" s="615"/>
      <c r="X78" s="615"/>
      <c r="Y78" s="615"/>
      <c r="Z78" s="615"/>
      <c r="AA78" s="615"/>
      <c r="AB78" s="615"/>
      <c r="AC78" s="615"/>
      <c r="AD78" s="615"/>
      <c r="AE78" s="615"/>
      <c r="AF78" s="615"/>
      <c r="AG78" s="615"/>
      <c r="AH78" s="615"/>
      <c r="AI78" s="615"/>
      <c r="AJ78" s="615"/>
      <c r="AK78" s="615"/>
      <c r="AL78" s="615"/>
      <c r="AM78" s="615"/>
      <c r="AN78" s="615"/>
      <c r="AO78" s="615"/>
      <c r="AP78" s="615"/>
      <c r="AQ78" s="615"/>
      <c r="AR78" s="615"/>
      <c r="AS78" s="615"/>
      <c r="AT78" s="615"/>
      <c r="AU78" s="615"/>
      <c r="AV78" s="615"/>
      <c r="AW78" s="615"/>
      <c r="AX78" s="503"/>
      <c r="AY78" s="624"/>
      <c r="AZ78" s="624"/>
      <c r="BA78" s="625"/>
      <c r="BB78" s="625"/>
      <c r="BC78" s="625"/>
      <c r="BD78" s="625"/>
      <c r="BE78" s="625"/>
      <c r="BF78" s="625"/>
      <c r="BG78" s="625"/>
      <c r="BH78" s="625"/>
      <c r="BI78" s="625"/>
      <c r="BJ78" s="617"/>
      <c r="BK78" s="618"/>
      <c r="BL78" s="509"/>
      <c r="BM78" s="509"/>
      <c r="BN78" s="509"/>
      <c r="BO78" s="509"/>
      <c r="BP78" s="509"/>
      <c r="BQ78" s="509"/>
      <c r="BR78" s="509"/>
      <c r="BS78" s="509"/>
      <c r="BT78" s="509"/>
      <c r="BU78" s="509"/>
      <c r="BV78" s="509"/>
      <c r="BW78" s="509"/>
      <c r="BX78" s="509"/>
      <c r="BY78" s="509"/>
      <c r="BZ78" s="509"/>
      <c r="CA78" s="509"/>
      <c r="CB78" s="509"/>
      <c r="CC78" s="509"/>
      <c r="CD78" s="509"/>
      <c r="CE78" s="509"/>
      <c r="CF78" s="509"/>
      <c r="CG78" s="509"/>
      <c r="CH78" s="509"/>
      <c r="CI78" s="509"/>
      <c r="CJ78" s="509"/>
      <c r="CK78" s="509"/>
    </row>
    <row r="79" spans="2:89" ht="18">
      <c r="B79" s="623"/>
      <c r="C79" s="550" t="s">
        <v>4005</v>
      </c>
      <c r="D79" s="503"/>
      <c r="E79" s="503"/>
      <c r="F79" s="503"/>
      <c r="G79" s="503"/>
      <c r="H79" s="504"/>
      <c r="I79" s="504"/>
      <c r="J79" s="504"/>
      <c r="K79" s="504"/>
      <c r="L79" s="504"/>
      <c r="M79" s="504"/>
      <c r="N79" s="504"/>
      <c r="O79" s="504"/>
      <c r="P79" s="504"/>
      <c r="Q79" s="504"/>
      <c r="R79" s="504"/>
      <c r="S79" s="504"/>
      <c r="T79" s="504"/>
      <c r="U79" s="504"/>
      <c r="V79" s="504"/>
      <c r="W79" s="504"/>
      <c r="X79" s="504"/>
      <c r="Y79" s="504"/>
      <c r="Z79" s="504"/>
      <c r="AA79" s="504"/>
      <c r="AB79" s="504"/>
      <c r="AC79" s="504"/>
      <c r="AD79" s="504"/>
      <c r="AE79" s="504"/>
      <c r="AF79" s="504"/>
      <c r="AG79" s="504"/>
      <c r="AH79" s="504"/>
      <c r="AI79" s="504"/>
      <c r="AJ79" s="504"/>
      <c r="AK79" s="504"/>
      <c r="AL79" s="504"/>
      <c r="AM79" s="504"/>
      <c r="AN79" s="504"/>
      <c r="AO79" s="504"/>
      <c r="AP79" s="504"/>
      <c r="AQ79" s="504"/>
      <c r="AR79" s="504"/>
      <c r="AS79" s="504"/>
      <c r="AT79" s="504"/>
      <c r="AU79" s="504"/>
      <c r="AV79" s="504"/>
      <c r="AW79" s="504"/>
      <c r="AX79" s="503"/>
      <c r="AY79" s="584"/>
      <c r="AZ79" s="584"/>
      <c r="BA79" s="579"/>
      <c r="BB79" s="579"/>
      <c r="BC79" s="579"/>
      <c r="BD79" s="579"/>
      <c r="BE79" s="579"/>
      <c r="BF79" s="579"/>
      <c r="BG79" s="579"/>
      <c r="BH79" s="579"/>
      <c r="BI79" s="579"/>
      <c r="BJ79" s="546"/>
      <c r="BK79" s="547"/>
    </row>
    <row r="80" spans="2:89" ht="14">
      <c r="B80" s="502"/>
      <c r="C80" s="503"/>
      <c r="D80" s="503"/>
      <c r="E80" s="503"/>
      <c r="F80" s="503"/>
      <c r="G80" s="503"/>
      <c r="H80" s="504"/>
      <c r="I80" s="504"/>
      <c r="J80" s="504"/>
      <c r="K80" s="504"/>
      <c r="L80" s="504"/>
      <c r="M80" s="504"/>
      <c r="N80" s="504"/>
      <c r="O80" s="504"/>
      <c r="P80" s="504"/>
      <c r="Q80" s="504"/>
      <c r="R80" s="504"/>
      <c r="S80" s="504"/>
      <c r="T80" s="504"/>
      <c r="U80" s="504"/>
      <c r="V80" s="504"/>
      <c r="W80" s="504"/>
      <c r="X80" s="504"/>
      <c r="Y80" s="504"/>
      <c r="Z80" s="504"/>
      <c r="AA80" s="504"/>
      <c r="AB80" s="504"/>
      <c r="AC80" s="504"/>
      <c r="AD80" s="504"/>
      <c r="AE80" s="504"/>
      <c r="AF80" s="504"/>
      <c r="AG80" s="504"/>
      <c r="AH80" s="504"/>
      <c r="AI80" s="504"/>
      <c r="AJ80" s="504"/>
      <c r="AK80" s="504"/>
      <c r="AL80" s="504"/>
      <c r="AM80" s="504"/>
      <c r="AN80" s="504"/>
      <c r="AO80" s="504"/>
      <c r="AP80" s="504"/>
      <c r="AQ80" s="504"/>
      <c r="AR80" s="504"/>
      <c r="AS80" s="504"/>
      <c r="AT80" s="504"/>
      <c r="AU80" s="504"/>
      <c r="AV80" s="504"/>
      <c r="AW80" s="504"/>
      <c r="AX80" s="503"/>
      <c r="AY80" s="584"/>
      <c r="AZ80" s="584"/>
      <c r="BA80" s="579"/>
      <c r="BB80" s="579"/>
      <c r="BC80" s="579"/>
      <c r="BD80" s="579"/>
      <c r="BE80" s="579"/>
      <c r="BF80" s="579"/>
      <c r="BG80" s="579"/>
      <c r="BH80" s="579"/>
      <c r="BI80" s="579"/>
      <c r="BJ80" s="546"/>
      <c r="BK80" s="589"/>
    </row>
    <row r="81" spans="2:89">
      <c r="B81" s="502"/>
      <c r="C81" s="583" t="s">
        <v>4006</v>
      </c>
      <c r="D81" s="503" t="s">
        <v>4007</v>
      </c>
      <c r="E81" s="503"/>
      <c r="F81" s="524"/>
      <c r="G81" s="524"/>
      <c r="H81" s="610"/>
      <c r="I81" s="610"/>
      <c r="J81" s="610"/>
      <c r="K81" s="610"/>
      <c r="L81" s="610"/>
      <c r="M81" s="610"/>
      <c r="N81" s="610"/>
      <c r="O81" s="610"/>
      <c r="P81" s="610"/>
      <c r="Q81" s="610"/>
      <c r="R81" s="610"/>
      <c r="S81" s="610"/>
      <c r="T81" s="610"/>
      <c r="U81" s="610"/>
      <c r="V81" s="610"/>
      <c r="W81" s="610"/>
      <c r="X81" s="610"/>
      <c r="Y81" s="610"/>
      <c r="Z81" s="610"/>
      <c r="AA81" s="610"/>
      <c r="AB81" s="610"/>
      <c r="AC81" s="610"/>
      <c r="AD81" s="610"/>
      <c r="AE81" s="610"/>
      <c r="AF81" s="610"/>
      <c r="AG81" s="610"/>
      <c r="AH81" s="610"/>
      <c r="AI81" s="610"/>
      <c r="AJ81" s="610"/>
      <c r="AK81" s="610"/>
      <c r="AL81" s="610"/>
      <c r="AM81" s="610"/>
      <c r="AN81" s="610"/>
      <c r="AO81" s="610"/>
      <c r="AP81" s="610"/>
      <c r="AQ81" s="610"/>
      <c r="AR81" s="610"/>
      <c r="AS81" s="610"/>
      <c r="AT81" s="610"/>
      <c r="AU81" s="610"/>
      <c r="AV81" s="610"/>
      <c r="AW81" s="610"/>
      <c r="AX81" s="503"/>
      <c r="AY81" s="584"/>
      <c r="AZ81" s="584"/>
      <c r="BA81" s="579"/>
      <c r="BB81" s="579">
        <v>0</v>
      </c>
      <c r="BC81" s="579">
        <v>0</v>
      </c>
      <c r="BD81" s="579">
        <v>0</v>
      </c>
      <c r="BE81" s="579">
        <v>0</v>
      </c>
      <c r="BF81" s="579">
        <v>0</v>
      </c>
      <c r="BG81" s="579">
        <v>0</v>
      </c>
      <c r="BH81" s="579">
        <v>0</v>
      </c>
      <c r="BI81" s="579">
        <v>0</v>
      </c>
      <c r="BJ81" s="546"/>
      <c r="BK81" s="589"/>
    </row>
    <row r="82" spans="2:89">
      <c r="B82" s="502"/>
      <c r="C82" s="583" t="s">
        <v>4008</v>
      </c>
      <c r="D82" s="503" t="s">
        <v>3870</v>
      </c>
      <c r="E82" s="503"/>
      <c r="F82" s="524"/>
      <c r="G82" s="524"/>
      <c r="H82" s="610"/>
      <c r="I82" s="610"/>
      <c r="J82" s="610"/>
      <c r="K82" s="610"/>
      <c r="L82" s="610"/>
      <c r="M82" s="610"/>
      <c r="N82" s="610"/>
      <c r="O82" s="610"/>
      <c r="P82" s="610"/>
      <c r="Q82" s="610"/>
      <c r="R82" s="610"/>
      <c r="S82" s="610"/>
      <c r="T82" s="610"/>
      <c r="U82" s="610"/>
      <c r="V82" s="610"/>
      <c r="W82" s="610"/>
      <c r="X82" s="610"/>
      <c r="Y82" s="610"/>
      <c r="Z82" s="610"/>
      <c r="AA82" s="610"/>
      <c r="AB82" s="610"/>
      <c r="AC82" s="610"/>
      <c r="AD82" s="610"/>
      <c r="AE82" s="610"/>
      <c r="AF82" s="610"/>
      <c r="AG82" s="610"/>
      <c r="AH82" s="610"/>
      <c r="AI82" s="610"/>
      <c r="AJ82" s="610"/>
      <c r="AK82" s="610"/>
      <c r="AL82" s="610"/>
      <c r="AM82" s="610"/>
      <c r="AN82" s="610"/>
      <c r="AO82" s="610"/>
      <c r="AP82" s="610"/>
      <c r="AQ82" s="610"/>
      <c r="AR82" s="610"/>
      <c r="AS82" s="610"/>
      <c r="AT82" s="610"/>
      <c r="AU82" s="610"/>
      <c r="AV82" s="610"/>
      <c r="AW82" s="610"/>
      <c r="AX82" s="503"/>
      <c r="AY82" s="584"/>
      <c r="AZ82" s="584"/>
      <c r="BA82" s="579"/>
      <c r="BB82" s="579">
        <v>0</v>
      </c>
      <c r="BC82" s="579">
        <v>0</v>
      </c>
      <c r="BD82" s="579">
        <v>0</v>
      </c>
      <c r="BE82" s="579">
        <v>0</v>
      </c>
      <c r="BF82" s="579">
        <v>0</v>
      </c>
      <c r="BG82" s="579">
        <v>0</v>
      </c>
      <c r="BH82" s="579">
        <v>0</v>
      </c>
      <c r="BI82" s="579">
        <v>0</v>
      </c>
      <c r="BJ82" s="546"/>
      <c r="BK82" s="589"/>
    </row>
    <row r="83" spans="2:89">
      <c r="B83" s="502"/>
      <c r="C83" s="583" t="s">
        <v>4009</v>
      </c>
      <c r="D83" s="503" t="s">
        <v>4010</v>
      </c>
      <c r="E83" s="503"/>
      <c r="F83" s="524"/>
      <c r="G83" s="524"/>
      <c r="H83" s="610"/>
      <c r="I83" s="610"/>
      <c r="J83" s="610"/>
      <c r="K83" s="610"/>
      <c r="L83" s="610"/>
      <c r="M83" s="610"/>
      <c r="N83" s="610"/>
      <c r="O83" s="610"/>
      <c r="P83" s="610"/>
      <c r="Q83" s="610"/>
      <c r="R83" s="610"/>
      <c r="S83" s="610"/>
      <c r="T83" s="610"/>
      <c r="U83" s="610"/>
      <c r="V83" s="610"/>
      <c r="W83" s="610"/>
      <c r="X83" s="610"/>
      <c r="Y83" s="610"/>
      <c r="Z83" s="610"/>
      <c r="AA83" s="610"/>
      <c r="AB83" s="610"/>
      <c r="AC83" s="610"/>
      <c r="AD83" s="610"/>
      <c r="AE83" s="610"/>
      <c r="AF83" s="610"/>
      <c r="AG83" s="610"/>
      <c r="AH83" s="610"/>
      <c r="AI83" s="610"/>
      <c r="AJ83" s="610"/>
      <c r="AK83" s="610"/>
      <c r="AL83" s="610"/>
      <c r="AM83" s="610"/>
      <c r="AN83" s="610"/>
      <c r="AO83" s="610"/>
      <c r="AP83" s="610"/>
      <c r="AQ83" s="610"/>
      <c r="AR83" s="610"/>
      <c r="AS83" s="610"/>
      <c r="AT83" s="610"/>
      <c r="AU83" s="610"/>
      <c r="AV83" s="610"/>
      <c r="AW83" s="610"/>
      <c r="AX83" s="503"/>
      <c r="AY83" s="584"/>
      <c r="AZ83" s="584"/>
      <c r="BA83" s="579"/>
      <c r="BB83" s="579">
        <v>0</v>
      </c>
      <c r="BC83" s="579">
        <v>0</v>
      </c>
      <c r="BD83" s="579">
        <v>0</v>
      </c>
      <c r="BE83" s="579">
        <v>0</v>
      </c>
      <c r="BF83" s="579">
        <v>0</v>
      </c>
      <c r="BG83" s="579">
        <v>0</v>
      </c>
      <c r="BH83" s="579">
        <v>0</v>
      </c>
      <c r="BI83" s="579">
        <v>0</v>
      </c>
      <c r="BJ83" s="546"/>
      <c r="BK83" s="589"/>
    </row>
    <row r="84" spans="2:89">
      <c r="B84" s="502"/>
      <c r="C84" s="583" t="s">
        <v>3997</v>
      </c>
      <c r="D84" s="503" t="s">
        <v>3998</v>
      </c>
      <c r="E84" s="503"/>
      <c r="F84" s="524"/>
      <c r="G84" s="524"/>
      <c r="H84" s="610"/>
      <c r="I84" s="610"/>
      <c r="J84" s="610"/>
      <c r="K84" s="610"/>
      <c r="L84" s="610"/>
      <c r="M84" s="610"/>
      <c r="N84" s="610"/>
      <c r="O84" s="610"/>
      <c r="P84" s="610"/>
      <c r="Q84" s="610"/>
      <c r="R84" s="610"/>
      <c r="S84" s="610"/>
      <c r="T84" s="610"/>
      <c r="U84" s="610"/>
      <c r="V84" s="610"/>
      <c r="W84" s="610"/>
      <c r="X84" s="610"/>
      <c r="Y84" s="610"/>
      <c r="Z84" s="610"/>
      <c r="AA84" s="610"/>
      <c r="AB84" s="610"/>
      <c r="AC84" s="610"/>
      <c r="AD84" s="610"/>
      <c r="AE84" s="610"/>
      <c r="AF84" s="610"/>
      <c r="AG84" s="610"/>
      <c r="AH84" s="610"/>
      <c r="AI84" s="610"/>
      <c r="AJ84" s="610"/>
      <c r="AK84" s="610"/>
      <c r="AL84" s="610"/>
      <c r="AM84" s="610"/>
      <c r="AN84" s="610"/>
      <c r="AO84" s="610"/>
      <c r="AP84" s="610"/>
      <c r="AQ84" s="610"/>
      <c r="AR84" s="610"/>
      <c r="AS84" s="610"/>
      <c r="AT84" s="610"/>
      <c r="AU84" s="610"/>
      <c r="AV84" s="610"/>
      <c r="AW84" s="610"/>
      <c r="AX84" s="503"/>
      <c r="AY84" s="584"/>
      <c r="AZ84" s="584"/>
      <c r="BA84" s="579"/>
      <c r="BB84" s="579">
        <v>0</v>
      </c>
      <c r="BC84" s="579">
        <v>0</v>
      </c>
      <c r="BD84" s="579">
        <v>0</v>
      </c>
      <c r="BE84" s="579">
        <v>0</v>
      </c>
      <c r="BF84" s="579">
        <v>0</v>
      </c>
      <c r="BG84" s="579">
        <v>0</v>
      </c>
      <c r="BH84" s="579">
        <v>0</v>
      </c>
      <c r="BI84" s="579">
        <v>0</v>
      </c>
      <c r="BJ84" s="546"/>
      <c r="BK84" s="589"/>
    </row>
    <row r="85" spans="2:89">
      <c r="B85" s="502"/>
      <c r="C85" s="583" t="s">
        <v>3999</v>
      </c>
      <c r="D85" s="503" t="s">
        <v>4000</v>
      </c>
      <c r="E85" s="503"/>
      <c r="F85" s="524"/>
      <c r="G85" s="524"/>
      <c r="H85" s="610"/>
      <c r="I85" s="610"/>
      <c r="J85" s="610"/>
      <c r="K85" s="610"/>
      <c r="L85" s="610"/>
      <c r="M85" s="610"/>
      <c r="N85" s="610"/>
      <c r="O85" s="610"/>
      <c r="P85" s="610"/>
      <c r="Q85" s="610"/>
      <c r="R85" s="610"/>
      <c r="S85" s="610"/>
      <c r="T85" s="610"/>
      <c r="U85" s="610"/>
      <c r="V85" s="610"/>
      <c r="W85" s="610"/>
      <c r="X85" s="610"/>
      <c r="Y85" s="610"/>
      <c r="Z85" s="610"/>
      <c r="AA85" s="610"/>
      <c r="AB85" s="610"/>
      <c r="AC85" s="610"/>
      <c r="AD85" s="610"/>
      <c r="AE85" s="610"/>
      <c r="AF85" s="610"/>
      <c r="AG85" s="610"/>
      <c r="AH85" s="610"/>
      <c r="AI85" s="610"/>
      <c r="AJ85" s="610"/>
      <c r="AK85" s="610"/>
      <c r="AL85" s="610"/>
      <c r="AM85" s="610"/>
      <c r="AN85" s="610"/>
      <c r="AO85" s="610"/>
      <c r="AP85" s="610"/>
      <c r="AQ85" s="610"/>
      <c r="AR85" s="610"/>
      <c r="AS85" s="610"/>
      <c r="AT85" s="610"/>
      <c r="AU85" s="610"/>
      <c r="AV85" s="610"/>
      <c r="AW85" s="610"/>
      <c r="AX85" s="503"/>
      <c r="AY85" s="584"/>
      <c r="AZ85" s="584"/>
      <c r="BA85" s="579"/>
      <c r="BB85" s="579">
        <v>10.099999999999994</v>
      </c>
      <c r="BC85" s="579">
        <v>11.033041321890011</v>
      </c>
      <c r="BD85" s="579">
        <v>13.760363992924056</v>
      </c>
      <c r="BE85" s="579">
        <v>17.161869668890574</v>
      </c>
      <c r="BF85" s="579">
        <v>21.404213630064021</v>
      </c>
      <c r="BG85" s="579">
        <v>26.695247660101472</v>
      </c>
      <c r="BH85" s="579">
        <v>33.294203653115972</v>
      </c>
      <c r="BI85" s="579">
        <v>15.710526100531467</v>
      </c>
      <c r="BJ85" s="546"/>
      <c r="BK85" s="589"/>
    </row>
    <row r="86" spans="2:89">
      <c r="B86" s="502"/>
      <c r="C86" s="583" t="s">
        <v>4001</v>
      </c>
      <c r="D86" s="503" t="s">
        <v>4002</v>
      </c>
      <c r="E86" s="503"/>
      <c r="F86" s="524"/>
      <c r="G86" s="524"/>
      <c r="H86" s="610"/>
      <c r="I86" s="610"/>
      <c r="J86" s="610"/>
      <c r="K86" s="610"/>
      <c r="L86" s="610"/>
      <c r="M86" s="610"/>
      <c r="N86" s="610"/>
      <c r="O86" s="610"/>
      <c r="P86" s="610"/>
      <c r="Q86" s="610"/>
      <c r="R86" s="610"/>
      <c r="S86" s="610"/>
      <c r="T86" s="610"/>
      <c r="U86" s="610"/>
      <c r="V86" s="610"/>
      <c r="W86" s="610"/>
      <c r="X86" s="610"/>
      <c r="Y86" s="610"/>
      <c r="Z86" s="610"/>
      <c r="AA86" s="610"/>
      <c r="AB86" s="610"/>
      <c r="AC86" s="610"/>
      <c r="AD86" s="610"/>
      <c r="AE86" s="610"/>
      <c r="AF86" s="610"/>
      <c r="AG86" s="610"/>
      <c r="AH86" s="610"/>
      <c r="AI86" s="610"/>
      <c r="AJ86" s="610"/>
      <c r="AK86" s="610"/>
      <c r="AL86" s="610"/>
      <c r="AM86" s="610"/>
      <c r="AN86" s="610"/>
      <c r="AO86" s="610"/>
      <c r="AP86" s="610"/>
      <c r="AQ86" s="610"/>
      <c r="AR86" s="610"/>
      <c r="AS86" s="610"/>
      <c r="AT86" s="610"/>
      <c r="AU86" s="610"/>
      <c r="AV86" s="610"/>
      <c r="AW86" s="610"/>
      <c r="AX86" s="503"/>
      <c r="AY86" s="584"/>
      <c r="AZ86" s="584"/>
      <c r="BA86" s="579"/>
      <c r="BB86" s="579">
        <v>25.206497061049014</v>
      </c>
      <c r="BC86" s="579">
        <v>24.499999999999996</v>
      </c>
      <c r="BD86" s="579">
        <v>29.025408356387203</v>
      </c>
      <c r="BE86" s="579">
        <v>33.092661868115478</v>
      </c>
      <c r="BF86" s="579">
        <v>37.317260746672531</v>
      </c>
      <c r="BG86" s="579">
        <v>42.040615811014007</v>
      </c>
      <c r="BH86" s="579">
        <v>47.389265651472016</v>
      </c>
      <c r="BI86" s="579">
        <v>31.423484910197963</v>
      </c>
      <c r="BJ86" s="546"/>
      <c r="BK86" s="589"/>
    </row>
    <row r="87" spans="2:89">
      <c r="B87" s="502"/>
      <c r="C87" s="583" t="s">
        <v>4011</v>
      </c>
      <c r="D87" s="503" t="s">
        <v>4012</v>
      </c>
      <c r="E87" s="503"/>
      <c r="F87" s="524"/>
      <c r="G87" s="524"/>
      <c r="H87" s="610"/>
      <c r="I87" s="610"/>
      <c r="J87" s="610"/>
      <c r="K87" s="610"/>
      <c r="L87" s="610"/>
      <c r="M87" s="610"/>
      <c r="N87" s="610"/>
      <c r="O87" s="610"/>
      <c r="P87" s="610"/>
      <c r="Q87" s="610"/>
      <c r="R87" s="610"/>
      <c r="S87" s="610"/>
      <c r="T87" s="610"/>
      <c r="U87" s="610"/>
      <c r="V87" s="610"/>
      <c r="W87" s="610"/>
      <c r="X87" s="610"/>
      <c r="Y87" s="610"/>
      <c r="Z87" s="610"/>
      <c r="AA87" s="610"/>
      <c r="AB87" s="610"/>
      <c r="AC87" s="610"/>
      <c r="AD87" s="610"/>
      <c r="AE87" s="610"/>
      <c r="AF87" s="610"/>
      <c r="AG87" s="610"/>
      <c r="AH87" s="610"/>
      <c r="AI87" s="610"/>
      <c r="AJ87" s="610"/>
      <c r="AK87" s="610"/>
      <c r="AL87" s="610"/>
      <c r="AM87" s="610"/>
      <c r="AN87" s="610"/>
      <c r="AO87" s="610"/>
      <c r="AP87" s="610"/>
      <c r="AQ87" s="610"/>
      <c r="AR87" s="610"/>
      <c r="AS87" s="610"/>
      <c r="AT87" s="610"/>
      <c r="AU87" s="610"/>
      <c r="AV87" s="610"/>
      <c r="AW87" s="610"/>
      <c r="AX87" s="503"/>
      <c r="AY87" s="584"/>
      <c r="AZ87" s="584"/>
      <c r="BA87" s="579"/>
      <c r="BB87" s="579">
        <v>0</v>
      </c>
      <c r="BC87" s="579">
        <v>0</v>
      </c>
      <c r="BD87" s="579">
        <v>0</v>
      </c>
      <c r="BE87" s="579">
        <v>0</v>
      </c>
      <c r="BF87" s="579">
        <v>0</v>
      </c>
      <c r="BG87" s="579">
        <v>0</v>
      </c>
      <c r="BH87" s="579">
        <v>0</v>
      </c>
      <c r="BI87" s="579">
        <v>0</v>
      </c>
      <c r="BJ87" s="546"/>
      <c r="BK87" s="589"/>
    </row>
    <row r="88" spans="2:89">
      <c r="B88" s="502"/>
      <c r="C88" s="583" t="s">
        <v>4013</v>
      </c>
      <c r="D88" s="503" t="s">
        <v>4014</v>
      </c>
      <c r="E88" s="503"/>
      <c r="F88" s="524"/>
      <c r="G88" s="524"/>
      <c r="H88" s="610"/>
      <c r="I88" s="610"/>
      <c r="J88" s="610"/>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0"/>
      <c r="AK88" s="610"/>
      <c r="AL88" s="610"/>
      <c r="AM88" s="610"/>
      <c r="AN88" s="610"/>
      <c r="AO88" s="610"/>
      <c r="AP88" s="610"/>
      <c r="AQ88" s="610"/>
      <c r="AR88" s="610"/>
      <c r="AS88" s="610"/>
      <c r="AT88" s="610"/>
      <c r="AU88" s="610"/>
      <c r="AV88" s="610"/>
      <c r="AW88" s="610"/>
      <c r="AX88" s="503"/>
      <c r="AY88" s="584"/>
      <c r="AZ88" s="584"/>
      <c r="BA88" s="579"/>
      <c r="BB88" s="579">
        <v>-0.14825939995144566</v>
      </c>
      <c r="BC88" s="579">
        <v>-0.17526182848850436</v>
      </c>
      <c r="BD88" s="579">
        <v>-0.4300196861114971</v>
      </c>
      <c r="BE88" s="579">
        <v>-0.91553431793059215</v>
      </c>
      <c r="BF88" s="579">
        <v>-1.8626688440711252</v>
      </c>
      <c r="BG88" s="579">
        <v>-3.6322526427634738</v>
      </c>
      <c r="BH88" s="579">
        <v>-6.682171432285779</v>
      </c>
      <c r="BI88" s="579">
        <v>-0.67935892051770086</v>
      </c>
      <c r="BJ88" s="546"/>
      <c r="BK88" s="589"/>
    </row>
    <row r="89" spans="2:89">
      <c r="B89" s="502"/>
      <c r="C89" s="583" t="s">
        <v>4015</v>
      </c>
      <c r="D89" s="503" t="s">
        <v>4016</v>
      </c>
      <c r="E89" s="503"/>
      <c r="F89" s="524"/>
      <c r="G89" s="524"/>
      <c r="H89" s="610"/>
      <c r="I89" s="610"/>
      <c r="J89" s="610"/>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0"/>
      <c r="AK89" s="610"/>
      <c r="AL89" s="610"/>
      <c r="AM89" s="610"/>
      <c r="AN89" s="610"/>
      <c r="AO89" s="610"/>
      <c r="AP89" s="610"/>
      <c r="AQ89" s="610"/>
      <c r="AR89" s="610"/>
      <c r="AS89" s="610"/>
      <c r="AT89" s="610"/>
      <c r="AU89" s="610"/>
      <c r="AV89" s="610"/>
      <c r="AW89" s="610"/>
      <c r="AX89" s="503"/>
      <c r="AY89" s="584"/>
      <c r="AZ89" s="584"/>
      <c r="BA89" s="579"/>
      <c r="BB89" s="579">
        <v>0</v>
      </c>
      <c r="BC89" s="579">
        <v>0</v>
      </c>
      <c r="BD89" s="579">
        <v>0</v>
      </c>
      <c r="BE89" s="579">
        <v>0</v>
      </c>
      <c r="BF89" s="579">
        <v>0</v>
      </c>
      <c r="BG89" s="579">
        <v>0</v>
      </c>
      <c r="BH89" s="579">
        <v>-6.0761090790715899E-2</v>
      </c>
      <c r="BI89" s="579">
        <v>0</v>
      </c>
      <c r="BJ89" s="546"/>
      <c r="BK89" s="589"/>
    </row>
    <row r="90" spans="2:89">
      <c r="B90" s="502"/>
      <c r="C90" s="583" t="s">
        <v>4017</v>
      </c>
      <c r="D90" s="503" t="s">
        <v>4018</v>
      </c>
      <c r="E90" s="503"/>
      <c r="F90" s="524"/>
      <c r="G90" s="524"/>
      <c r="H90" s="610"/>
      <c r="I90" s="610"/>
      <c r="J90" s="610"/>
      <c r="K90" s="610"/>
      <c r="L90" s="610"/>
      <c r="M90" s="610"/>
      <c r="N90" s="610"/>
      <c r="O90" s="610"/>
      <c r="P90" s="610"/>
      <c r="Q90" s="610"/>
      <c r="R90" s="610"/>
      <c r="S90" s="610"/>
      <c r="T90" s="610"/>
      <c r="U90" s="610"/>
      <c r="V90" s="610"/>
      <c r="W90" s="610"/>
      <c r="X90" s="610"/>
      <c r="Y90" s="610"/>
      <c r="Z90" s="610"/>
      <c r="AA90" s="610"/>
      <c r="AB90" s="610"/>
      <c r="AC90" s="610"/>
      <c r="AD90" s="610"/>
      <c r="AE90" s="610"/>
      <c r="AF90" s="610"/>
      <c r="AG90" s="610"/>
      <c r="AH90" s="610"/>
      <c r="AI90" s="610"/>
      <c r="AJ90" s="610"/>
      <c r="AK90" s="610"/>
      <c r="AL90" s="610"/>
      <c r="AM90" s="610"/>
      <c r="AN90" s="610"/>
      <c r="AO90" s="610"/>
      <c r="AP90" s="610"/>
      <c r="AQ90" s="610"/>
      <c r="AR90" s="610"/>
      <c r="AS90" s="610"/>
      <c r="AT90" s="610"/>
      <c r="AU90" s="610"/>
      <c r="AV90" s="610"/>
      <c r="AW90" s="610"/>
      <c r="AX90" s="503"/>
      <c r="AY90" s="584"/>
      <c r="AZ90" s="584"/>
      <c r="BA90" s="579"/>
      <c r="BB90" s="579">
        <v>0</v>
      </c>
      <c r="BC90" s="579">
        <v>0</v>
      </c>
      <c r="BD90" s="579">
        <v>0</v>
      </c>
      <c r="BE90" s="579">
        <v>0</v>
      </c>
      <c r="BF90" s="579">
        <v>0</v>
      </c>
      <c r="BG90" s="579">
        <v>0</v>
      </c>
      <c r="BH90" s="579">
        <v>0</v>
      </c>
      <c r="BI90" s="579">
        <v>0</v>
      </c>
      <c r="BJ90" s="546"/>
      <c r="BK90" s="589"/>
    </row>
    <row r="91" spans="2:89">
      <c r="B91" s="502"/>
      <c r="C91" s="583" t="s">
        <v>4019</v>
      </c>
      <c r="D91" s="503" t="s">
        <v>4020</v>
      </c>
      <c r="E91" s="503"/>
      <c r="F91" s="524"/>
      <c r="G91" s="524"/>
      <c r="H91" s="610"/>
      <c r="I91" s="610"/>
      <c r="J91" s="610"/>
      <c r="K91" s="610"/>
      <c r="L91" s="610"/>
      <c r="M91" s="610"/>
      <c r="N91" s="610"/>
      <c r="O91" s="610"/>
      <c r="P91" s="610"/>
      <c r="Q91" s="610"/>
      <c r="R91" s="610"/>
      <c r="S91" s="610"/>
      <c r="T91" s="610"/>
      <c r="U91" s="610"/>
      <c r="V91" s="610"/>
      <c r="W91" s="610"/>
      <c r="X91" s="610"/>
      <c r="Y91" s="610"/>
      <c r="Z91" s="610"/>
      <c r="AA91" s="610"/>
      <c r="AB91" s="610"/>
      <c r="AC91" s="610"/>
      <c r="AD91" s="610"/>
      <c r="AE91" s="610"/>
      <c r="AF91" s="610"/>
      <c r="AG91" s="610"/>
      <c r="AH91" s="610"/>
      <c r="AI91" s="610"/>
      <c r="AJ91" s="610"/>
      <c r="AK91" s="610"/>
      <c r="AL91" s="610"/>
      <c r="AM91" s="610"/>
      <c r="AN91" s="610"/>
      <c r="AO91" s="610"/>
      <c r="AP91" s="610"/>
      <c r="AQ91" s="610"/>
      <c r="AR91" s="610"/>
      <c r="AS91" s="610"/>
      <c r="AT91" s="610"/>
      <c r="AU91" s="610"/>
      <c r="AV91" s="610"/>
      <c r="AW91" s="610"/>
      <c r="AX91" s="503"/>
      <c r="AY91" s="584"/>
      <c r="AZ91" s="584"/>
      <c r="BA91" s="579"/>
      <c r="BB91" s="579">
        <v>0</v>
      </c>
      <c r="BC91" s="579">
        <v>0</v>
      </c>
      <c r="BD91" s="579">
        <v>0</v>
      </c>
      <c r="BE91" s="579">
        <v>0</v>
      </c>
      <c r="BF91" s="579">
        <v>0</v>
      </c>
      <c r="BG91" s="579">
        <v>0</v>
      </c>
      <c r="BH91" s="579">
        <v>0</v>
      </c>
      <c r="BI91" s="579">
        <v>0</v>
      </c>
      <c r="BJ91" s="546"/>
      <c r="BK91" s="589"/>
    </row>
    <row r="92" spans="2:89">
      <c r="B92" s="502"/>
      <c r="C92" s="583" t="s">
        <v>4021</v>
      </c>
      <c r="D92" s="503" t="s">
        <v>4022</v>
      </c>
      <c r="E92" s="503"/>
      <c r="F92" s="524"/>
      <c r="G92" s="524"/>
      <c r="H92" s="610"/>
      <c r="I92" s="610"/>
      <c r="J92" s="610"/>
      <c r="K92" s="610"/>
      <c r="L92" s="610"/>
      <c r="M92" s="610"/>
      <c r="N92" s="610"/>
      <c r="O92" s="610"/>
      <c r="P92" s="610"/>
      <c r="Q92" s="610"/>
      <c r="R92" s="610"/>
      <c r="S92" s="610"/>
      <c r="T92" s="610"/>
      <c r="U92" s="610"/>
      <c r="V92" s="610"/>
      <c r="W92" s="610"/>
      <c r="X92" s="610"/>
      <c r="Y92" s="610"/>
      <c r="Z92" s="610"/>
      <c r="AA92" s="610"/>
      <c r="AB92" s="610"/>
      <c r="AC92" s="610"/>
      <c r="AD92" s="610"/>
      <c r="AE92" s="610"/>
      <c r="AF92" s="610"/>
      <c r="AG92" s="610"/>
      <c r="AH92" s="610"/>
      <c r="AI92" s="610"/>
      <c r="AJ92" s="610"/>
      <c r="AK92" s="610"/>
      <c r="AL92" s="610"/>
      <c r="AM92" s="610"/>
      <c r="AN92" s="610"/>
      <c r="AO92" s="610"/>
      <c r="AP92" s="610"/>
      <c r="AQ92" s="610"/>
      <c r="AR92" s="610"/>
      <c r="AS92" s="610"/>
      <c r="AT92" s="610"/>
      <c r="AU92" s="610"/>
      <c r="AV92" s="610"/>
      <c r="AW92" s="610"/>
      <c r="AX92" s="503"/>
      <c r="AY92" s="584"/>
      <c r="AZ92" s="584"/>
      <c r="BA92" s="579"/>
      <c r="BB92" s="579">
        <v>0</v>
      </c>
      <c r="BC92" s="579">
        <v>0</v>
      </c>
      <c r="BD92" s="579">
        <v>0</v>
      </c>
      <c r="BE92" s="579">
        <v>0</v>
      </c>
      <c r="BF92" s="579">
        <v>0</v>
      </c>
      <c r="BG92" s="579">
        <v>0</v>
      </c>
      <c r="BH92" s="593">
        <v>0</v>
      </c>
      <c r="BI92" s="593">
        <v>0</v>
      </c>
      <c r="BJ92" s="546"/>
      <c r="BK92" s="589"/>
    </row>
    <row r="93" spans="2:89">
      <c r="B93" s="502"/>
      <c r="C93" s="583" t="s">
        <v>4023</v>
      </c>
      <c r="D93" s="503" t="s">
        <v>4024</v>
      </c>
      <c r="E93" s="503"/>
      <c r="F93" s="524"/>
      <c r="G93" s="524"/>
      <c r="H93" s="610"/>
      <c r="I93" s="610"/>
      <c r="J93" s="610"/>
      <c r="K93" s="610"/>
      <c r="L93" s="610"/>
      <c r="M93" s="610"/>
      <c r="N93" s="610"/>
      <c r="O93" s="610"/>
      <c r="P93" s="610"/>
      <c r="Q93" s="610"/>
      <c r="R93" s="610"/>
      <c r="S93" s="610"/>
      <c r="T93" s="610"/>
      <c r="U93" s="610"/>
      <c r="V93" s="610"/>
      <c r="W93" s="610"/>
      <c r="X93" s="610"/>
      <c r="Y93" s="610"/>
      <c r="Z93" s="610"/>
      <c r="AA93" s="610"/>
      <c r="AB93" s="610"/>
      <c r="AC93" s="610"/>
      <c r="AD93" s="610"/>
      <c r="AE93" s="610"/>
      <c r="AF93" s="610"/>
      <c r="AG93" s="610"/>
      <c r="AH93" s="610"/>
      <c r="AI93" s="610"/>
      <c r="AJ93" s="610"/>
      <c r="AK93" s="610"/>
      <c r="AL93" s="610"/>
      <c r="AM93" s="610"/>
      <c r="AN93" s="610"/>
      <c r="AO93" s="610"/>
      <c r="AP93" s="610"/>
      <c r="AQ93" s="610"/>
      <c r="AR93" s="610"/>
      <c r="AS93" s="610"/>
      <c r="AT93" s="610"/>
      <c r="AU93" s="610"/>
      <c r="AV93" s="610"/>
      <c r="AW93" s="610"/>
      <c r="AX93" s="503"/>
      <c r="AY93" s="584"/>
      <c r="AZ93" s="584"/>
      <c r="BA93" s="579"/>
      <c r="BB93" s="579">
        <v>0</v>
      </c>
      <c r="BC93" s="579">
        <v>0</v>
      </c>
      <c r="BD93" s="579">
        <v>0</v>
      </c>
      <c r="BE93" s="579">
        <v>0</v>
      </c>
      <c r="BF93" s="579">
        <v>1.7763568394002505E-15</v>
      </c>
      <c r="BG93" s="579">
        <v>-1.7763568394002505E-15</v>
      </c>
      <c r="BH93" s="579">
        <v>0</v>
      </c>
      <c r="BI93" s="579">
        <v>4.4408920985006262E-16</v>
      </c>
      <c r="BJ93" s="546"/>
      <c r="BK93" s="589"/>
    </row>
    <row r="94" spans="2:89">
      <c r="B94" s="502"/>
      <c r="C94" s="583" t="s">
        <v>4025</v>
      </c>
      <c r="D94" s="503" t="s">
        <v>4026</v>
      </c>
      <c r="E94" s="503"/>
      <c r="F94" s="524"/>
      <c r="G94" s="524"/>
      <c r="H94" s="610"/>
      <c r="I94" s="610"/>
      <c r="J94" s="610"/>
      <c r="K94" s="610"/>
      <c r="L94" s="610"/>
      <c r="M94" s="610"/>
      <c r="N94" s="610"/>
      <c r="O94" s="610"/>
      <c r="P94" s="610"/>
      <c r="Q94" s="610"/>
      <c r="R94" s="610"/>
      <c r="S94" s="610"/>
      <c r="T94" s="610"/>
      <c r="U94" s="610"/>
      <c r="V94" s="610"/>
      <c r="W94" s="610"/>
      <c r="X94" s="610"/>
      <c r="Y94" s="610"/>
      <c r="Z94" s="610"/>
      <c r="AA94" s="610"/>
      <c r="AB94" s="610"/>
      <c r="AC94" s="610"/>
      <c r="AD94" s="610"/>
      <c r="AE94" s="610"/>
      <c r="AF94" s="610"/>
      <c r="AG94" s="610"/>
      <c r="AH94" s="610"/>
      <c r="AI94" s="610"/>
      <c r="AJ94" s="610"/>
      <c r="AK94" s="610"/>
      <c r="AL94" s="610"/>
      <c r="AM94" s="610"/>
      <c r="AN94" s="610"/>
      <c r="AO94" s="610"/>
      <c r="AP94" s="610"/>
      <c r="AQ94" s="610"/>
      <c r="AR94" s="610"/>
      <c r="AS94" s="610"/>
      <c r="AT94" s="610"/>
      <c r="AU94" s="610"/>
      <c r="AV94" s="610"/>
      <c r="AW94" s="610"/>
      <c r="AX94" s="503"/>
      <c r="AY94" s="584"/>
      <c r="AZ94" s="584"/>
      <c r="BA94" s="579"/>
      <c r="BB94" s="579">
        <v>0</v>
      </c>
      <c r="BC94" s="579">
        <v>0</v>
      </c>
      <c r="BD94" s="579">
        <v>0.66664056583851883</v>
      </c>
      <c r="BE94" s="579">
        <v>1.5475160525104967</v>
      </c>
      <c r="BF94" s="579">
        <v>2.571355402089615</v>
      </c>
      <c r="BG94" s="579">
        <v>3.6915103219703047</v>
      </c>
      <c r="BH94" s="579">
        <v>4.8122016000336627</v>
      </c>
      <c r="BI94" s="579">
        <v>1.1698127501245725</v>
      </c>
      <c r="BJ94" s="546"/>
      <c r="BK94" s="589"/>
    </row>
    <row r="95" spans="2:89">
      <c r="B95" s="502"/>
      <c r="C95" s="583" t="s">
        <v>4027</v>
      </c>
      <c r="D95" s="503" t="s">
        <v>4028</v>
      </c>
      <c r="E95" s="503"/>
      <c r="F95" s="524"/>
      <c r="G95" s="524"/>
      <c r="H95" s="610"/>
      <c r="I95" s="610"/>
      <c r="J95" s="610"/>
      <c r="K95" s="610"/>
      <c r="L95" s="610"/>
      <c r="M95" s="610"/>
      <c r="N95" s="610"/>
      <c r="O95" s="610"/>
      <c r="P95" s="610"/>
      <c r="Q95" s="610"/>
      <c r="R95" s="610"/>
      <c r="S95" s="610"/>
      <c r="T95" s="610"/>
      <c r="U95" s="610"/>
      <c r="V95" s="610"/>
      <c r="W95" s="610"/>
      <c r="X95" s="610"/>
      <c r="Y95" s="610"/>
      <c r="Z95" s="610"/>
      <c r="AA95" s="610"/>
      <c r="AB95" s="610"/>
      <c r="AC95" s="610"/>
      <c r="AD95" s="610"/>
      <c r="AE95" s="610"/>
      <c r="AF95" s="610"/>
      <c r="AG95" s="610"/>
      <c r="AH95" s="610"/>
      <c r="AI95" s="610"/>
      <c r="AJ95" s="610"/>
      <c r="AK95" s="610"/>
      <c r="AL95" s="610"/>
      <c r="AM95" s="610"/>
      <c r="AN95" s="610"/>
      <c r="AO95" s="610"/>
      <c r="AP95" s="610"/>
      <c r="AQ95" s="610"/>
      <c r="AR95" s="610"/>
      <c r="AS95" s="610"/>
      <c r="AT95" s="610"/>
      <c r="AU95" s="610"/>
      <c r="AV95" s="610"/>
      <c r="AW95" s="610"/>
      <c r="AX95" s="503"/>
      <c r="AY95" s="584"/>
      <c r="AZ95" s="584"/>
      <c r="BA95" s="579"/>
      <c r="BB95" s="579">
        <v>0</v>
      </c>
      <c r="BC95" s="579">
        <v>0</v>
      </c>
      <c r="BD95" s="579">
        <v>0</v>
      </c>
      <c r="BE95" s="579">
        <v>0</v>
      </c>
      <c r="BF95" s="579">
        <v>0</v>
      </c>
      <c r="BG95" s="579">
        <v>0</v>
      </c>
      <c r="BH95" s="579">
        <v>0</v>
      </c>
      <c r="BI95" s="579">
        <v>0</v>
      </c>
      <c r="BJ95" s="546"/>
      <c r="BK95" s="589"/>
    </row>
    <row r="96" spans="2:89" s="501" customFormat="1" ht="14">
      <c r="B96" s="502"/>
      <c r="C96" s="612"/>
      <c r="D96" s="557" t="s">
        <v>4029</v>
      </c>
      <c r="E96" s="503"/>
      <c r="F96" s="613"/>
      <c r="G96" s="614"/>
      <c r="H96" s="615"/>
      <c r="I96" s="615"/>
      <c r="J96" s="615"/>
      <c r="K96" s="615"/>
      <c r="L96" s="615"/>
      <c r="M96" s="615"/>
      <c r="N96" s="615"/>
      <c r="O96" s="615"/>
      <c r="P96" s="615"/>
      <c r="Q96" s="615"/>
      <c r="R96" s="615"/>
      <c r="S96" s="615"/>
      <c r="T96" s="615"/>
      <c r="U96" s="615"/>
      <c r="V96" s="615"/>
      <c r="W96" s="615"/>
      <c r="X96" s="615"/>
      <c r="Y96" s="615"/>
      <c r="Z96" s="615"/>
      <c r="AA96" s="615"/>
      <c r="AB96" s="615"/>
      <c r="AC96" s="615"/>
      <c r="AD96" s="615"/>
      <c r="AE96" s="615"/>
      <c r="AF96" s="615"/>
      <c r="AG96" s="615"/>
      <c r="AH96" s="615"/>
      <c r="AI96" s="615"/>
      <c r="AJ96" s="615"/>
      <c r="AK96" s="615"/>
      <c r="AL96" s="615"/>
      <c r="AM96" s="615"/>
      <c r="AN96" s="615"/>
      <c r="AO96" s="615"/>
      <c r="AP96" s="615"/>
      <c r="AQ96" s="615"/>
      <c r="AR96" s="615"/>
      <c r="AS96" s="615"/>
      <c r="AT96" s="615"/>
      <c r="AU96" s="615"/>
      <c r="AV96" s="615"/>
      <c r="AW96" s="615"/>
      <c r="AX96" s="503"/>
      <c r="AY96" s="613"/>
      <c r="AZ96" s="613"/>
      <c r="BA96" s="616"/>
      <c r="BB96" s="616">
        <v>35.158237661097559</v>
      </c>
      <c r="BC96" s="616">
        <v>35.357779493401509</v>
      </c>
      <c r="BD96" s="616">
        <v>43.022393229038279</v>
      </c>
      <c r="BE96" s="616">
        <v>50.886513271585954</v>
      </c>
      <c r="BF96" s="616">
        <v>59.430160934755044</v>
      </c>
      <c r="BG96" s="616">
        <v>68.795121150322302</v>
      </c>
      <c r="BH96" s="616">
        <v>78.752738381545143</v>
      </c>
      <c r="BI96" s="616">
        <v>47.624464840336302</v>
      </c>
      <c r="BJ96" s="617"/>
      <c r="BK96" s="589"/>
      <c r="BL96" s="509"/>
      <c r="BM96" s="509"/>
      <c r="BN96" s="509"/>
      <c r="BO96" s="509"/>
      <c r="BP96" s="509"/>
      <c r="BQ96" s="509"/>
      <c r="BR96" s="509"/>
      <c r="BS96" s="509"/>
      <c r="BT96" s="509"/>
      <c r="BU96" s="509"/>
      <c r="BV96" s="509"/>
      <c r="BW96" s="509"/>
      <c r="BX96" s="509"/>
      <c r="BY96" s="509"/>
      <c r="BZ96" s="509"/>
      <c r="CA96" s="509"/>
      <c r="CB96" s="509"/>
      <c r="CC96" s="509"/>
      <c r="CD96" s="509"/>
      <c r="CE96" s="509"/>
      <c r="CF96" s="509"/>
      <c r="CG96" s="509"/>
      <c r="CH96" s="509"/>
      <c r="CI96" s="509"/>
      <c r="CJ96" s="509"/>
      <c r="CK96" s="509"/>
    </row>
    <row r="97" spans="1:89" ht="14">
      <c r="B97" s="502"/>
      <c r="C97" s="503"/>
      <c r="D97" s="503"/>
      <c r="E97" s="503"/>
      <c r="F97" s="503"/>
      <c r="G97" s="503"/>
      <c r="H97" s="504"/>
      <c r="I97" s="504"/>
      <c r="J97" s="504"/>
      <c r="K97" s="504"/>
      <c r="L97" s="504"/>
      <c r="M97" s="504"/>
      <c r="N97" s="504"/>
      <c r="O97" s="504"/>
      <c r="P97" s="504"/>
      <c r="Q97" s="504"/>
      <c r="R97" s="504"/>
      <c r="S97" s="504"/>
      <c r="T97" s="504"/>
      <c r="U97" s="504"/>
      <c r="V97" s="504"/>
      <c r="W97" s="504"/>
      <c r="X97" s="504"/>
      <c r="Y97" s="504"/>
      <c r="Z97" s="504"/>
      <c r="AA97" s="504"/>
      <c r="AB97" s="504"/>
      <c r="AC97" s="504"/>
      <c r="AD97" s="504"/>
      <c r="AE97" s="504"/>
      <c r="AF97" s="504"/>
      <c r="AG97" s="504"/>
      <c r="AH97" s="504"/>
      <c r="AI97" s="504"/>
      <c r="AJ97" s="504"/>
      <c r="AK97" s="504"/>
      <c r="AL97" s="504"/>
      <c r="AM97" s="504"/>
      <c r="AN97" s="504"/>
      <c r="AO97" s="504"/>
      <c r="AP97" s="504"/>
      <c r="AQ97" s="504"/>
      <c r="AR97" s="504"/>
      <c r="AS97" s="504"/>
      <c r="AT97" s="504"/>
      <c r="AU97" s="504"/>
      <c r="AV97" s="504"/>
      <c r="AW97" s="504"/>
      <c r="AX97" s="503"/>
      <c r="AY97" s="584"/>
      <c r="AZ97" s="584"/>
      <c r="BA97" s="579"/>
      <c r="BB97" s="579"/>
      <c r="BC97" s="579"/>
      <c r="BD97" s="579"/>
      <c r="BE97" s="579"/>
      <c r="BF97" s="579"/>
      <c r="BG97" s="579"/>
      <c r="BH97" s="579"/>
      <c r="BI97" s="579"/>
      <c r="BJ97" s="546"/>
      <c r="BK97" s="589"/>
    </row>
    <row r="98" spans="1:89" s="564" customFormat="1" ht="18">
      <c r="B98" s="623"/>
      <c r="C98" s="600"/>
      <c r="D98" s="557" t="s">
        <v>4030</v>
      </c>
      <c r="E98" s="503"/>
      <c r="F98" s="613"/>
      <c r="G98" s="614"/>
      <c r="H98" s="615"/>
      <c r="I98" s="615"/>
      <c r="J98" s="615"/>
      <c r="K98" s="615"/>
      <c r="L98" s="615"/>
      <c r="M98" s="615"/>
      <c r="N98" s="615"/>
      <c r="O98" s="615"/>
      <c r="P98" s="615"/>
      <c r="Q98" s="615"/>
      <c r="R98" s="615"/>
      <c r="S98" s="615"/>
      <c r="T98" s="615"/>
      <c r="U98" s="615"/>
      <c r="V98" s="615"/>
      <c r="W98" s="615"/>
      <c r="X98" s="615"/>
      <c r="Y98" s="615"/>
      <c r="Z98" s="615"/>
      <c r="AA98" s="615"/>
      <c r="AB98" s="615"/>
      <c r="AC98" s="615"/>
      <c r="AD98" s="615"/>
      <c r="AE98" s="615"/>
      <c r="AF98" s="615"/>
      <c r="AG98" s="615"/>
      <c r="AH98" s="615"/>
      <c r="AI98" s="615"/>
      <c r="AJ98" s="615"/>
      <c r="AK98" s="615"/>
      <c r="AL98" s="615"/>
      <c r="AM98" s="615"/>
      <c r="AN98" s="615"/>
      <c r="AO98" s="615"/>
      <c r="AP98" s="615"/>
      <c r="AQ98" s="615"/>
      <c r="AR98" s="615"/>
      <c r="AS98" s="615"/>
      <c r="AT98" s="615"/>
      <c r="AU98" s="615"/>
      <c r="AV98" s="615"/>
      <c r="AW98" s="615"/>
      <c r="AX98" s="503"/>
      <c r="AY98" s="613"/>
      <c r="AZ98" s="613"/>
      <c r="BA98" s="616"/>
      <c r="BB98" s="616">
        <v>35.306497061049157</v>
      </c>
      <c r="BC98" s="616">
        <v>35.533041321889883</v>
      </c>
      <c r="BD98" s="616">
        <v>43.209115471010627</v>
      </c>
      <c r="BE98" s="616">
        <v>51.242588930593342</v>
      </c>
      <c r="BF98" s="616">
        <v>60.367262353094851</v>
      </c>
      <c r="BG98" s="616">
        <v>71.093388823630676</v>
      </c>
      <c r="BH98" s="616">
        <v>83.799255246603863</v>
      </c>
      <c r="BI98" s="616">
        <v>47.920349617415056</v>
      </c>
      <c r="BJ98" s="561"/>
      <c r="BK98" s="589"/>
      <c r="BL98" s="563"/>
      <c r="BM98" s="563"/>
      <c r="BN98" s="563"/>
      <c r="BO98" s="563"/>
      <c r="BP98" s="563"/>
      <c r="BQ98" s="563"/>
      <c r="BR98" s="563"/>
      <c r="BS98" s="563"/>
      <c r="BT98" s="563"/>
      <c r="BU98" s="563"/>
      <c r="BV98" s="563"/>
      <c r="BW98" s="563"/>
      <c r="BX98" s="563"/>
      <c r="BY98" s="563"/>
      <c r="BZ98" s="563"/>
      <c r="CA98" s="563"/>
      <c r="CB98" s="563"/>
      <c r="CC98" s="563"/>
      <c r="CD98" s="563"/>
      <c r="CE98" s="563"/>
      <c r="CF98" s="563"/>
      <c r="CG98" s="563"/>
      <c r="CH98" s="563"/>
      <c r="CI98" s="563"/>
      <c r="CJ98" s="563"/>
      <c r="CK98" s="563"/>
    </row>
    <row r="99" spans="1:89" s="564" customFormat="1" ht="18">
      <c r="B99" s="638"/>
      <c r="C99" s="600"/>
      <c r="D99" s="600"/>
      <c r="E99" s="503"/>
      <c r="F99" s="614"/>
      <c r="G99" s="614"/>
      <c r="H99" s="615"/>
      <c r="I99" s="615"/>
      <c r="J99" s="615"/>
      <c r="K99" s="615"/>
      <c r="L99" s="615"/>
      <c r="M99" s="615"/>
      <c r="N99" s="615"/>
      <c r="O99" s="615"/>
      <c r="P99" s="615"/>
      <c r="Q99" s="615"/>
      <c r="R99" s="615"/>
      <c r="S99" s="615"/>
      <c r="T99" s="615"/>
      <c r="U99" s="615"/>
      <c r="V99" s="615"/>
      <c r="W99" s="615"/>
      <c r="X99" s="615"/>
      <c r="Y99" s="615"/>
      <c r="Z99" s="615"/>
      <c r="AA99" s="615"/>
      <c r="AB99" s="615"/>
      <c r="AC99" s="615"/>
      <c r="AD99" s="615"/>
      <c r="AE99" s="615"/>
      <c r="AF99" s="615"/>
      <c r="AG99" s="615"/>
      <c r="AH99" s="615"/>
      <c r="AI99" s="615"/>
      <c r="AJ99" s="615"/>
      <c r="AK99" s="615"/>
      <c r="AL99" s="615"/>
      <c r="AM99" s="615"/>
      <c r="AN99" s="615"/>
      <c r="AO99" s="615"/>
      <c r="AP99" s="615"/>
      <c r="AQ99" s="615"/>
      <c r="AR99" s="615"/>
      <c r="AS99" s="615"/>
      <c r="AT99" s="615"/>
      <c r="AU99" s="615"/>
      <c r="AV99" s="615"/>
      <c r="AW99" s="615"/>
      <c r="AX99" s="503"/>
      <c r="AY99" s="614"/>
      <c r="AZ99" s="614"/>
      <c r="BA99" s="619"/>
      <c r="BB99" s="619"/>
      <c r="BC99" s="619"/>
      <c r="BD99" s="619"/>
      <c r="BE99" s="619"/>
      <c r="BF99" s="619"/>
      <c r="BG99" s="619"/>
      <c r="BH99" s="619"/>
      <c r="BI99" s="619"/>
      <c r="BJ99" s="614"/>
      <c r="BK99" s="639"/>
      <c r="BL99" s="563"/>
      <c r="BM99" s="563"/>
      <c r="BN99" s="563"/>
      <c r="BO99" s="563"/>
      <c r="BP99" s="563"/>
      <c r="BQ99" s="563"/>
      <c r="BR99" s="563"/>
      <c r="BS99" s="563"/>
      <c r="BT99" s="563"/>
      <c r="BU99" s="563"/>
      <c r="BV99" s="563"/>
      <c r="BW99" s="563"/>
      <c r="BX99" s="563"/>
      <c r="BY99" s="563"/>
      <c r="BZ99" s="563"/>
      <c r="CA99" s="563"/>
      <c r="CB99" s="563"/>
      <c r="CC99" s="563"/>
      <c r="CD99" s="563"/>
      <c r="CE99" s="563"/>
      <c r="CF99" s="563"/>
      <c r="CG99" s="563"/>
      <c r="CH99" s="563"/>
      <c r="CI99" s="563"/>
      <c r="CJ99" s="563"/>
      <c r="CK99" s="563"/>
    </row>
    <row r="100" spans="1:89" s="564" customFormat="1" ht="14">
      <c r="E100" s="483"/>
      <c r="F100" s="640"/>
      <c r="G100" s="640"/>
      <c r="H100" s="641"/>
      <c r="I100" s="641"/>
      <c r="J100" s="641"/>
      <c r="K100" s="641"/>
      <c r="L100" s="641"/>
      <c r="M100" s="641"/>
      <c r="N100" s="641"/>
      <c r="O100" s="641"/>
      <c r="P100" s="641"/>
      <c r="Q100" s="641"/>
      <c r="R100" s="641"/>
      <c r="S100" s="641"/>
      <c r="T100" s="641"/>
      <c r="U100" s="641"/>
      <c r="V100" s="641"/>
      <c r="W100" s="641"/>
      <c r="X100" s="641"/>
      <c r="Y100" s="641"/>
      <c r="Z100" s="641"/>
      <c r="AA100" s="641"/>
      <c r="AB100" s="641"/>
      <c r="AC100" s="641"/>
      <c r="AD100" s="641"/>
      <c r="AE100" s="641"/>
      <c r="AF100" s="641"/>
      <c r="AG100" s="641"/>
      <c r="AH100" s="641"/>
      <c r="AI100" s="641"/>
      <c r="AJ100" s="641"/>
      <c r="AK100" s="641"/>
      <c r="AL100" s="641"/>
      <c r="AM100" s="641"/>
      <c r="AN100" s="641"/>
      <c r="AO100" s="641"/>
      <c r="AP100" s="641"/>
      <c r="AQ100" s="641"/>
      <c r="AR100" s="641"/>
      <c r="AS100" s="641"/>
      <c r="AT100" s="641"/>
      <c r="AU100" s="641"/>
      <c r="AV100" s="641"/>
      <c r="AW100" s="641"/>
      <c r="AX100" s="483"/>
      <c r="AY100" s="640"/>
      <c r="AZ100" s="640"/>
      <c r="BA100" s="642"/>
      <c r="BB100" s="642"/>
      <c r="BC100" s="642"/>
      <c r="BD100" s="642"/>
      <c r="BE100" s="642"/>
      <c r="BF100" s="642"/>
      <c r="BG100" s="642"/>
      <c r="BH100" s="642"/>
      <c r="BI100" s="642"/>
      <c r="BJ100" s="640"/>
      <c r="BK100" s="601"/>
      <c r="BL100" s="563"/>
      <c r="BM100" s="563"/>
      <c r="BN100" s="563"/>
      <c r="BO100" s="563"/>
      <c r="BP100" s="563"/>
      <c r="BQ100" s="563"/>
      <c r="BR100" s="563"/>
      <c r="BS100" s="563"/>
      <c r="BT100" s="563"/>
      <c r="BU100" s="563"/>
      <c r="BV100" s="563"/>
      <c r="BW100" s="563"/>
      <c r="BX100" s="563"/>
      <c r="BY100" s="563"/>
      <c r="BZ100" s="563"/>
      <c r="CA100" s="563"/>
      <c r="CB100" s="563"/>
      <c r="CC100" s="563"/>
      <c r="CD100" s="563"/>
      <c r="CE100" s="563"/>
      <c r="CF100" s="563"/>
      <c r="CG100" s="563"/>
      <c r="CH100" s="563"/>
      <c r="CI100" s="563"/>
      <c r="CJ100" s="563"/>
      <c r="CK100" s="563"/>
    </row>
    <row r="101" spans="1:89" ht="21.5" customHeight="1">
      <c r="A101" s="495"/>
      <c r="B101" s="643" t="s">
        <v>4031</v>
      </c>
      <c r="C101" s="644"/>
      <c r="D101" s="644"/>
      <c r="E101" s="644"/>
      <c r="F101" s="644"/>
      <c r="G101" s="644"/>
      <c r="H101" s="645"/>
      <c r="I101" s="645"/>
      <c r="J101" s="645"/>
      <c r="K101" s="645"/>
      <c r="L101" s="645"/>
      <c r="M101" s="645"/>
      <c r="N101" s="645"/>
      <c r="O101" s="645"/>
      <c r="P101" s="645"/>
      <c r="Q101" s="645"/>
      <c r="R101" s="645"/>
      <c r="S101" s="645"/>
      <c r="T101" s="645"/>
      <c r="U101" s="645"/>
      <c r="V101" s="645"/>
      <c r="W101" s="645"/>
      <c r="X101" s="645"/>
      <c r="Y101" s="645"/>
      <c r="Z101" s="645"/>
      <c r="AA101" s="645"/>
      <c r="AB101" s="645"/>
      <c r="AC101" s="645"/>
      <c r="AD101" s="645"/>
      <c r="AE101" s="645"/>
      <c r="AF101" s="645"/>
      <c r="AG101" s="645"/>
      <c r="AH101" s="645"/>
      <c r="AI101" s="645"/>
      <c r="AJ101" s="645"/>
      <c r="AK101" s="645"/>
      <c r="AL101" s="645"/>
      <c r="AM101" s="645"/>
      <c r="AN101" s="645"/>
      <c r="AO101" s="645"/>
      <c r="AP101" s="645"/>
      <c r="AQ101" s="645"/>
      <c r="AR101" s="645"/>
      <c r="AS101" s="645"/>
      <c r="AT101" s="645"/>
      <c r="AU101" s="645"/>
      <c r="AV101" s="645"/>
      <c r="AW101" s="645"/>
      <c r="AX101" s="644"/>
      <c r="AY101" s="646"/>
      <c r="AZ101" s="646"/>
      <c r="BA101" s="647"/>
      <c r="BB101" s="647"/>
      <c r="BC101" s="647"/>
      <c r="BD101" s="647"/>
      <c r="BE101" s="647"/>
      <c r="BF101" s="647"/>
      <c r="BG101" s="647"/>
      <c r="BH101" s="647"/>
      <c r="BI101" s="647"/>
      <c r="BJ101" s="648"/>
      <c r="BK101" s="547"/>
    </row>
    <row r="102" spans="1:89" ht="18">
      <c r="B102" s="649"/>
      <c r="C102" s="650"/>
      <c r="D102" s="650"/>
      <c r="E102" s="650"/>
      <c r="F102" s="650"/>
      <c r="G102" s="650"/>
      <c r="H102" s="651"/>
      <c r="I102" s="651"/>
      <c r="J102" s="651"/>
      <c r="K102" s="651"/>
      <c r="L102" s="651"/>
      <c r="M102" s="651"/>
      <c r="N102" s="651"/>
      <c r="O102" s="651"/>
      <c r="P102" s="651"/>
      <c r="Q102" s="651"/>
      <c r="R102" s="651"/>
      <c r="S102" s="651"/>
      <c r="T102" s="651"/>
      <c r="U102" s="651"/>
      <c r="V102" s="651"/>
      <c r="W102" s="651"/>
      <c r="X102" s="651"/>
      <c r="Y102" s="651"/>
      <c r="Z102" s="651"/>
      <c r="AA102" s="651"/>
      <c r="AB102" s="651"/>
      <c r="AC102" s="651"/>
      <c r="AD102" s="651"/>
      <c r="AE102" s="651"/>
      <c r="AF102" s="651"/>
      <c r="AG102" s="651"/>
      <c r="AH102" s="651"/>
      <c r="AI102" s="651"/>
      <c r="AJ102" s="651"/>
      <c r="AK102" s="651"/>
      <c r="AL102" s="651"/>
      <c r="AM102" s="651"/>
      <c r="AN102" s="651"/>
      <c r="AO102" s="651"/>
      <c r="AP102" s="651"/>
      <c r="AQ102" s="651"/>
      <c r="AR102" s="651"/>
      <c r="AS102" s="651"/>
      <c r="AT102" s="651"/>
      <c r="AU102" s="651"/>
      <c r="AV102" s="651"/>
      <c r="AW102" s="651"/>
      <c r="AX102" s="650"/>
      <c r="AY102" s="652"/>
      <c r="AZ102" s="652"/>
      <c r="BA102" s="653"/>
      <c r="BB102" s="653"/>
      <c r="BC102" s="653"/>
      <c r="BD102" s="653"/>
      <c r="BE102" s="653"/>
      <c r="BF102" s="653"/>
      <c r="BG102" s="653"/>
      <c r="BH102" s="653"/>
      <c r="BI102" s="653"/>
      <c r="BJ102" s="654"/>
      <c r="BK102" s="547"/>
    </row>
    <row r="103" spans="1:89" ht="16">
      <c r="B103" s="655"/>
      <c r="C103" s="656" t="s">
        <v>4032</v>
      </c>
      <c r="D103" s="656" t="s">
        <v>4033</v>
      </c>
      <c r="E103" s="656"/>
      <c r="F103" s="657"/>
      <c r="G103" s="657"/>
      <c r="H103" s="658"/>
      <c r="I103" s="658"/>
      <c r="J103" s="658"/>
      <c r="K103" s="658"/>
      <c r="L103" s="658"/>
      <c r="M103" s="658"/>
      <c r="N103" s="658"/>
      <c r="O103" s="658"/>
      <c r="P103" s="658"/>
      <c r="Q103" s="658"/>
      <c r="R103" s="658"/>
      <c r="S103" s="658"/>
      <c r="T103" s="658"/>
      <c r="U103" s="658"/>
      <c r="V103" s="658"/>
      <c r="W103" s="658"/>
      <c r="X103" s="658"/>
      <c r="Y103" s="658"/>
      <c r="Z103" s="658"/>
      <c r="AA103" s="658"/>
      <c r="AB103" s="658"/>
      <c r="AC103" s="658"/>
      <c r="AD103" s="658"/>
      <c r="AE103" s="658"/>
      <c r="AF103" s="658"/>
      <c r="AG103" s="658"/>
      <c r="AH103" s="658"/>
      <c r="AI103" s="658"/>
      <c r="AJ103" s="658"/>
      <c r="AK103" s="658"/>
      <c r="AL103" s="658"/>
      <c r="AM103" s="658"/>
      <c r="AN103" s="658"/>
      <c r="AO103" s="658"/>
      <c r="AP103" s="658"/>
      <c r="AQ103" s="658"/>
      <c r="AR103" s="658"/>
      <c r="AS103" s="658"/>
      <c r="AT103" s="658"/>
      <c r="AU103" s="658"/>
      <c r="AV103" s="658"/>
      <c r="AW103" s="658"/>
      <c r="AX103" s="656"/>
      <c r="AY103" s="659"/>
      <c r="AZ103" s="659"/>
      <c r="BA103" s="660"/>
      <c r="BB103" s="660">
        <v>-86.879531493422832</v>
      </c>
      <c r="BC103" s="660">
        <v>-93.818141978584649</v>
      </c>
      <c r="BD103" s="660">
        <v>-131.62633960505025</v>
      </c>
      <c r="BE103" s="660">
        <v>-179.59190708897833</v>
      </c>
      <c r="BF103" s="660">
        <v>-239.51193788520283</v>
      </c>
      <c r="BG103" s="660">
        <v>-315.74114337341757</v>
      </c>
      <c r="BH103" s="660">
        <v>-410.06736168290149</v>
      </c>
      <c r="BI103" s="660">
        <v>-159.13109666418967</v>
      </c>
      <c r="BJ103" s="661"/>
      <c r="BK103" s="547"/>
    </row>
    <row r="104" spans="1:89">
      <c r="B104" s="662"/>
      <c r="C104" s="656" t="s">
        <v>4034</v>
      </c>
      <c r="D104" s="656" t="s">
        <v>4035</v>
      </c>
      <c r="E104" s="656"/>
      <c r="F104" s="657"/>
      <c r="G104" s="657"/>
      <c r="H104" s="658"/>
      <c r="I104" s="658"/>
      <c r="J104" s="658"/>
      <c r="K104" s="658"/>
      <c r="L104" s="658"/>
      <c r="M104" s="658"/>
      <c r="N104" s="658"/>
      <c r="O104" s="658"/>
      <c r="P104" s="658"/>
      <c r="Q104" s="658"/>
      <c r="R104" s="658"/>
      <c r="S104" s="658"/>
      <c r="T104" s="658"/>
      <c r="U104" s="658"/>
      <c r="V104" s="658"/>
      <c r="W104" s="658"/>
      <c r="X104" s="658"/>
      <c r="Y104" s="658"/>
      <c r="Z104" s="658"/>
      <c r="AA104" s="658"/>
      <c r="AB104" s="658"/>
      <c r="AC104" s="658"/>
      <c r="AD104" s="658"/>
      <c r="AE104" s="658"/>
      <c r="AF104" s="658"/>
      <c r="AG104" s="658"/>
      <c r="AH104" s="658"/>
      <c r="AI104" s="658"/>
      <c r="AJ104" s="658"/>
      <c r="AK104" s="658"/>
      <c r="AL104" s="658"/>
      <c r="AM104" s="658"/>
      <c r="AN104" s="658"/>
      <c r="AO104" s="658"/>
      <c r="AP104" s="658"/>
      <c r="AQ104" s="658"/>
      <c r="AR104" s="658"/>
      <c r="AS104" s="658"/>
      <c r="AT104" s="658"/>
      <c r="AU104" s="658"/>
      <c r="AV104" s="658"/>
      <c r="AW104" s="658"/>
      <c r="AX104" s="656"/>
      <c r="AY104" s="659"/>
      <c r="AZ104" s="659"/>
      <c r="BA104" s="660"/>
      <c r="BB104" s="660">
        <v>87.827098698690932</v>
      </c>
      <c r="BC104" s="660">
        <v>94.745513120245718</v>
      </c>
      <c r="BD104" s="660">
        <v>132.80962660941361</v>
      </c>
      <c r="BE104" s="660">
        <v>180.96532758558141</v>
      </c>
      <c r="BF104" s="660">
        <v>241.03332316477253</v>
      </c>
      <c r="BG104" s="660">
        <v>317.37925107879187</v>
      </c>
      <c r="BH104" s="660">
        <v>411.77569325091343</v>
      </c>
      <c r="BI104" s="660">
        <v>160.42885768385912</v>
      </c>
      <c r="BJ104" s="661"/>
      <c r="BK104" s="547"/>
    </row>
    <row r="105" spans="1:89" s="501" customFormat="1" ht="14">
      <c r="B105" s="663"/>
      <c r="C105" s="664"/>
      <c r="D105" s="665" t="s">
        <v>4036</v>
      </c>
      <c r="E105" s="656"/>
      <c r="F105" s="666"/>
      <c r="G105" s="667"/>
      <c r="H105" s="668"/>
      <c r="I105" s="668"/>
      <c r="J105" s="668"/>
      <c r="K105" s="668"/>
      <c r="L105" s="668"/>
      <c r="M105" s="668"/>
      <c r="N105" s="668"/>
      <c r="O105" s="668"/>
      <c r="P105" s="668"/>
      <c r="Q105" s="668"/>
      <c r="R105" s="668"/>
      <c r="S105" s="668"/>
      <c r="T105" s="668"/>
      <c r="U105" s="668"/>
      <c r="V105" s="668"/>
      <c r="W105" s="668"/>
      <c r="X105" s="668"/>
      <c r="Y105" s="668"/>
      <c r="Z105" s="668"/>
      <c r="AA105" s="668"/>
      <c r="AB105" s="668"/>
      <c r="AC105" s="668"/>
      <c r="AD105" s="668"/>
      <c r="AE105" s="668"/>
      <c r="AF105" s="668"/>
      <c r="AG105" s="668"/>
      <c r="AH105" s="668"/>
      <c r="AI105" s="668"/>
      <c r="AJ105" s="668"/>
      <c r="AK105" s="668"/>
      <c r="AL105" s="668"/>
      <c r="AM105" s="668"/>
      <c r="AN105" s="668"/>
      <c r="AO105" s="668"/>
      <c r="AP105" s="668"/>
      <c r="AQ105" s="668"/>
      <c r="AR105" s="668"/>
      <c r="AS105" s="668"/>
      <c r="AT105" s="668"/>
      <c r="AU105" s="668"/>
      <c r="AV105" s="668"/>
      <c r="AW105" s="668"/>
      <c r="AX105" s="656"/>
      <c r="AY105" s="666"/>
      <c r="AZ105" s="666"/>
      <c r="BA105" s="669"/>
      <c r="BB105" s="669">
        <v>0.94756720526810057</v>
      </c>
      <c r="BC105" s="669">
        <v>0.92737114166106949</v>
      </c>
      <c r="BD105" s="669">
        <v>1.1832870043633648</v>
      </c>
      <c r="BE105" s="669">
        <v>1.3734204966030745</v>
      </c>
      <c r="BF105" s="669">
        <v>1.5213852795696994</v>
      </c>
      <c r="BG105" s="669">
        <v>1.6381077053742956</v>
      </c>
      <c r="BH105" s="669">
        <v>1.7083315680119426</v>
      </c>
      <c r="BI105" s="669">
        <v>1.2977610196694513</v>
      </c>
      <c r="BJ105" s="670"/>
      <c r="BK105" s="618"/>
      <c r="BL105" s="509"/>
      <c r="BM105" s="509"/>
      <c r="BN105" s="509"/>
      <c r="BO105" s="509"/>
      <c r="BP105" s="509"/>
      <c r="BQ105" s="509"/>
      <c r="BR105" s="509"/>
      <c r="BS105" s="509"/>
      <c r="BT105" s="509"/>
      <c r="BU105" s="509"/>
      <c r="BV105" s="509"/>
      <c r="BW105" s="509"/>
      <c r="BX105" s="509"/>
      <c r="BY105" s="509"/>
      <c r="BZ105" s="509"/>
      <c r="CA105" s="509"/>
      <c r="CB105" s="509"/>
      <c r="CC105" s="509"/>
      <c r="CD105" s="509"/>
      <c r="CE105" s="509"/>
      <c r="CF105" s="509"/>
      <c r="CG105" s="509"/>
      <c r="CH105" s="509"/>
      <c r="CI105" s="509"/>
      <c r="CJ105" s="509"/>
      <c r="CK105" s="509"/>
    </row>
    <row r="106" spans="1:89" ht="5" customHeight="1">
      <c r="B106" s="663"/>
      <c r="C106" s="656"/>
      <c r="D106" s="656"/>
      <c r="E106" s="656"/>
      <c r="F106" s="656"/>
      <c r="G106" s="656"/>
      <c r="H106" s="671"/>
      <c r="I106" s="671"/>
      <c r="J106" s="671"/>
      <c r="K106" s="671"/>
      <c r="L106" s="671"/>
      <c r="M106" s="671"/>
      <c r="N106" s="671"/>
      <c r="O106" s="671"/>
      <c r="P106" s="671"/>
      <c r="Q106" s="671"/>
      <c r="R106" s="671"/>
      <c r="S106" s="671"/>
      <c r="T106" s="671"/>
      <c r="U106" s="671"/>
      <c r="V106" s="671"/>
      <c r="W106" s="671"/>
      <c r="X106" s="671"/>
      <c r="Y106" s="671"/>
      <c r="Z106" s="671"/>
      <c r="AA106" s="671"/>
      <c r="AB106" s="671"/>
      <c r="AC106" s="671"/>
      <c r="AD106" s="671"/>
      <c r="AE106" s="671"/>
      <c r="AF106" s="671"/>
      <c r="AG106" s="671"/>
      <c r="AH106" s="671"/>
      <c r="AI106" s="671"/>
      <c r="AJ106" s="671"/>
      <c r="AK106" s="671"/>
      <c r="AL106" s="671"/>
      <c r="AM106" s="671"/>
      <c r="AN106" s="671"/>
      <c r="AO106" s="671"/>
      <c r="AP106" s="671"/>
      <c r="AQ106" s="671"/>
      <c r="AR106" s="671"/>
      <c r="AS106" s="671"/>
      <c r="AT106" s="671"/>
      <c r="AU106" s="671"/>
      <c r="AV106" s="671"/>
      <c r="AW106" s="671"/>
      <c r="AX106" s="656"/>
      <c r="AY106" s="659"/>
      <c r="AZ106" s="659"/>
      <c r="BA106" s="660"/>
      <c r="BB106" s="660"/>
      <c r="BC106" s="660"/>
      <c r="BD106" s="660"/>
      <c r="BE106" s="660"/>
      <c r="BF106" s="660"/>
      <c r="BG106" s="660"/>
      <c r="BH106" s="660"/>
      <c r="BI106" s="660"/>
      <c r="BJ106" s="661"/>
      <c r="BK106" s="547"/>
    </row>
    <row r="107" spans="1:89" s="573" customFormat="1" ht="18">
      <c r="B107" s="672"/>
      <c r="C107" s="673" t="s">
        <v>4034</v>
      </c>
      <c r="D107" s="673" t="s">
        <v>4037</v>
      </c>
      <c r="E107" s="673"/>
      <c r="F107" s="673"/>
      <c r="G107" s="673"/>
      <c r="H107" s="674"/>
      <c r="I107" s="674"/>
      <c r="J107" s="674"/>
      <c r="K107" s="674"/>
      <c r="L107" s="674"/>
      <c r="M107" s="674"/>
      <c r="N107" s="674"/>
      <c r="O107" s="674"/>
      <c r="P107" s="674"/>
      <c r="Q107" s="674"/>
      <c r="R107" s="674"/>
      <c r="S107" s="674"/>
      <c r="T107" s="674"/>
      <c r="U107" s="674"/>
      <c r="V107" s="674"/>
      <c r="W107" s="674"/>
      <c r="X107" s="674"/>
      <c r="Y107" s="674"/>
      <c r="Z107" s="674"/>
      <c r="AA107" s="674"/>
      <c r="AB107" s="674"/>
      <c r="AC107" s="674"/>
      <c r="AD107" s="674"/>
      <c r="AE107" s="674"/>
      <c r="AF107" s="674"/>
      <c r="AG107" s="674"/>
      <c r="AH107" s="674"/>
      <c r="AI107" s="674"/>
      <c r="AJ107" s="674"/>
      <c r="AK107" s="674"/>
      <c r="AL107" s="674"/>
      <c r="AM107" s="674"/>
      <c r="AN107" s="674"/>
      <c r="AO107" s="674"/>
      <c r="AP107" s="674"/>
      <c r="AQ107" s="674"/>
      <c r="AR107" s="674"/>
      <c r="AS107" s="674"/>
      <c r="AT107" s="674"/>
      <c r="AU107" s="674"/>
      <c r="AV107" s="674"/>
      <c r="AW107" s="674"/>
      <c r="AX107" s="673"/>
      <c r="AY107" s="675"/>
      <c r="AZ107" s="675"/>
      <c r="BA107" s="676"/>
      <c r="BB107" s="676">
        <v>-22.411508931145818</v>
      </c>
      <c r="BC107" s="676">
        <v>-22.412287201561782</v>
      </c>
      <c r="BD107" s="676">
        <v>-23.246833908215876</v>
      </c>
      <c r="BE107" s="676">
        <v>-26.720485860467903</v>
      </c>
      <c r="BF107" s="676">
        <v>-29.651777949163801</v>
      </c>
      <c r="BG107" s="676">
        <v>-31.772129020584543</v>
      </c>
      <c r="BH107" s="676">
        <v>-32.541307785824017</v>
      </c>
      <c r="BI107" s="676">
        <v>-25.363757749114512</v>
      </c>
      <c r="BJ107" s="677"/>
      <c r="BK107" s="581"/>
      <c r="BL107" s="582"/>
      <c r="BM107" s="582"/>
      <c r="BN107" s="582"/>
      <c r="BO107" s="582"/>
      <c r="BP107" s="582"/>
      <c r="BQ107" s="582"/>
      <c r="BR107" s="582"/>
      <c r="BS107" s="582"/>
      <c r="BT107" s="582"/>
      <c r="BU107" s="582"/>
      <c r="BV107" s="582"/>
      <c r="BW107" s="582"/>
      <c r="BX107" s="582"/>
      <c r="BY107" s="582"/>
      <c r="BZ107" s="582"/>
      <c r="CA107" s="582"/>
      <c r="CB107" s="582"/>
      <c r="CC107" s="582"/>
      <c r="CD107" s="582"/>
      <c r="CE107" s="582"/>
      <c r="CF107" s="582"/>
      <c r="CG107" s="582"/>
      <c r="CH107" s="582"/>
      <c r="CI107" s="582"/>
      <c r="CJ107" s="582"/>
      <c r="CK107" s="582"/>
    </row>
    <row r="108" spans="1:89" s="678" customFormat="1" ht="14">
      <c r="B108" s="679"/>
      <c r="C108" s="680"/>
      <c r="D108" s="680" t="s">
        <v>4038</v>
      </c>
      <c r="E108" s="673"/>
      <c r="F108" s="681"/>
      <c r="G108" s="681"/>
      <c r="H108" s="682"/>
      <c r="I108" s="682"/>
      <c r="J108" s="682"/>
      <c r="K108" s="682"/>
      <c r="L108" s="682"/>
      <c r="M108" s="682"/>
      <c r="N108" s="682"/>
      <c r="O108" s="682"/>
      <c r="P108" s="682"/>
      <c r="Q108" s="682"/>
      <c r="R108" s="682"/>
      <c r="S108" s="682"/>
      <c r="T108" s="682"/>
      <c r="U108" s="682"/>
      <c r="V108" s="682"/>
      <c r="W108" s="682"/>
      <c r="X108" s="682"/>
      <c r="Y108" s="682"/>
      <c r="Z108" s="682"/>
      <c r="AA108" s="682"/>
      <c r="AB108" s="682"/>
      <c r="AC108" s="682"/>
      <c r="AD108" s="682"/>
      <c r="AE108" s="682"/>
      <c r="AF108" s="682"/>
      <c r="AG108" s="682"/>
      <c r="AH108" s="682"/>
      <c r="AI108" s="682"/>
      <c r="AJ108" s="682"/>
      <c r="AK108" s="682"/>
      <c r="AL108" s="682"/>
      <c r="AM108" s="682"/>
      <c r="AN108" s="682"/>
      <c r="AO108" s="682"/>
      <c r="AP108" s="682"/>
      <c r="AQ108" s="682"/>
      <c r="AR108" s="682"/>
      <c r="AS108" s="682"/>
      <c r="AT108" s="682"/>
      <c r="AU108" s="682"/>
      <c r="AV108" s="682"/>
      <c r="AW108" s="682"/>
      <c r="AX108" s="673"/>
      <c r="AY108" s="681"/>
      <c r="AZ108" s="681"/>
      <c r="BA108" s="676"/>
      <c r="BB108" s="676">
        <v>110.23860762983675</v>
      </c>
      <c r="BC108" s="676">
        <v>117.1578003218075</v>
      </c>
      <c r="BD108" s="676">
        <v>156.05646051762949</v>
      </c>
      <c r="BE108" s="676">
        <v>207.68581344604931</v>
      </c>
      <c r="BF108" s="676">
        <v>270.6851011139363</v>
      </c>
      <c r="BG108" s="676">
        <v>349.15138009937635</v>
      </c>
      <c r="BH108" s="676">
        <v>444.31700103673745</v>
      </c>
      <c r="BI108" s="676">
        <v>185.79261543297366</v>
      </c>
      <c r="BJ108" s="683"/>
      <c r="BK108" s="684"/>
      <c r="BL108" s="685"/>
      <c r="BM108" s="685"/>
      <c r="BN108" s="685"/>
      <c r="BO108" s="685"/>
      <c r="BP108" s="685"/>
      <c r="BQ108" s="685"/>
      <c r="BR108" s="685"/>
      <c r="BS108" s="685"/>
      <c r="BT108" s="685"/>
      <c r="BU108" s="685"/>
      <c r="BV108" s="685"/>
      <c r="BW108" s="685"/>
      <c r="BX108" s="685"/>
      <c r="BY108" s="685"/>
      <c r="BZ108" s="685"/>
      <c r="CA108" s="685"/>
      <c r="CB108" s="685"/>
      <c r="CC108" s="685"/>
      <c r="CD108" s="685"/>
      <c r="CE108" s="685"/>
      <c r="CF108" s="685"/>
      <c r="CG108" s="685"/>
      <c r="CH108" s="685"/>
      <c r="CI108" s="685"/>
      <c r="CJ108" s="685"/>
      <c r="CK108" s="685"/>
    </row>
    <row r="109" spans="1:89" ht="14">
      <c r="B109" s="686"/>
      <c r="C109" s="656"/>
      <c r="D109" s="656" t="s">
        <v>4039</v>
      </c>
      <c r="E109" s="656"/>
      <c r="F109" s="656"/>
      <c r="G109" s="65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56"/>
      <c r="AY109" s="656"/>
      <c r="AZ109" s="656"/>
      <c r="BA109" s="687"/>
      <c r="BB109" s="687">
        <v>109.29104042456865</v>
      </c>
      <c r="BC109" s="687">
        <v>116.23042918014643</v>
      </c>
      <c r="BD109" s="687">
        <v>154.87317351326612</v>
      </c>
      <c r="BE109" s="687">
        <v>206.31239294944623</v>
      </c>
      <c r="BF109" s="687">
        <v>269.1637158343666</v>
      </c>
      <c r="BG109" s="687">
        <v>347.51327239400212</v>
      </c>
      <c r="BH109" s="687">
        <v>442.60866946872551</v>
      </c>
      <c r="BI109" s="687">
        <v>184.49485441330418</v>
      </c>
      <c r="BJ109" s="688"/>
    </row>
    <row r="110" spans="1:89" ht="14">
      <c r="B110" s="663"/>
      <c r="C110" s="656" t="s">
        <v>4040</v>
      </c>
      <c r="D110" s="656" t="s">
        <v>4041</v>
      </c>
      <c r="E110" s="656"/>
      <c r="F110" s="659"/>
      <c r="G110" s="659"/>
      <c r="H110" s="689"/>
      <c r="I110" s="689"/>
      <c r="J110" s="689"/>
      <c r="K110" s="689"/>
      <c r="L110" s="689"/>
      <c r="M110" s="689"/>
      <c r="N110" s="689"/>
      <c r="O110" s="689"/>
      <c r="P110" s="689"/>
      <c r="Q110" s="689"/>
      <c r="R110" s="689"/>
      <c r="S110" s="689"/>
      <c r="T110" s="689"/>
      <c r="U110" s="689"/>
      <c r="V110" s="689"/>
      <c r="W110" s="689"/>
      <c r="X110" s="689"/>
      <c r="Y110" s="689"/>
      <c r="Z110" s="689"/>
      <c r="AA110" s="689"/>
      <c r="AB110" s="689"/>
      <c r="AC110" s="689"/>
      <c r="AD110" s="689"/>
      <c r="AE110" s="689"/>
      <c r="AF110" s="689"/>
      <c r="AG110" s="689"/>
      <c r="AH110" s="689"/>
      <c r="AI110" s="689"/>
      <c r="AJ110" s="689"/>
      <c r="AK110" s="689"/>
      <c r="AL110" s="689"/>
      <c r="AM110" s="689"/>
      <c r="AN110" s="689"/>
      <c r="AO110" s="689"/>
      <c r="AP110" s="689"/>
      <c r="AQ110" s="689"/>
      <c r="AR110" s="689"/>
      <c r="AS110" s="689"/>
      <c r="AT110" s="689"/>
      <c r="AU110" s="689"/>
      <c r="AV110" s="689"/>
      <c r="AW110" s="689"/>
      <c r="AX110" s="656"/>
      <c r="AY110" s="659"/>
      <c r="AZ110" s="659"/>
      <c r="BA110" s="660"/>
      <c r="BB110" s="660">
        <v>0.94756720526808635</v>
      </c>
      <c r="BC110" s="660">
        <v>0.92737114166101264</v>
      </c>
      <c r="BD110" s="660">
        <v>1.6066301260628961</v>
      </c>
      <c r="BE110" s="660">
        <v>2.3614778901908267</v>
      </c>
      <c r="BF110" s="660">
        <v>3.167173255927878</v>
      </c>
      <c r="BG110" s="660">
        <v>3.9956330578895063</v>
      </c>
      <c r="BH110" s="660">
        <v>4.8241175100276337</v>
      </c>
      <c r="BI110" s="660">
        <v>2.0840996263552825</v>
      </c>
      <c r="BJ110" s="661"/>
      <c r="BK110" s="547"/>
    </row>
    <row r="111" spans="1:89" ht="5" customHeight="1">
      <c r="B111" s="663"/>
      <c r="C111" s="656"/>
      <c r="D111" s="656"/>
      <c r="E111" s="656"/>
      <c r="F111" s="657"/>
      <c r="G111" s="657"/>
      <c r="H111" s="658"/>
      <c r="I111" s="658"/>
      <c r="J111" s="658"/>
      <c r="K111" s="658"/>
      <c r="L111" s="658"/>
      <c r="M111" s="658"/>
      <c r="N111" s="658"/>
      <c r="O111" s="658"/>
      <c r="P111" s="658"/>
      <c r="Q111" s="658"/>
      <c r="R111" s="658"/>
      <c r="S111" s="658"/>
      <c r="T111" s="658"/>
      <c r="U111" s="658"/>
      <c r="V111" s="658"/>
      <c r="W111" s="658"/>
      <c r="X111" s="658"/>
      <c r="Y111" s="658"/>
      <c r="Z111" s="658"/>
      <c r="AA111" s="658"/>
      <c r="AB111" s="658"/>
      <c r="AC111" s="658"/>
      <c r="AD111" s="658"/>
      <c r="AE111" s="658"/>
      <c r="AF111" s="658"/>
      <c r="AG111" s="658"/>
      <c r="AH111" s="658"/>
      <c r="AI111" s="658"/>
      <c r="AJ111" s="658"/>
      <c r="AK111" s="658"/>
      <c r="AL111" s="658"/>
      <c r="AM111" s="658"/>
      <c r="AN111" s="658"/>
      <c r="AO111" s="658"/>
      <c r="AP111" s="658"/>
      <c r="AQ111" s="658"/>
      <c r="AR111" s="658"/>
      <c r="AS111" s="658"/>
      <c r="AT111" s="658"/>
      <c r="AU111" s="658"/>
      <c r="AV111" s="658"/>
      <c r="AW111" s="658"/>
      <c r="AX111" s="656"/>
      <c r="AY111" s="659"/>
      <c r="AZ111" s="659"/>
      <c r="BA111" s="660"/>
      <c r="BB111" s="660"/>
      <c r="BC111" s="660"/>
      <c r="BD111" s="660"/>
      <c r="BE111" s="660"/>
      <c r="BF111" s="660"/>
      <c r="BG111" s="660"/>
      <c r="BH111" s="660"/>
      <c r="BI111" s="660"/>
      <c r="BJ111" s="688"/>
    </row>
    <row r="112" spans="1:89" s="501" customFormat="1" ht="14">
      <c r="B112" s="663"/>
      <c r="C112" s="664"/>
      <c r="D112" s="665" t="s">
        <v>4042</v>
      </c>
      <c r="E112" s="656"/>
      <c r="F112" s="666"/>
      <c r="G112" s="667"/>
      <c r="H112" s="668"/>
      <c r="I112" s="668"/>
      <c r="J112" s="668"/>
      <c r="K112" s="668"/>
      <c r="L112" s="668"/>
      <c r="M112" s="668"/>
      <c r="N112" s="668"/>
      <c r="O112" s="668"/>
      <c r="P112" s="668"/>
      <c r="Q112" s="668"/>
      <c r="R112" s="668"/>
      <c r="S112" s="668"/>
      <c r="T112" s="668"/>
      <c r="U112" s="668"/>
      <c r="V112" s="668"/>
      <c r="W112" s="668"/>
      <c r="X112" s="668"/>
      <c r="Y112" s="668"/>
      <c r="Z112" s="668"/>
      <c r="AA112" s="668"/>
      <c r="AB112" s="668"/>
      <c r="AC112" s="668"/>
      <c r="AD112" s="668"/>
      <c r="AE112" s="668"/>
      <c r="AF112" s="668"/>
      <c r="AG112" s="668"/>
      <c r="AH112" s="668"/>
      <c r="AI112" s="668"/>
      <c r="AJ112" s="668"/>
      <c r="AK112" s="668"/>
      <c r="AL112" s="668"/>
      <c r="AM112" s="668"/>
      <c r="AN112" s="668"/>
      <c r="AO112" s="668"/>
      <c r="AP112" s="668"/>
      <c r="AQ112" s="668"/>
      <c r="AR112" s="668"/>
      <c r="AS112" s="668"/>
      <c r="AT112" s="668"/>
      <c r="AU112" s="668"/>
      <c r="AV112" s="668"/>
      <c r="AW112" s="668"/>
      <c r="AX112" s="656"/>
      <c r="AY112" s="666"/>
      <c r="AZ112" s="666"/>
      <c r="BA112" s="669"/>
      <c r="BB112" s="669">
        <v>37.201631471585344</v>
      </c>
      <c r="BC112" s="669">
        <v>37.387783605211965</v>
      </c>
      <c r="BD112" s="669">
        <v>45.999032601436888</v>
      </c>
      <c r="BE112" s="669">
        <v>54.977487317387244</v>
      </c>
      <c r="BF112" s="669">
        <v>65.055820888592422</v>
      </c>
      <c r="BG112" s="669">
        <v>76.727129586894478</v>
      </c>
      <c r="BH112" s="669">
        <v>90.331704324643439</v>
      </c>
      <c r="BI112" s="669">
        <v>51.30221026343979</v>
      </c>
      <c r="BJ112" s="690"/>
      <c r="BK112" s="508"/>
      <c r="BL112" s="509"/>
      <c r="BM112" s="509"/>
      <c r="BN112" s="509"/>
      <c r="BO112" s="509"/>
      <c r="BP112" s="509"/>
      <c r="BQ112" s="509"/>
      <c r="BR112" s="509"/>
      <c r="BS112" s="509"/>
      <c r="BT112" s="509"/>
      <c r="BU112" s="509"/>
      <c r="BV112" s="509"/>
      <c r="BW112" s="509"/>
      <c r="BX112" s="509"/>
      <c r="BY112" s="509"/>
      <c r="BZ112" s="509"/>
      <c r="CA112" s="509"/>
      <c r="CB112" s="509"/>
      <c r="CC112" s="509"/>
      <c r="CD112" s="509"/>
      <c r="CE112" s="509"/>
      <c r="CF112" s="509"/>
      <c r="CG112" s="509"/>
      <c r="CH112" s="509"/>
      <c r="CI112" s="509"/>
      <c r="CJ112" s="509"/>
      <c r="CK112" s="509"/>
    </row>
    <row r="113" spans="1:108" ht="14">
      <c r="B113" s="691"/>
      <c r="H113" s="692"/>
      <c r="I113" s="692"/>
      <c r="J113" s="692"/>
      <c r="K113" s="692"/>
      <c r="L113" s="692"/>
      <c r="M113" s="692"/>
      <c r="N113" s="692"/>
      <c r="O113" s="692"/>
      <c r="P113" s="692"/>
      <c r="Q113" s="692"/>
      <c r="R113" s="692"/>
      <c r="S113" s="692"/>
      <c r="T113" s="692"/>
      <c r="U113" s="692"/>
      <c r="V113" s="692"/>
      <c r="W113" s="692"/>
      <c r="X113" s="692"/>
      <c r="Y113" s="692"/>
      <c r="Z113" s="692"/>
      <c r="AA113" s="692"/>
      <c r="AB113" s="692"/>
      <c r="AC113" s="692"/>
      <c r="AD113" s="692"/>
      <c r="AE113" s="692"/>
      <c r="AF113" s="692"/>
      <c r="AG113" s="692"/>
      <c r="AH113" s="692"/>
      <c r="AI113" s="692"/>
      <c r="AJ113" s="692"/>
      <c r="AK113" s="692"/>
      <c r="AL113" s="692"/>
      <c r="AM113" s="692"/>
      <c r="AN113" s="692"/>
      <c r="AO113" s="692"/>
      <c r="AP113" s="692"/>
      <c r="AQ113" s="692"/>
      <c r="AR113" s="692"/>
      <c r="AS113" s="692"/>
      <c r="AT113" s="692"/>
      <c r="AU113" s="692"/>
      <c r="AV113" s="692"/>
      <c r="AW113" s="692"/>
      <c r="BJ113" s="693"/>
    </row>
    <row r="114" spans="1:108" ht="23">
      <c r="A114" s="495"/>
      <c r="B114" s="643" t="s">
        <v>4043</v>
      </c>
      <c r="C114" s="644"/>
      <c r="D114" s="644"/>
      <c r="E114" s="644"/>
      <c r="F114" s="644"/>
      <c r="G114" s="644"/>
      <c r="H114" s="645"/>
      <c r="I114" s="645"/>
      <c r="J114" s="645"/>
      <c r="K114" s="645"/>
      <c r="L114" s="645"/>
      <c r="M114" s="645"/>
      <c r="N114" s="645"/>
      <c r="O114" s="645"/>
      <c r="P114" s="645"/>
      <c r="Q114" s="645"/>
      <c r="R114" s="645"/>
      <c r="S114" s="645"/>
      <c r="T114" s="645"/>
      <c r="U114" s="645"/>
      <c r="V114" s="645"/>
      <c r="W114" s="645"/>
      <c r="X114" s="645"/>
      <c r="Y114" s="645"/>
      <c r="Z114" s="645"/>
      <c r="AA114" s="645"/>
      <c r="AB114" s="645"/>
      <c r="AC114" s="645"/>
      <c r="AD114" s="645"/>
      <c r="AE114" s="645"/>
      <c r="AF114" s="645"/>
      <c r="AG114" s="645"/>
      <c r="AH114" s="645"/>
      <c r="AI114" s="645"/>
      <c r="AJ114" s="645"/>
      <c r="AK114" s="645"/>
      <c r="AL114" s="645"/>
      <c r="AM114" s="645"/>
      <c r="AN114" s="645"/>
      <c r="AO114" s="645"/>
      <c r="AP114" s="645"/>
      <c r="AQ114" s="645"/>
      <c r="AR114" s="645"/>
      <c r="AS114" s="645"/>
      <c r="AT114" s="645"/>
      <c r="AU114" s="645"/>
      <c r="AV114" s="645"/>
      <c r="AW114" s="645"/>
      <c r="AX114" s="644"/>
      <c r="AY114" s="646"/>
      <c r="AZ114" s="646"/>
      <c r="BA114" s="647"/>
      <c r="BB114" s="647"/>
      <c r="BC114" s="647"/>
      <c r="BD114" s="647"/>
      <c r="BE114" s="647"/>
      <c r="BF114" s="647"/>
      <c r="BG114" s="647"/>
      <c r="BH114" s="647"/>
      <c r="BI114" s="647"/>
      <c r="BJ114" s="648"/>
    </row>
    <row r="115" spans="1:108" ht="14">
      <c r="B115" s="663"/>
      <c r="C115" s="656"/>
      <c r="D115" s="650"/>
      <c r="E115" s="650"/>
      <c r="F115" s="650"/>
      <c r="G115" s="650"/>
      <c r="H115" s="651"/>
      <c r="I115" s="651"/>
      <c r="J115" s="651"/>
      <c r="K115" s="651"/>
      <c r="L115" s="651"/>
      <c r="M115" s="651"/>
      <c r="N115" s="651"/>
      <c r="O115" s="651"/>
      <c r="P115" s="651"/>
      <c r="Q115" s="651"/>
      <c r="R115" s="651"/>
      <c r="S115" s="651"/>
      <c r="T115" s="651"/>
      <c r="U115" s="651"/>
      <c r="V115" s="651"/>
      <c r="W115" s="651"/>
      <c r="X115" s="651"/>
      <c r="Y115" s="651"/>
      <c r="Z115" s="651"/>
      <c r="AA115" s="651"/>
      <c r="AB115" s="651"/>
      <c r="AC115" s="651"/>
      <c r="AD115" s="651"/>
      <c r="AE115" s="651"/>
      <c r="AF115" s="651"/>
      <c r="AG115" s="651"/>
      <c r="AH115" s="651"/>
      <c r="AI115" s="651"/>
      <c r="AJ115" s="651"/>
      <c r="AK115" s="651"/>
      <c r="AL115" s="651"/>
      <c r="AM115" s="651"/>
      <c r="AN115" s="651"/>
      <c r="AO115" s="651"/>
      <c r="AP115" s="651"/>
      <c r="AQ115" s="651"/>
      <c r="AR115" s="651"/>
      <c r="AS115" s="651"/>
      <c r="AT115" s="651"/>
      <c r="AU115" s="651"/>
      <c r="AV115" s="651"/>
      <c r="AW115" s="651"/>
      <c r="AX115" s="650"/>
      <c r="AY115" s="652"/>
      <c r="AZ115" s="659"/>
      <c r="BA115" s="660"/>
      <c r="BB115" s="660"/>
      <c r="BC115" s="660"/>
      <c r="BD115" s="660"/>
      <c r="BE115" s="660"/>
      <c r="BF115" s="660"/>
      <c r="BG115" s="660"/>
      <c r="BH115" s="660"/>
      <c r="BI115" s="660"/>
      <c r="BJ115" s="661"/>
      <c r="BK115" s="694" t="s">
        <v>4044</v>
      </c>
      <c r="BL115" s="494"/>
      <c r="BM115" s="494"/>
      <c r="BN115" s="494"/>
      <c r="BO115" s="494"/>
      <c r="BP115" s="494"/>
      <c r="BQ115" s="494"/>
      <c r="BR115" s="494"/>
      <c r="BS115" s="494"/>
      <c r="BT115" s="494"/>
      <c r="BU115" s="494"/>
      <c r="BV115" s="494"/>
      <c r="BW115" s="494"/>
      <c r="BX115" s="494"/>
      <c r="BY115" s="494"/>
      <c r="BZ115" s="494"/>
      <c r="CA115" s="494"/>
      <c r="CB115" s="494"/>
      <c r="CC115" s="494"/>
      <c r="CD115" s="494"/>
      <c r="CE115" s="494"/>
      <c r="CF115" s="494"/>
      <c r="CG115" s="494"/>
      <c r="CH115" s="494"/>
      <c r="CI115" s="494"/>
    </row>
    <row r="116" spans="1:108" ht="16">
      <c r="B116" s="655"/>
      <c r="C116" s="656" t="s">
        <v>4034</v>
      </c>
      <c r="D116" s="695" t="s">
        <v>4045</v>
      </c>
      <c r="E116" s="656"/>
      <c r="F116" s="695"/>
      <c r="G116" s="656"/>
      <c r="H116" s="671"/>
      <c r="I116" s="671"/>
      <c r="J116" s="671"/>
      <c r="K116" s="671"/>
      <c r="L116" s="671"/>
      <c r="M116" s="671"/>
      <c r="N116" s="671"/>
      <c r="O116" s="671"/>
      <c r="P116" s="671"/>
      <c r="Q116" s="671"/>
      <c r="R116" s="671"/>
      <c r="S116" s="671"/>
      <c r="T116" s="671"/>
      <c r="U116" s="671"/>
      <c r="V116" s="671"/>
      <c r="W116" s="671"/>
      <c r="X116" s="671"/>
      <c r="Y116" s="671"/>
      <c r="Z116" s="671"/>
      <c r="AA116" s="671"/>
      <c r="AB116" s="671"/>
      <c r="AC116" s="671"/>
      <c r="AD116" s="671"/>
      <c r="AE116" s="671"/>
      <c r="AF116" s="671"/>
      <c r="AG116" s="671"/>
      <c r="AH116" s="671"/>
      <c r="AI116" s="671"/>
      <c r="AJ116" s="671"/>
      <c r="AK116" s="671"/>
      <c r="AL116" s="671"/>
      <c r="AM116" s="671"/>
      <c r="AN116" s="671"/>
      <c r="AO116" s="671"/>
      <c r="AP116" s="671"/>
      <c r="AQ116" s="671"/>
      <c r="AR116" s="671"/>
      <c r="AS116" s="671"/>
      <c r="AT116" s="671"/>
      <c r="AU116" s="671"/>
      <c r="AV116" s="671"/>
      <c r="AW116" s="671"/>
      <c r="AX116" s="656"/>
      <c r="AY116" s="696"/>
      <c r="AZ116" s="696"/>
      <c r="BA116" s="697"/>
      <c r="BB116" s="697" t="s">
        <v>3859</v>
      </c>
      <c r="BC116" s="697">
        <v>2022</v>
      </c>
      <c r="BD116" s="697">
        <v>2027</v>
      </c>
      <c r="BE116" s="697">
        <v>2032</v>
      </c>
      <c r="BF116" s="697">
        <v>2037</v>
      </c>
      <c r="BG116" s="697">
        <v>2042</v>
      </c>
      <c r="BH116" s="697">
        <v>2047</v>
      </c>
      <c r="BI116" s="697" t="s">
        <v>4046</v>
      </c>
      <c r="BJ116" s="688"/>
      <c r="BK116" s="494" t="s">
        <v>420</v>
      </c>
      <c r="BL116" s="698"/>
      <c r="BM116" s="699">
        <v>2020</v>
      </c>
      <c r="BN116" s="699">
        <v>2022</v>
      </c>
      <c r="BO116" s="699">
        <v>2027</v>
      </c>
      <c r="BP116" s="699">
        <v>2032</v>
      </c>
      <c r="BQ116" s="699">
        <v>2037</v>
      </c>
      <c r="BR116" s="699">
        <v>2042</v>
      </c>
      <c r="BS116" s="699">
        <v>2047</v>
      </c>
      <c r="BT116" s="699">
        <v>2030</v>
      </c>
      <c r="BU116" s="494"/>
      <c r="BV116" s="494"/>
      <c r="BW116" s="494"/>
      <c r="BX116" s="694"/>
      <c r="BY116" s="694"/>
      <c r="BZ116" s="694"/>
      <c r="CA116" s="694"/>
      <c r="CB116" s="694"/>
      <c r="CC116" s="694"/>
      <c r="CD116" s="694"/>
      <c r="CE116" s="694"/>
      <c r="CF116" s="694"/>
      <c r="CG116" s="494"/>
      <c r="CH116" s="494"/>
      <c r="CI116" s="494"/>
    </row>
    <row r="117" spans="1:108" ht="16">
      <c r="B117" s="700"/>
      <c r="C117" s="656" t="s">
        <v>4047</v>
      </c>
      <c r="D117" s="656" t="s">
        <v>4048</v>
      </c>
      <c r="E117" s="656"/>
      <c r="F117" s="659"/>
      <c r="G117" s="659"/>
      <c r="H117" s="689"/>
      <c r="I117" s="689"/>
      <c r="J117" s="689"/>
      <c r="K117" s="689"/>
      <c r="L117" s="689"/>
      <c r="M117" s="689"/>
      <c r="N117" s="689"/>
      <c r="O117" s="689"/>
      <c r="P117" s="689"/>
      <c r="Q117" s="689"/>
      <c r="R117" s="689"/>
      <c r="S117" s="689"/>
      <c r="T117" s="689"/>
      <c r="U117" s="689"/>
      <c r="V117" s="689"/>
      <c r="W117" s="689"/>
      <c r="X117" s="689"/>
      <c r="Y117" s="689"/>
      <c r="Z117" s="689"/>
      <c r="AA117" s="689"/>
      <c r="AB117" s="689"/>
      <c r="AC117" s="689"/>
      <c r="AD117" s="689"/>
      <c r="AE117" s="689"/>
      <c r="AF117" s="689"/>
      <c r="AG117" s="689"/>
      <c r="AH117" s="689">
        <v>19.019776440240754</v>
      </c>
      <c r="AI117" s="689">
        <v>18.452278589853826</v>
      </c>
      <c r="AJ117" s="689">
        <v>19.019776440240754</v>
      </c>
      <c r="AK117" s="689">
        <v>19.45829750644884</v>
      </c>
      <c r="AL117" s="689">
        <v>20.773860705073087</v>
      </c>
      <c r="AM117" s="689">
        <v>21.367153912295787</v>
      </c>
      <c r="AN117" s="689">
        <v>21.556319862424761</v>
      </c>
      <c r="AO117" s="689">
        <v>22.244196044711948</v>
      </c>
      <c r="AP117" s="689">
        <v>22.579535683576957</v>
      </c>
      <c r="AQ117" s="689">
        <v>22.717110920034393</v>
      </c>
      <c r="AR117" s="689">
        <v>23.009458297506448</v>
      </c>
      <c r="AS117" s="689">
        <v>23.774720550300945</v>
      </c>
      <c r="AT117" s="689">
        <v>24.015477214101463</v>
      </c>
      <c r="AU117" s="689">
        <v>21.504729148753224</v>
      </c>
      <c r="AV117" s="689">
        <v>22.622527944969907</v>
      </c>
      <c r="AW117" s="689" t="s">
        <v>4049</v>
      </c>
      <c r="AX117" s="656"/>
      <c r="AY117" s="659"/>
      <c r="AZ117" s="659"/>
      <c r="BA117" s="660"/>
      <c r="BB117" s="701">
        <v>4.0848410093757526</v>
      </c>
      <c r="BC117" s="701">
        <v>3.9411498830610485</v>
      </c>
      <c r="BD117" s="701">
        <v>4.7122049374387602</v>
      </c>
      <c r="BE117" s="701">
        <v>5.1211248276851409</v>
      </c>
      <c r="BF117" s="701">
        <v>5.5476915738768433</v>
      </c>
      <c r="BG117" s="701">
        <v>5.992535648600815</v>
      </c>
      <c r="BH117" s="701">
        <v>6.456308112799408</v>
      </c>
      <c r="BI117" s="701">
        <v>4.9554738778281102</v>
      </c>
      <c r="BJ117" s="688"/>
      <c r="BK117" s="694" t="s">
        <v>3883</v>
      </c>
      <c r="BL117" s="702"/>
      <c r="BM117" s="703">
        <v>41.041263979768402</v>
      </c>
      <c r="BN117" s="703">
        <v>42.881594770801087</v>
      </c>
      <c r="BO117" s="703">
        <v>56.711750644529644</v>
      </c>
      <c r="BP117" s="703">
        <v>74.263542743834037</v>
      </c>
      <c r="BQ117" s="703">
        <v>93.076812133220258</v>
      </c>
      <c r="BR117" s="703">
        <v>115.538896974697</v>
      </c>
      <c r="BS117" s="703">
        <v>141.93291352786207</v>
      </c>
      <c r="BT117" s="703">
        <v>67.131183663464085</v>
      </c>
      <c r="BU117" s="494"/>
      <c r="BV117" s="694"/>
      <c r="BW117" s="494"/>
      <c r="BX117" s="1194"/>
      <c r="BY117" s="1194"/>
      <c r="BZ117" s="1194"/>
      <c r="CA117" s="1194"/>
      <c r="CB117" s="1194"/>
      <c r="CC117" s="1194"/>
      <c r="CD117" s="1194"/>
      <c r="CE117" s="1194"/>
      <c r="CF117" s="1194"/>
      <c r="CG117" s="494"/>
      <c r="CH117" s="494"/>
      <c r="CI117" s="494"/>
    </row>
    <row r="118" spans="1:108" s="518" customFormat="1" ht="14">
      <c r="B118" s="663"/>
      <c r="C118" s="704" t="s">
        <v>4050</v>
      </c>
      <c r="D118" s="656" t="s">
        <v>4051</v>
      </c>
      <c r="E118" s="656"/>
      <c r="F118" s="705"/>
      <c r="G118" s="705"/>
      <c r="H118" s="706"/>
      <c r="I118" s="706"/>
      <c r="J118" s="706"/>
      <c r="K118" s="706"/>
      <c r="L118" s="706"/>
      <c r="M118" s="706"/>
      <c r="N118" s="706"/>
      <c r="O118" s="706"/>
      <c r="P118" s="706"/>
      <c r="Q118" s="706"/>
      <c r="R118" s="706"/>
      <c r="S118" s="706"/>
      <c r="T118" s="706"/>
      <c r="U118" s="706"/>
      <c r="V118" s="706"/>
      <c r="W118" s="706"/>
      <c r="X118" s="706"/>
      <c r="Y118" s="706"/>
      <c r="Z118" s="706"/>
      <c r="AA118" s="706"/>
      <c r="AB118" s="706"/>
      <c r="AC118" s="706"/>
      <c r="AD118" s="706"/>
      <c r="AE118" s="706"/>
      <c r="AF118" s="706"/>
      <c r="AG118" s="706"/>
      <c r="AH118" s="706"/>
      <c r="AI118" s="706"/>
      <c r="AJ118" s="706"/>
      <c r="AK118" s="706"/>
      <c r="AL118" s="706"/>
      <c r="AM118" s="706"/>
      <c r="AN118" s="706"/>
      <c r="AO118" s="706"/>
      <c r="AP118" s="706"/>
      <c r="AQ118" s="706"/>
      <c r="AR118" s="706"/>
      <c r="AS118" s="706"/>
      <c r="AT118" s="706"/>
      <c r="AU118" s="706"/>
      <c r="AV118" s="706"/>
      <c r="AW118" s="706"/>
      <c r="AX118" s="656"/>
      <c r="AY118" s="705"/>
      <c r="AZ118" s="705"/>
      <c r="BA118" s="707"/>
      <c r="BB118" s="708">
        <v>77.106118765412006</v>
      </c>
      <c r="BC118" s="708">
        <v>81.395970517272602</v>
      </c>
      <c r="BD118" s="708">
        <v>95.124348988034583</v>
      </c>
      <c r="BE118" s="708">
        <v>100.52339940480891</v>
      </c>
      <c r="BF118" s="708">
        <v>95.139935728495686</v>
      </c>
      <c r="BG118" s="708">
        <v>88.634223488098854</v>
      </c>
      <c r="BH118" s="708">
        <v>92.665667434589295</v>
      </c>
      <c r="BI118" s="708">
        <v>101.56975945214333</v>
      </c>
      <c r="BJ118" s="709"/>
      <c r="BK118" s="710" t="s">
        <v>416</v>
      </c>
      <c r="BL118" s="702"/>
      <c r="BM118" s="703">
        <v>26.299992318114107</v>
      </c>
      <c r="BN118" s="703">
        <v>27.571778248325508</v>
      </c>
      <c r="BO118" s="703">
        <v>39.702035771183873</v>
      </c>
      <c r="BP118" s="703">
        <v>56.366448333054386</v>
      </c>
      <c r="BQ118" s="703">
        <v>79.087548136374224</v>
      </c>
      <c r="BR118" s="703">
        <v>108.46823220377411</v>
      </c>
      <c r="BS118" s="703">
        <v>145.43612550526643</v>
      </c>
      <c r="BT118" s="703">
        <v>48.953580350668915</v>
      </c>
      <c r="BU118" s="711"/>
      <c r="BV118" s="710"/>
      <c r="BW118" s="711"/>
      <c r="BX118" s="711"/>
      <c r="BY118" s="711"/>
      <c r="BZ118" s="711"/>
      <c r="CA118" s="711"/>
      <c r="CB118" s="711"/>
      <c r="CC118" s="711"/>
      <c r="CD118" s="711"/>
      <c r="CE118" s="711"/>
      <c r="CF118" s="711"/>
      <c r="CG118" s="711"/>
      <c r="CH118" s="711"/>
      <c r="CI118" s="711"/>
      <c r="CJ118" s="712"/>
      <c r="CL118" s="713"/>
      <c r="CM118" s="713"/>
      <c r="CN118" s="713"/>
      <c r="CO118" s="713"/>
      <c r="CP118" s="713"/>
      <c r="CQ118" s="713"/>
      <c r="CR118" s="713"/>
      <c r="CS118" s="713"/>
      <c r="CT118" s="713"/>
      <c r="CU118" s="713"/>
      <c r="CV118" s="713"/>
      <c r="CW118" s="713"/>
      <c r="CX118" s="713"/>
      <c r="CY118" s="713"/>
      <c r="CZ118" s="713"/>
      <c r="DA118" s="713"/>
      <c r="DB118" s="713"/>
      <c r="DC118" s="713"/>
      <c r="DD118" s="713"/>
    </row>
    <row r="119" spans="1:108" s="518" customFormat="1" ht="14">
      <c r="B119" s="663"/>
      <c r="C119" s="704" t="s">
        <v>4052</v>
      </c>
      <c r="D119" s="656" t="s">
        <v>4053</v>
      </c>
      <c r="E119" s="656"/>
      <c r="F119" s="705"/>
      <c r="G119" s="705"/>
      <c r="H119" s="706"/>
      <c r="I119" s="706"/>
      <c r="J119" s="706"/>
      <c r="K119" s="706"/>
      <c r="L119" s="706"/>
      <c r="M119" s="706"/>
      <c r="N119" s="706"/>
      <c r="O119" s="706"/>
      <c r="P119" s="706"/>
      <c r="Q119" s="706"/>
      <c r="R119" s="706"/>
      <c r="S119" s="706"/>
      <c r="T119" s="706"/>
      <c r="U119" s="706"/>
      <c r="V119" s="706"/>
      <c r="W119" s="706"/>
      <c r="X119" s="706"/>
      <c r="Y119" s="706"/>
      <c r="Z119" s="706"/>
      <c r="AA119" s="706"/>
      <c r="AB119" s="706"/>
      <c r="AC119" s="706"/>
      <c r="AD119" s="706"/>
      <c r="AE119" s="706"/>
      <c r="AF119" s="706"/>
      <c r="AG119" s="706"/>
      <c r="AH119" s="706"/>
      <c r="AI119" s="706"/>
      <c r="AJ119" s="706"/>
      <c r="AK119" s="706"/>
      <c r="AL119" s="706"/>
      <c r="AM119" s="706"/>
      <c r="AN119" s="706"/>
      <c r="AO119" s="706"/>
      <c r="AP119" s="706"/>
      <c r="AQ119" s="706"/>
      <c r="AR119" s="706"/>
      <c r="AS119" s="706"/>
      <c r="AT119" s="706"/>
      <c r="AU119" s="706"/>
      <c r="AV119" s="706"/>
      <c r="AW119" s="706"/>
      <c r="AX119" s="656"/>
      <c r="AY119" s="705"/>
      <c r="AZ119" s="705"/>
      <c r="BA119" s="707"/>
      <c r="BB119" s="708">
        <v>0</v>
      </c>
      <c r="BC119" s="708">
        <v>0</v>
      </c>
      <c r="BD119" s="708">
        <v>0</v>
      </c>
      <c r="BE119" s="708">
        <v>1.5986832330180565</v>
      </c>
      <c r="BF119" s="708">
        <v>3.197366466036113</v>
      </c>
      <c r="BG119" s="708">
        <v>4.7960496990541683</v>
      </c>
      <c r="BH119" s="708">
        <v>6.3947329320722259</v>
      </c>
      <c r="BI119" s="708">
        <v>0.95920993981083369</v>
      </c>
      <c r="BJ119" s="709"/>
      <c r="BK119" s="710" t="s">
        <v>3884</v>
      </c>
      <c r="BL119" s="702"/>
      <c r="BM119" s="703">
        <v>8.1339065454081467</v>
      </c>
      <c r="BN119" s="703">
        <v>8.5969089718730327</v>
      </c>
      <c r="BO119" s="703">
        <v>10.542814296966707</v>
      </c>
      <c r="BP119" s="703">
        <v>13.067354867230923</v>
      </c>
      <c r="BQ119" s="703">
        <v>16.389815944123402</v>
      </c>
      <c r="BR119" s="703">
        <v>20.820660486070977</v>
      </c>
      <c r="BS119" s="703">
        <v>26.799899233812145</v>
      </c>
      <c r="BT119" s="703">
        <v>11.97577540367152</v>
      </c>
      <c r="BU119" s="711"/>
      <c r="BV119" s="710"/>
      <c r="BW119" s="711"/>
      <c r="BX119" s="711"/>
      <c r="BY119" s="711"/>
      <c r="BZ119" s="711"/>
      <c r="CA119" s="711"/>
      <c r="CB119" s="711"/>
      <c r="CC119" s="711"/>
      <c r="CD119" s="711"/>
      <c r="CE119" s="711"/>
      <c r="CF119" s="711"/>
      <c r="CG119" s="711"/>
      <c r="CH119" s="711"/>
      <c r="CI119" s="711"/>
      <c r="CJ119" s="712"/>
      <c r="CL119" s="713"/>
      <c r="CM119" s="713"/>
      <c r="CN119" s="713"/>
      <c r="CO119" s="713"/>
      <c r="CP119" s="713"/>
      <c r="CQ119" s="713"/>
      <c r="CR119" s="713"/>
      <c r="CS119" s="713"/>
      <c r="CT119" s="713"/>
      <c r="CU119" s="713"/>
      <c r="CV119" s="713"/>
      <c r="CW119" s="713"/>
      <c r="CX119" s="713"/>
      <c r="CY119" s="713"/>
      <c r="CZ119" s="713"/>
      <c r="DA119" s="713"/>
      <c r="DB119" s="713"/>
      <c r="DC119" s="713"/>
      <c r="DD119" s="713"/>
    </row>
    <row r="120" spans="1:108" s="518" customFormat="1" ht="14">
      <c r="B120" s="714"/>
      <c r="C120" s="704" t="s">
        <v>4054</v>
      </c>
      <c r="D120" s="656" t="s">
        <v>4055</v>
      </c>
      <c r="E120" s="656" t="s">
        <v>4056</v>
      </c>
      <c r="F120" s="705"/>
      <c r="G120" s="705"/>
      <c r="H120" s="706"/>
      <c r="I120" s="706"/>
      <c r="J120" s="706"/>
      <c r="K120" s="706"/>
      <c r="L120" s="706"/>
      <c r="M120" s="706"/>
      <c r="N120" s="706"/>
      <c r="O120" s="706"/>
      <c r="P120" s="706"/>
      <c r="Q120" s="706"/>
      <c r="R120" s="706"/>
      <c r="S120" s="706"/>
      <c r="T120" s="706"/>
      <c r="U120" s="706"/>
      <c r="V120" s="706"/>
      <c r="W120" s="706"/>
      <c r="X120" s="706"/>
      <c r="Y120" s="706"/>
      <c r="Z120" s="706"/>
      <c r="AA120" s="706"/>
      <c r="AB120" s="706"/>
      <c r="AC120" s="706"/>
      <c r="AD120" s="706"/>
      <c r="AE120" s="706"/>
      <c r="AF120" s="706"/>
      <c r="AG120" s="706"/>
      <c r="AH120" s="706">
        <v>19.019776440240754</v>
      </c>
      <c r="AI120" s="706">
        <v>18.452278589853826</v>
      </c>
      <c r="AJ120" s="706">
        <v>19.019776440240754</v>
      </c>
      <c r="AK120" s="706">
        <v>19.45829750644884</v>
      </c>
      <c r="AL120" s="706">
        <v>20.773860705073087</v>
      </c>
      <c r="AM120" s="706">
        <v>21.367153912295787</v>
      </c>
      <c r="AN120" s="706">
        <v>21.556319862424761</v>
      </c>
      <c r="AO120" s="706">
        <v>22.244196044711948</v>
      </c>
      <c r="AP120" s="706">
        <v>22.579535683576957</v>
      </c>
      <c r="AQ120" s="706">
        <v>22.717110920034393</v>
      </c>
      <c r="AR120" s="706">
        <v>23.009458297506448</v>
      </c>
      <c r="AS120" s="706">
        <v>23.774720550300945</v>
      </c>
      <c r="AT120" s="706">
        <v>24.015477214101463</v>
      </c>
      <c r="AU120" s="706">
        <v>21.504729148753224</v>
      </c>
      <c r="AV120" s="706">
        <v>22.622527944969907</v>
      </c>
      <c r="AW120" s="706" t="s">
        <v>4057</v>
      </c>
      <c r="AX120" s="705">
        <v>0</v>
      </c>
      <c r="AY120" s="705"/>
      <c r="AZ120" s="705"/>
      <c r="BA120" s="707"/>
      <c r="BB120" s="708">
        <v>0</v>
      </c>
      <c r="BC120" s="708">
        <v>0</v>
      </c>
      <c r="BD120" s="708">
        <v>0</v>
      </c>
      <c r="BE120" s="708">
        <v>0</v>
      </c>
      <c r="BF120" s="708">
        <v>0</v>
      </c>
      <c r="BG120" s="708">
        <v>0</v>
      </c>
      <c r="BH120" s="708">
        <v>0</v>
      </c>
      <c r="BI120" s="708">
        <v>0</v>
      </c>
      <c r="BJ120" s="709"/>
      <c r="BK120" s="710" t="s">
        <v>428</v>
      </c>
      <c r="BL120" s="702"/>
      <c r="BM120" s="703">
        <v>15.859990258502799</v>
      </c>
      <c r="BN120" s="703">
        <v>17.103761590721081</v>
      </c>
      <c r="BO120" s="703">
        <v>20.653471517496424</v>
      </c>
      <c r="BP120" s="703">
        <v>24.934789779751661</v>
      </c>
      <c r="BQ120" s="703">
        <v>30.066999449119308</v>
      </c>
      <c r="BR120" s="703">
        <v>36.231900855985259</v>
      </c>
      <c r="BS120" s="703">
        <v>43.631741168625105</v>
      </c>
      <c r="BT120" s="703">
        <v>23.126518922432346</v>
      </c>
      <c r="BU120" s="711"/>
      <c r="BV120" s="710"/>
      <c r="BW120" s="711"/>
      <c r="BX120" s="694"/>
      <c r="BY120" s="694"/>
      <c r="BZ120" s="694"/>
      <c r="CA120" s="694"/>
      <c r="CB120" s="694"/>
      <c r="CC120" s="694"/>
      <c r="CD120" s="694"/>
      <c r="CE120" s="694"/>
      <c r="CF120" s="694"/>
      <c r="CG120" s="711"/>
      <c r="CH120" s="711"/>
      <c r="CI120" s="711"/>
      <c r="CJ120" s="712"/>
      <c r="CL120" s="713"/>
      <c r="CM120" s="713"/>
      <c r="CN120" s="713"/>
      <c r="CO120" s="713"/>
      <c r="CP120" s="713"/>
      <c r="CQ120" s="713"/>
      <c r="CR120" s="713"/>
      <c r="CS120" s="713"/>
      <c r="CT120" s="713"/>
      <c r="CU120" s="713"/>
      <c r="CV120" s="713"/>
      <c r="CW120" s="713"/>
      <c r="CX120" s="713"/>
      <c r="CY120" s="713"/>
      <c r="CZ120" s="713"/>
      <c r="DA120" s="713"/>
      <c r="DB120" s="713"/>
      <c r="DC120" s="713"/>
      <c r="DD120" s="713"/>
    </row>
    <row r="121" spans="1:108" s="518" customFormat="1" ht="14">
      <c r="B121" s="714"/>
      <c r="C121" s="704"/>
      <c r="D121" s="715" t="s">
        <v>4058</v>
      </c>
      <c r="E121" s="656"/>
      <c r="F121" s="705"/>
      <c r="G121" s="705"/>
      <c r="H121" s="706"/>
      <c r="I121" s="706"/>
      <c r="J121" s="706"/>
      <c r="K121" s="706"/>
      <c r="L121" s="706"/>
      <c r="M121" s="706"/>
      <c r="N121" s="706"/>
      <c r="O121" s="706"/>
      <c r="P121" s="706"/>
      <c r="Q121" s="706"/>
      <c r="R121" s="706"/>
      <c r="S121" s="706"/>
      <c r="T121" s="706"/>
      <c r="U121" s="706"/>
      <c r="V121" s="706"/>
      <c r="W121" s="706"/>
      <c r="X121" s="706"/>
      <c r="Y121" s="706"/>
      <c r="Z121" s="706"/>
      <c r="AA121" s="706"/>
      <c r="AB121" s="706"/>
      <c r="AC121" s="706"/>
      <c r="AD121" s="706"/>
      <c r="AE121" s="706"/>
      <c r="AF121" s="706"/>
      <c r="AG121" s="706"/>
      <c r="AH121" s="706"/>
      <c r="AI121" s="706"/>
      <c r="AJ121" s="706"/>
      <c r="AK121" s="706"/>
      <c r="AL121" s="706"/>
      <c r="AM121" s="706"/>
      <c r="AN121" s="706"/>
      <c r="AO121" s="706"/>
      <c r="AP121" s="706"/>
      <c r="AQ121" s="706"/>
      <c r="AR121" s="706"/>
      <c r="AS121" s="706"/>
      <c r="AT121" s="706"/>
      <c r="AU121" s="706"/>
      <c r="AV121" s="706"/>
      <c r="AW121" s="706"/>
      <c r="AX121" s="705"/>
      <c r="AY121" s="705"/>
      <c r="AZ121" s="705"/>
      <c r="BA121" s="707"/>
      <c r="BB121" s="708">
        <v>81.190959774787757</v>
      </c>
      <c r="BC121" s="708">
        <v>85.337120400333646</v>
      </c>
      <c r="BD121" s="708">
        <v>99.836553925473339</v>
      </c>
      <c r="BE121" s="708">
        <v>107.2432074655121</v>
      </c>
      <c r="BF121" s="708">
        <v>103.88499376840865</v>
      </c>
      <c r="BG121" s="708">
        <v>99.422808835753841</v>
      </c>
      <c r="BH121" s="708">
        <v>105.51670847946093</v>
      </c>
      <c r="BI121" s="708">
        <v>107.48444326978228</v>
      </c>
      <c r="BJ121" s="709"/>
      <c r="BK121" s="710" t="s">
        <v>3885</v>
      </c>
      <c r="BL121" s="716"/>
      <c r="BM121" s="717">
        <v>5.0967951616150762</v>
      </c>
      <c r="BN121" s="717">
        <v>6.1846092944111142</v>
      </c>
      <c r="BO121" s="717">
        <v>11.394846304698039</v>
      </c>
      <c r="BP121" s="717">
        <v>16.281712748942191</v>
      </c>
      <c r="BQ121" s="717">
        <v>22.283088826559435</v>
      </c>
      <c r="BR121" s="717">
        <v>29.36817651420056</v>
      </c>
      <c r="BS121" s="717">
        <v>37.876484374084299</v>
      </c>
      <c r="BT121" s="717">
        <v>14.179957862232856</v>
      </c>
      <c r="BU121" s="711"/>
      <c r="BV121" s="710"/>
      <c r="BW121" s="711"/>
      <c r="BX121" s="718"/>
      <c r="BY121" s="718"/>
      <c r="BZ121" s="718"/>
      <c r="CA121" s="718"/>
      <c r="CB121" s="718"/>
      <c r="CC121" s="718"/>
      <c r="CD121" s="718"/>
      <c r="CE121" s="718"/>
      <c r="CF121" s="718"/>
      <c r="CG121" s="711"/>
      <c r="CH121" s="711"/>
      <c r="CI121" s="711"/>
      <c r="CJ121" s="712"/>
      <c r="CL121" s="713"/>
      <c r="CM121" s="713"/>
      <c r="CN121" s="713"/>
      <c r="CO121" s="713"/>
      <c r="CP121" s="713"/>
      <c r="CQ121" s="713"/>
      <c r="CR121" s="713"/>
      <c r="CS121" s="713"/>
      <c r="CT121" s="713"/>
      <c r="CU121" s="713"/>
      <c r="CV121" s="713"/>
      <c r="CW121" s="713"/>
      <c r="CX121" s="713"/>
      <c r="CY121" s="713"/>
      <c r="CZ121" s="713"/>
      <c r="DA121" s="713"/>
      <c r="DB121" s="713"/>
      <c r="DC121" s="713"/>
      <c r="DD121" s="713"/>
    </row>
    <row r="122" spans="1:108" ht="14">
      <c r="B122" s="714"/>
      <c r="C122" s="656" t="s">
        <v>4059</v>
      </c>
      <c r="D122" s="656" t="s">
        <v>3961</v>
      </c>
      <c r="E122" s="656"/>
      <c r="F122" s="659"/>
      <c r="G122" s="659"/>
      <c r="H122" s="689"/>
      <c r="I122" s="689"/>
      <c r="J122" s="689"/>
      <c r="K122" s="689"/>
      <c r="L122" s="689"/>
      <c r="M122" s="689"/>
      <c r="N122" s="689"/>
      <c r="O122" s="689"/>
      <c r="P122" s="689"/>
      <c r="Q122" s="689"/>
      <c r="R122" s="689"/>
      <c r="S122" s="689"/>
      <c r="T122" s="689"/>
      <c r="U122" s="689"/>
      <c r="V122" s="689"/>
      <c r="W122" s="689"/>
      <c r="X122" s="689"/>
      <c r="Y122" s="689"/>
      <c r="Z122" s="689"/>
      <c r="AA122" s="689"/>
      <c r="AB122" s="689"/>
      <c r="AC122" s="689"/>
      <c r="AD122" s="689"/>
      <c r="AE122" s="689"/>
      <c r="AF122" s="689"/>
      <c r="AG122" s="689"/>
      <c r="AH122" s="689"/>
      <c r="AI122" s="689"/>
      <c r="AJ122" s="689"/>
      <c r="AK122" s="689"/>
      <c r="AL122" s="689"/>
      <c r="AM122" s="689"/>
      <c r="AN122" s="689"/>
      <c r="AO122" s="689"/>
      <c r="AP122" s="689"/>
      <c r="AQ122" s="689"/>
      <c r="AR122" s="689"/>
      <c r="AS122" s="689"/>
      <c r="AT122" s="689"/>
      <c r="AU122" s="689"/>
      <c r="AV122" s="689"/>
      <c r="AW122" s="689"/>
      <c r="AX122" s="656"/>
      <c r="AY122" s="659"/>
      <c r="AZ122" s="659"/>
      <c r="BA122" s="660"/>
      <c r="BB122" s="701">
        <v>3.5677795395374026</v>
      </c>
      <c r="BC122" s="701">
        <v>3.6079028110363538</v>
      </c>
      <c r="BD122" s="701">
        <v>7.3346909955231752</v>
      </c>
      <c r="BE122" s="701">
        <v>11.233563692879722</v>
      </c>
      <c r="BF122" s="701">
        <v>16.891423201340679</v>
      </c>
      <c r="BG122" s="701">
        <v>25.398901503325909</v>
      </c>
      <c r="BH122" s="701">
        <v>38.191228168651229</v>
      </c>
      <c r="BI122" s="701">
        <v>9.4986375452413832</v>
      </c>
      <c r="BJ122" s="688"/>
      <c r="BK122" s="710" t="s">
        <v>3886</v>
      </c>
      <c r="BL122" s="716"/>
      <c r="BM122" s="719">
        <v>6.7367153912295787</v>
      </c>
      <c r="BN122" s="719">
        <v>7.1493565189115174</v>
      </c>
      <c r="BO122" s="719">
        <v>9.7108540376326573</v>
      </c>
      <c r="BP122" s="719">
        <v>12.918042116660047</v>
      </c>
      <c r="BQ122" s="719">
        <v>16.829520668456439</v>
      </c>
      <c r="BR122" s="719">
        <v>21.686424752168534</v>
      </c>
      <c r="BS122" s="719">
        <v>27.641922489353988</v>
      </c>
      <c r="BT122" s="719">
        <v>11.552504572549537</v>
      </c>
      <c r="BU122" s="494"/>
      <c r="BV122" s="694"/>
      <c r="BW122" s="494"/>
      <c r="BX122" s="720"/>
      <c r="BY122" s="720"/>
      <c r="BZ122" s="720"/>
      <c r="CA122" s="720"/>
      <c r="CB122" s="721"/>
      <c r="CC122" s="720"/>
      <c r="CD122" s="720"/>
      <c r="CE122" s="720"/>
      <c r="CF122" s="720"/>
      <c r="CG122" s="494"/>
      <c r="CH122" s="494"/>
      <c r="CI122" s="494"/>
    </row>
    <row r="123" spans="1:108" ht="14">
      <c r="B123" s="714"/>
      <c r="C123" s="656" t="s">
        <v>4060</v>
      </c>
      <c r="D123" s="656" t="s">
        <v>4061</v>
      </c>
      <c r="E123" s="656"/>
      <c r="F123" s="659"/>
      <c r="G123" s="659"/>
      <c r="H123" s="689"/>
      <c r="I123" s="689"/>
      <c r="J123" s="689"/>
      <c r="K123" s="689"/>
      <c r="L123" s="689"/>
      <c r="M123" s="689"/>
      <c r="N123" s="689"/>
      <c r="O123" s="689"/>
      <c r="P123" s="689"/>
      <c r="Q123" s="689"/>
      <c r="R123" s="689"/>
      <c r="S123" s="689"/>
      <c r="T123" s="689"/>
      <c r="U123" s="689"/>
      <c r="V123" s="689"/>
      <c r="W123" s="689"/>
      <c r="X123" s="689"/>
      <c r="Y123" s="689"/>
      <c r="Z123" s="689"/>
      <c r="AA123" s="689"/>
      <c r="AB123" s="689"/>
      <c r="AC123" s="689"/>
      <c r="AD123" s="689"/>
      <c r="AE123" s="689"/>
      <c r="AF123" s="689"/>
      <c r="AG123" s="689"/>
      <c r="AH123" s="689">
        <v>7.3774720550300943</v>
      </c>
      <c r="AI123" s="689">
        <v>7.6784178847807389</v>
      </c>
      <c r="AJ123" s="689">
        <v>7.7901977644024063</v>
      </c>
      <c r="AK123" s="689">
        <v>7.5408426483233013</v>
      </c>
      <c r="AL123" s="689">
        <v>6.7325881341358551</v>
      </c>
      <c r="AM123" s="689">
        <v>7.1367153912295782</v>
      </c>
      <c r="AN123" s="689">
        <v>6.9733447979363703</v>
      </c>
      <c r="AO123" s="689">
        <v>7.0421324161650904</v>
      </c>
      <c r="AP123" s="689">
        <v>6.3370593293207218</v>
      </c>
      <c r="AQ123" s="689">
        <v>6.4660361134995696</v>
      </c>
      <c r="AR123" s="689">
        <v>5.9501289767841792</v>
      </c>
      <c r="AS123" s="689">
        <v>4.9183147033533965</v>
      </c>
      <c r="AT123" s="689">
        <v>4.1014617368873605</v>
      </c>
      <c r="AU123" s="689">
        <v>5.3998280309544278</v>
      </c>
      <c r="AV123" s="689">
        <v>4.858125537403267</v>
      </c>
      <c r="AW123" s="689" t="s">
        <v>4062</v>
      </c>
      <c r="AX123" s="656"/>
      <c r="AY123" s="659"/>
      <c r="AZ123" s="659"/>
      <c r="BA123" s="660"/>
      <c r="BB123" s="701">
        <v>13.402619223508166</v>
      </c>
      <c r="BC123" s="701">
        <v>13.044101054239036</v>
      </c>
      <c r="BD123" s="701">
        <v>15.066312210990061</v>
      </c>
      <c r="BE123" s="701">
        <v>17.038988329565793</v>
      </c>
      <c r="BF123" s="701">
        <v>19.265330442562856</v>
      </c>
      <c r="BG123" s="701">
        <v>21.777503293741507</v>
      </c>
      <c r="BH123" s="701">
        <v>24.611704675990094</v>
      </c>
      <c r="BI123" s="701">
        <v>16.221154180737937</v>
      </c>
      <c r="BJ123" s="688"/>
      <c r="BK123" s="710" t="s">
        <v>1265</v>
      </c>
      <c r="BL123" s="722"/>
      <c r="BM123" s="723">
        <v>103.16866365463812</v>
      </c>
      <c r="BN123" s="723">
        <v>109.48800939504333</v>
      </c>
      <c r="BO123" s="723">
        <v>148.71577257250735</v>
      </c>
      <c r="BP123" s="723">
        <v>197.83189058947326</v>
      </c>
      <c r="BQ123" s="723">
        <v>257.73378515785305</v>
      </c>
      <c r="BR123" s="723">
        <v>332.11429178689644</v>
      </c>
      <c r="BS123" s="723">
        <v>423.31908629900408</v>
      </c>
      <c r="BT123" s="723">
        <v>176.91952077501929</v>
      </c>
      <c r="BU123" s="494"/>
      <c r="BV123" s="710"/>
      <c r="BW123" s="494"/>
      <c r="BX123" s="720"/>
      <c r="BY123" s="720"/>
      <c r="BZ123" s="720"/>
      <c r="CA123" s="720"/>
      <c r="CB123" s="721"/>
      <c r="CC123" s="720"/>
      <c r="CD123" s="720"/>
      <c r="CE123" s="720"/>
      <c r="CF123" s="720"/>
      <c r="CG123" s="494"/>
      <c r="CH123" s="494"/>
      <c r="CI123" s="494"/>
    </row>
    <row r="124" spans="1:108" ht="14">
      <c r="B124" s="663"/>
      <c r="C124" s="656"/>
      <c r="D124" s="715" t="s">
        <v>4063</v>
      </c>
      <c r="E124" s="656"/>
      <c r="F124" s="659"/>
      <c r="G124" s="659"/>
      <c r="H124" s="689"/>
      <c r="I124" s="689"/>
      <c r="J124" s="689"/>
      <c r="K124" s="689"/>
      <c r="L124" s="689"/>
      <c r="M124" s="689"/>
      <c r="N124" s="689"/>
      <c r="O124" s="689"/>
      <c r="P124" s="689"/>
      <c r="Q124" s="689"/>
      <c r="R124" s="689"/>
      <c r="S124" s="689"/>
      <c r="T124" s="689"/>
      <c r="U124" s="689"/>
      <c r="V124" s="689"/>
      <c r="W124" s="689"/>
      <c r="X124" s="689"/>
      <c r="Y124" s="689"/>
      <c r="Z124" s="689"/>
      <c r="AA124" s="689"/>
      <c r="AB124" s="689"/>
      <c r="AC124" s="689"/>
      <c r="AD124" s="689"/>
      <c r="AE124" s="689"/>
      <c r="AF124" s="689"/>
      <c r="AG124" s="689"/>
      <c r="AH124" s="689"/>
      <c r="AI124" s="689"/>
      <c r="AJ124" s="689"/>
      <c r="AK124" s="689"/>
      <c r="AL124" s="689"/>
      <c r="AM124" s="689"/>
      <c r="AN124" s="689"/>
      <c r="AO124" s="689"/>
      <c r="AP124" s="689"/>
      <c r="AQ124" s="689"/>
      <c r="AR124" s="689"/>
      <c r="AS124" s="689"/>
      <c r="AT124" s="689"/>
      <c r="AU124" s="689"/>
      <c r="AV124" s="689"/>
      <c r="AW124" s="689"/>
      <c r="AX124" s="656"/>
      <c r="AY124" s="659"/>
      <c r="AZ124" s="659"/>
      <c r="BA124" s="660"/>
      <c r="BB124" s="701">
        <v>16.970398763045569</v>
      </c>
      <c r="BC124" s="701">
        <v>16.65200386527539</v>
      </c>
      <c r="BD124" s="701">
        <v>22.401003206513238</v>
      </c>
      <c r="BE124" s="701">
        <v>28.272552022445517</v>
      </c>
      <c r="BF124" s="701">
        <v>36.156753643903535</v>
      </c>
      <c r="BG124" s="701">
        <v>47.17640479706742</v>
      </c>
      <c r="BH124" s="701">
        <v>62.802932844641319</v>
      </c>
      <c r="BI124" s="701">
        <v>25.71979172597932</v>
      </c>
      <c r="BJ124" s="688"/>
      <c r="BL124" s="724"/>
      <c r="BM124" s="494"/>
      <c r="BN124" s="494"/>
      <c r="BO124" s="494"/>
      <c r="BP124" s="494"/>
      <c r="BQ124" s="494"/>
      <c r="BR124" s="494"/>
      <c r="BS124" s="494"/>
      <c r="BT124" s="494"/>
      <c r="BU124" s="494"/>
      <c r="BV124" s="710"/>
      <c r="BW124" s="711"/>
      <c r="BX124" s="725"/>
      <c r="BY124" s="725"/>
      <c r="BZ124" s="725"/>
      <c r="CA124" s="725"/>
      <c r="CB124" s="721"/>
      <c r="CC124" s="725"/>
      <c r="CD124" s="725"/>
      <c r="CE124" s="725"/>
      <c r="CF124" s="725"/>
      <c r="CG124" s="494"/>
      <c r="CH124" s="494"/>
      <c r="CI124" s="494"/>
    </row>
    <row r="125" spans="1:108" s="518" customFormat="1" ht="14">
      <c r="B125" s="663"/>
      <c r="C125" s="704" t="s">
        <v>4064</v>
      </c>
      <c r="D125" s="656" t="s">
        <v>4065</v>
      </c>
      <c r="E125" s="656"/>
      <c r="F125" s="705"/>
      <c r="G125" s="705"/>
      <c r="H125" s="706"/>
      <c r="I125" s="706"/>
      <c r="J125" s="706"/>
      <c r="K125" s="706"/>
      <c r="L125" s="706"/>
      <c r="M125" s="706"/>
      <c r="N125" s="706"/>
      <c r="O125" s="706"/>
      <c r="P125" s="706"/>
      <c r="Q125" s="706"/>
      <c r="R125" s="706"/>
      <c r="S125" s="706"/>
      <c r="T125" s="706"/>
      <c r="U125" s="706"/>
      <c r="V125" s="706"/>
      <c r="W125" s="706"/>
      <c r="X125" s="706"/>
      <c r="Y125" s="706"/>
      <c r="Z125" s="706"/>
      <c r="AA125" s="706"/>
      <c r="AB125" s="706"/>
      <c r="AC125" s="706"/>
      <c r="AD125" s="706"/>
      <c r="AE125" s="706"/>
      <c r="AF125" s="706"/>
      <c r="AG125" s="706"/>
      <c r="AH125" s="706"/>
      <c r="AI125" s="706"/>
      <c r="AJ125" s="706"/>
      <c r="AK125" s="706"/>
      <c r="AL125" s="706"/>
      <c r="AM125" s="706"/>
      <c r="AN125" s="706"/>
      <c r="AO125" s="706"/>
      <c r="AP125" s="706"/>
      <c r="AQ125" s="706"/>
      <c r="AR125" s="706">
        <v>0.30954428202923473</v>
      </c>
      <c r="AS125" s="706">
        <v>0.3869303525365434</v>
      </c>
      <c r="AT125" s="706">
        <v>0.49871023215821148</v>
      </c>
      <c r="AU125" s="706">
        <v>0.65348237317282887</v>
      </c>
      <c r="AV125" s="706">
        <v>0.61049011177987955</v>
      </c>
      <c r="AW125" s="706" t="s">
        <v>4066</v>
      </c>
      <c r="AX125" s="656"/>
      <c r="AY125" s="705"/>
      <c r="AZ125" s="705"/>
      <c r="BA125" s="707"/>
      <c r="BB125" s="708">
        <v>4.3534672480137573</v>
      </c>
      <c r="BC125" s="708">
        <v>6.2569740087855541</v>
      </c>
      <c r="BD125" s="708">
        <v>14.70877888894851</v>
      </c>
      <c r="BE125" s="708">
        <v>32.512720797197048</v>
      </c>
      <c r="BF125" s="708">
        <v>60.712118498472755</v>
      </c>
      <c r="BG125" s="708">
        <v>97.365024306658597</v>
      </c>
      <c r="BH125" s="708">
        <v>133.51865996463846</v>
      </c>
      <c r="BI125" s="708">
        <v>23.112008533274523</v>
      </c>
      <c r="BJ125" s="709"/>
      <c r="BK125" s="710" t="s">
        <v>4067</v>
      </c>
      <c r="BL125" s="724"/>
      <c r="BM125" s="494"/>
      <c r="BN125" s="494"/>
      <c r="BO125" s="494"/>
      <c r="BP125" s="494"/>
      <c r="BQ125" s="494"/>
      <c r="BR125" s="494"/>
      <c r="BS125" s="494"/>
      <c r="BT125" s="494"/>
      <c r="BU125" s="711"/>
      <c r="BV125" s="710"/>
      <c r="BW125" s="711"/>
      <c r="BX125" s="725"/>
      <c r="BY125" s="725"/>
      <c r="BZ125" s="725"/>
      <c r="CA125" s="725"/>
      <c r="CB125" s="721"/>
      <c r="CC125" s="725"/>
      <c r="CD125" s="725"/>
      <c r="CE125" s="725"/>
      <c r="CF125" s="725"/>
      <c r="CG125" s="711"/>
      <c r="CH125" s="711"/>
      <c r="CI125" s="711"/>
      <c r="CJ125" s="712"/>
      <c r="CL125" s="713"/>
      <c r="CM125" s="713"/>
      <c r="CN125" s="713"/>
      <c r="CO125" s="713"/>
      <c r="CP125" s="713"/>
      <c r="CQ125" s="713"/>
      <c r="CR125" s="713"/>
      <c r="CS125" s="713"/>
      <c r="CT125" s="713"/>
      <c r="CU125" s="713"/>
      <c r="CV125" s="713"/>
      <c r="CW125" s="713"/>
      <c r="CX125" s="713"/>
      <c r="CY125" s="713"/>
      <c r="CZ125" s="713"/>
      <c r="DA125" s="713"/>
      <c r="DB125" s="713"/>
      <c r="DC125" s="713"/>
      <c r="DD125" s="713"/>
    </row>
    <row r="126" spans="1:108" s="518" customFormat="1" ht="16">
      <c r="B126" s="663"/>
      <c r="C126" s="704" t="s">
        <v>4068</v>
      </c>
      <c r="D126" s="656" t="s">
        <v>4069</v>
      </c>
      <c r="E126" s="656"/>
      <c r="F126" s="705"/>
      <c r="G126" s="705"/>
      <c r="H126" s="706"/>
      <c r="I126" s="706"/>
      <c r="J126" s="706"/>
      <c r="K126" s="706"/>
      <c r="L126" s="706"/>
      <c r="M126" s="706"/>
      <c r="N126" s="706"/>
      <c r="O126" s="706"/>
      <c r="P126" s="706"/>
      <c r="Q126" s="706"/>
      <c r="R126" s="706"/>
      <c r="S126" s="706"/>
      <c r="T126" s="706"/>
      <c r="U126" s="706"/>
      <c r="V126" s="706"/>
      <c r="W126" s="706"/>
      <c r="X126" s="706"/>
      <c r="Y126" s="706"/>
      <c r="Z126" s="706"/>
      <c r="AA126" s="706"/>
      <c r="AB126" s="706"/>
      <c r="AC126" s="706"/>
      <c r="AD126" s="706"/>
      <c r="AE126" s="706"/>
      <c r="AF126" s="706"/>
      <c r="AG126" s="706"/>
      <c r="AH126" s="706"/>
      <c r="AI126" s="706"/>
      <c r="AJ126" s="706"/>
      <c r="AK126" s="706"/>
      <c r="AL126" s="706"/>
      <c r="AM126" s="706"/>
      <c r="AN126" s="706"/>
      <c r="AO126" s="706"/>
      <c r="AP126" s="706"/>
      <c r="AQ126" s="706"/>
      <c r="AR126" s="706">
        <v>6.0189165950128971E-2</v>
      </c>
      <c r="AS126" s="706">
        <v>6.878761822871883E-2</v>
      </c>
      <c r="AT126" s="706">
        <v>0.1117798796216681</v>
      </c>
      <c r="AU126" s="706">
        <v>0.14617368873602751</v>
      </c>
      <c r="AV126" s="706">
        <v>0.25795356835769562</v>
      </c>
      <c r="AW126" s="706" t="s">
        <v>4070</v>
      </c>
      <c r="AX126" s="656"/>
      <c r="AY126" s="705"/>
      <c r="AZ126" s="705"/>
      <c r="BA126" s="707"/>
      <c r="BB126" s="708">
        <v>3.9872863284608762E-2</v>
      </c>
      <c r="BC126" s="708">
        <v>9.2921107480653492E-2</v>
      </c>
      <c r="BD126" s="708">
        <v>0.35780529277217304</v>
      </c>
      <c r="BE126" s="708">
        <v>0.87606350704376956</v>
      </c>
      <c r="BF126" s="708">
        <v>1.7633102459113099</v>
      </c>
      <c r="BG126" s="708">
        <v>3.2822572764711464</v>
      </c>
      <c r="BH126" s="708">
        <v>5.8826614037282399</v>
      </c>
      <c r="BI126" s="708">
        <v>0.66876022133513091</v>
      </c>
      <c r="BJ126" s="709"/>
      <c r="BK126" s="694" t="s">
        <v>413</v>
      </c>
      <c r="BL126" s="726"/>
      <c r="BM126" s="727">
        <v>0.3978074594157382</v>
      </c>
      <c r="BN126" s="727">
        <v>0.39165562519344144</v>
      </c>
      <c r="BO126" s="727">
        <v>0.38134321372589758</v>
      </c>
      <c r="BP126" s="727">
        <v>0.37538711540668884</v>
      </c>
      <c r="BQ126" s="727">
        <v>0.36113547192198309</v>
      </c>
      <c r="BR126" s="727">
        <v>0.34788896422690951</v>
      </c>
      <c r="BS126" s="727">
        <v>0.33528588273388227</v>
      </c>
      <c r="BT126" s="727">
        <v>0.37944475188146048</v>
      </c>
      <c r="BU126" s="711"/>
      <c r="BV126" s="710"/>
      <c r="BW126" s="711"/>
      <c r="BX126" s="725"/>
      <c r="BY126" s="725"/>
      <c r="BZ126" s="725"/>
      <c r="CA126" s="725"/>
      <c r="CB126" s="721"/>
      <c r="CC126" s="725"/>
      <c r="CD126" s="725"/>
      <c r="CE126" s="725"/>
      <c r="CF126" s="725"/>
      <c r="CG126" s="711"/>
      <c r="CH126" s="711"/>
      <c r="CI126" s="711"/>
      <c r="CJ126" s="712"/>
      <c r="CL126" s="713"/>
      <c r="CM126" s="713"/>
      <c r="CN126" s="713"/>
      <c r="CO126" s="713"/>
      <c r="CP126" s="713"/>
      <c r="CQ126" s="713"/>
      <c r="CR126" s="713"/>
      <c r="CS126" s="713"/>
      <c r="CT126" s="713"/>
      <c r="CU126" s="713"/>
      <c r="CV126" s="713"/>
      <c r="CW126" s="713"/>
      <c r="CX126" s="713"/>
      <c r="CY126" s="713"/>
      <c r="CZ126" s="713"/>
      <c r="DA126" s="713"/>
      <c r="DB126" s="713"/>
      <c r="DC126" s="713"/>
      <c r="DD126" s="713"/>
    </row>
    <row r="127" spans="1:108" s="518" customFormat="1" ht="16">
      <c r="B127" s="714"/>
      <c r="C127" s="704" t="s">
        <v>4071</v>
      </c>
      <c r="D127" s="656" t="s">
        <v>4072</v>
      </c>
      <c r="E127" s="656"/>
      <c r="F127" s="705"/>
      <c r="G127" s="705"/>
      <c r="H127" s="706"/>
      <c r="I127" s="706"/>
      <c r="J127" s="706"/>
      <c r="K127" s="706"/>
      <c r="L127" s="706"/>
      <c r="M127" s="706"/>
      <c r="N127" s="706"/>
      <c r="O127" s="706"/>
      <c r="P127" s="706"/>
      <c r="Q127" s="706"/>
      <c r="R127" s="706"/>
      <c r="S127" s="706"/>
      <c r="T127" s="706"/>
      <c r="U127" s="706"/>
      <c r="V127" s="706"/>
      <c r="W127" s="706"/>
      <c r="X127" s="706"/>
      <c r="Y127" s="706"/>
      <c r="Z127" s="706"/>
      <c r="AA127" s="706"/>
      <c r="AB127" s="706"/>
      <c r="AC127" s="706"/>
      <c r="AD127" s="706"/>
      <c r="AE127" s="706"/>
      <c r="AF127" s="706"/>
      <c r="AG127" s="706"/>
      <c r="AH127" s="706">
        <v>0.24075666380051589</v>
      </c>
      <c r="AI127" s="706">
        <v>0.28374892519346517</v>
      </c>
      <c r="AJ127" s="706">
        <v>0.36113499570077384</v>
      </c>
      <c r="AK127" s="706">
        <v>0.3783319002579536</v>
      </c>
      <c r="AL127" s="706">
        <v>0.36973344797936369</v>
      </c>
      <c r="AM127" s="706">
        <v>0.27515047291487532</v>
      </c>
      <c r="AN127" s="706">
        <v>0.33533963886500429</v>
      </c>
      <c r="AO127" s="706">
        <v>0.22355975924333621</v>
      </c>
      <c r="AP127" s="706">
        <v>0.33533963886500429</v>
      </c>
      <c r="AQ127" s="706">
        <v>0.32674118658641443</v>
      </c>
      <c r="AR127" s="706">
        <v>0.31814273430782458</v>
      </c>
      <c r="AS127" s="706">
        <v>0.35253654342218393</v>
      </c>
      <c r="AT127" s="706">
        <v>0.36113499570077384</v>
      </c>
      <c r="AU127" s="706">
        <v>0.36973344797936369</v>
      </c>
      <c r="AV127" s="706">
        <v>0.23215821152192606</v>
      </c>
      <c r="AW127" s="706" t="s">
        <v>4073</v>
      </c>
      <c r="AX127" s="656"/>
      <c r="AY127" s="705"/>
      <c r="AZ127" s="705"/>
      <c r="BA127" s="707"/>
      <c r="BB127" s="708">
        <v>5.568503890627686</v>
      </c>
      <c r="BC127" s="708">
        <v>5.9047082558899397</v>
      </c>
      <c r="BD127" s="708">
        <v>12.779699133908164</v>
      </c>
      <c r="BE127" s="708">
        <v>22.764830654497835</v>
      </c>
      <c r="BF127" s="708">
        <v>41.513479831288052</v>
      </c>
      <c r="BG127" s="708">
        <v>65.788973637260554</v>
      </c>
      <c r="BH127" s="708">
        <v>91.331319658245803</v>
      </c>
      <c r="BI127" s="708">
        <v>17.267911722556605</v>
      </c>
      <c r="BJ127" s="709"/>
      <c r="BK127" s="710" t="s">
        <v>416</v>
      </c>
      <c r="BL127" s="726"/>
      <c r="BM127" s="727">
        <v>0.25492229313112508</v>
      </c>
      <c r="BN127" s="727">
        <v>0.25182463724263965</v>
      </c>
      <c r="BO127" s="727">
        <v>0.26696587110036957</v>
      </c>
      <c r="BP127" s="727">
        <v>0.28492094052733918</v>
      </c>
      <c r="BQ127" s="727">
        <v>0.30685751225023072</v>
      </c>
      <c r="BR127" s="727">
        <v>0.32659911026464811</v>
      </c>
      <c r="BS127" s="727">
        <v>0.3435614651273724</v>
      </c>
      <c r="BT127" s="727">
        <v>0.27669971146327604</v>
      </c>
      <c r="BU127" s="711"/>
      <c r="BV127" s="710"/>
      <c r="BW127" s="711"/>
      <c r="BX127" s="721"/>
      <c r="BY127" s="721"/>
      <c r="BZ127" s="721"/>
      <c r="CA127" s="721"/>
      <c r="CB127" s="721"/>
      <c r="CC127" s="721"/>
      <c r="CD127" s="721"/>
      <c r="CE127" s="721"/>
      <c r="CF127" s="721"/>
      <c r="CG127" s="711"/>
      <c r="CH127" s="711"/>
      <c r="CI127" s="711"/>
      <c r="CJ127" s="712"/>
      <c r="CL127" s="713"/>
      <c r="CM127" s="713"/>
      <c r="CN127" s="713"/>
      <c r="CO127" s="713"/>
      <c r="CP127" s="713"/>
      <c r="CQ127" s="713"/>
      <c r="CR127" s="713"/>
      <c r="CS127" s="713"/>
      <c r="CT127" s="713"/>
      <c r="CU127" s="713"/>
      <c r="CV127" s="713"/>
      <c r="CW127" s="713"/>
      <c r="CX127" s="713"/>
      <c r="CY127" s="713"/>
      <c r="CZ127" s="713"/>
      <c r="DA127" s="713"/>
      <c r="DB127" s="713"/>
      <c r="DC127" s="713"/>
      <c r="DD127" s="713"/>
    </row>
    <row r="128" spans="1:108" s="518" customFormat="1" ht="16">
      <c r="B128" s="714"/>
      <c r="C128" s="704" t="s">
        <v>4074</v>
      </c>
      <c r="D128" s="656" t="s">
        <v>4075</v>
      </c>
      <c r="E128" s="656"/>
      <c r="F128" s="705"/>
      <c r="G128" s="705"/>
      <c r="H128" s="706"/>
      <c r="I128" s="706"/>
      <c r="J128" s="706"/>
      <c r="K128" s="706"/>
      <c r="L128" s="706"/>
      <c r="M128" s="706"/>
      <c r="N128" s="706"/>
      <c r="O128" s="706"/>
      <c r="P128" s="706"/>
      <c r="Q128" s="706"/>
      <c r="R128" s="706"/>
      <c r="S128" s="706"/>
      <c r="T128" s="706"/>
      <c r="U128" s="706"/>
      <c r="V128" s="706"/>
      <c r="W128" s="706"/>
      <c r="X128" s="706"/>
      <c r="Y128" s="706"/>
      <c r="Z128" s="706"/>
      <c r="AA128" s="706"/>
      <c r="AB128" s="706"/>
      <c r="AC128" s="706"/>
      <c r="AD128" s="706"/>
      <c r="AE128" s="706"/>
      <c r="AF128" s="706"/>
      <c r="AG128" s="706"/>
      <c r="AH128" s="706"/>
      <c r="AI128" s="706"/>
      <c r="AJ128" s="706"/>
      <c r="AK128" s="706"/>
      <c r="AL128" s="706"/>
      <c r="AM128" s="706"/>
      <c r="AN128" s="706"/>
      <c r="AO128" s="706"/>
      <c r="AP128" s="706"/>
      <c r="AQ128" s="706"/>
      <c r="AR128" s="706"/>
      <c r="AS128" s="706"/>
      <c r="AT128" s="706"/>
      <c r="AU128" s="706"/>
      <c r="AV128" s="706"/>
      <c r="AW128" s="706"/>
      <c r="AX128" s="656"/>
      <c r="AY128" s="705"/>
      <c r="AZ128" s="705"/>
      <c r="BA128" s="707"/>
      <c r="BB128" s="708">
        <v>0</v>
      </c>
      <c r="BC128" s="708">
        <v>0</v>
      </c>
      <c r="BD128" s="708">
        <v>0.89443852106620791</v>
      </c>
      <c r="BE128" s="708">
        <v>5.6706397248495266</v>
      </c>
      <c r="BF128" s="708">
        <v>10.706462596732587</v>
      </c>
      <c r="BG128" s="708">
        <v>16.001907136715388</v>
      </c>
      <c r="BH128" s="708">
        <v>21.556973344797935</v>
      </c>
      <c r="BI128" s="708">
        <v>3.7290046431642305</v>
      </c>
      <c r="BJ128" s="709"/>
      <c r="BK128" s="710" t="s">
        <v>3884</v>
      </c>
      <c r="BL128" s="728"/>
      <c r="BM128" s="727">
        <v>7.88408636622141E-2</v>
      </c>
      <c r="BN128" s="727">
        <v>7.8519182323011763E-2</v>
      </c>
      <c r="BO128" s="727">
        <v>7.0892374861089388E-2</v>
      </c>
      <c r="BP128" s="727">
        <v>6.6052823072632785E-2</v>
      </c>
      <c r="BQ128" s="727">
        <v>6.3592035223807408E-2</v>
      </c>
      <c r="BR128" s="727">
        <v>6.269125117756362E-2</v>
      </c>
      <c r="BS128" s="727">
        <v>6.3308979210265279E-2</v>
      </c>
      <c r="BT128" s="727">
        <v>6.7690525902455848E-2</v>
      </c>
      <c r="BU128" s="711"/>
      <c r="BV128" s="710"/>
      <c r="BW128" s="711"/>
      <c r="BX128" s="729"/>
      <c r="BY128" s="729"/>
      <c r="BZ128" s="729"/>
      <c r="CA128" s="729"/>
      <c r="CB128" s="729"/>
      <c r="CC128" s="729"/>
      <c r="CD128" s="729"/>
      <c r="CE128" s="729"/>
      <c r="CF128" s="729"/>
      <c r="CG128" s="711"/>
      <c r="CH128" s="711"/>
      <c r="CI128" s="711"/>
      <c r="CJ128" s="712"/>
      <c r="CL128" s="713"/>
      <c r="CM128" s="713"/>
      <c r="CN128" s="713"/>
      <c r="CO128" s="713"/>
      <c r="CP128" s="713"/>
      <c r="CQ128" s="713"/>
      <c r="CR128" s="713"/>
      <c r="CS128" s="713"/>
      <c r="CT128" s="713"/>
      <c r="CU128" s="713"/>
      <c r="CV128" s="713"/>
      <c r="CW128" s="713"/>
      <c r="CX128" s="713"/>
      <c r="CY128" s="713"/>
      <c r="CZ128" s="713"/>
      <c r="DA128" s="713"/>
      <c r="DB128" s="713"/>
      <c r="DC128" s="713"/>
      <c r="DD128" s="713"/>
    </row>
    <row r="129" spans="2:108" s="518" customFormat="1" ht="16">
      <c r="B129" s="714"/>
      <c r="C129" s="704" t="s">
        <v>4076</v>
      </c>
      <c r="D129" s="656" t="s">
        <v>4077</v>
      </c>
      <c r="E129" s="656"/>
      <c r="F129" s="705"/>
      <c r="G129" s="705"/>
      <c r="H129" s="706"/>
      <c r="I129" s="706"/>
      <c r="J129" s="706"/>
      <c r="K129" s="706"/>
      <c r="L129" s="706"/>
      <c r="M129" s="706"/>
      <c r="N129" s="706"/>
      <c r="O129" s="706"/>
      <c r="P129" s="706"/>
      <c r="Q129" s="706"/>
      <c r="R129" s="706"/>
      <c r="S129" s="706"/>
      <c r="T129" s="706"/>
      <c r="U129" s="706"/>
      <c r="V129" s="706"/>
      <c r="W129" s="706"/>
      <c r="X129" s="706"/>
      <c r="Y129" s="706"/>
      <c r="Z129" s="706"/>
      <c r="AA129" s="706"/>
      <c r="AB129" s="706"/>
      <c r="AC129" s="706"/>
      <c r="AD129" s="706"/>
      <c r="AE129" s="706"/>
      <c r="AF129" s="706"/>
      <c r="AG129" s="706"/>
      <c r="AH129" s="706"/>
      <c r="AI129" s="706"/>
      <c r="AJ129" s="706"/>
      <c r="AK129" s="706"/>
      <c r="AL129" s="706"/>
      <c r="AM129" s="706"/>
      <c r="AN129" s="706"/>
      <c r="AO129" s="706"/>
      <c r="AP129" s="706"/>
      <c r="AQ129" s="706"/>
      <c r="AR129" s="706"/>
      <c r="AS129" s="706"/>
      <c r="AT129" s="706"/>
      <c r="AU129" s="706"/>
      <c r="AV129" s="706"/>
      <c r="AW129" s="706"/>
      <c r="AX129" s="656"/>
      <c r="AY129" s="705"/>
      <c r="AZ129" s="705"/>
      <c r="BA129" s="707"/>
      <c r="BB129" s="708">
        <v>0.80549258981943228</v>
      </c>
      <c r="BC129" s="708">
        <v>0.8992875838349097</v>
      </c>
      <c r="BD129" s="708">
        <v>0.88302671583452674</v>
      </c>
      <c r="BE129" s="708">
        <v>0.98425723382358909</v>
      </c>
      <c r="BF129" s="708">
        <v>1.0854877518126511</v>
      </c>
      <c r="BG129" s="708">
        <v>1.1867182698017136</v>
      </c>
      <c r="BH129" s="708">
        <v>1.2879487877907756</v>
      </c>
      <c r="BI129" s="708">
        <v>0.94376502662796413</v>
      </c>
      <c r="BJ129" s="709"/>
      <c r="BK129" s="710" t="s">
        <v>428</v>
      </c>
      <c r="BL129" s="726"/>
      <c r="BM129" s="727">
        <v>0.15372875538637246</v>
      </c>
      <c r="BN129" s="727">
        <v>0.15621584212942491</v>
      </c>
      <c r="BO129" s="727">
        <v>0.1388788234107898</v>
      </c>
      <c r="BP129" s="727">
        <v>0.12604029464336755</v>
      </c>
      <c r="BQ129" s="727">
        <v>0.11665913116786109</v>
      </c>
      <c r="BR129" s="727">
        <v>0.10909467539335441</v>
      </c>
      <c r="BS129" s="727">
        <v>0.10307057390227518</v>
      </c>
      <c r="BT129" s="727">
        <v>0.13071773437506262</v>
      </c>
      <c r="BU129" s="711"/>
      <c r="BV129" s="711"/>
      <c r="BW129" s="711"/>
      <c r="BX129" s="711"/>
      <c r="BY129" s="711"/>
      <c r="BZ129" s="711"/>
      <c r="CA129" s="711"/>
      <c r="CB129" s="711"/>
      <c r="CC129" s="711"/>
      <c r="CD129" s="711"/>
      <c r="CE129" s="711"/>
      <c r="CF129" s="711"/>
      <c r="CG129" s="711"/>
      <c r="CH129" s="711"/>
      <c r="CI129" s="711"/>
      <c r="CJ129" s="712"/>
      <c r="CL129" s="713"/>
      <c r="CM129" s="713"/>
      <c r="CN129" s="713"/>
      <c r="CO129" s="713"/>
      <c r="CP129" s="713"/>
      <c r="CQ129" s="713"/>
      <c r="CR129" s="713"/>
      <c r="CS129" s="713"/>
      <c r="CT129" s="713"/>
      <c r="CU129" s="713"/>
      <c r="CV129" s="713"/>
      <c r="CW129" s="713"/>
      <c r="CX129" s="713"/>
      <c r="CY129" s="713"/>
      <c r="CZ129" s="713"/>
      <c r="DA129" s="713"/>
      <c r="DB129" s="713"/>
      <c r="DC129" s="713"/>
      <c r="DD129" s="713"/>
    </row>
    <row r="130" spans="2:108" s="518" customFormat="1" ht="16">
      <c r="B130" s="714"/>
      <c r="C130" s="704" t="s">
        <v>4078</v>
      </c>
      <c r="D130" s="656" t="s">
        <v>4079</v>
      </c>
      <c r="E130" s="656"/>
      <c r="F130" s="705"/>
      <c r="G130" s="705"/>
      <c r="H130" s="706"/>
      <c r="I130" s="706"/>
      <c r="J130" s="706"/>
      <c r="K130" s="706"/>
      <c r="L130" s="706"/>
      <c r="M130" s="706"/>
      <c r="N130" s="706"/>
      <c r="O130" s="706"/>
      <c r="P130" s="706"/>
      <c r="Q130" s="706"/>
      <c r="R130" s="706"/>
      <c r="S130" s="706"/>
      <c r="T130" s="706"/>
      <c r="U130" s="706"/>
      <c r="V130" s="706"/>
      <c r="W130" s="706"/>
      <c r="X130" s="706"/>
      <c r="Y130" s="706"/>
      <c r="Z130" s="706"/>
      <c r="AA130" s="706"/>
      <c r="AB130" s="706"/>
      <c r="AC130" s="706"/>
      <c r="AD130" s="706"/>
      <c r="AE130" s="706"/>
      <c r="AF130" s="706"/>
      <c r="AG130" s="706"/>
      <c r="AH130" s="706"/>
      <c r="AI130" s="706"/>
      <c r="AJ130" s="706"/>
      <c r="AK130" s="706"/>
      <c r="AL130" s="706"/>
      <c r="AM130" s="706"/>
      <c r="AN130" s="706"/>
      <c r="AO130" s="706"/>
      <c r="AP130" s="706"/>
      <c r="AQ130" s="706"/>
      <c r="AR130" s="706"/>
      <c r="AS130" s="706"/>
      <c r="AT130" s="706"/>
      <c r="AU130" s="706"/>
      <c r="AV130" s="706"/>
      <c r="AW130" s="706"/>
      <c r="AX130" s="656"/>
      <c r="AY130" s="705"/>
      <c r="AZ130" s="705"/>
      <c r="BA130" s="707"/>
      <c r="BB130" s="708">
        <v>0.30254684471195181</v>
      </c>
      <c r="BC130" s="708">
        <v>0.77908759788753235</v>
      </c>
      <c r="BD130" s="708">
        <v>2.4844171345184907</v>
      </c>
      <c r="BE130" s="708">
        <v>7.0489886331248801</v>
      </c>
      <c r="BF130" s="708">
        <v>11.605688589164666</v>
      </c>
      <c r="BG130" s="708">
        <v>14.851491234228316</v>
      </c>
      <c r="BH130" s="708">
        <v>17.092595879542394</v>
      </c>
      <c r="BI130" s="708">
        <v>4.9930724219089813</v>
      </c>
      <c r="BJ130" s="709"/>
      <c r="BK130" s="710" t="s">
        <v>3885</v>
      </c>
      <c r="BL130" s="726"/>
      <c r="BM130" s="727">
        <v>4.9402550940049333E-2</v>
      </c>
      <c r="BN130" s="727">
        <v>5.6486635646981628E-2</v>
      </c>
      <c r="BO130" s="727">
        <v>7.6621639437352937E-2</v>
      </c>
      <c r="BP130" s="727">
        <v>8.2300748885470884E-2</v>
      </c>
      <c r="BQ130" s="727">
        <v>8.6457771971617192E-2</v>
      </c>
      <c r="BR130" s="727">
        <v>8.8427921473023696E-2</v>
      </c>
      <c r="BS130" s="727">
        <v>8.9475021561704171E-2</v>
      </c>
      <c r="BT130" s="727">
        <v>8.0149198913244166E-2</v>
      </c>
      <c r="BU130" s="711"/>
      <c r="BV130" s="710"/>
      <c r="BW130" s="711"/>
      <c r="BX130" s="711"/>
      <c r="BY130" s="711"/>
      <c r="BZ130" s="711"/>
      <c r="CA130" s="711"/>
      <c r="CB130" s="711"/>
      <c r="CC130" s="711"/>
      <c r="CD130" s="711"/>
      <c r="CE130" s="711"/>
      <c r="CF130" s="711"/>
      <c r="CG130" s="711"/>
      <c r="CH130" s="711"/>
      <c r="CI130" s="711"/>
      <c r="CJ130" s="712"/>
      <c r="CL130" s="713"/>
      <c r="CM130" s="713"/>
      <c r="CN130" s="713"/>
      <c r="CO130" s="713"/>
      <c r="CP130" s="713"/>
      <c r="CQ130" s="713"/>
      <c r="CR130" s="713"/>
      <c r="CS130" s="713"/>
      <c r="CT130" s="713"/>
      <c r="CU130" s="713"/>
      <c r="CV130" s="713"/>
      <c r="CW130" s="713"/>
      <c r="CX130" s="713"/>
      <c r="CY130" s="713"/>
      <c r="CZ130" s="713"/>
      <c r="DA130" s="713"/>
      <c r="DB130" s="713"/>
      <c r="DC130" s="713"/>
      <c r="DD130" s="713"/>
    </row>
    <row r="131" spans="2:108" s="518" customFormat="1" ht="16">
      <c r="B131" s="714"/>
      <c r="C131" s="704" t="s">
        <v>4080</v>
      </c>
      <c r="D131" s="656" t="s">
        <v>4081</v>
      </c>
      <c r="E131" s="656"/>
      <c r="F131" s="705"/>
      <c r="G131" s="705"/>
      <c r="H131" s="706"/>
      <c r="I131" s="706"/>
      <c r="J131" s="706"/>
      <c r="K131" s="706"/>
      <c r="L131" s="706"/>
      <c r="M131" s="706"/>
      <c r="N131" s="706"/>
      <c r="O131" s="706"/>
      <c r="P131" s="706"/>
      <c r="Q131" s="706"/>
      <c r="R131" s="706"/>
      <c r="S131" s="706"/>
      <c r="T131" s="706"/>
      <c r="U131" s="706"/>
      <c r="V131" s="706"/>
      <c r="W131" s="706"/>
      <c r="X131" s="706"/>
      <c r="Y131" s="706"/>
      <c r="Z131" s="706"/>
      <c r="AA131" s="706"/>
      <c r="AB131" s="706"/>
      <c r="AC131" s="706"/>
      <c r="AD131" s="706"/>
      <c r="AE131" s="706"/>
      <c r="AF131" s="706"/>
      <c r="AG131" s="706"/>
      <c r="AH131" s="706"/>
      <c r="AI131" s="706"/>
      <c r="AJ131" s="706"/>
      <c r="AK131" s="706"/>
      <c r="AL131" s="706"/>
      <c r="AM131" s="706"/>
      <c r="AN131" s="706"/>
      <c r="AO131" s="706"/>
      <c r="AP131" s="706"/>
      <c r="AQ131" s="706"/>
      <c r="AR131" s="706"/>
      <c r="AS131" s="706"/>
      <c r="AT131" s="706"/>
      <c r="AU131" s="706"/>
      <c r="AV131" s="706"/>
      <c r="AW131" s="706"/>
      <c r="AX131" s="656"/>
      <c r="AY131" s="705"/>
      <c r="AZ131" s="705"/>
      <c r="BA131" s="707"/>
      <c r="BB131" s="708">
        <v>1.1909097162510747</v>
      </c>
      <c r="BC131" s="708">
        <v>1.2737819576956146</v>
      </c>
      <c r="BD131" s="708">
        <v>1.6615767488656026</v>
      </c>
      <c r="BE131" s="708">
        <v>1.794634681604802</v>
      </c>
      <c r="BF131" s="708">
        <v>1.9383478028430681</v>
      </c>
      <c r="BG131" s="708">
        <v>2.0935693728078335</v>
      </c>
      <c r="BH131" s="708">
        <v>2.2612209802235594</v>
      </c>
      <c r="BI131" s="708">
        <v>1.7401784907265041</v>
      </c>
      <c r="BJ131" s="709"/>
      <c r="BK131" s="710" t="s">
        <v>3886</v>
      </c>
      <c r="BL131" s="726"/>
      <c r="BM131" s="727">
        <v>6.5298077464500712E-2</v>
      </c>
      <c r="BN131" s="727">
        <v>6.529807746450067E-2</v>
      </c>
      <c r="BO131" s="727">
        <v>6.5298077464500726E-2</v>
      </c>
      <c r="BP131" s="727">
        <v>6.529807746450067E-2</v>
      </c>
      <c r="BQ131" s="727">
        <v>6.5298077464500587E-2</v>
      </c>
      <c r="BR131" s="727">
        <v>6.5298077464500642E-2</v>
      </c>
      <c r="BS131" s="727">
        <v>6.5298077464500615E-2</v>
      </c>
      <c r="BT131" s="727">
        <v>6.5298077464500628E-2</v>
      </c>
      <c r="BU131" s="711"/>
      <c r="BV131" s="710"/>
      <c r="BW131" s="711"/>
      <c r="BX131" s="694"/>
      <c r="BY131" s="694"/>
      <c r="BZ131" s="694"/>
      <c r="CA131" s="694"/>
      <c r="CB131" s="694"/>
      <c r="CC131" s="694"/>
      <c r="CD131" s="694"/>
      <c r="CE131" s="694"/>
      <c r="CF131" s="694"/>
      <c r="CG131" s="711"/>
      <c r="CH131" s="711"/>
      <c r="CI131" s="711"/>
      <c r="CJ131" s="712"/>
      <c r="CL131" s="713"/>
      <c r="CM131" s="713"/>
      <c r="CN131" s="713"/>
      <c r="CO131" s="713"/>
      <c r="CP131" s="713"/>
      <c r="CQ131" s="713"/>
      <c r="CR131" s="713"/>
      <c r="CS131" s="713"/>
      <c r="CT131" s="713"/>
      <c r="CU131" s="713"/>
      <c r="CV131" s="713"/>
      <c r="CW131" s="713"/>
      <c r="CX131" s="713"/>
      <c r="CY131" s="713"/>
      <c r="CZ131" s="713"/>
      <c r="DA131" s="713"/>
      <c r="DB131" s="713"/>
      <c r="DC131" s="713"/>
      <c r="DD131" s="713"/>
    </row>
    <row r="132" spans="2:108" s="518" customFormat="1" ht="16">
      <c r="B132" s="714"/>
      <c r="C132" s="704" t="s">
        <v>4082</v>
      </c>
      <c r="D132" s="656" t="s">
        <v>4083</v>
      </c>
      <c r="E132" s="656"/>
      <c r="F132" s="705"/>
      <c r="G132" s="705"/>
      <c r="H132" s="706"/>
      <c r="I132" s="706"/>
      <c r="J132" s="706"/>
      <c r="K132" s="706"/>
      <c r="L132" s="706"/>
      <c r="M132" s="706"/>
      <c r="N132" s="706"/>
      <c r="O132" s="706"/>
      <c r="P132" s="706"/>
      <c r="Q132" s="706"/>
      <c r="R132" s="706"/>
      <c r="S132" s="706"/>
      <c r="T132" s="706"/>
      <c r="U132" s="706"/>
      <c r="V132" s="706"/>
      <c r="W132" s="706"/>
      <c r="X132" s="706"/>
      <c r="Y132" s="706"/>
      <c r="Z132" s="706"/>
      <c r="AA132" s="706"/>
      <c r="AB132" s="706"/>
      <c r="AC132" s="706"/>
      <c r="AD132" s="706"/>
      <c r="AE132" s="706"/>
      <c r="AF132" s="706"/>
      <c r="AG132" s="706"/>
      <c r="AH132" s="706"/>
      <c r="AI132" s="706"/>
      <c r="AJ132" s="706"/>
      <c r="AK132" s="706"/>
      <c r="AL132" s="706"/>
      <c r="AM132" s="706"/>
      <c r="AN132" s="706"/>
      <c r="AO132" s="706"/>
      <c r="AP132" s="706"/>
      <c r="AQ132" s="706"/>
      <c r="AR132" s="706"/>
      <c r="AS132" s="706"/>
      <c r="AT132" s="706"/>
      <c r="AU132" s="706"/>
      <c r="AV132" s="706"/>
      <c r="AW132" s="706"/>
      <c r="AX132" s="656"/>
      <c r="AY132" s="705"/>
      <c r="AZ132" s="705"/>
      <c r="BA132" s="707"/>
      <c r="BB132" s="708">
        <v>7.8087497850386905E-2</v>
      </c>
      <c r="BC132" s="708">
        <v>0.10165749372141958</v>
      </c>
      <c r="BD132" s="708">
        <v>0.18196528442399704</v>
      </c>
      <c r="BE132" s="708">
        <v>0.32571494263122353</v>
      </c>
      <c r="BF132" s="708">
        <v>0.58302452684359607</v>
      </c>
      <c r="BG132" s="708">
        <v>1.0436045584990421</v>
      </c>
      <c r="BH132" s="708">
        <v>1.8680354331167788</v>
      </c>
      <c r="BI132" s="708">
        <v>0.2580465315304048</v>
      </c>
      <c r="BJ132" s="709"/>
      <c r="BK132" s="710" t="s">
        <v>1265</v>
      </c>
      <c r="BL132" s="726"/>
      <c r="BM132" s="730">
        <v>1</v>
      </c>
      <c r="BN132" s="730">
        <v>1</v>
      </c>
      <c r="BO132" s="730">
        <v>1</v>
      </c>
      <c r="BP132" s="730">
        <v>1</v>
      </c>
      <c r="BQ132" s="730">
        <v>1</v>
      </c>
      <c r="BR132" s="730">
        <v>1</v>
      </c>
      <c r="BS132" s="730">
        <v>1</v>
      </c>
      <c r="BT132" s="730">
        <v>1</v>
      </c>
      <c r="BU132" s="711"/>
      <c r="BV132" s="710"/>
      <c r="BW132" s="711"/>
      <c r="BX132" s="711"/>
      <c r="BY132" s="711"/>
      <c r="BZ132" s="711"/>
      <c r="CA132" s="711"/>
      <c r="CB132" s="711"/>
      <c r="CC132" s="711"/>
      <c r="CD132" s="711"/>
      <c r="CE132" s="711"/>
      <c r="CF132" s="711"/>
      <c r="CG132" s="711"/>
      <c r="CH132" s="711"/>
      <c r="CI132" s="711"/>
      <c r="CJ132" s="712"/>
      <c r="CL132" s="713"/>
      <c r="CM132" s="713"/>
      <c r="CN132" s="713"/>
      <c r="CO132" s="713"/>
      <c r="CP132" s="713"/>
      <c r="CQ132" s="713"/>
      <c r="CR132" s="713"/>
      <c r="CS132" s="713"/>
      <c r="CT132" s="713"/>
      <c r="CU132" s="713"/>
      <c r="CV132" s="713"/>
      <c r="CW132" s="713"/>
      <c r="CX132" s="713"/>
      <c r="CY132" s="713"/>
      <c r="CZ132" s="713"/>
      <c r="DA132" s="713"/>
      <c r="DB132" s="713"/>
      <c r="DC132" s="713"/>
      <c r="DD132" s="713"/>
    </row>
    <row r="133" spans="2:108" s="518" customFormat="1" ht="14">
      <c r="B133" s="714"/>
      <c r="C133" s="704"/>
      <c r="D133" s="715" t="s">
        <v>4084</v>
      </c>
      <c r="E133" s="656"/>
      <c r="F133" s="705"/>
      <c r="G133" s="705"/>
      <c r="H133" s="706"/>
      <c r="I133" s="706"/>
      <c r="J133" s="706"/>
      <c r="K133" s="706"/>
      <c r="L133" s="706"/>
      <c r="M133" s="706"/>
      <c r="N133" s="706"/>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706"/>
      <c r="AM133" s="706"/>
      <c r="AN133" s="706"/>
      <c r="AO133" s="706"/>
      <c r="AP133" s="706"/>
      <c r="AQ133" s="706"/>
      <c r="AR133" s="706"/>
      <c r="AS133" s="706"/>
      <c r="AT133" s="706"/>
      <c r="AU133" s="706"/>
      <c r="AV133" s="706"/>
      <c r="AW133" s="706"/>
      <c r="AX133" s="656"/>
      <c r="AY133" s="705"/>
      <c r="AZ133" s="705"/>
      <c r="BA133" s="707"/>
      <c r="BB133" s="708">
        <v>12.338880650558897</v>
      </c>
      <c r="BC133" s="708">
        <v>15.308418005295623</v>
      </c>
      <c r="BD133" s="708">
        <v>33.951707720337666</v>
      </c>
      <c r="BE133" s="708">
        <v>71.977850174772684</v>
      </c>
      <c r="BF133" s="708">
        <v>129.9079198430687</v>
      </c>
      <c r="BG133" s="708">
        <v>201.61354579244258</v>
      </c>
      <c r="BH133" s="708">
        <v>274.79941545208402</v>
      </c>
      <c r="BI133" s="708">
        <v>52.712747591124348</v>
      </c>
      <c r="BJ133" s="709"/>
      <c r="BK133" s="711"/>
      <c r="BL133" s="724"/>
      <c r="BM133" s="711"/>
      <c r="BN133" s="711"/>
      <c r="BO133" s="711"/>
      <c r="BP133" s="711"/>
      <c r="BQ133" s="711"/>
      <c r="BR133" s="711"/>
      <c r="BS133" s="711"/>
      <c r="BT133" s="711"/>
      <c r="BU133" s="711"/>
      <c r="BV133" s="710"/>
      <c r="BW133" s="711"/>
      <c r="BX133" s="725"/>
      <c r="BY133" s="725"/>
      <c r="BZ133" s="725"/>
      <c r="CA133" s="725"/>
      <c r="CB133" s="721"/>
      <c r="CC133" s="725"/>
      <c r="CD133" s="725"/>
      <c r="CE133" s="725"/>
      <c r="CF133" s="725"/>
      <c r="CG133" s="711"/>
      <c r="CH133" s="711"/>
      <c r="CI133" s="711"/>
      <c r="CJ133" s="712"/>
      <c r="CL133" s="713"/>
      <c r="CM133" s="713"/>
      <c r="CN133" s="713"/>
      <c r="CO133" s="713"/>
      <c r="CP133" s="713"/>
      <c r="CQ133" s="713"/>
      <c r="CR133" s="713"/>
      <c r="CS133" s="713"/>
      <c r="CT133" s="713"/>
      <c r="CU133" s="713"/>
      <c r="CV133" s="713"/>
      <c r="CW133" s="713"/>
      <c r="CX133" s="713"/>
      <c r="CY133" s="713"/>
      <c r="CZ133" s="713"/>
      <c r="DA133" s="713"/>
      <c r="DB133" s="713"/>
      <c r="DC133" s="713"/>
      <c r="DD133" s="713"/>
    </row>
    <row r="134" spans="2:108" ht="14">
      <c r="B134" s="714"/>
      <c r="C134" s="656" t="s">
        <v>4085</v>
      </c>
      <c r="D134" s="715" t="s">
        <v>4086</v>
      </c>
      <c r="E134" s="656"/>
      <c r="F134" s="659"/>
      <c r="G134" s="659"/>
      <c r="H134" s="689"/>
      <c r="I134" s="689"/>
      <c r="J134" s="689"/>
      <c r="K134" s="689"/>
      <c r="L134" s="689"/>
      <c r="M134" s="689"/>
      <c r="N134" s="689"/>
      <c r="O134" s="689"/>
      <c r="P134" s="689"/>
      <c r="Q134" s="689"/>
      <c r="R134" s="689"/>
      <c r="S134" s="689"/>
      <c r="T134" s="689"/>
      <c r="U134" s="689"/>
      <c r="V134" s="689"/>
      <c r="W134" s="689"/>
      <c r="X134" s="689"/>
      <c r="Y134" s="689"/>
      <c r="Z134" s="689"/>
      <c r="AA134" s="689"/>
      <c r="AB134" s="689"/>
      <c r="AC134" s="689"/>
      <c r="AD134" s="689"/>
      <c r="AE134" s="689"/>
      <c r="AF134" s="689"/>
      <c r="AG134" s="689"/>
      <c r="AH134" s="689"/>
      <c r="AI134" s="689"/>
      <c r="AJ134" s="689"/>
      <c r="AK134" s="689"/>
      <c r="AL134" s="689"/>
      <c r="AM134" s="689"/>
      <c r="AN134" s="689"/>
      <c r="AO134" s="689"/>
      <c r="AP134" s="689"/>
      <c r="AQ134" s="689"/>
      <c r="AR134" s="689">
        <v>0.67927773000859848</v>
      </c>
      <c r="AS134" s="689">
        <v>0.8082545141874462</v>
      </c>
      <c r="AT134" s="689">
        <v>0.97162510748065345</v>
      </c>
      <c r="AU134" s="689">
        <v>1.1693895098882201</v>
      </c>
      <c r="AV134" s="689">
        <v>1.1092003439380911</v>
      </c>
      <c r="AW134" s="689" t="s">
        <v>4057</v>
      </c>
      <c r="AX134" s="656"/>
      <c r="AY134" s="705"/>
      <c r="AZ134" s="705"/>
      <c r="BA134" s="707"/>
      <c r="BB134" s="708">
        <v>-0.26163155855545983</v>
      </c>
      <c r="BC134" s="708">
        <v>-0.13974194909716242</v>
      </c>
      <c r="BD134" s="708">
        <v>-0.13280433469475472</v>
      </c>
      <c r="BE134" s="708">
        <v>0.19220378331900223</v>
      </c>
      <c r="BF134" s="708">
        <v>0.73543385855546006</v>
      </c>
      <c r="BG134" s="708">
        <v>0.938620674112566</v>
      </c>
      <c r="BH134" s="708">
        <v>1.1979442605511892</v>
      </c>
      <c r="BI134" s="708">
        <v>-0.12436715391229569</v>
      </c>
      <c r="BJ134" s="688"/>
      <c r="BK134" s="711"/>
      <c r="BL134" s="724"/>
      <c r="BM134" s="711"/>
      <c r="BN134" s="731"/>
      <c r="BO134" s="711"/>
      <c r="BP134" s="711"/>
      <c r="BQ134" s="711"/>
      <c r="BR134" s="1194"/>
      <c r="BS134" s="1194"/>
      <c r="BT134" s="711"/>
      <c r="BU134" s="494"/>
      <c r="BV134" s="710"/>
      <c r="BW134" s="494"/>
      <c r="BX134" s="720"/>
      <c r="BY134" s="720"/>
      <c r="BZ134" s="720"/>
      <c r="CA134" s="720"/>
      <c r="CB134" s="721"/>
      <c r="CC134" s="720"/>
      <c r="CD134" s="720"/>
      <c r="CE134" s="720"/>
      <c r="CF134" s="720"/>
      <c r="CG134" s="494"/>
      <c r="CH134" s="494"/>
      <c r="CI134" s="494"/>
    </row>
    <row r="135" spans="2:108" ht="14">
      <c r="B135" s="714"/>
      <c r="C135" s="656"/>
      <c r="D135" s="656"/>
      <c r="E135" s="656"/>
      <c r="F135" s="659"/>
      <c r="G135" s="659"/>
      <c r="H135" s="689"/>
      <c r="I135" s="689"/>
      <c r="J135" s="689"/>
      <c r="K135" s="689"/>
      <c r="L135" s="689"/>
      <c r="M135" s="689"/>
      <c r="N135" s="689"/>
      <c r="O135" s="689"/>
      <c r="P135" s="689"/>
      <c r="Q135" s="689"/>
      <c r="R135" s="689"/>
      <c r="S135" s="689"/>
      <c r="T135" s="689"/>
      <c r="U135" s="689"/>
      <c r="V135" s="689"/>
      <c r="W135" s="689"/>
      <c r="X135" s="689"/>
      <c r="Y135" s="689"/>
      <c r="Z135" s="689"/>
      <c r="AA135" s="689"/>
      <c r="AB135" s="689"/>
      <c r="AC135" s="689"/>
      <c r="AD135" s="689"/>
      <c r="AE135" s="689"/>
      <c r="AF135" s="689"/>
      <c r="AG135" s="689"/>
      <c r="AH135" s="689"/>
      <c r="AI135" s="689"/>
      <c r="AJ135" s="689"/>
      <c r="AK135" s="689"/>
      <c r="AL135" s="689"/>
      <c r="AM135" s="689"/>
      <c r="AN135" s="689"/>
      <c r="AO135" s="689"/>
      <c r="AP135" s="689"/>
      <c r="AQ135" s="689"/>
      <c r="AR135" s="689"/>
      <c r="AS135" s="689"/>
      <c r="AT135" s="689"/>
      <c r="AU135" s="689"/>
      <c r="AV135" s="689"/>
      <c r="AW135" s="689"/>
      <c r="AX135" s="656"/>
      <c r="AY135" s="659"/>
      <c r="AZ135" s="659"/>
      <c r="BA135" s="660"/>
      <c r="BB135" s="701"/>
      <c r="BC135" s="701"/>
      <c r="BD135" s="701"/>
      <c r="BE135" s="701"/>
      <c r="BF135" s="701"/>
      <c r="BG135" s="701"/>
      <c r="BH135" s="701"/>
      <c r="BI135" s="701"/>
      <c r="BJ135" s="688"/>
      <c r="BK135" s="711"/>
      <c r="BL135" s="724"/>
      <c r="BM135" s="711"/>
      <c r="BN135" s="711"/>
      <c r="BO135" s="711"/>
      <c r="BP135" s="711"/>
      <c r="BQ135" s="711"/>
      <c r="BR135" s="711"/>
      <c r="BS135" s="711"/>
      <c r="BT135" s="494"/>
      <c r="BU135" s="494"/>
      <c r="BV135" s="710"/>
      <c r="BW135" s="494"/>
      <c r="BX135" s="720"/>
      <c r="BY135" s="720"/>
      <c r="BZ135" s="720"/>
      <c r="CA135" s="720"/>
      <c r="CB135" s="721"/>
      <c r="CC135" s="720"/>
      <c r="CD135" s="720"/>
      <c r="CE135" s="720"/>
      <c r="CF135" s="720"/>
      <c r="CG135" s="494"/>
      <c r="CH135" s="494"/>
      <c r="CI135" s="494"/>
    </row>
    <row r="136" spans="2:108" ht="14">
      <c r="B136" s="663"/>
      <c r="C136" s="656"/>
      <c r="D136" s="732" t="s">
        <v>4087</v>
      </c>
      <c r="E136" s="656"/>
      <c r="F136" s="733"/>
      <c r="G136" s="734"/>
      <c r="H136" s="735"/>
      <c r="I136" s="735"/>
      <c r="J136" s="735"/>
      <c r="K136" s="735"/>
      <c r="L136" s="735"/>
      <c r="M136" s="735"/>
      <c r="N136" s="735"/>
      <c r="O136" s="735"/>
      <c r="P136" s="735"/>
      <c r="Q136" s="735"/>
      <c r="R136" s="735"/>
      <c r="S136" s="735"/>
      <c r="T136" s="735"/>
      <c r="U136" s="735"/>
      <c r="V136" s="735"/>
      <c r="W136" s="735"/>
      <c r="X136" s="735"/>
      <c r="Y136" s="735"/>
      <c r="Z136" s="735"/>
      <c r="AA136" s="735"/>
      <c r="AB136" s="735"/>
      <c r="AC136" s="735"/>
      <c r="AD136" s="735"/>
      <c r="AE136" s="735"/>
      <c r="AF136" s="735"/>
      <c r="AG136" s="735"/>
      <c r="AH136" s="735"/>
      <c r="AI136" s="735"/>
      <c r="AJ136" s="735"/>
      <c r="AK136" s="735"/>
      <c r="AL136" s="735"/>
      <c r="AM136" s="735"/>
      <c r="AN136" s="735"/>
      <c r="AO136" s="735"/>
      <c r="AP136" s="735"/>
      <c r="AQ136" s="735"/>
      <c r="AR136" s="735">
        <v>30.283748925193464</v>
      </c>
      <c r="AS136" s="735">
        <v>29.957007738607047</v>
      </c>
      <c r="AT136" s="735">
        <v>30.034393809114359</v>
      </c>
      <c r="AU136" s="735">
        <v>28.314703353396389</v>
      </c>
      <c r="AV136" s="735">
        <v>28.813413585554599</v>
      </c>
      <c r="AW136" s="735" t="s">
        <v>4057</v>
      </c>
      <c r="AX136" s="656"/>
      <c r="AY136" s="733"/>
      <c r="AZ136" s="733"/>
      <c r="BA136" s="669"/>
      <c r="BB136" s="736">
        <v>110.23860762983675</v>
      </c>
      <c r="BC136" s="736">
        <v>117.1578003218075</v>
      </c>
      <c r="BD136" s="736">
        <v>156.05646051762949</v>
      </c>
      <c r="BE136" s="736">
        <v>207.68581344604931</v>
      </c>
      <c r="BF136" s="736">
        <v>270.6851011139363</v>
      </c>
      <c r="BG136" s="736">
        <v>349.15138009937635</v>
      </c>
      <c r="BH136" s="736">
        <v>444.31700103673745</v>
      </c>
      <c r="BI136" s="736">
        <v>185.79261543297366</v>
      </c>
      <c r="BJ136" s="688"/>
      <c r="BL136" s="724"/>
      <c r="BM136" s="494"/>
      <c r="BN136" s="494"/>
      <c r="BO136" s="494"/>
      <c r="BP136" s="494"/>
      <c r="BQ136" s="494"/>
      <c r="BR136" s="494"/>
      <c r="BS136" s="494"/>
      <c r="BT136" s="494"/>
      <c r="BU136" s="494"/>
      <c r="BV136" s="710"/>
      <c r="BW136" s="494"/>
      <c r="BX136" s="720"/>
      <c r="BY136" s="720"/>
      <c r="BZ136" s="720"/>
      <c r="CA136" s="720"/>
      <c r="CB136" s="721"/>
      <c r="CC136" s="720"/>
      <c r="CD136" s="720"/>
      <c r="CE136" s="720"/>
      <c r="CF136" s="720"/>
      <c r="CG136" s="494"/>
      <c r="CH136" s="494"/>
      <c r="CI136" s="494"/>
    </row>
    <row r="137" spans="2:108" ht="14">
      <c r="B137" s="663"/>
      <c r="C137" s="656"/>
      <c r="D137" s="715" t="s">
        <v>4088</v>
      </c>
      <c r="E137" s="656"/>
      <c r="F137" s="734"/>
      <c r="G137" s="734"/>
      <c r="H137" s="735"/>
      <c r="I137" s="735"/>
      <c r="J137" s="735"/>
      <c r="K137" s="735"/>
      <c r="L137" s="735"/>
      <c r="M137" s="735"/>
      <c r="N137" s="735"/>
      <c r="O137" s="735"/>
      <c r="P137" s="735"/>
      <c r="Q137" s="735"/>
      <c r="R137" s="735"/>
      <c r="S137" s="735"/>
      <c r="T137" s="735"/>
      <c r="U137" s="735"/>
      <c r="V137" s="735"/>
      <c r="W137" s="735"/>
      <c r="X137" s="735"/>
      <c r="Y137" s="735"/>
      <c r="Z137" s="735"/>
      <c r="AA137" s="735"/>
      <c r="AB137" s="735"/>
      <c r="AC137" s="735"/>
      <c r="AD137" s="735"/>
      <c r="AE137" s="735"/>
      <c r="AF137" s="735"/>
      <c r="AG137" s="735"/>
      <c r="AH137" s="735"/>
      <c r="AI137" s="735"/>
      <c r="AJ137" s="735"/>
      <c r="AK137" s="735"/>
      <c r="AL137" s="735"/>
      <c r="AM137" s="735"/>
      <c r="AN137" s="735"/>
      <c r="AO137" s="735"/>
      <c r="AP137" s="735"/>
      <c r="AQ137" s="735"/>
      <c r="AR137" s="735"/>
      <c r="AS137" s="735"/>
      <c r="AT137" s="735"/>
      <c r="AU137" s="735"/>
      <c r="AV137" s="735"/>
      <c r="AW137" s="735"/>
      <c r="AX137" s="656"/>
      <c r="AY137" s="734"/>
      <c r="AZ137" s="734"/>
      <c r="BA137" s="737"/>
      <c r="BB137" s="738">
        <v>0</v>
      </c>
      <c r="BC137" s="738">
        <v>0</v>
      </c>
      <c r="BD137" s="738">
        <v>1</v>
      </c>
      <c r="BE137" s="738">
        <v>1</v>
      </c>
      <c r="BF137" s="738">
        <v>1</v>
      </c>
      <c r="BG137" s="738">
        <v>1</v>
      </c>
      <c r="BH137" s="738">
        <v>1</v>
      </c>
      <c r="BI137" s="738">
        <v>1</v>
      </c>
      <c r="BJ137" s="688"/>
      <c r="BL137" s="724"/>
      <c r="BM137" s="494"/>
      <c r="BN137" s="494"/>
      <c r="BO137" s="494"/>
      <c r="BP137" s="494"/>
      <c r="BQ137" s="494"/>
      <c r="BR137" s="494"/>
      <c r="BS137" s="494"/>
      <c r="BT137" s="494"/>
      <c r="BU137" s="494"/>
      <c r="BV137" s="710"/>
      <c r="BW137" s="494"/>
      <c r="BX137" s="720"/>
      <c r="BY137" s="720"/>
      <c r="BZ137" s="720"/>
      <c r="CA137" s="720"/>
      <c r="CB137" s="721"/>
      <c r="CC137" s="720"/>
      <c r="CD137" s="720"/>
      <c r="CE137" s="720"/>
      <c r="CF137" s="720"/>
      <c r="CG137" s="494"/>
      <c r="CH137" s="494"/>
      <c r="CI137" s="494"/>
    </row>
    <row r="138" spans="2:108" ht="14">
      <c r="B138" s="663"/>
      <c r="C138" s="656"/>
      <c r="D138" s="715"/>
      <c r="E138" s="656"/>
      <c r="F138" s="734"/>
      <c r="G138" s="734"/>
      <c r="H138" s="735"/>
      <c r="I138" s="735"/>
      <c r="J138" s="735"/>
      <c r="K138" s="735"/>
      <c r="L138" s="735"/>
      <c r="M138" s="735"/>
      <c r="N138" s="735"/>
      <c r="O138" s="735"/>
      <c r="P138" s="735"/>
      <c r="Q138" s="735"/>
      <c r="R138" s="735"/>
      <c r="S138" s="735"/>
      <c r="T138" s="735"/>
      <c r="U138" s="735"/>
      <c r="V138" s="735"/>
      <c r="W138" s="735"/>
      <c r="X138" s="735"/>
      <c r="Y138" s="735"/>
      <c r="Z138" s="735"/>
      <c r="AA138" s="735"/>
      <c r="AB138" s="735"/>
      <c r="AC138" s="735"/>
      <c r="AD138" s="735"/>
      <c r="AE138" s="735"/>
      <c r="AF138" s="735"/>
      <c r="AG138" s="735"/>
      <c r="AH138" s="735"/>
      <c r="AI138" s="735"/>
      <c r="AJ138" s="735"/>
      <c r="AK138" s="735"/>
      <c r="AL138" s="735"/>
      <c r="AM138" s="735"/>
      <c r="AN138" s="735"/>
      <c r="AO138" s="735"/>
      <c r="AP138" s="735"/>
      <c r="AQ138" s="735"/>
      <c r="AR138" s="735"/>
      <c r="AS138" s="735"/>
      <c r="AT138" s="735"/>
      <c r="AU138" s="735"/>
      <c r="AV138" s="735"/>
      <c r="AW138" s="735"/>
      <c r="AX138" s="656"/>
      <c r="AY138" s="734"/>
      <c r="AZ138" s="734"/>
      <c r="BA138" s="737"/>
      <c r="BB138" s="708">
        <v>77.106118765412006</v>
      </c>
      <c r="BC138" s="708">
        <v>81.395970517272602</v>
      </c>
      <c r="BD138" s="708">
        <v>95.124348988034583</v>
      </c>
      <c r="BE138" s="708">
        <v>102.12208263782696</v>
      </c>
      <c r="BF138" s="708">
        <v>98.337302194531802</v>
      </c>
      <c r="BG138" s="708">
        <v>93.43027318715302</v>
      </c>
      <c r="BH138" s="708">
        <v>99.060400366661526</v>
      </c>
      <c r="BI138" s="708">
        <v>102.52896939195416</v>
      </c>
      <c r="BJ138" s="688"/>
      <c r="BK138" s="720"/>
      <c r="BL138" s="494"/>
      <c r="BM138" s="494"/>
      <c r="BN138" s="494"/>
      <c r="BO138" s="494"/>
      <c r="BP138" s="494"/>
      <c r="BQ138" s="494"/>
      <c r="BR138" s="494"/>
      <c r="BS138" s="494"/>
      <c r="BT138" s="494"/>
      <c r="BU138" s="494"/>
      <c r="BV138" s="710"/>
      <c r="BW138" s="494"/>
      <c r="BX138" s="739"/>
      <c r="BY138" s="739"/>
      <c r="BZ138" s="739"/>
      <c r="CA138" s="739"/>
      <c r="CB138" s="739"/>
      <c r="CC138" s="739"/>
      <c r="CD138" s="739"/>
      <c r="CE138" s="739"/>
      <c r="CF138" s="739"/>
      <c r="CG138" s="494"/>
      <c r="CH138" s="494"/>
      <c r="CI138" s="494"/>
    </row>
    <row r="139" spans="2:108" ht="14">
      <c r="B139" s="663"/>
      <c r="C139" s="656"/>
      <c r="D139" s="715"/>
      <c r="E139" s="656"/>
      <c r="F139" s="734"/>
      <c r="G139" s="734"/>
      <c r="H139" s="735"/>
      <c r="I139" s="735"/>
      <c r="J139" s="735"/>
      <c r="K139" s="735"/>
      <c r="L139" s="735"/>
      <c r="M139" s="735"/>
      <c r="N139" s="735"/>
      <c r="O139" s="735"/>
      <c r="P139" s="735"/>
      <c r="Q139" s="735"/>
      <c r="R139" s="735"/>
      <c r="S139" s="735"/>
      <c r="T139" s="735"/>
      <c r="U139" s="735"/>
      <c r="V139" s="735"/>
      <c r="W139" s="735"/>
      <c r="X139" s="735"/>
      <c r="Y139" s="735"/>
      <c r="Z139" s="735"/>
      <c r="AA139" s="735"/>
      <c r="AB139" s="735"/>
      <c r="AC139" s="735"/>
      <c r="AD139" s="735"/>
      <c r="AE139" s="735"/>
      <c r="AF139" s="735"/>
      <c r="AG139" s="735"/>
      <c r="AH139" s="735"/>
      <c r="AI139" s="735"/>
      <c r="AJ139" s="735"/>
      <c r="AK139" s="735"/>
      <c r="AL139" s="735"/>
      <c r="AM139" s="735"/>
      <c r="AN139" s="735"/>
      <c r="AO139" s="735"/>
      <c r="AP139" s="735"/>
      <c r="AQ139" s="735"/>
      <c r="AR139" s="735"/>
      <c r="AS139" s="735"/>
      <c r="AT139" s="735"/>
      <c r="AU139" s="735"/>
      <c r="AV139" s="735"/>
      <c r="AW139" s="735"/>
      <c r="AX139" s="656"/>
      <c r="AY139" s="734"/>
      <c r="AZ139" s="734"/>
      <c r="BA139" s="737"/>
      <c r="BB139" s="740"/>
      <c r="BC139" s="740"/>
      <c r="BD139" s="740"/>
      <c r="BE139" s="740"/>
      <c r="BF139" s="740"/>
      <c r="BG139" s="737"/>
      <c r="BH139" s="741"/>
      <c r="BI139" s="741"/>
      <c r="BJ139" s="688"/>
      <c r="BK139" s="720"/>
      <c r="BL139" s="494"/>
      <c r="BM139" s="494"/>
      <c r="BN139" s="494"/>
      <c r="BO139" s="494"/>
      <c r="BP139" s="494"/>
      <c r="BQ139" s="494"/>
      <c r="BR139" s="494"/>
      <c r="BS139" s="494"/>
      <c r="BT139" s="494"/>
      <c r="BU139" s="494"/>
      <c r="BV139" s="710"/>
      <c r="BW139" s="494"/>
      <c r="BX139" s="739"/>
      <c r="BY139" s="494"/>
      <c r="BZ139" s="494"/>
      <c r="CA139" s="494"/>
      <c r="CB139" s="494"/>
      <c r="CC139" s="494"/>
      <c r="CD139" s="494"/>
      <c r="CE139" s="494"/>
      <c r="CF139" s="494"/>
      <c r="CG139" s="494"/>
      <c r="CH139" s="494"/>
      <c r="CI139" s="494"/>
    </row>
    <row r="140" spans="2:108" ht="14">
      <c r="B140" s="663"/>
      <c r="C140" s="656"/>
      <c r="D140" s="715" t="s">
        <v>4089</v>
      </c>
      <c r="E140" s="656"/>
      <c r="F140" s="734"/>
      <c r="G140" s="734"/>
      <c r="H140" s="735"/>
      <c r="I140" s="735"/>
      <c r="J140" s="735"/>
      <c r="K140" s="735"/>
      <c r="L140" s="735"/>
      <c r="M140" s="735"/>
      <c r="N140" s="735"/>
      <c r="O140" s="735"/>
      <c r="P140" s="735"/>
      <c r="Q140" s="735"/>
      <c r="R140" s="735"/>
      <c r="S140" s="735"/>
      <c r="T140" s="735"/>
      <c r="U140" s="735"/>
      <c r="V140" s="735"/>
      <c r="W140" s="735"/>
      <c r="X140" s="735"/>
      <c r="Y140" s="735"/>
      <c r="Z140" s="735"/>
      <c r="AA140" s="735"/>
      <c r="AB140" s="735"/>
      <c r="AC140" s="735"/>
      <c r="AD140" s="735"/>
      <c r="AE140" s="735"/>
      <c r="AF140" s="735"/>
      <c r="AG140" s="735"/>
      <c r="AH140" s="735"/>
      <c r="AI140" s="735"/>
      <c r="AJ140" s="735"/>
      <c r="AK140" s="735"/>
      <c r="AL140" s="735"/>
      <c r="AM140" s="735"/>
      <c r="AN140" s="735"/>
      <c r="AO140" s="735"/>
      <c r="AP140" s="735"/>
      <c r="AQ140" s="735"/>
      <c r="AR140" s="735"/>
      <c r="AS140" s="735"/>
      <c r="AT140" s="735"/>
      <c r="AU140" s="735"/>
      <c r="AV140" s="735"/>
      <c r="AW140" s="735"/>
      <c r="AX140" s="656"/>
      <c r="AY140" s="742"/>
      <c r="AZ140" s="742"/>
      <c r="BA140" s="743"/>
      <c r="BB140" s="743">
        <v>0.11192885066174678</v>
      </c>
      <c r="BC140" s="743">
        <v>0.13066494901104889</v>
      </c>
      <c r="BD140" s="743">
        <v>0.2175604111981137</v>
      </c>
      <c r="BE140" s="743">
        <v>0.34657085614309624</v>
      </c>
      <c r="BF140" s="743">
        <v>0.47992268251361231</v>
      </c>
      <c r="BG140" s="743">
        <v>0.57743877665629972</v>
      </c>
      <c r="BH140" s="743">
        <v>0.6184760313264781</v>
      </c>
      <c r="BI140" s="743">
        <v>0.28371820628221328</v>
      </c>
      <c r="BJ140" s="688"/>
      <c r="BK140" s="720"/>
      <c r="BL140" s="494"/>
      <c r="BM140" s="744"/>
      <c r="BN140" s="744"/>
      <c r="BO140" s="744"/>
      <c r="BP140" s="744"/>
      <c r="BQ140" s="744"/>
      <c r="BR140" s="744"/>
      <c r="BS140" s="494"/>
      <c r="BT140" s="494"/>
      <c r="BU140" s="494"/>
      <c r="BV140" s="710"/>
      <c r="BW140" s="494"/>
      <c r="BX140" s="745"/>
      <c r="BY140" s="494"/>
      <c r="BZ140" s="494"/>
      <c r="CA140" s="494"/>
      <c r="CB140" s="494"/>
      <c r="CC140" s="494"/>
      <c r="CD140" s="494"/>
      <c r="CE140" s="494"/>
      <c r="CF140" s="494"/>
      <c r="CG140" s="494"/>
      <c r="CH140" s="494"/>
      <c r="CI140" s="494"/>
    </row>
    <row r="141" spans="2:108" ht="14">
      <c r="B141" s="663"/>
      <c r="C141" s="656"/>
      <c r="D141" s="673" t="s">
        <v>4090</v>
      </c>
      <c r="E141" s="656"/>
      <c r="F141" s="746"/>
      <c r="G141" s="746"/>
      <c r="H141" s="689"/>
      <c r="I141" s="689"/>
      <c r="J141" s="689"/>
      <c r="K141" s="689"/>
      <c r="L141" s="689"/>
      <c r="M141" s="689"/>
      <c r="N141" s="689"/>
      <c r="O141" s="689"/>
      <c r="P141" s="689"/>
      <c r="Q141" s="689"/>
      <c r="R141" s="689"/>
      <c r="S141" s="689"/>
      <c r="T141" s="689"/>
      <c r="U141" s="689"/>
      <c r="V141" s="689"/>
      <c r="W141" s="689"/>
      <c r="X141" s="689"/>
      <c r="Y141" s="689"/>
      <c r="Z141" s="689"/>
      <c r="AA141" s="689"/>
      <c r="AB141" s="689"/>
      <c r="AC141" s="689"/>
      <c r="AD141" s="689"/>
      <c r="AE141" s="689"/>
      <c r="AF141" s="689"/>
      <c r="AG141" s="689"/>
      <c r="AH141" s="689"/>
      <c r="AI141" s="689"/>
      <c r="AJ141" s="689"/>
      <c r="AK141" s="689"/>
      <c r="AL141" s="689"/>
      <c r="AM141" s="689"/>
      <c r="AN141" s="689"/>
      <c r="AO141" s="689"/>
      <c r="AP141" s="689"/>
      <c r="AQ141" s="689"/>
      <c r="AR141" s="689"/>
      <c r="AS141" s="689"/>
      <c r="AT141" s="689"/>
      <c r="AU141" s="689"/>
      <c r="AV141" s="689"/>
      <c r="AW141" s="689"/>
      <c r="AX141" s="746">
        <v>0</v>
      </c>
      <c r="AY141" s="746"/>
      <c r="AZ141" s="746"/>
      <c r="BA141" s="747"/>
      <c r="BB141" s="747">
        <v>0</v>
      </c>
      <c r="BC141" s="747">
        <v>0</v>
      </c>
      <c r="BD141" s="747">
        <v>0</v>
      </c>
      <c r="BE141" s="747">
        <v>0</v>
      </c>
      <c r="BF141" s="747">
        <v>0</v>
      </c>
      <c r="BG141" s="747">
        <v>0</v>
      </c>
      <c r="BH141" s="747">
        <v>0</v>
      </c>
      <c r="BI141" s="747">
        <v>0</v>
      </c>
      <c r="BJ141" s="688"/>
      <c r="BK141" s="720"/>
      <c r="BL141" s="494"/>
      <c r="BM141" s="748"/>
      <c r="BN141" s="748"/>
      <c r="BO141" s="748"/>
      <c r="BP141" s="748"/>
      <c r="BQ141" s="748"/>
      <c r="BR141" s="748"/>
      <c r="BS141" s="749"/>
      <c r="BT141" s="749"/>
      <c r="BU141" s="494"/>
      <c r="BV141" s="710"/>
      <c r="BW141" s="494"/>
      <c r="BX141" s="494"/>
      <c r="BY141" s="494"/>
      <c r="BZ141" s="494"/>
      <c r="CA141" s="494"/>
      <c r="CB141" s="494"/>
      <c r="CC141" s="494"/>
      <c r="CD141" s="494"/>
      <c r="CE141" s="494"/>
      <c r="CF141" s="494"/>
      <c r="CG141" s="494"/>
      <c r="CH141" s="494"/>
      <c r="CI141" s="494"/>
    </row>
    <row r="142" spans="2:108" ht="14">
      <c r="B142" s="663"/>
      <c r="C142" s="656"/>
      <c r="D142" s="673"/>
      <c r="E142" s="656"/>
      <c r="F142" s="746"/>
      <c r="G142" s="746"/>
      <c r="H142" s="689"/>
      <c r="I142" s="689"/>
      <c r="J142" s="689"/>
      <c r="K142" s="689"/>
      <c r="L142" s="689"/>
      <c r="M142" s="689"/>
      <c r="N142" s="689"/>
      <c r="O142" s="689"/>
      <c r="P142" s="689"/>
      <c r="Q142" s="689"/>
      <c r="R142" s="689"/>
      <c r="S142" s="689"/>
      <c r="T142" s="689"/>
      <c r="U142" s="689"/>
      <c r="V142" s="689"/>
      <c r="W142" s="689"/>
      <c r="X142" s="689"/>
      <c r="Y142" s="689"/>
      <c r="Z142" s="689"/>
      <c r="AA142" s="689"/>
      <c r="AB142" s="689"/>
      <c r="AC142" s="689"/>
      <c r="AD142" s="689"/>
      <c r="AE142" s="689"/>
      <c r="AF142" s="689"/>
      <c r="AG142" s="689"/>
      <c r="AH142" s="689"/>
      <c r="AI142" s="689"/>
      <c r="AJ142" s="689"/>
      <c r="AK142" s="689"/>
      <c r="AL142" s="689"/>
      <c r="AM142" s="689"/>
      <c r="AN142" s="689"/>
      <c r="AO142" s="689"/>
      <c r="AP142" s="689"/>
      <c r="AQ142" s="689"/>
      <c r="AR142" s="689"/>
      <c r="AS142" s="689"/>
      <c r="AT142" s="689"/>
      <c r="AU142" s="689"/>
      <c r="AV142" s="689"/>
      <c r="AW142" s="689"/>
      <c r="AX142" s="746"/>
      <c r="AY142" s="746"/>
      <c r="AZ142" s="746"/>
      <c r="BA142" s="750"/>
      <c r="BB142" s="751"/>
      <c r="BC142" s="750"/>
      <c r="BD142" s="750"/>
      <c r="BE142" s="750"/>
      <c r="BF142" s="750"/>
      <c r="BG142" s="750"/>
      <c r="BH142" s="752"/>
      <c r="BI142" s="752"/>
      <c r="BJ142" s="688"/>
      <c r="BL142" s="494"/>
      <c r="BM142" s="494"/>
      <c r="BN142" s="494"/>
      <c r="BO142" s="494"/>
      <c r="BP142" s="494"/>
      <c r="BQ142" s="494"/>
      <c r="BR142" s="494"/>
      <c r="BS142" s="494"/>
      <c r="BT142" s="494"/>
      <c r="BU142" s="494"/>
      <c r="BV142" s="494"/>
      <c r="BW142" s="494"/>
      <c r="BX142" s="494"/>
      <c r="BY142" s="494"/>
      <c r="BZ142" s="494"/>
      <c r="CA142" s="494"/>
      <c r="CB142" s="494"/>
      <c r="CC142" s="494"/>
      <c r="CD142" s="494"/>
      <c r="CE142" s="494"/>
      <c r="CF142" s="494"/>
      <c r="CG142" s="494"/>
      <c r="CH142" s="494"/>
      <c r="CI142" s="494"/>
    </row>
    <row r="143" spans="2:108" ht="14">
      <c r="B143" s="663"/>
      <c r="C143" s="715"/>
      <c r="D143" s="656"/>
      <c r="E143" s="734"/>
      <c r="F143" s="656"/>
      <c r="G143" s="656"/>
      <c r="H143" s="671"/>
      <c r="I143" s="671"/>
      <c r="J143" s="671"/>
      <c r="K143" s="671"/>
      <c r="L143" s="671"/>
      <c r="M143" s="671"/>
      <c r="N143" s="671"/>
      <c r="O143" s="671"/>
      <c r="P143" s="671"/>
      <c r="Q143" s="671"/>
      <c r="R143" s="671"/>
      <c r="S143" s="671"/>
      <c r="T143" s="671"/>
      <c r="U143" s="671"/>
      <c r="V143" s="671"/>
      <c r="W143" s="671"/>
      <c r="X143" s="671"/>
      <c r="Y143" s="671"/>
      <c r="Z143" s="671"/>
      <c r="AA143" s="671"/>
      <c r="AB143" s="671"/>
      <c r="AC143" s="671"/>
      <c r="AD143" s="671"/>
      <c r="AE143" s="671"/>
      <c r="AF143" s="671"/>
      <c r="AG143" s="671"/>
      <c r="AH143" s="671"/>
      <c r="AI143" s="671"/>
      <c r="AJ143" s="671"/>
      <c r="AK143" s="671"/>
      <c r="AL143" s="671"/>
      <c r="AM143" s="671"/>
      <c r="AN143" s="671"/>
      <c r="AO143" s="671"/>
      <c r="AP143" s="671"/>
      <c r="AQ143" s="671"/>
      <c r="AR143" s="671"/>
      <c r="AS143" s="671"/>
      <c r="AT143" s="671"/>
      <c r="AU143" s="671"/>
      <c r="AV143" s="671"/>
      <c r="AW143" s="671"/>
      <c r="AX143" s="734"/>
      <c r="AY143" s="734"/>
      <c r="AZ143" s="734"/>
      <c r="BA143" s="737"/>
      <c r="BB143" s="737"/>
      <c r="BC143" s="737"/>
      <c r="BD143" s="737"/>
      <c r="BE143" s="737"/>
      <c r="BF143" s="737"/>
      <c r="BG143" s="737"/>
      <c r="BH143" s="737"/>
      <c r="BI143" s="737"/>
      <c r="BJ143" s="688"/>
      <c r="BL143" s="494"/>
      <c r="BM143" s="494"/>
      <c r="BN143" s="494"/>
      <c r="BO143" s="494"/>
      <c r="BP143" s="494"/>
      <c r="BQ143" s="494"/>
      <c r="BR143" s="494"/>
      <c r="BS143" s="494"/>
      <c r="BT143" s="494"/>
      <c r="BU143" s="494"/>
      <c r="BV143" s="710"/>
      <c r="BW143" s="694"/>
      <c r="BX143" s="694"/>
      <c r="BY143" s="694"/>
      <c r="BZ143" s="694"/>
      <c r="CA143" s="694"/>
      <c r="CB143" s="694"/>
      <c r="CC143" s="694"/>
      <c r="CD143" s="694"/>
      <c r="CE143" s="694"/>
      <c r="CF143" s="694"/>
      <c r="CG143" s="494"/>
      <c r="CH143" s="494"/>
      <c r="CI143" s="494"/>
    </row>
    <row r="144" spans="2:108" ht="14">
      <c r="B144" s="663"/>
      <c r="C144" s="695"/>
      <c r="D144" s="695" t="s">
        <v>4091</v>
      </c>
      <c r="E144" s="695"/>
      <c r="F144" s="695"/>
      <c r="G144" s="695"/>
      <c r="H144" s="753"/>
      <c r="I144" s="753"/>
      <c r="J144" s="753"/>
      <c r="K144" s="753"/>
      <c r="L144" s="753"/>
      <c r="M144" s="753"/>
      <c r="N144" s="753"/>
      <c r="O144" s="753"/>
      <c r="P144" s="753"/>
      <c r="Q144" s="753"/>
      <c r="R144" s="753"/>
      <c r="S144" s="753"/>
      <c r="T144" s="753"/>
      <c r="U144" s="753"/>
      <c r="V144" s="753"/>
      <c r="W144" s="753"/>
      <c r="X144" s="753"/>
      <c r="Y144" s="753"/>
      <c r="Z144" s="753"/>
      <c r="AA144" s="753"/>
      <c r="AB144" s="753"/>
      <c r="AC144" s="753"/>
      <c r="AD144" s="753"/>
      <c r="AE144" s="753"/>
      <c r="AF144" s="753"/>
      <c r="AG144" s="753"/>
      <c r="AH144" s="753"/>
      <c r="AI144" s="753"/>
      <c r="AJ144" s="753"/>
      <c r="AK144" s="753"/>
      <c r="AL144" s="753"/>
      <c r="AM144" s="753"/>
      <c r="AN144" s="753"/>
      <c r="AO144" s="753"/>
      <c r="AP144" s="753"/>
      <c r="AQ144" s="753"/>
      <c r="AR144" s="753"/>
      <c r="AS144" s="753"/>
      <c r="AT144" s="753"/>
      <c r="AU144" s="753"/>
      <c r="AV144" s="753"/>
      <c r="AW144" s="753"/>
      <c r="AX144" s="695"/>
      <c r="AY144" s="696"/>
      <c r="AZ144" s="696"/>
      <c r="BA144" s="697"/>
      <c r="BB144" s="697" t="s">
        <v>3859</v>
      </c>
      <c r="BC144" s="697">
        <v>2022</v>
      </c>
      <c r="BD144" s="697">
        <v>2027</v>
      </c>
      <c r="BE144" s="697">
        <v>2032</v>
      </c>
      <c r="BF144" s="697">
        <v>2037</v>
      </c>
      <c r="BG144" s="697">
        <v>2042</v>
      </c>
      <c r="BH144" s="697">
        <v>2047</v>
      </c>
      <c r="BI144" s="697" t="s">
        <v>4046</v>
      </c>
      <c r="BJ144" s="688"/>
      <c r="BL144" s="494"/>
      <c r="BM144" s="494"/>
      <c r="BN144" s="494"/>
      <c r="BO144" s="494"/>
      <c r="BP144" s="494"/>
      <c r="BQ144" s="494"/>
      <c r="BR144" s="494"/>
      <c r="BS144" s="494"/>
      <c r="BT144" s="494"/>
      <c r="BU144" s="494"/>
      <c r="BV144" s="710"/>
      <c r="BW144" s="494"/>
      <c r="BX144" s="745"/>
      <c r="BY144" s="745"/>
      <c r="BZ144" s="745"/>
      <c r="CA144" s="745"/>
      <c r="CB144" s="754"/>
      <c r="CC144" s="745"/>
      <c r="CD144" s="745"/>
      <c r="CE144" s="745"/>
      <c r="CF144" s="745"/>
      <c r="CG144" s="494"/>
      <c r="CH144" s="739"/>
      <c r="CI144" s="494"/>
    </row>
    <row r="145" spans="2:87" ht="14">
      <c r="B145" s="663"/>
      <c r="C145" s="656" t="s">
        <v>4047</v>
      </c>
      <c r="D145" s="656" t="s">
        <v>4048</v>
      </c>
      <c r="E145" s="656"/>
      <c r="F145" s="734"/>
      <c r="G145" s="734"/>
      <c r="H145" s="735"/>
      <c r="I145" s="735"/>
      <c r="J145" s="735"/>
      <c r="K145" s="735"/>
      <c r="L145" s="735"/>
      <c r="M145" s="735"/>
      <c r="N145" s="735"/>
      <c r="O145" s="735"/>
      <c r="P145" s="735"/>
      <c r="Q145" s="735"/>
      <c r="R145" s="735"/>
      <c r="S145" s="735"/>
      <c r="T145" s="735"/>
      <c r="U145" s="735"/>
      <c r="V145" s="735"/>
      <c r="W145" s="735"/>
      <c r="X145" s="735"/>
      <c r="Y145" s="735"/>
      <c r="Z145" s="735"/>
      <c r="AA145" s="735"/>
      <c r="AB145" s="735"/>
      <c r="AC145" s="735"/>
      <c r="AD145" s="735"/>
      <c r="AE145" s="735"/>
      <c r="AF145" s="735"/>
      <c r="AG145" s="735"/>
      <c r="AH145" s="735"/>
      <c r="AI145" s="735"/>
      <c r="AJ145" s="735"/>
      <c r="AK145" s="735"/>
      <c r="AL145" s="735"/>
      <c r="AM145" s="735"/>
      <c r="AN145" s="735"/>
      <c r="AO145" s="735"/>
      <c r="AP145" s="735"/>
      <c r="AQ145" s="735"/>
      <c r="AR145" s="735">
        <v>63.6</v>
      </c>
      <c r="AS145" s="735">
        <v>63.6</v>
      </c>
      <c r="AT145" s="735">
        <v>63.7</v>
      </c>
      <c r="AU145" s="735">
        <v>64.5</v>
      </c>
      <c r="AV145" s="735">
        <v>69.3</v>
      </c>
      <c r="AW145" s="735" t="s">
        <v>4092</v>
      </c>
      <c r="AX145" s="656"/>
      <c r="AY145" s="755"/>
      <c r="AZ145" s="755"/>
      <c r="BA145" s="756"/>
      <c r="BB145" s="757">
        <v>24.955000000000002</v>
      </c>
      <c r="BC145" s="757">
        <v>24.899000000000001</v>
      </c>
      <c r="BD145" s="757">
        <v>25.841636100656</v>
      </c>
      <c r="BE145" s="757">
        <v>26.494169795078541</v>
      </c>
      <c r="BF145" s="757">
        <v>27.163180782993575</v>
      </c>
      <c r="BG145" s="757">
        <v>27.849085136709942</v>
      </c>
      <c r="BH145" s="757">
        <v>28.552309434883689</v>
      </c>
      <c r="BI145" s="757">
        <v>26.231201995077896</v>
      </c>
      <c r="BJ145" s="688"/>
      <c r="BL145" s="494"/>
      <c r="BM145" s="494"/>
      <c r="BN145" s="494"/>
      <c r="BO145" s="494"/>
      <c r="BP145" s="494"/>
      <c r="BQ145" s="494"/>
      <c r="BR145" s="494"/>
      <c r="BS145" s="494"/>
      <c r="BT145" s="494"/>
      <c r="BU145" s="494"/>
      <c r="BV145" s="710"/>
      <c r="BW145" s="494"/>
      <c r="BX145" s="745"/>
      <c r="BY145" s="745"/>
      <c r="BZ145" s="745"/>
      <c r="CA145" s="745"/>
      <c r="CB145" s="754"/>
      <c r="CC145" s="745"/>
      <c r="CD145" s="745"/>
      <c r="CE145" s="745"/>
      <c r="CF145" s="745"/>
      <c r="CG145" s="494"/>
      <c r="CH145" s="739"/>
      <c r="CI145" s="494"/>
    </row>
    <row r="146" spans="2:87" ht="14">
      <c r="B146" s="663"/>
      <c r="C146" s="704" t="s">
        <v>4050</v>
      </c>
      <c r="D146" s="656" t="s">
        <v>4051</v>
      </c>
      <c r="E146" s="656"/>
      <c r="F146" s="734"/>
      <c r="G146" s="734"/>
      <c r="H146" s="735"/>
      <c r="I146" s="735"/>
      <c r="J146" s="735"/>
      <c r="K146" s="735"/>
      <c r="L146" s="735"/>
      <c r="M146" s="735"/>
      <c r="N146" s="735"/>
      <c r="O146" s="735"/>
      <c r="P146" s="735"/>
      <c r="Q146" s="735"/>
      <c r="R146" s="735"/>
      <c r="S146" s="735"/>
      <c r="T146" s="735"/>
      <c r="U146" s="735"/>
      <c r="V146" s="735"/>
      <c r="W146" s="735"/>
      <c r="X146" s="735"/>
      <c r="Y146" s="735"/>
      <c r="Z146" s="735"/>
      <c r="AA146" s="735"/>
      <c r="AB146" s="735"/>
      <c r="AC146" s="735"/>
      <c r="AD146" s="735"/>
      <c r="AE146" s="735"/>
      <c r="AF146" s="735"/>
      <c r="AG146" s="735"/>
      <c r="AH146" s="735"/>
      <c r="AI146" s="735"/>
      <c r="AJ146" s="735"/>
      <c r="AK146" s="735"/>
      <c r="AL146" s="735"/>
      <c r="AM146" s="735"/>
      <c r="AN146" s="735"/>
      <c r="AO146" s="735"/>
      <c r="AP146" s="735"/>
      <c r="AQ146" s="735"/>
      <c r="AR146" s="735"/>
      <c r="AS146" s="735"/>
      <c r="AT146" s="735"/>
      <c r="AU146" s="735"/>
      <c r="AV146" s="735"/>
      <c r="AW146" s="735" t="s">
        <v>4093</v>
      </c>
      <c r="AX146" s="656"/>
      <c r="AY146" s="755"/>
      <c r="AZ146" s="755"/>
      <c r="BA146" s="756"/>
      <c r="BB146" s="757">
        <v>205.13499999999999</v>
      </c>
      <c r="BC146" s="757">
        <v>210.63499999999999</v>
      </c>
      <c r="BD146" s="757">
        <v>242.20223103218444</v>
      </c>
      <c r="BE146" s="757">
        <v>251.90190440657534</v>
      </c>
      <c r="BF146" s="757">
        <v>234.70392183954931</v>
      </c>
      <c r="BG146" s="757">
        <v>215.30729001104407</v>
      </c>
      <c r="BH146" s="757">
        <v>213.72522453911591</v>
      </c>
      <c r="BI146" s="757">
        <v>256.14293922969603</v>
      </c>
      <c r="BJ146" s="688"/>
      <c r="BK146" s="758"/>
      <c r="BL146" s="758"/>
      <c r="BM146" s="758"/>
      <c r="BN146" s="758"/>
      <c r="BO146" s="758"/>
      <c r="BP146" s="758"/>
      <c r="BQ146" s="758"/>
      <c r="BR146" s="758"/>
      <c r="BS146" s="694"/>
      <c r="BT146" s="494"/>
      <c r="BU146" s="494"/>
      <c r="BV146" s="710"/>
      <c r="BW146" s="494"/>
      <c r="BX146" s="745"/>
      <c r="BY146" s="745"/>
      <c r="BZ146" s="745"/>
      <c r="CA146" s="745"/>
      <c r="CB146" s="754"/>
      <c r="CC146" s="745"/>
      <c r="CD146" s="745"/>
      <c r="CE146" s="745"/>
      <c r="CF146" s="745"/>
      <c r="CG146" s="494"/>
      <c r="CH146" s="739"/>
      <c r="CI146" s="494"/>
    </row>
    <row r="147" spans="2:87" ht="14">
      <c r="B147" s="663"/>
      <c r="C147" s="704" t="s">
        <v>4052</v>
      </c>
      <c r="D147" s="656" t="s">
        <v>4053</v>
      </c>
      <c r="E147" s="656"/>
      <c r="F147" s="734"/>
      <c r="G147" s="734"/>
      <c r="H147" s="735"/>
      <c r="I147" s="735"/>
      <c r="J147" s="735"/>
      <c r="K147" s="735"/>
      <c r="L147" s="735"/>
      <c r="M147" s="735"/>
      <c r="N147" s="735"/>
      <c r="O147" s="735"/>
      <c r="P147" s="735"/>
      <c r="Q147" s="735"/>
      <c r="R147" s="735"/>
      <c r="S147" s="735"/>
      <c r="T147" s="735"/>
      <c r="U147" s="735"/>
      <c r="V147" s="735"/>
      <c r="W147" s="735"/>
      <c r="X147" s="735"/>
      <c r="Y147" s="735"/>
      <c r="Z147" s="735"/>
      <c r="AA147" s="735"/>
      <c r="AB147" s="735"/>
      <c r="AC147" s="735"/>
      <c r="AD147" s="735"/>
      <c r="AE147" s="735"/>
      <c r="AF147" s="735"/>
      <c r="AG147" s="735"/>
      <c r="AH147" s="735"/>
      <c r="AI147" s="735"/>
      <c r="AJ147" s="735"/>
      <c r="AK147" s="735"/>
      <c r="AL147" s="735"/>
      <c r="AM147" s="735"/>
      <c r="AN147" s="735"/>
      <c r="AO147" s="735"/>
      <c r="AP147" s="735"/>
      <c r="AQ147" s="735"/>
      <c r="AR147" s="735"/>
      <c r="AS147" s="735"/>
      <c r="AT147" s="735"/>
      <c r="AU147" s="735"/>
      <c r="AV147" s="735"/>
      <c r="AW147" s="735"/>
      <c r="AX147" s="656"/>
      <c r="AY147" s="755"/>
      <c r="AZ147" s="755"/>
      <c r="BA147" s="756"/>
      <c r="BB147" s="757">
        <v>0</v>
      </c>
      <c r="BC147" s="757">
        <v>0</v>
      </c>
      <c r="BD147" s="757">
        <v>0</v>
      </c>
      <c r="BE147" s="757">
        <v>3.75</v>
      </c>
      <c r="BF147" s="757">
        <v>7.5</v>
      </c>
      <c r="BG147" s="757">
        <v>11.25</v>
      </c>
      <c r="BH147" s="757">
        <v>15</v>
      </c>
      <c r="BI147" s="757">
        <v>2.25</v>
      </c>
      <c r="BJ147" s="688"/>
      <c r="BK147" s="694"/>
      <c r="BL147" s="759"/>
      <c r="BM147" s="759"/>
      <c r="BN147" s="759"/>
      <c r="BO147" s="759"/>
      <c r="BP147" s="760"/>
      <c r="BQ147" s="759"/>
      <c r="BR147" s="759"/>
      <c r="BS147" s="759"/>
      <c r="BT147" s="494"/>
      <c r="BU147" s="494"/>
      <c r="BV147" s="710"/>
      <c r="BW147" s="494"/>
      <c r="BX147" s="745"/>
      <c r="BY147" s="745"/>
      <c r="BZ147" s="745"/>
      <c r="CA147" s="745"/>
      <c r="CB147" s="754"/>
      <c r="CC147" s="745"/>
      <c r="CD147" s="745"/>
      <c r="CE147" s="745"/>
      <c r="CF147" s="745"/>
      <c r="CG147" s="494"/>
      <c r="CH147" s="739"/>
      <c r="CI147" s="494"/>
    </row>
    <row r="148" spans="2:87" ht="14">
      <c r="B148" s="663"/>
      <c r="C148" s="704" t="s">
        <v>4054</v>
      </c>
      <c r="D148" s="656" t="s">
        <v>4055</v>
      </c>
      <c r="E148" s="656"/>
      <c r="F148" s="734"/>
      <c r="G148" s="734"/>
      <c r="H148" s="735"/>
      <c r="I148" s="735"/>
      <c r="J148" s="735"/>
      <c r="K148" s="735"/>
      <c r="L148" s="735"/>
      <c r="M148" s="735"/>
      <c r="N148" s="735"/>
      <c r="O148" s="735"/>
      <c r="P148" s="735"/>
      <c r="Q148" s="735"/>
      <c r="R148" s="735"/>
      <c r="S148" s="735"/>
      <c r="T148" s="735"/>
      <c r="U148" s="735"/>
      <c r="V148" s="735"/>
      <c r="W148" s="735"/>
      <c r="X148" s="735"/>
      <c r="Y148" s="735"/>
      <c r="Z148" s="735"/>
      <c r="AA148" s="735"/>
      <c r="AB148" s="735"/>
      <c r="AC148" s="735"/>
      <c r="AD148" s="735"/>
      <c r="AE148" s="735"/>
      <c r="AF148" s="735"/>
      <c r="AG148" s="735"/>
      <c r="AH148" s="735"/>
      <c r="AI148" s="735"/>
      <c r="AJ148" s="735"/>
      <c r="AK148" s="735"/>
      <c r="AL148" s="735"/>
      <c r="AM148" s="735"/>
      <c r="AN148" s="735"/>
      <c r="AO148" s="735"/>
      <c r="AP148" s="735"/>
      <c r="AQ148" s="735"/>
      <c r="AR148" s="735"/>
      <c r="AS148" s="735"/>
      <c r="AT148" s="735"/>
      <c r="AU148" s="735"/>
      <c r="AV148" s="735"/>
      <c r="AW148" s="735"/>
      <c r="AX148" s="656"/>
      <c r="AY148" s="755"/>
      <c r="AZ148" s="755"/>
      <c r="BA148" s="756"/>
      <c r="BB148" s="757">
        <v>0</v>
      </c>
      <c r="BC148" s="757">
        <v>0</v>
      </c>
      <c r="BD148" s="757">
        <v>0</v>
      </c>
      <c r="BE148" s="757">
        <v>0</v>
      </c>
      <c r="BF148" s="757">
        <v>0</v>
      </c>
      <c r="BG148" s="757">
        <v>0</v>
      </c>
      <c r="BH148" s="757">
        <v>0</v>
      </c>
      <c r="BI148" s="757">
        <v>0</v>
      </c>
      <c r="BJ148" s="688"/>
      <c r="BK148" s="694"/>
      <c r="BL148" s="759"/>
      <c r="BM148" s="759"/>
      <c r="BN148" s="759"/>
      <c r="BO148" s="759"/>
      <c r="BP148" s="760"/>
      <c r="BQ148" s="759"/>
      <c r="BR148" s="759"/>
      <c r="BS148" s="759"/>
      <c r="BT148" s="494"/>
      <c r="BU148" s="494"/>
      <c r="BV148" s="710"/>
      <c r="BW148" s="494"/>
      <c r="BX148" s="745"/>
      <c r="BY148" s="745"/>
      <c r="BZ148" s="745"/>
      <c r="CA148" s="745"/>
      <c r="CB148" s="754"/>
      <c r="CC148" s="745"/>
      <c r="CD148" s="745"/>
      <c r="CE148" s="745"/>
      <c r="CF148" s="745"/>
      <c r="CG148" s="494"/>
      <c r="CH148" s="739"/>
      <c r="CI148" s="494"/>
    </row>
    <row r="149" spans="2:87" ht="14">
      <c r="B149" s="663"/>
      <c r="C149" s="704" t="s">
        <v>4094</v>
      </c>
      <c r="D149" s="656" t="s">
        <v>4095</v>
      </c>
      <c r="E149" s="656"/>
      <c r="F149" s="734"/>
      <c r="G149" s="734"/>
      <c r="H149" s="735"/>
      <c r="I149" s="735"/>
      <c r="J149" s="735"/>
      <c r="K149" s="735"/>
      <c r="L149" s="735"/>
      <c r="M149" s="735"/>
      <c r="N149" s="735"/>
      <c r="O149" s="735"/>
      <c r="P149" s="735"/>
      <c r="Q149" s="735"/>
      <c r="R149" s="735"/>
      <c r="S149" s="735"/>
      <c r="T149" s="735"/>
      <c r="U149" s="735"/>
      <c r="V149" s="735"/>
      <c r="W149" s="735"/>
      <c r="X149" s="735"/>
      <c r="Y149" s="735"/>
      <c r="Z149" s="735"/>
      <c r="AA149" s="735"/>
      <c r="AB149" s="735"/>
      <c r="AC149" s="735"/>
      <c r="AD149" s="735"/>
      <c r="AE149" s="735"/>
      <c r="AF149" s="735"/>
      <c r="AG149" s="735"/>
      <c r="AH149" s="735"/>
      <c r="AI149" s="735"/>
      <c r="AJ149" s="735"/>
      <c r="AK149" s="735"/>
      <c r="AL149" s="735"/>
      <c r="AM149" s="735"/>
      <c r="AN149" s="735"/>
      <c r="AO149" s="735"/>
      <c r="AP149" s="735"/>
      <c r="AQ149" s="735"/>
      <c r="AR149" s="735"/>
      <c r="AS149" s="735"/>
      <c r="AT149" s="735"/>
      <c r="AU149" s="735"/>
      <c r="AV149" s="735"/>
      <c r="AW149" s="735"/>
      <c r="AX149" s="656"/>
      <c r="AY149" s="755"/>
      <c r="AZ149" s="755"/>
      <c r="BA149" s="756"/>
      <c r="BB149" s="757">
        <v>0</v>
      </c>
      <c r="BC149" s="757">
        <v>0</v>
      </c>
      <c r="BD149" s="757">
        <v>0</v>
      </c>
      <c r="BE149" s="757">
        <v>0</v>
      </c>
      <c r="BF149" s="757">
        <v>0</v>
      </c>
      <c r="BG149" s="757">
        <v>0</v>
      </c>
      <c r="BH149" s="757">
        <v>0</v>
      </c>
      <c r="BI149" s="757">
        <v>0</v>
      </c>
      <c r="BJ149" s="688"/>
      <c r="BK149" s="694"/>
      <c r="BL149" s="759"/>
      <c r="BM149" s="759"/>
      <c r="BN149" s="759"/>
      <c r="BO149" s="759"/>
      <c r="BP149" s="760"/>
      <c r="BQ149" s="759"/>
      <c r="BR149" s="759"/>
      <c r="BS149" s="759"/>
      <c r="BT149" s="494"/>
      <c r="BU149" s="494"/>
      <c r="BV149" s="710"/>
      <c r="BW149" s="494"/>
      <c r="BX149" s="761"/>
      <c r="BY149" s="761"/>
      <c r="BZ149" s="761"/>
      <c r="CA149" s="761"/>
      <c r="CB149" s="762"/>
      <c r="CC149" s="761"/>
      <c r="CD149" s="761"/>
      <c r="CE149" s="761"/>
      <c r="CF149" s="761"/>
      <c r="CG149" s="494"/>
      <c r="CH149" s="739"/>
      <c r="CI149" s="494"/>
    </row>
    <row r="150" spans="2:87" ht="14">
      <c r="B150" s="663"/>
      <c r="C150" s="656" t="s">
        <v>4059</v>
      </c>
      <c r="D150" s="656" t="s">
        <v>3961</v>
      </c>
      <c r="E150" s="656"/>
      <c r="F150" s="734"/>
      <c r="G150" s="734"/>
      <c r="H150" s="735"/>
      <c r="I150" s="735"/>
      <c r="J150" s="735"/>
      <c r="K150" s="735"/>
      <c r="L150" s="735"/>
      <c r="M150" s="735"/>
      <c r="N150" s="735"/>
      <c r="O150" s="735"/>
      <c r="P150" s="735"/>
      <c r="Q150" s="735"/>
      <c r="R150" s="735"/>
      <c r="S150" s="735"/>
      <c r="T150" s="735"/>
      <c r="U150" s="735"/>
      <c r="V150" s="735"/>
      <c r="W150" s="735"/>
      <c r="X150" s="735"/>
      <c r="Y150" s="735"/>
      <c r="Z150" s="735"/>
      <c r="AA150" s="735"/>
      <c r="AB150" s="735"/>
      <c r="AC150" s="735"/>
      <c r="AD150" s="735"/>
      <c r="AE150" s="735"/>
      <c r="AF150" s="735"/>
      <c r="AG150" s="735"/>
      <c r="AH150" s="735"/>
      <c r="AI150" s="735"/>
      <c r="AJ150" s="735"/>
      <c r="AK150" s="735"/>
      <c r="AL150" s="735"/>
      <c r="AM150" s="735"/>
      <c r="AN150" s="735"/>
      <c r="AO150" s="735"/>
      <c r="AP150" s="735"/>
      <c r="AQ150" s="735"/>
      <c r="AR150" s="735"/>
      <c r="AS150" s="735"/>
      <c r="AT150" s="735"/>
      <c r="AU150" s="735"/>
      <c r="AV150" s="735"/>
      <c r="AW150" s="735"/>
      <c r="AX150" s="656"/>
      <c r="AY150" s="755"/>
      <c r="AZ150" s="755"/>
      <c r="BA150" s="756"/>
      <c r="BB150" s="757">
        <v>6.78</v>
      </c>
      <c r="BC150" s="757">
        <v>6.78</v>
      </c>
      <c r="BD150" s="757">
        <v>12.394105239137163</v>
      </c>
      <c r="BE150" s="757">
        <v>18.982390765348182</v>
      </c>
      <c r="BF150" s="757">
        <v>28.54299886989125</v>
      </c>
      <c r="BG150" s="757">
        <v>42.91887120845864</v>
      </c>
      <c r="BH150" s="757">
        <v>64.535247827492128</v>
      </c>
      <c r="BI150" s="757">
        <v>16.050725713734565</v>
      </c>
      <c r="BJ150" s="688"/>
      <c r="BK150" s="694"/>
      <c r="BL150" s="763"/>
      <c r="BM150" s="759"/>
      <c r="BN150" s="759"/>
      <c r="BO150" s="759"/>
      <c r="BP150" s="760"/>
      <c r="BQ150" s="759"/>
      <c r="BR150" s="759"/>
      <c r="BS150" s="759"/>
      <c r="BT150" s="494"/>
      <c r="BU150" s="494"/>
      <c r="BV150" s="710"/>
      <c r="BW150" s="494"/>
      <c r="BX150" s="761"/>
      <c r="BY150" s="761"/>
      <c r="BZ150" s="761"/>
      <c r="CA150" s="761"/>
      <c r="CB150" s="762"/>
      <c r="CC150" s="761"/>
      <c r="CD150" s="761"/>
      <c r="CE150" s="761"/>
      <c r="CF150" s="761"/>
      <c r="CG150" s="494"/>
      <c r="CH150" s="739"/>
      <c r="CI150" s="494"/>
    </row>
    <row r="151" spans="2:87" ht="14">
      <c r="B151" s="663"/>
      <c r="C151" s="656" t="s">
        <v>4060</v>
      </c>
      <c r="D151" s="656" t="s">
        <v>4061</v>
      </c>
      <c r="E151" s="656"/>
      <c r="F151" s="734"/>
      <c r="G151" s="734"/>
      <c r="H151" s="735"/>
      <c r="I151" s="735"/>
      <c r="J151" s="735"/>
      <c r="K151" s="735"/>
      <c r="L151" s="735"/>
      <c r="M151" s="735"/>
      <c r="N151" s="735"/>
      <c r="O151" s="735"/>
      <c r="P151" s="735"/>
      <c r="Q151" s="735"/>
      <c r="R151" s="735"/>
      <c r="S151" s="735"/>
      <c r="T151" s="735"/>
      <c r="U151" s="735"/>
      <c r="V151" s="735"/>
      <c r="W151" s="735"/>
      <c r="X151" s="735"/>
      <c r="Y151" s="735"/>
      <c r="Z151" s="735"/>
      <c r="AA151" s="735"/>
      <c r="AB151" s="735"/>
      <c r="AC151" s="735"/>
      <c r="AD151" s="735"/>
      <c r="AE151" s="735"/>
      <c r="AF151" s="735"/>
      <c r="AG151" s="735"/>
      <c r="AH151" s="735"/>
      <c r="AI151" s="735"/>
      <c r="AJ151" s="735"/>
      <c r="AK151" s="735"/>
      <c r="AL151" s="735"/>
      <c r="AM151" s="735"/>
      <c r="AN151" s="735"/>
      <c r="AO151" s="735"/>
      <c r="AP151" s="735"/>
      <c r="AQ151" s="735"/>
      <c r="AR151" s="735">
        <v>11</v>
      </c>
      <c r="AS151" s="735">
        <v>11</v>
      </c>
      <c r="AT151" s="735">
        <v>11</v>
      </c>
      <c r="AU151" s="735">
        <v>10.9</v>
      </c>
      <c r="AV151" s="735">
        <v>10.9</v>
      </c>
      <c r="AW151" s="735" t="s">
        <v>4096</v>
      </c>
      <c r="AX151" s="656"/>
      <c r="AY151" s="755"/>
      <c r="AZ151" s="755"/>
      <c r="BA151" s="756"/>
      <c r="BB151" s="757">
        <v>45.698999999999998</v>
      </c>
      <c r="BC151" s="757">
        <v>46.722000000000001</v>
      </c>
      <c r="BD151" s="757">
        <v>53.116311748911812</v>
      </c>
      <c r="BE151" s="757">
        <v>59.140626581109949</v>
      </c>
      <c r="BF151" s="757">
        <v>65.848203635448087</v>
      </c>
      <c r="BG151" s="757">
        <v>73.31653674769133</v>
      </c>
      <c r="BH151" s="757">
        <v>81.631908904222229</v>
      </c>
      <c r="BI151" s="757">
        <v>56.652974554431324</v>
      </c>
      <c r="BJ151" s="688"/>
      <c r="BK151" s="694"/>
      <c r="BL151" s="759"/>
      <c r="BM151" s="759"/>
      <c r="BN151" s="759"/>
      <c r="BO151" s="759"/>
      <c r="BP151" s="760"/>
      <c r="BQ151" s="759"/>
      <c r="BR151" s="759"/>
      <c r="BS151" s="759"/>
      <c r="BT151" s="494"/>
      <c r="BU151" s="494"/>
      <c r="BV151" s="494"/>
      <c r="BW151" s="494"/>
      <c r="BX151" s="494"/>
      <c r="BY151" s="494"/>
      <c r="BZ151" s="494"/>
      <c r="CA151" s="494"/>
      <c r="CB151" s="494"/>
      <c r="CC151" s="494"/>
      <c r="CD151" s="494"/>
      <c r="CE151" s="494"/>
      <c r="CF151" s="494"/>
      <c r="CG151" s="494"/>
      <c r="CH151" s="739"/>
      <c r="CI151" s="494"/>
    </row>
    <row r="152" spans="2:87" ht="14">
      <c r="B152" s="663"/>
      <c r="C152" s="704" t="s">
        <v>4064</v>
      </c>
      <c r="D152" s="656" t="s">
        <v>4065</v>
      </c>
      <c r="E152" s="656"/>
      <c r="F152" s="734"/>
      <c r="G152" s="734"/>
      <c r="H152" s="735"/>
      <c r="I152" s="735"/>
      <c r="J152" s="735"/>
      <c r="K152" s="735"/>
      <c r="L152" s="735"/>
      <c r="M152" s="735"/>
      <c r="N152" s="735"/>
      <c r="O152" s="735"/>
      <c r="P152" s="735"/>
      <c r="Q152" s="735"/>
      <c r="R152" s="735"/>
      <c r="S152" s="735"/>
      <c r="T152" s="735"/>
      <c r="U152" s="735"/>
      <c r="V152" s="735"/>
      <c r="W152" s="735"/>
      <c r="X152" s="735"/>
      <c r="Y152" s="735"/>
      <c r="Z152" s="735"/>
      <c r="AA152" s="735"/>
      <c r="AB152" s="735"/>
      <c r="AC152" s="735"/>
      <c r="AD152" s="735"/>
      <c r="AE152" s="735"/>
      <c r="AF152" s="735"/>
      <c r="AG152" s="735"/>
      <c r="AH152" s="735"/>
      <c r="AI152" s="735"/>
      <c r="AJ152" s="735"/>
      <c r="AK152" s="735"/>
      <c r="AL152" s="735"/>
      <c r="AM152" s="735"/>
      <c r="AN152" s="735"/>
      <c r="AO152" s="735"/>
      <c r="AP152" s="735"/>
      <c r="AQ152" s="735"/>
      <c r="AR152" s="735"/>
      <c r="AS152" s="735"/>
      <c r="AT152" s="735"/>
      <c r="AU152" s="735"/>
      <c r="AV152" s="735"/>
      <c r="AW152" s="735" t="s">
        <v>4097</v>
      </c>
      <c r="AX152" s="656"/>
      <c r="AY152" s="755"/>
      <c r="AZ152" s="755"/>
      <c r="BA152" s="756"/>
      <c r="BB152" s="757">
        <v>32.112000000000002</v>
      </c>
      <c r="BC152" s="757">
        <v>47.47</v>
      </c>
      <c r="BD152" s="757">
        <v>99.722364572073843</v>
      </c>
      <c r="BE152" s="757">
        <v>207.61702223905723</v>
      </c>
      <c r="BF152" s="757">
        <v>366.3204103931468</v>
      </c>
      <c r="BG152" s="757">
        <v>556.59283340170009</v>
      </c>
      <c r="BH152" s="757">
        <v>725.00362009377716</v>
      </c>
      <c r="BI152" s="757">
        <v>150</v>
      </c>
      <c r="BJ152" s="688"/>
      <c r="BK152" s="694"/>
      <c r="BL152" s="759"/>
      <c r="BM152" s="759"/>
      <c r="BN152" s="759"/>
      <c r="BO152" s="759"/>
      <c r="BP152" s="760"/>
      <c r="BQ152" s="759"/>
      <c r="BR152" s="759"/>
      <c r="BS152" s="759"/>
      <c r="BT152" s="494"/>
      <c r="BU152" s="494"/>
      <c r="BV152" s="494"/>
      <c r="BW152" s="494"/>
      <c r="BX152" s="494"/>
      <c r="BY152" s="494"/>
      <c r="BZ152" s="494"/>
      <c r="CA152" s="494"/>
      <c r="CB152" s="494"/>
      <c r="CC152" s="494"/>
      <c r="CD152" s="494"/>
      <c r="CE152" s="494"/>
      <c r="CF152" s="494"/>
      <c r="CG152" s="494"/>
      <c r="CH152" s="494"/>
      <c r="CI152" s="494"/>
    </row>
    <row r="153" spans="2:87" ht="14">
      <c r="B153" s="663"/>
      <c r="C153" s="704" t="s">
        <v>4068</v>
      </c>
      <c r="D153" s="656" t="s">
        <v>4069</v>
      </c>
      <c r="E153" s="656"/>
      <c r="F153" s="734"/>
      <c r="G153" s="734"/>
      <c r="H153" s="735"/>
      <c r="I153" s="735"/>
      <c r="J153" s="735"/>
      <c r="K153" s="735"/>
      <c r="L153" s="735"/>
      <c r="M153" s="735"/>
      <c r="N153" s="735"/>
      <c r="O153" s="735"/>
      <c r="P153" s="735"/>
      <c r="Q153" s="735"/>
      <c r="R153" s="735"/>
      <c r="S153" s="735"/>
      <c r="T153" s="735"/>
      <c r="U153" s="735"/>
      <c r="V153" s="735"/>
      <c r="W153" s="735"/>
      <c r="X153" s="735"/>
      <c r="Y153" s="735"/>
      <c r="Z153" s="735"/>
      <c r="AA153" s="735"/>
      <c r="AB153" s="735"/>
      <c r="AC153" s="735"/>
      <c r="AD153" s="735"/>
      <c r="AE153" s="735"/>
      <c r="AF153" s="735"/>
      <c r="AG153" s="735"/>
      <c r="AH153" s="735"/>
      <c r="AI153" s="735"/>
      <c r="AJ153" s="735"/>
      <c r="AK153" s="735"/>
      <c r="AL153" s="735"/>
      <c r="AM153" s="735"/>
      <c r="AN153" s="735"/>
      <c r="AO153" s="735"/>
      <c r="AP153" s="735"/>
      <c r="AQ153" s="735"/>
      <c r="AR153" s="735"/>
      <c r="AS153" s="735"/>
      <c r="AT153" s="735"/>
      <c r="AU153" s="735"/>
      <c r="AV153" s="735"/>
      <c r="AW153" s="735"/>
      <c r="AX153" s="656"/>
      <c r="AY153" s="755"/>
      <c r="AZ153" s="755"/>
      <c r="BA153" s="756"/>
      <c r="BB153" s="757">
        <v>0.23</v>
      </c>
      <c r="BC153" s="757">
        <v>0.43400000000000005</v>
      </c>
      <c r="BD153" s="757">
        <v>1.3071088564769227</v>
      </c>
      <c r="BE153" s="757">
        <v>2.8018521412973918</v>
      </c>
      <c r="BF153" s="757">
        <v>5.3608199847016245</v>
      </c>
      <c r="BG153" s="757">
        <v>9.741717019046499</v>
      </c>
      <c r="BH153" s="757">
        <v>17.241717019046501</v>
      </c>
      <c r="BI153" s="757">
        <v>2.2039548273692042</v>
      </c>
      <c r="BJ153" s="688"/>
      <c r="BK153" s="694"/>
      <c r="BL153" s="759"/>
      <c r="BM153" s="759"/>
      <c r="BN153" s="759"/>
      <c r="BO153" s="759"/>
      <c r="BP153" s="760"/>
      <c r="BQ153" s="759"/>
      <c r="BR153" s="759"/>
      <c r="BS153" s="759"/>
      <c r="BT153" s="494"/>
      <c r="BW153" s="481"/>
      <c r="BX153" s="481"/>
      <c r="BY153" s="481"/>
      <c r="BZ153" s="481"/>
      <c r="CA153" s="481"/>
      <c r="CB153" s="481"/>
      <c r="CC153" s="481"/>
      <c r="CD153" s="481"/>
      <c r="CE153" s="481"/>
      <c r="CF153" s="481"/>
    </row>
    <row r="154" spans="2:87" ht="14">
      <c r="B154" s="663"/>
      <c r="C154" s="704" t="s">
        <v>4071</v>
      </c>
      <c r="D154" s="656" t="s">
        <v>4072</v>
      </c>
      <c r="E154" s="656"/>
      <c r="F154" s="734"/>
      <c r="G154" s="734"/>
      <c r="H154" s="735"/>
      <c r="I154" s="735"/>
      <c r="J154" s="735"/>
      <c r="K154" s="735"/>
      <c r="L154" s="735"/>
      <c r="M154" s="735"/>
      <c r="N154" s="735"/>
      <c r="O154" s="735"/>
      <c r="P154" s="735"/>
      <c r="Q154" s="735"/>
      <c r="R154" s="735"/>
      <c r="S154" s="735"/>
      <c r="T154" s="735"/>
      <c r="U154" s="735"/>
      <c r="V154" s="735"/>
      <c r="W154" s="735"/>
      <c r="X154" s="735"/>
      <c r="Y154" s="735"/>
      <c r="Z154" s="735"/>
      <c r="AA154" s="735"/>
      <c r="AB154" s="735"/>
      <c r="AC154" s="735"/>
      <c r="AD154" s="735"/>
      <c r="AE154" s="735"/>
      <c r="AF154" s="735"/>
      <c r="AG154" s="735"/>
      <c r="AH154" s="735"/>
      <c r="AI154" s="735"/>
      <c r="AJ154" s="735"/>
      <c r="AK154" s="735"/>
      <c r="AL154" s="735"/>
      <c r="AM154" s="735"/>
      <c r="AN154" s="735"/>
      <c r="AO154" s="735"/>
      <c r="AP154" s="735"/>
      <c r="AQ154" s="735"/>
      <c r="AR154" s="735">
        <v>1.4</v>
      </c>
      <c r="AS154" s="735">
        <v>1.4</v>
      </c>
      <c r="AT154" s="735">
        <v>1.5</v>
      </c>
      <c r="AU154" s="735">
        <v>1.5</v>
      </c>
      <c r="AV154" s="735">
        <v>1.5</v>
      </c>
      <c r="AW154" s="735" t="s">
        <v>4098</v>
      </c>
      <c r="AX154" s="656"/>
      <c r="AY154" s="755"/>
      <c r="AZ154" s="755"/>
      <c r="BA154" s="756"/>
      <c r="BB154" s="757">
        <v>37.692999999999998</v>
      </c>
      <c r="BC154" s="757">
        <v>40.36</v>
      </c>
      <c r="BD154" s="757">
        <v>65.398020355244327</v>
      </c>
      <c r="BE154" s="757">
        <v>99.205241577290508</v>
      </c>
      <c r="BF154" s="757">
        <v>157.52850721661943</v>
      </c>
      <c r="BG154" s="757">
        <v>221.07412713708587</v>
      </c>
      <c r="BH154" s="757">
        <v>275.38818566190622</v>
      </c>
      <c r="BI154" s="757">
        <v>80</v>
      </c>
      <c r="BJ154" s="688"/>
      <c r="BK154" s="694"/>
      <c r="BL154" s="764"/>
      <c r="BM154" s="764"/>
      <c r="BN154" s="764"/>
      <c r="BO154" s="764"/>
      <c r="BP154" s="765"/>
      <c r="BQ154" s="764"/>
      <c r="BR154" s="764"/>
      <c r="BS154" s="764"/>
      <c r="BW154" s="481"/>
      <c r="BX154" s="766"/>
      <c r="BY154" s="766"/>
      <c r="BZ154" s="766"/>
      <c r="CA154" s="766"/>
      <c r="CB154" s="767"/>
      <c r="CC154" s="766"/>
      <c r="CD154" s="766"/>
      <c r="CE154" s="766"/>
      <c r="CF154" s="766"/>
    </row>
    <row r="155" spans="2:87" ht="14">
      <c r="B155" s="663"/>
      <c r="C155" s="704" t="s">
        <v>4074</v>
      </c>
      <c r="D155" s="656" t="s">
        <v>4075</v>
      </c>
      <c r="E155" s="656"/>
      <c r="F155" s="734"/>
      <c r="G155" s="734"/>
      <c r="H155" s="735"/>
      <c r="I155" s="735"/>
      <c r="J155" s="735"/>
      <c r="K155" s="735"/>
      <c r="L155" s="735"/>
      <c r="M155" s="735"/>
      <c r="N155" s="735"/>
      <c r="O155" s="735"/>
      <c r="P155" s="735"/>
      <c r="Q155" s="735"/>
      <c r="R155" s="735"/>
      <c r="S155" s="735"/>
      <c r="T155" s="735"/>
      <c r="U155" s="735"/>
      <c r="V155" s="735"/>
      <c r="W155" s="735"/>
      <c r="X155" s="735"/>
      <c r="Y155" s="735"/>
      <c r="Z155" s="735"/>
      <c r="AA155" s="735"/>
      <c r="AB155" s="735"/>
      <c r="AC155" s="735"/>
      <c r="AD155" s="735"/>
      <c r="AE155" s="735"/>
      <c r="AF155" s="735"/>
      <c r="AG155" s="735"/>
      <c r="AH155" s="735"/>
      <c r="AI155" s="735"/>
      <c r="AJ155" s="735"/>
      <c r="AK155" s="735"/>
      <c r="AL155" s="735"/>
      <c r="AM155" s="735"/>
      <c r="AN155" s="735"/>
      <c r="AO155" s="735"/>
      <c r="AP155" s="735"/>
      <c r="AQ155" s="735"/>
      <c r="AR155" s="735"/>
      <c r="AS155" s="735"/>
      <c r="AT155" s="735"/>
      <c r="AU155" s="735"/>
      <c r="AV155" s="735"/>
      <c r="AW155" s="735"/>
      <c r="AX155" s="656"/>
      <c r="AY155" s="755"/>
      <c r="AZ155" s="755"/>
      <c r="BA155" s="756"/>
      <c r="BB155" s="757">
        <v>0</v>
      </c>
      <c r="BC155" s="757">
        <v>0</v>
      </c>
      <c r="BD155" s="757">
        <v>3</v>
      </c>
      <c r="BE155" s="757">
        <v>18.5</v>
      </c>
      <c r="BF155" s="757">
        <v>34</v>
      </c>
      <c r="BG155" s="757">
        <v>49.5</v>
      </c>
      <c r="BH155" s="757">
        <v>65</v>
      </c>
      <c r="BI155" s="757">
        <v>12.3</v>
      </c>
      <c r="BJ155" s="688"/>
      <c r="BP155" s="768"/>
      <c r="BW155" s="481"/>
      <c r="BX155" s="769"/>
      <c r="BY155" s="769"/>
      <c r="BZ155" s="769"/>
      <c r="CA155" s="769"/>
      <c r="CB155" s="767"/>
      <c r="CC155" s="769"/>
      <c r="CD155" s="769"/>
      <c r="CE155" s="769"/>
      <c r="CF155" s="769"/>
    </row>
    <row r="156" spans="2:87" ht="14">
      <c r="B156" s="663"/>
      <c r="C156" s="704" t="s">
        <v>4076</v>
      </c>
      <c r="D156" s="656" t="s">
        <v>4077</v>
      </c>
      <c r="E156" s="656"/>
      <c r="F156" s="734"/>
      <c r="G156" s="734"/>
      <c r="H156" s="735"/>
      <c r="I156" s="735"/>
      <c r="J156" s="735"/>
      <c r="K156" s="735"/>
      <c r="L156" s="735"/>
      <c r="M156" s="735"/>
      <c r="N156" s="735"/>
      <c r="O156" s="735"/>
      <c r="P156" s="735"/>
      <c r="Q156" s="735"/>
      <c r="R156" s="735"/>
      <c r="S156" s="735"/>
      <c r="T156" s="735"/>
      <c r="U156" s="735"/>
      <c r="V156" s="735"/>
      <c r="W156" s="735"/>
      <c r="X156" s="735"/>
      <c r="Y156" s="735"/>
      <c r="Z156" s="735"/>
      <c r="AA156" s="735"/>
      <c r="AB156" s="735"/>
      <c r="AC156" s="735"/>
      <c r="AD156" s="735"/>
      <c r="AE156" s="735"/>
      <c r="AF156" s="735"/>
      <c r="AG156" s="735"/>
      <c r="AH156" s="735"/>
      <c r="AI156" s="735"/>
      <c r="AJ156" s="735"/>
      <c r="AK156" s="735"/>
      <c r="AL156" s="735"/>
      <c r="AM156" s="735"/>
      <c r="AN156" s="735"/>
      <c r="AO156" s="735"/>
      <c r="AP156" s="735"/>
      <c r="AQ156" s="735"/>
      <c r="AR156" s="735"/>
      <c r="AS156" s="735"/>
      <c r="AT156" s="735"/>
      <c r="AU156" s="735"/>
      <c r="AV156" s="735"/>
      <c r="AW156" s="735"/>
      <c r="AX156" s="656"/>
      <c r="AY156" s="755"/>
      <c r="AZ156" s="755"/>
      <c r="BA156" s="756"/>
      <c r="BB156" s="757">
        <v>4.6829999999999998</v>
      </c>
      <c r="BC156" s="757">
        <v>4.8499999999999996</v>
      </c>
      <c r="BD156" s="757">
        <v>5.4779999999999998</v>
      </c>
      <c r="BE156" s="757">
        <v>6.1059999999999999</v>
      </c>
      <c r="BF156" s="757">
        <v>6.734</v>
      </c>
      <c r="BG156" s="757">
        <v>7.3620000000000001</v>
      </c>
      <c r="BH156" s="757">
        <v>7.99</v>
      </c>
      <c r="BI156" s="757">
        <v>5.8548</v>
      </c>
      <c r="BJ156" s="688"/>
      <c r="BK156" s="770"/>
      <c r="BL156" s="770"/>
      <c r="BM156" s="481"/>
      <c r="BN156" s="481"/>
      <c r="BO156" s="481"/>
      <c r="BP156" s="771"/>
      <c r="BQ156" s="481"/>
      <c r="BR156" s="481"/>
      <c r="BS156" s="481"/>
      <c r="BW156" s="481"/>
      <c r="BX156" s="769"/>
      <c r="BY156" s="769"/>
      <c r="BZ156" s="769"/>
      <c r="CA156" s="769"/>
      <c r="CB156" s="767"/>
      <c r="CC156" s="769"/>
      <c r="CD156" s="769"/>
      <c r="CE156" s="769"/>
      <c r="CF156" s="769"/>
    </row>
    <row r="157" spans="2:87" ht="14">
      <c r="B157" s="663"/>
      <c r="C157" s="704" t="s">
        <v>4078</v>
      </c>
      <c r="D157" s="656" t="s">
        <v>4079</v>
      </c>
      <c r="E157" s="656"/>
      <c r="F157" s="734"/>
      <c r="G157" s="734"/>
      <c r="H157" s="735"/>
      <c r="I157" s="735"/>
      <c r="J157" s="735"/>
      <c r="K157" s="735"/>
      <c r="L157" s="735"/>
      <c r="M157" s="735"/>
      <c r="N157" s="735"/>
      <c r="O157" s="735"/>
      <c r="P157" s="735"/>
      <c r="Q157" s="735"/>
      <c r="R157" s="735"/>
      <c r="S157" s="735"/>
      <c r="T157" s="735"/>
      <c r="U157" s="735"/>
      <c r="V157" s="735"/>
      <c r="W157" s="735"/>
      <c r="X157" s="735"/>
      <c r="Y157" s="735"/>
      <c r="Z157" s="735"/>
      <c r="AA157" s="735"/>
      <c r="AB157" s="735"/>
      <c r="AC157" s="735"/>
      <c r="AD157" s="735"/>
      <c r="AE157" s="735"/>
      <c r="AF157" s="735"/>
      <c r="AG157" s="735"/>
      <c r="AH157" s="735"/>
      <c r="AI157" s="735"/>
      <c r="AJ157" s="735"/>
      <c r="AK157" s="735"/>
      <c r="AL157" s="735"/>
      <c r="AM157" s="735"/>
      <c r="AN157" s="735"/>
      <c r="AO157" s="735"/>
      <c r="AP157" s="735"/>
      <c r="AQ157" s="735"/>
      <c r="AR157" s="735"/>
      <c r="AS157" s="735"/>
      <c r="AT157" s="735"/>
      <c r="AU157" s="735"/>
      <c r="AV157" s="735"/>
      <c r="AW157" s="735"/>
      <c r="AX157" s="656"/>
      <c r="AY157" s="755"/>
      <c r="AZ157" s="755"/>
      <c r="BA157" s="756"/>
      <c r="BB157" s="757">
        <v>2.5149999999999997</v>
      </c>
      <c r="BC157" s="757">
        <v>6.4763700000000011</v>
      </c>
      <c r="BD157" s="757">
        <v>19.694974462721696</v>
      </c>
      <c r="BE157" s="757">
        <v>54.089138633480424</v>
      </c>
      <c r="BF157" s="757">
        <v>86.288494261010641</v>
      </c>
      <c r="BG157" s="757">
        <v>107.09515622141828</v>
      </c>
      <c r="BH157" s="757">
        <v>119.65194641747931</v>
      </c>
      <c r="BI157" s="757">
        <v>38.811014754412803</v>
      </c>
      <c r="BJ157" s="688"/>
      <c r="BK157" s="772"/>
      <c r="BL157" s="772"/>
      <c r="BP157" s="768"/>
      <c r="BW157" s="481"/>
      <c r="BX157" s="769"/>
      <c r="BY157" s="769"/>
      <c r="BZ157" s="769"/>
      <c r="CA157" s="769"/>
      <c r="CB157" s="767"/>
      <c r="CC157" s="769"/>
      <c r="CD157" s="769"/>
      <c r="CE157" s="769"/>
      <c r="CF157" s="769"/>
    </row>
    <row r="158" spans="2:87" ht="14">
      <c r="B158" s="663"/>
      <c r="C158" s="704" t="s">
        <v>4080</v>
      </c>
      <c r="D158" s="656" t="s">
        <v>3867</v>
      </c>
      <c r="E158" s="656"/>
      <c r="F158" s="734"/>
      <c r="G158" s="734"/>
      <c r="H158" s="735"/>
      <c r="I158" s="735"/>
      <c r="J158" s="735"/>
      <c r="K158" s="735"/>
      <c r="L158" s="735"/>
      <c r="M158" s="735"/>
      <c r="N158" s="735"/>
      <c r="O158" s="735"/>
      <c r="P158" s="735"/>
      <c r="Q158" s="735"/>
      <c r="R158" s="735"/>
      <c r="S158" s="735"/>
      <c r="T158" s="735"/>
      <c r="U158" s="735"/>
      <c r="V158" s="735"/>
      <c r="W158" s="735"/>
      <c r="X158" s="735"/>
      <c r="Y158" s="735"/>
      <c r="Z158" s="735"/>
      <c r="AA158" s="735"/>
      <c r="AB158" s="735"/>
      <c r="AC158" s="735"/>
      <c r="AD158" s="735"/>
      <c r="AE158" s="735"/>
      <c r="AF158" s="735"/>
      <c r="AG158" s="735"/>
      <c r="AH158" s="735"/>
      <c r="AI158" s="735"/>
      <c r="AJ158" s="735"/>
      <c r="AK158" s="735"/>
      <c r="AL158" s="735"/>
      <c r="AM158" s="735"/>
      <c r="AN158" s="735"/>
      <c r="AO158" s="735"/>
      <c r="AP158" s="735"/>
      <c r="AQ158" s="735"/>
      <c r="AR158" s="735"/>
      <c r="AS158" s="735"/>
      <c r="AT158" s="735"/>
      <c r="AU158" s="735"/>
      <c r="AV158" s="735"/>
      <c r="AW158" s="735"/>
      <c r="AX158" s="656"/>
      <c r="AY158" s="755"/>
      <c r="AZ158" s="755"/>
      <c r="BA158" s="756"/>
      <c r="BB158" s="757">
        <v>9.875</v>
      </c>
      <c r="BC158" s="757">
        <v>10.205</v>
      </c>
      <c r="BD158" s="757">
        <v>11.022209439486058</v>
      </c>
      <c r="BE158" s="757">
        <v>11.904860453492956</v>
      </c>
      <c r="BF158" s="757">
        <v>12.858193558672646</v>
      </c>
      <c r="BG158" s="757">
        <v>13.887868928676193</v>
      </c>
      <c r="BH158" s="757">
        <v>15</v>
      </c>
      <c r="BI158" s="757">
        <v>11.543620720482114</v>
      </c>
      <c r="BJ158" s="688"/>
      <c r="BK158" s="772"/>
      <c r="BL158" s="772"/>
      <c r="BM158" s="773"/>
      <c r="BN158" s="773"/>
      <c r="BO158" s="773"/>
      <c r="BP158" s="773"/>
      <c r="BQ158" s="773"/>
      <c r="BR158" s="773"/>
      <c r="BS158" s="773"/>
      <c r="BW158" s="481"/>
      <c r="BX158" s="766"/>
      <c r="BY158" s="766"/>
      <c r="BZ158" s="766"/>
      <c r="CA158" s="766"/>
      <c r="CB158" s="767"/>
      <c r="CC158" s="766"/>
      <c r="CD158" s="766"/>
      <c r="CE158" s="766"/>
      <c r="CF158" s="766"/>
    </row>
    <row r="159" spans="2:87" ht="14">
      <c r="B159" s="663"/>
      <c r="C159" s="704" t="s">
        <v>4082</v>
      </c>
      <c r="D159" s="656" t="s">
        <v>4083</v>
      </c>
      <c r="E159" s="656"/>
      <c r="F159" s="734"/>
      <c r="G159" s="734"/>
      <c r="H159" s="735"/>
      <c r="I159" s="735"/>
      <c r="J159" s="735"/>
      <c r="K159" s="735"/>
      <c r="L159" s="735"/>
      <c r="M159" s="735"/>
      <c r="N159" s="735"/>
      <c r="O159" s="735"/>
      <c r="P159" s="735"/>
      <c r="Q159" s="735"/>
      <c r="R159" s="735"/>
      <c r="S159" s="735"/>
      <c r="T159" s="735"/>
      <c r="U159" s="735"/>
      <c r="V159" s="735"/>
      <c r="W159" s="735"/>
      <c r="X159" s="735"/>
      <c r="Y159" s="735"/>
      <c r="Z159" s="735"/>
      <c r="AA159" s="735"/>
      <c r="AB159" s="735"/>
      <c r="AC159" s="735"/>
      <c r="AD159" s="735"/>
      <c r="AE159" s="735"/>
      <c r="AF159" s="735"/>
      <c r="AG159" s="735"/>
      <c r="AH159" s="735"/>
      <c r="AI159" s="735"/>
      <c r="AJ159" s="735"/>
      <c r="AK159" s="735"/>
      <c r="AL159" s="735"/>
      <c r="AM159" s="735"/>
      <c r="AN159" s="735"/>
      <c r="AO159" s="735"/>
      <c r="AP159" s="735"/>
      <c r="AQ159" s="735"/>
      <c r="AR159" s="735"/>
      <c r="AS159" s="735"/>
      <c r="AT159" s="735"/>
      <c r="AU159" s="735"/>
      <c r="AV159" s="735"/>
      <c r="AW159" s="735" t="s">
        <v>4099</v>
      </c>
      <c r="AX159" s="656"/>
      <c r="AY159" s="755"/>
      <c r="AZ159" s="755"/>
      <c r="BA159" s="756"/>
      <c r="BB159" s="757">
        <v>0.14799999999999999</v>
      </c>
      <c r="BC159" s="757">
        <v>0.19267244418045532</v>
      </c>
      <c r="BD159" s="757">
        <v>0.34488058698397805</v>
      </c>
      <c r="BE159" s="757">
        <v>0.61733072305353964</v>
      </c>
      <c r="BF159" s="757">
        <v>1.1050120998649038</v>
      </c>
      <c r="BG159" s="757">
        <v>1.9779539479390933</v>
      </c>
      <c r="BH159" s="757">
        <v>3.5405058647286825</v>
      </c>
      <c r="BI159" s="757">
        <v>0.48907812028594388</v>
      </c>
      <c r="BJ159" s="688"/>
      <c r="BK159" s="694"/>
      <c r="BL159" s="773"/>
      <c r="BM159" s="773"/>
      <c r="BN159" s="773"/>
      <c r="BO159" s="773"/>
      <c r="BP159" s="773"/>
      <c r="BQ159" s="773"/>
      <c r="BR159" s="773"/>
      <c r="BS159" s="773"/>
      <c r="BW159" s="481"/>
      <c r="BX159" s="774"/>
      <c r="BY159" s="774"/>
      <c r="BZ159" s="774"/>
      <c r="CA159" s="774"/>
      <c r="CB159" s="767"/>
      <c r="CC159" s="774"/>
      <c r="CD159" s="774"/>
      <c r="CE159" s="774"/>
      <c r="CF159" s="774"/>
    </row>
    <row r="160" spans="2:87" ht="14">
      <c r="B160" s="663"/>
      <c r="C160" s="704"/>
      <c r="D160" s="704"/>
      <c r="E160" s="656"/>
      <c r="F160" s="704"/>
      <c r="G160" s="704"/>
      <c r="H160" s="775"/>
      <c r="I160" s="775"/>
      <c r="J160" s="775"/>
      <c r="K160" s="775"/>
      <c r="L160" s="775"/>
      <c r="M160" s="775"/>
      <c r="N160" s="775"/>
      <c r="O160" s="775"/>
      <c r="P160" s="775"/>
      <c r="Q160" s="775"/>
      <c r="R160" s="775"/>
      <c r="S160" s="775"/>
      <c r="T160" s="775"/>
      <c r="U160" s="775"/>
      <c r="V160" s="775"/>
      <c r="W160" s="775"/>
      <c r="X160" s="775"/>
      <c r="Y160" s="775"/>
      <c r="Z160" s="775"/>
      <c r="AA160" s="775"/>
      <c r="AB160" s="775"/>
      <c r="AC160" s="775"/>
      <c r="AD160" s="775"/>
      <c r="AE160" s="775"/>
      <c r="AF160" s="775"/>
      <c r="AG160" s="775"/>
      <c r="AH160" s="775"/>
      <c r="AI160" s="775"/>
      <c r="AJ160" s="775"/>
      <c r="AK160" s="775"/>
      <c r="AL160" s="775"/>
      <c r="AM160" s="775"/>
      <c r="AN160" s="775"/>
      <c r="AO160" s="775"/>
      <c r="AP160" s="775"/>
      <c r="AQ160" s="775"/>
      <c r="AR160" s="775"/>
      <c r="AS160" s="775"/>
      <c r="AT160" s="775"/>
      <c r="AU160" s="775"/>
      <c r="AV160" s="775"/>
      <c r="AW160" s="775"/>
      <c r="AX160" s="656"/>
      <c r="AY160" s="755"/>
      <c r="AZ160" s="755"/>
      <c r="BA160" s="756"/>
      <c r="BB160" s="757">
        <v>0</v>
      </c>
      <c r="BC160" s="757">
        <v>0</v>
      </c>
      <c r="BD160" s="757">
        <v>0</v>
      </c>
      <c r="BE160" s="757">
        <v>0</v>
      </c>
      <c r="BF160" s="757">
        <v>0</v>
      </c>
      <c r="BG160" s="757">
        <v>0</v>
      </c>
      <c r="BH160" s="757">
        <v>0</v>
      </c>
      <c r="BI160" s="757">
        <v>0</v>
      </c>
      <c r="BJ160" s="688"/>
      <c r="BK160" s="694"/>
      <c r="BL160" s="773"/>
      <c r="BM160" s="773"/>
      <c r="BN160" s="773"/>
      <c r="BO160" s="773"/>
      <c r="BP160" s="773"/>
      <c r="BQ160" s="773"/>
      <c r="BR160" s="773"/>
      <c r="BS160" s="773"/>
      <c r="BW160" s="481"/>
      <c r="BX160" s="769"/>
      <c r="BY160" s="769"/>
      <c r="BZ160" s="769"/>
      <c r="CA160" s="769"/>
      <c r="CB160" s="767"/>
      <c r="CC160" s="769"/>
      <c r="CD160" s="769"/>
      <c r="CE160" s="769"/>
      <c r="CF160" s="769"/>
    </row>
    <row r="161" spans="1:89" ht="14">
      <c r="B161" s="663"/>
      <c r="C161" s="704" t="s">
        <v>4100</v>
      </c>
      <c r="D161" s="704" t="s">
        <v>4101</v>
      </c>
      <c r="E161" s="656"/>
      <c r="F161" s="704"/>
      <c r="G161" s="704"/>
      <c r="H161" s="775"/>
      <c r="I161" s="775"/>
      <c r="J161" s="775"/>
      <c r="K161" s="775"/>
      <c r="L161" s="775"/>
      <c r="M161" s="775"/>
      <c r="N161" s="775"/>
      <c r="O161" s="775"/>
      <c r="P161" s="775"/>
      <c r="Q161" s="775"/>
      <c r="R161" s="775"/>
      <c r="S161" s="775"/>
      <c r="T161" s="775"/>
      <c r="U161" s="775"/>
      <c r="V161" s="775"/>
      <c r="W161" s="775"/>
      <c r="X161" s="775"/>
      <c r="Y161" s="775"/>
      <c r="Z161" s="775"/>
      <c r="AA161" s="775"/>
      <c r="AB161" s="775"/>
      <c r="AC161" s="775"/>
      <c r="AD161" s="775"/>
      <c r="AE161" s="775"/>
      <c r="AF161" s="775"/>
      <c r="AG161" s="775"/>
      <c r="AH161" s="775"/>
      <c r="AI161" s="775"/>
      <c r="AJ161" s="775"/>
      <c r="AK161" s="775"/>
      <c r="AL161" s="775"/>
      <c r="AM161" s="775"/>
      <c r="AN161" s="775"/>
      <c r="AO161" s="775"/>
      <c r="AP161" s="775"/>
      <c r="AQ161" s="775"/>
      <c r="AR161" s="775"/>
      <c r="AS161" s="775"/>
      <c r="AT161" s="775"/>
      <c r="AU161" s="775"/>
      <c r="AV161" s="775"/>
      <c r="AW161" s="775"/>
      <c r="AX161" s="656"/>
      <c r="AY161" s="755"/>
      <c r="AZ161" s="755"/>
      <c r="BA161" s="756"/>
      <c r="BB161" s="757">
        <v>0</v>
      </c>
      <c r="BC161" s="757">
        <v>0</v>
      </c>
      <c r="BD161" s="757">
        <v>0</v>
      </c>
      <c r="BE161" s="757">
        <v>0</v>
      </c>
      <c r="BF161" s="757">
        <v>0</v>
      </c>
      <c r="BG161" s="757">
        <v>0</v>
      </c>
      <c r="BH161" s="757">
        <v>0</v>
      </c>
      <c r="BI161" s="757">
        <v>0</v>
      </c>
      <c r="BJ161" s="688"/>
      <c r="BK161" s="776"/>
      <c r="BL161" s="773"/>
      <c r="BM161" s="773"/>
      <c r="BN161" s="773"/>
      <c r="BO161" s="773"/>
      <c r="BP161" s="773"/>
      <c r="BQ161" s="773"/>
      <c r="BR161" s="773"/>
      <c r="BS161" s="773"/>
      <c r="BW161" s="481"/>
      <c r="BX161" s="769"/>
      <c r="BY161" s="769"/>
      <c r="BZ161" s="769"/>
      <c r="CA161" s="769"/>
      <c r="CB161" s="767"/>
      <c r="CC161" s="769"/>
      <c r="CD161" s="769"/>
      <c r="CE161" s="769"/>
      <c r="CF161" s="769"/>
    </row>
    <row r="162" spans="1:89" ht="14">
      <c r="B162" s="663"/>
      <c r="C162" s="656"/>
      <c r="D162" s="732" t="s">
        <v>4102</v>
      </c>
      <c r="E162" s="732"/>
      <c r="F162" s="732"/>
      <c r="G162" s="732"/>
      <c r="H162" s="777"/>
      <c r="I162" s="777"/>
      <c r="J162" s="777"/>
      <c r="K162" s="777"/>
      <c r="L162" s="777"/>
      <c r="M162" s="777"/>
      <c r="N162" s="777"/>
      <c r="O162" s="777"/>
      <c r="P162" s="777"/>
      <c r="Q162" s="777"/>
      <c r="R162" s="777"/>
      <c r="S162" s="777"/>
      <c r="T162" s="777"/>
      <c r="U162" s="777"/>
      <c r="V162" s="777"/>
      <c r="W162" s="777"/>
      <c r="X162" s="777"/>
      <c r="Y162" s="777"/>
      <c r="Z162" s="777"/>
      <c r="AA162" s="777"/>
      <c r="AB162" s="777"/>
      <c r="AC162" s="777"/>
      <c r="AD162" s="777"/>
      <c r="AE162" s="777"/>
      <c r="AF162" s="777"/>
      <c r="AG162" s="777"/>
      <c r="AH162" s="777"/>
      <c r="AI162" s="777"/>
      <c r="AJ162" s="777"/>
      <c r="AK162" s="777"/>
      <c r="AL162" s="777"/>
      <c r="AM162" s="777"/>
      <c r="AN162" s="777"/>
      <c r="AO162" s="777"/>
      <c r="AP162" s="777"/>
      <c r="AQ162" s="777"/>
      <c r="AR162" s="778">
        <v>74.995999999999995</v>
      </c>
      <c r="AS162" s="778">
        <v>75.97856007</v>
      </c>
      <c r="AT162" s="778">
        <v>76.782377350000004</v>
      </c>
      <c r="AU162" s="778">
        <v>77.675265589999995</v>
      </c>
      <c r="AV162" s="778">
        <v>83.196785750000004</v>
      </c>
      <c r="AW162" s="777"/>
      <c r="AX162" s="732"/>
      <c r="AY162" s="779"/>
      <c r="AZ162" s="779"/>
      <c r="BA162" s="780"/>
      <c r="BB162" s="780">
        <v>369.82500000000005</v>
      </c>
      <c r="BC162" s="669">
        <v>399.02404244418045</v>
      </c>
      <c r="BD162" s="780">
        <v>539.52184239387623</v>
      </c>
      <c r="BE162" s="780">
        <v>761.11053731578409</v>
      </c>
      <c r="BF162" s="780">
        <v>1033.9537426418985</v>
      </c>
      <c r="BG162" s="780">
        <v>1337.87343975977</v>
      </c>
      <c r="BH162" s="780">
        <v>1632.2606657626518</v>
      </c>
      <c r="BI162" s="780">
        <v>658.53030991548974</v>
      </c>
      <c r="BJ162" s="688"/>
      <c r="BK162" s="781"/>
      <c r="BL162" s="773"/>
      <c r="BM162" s="773"/>
      <c r="BN162" s="773"/>
      <c r="BO162" s="773"/>
      <c r="BP162" s="773"/>
      <c r="BQ162" s="773"/>
      <c r="BR162" s="773"/>
      <c r="BS162" s="773"/>
      <c r="BW162" s="481"/>
      <c r="BX162" s="766"/>
      <c r="BY162" s="766"/>
      <c r="BZ162" s="766"/>
      <c r="CA162" s="766"/>
      <c r="CB162" s="767"/>
      <c r="CC162" s="766"/>
      <c r="CD162" s="766"/>
      <c r="CE162" s="766"/>
      <c r="CF162" s="766"/>
    </row>
    <row r="163" spans="1:89" ht="14">
      <c r="B163" s="663"/>
      <c r="C163" s="656"/>
      <c r="D163" s="715" t="s">
        <v>4103</v>
      </c>
      <c r="E163" s="656"/>
      <c r="F163" s="734"/>
      <c r="G163" s="734"/>
      <c r="H163" s="735"/>
      <c r="I163" s="735"/>
      <c r="J163" s="735"/>
      <c r="K163" s="735"/>
      <c r="L163" s="735"/>
      <c r="M163" s="735"/>
      <c r="N163" s="735"/>
      <c r="O163" s="735"/>
      <c r="P163" s="735"/>
      <c r="Q163" s="735"/>
      <c r="R163" s="735"/>
      <c r="S163" s="735"/>
      <c r="T163" s="735"/>
      <c r="U163" s="735"/>
      <c r="V163" s="735"/>
      <c r="W163" s="735"/>
      <c r="X163" s="735"/>
      <c r="Y163" s="735"/>
      <c r="Z163" s="735"/>
      <c r="AA163" s="735"/>
      <c r="AB163" s="735"/>
      <c r="AC163" s="735"/>
      <c r="AD163" s="735"/>
      <c r="AE163" s="735"/>
      <c r="AF163" s="735"/>
      <c r="AG163" s="735"/>
      <c r="AH163" s="735"/>
      <c r="AI163" s="735"/>
      <c r="AJ163" s="735"/>
      <c r="AK163" s="735"/>
      <c r="AL163" s="735"/>
      <c r="AM163" s="735"/>
      <c r="AN163" s="735"/>
      <c r="AO163" s="735"/>
      <c r="AP163" s="735"/>
      <c r="AQ163" s="735"/>
      <c r="AR163" s="735"/>
      <c r="AS163" s="735"/>
      <c r="AT163" s="735"/>
      <c r="AU163" s="735"/>
      <c r="AV163" s="735"/>
      <c r="AW163" s="735"/>
      <c r="AX163" s="656"/>
      <c r="AY163" s="734"/>
      <c r="AZ163" s="734"/>
      <c r="BA163" s="737"/>
      <c r="BB163" s="737">
        <v>1.889</v>
      </c>
      <c r="BC163" s="737">
        <v>2.363</v>
      </c>
      <c r="BD163" s="737">
        <v>5.1361249999999998</v>
      </c>
      <c r="BE163" s="737">
        <v>8.44</v>
      </c>
      <c r="BF163" s="737">
        <v>12.017250000000001</v>
      </c>
      <c r="BG163" s="737">
        <v>15.337394606953128</v>
      </c>
      <c r="BH163" s="737">
        <v>19.57483395364121</v>
      </c>
      <c r="BI163" s="737">
        <v>6.7999999999999989</v>
      </c>
      <c r="BJ163" s="688"/>
      <c r="BK163" s="694"/>
      <c r="BL163" s="773"/>
      <c r="BM163" s="773"/>
      <c r="BN163" s="773"/>
      <c r="BO163" s="773"/>
      <c r="BP163" s="773"/>
      <c r="BQ163" s="773"/>
      <c r="BR163" s="773"/>
      <c r="BS163" s="773"/>
      <c r="BW163" s="481"/>
      <c r="BX163" s="773"/>
      <c r="BY163" s="773"/>
      <c r="BZ163" s="773"/>
      <c r="CA163" s="773"/>
      <c r="CB163" s="773"/>
      <c r="CC163" s="773"/>
      <c r="CD163" s="773"/>
      <c r="CE163" s="773"/>
      <c r="CF163" s="773"/>
    </row>
    <row r="164" spans="1:89" ht="14">
      <c r="B164" s="663"/>
      <c r="C164" s="656"/>
      <c r="D164" s="715" t="s">
        <v>4104</v>
      </c>
      <c r="E164" s="656"/>
      <c r="F164" s="734"/>
      <c r="G164" s="734"/>
      <c r="H164" s="735"/>
      <c r="I164" s="735"/>
      <c r="J164" s="735"/>
      <c r="K164" s="735"/>
      <c r="L164" s="735"/>
      <c r="M164" s="735"/>
      <c r="N164" s="735"/>
      <c r="O164" s="735"/>
      <c r="P164" s="735"/>
      <c r="Q164" s="735"/>
      <c r="R164" s="735"/>
      <c r="S164" s="735"/>
      <c r="T164" s="735"/>
      <c r="U164" s="735"/>
      <c r="V164" s="735"/>
      <c r="W164" s="735"/>
      <c r="X164" s="735"/>
      <c r="Y164" s="735"/>
      <c r="Z164" s="735"/>
      <c r="AA164" s="735"/>
      <c r="AB164" s="735"/>
      <c r="AC164" s="735"/>
      <c r="AD164" s="735"/>
      <c r="AE164" s="735"/>
      <c r="AF164" s="735"/>
      <c r="AG164" s="735"/>
      <c r="AH164" s="735"/>
      <c r="AI164" s="735"/>
      <c r="AJ164" s="735"/>
      <c r="AK164" s="735"/>
      <c r="AL164" s="735"/>
      <c r="AM164" s="735"/>
      <c r="AN164" s="735"/>
      <c r="AO164" s="735"/>
      <c r="AP164" s="735"/>
      <c r="AQ164" s="735"/>
      <c r="AR164" s="735"/>
      <c r="AS164" s="735"/>
      <c r="AT164" s="735"/>
      <c r="AU164" s="735"/>
      <c r="AV164" s="735"/>
      <c r="AW164" s="735"/>
      <c r="AX164" s="656"/>
      <c r="AY164" s="734"/>
      <c r="AZ164" s="734"/>
      <c r="BA164" s="737"/>
      <c r="BB164" s="737">
        <v>1168.9753780964315</v>
      </c>
      <c r="BC164" s="737"/>
      <c r="BD164" s="737"/>
      <c r="BE164" s="737"/>
      <c r="BF164" s="737"/>
      <c r="BG164" s="737"/>
      <c r="BH164" s="737"/>
      <c r="BI164" s="737"/>
      <c r="BJ164" s="656"/>
      <c r="BK164" s="694"/>
      <c r="BL164" s="773"/>
      <c r="BM164" s="773"/>
      <c r="BN164" s="773"/>
      <c r="BO164" s="773"/>
      <c r="BP164" s="773"/>
      <c r="BQ164" s="773"/>
      <c r="BR164" s="773"/>
      <c r="BS164" s="773"/>
      <c r="BW164" s="481"/>
      <c r="BX164" s="773"/>
      <c r="BY164" s="773"/>
      <c r="BZ164" s="773"/>
      <c r="CA164" s="773"/>
      <c r="CB164" s="773"/>
      <c r="CC164" s="773"/>
      <c r="CD164" s="773"/>
      <c r="CE164" s="773"/>
      <c r="CF164" s="773"/>
    </row>
    <row r="165" spans="1:89" ht="14">
      <c r="B165" s="663"/>
      <c r="C165" s="715" t="s">
        <v>4105</v>
      </c>
      <c r="D165" s="715"/>
      <c r="E165" s="656"/>
      <c r="F165" s="734"/>
      <c r="G165" s="734"/>
      <c r="H165" s="735"/>
      <c r="I165" s="735"/>
      <c r="J165" s="735"/>
      <c r="K165" s="735"/>
      <c r="L165" s="735"/>
      <c r="M165" s="735"/>
      <c r="N165" s="735"/>
      <c r="O165" s="735"/>
      <c r="P165" s="735"/>
      <c r="Q165" s="735"/>
      <c r="R165" s="735"/>
      <c r="S165" s="735"/>
      <c r="T165" s="735"/>
      <c r="U165" s="735"/>
      <c r="V165" s="735"/>
      <c r="W165" s="735"/>
      <c r="X165" s="735"/>
      <c r="Y165" s="735"/>
      <c r="Z165" s="735"/>
      <c r="AA165" s="735"/>
      <c r="AB165" s="735"/>
      <c r="AC165" s="735"/>
      <c r="AD165" s="735"/>
      <c r="AE165" s="735"/>
      <c r="AF165" s="735"/>
      <c r="AG165" s="735"/>
      <c r="AH165" s="735"/>
      <c r="AI165" s="735"/>
      <c r="AJ165" s="735"/>
      <c r="AK165" s="735"/>
      <c r="AL165" s="735"/>
      <c r="AM165" s="735"/>
      <c r="AN165" s="735"/>
      <c r="AO165" s="735"/>
      <c r="AP165" s="735"/>
      <c r="AQ165" s="735"/>
      <c r="AR165" s="735"/>
      <c r="AS165" s="735"/>
      <c r="AT165" s="735"/>
      <c r="AU165" s="735"/>
      <c r="AV165" s="735"/>
      <c r="AW165" s="735"/>
      <c r="AX165" s="656"/>
      <c r="AY165" s="734"/>
      <c r="AZ165" s="734"/>
      <c r="BA165" s="737"/>
      <c r="BB165" s="737"/>
      <c r="BC165" s="737"/>
      <c r="BD165" s="737"/>
      <c r="BE165" s="737"/>
      <c r="BF165" s="737"/>
      <c r="BG165" s="737"/>
      <c r="BH165" s="737"/>
      <c r="BI165" s="737"/>
      <c r="BJ165" s="656"/>
      <c r="BK165" s="694"/>
      <c r="BL165" s="773"/>
      <c r="BM165" s="773"/>
      <c r="BN165" s="773"/>
      <c r="BO165" s="773"/>
      <c r="BP165" s="773"/>
      <c r="BQ165" s="773"/>
      <c r="BR165" s="773"/>
      <c r="BS165" s="773"/>
      <c r="BW165" s="481"/>
      <c r="BX165" s="773"/>
      <c r="BY165" s="773"/>
      <c r="BZ165" s="773"/>
      <c r="CA165" s="773"/>
      <c r="CB165" s="773"/>
      <c r="CC165" s="773"/>
      <c r="CD165" s="773"/>
      <c r="CE165" s="773"/>
      <c r="CF165" s="773"/>
    </row>
    <row r="166" spans="1:89" ht="14">
      <c r="B166" s="663"/>
      <c r="C166" s="656" t="s">
        <v>3896</v>
      </c>
      <c r="D166" s="715"/>
      <c r="E166" s="656"/>
      <c r="F166" s="734"/>
      <c r="G166" s="734"/>
      <c r="H166" s="735"/>
      <c r="I166" s="735"/>
      <c r="J166" s="735"/>
      <c r="K166" s="735"/>
      <c r="L166" s="735"/>
      <c r="M166" s="735"/>
      <c r="N166" s="735"/>
      <c r="O166" s="735"/>
      <c r="P166" s="735"/>
      <c r="Q166" s="735"/>
      <c r="R166" s="735"/>
      <c r="S166" s="735"/>
      <c r="T166" s="735"/>
      <c r="U166" s="735"/>
      <c r="V166" s="735"/>
      <c r="W166" s="735"/>
      <c r="X166" s="735"/>
      <c r="Y166" s="735"/>
      <c r="Z166" s="735"/>
      <c r="AA166" s="735"/>
      <c r="AB166" s="735"/>
      <c r="AC166" s="735"/>
      <c r="AD166" s="735"/>
      <c r="AE166" s="735"/>
      <c r="AF166" s="735"/>
      <c r="AG166" s="735"/>
      <c r="AH166" s="735"/>
      <c r="AI166" s="735"/>
      <c r="AJ166" s="735"/>
      <c r="AK166" s="735"/>
      <c r="AL166" s="735"/>
      <c r="AM166" s="735"/>
      <c r="AN166" s="735"/>
      <c r="AO166" s="735"/>
      <c r="AP166" s="735"/>
      <c r="AQ166" s="735"/>
      <c r="AR166" s="735"/>
      <c r="AS166" s="735"/>
      <c r="AT166" s="735"/>
      <c r="AU166" s="735"/>
      <c r="AV166" s="735"/>
      <c r="AW166" s="735"/>
      <c r="AX166" s="656"/>
      <c r="AY166" s="734"/>
      <c r="AZ166" s="734"/>
      <c r="BA166" s="737" t="s">
        <v>58</v>
      </c>
      <c r="BB166" s="737">
        <v>0</v>
      </c>
      <c r="BC166" s="737">
        <v>0</v>
      </c>
      <c r="BD166" s="737">
        <v>35.820371992188122</v>
      </c>
      <c r="BE166" s="737">
        <v>71.294302627787559</v>
      </c>
      <c r="BF166" s="737">
        <v>105.39190635169356</v>
      </c>
      <c r="BG166" s="737">
        <v>144.12974115267565</v>
      </c>
      <c r="BH166" s="737">
        <v>180.06834700201907</v>
      </c>
      <c r="BI166" s="737">
        <v>58.319331518141986</v>
      </c>
      <c r="BJ166" s="656"/>
      <c r="BK166" s="694"/>
      <c r="BL166" s="773"/>
      <c r="BM166" s="773"/>
      <c r="BN166" s="773"/>
      <c r="BO166" s="773"/>
      <c r="BP166" s="773"/>
      <c r="BQ166" s="773"/>
      <c r="BR166" s="773"/>
      <c r="BS166" s="773"/>
      <c r="BW166" s="481"/>
      <c r="BX166" s="773"/>
      <c r="BY166" s="773"/>
      <c r="BZ166" s="773"/>
      <c r="CA166" s="773"/>
      <c r="CB166" s="773"/>
      <c r="CC166" s="773"/>
      <c r="CD166" s="773"/>
      <c r="CE166" s="773"/>
      <c r="CF166" s="773"/>
    </row>
    <row r="167" spans="1:89" ht="14">
      <c r="B167" s="663"/>
      <c r="C167" s="656" t="s">
        <v>3897</v>
      </c>
      <c r="D167" s="715"/>
      <c r="E167" s="656"/>
      <c r="F167" s="734"/>
      <c r="G167" s="734"/>
      <c r="H167" s="735"/>
      <c r="I167" s="735"/>
      <c r="J167" s="735"/>
      <c r="K167" s="735"/>
      <c r="L167" s="735"/>
      <c r="M167" s="735"/>
      <c r="N167" s="735"/>
      <c r="O167" s="735"/>
      <c r="P167" s="735"/>
      <c r="Q167" s="735"/>
      <c r="R167" s="735"/>
      <c r="S167" s="735"/>
      <c r="T167" s="735"/>
      <c r="U167" s="735"/>
      <c r="V167" s="735"/>
      <c r="W167" s="735"/>
      <c r="X167" s="735"/>
      <c r="Y167" s="735"/>
      <c r="Z167" s="735"/>
      <c r="AA167" s="735"/>
      <c r="AB167" s="735"/>
      <c r="AC167" s="735"/>
      <c r="AD167" s="735"/>
      <c r="AE167" s="735"/>
      <c r="AF167" s="735"/>
      <c r="AG167" s="735"/>
      <c r="AH167" s="735"/>
      <c r="AI167" s="735"/>
      <c r="AJ167" s="735"/>
      <c r="AK167" s="735"/>
      <c r="AL167" s="735"/>
      <c r="AM167" s="735"/>
      <c r="AN167" s="735"/>
      <c r="AO167" s="735"/>
      <c r="AP167" s="735"/>
      <c r="AQ167" s="735"/>
      <c r="AR167" s="735"/>
      <c r="AS167" s="735"/>
      <c r="AT167" s="735"/>
      <c r="AU167" s="735"/>
      <c r="AV167" s="735"/>
      <c r="AW167" s="735"/>
      <c r="AX167" s="656"/>
      <c r="AY167" s="734"/>
      <c r="AZ167" s="734"/>
      <c r="BA167" s="737" t="s">
        <v>58</v>
      </c>
      <c r="BB167" s="737">
        <v>0</v>
      </c>
      <c r="BC167" s="737">
        <v>0</v>
      </c>
      <c r="BD167" s="737">
        <v>8.1744933144708334</v>
      </c>
      <c r="BE167" s="737">
        <v>14.825974296460366</v>
      </c>
      <c r="BF167" s="737">
        <v>19.848368595342883</v>
      </c>
      <c r="BG167" s="737">
        <v>24.352372383197622</v>
      </c>
      <c r="BH167" s="737">
        <v>26.911313398103957</v>
      </c>
      <c r="BI167" s="737">
        <v>12.594653156663522</v>
      </c>
      <c r="BJ167" s="656"/>
      <c r="BK167" s="694"/>
      <c r="BL167" s="773"/>
      <c r="BM167" s="773"/>
      <c r="BN167" s="773"/>
      <c r="BO167" s="773"/>
      <c r="BP167" s="773"/>
      <c r="BQ167" s="773"/>
      <c r="BR167" s="773"/>
      <c r="BS167" s="773"/>
      <c r="BW167" s="481"/>
      <c r="BX167" s="773"/>
      <c r="BY167" s="773"/>
      <c r="BZ167" s="773"/>
      <c r="CA167" s="773"/>
      <c r="CB167" s="773"/>
      <c r="CC167" s="773"/>
      <c r="CD167" s="773"/>
      <c r="CE167" s="773"/>
      <c r="CF167" s="773"/>
    </row>
    <row r="168" spans="1:89" s="782" customFormat="1" ht="14">
      <c r="B168" s="783"/>
      <c r="H168" s="784"/>
      <c r="I168" s="784"/>
      <c r="J168" s="784"/>
      <c r="K168" s="784"/>
      <c r="L168" s="784"/>
      <c r="M168" s="784"/>
      <c r="N168" s="784"/>
      <c r="O168" s="784"/>
      <c r="P168" s="784"/>
      <c r="Q168" s="784"/>
      <c r="R168" s="784"/>
      <c r="S168" s="784"/>
      <c r="T168" s="784"/>
      <c r="U168" s="784"/>
      <c r="V168" s="784"/>
      <c r="W168" s="784"/>
      <c r="X168" s="784"/>
      <c r="Y168" s="784"/>
      <c r="Z168" s="784"/>
      <c r="AA168" s="784"/>
      <c r="AB168" s="784"/>
      <c r="AC168" s="784"/>
      <c r="AD168" s="784"/>
      <c r="AE168" s="784"/>
      <c r="AF168" s="784"/>
      <c r="AG168" s="784"/>
      <c r="AH168" s="784"/>
      <c r="AI168" s="784"/>
      <c r="AJ168" s="784"/>
      <c r="AK168" s="784"/>
      <c r="AL168" s="784"/>
      <c r="AM168" s="784"/>
      <c r="AN168" s="784"/>
      <c r="AO168" s="784"/>
      <c r="AP168" s="784"/>
      <c r="AQ168" s="784"/>
      <c r="AR168" s="784"/>
      <c r="AS168" s="784"/>
      <c r="AT168" s="784"/>
      <c r="AU168" s="784"/>
      <c r="AV168" s="784"/>
      <c r="AW168" s="784"/>
      <c r="BA168" s="785"/>
      <c r="BB168" s="786"/>
      <c r="BC168" s="785"/>
      <c r="BD168" s="785"/>
      <c r="BE168" s="785"/>
      <c r="BF168" s="785"/>
      <c r="BG168" s="785"/>
      <c r="BH168" s="787"/>
      <c r="BI168" s="787"/>
      <c r="BJ168" s="788"/>
      <c r="BK168" s="694"/>
      <c r="BL168" s="773"/>
      <c r="BM168" s="773"/>
      <c r="BN168" s="773"/>
      <c r="BO168" s="773"/>
      <c r="BP168" s="773"/>
      <c r="BQ168" s="773"/>
      <c r="BR168" s="773"/>
      <c r="BS168" s="773"/>
      <c r="BT168" s="482"/>
      <c r="BU168" s="494"/>
      <c r="BV168" s="494"/>
      <c r="BW168" s="494"/>
      <c r="BX168" s="494"/>
      <c r="BY168" s="494"/>
      <c r="BZ168" s="494"/>
      <c r="CA168" s="494"/>
      <c r="CB168" s="494"/>
      <c r="CC168" s="494"/>
      <c r="CD168" s="494"/>
      <c r="CE168" s="494"/>
      <c r="CF168" s="494"/>
      <c r="CG168" s="494"/>
      <c r="CH168" s="494"/>
      <c r="CI168" s="494"/>
      <c r="CJ168" s="494"/>
      <c r="CK168" s="494"/>
    </row>
    <row r="169" spans="1:89" ht="23">
      <c r="A169" s="495"/>
      <c r="B169" s="789" t="s">
        <v>4106</v>
      </c>
      <c r="C169" s="790"/>
      <c r="D169" s="790"/>
      <c r="E169" s="790"/>
      <c r="F169" s="790"/>
      <c r="G169" s="790"/>
      <c r="H169" s="791"/>
      <c r="I169" s="791"/>
      <c r="J169" s="791"/>
      <c r="K169" s="791"/>
      <c r="L169" s="791"/>
      <c r="M169" s="791"/>
      <c r="N169" s="791"/>
      <c r="O169" s="791"/>
      <c r="P169" s="791"/>
      <c r="Q169" s="791"/>
      <c r="R169" s="791"/>
      <c r="S169" s="791"/>
      <c r="T169" s="791"/>
      <c r="U169" s="791"/>
      <c r="V169" s="791"/>
      <c r="W169" s="791"/>
      <c r="X169" s="791"/>
      <c r="Y169" s="791"/>
      <c r="Z169" s="791"/>
      <c r="AA169" s="791"/>
      <c r="AB169" s="791"/>
      <c r="AC169" s="791"/>
      <c r="AD169" s="791"/>
      <c r="AE169" s="791"/>
      <c r="AF169" s="791"/>
      <c r="AG169" s="791"/>
      <c r="AH169" s="791"/>
      <c r="AI169" s="791"/>
      <c r="AJ169" s="791"/>
      <c r="AK169" s="791"/>
      <c r="AL169" s="791"/>
      <c r="AM169" s="791"/>
      <c r="AN169" s="791"/>
      <c r="AO169" s="791"/>
      <c r="AP169" s="791"/>
      <c r="AQ169" s="791"/>
      <c r="AR169" s="791"/>
      <c r="AS169" s="791"/>
      <c r="AT169" s="791"/>
      <c r="AU169" s="791"/>
      <c r="AV169" s="791"/>
      <c r="AW169" s="791"/>
      <c r="AX169" s="790"/>
      <c r="AY169" s="790"/>
      <c r="AZ169" s="790"/>
      <c r="BA169" s="792"/>
      <c r="BB169" s="793"/>
      <c r="BC169" s="793"/>
      <c r="BD169" s="793"/>
      <c r="BE169" s="793"/>
      <c r="BF169" s="793"/>
      <c r="BG169" s="793"/>
      <c r="BH169" s="793"/>
      <c r="BI169" s="793"/>
      <c r="BJ169" s="794"/>
      <c r="BK169" s="694"/>
      <c r="BP169" s="768"/>
      <c r="BT169" s="494"/>
      <c r="CI169" s="767"/>
    </row>
    <row r="170" spans="1:89" ht="14">
      <c r="B170" s="795"/>
      <c r="C170" s="795"/>
      <c r="D170" s="795"/>
      <c r="E170" s="795"/>
      <c r="F170" s="795"/>
      <c r="G170" s="795"/>
      <c r="H170" s="796"/>
      <c r="I170" s="796"/>
      <c r="J170" s="796"/>
      <c r="K170" s="796"/>
      <c r="L170" s="796"/>
      <c r="M170" s="796"/>
      <c r="N170" s="796"/>
      <c r="O170" s="796"/>
      <c r="P170" s="796"/>
      <c r="Q170" s="796"/>
      <c r="R170" s="796"/>
      <c r="S170" s="796"/>
      <c r="T170" s="796"/>
      <c r="U170" s="796"/>
      <c r="V170" s="796"/>
      <c r="W170" s="796"/>
      <c r="X170" s="796"/>
      <c r="Y170" s="796"/>
      <c r="Z170" s="796"/>
      <c r="AA170" s="796"/>
      <c r="AB170" s="796"/>
      <c r="AC170" s="796"/>
      <c r="AD170" s="796"/>
      <c r="AE170" s="796"/>
      <c r="AF170" s="796"/>
      <c r="AG170" s="796"/>
      <c r="AH170" s="796"/>
      <c r="AI170" s="796"/>
      <c r="AJ170" s="796"/>
      <c r="AK170" s="796"/>
      <c r="AL170" s="796"/>
      <c r="AM170" s="796"/>
      <c r="AN170" s="796"/>
      <c r="AO170" s="796"/>
      <c r="AP170" s="796"/>
      <c r="AQ170" s="796"/>
      <c r="AR170" s="796"/>
      <c r="AS170" s="796"/>
      <c r="AT170" s="796"/>
      <c r="AU170" s="796"/>
      <c r="AV170" s="796"/>
      <c r="AW170" s="796"/>
      <c r="AX170" s="795"/>
      <c r="AY170" s="795"/>
      <c r="AZ170" s="795"/>
      <c r="BA170" s="797"/>
      <c r="BB170" s="797"/>
      <c r="BC170" s="797"/>
      <c r="BD170" s="797"/>
      <c r="BE170" s="797"/>
      <c r="BF170" s="797"/>
      <c r="BG170" s="797"/>
      <c r="BH170" s="797"/>
      <c r="BI170" s="797"/>
      <c r="BJ170" s="798"/>
      <c r="BL170" s="494"/>
      <c r="BM170" s="494"/>
      <c r="BN170" s="494"/>
      <c r="BO170" s="494"/>
      <c r="BP170" s="799"/>
      <c r="BQ170" s="494"/>
      <c r="BR170" s="494"/>
      <c r="BS170" s="494"/>
    </row>
    <row r="171" spans="1:89" ht="14">
      <c r="B171" s="800"/>
      <c r="C171" s="795"/>
      <c r="D171" s="795"/>
      <c r="E171" s="795"/>
      <c r="F171" s="795"/>
      <c r="G171" s="795"/>
      <c r="H171" s="796"/>
      <c r="I171" s="796"/>
      <c r="J171" s="796"/>
      <c r="K171" s="796"/>
      <c r="L171" s="796"/>
      <c r="M171" s="796"/>
      <c r="N171" s="796"/>
      <c r="O171" s="796"/>
      <c r="P171" s="796"/>
      <c r="Q171" s="796"/>
      <c r="R171" s="796"/>
      <c r="S171" s="796"/>
      <c r="T171" s="796"/>
      <c r="U171" s="796"/>
      <c r="V171" s="796"/>
      <c r="W171" s="796"/>
      <c r="X171" s="796"/>
      <c r="Y171" s="796"/>
      <c r="Z171" s="796"/>
      <c r="AA171" s="796"/>
      <c r="AB171" s="796"/>
      <c r="AC171" s="796"/>
      <c r="AD171" s="796"/>
      <c r="AE171" s="796"/>
      <c r="AF171" s="796"/>
      <c r="AG171" s="796"/>
      <c r="AH171" s="796"/>
      <c r="AI171" s="796"/>
      <c r="AJ171" s="796"/>
      <c r="AK171" s="796"/>
      <c r="AL171" s="796"/>
      <c r="AM171" s="796"/>
      <c r="AN171" s="796"/>
      <c r="AO171" s="796"/>
      <c r="AP171" s="796"/>
      <c r="AQ171" s="796"/>
      <c r="AR171" s="796"/>
      <c r="AS171" s="796"/>
      <c r="AT171" s="796"/>
      <c r="AU171" s="796"/>
      <c r="AV171" s="796"/>
      <c r="AW171" s="796"/>
      <c r="AX171" s="795"/>
      <c r="AY171" s="795"/>
      <c r="AZ171" s="795"/>
      <c r="BA171" s="797"/>
      <c r="BB171" s="797"/>
      <c r="BC171" s="797"/>
      <c r="BD171" s="797"/>
      <c r="BE171" s="797"/>
      <c r="BF171" s="797"/>
      <c r="BG171" s="797"/>
      <c r="BH171" s="797"/>
      <c r="BI171" s="797"/>
      <c r="BJ171" s="798"/>
      <c r="BK171" s="694"/>
      <c r="BL171" s="481"/>
      <c r="BM171" s="481"/>
      <c r="BN171" s="481"/>
      <c r="BO171" s="481"/>
      <c r="BP171" s="771"/>
      <c r="BQ171" s="481"/>
      <c r="BR171" s="481"/>
      <c r="BS171" s="481"/>
    </row>
    <row r="172" spans="1:89" s="501" customFormat="1" ht="14" customHeight="1">
      <c r="B172" s="801"/>
      <c r="C172" s="802"/>
      <c r="D172" s="803"/>
      <c r="E172" s="803" t="s">
        <v>4107</v>
      </c>
      <c r="F172" s="804"/>
      <c r="G172" s="804"/>
      <c r="H172" s="805"/>
      <c r="I172" s="805"/>
      <c r="J172" s="805"/>
      <c r="K172" s="805"/>
      <c r="L172" s="805"/>
      <c r="M172" s="805"/>
      <c r="N172" s="805"/>
      <c r="O172" s="805"/>
      <c r="P172" s="805"/>
      <c r="Q172" s="805"/>
      <c r="R172" s="805"/>
      <c r="S172" s="805"/>
      <c r="T172" s="805"/>
      <c r="U172" s="805"/>
      <c r="V172" s="805"/>
      <c r="W172" s="805"/>
      <c r="X172" s="805"/>
      <c r="Y172" s="805"/>
      <c r="Z172" s="805"/>
      <c r="AA172" s="805"/>
      <c r="AB172" s="805"/>
      <c r="AC172" s="805"/>
      <c r="AD172" s="805"/>
      <c r="AE172" s="805"/>
      <c r="AF172" s="805"/>
      <c r="AG172" s="805"/>
      <c r="AH172" s="805"/>
      <c r="AI172" s="805"/>
      <c r="AJ172" s="805"/>
      <c r="AK172" s="805"/>
      <c r="AL172" s="805"/>
      <c r="AM172" s="805"/>
      <c r="AN172" s="805"/>
      <c r="AO172" s="805"/>
      <c r="AP172" s="805"/>
      <c r="AQ172" s="805"/>
      <c r="AR172" s="805"/>
      <c r="AS172" s="805"/>
      <c r="AT172" s="805"/>
      <c r="AU172" s="805"/>
      <c r="AV172" s="805"/>
      <c r="AW172" s="805"/>
      <c r="AX172" s="802"/>
      <c r="AY172" s="806"/>
      <c r="AZ172" s="806"/>
      <c r="BA172" s="807"/>
      <c r="BB172" s="797"/>
      <c r="BC172" s="797"/>
      <c r="BD172" s="797"/>
      <c r="BE172" s="797"/>
      <c r="BF172" s="797"/>
      <c r="BG172" s="797"/>
      <c r="BH172" s="797"/>
      <c r="BI172" s="797"/>
      <c r="BJ172" s="808"/>
      <c r="BK172" s="694"/>
      <c r="BL172" s="774"/>
      <c r="BM172" s="774"/>
      <c r="BN172" s="774"/>
      <c r="BO172" s="774"/>
      <c r="BP172" s="809"/>
      <c r="BQ172" s="774"/>
      <c r="BR172" s="774"/>
      <c r="BS172" s="774"/>
      <c r="BT172" s="482"/>
      <c r="BU172" s="509"/>
      <c r="BV172" s="509"/>
      <c r="BW172" s="509"/>
      <c r="BX172" s="509"/>
      <c r="BY172" s="509"/>
      <c r="BZ172" s="509"/>
      <c r="CA172" s="509"/>
      <c r="CB172" s="509"/>
      <c r="CC172" s="509"/>
      <c r="CD172" s="509"/>
      <c r="CE172" s="509"/>
      <c r="CF172" s="509"/>
      <c r="CG172" s="509"/>
      <c r="CH172" s="509"/>
      <c r="CI172" s="509"/>
      <c r="CJ172" s="509"/>
      <c r="CK172" s="509"/>
    </row>
    <row r="173" spans="1:89" s="501" customFormat="1" ht="14" customHeight="1">
      <c r="B173" s="800"/>
      <c r="C173" s="802"/>
      <c r="D173" s="803"/>
      <c r="E173" s="803"/>
      <c r="F173" s="804"/>
      <c r="G173" s="804"/>
      <c r="H173" s="805"/>
      <c r="I173" s="805"/>
      <c r="J173" s="805"/>
      <c r="K173" s="805"/>
      <c r="L173" s="805"/>
      <c r="M173" s="805"/>
      <c r="N173" s="805"/>
      <c r="O173" s="805"/>
      <c r="P173" s="805"/>
      <c r="Q173" s="805"/>
      <c r="R173" s="805"/>
      <c r="S173" s="805"/>
      <c r="T173" s="805"/>
      <c r="U173" s="805"/>
      <c r="V173" s="805"/>
      <c r="W173" s="805"/>
      <c r="X173" s="805"/>
      <c r="Y173" s="805"/>
      <c r="Z173" s="805"/>
      <c r="AA173" s="805"/>
      <c r="AB173" s="805"/>
      <c r="AC173" s="805"/>
      <c r="AD173" s="805"/>
      <c r="AE173" s="805"/>
      <c r="AF173" s="805"/>
      <c r="AG173" s="805"/>
      <c r="AH173" s="805"/>
      <c r="AI173" s="805"/>
      <c r="AJ173" s="805"/>
      <c r="AK173" s="805"/>
      <c r="AL173" s="805"/>
      <c r="AM173" s="805"/>
      <c r="AN173" s="805"/>
      <c r="AO173" s="805"/>
      <c r="AP173" s="805"/>
      <c r="AQ173" s="805"/>
      <c r="AR173" s="805"/>
      <c r="AS173" s="805"/>
      <c r="AT173" s="805"/>
      <c r="AU173" s="805"/>
      <c r="AV173" s="805"/>
      <c r="AW173" s="805"/>
      <c r="AX173" s="802"/>
      <c r="AY173" s="806"/>
      <c r="AZ173" s="806"/>
      <c r="BA173" s="797"/>
      <c r="BB173" s="807"/>
      <c r="BC173" s="797"/>
      <c r="BD173" s="797"/>
      <c r="BE173" s="797"/>
      <c r="BF173" s="797"/>
      <c r="BG173" s="797"/>
      <c r="BH173" s="797"/>
      <c r="BI173" s="797"/>
      <c r="BJ173" s="808"/>
      <c r="BK173" s="494"/>
      <c r="BL173" s="482"/>
      <c r="BM173" s="482"/>
      <c r="BN173" s="482"/>
      <c r="BO173" s="482"/>
      <c r="BP173" s="482"/>
      <c r="BQ173" s="482"/>
      <c r="BR173" s="482"/>
      <c r="BS173" s="482"/>
      <c r="BT173" s="509"/>
      <c r="BU173" s="509"/>
      <c r="BV173" s="509"/>
      <c r="BW173" s="509"/>
      <c r="BX173" s="509"/>
      <c r="BY173" s="509"/>
      <c r="BZ173" s="509"/>
      <c r="CA173" s="509"/>
      <c r="CB173" s="509"/>
      <c r="CC173" s="509"/>
      <c r="CD173" s="509"/>
      <c r="CE173" s="509"/>
      <c r="CF173" s="509"/>
      <c r="CG173" s="509"/>
      <c r="CH173" s="509"/>
      <c r="CI173" s="509"/>
      <c r="CJ173" s="509"/>
      <c r="CK173" s="509"/>
    </row>
    <row r="174" spans="1:89" s="501" customFormat="1" ht="14" customHeight="1">
      <c r="B174" s="810"/>
      <c r="C174" s="802" t="s">
        <v>4108</v>
      </c>
      <c r="D174" s="803"/>
      <c r="E174" s="803"/>
      <c r="F174" s="803" t="s">
        <v>455</v>
      </c>
      <c r="G174" s="803"/>
      <c r="H174" s="811"/>
      <c r="I174" s="811"/>
      <c r="J174" s="811"/>
      <c r="K174" s="811"/>
      <c r="L174" s="811"/>
      <c r="M174" s="811"/>
      <c r="N174" s="811"/>
      <c r="O174" s="811"/>
      <c r="P174" s="811"/>
      <c r="Q174" s="811"/>
      <c r="R174" s="811"/>
      <c r="S174" s="811"/>
      <c r="T174" s="811"/>
      <c r="U174" s="811"/>
      <c r="V174" s="811"/>
      <c r="W174" s="811"/>
      <c r="X174" s="811"/>
      <c r="Y174" s="811"/>
      <c r="Z174" s="811"/>
      <c r="AA174" s="811"/>
      <c r="AB174" s="811"/>
      <c r="AC174" s="811"/>
      <c r="AD174" s="811"/>
      <c r="AE174" s="811"/>
      <c r="AF174" s="811"/>
      <c r="AG174" s="811"/>
      <c r="AH174" s="811"/>
      <c r="AI174" s="811"/>
      <c r="AJ174" s="811"/>
      <c r="AK174" s="811"/>
      <c r="AL174" s="811"/>
      <c r="AM174" s="811"/>
      <c r="AN174" s="811"/>
      <c r="AO174" s="811"/>
      <c r="AP174" s="811"/>
      <c r="AQ174" s="811"/>
      <c r="AR174" s="811"/>
      <c r="AS174" s="811"/>
      <c r="AT174" s="811"/>
      <c r="AU174" s="811"/>
      <c r="AV174" s="811"/>
      <c r="AW174" s="811"/>
      <c r="AX174" s="802"/>
      <c r="AY174" s="812"/>
      <c r="AZ174" s="812"/>
      <c r="BA174" s="813"/>
      <c r="BB174" s="813" t="s">
        <v>3859</v>
      </c>
      <c r="BC174" s="813">
        <v>2022</v>
      </c>
      <c r="BD174" s="813">
        <v>2027</v>
      </c>
      <c r="BE174" s="813">
        <v>2032</v>
      </c>
      <c r="BF174" s="813">
        <v>2037</v>
      </c>
      <c r="BG174" s="813">
        <v>2042</v>
      </c>
      <c r="BH174" s="813">
        <v>2047</v>
      </c>
      <c r="BI174" s="813" t="s">
        <v>4046</v>
      </c>
      <c r="BJ174" s="808"/>
      <c r="BK174" s="508"/>
      <c r="BL174" s="509"/>
      <c r="BM174" s="509"/>
      <c r="BN174" s="509"/>
      <c r="BO174" s="509"/>
      <c r="BP174" s="509"/>
      <c r="BQ174" s="509"/>
      <c r="BR174" s="509"/>
      <c r="BS174" s="509"/>
      <c r="BT174" s="509"/>
      <c r="BU174" s="509"/>
      <c r="BV174" s="509"/>
      <c r="BW174" s="509"/>
      <c r="BX174" s="509"/>
      <c r="BY174" s="509"/>
      <c r="BZ174" s="509"/>
      <c r="CA174" s="509"/>
      <c r="CB174" s="509"/>
      <c r="CC174" s="509"/>
      <c r="CD174" s="509"/>
      <c r="CE174" s="509"/>
      <c r="CF174" s="509"/>
      <c r="CG174" s="509"/>
      <c r="CH174" s="509"/>
      <c r="CI174" s="509"/>
      <c r="CJ174" s="509"/>
      <c r="CK174" s="509"/>
    </row>
    <row r="175" spans="1:89" s="501" customFormat="1" ht="14" customHeight="1">
      <c r="B175" s="810"/>
      <c r="C175" s="803" t="s">
        <v>4109</v>
      </c>
      <c r="D175" s="803"/>
      <c r="E175" s="803"/>
      <c r="F175" s="803" t="s">
        <v>4110</v>
      </c>
      <c r="G175" s="814"/>
      <c r="H175" s="815"/>
      <c r="I175" s="815"/>
      <c r="J175" s="815"/>
      <c r="K175" s="815"/>
      <c r="L175" s="815"/>
      <c r="M175" s="815"/>
      <c r="N175" s="815"/>
      <c r="O175" s="815"/>
      <c r="P175" s="815"/>
      <c r="Q175" s="815"/>
      <c r="R175" s="815"/>
      <c r="S175" s="815"/>
      <c r="T175" s="815"/>
      <c r="U175" s="815"/>
      <c r="V175" s="815"/>
      <c r="W175" s="815"/>
      <c r="X175" s="815"/>
      <c r="Y175" s="815"/>
      <c r="Z175" s="815"/>
      <c r="AA175" s="815"/>
      <c r="AB175" s="815"/>
      <c r="AC175" s="815"/>
      <c r="AD175" s="815"/>
      <c r="AE175" s="815"/>
      <c r="AF175" s="815"/>
      <c r="AG175" s="815"/>
      <c r="AH175" s="815"/>
      <c r="AI175" s="815"/>
      <c r="AJ175" s="815"/>
      <c r="AK175" s="815"/>
      <c r="AL175" s="815"/>
      <c r="AM175" s="815"/>
      <c r="AN175" s="815"/>
      <c r="AO175" s="815"/>
      <c r="AP175" s="815"/>
      <c r="AQ175" s="815"/>
      <c r="AR175" s="815"/>
      <c r="AS175" s="815"/>
      <c r="AT175" s="815"/>
      <c r="AU175" s="815"/>
      <c r="AV175" s="815"/>
      <c r="AW175" s="815"/>
      <c r="AX175" s="802"/>
      <c r="AY175" s="816"/>
      <c r="AZ175" s="816"/>
      <c r="BA175" s="817"/>
      <c r="BB175" s="818">
        <v>971.164328162272</v>
      </c>
      <c r="BC175" s="818">
        <v>1023.0978282182041</v>
      </c>
      <c r="BD175" s="818">
        <v>1195.7161265599698</v>
      </c>
      <c r="BE175" s="818">
        <v>1265.7572534688393</v>
      </c>
      <c r="BF175" s="818">
        <v>1202.8875211249481</v>
      </c>
      <c r="BG175" s="818">
        <v>1126.2082649139393</v>
      </c>
      <c r="BH175" s="818">
        <v>1138.3489854343923</v>
      </c>
      <c r="BI175" s="818">
        <v>1277.2631795922393</v>
      </c>
      <c r="BJ175" s="808"/>
      <c r="BK175" s="508"/>
      <c r="BL175" s="509"/>
      <c r="BM175" s="509"/>
      <c r="BN175" s="509"/>
      <c r="BO175" s="509"/>
      <c r="BP175" s="509"/>
      <c r="BQ175" s="509"/>
      <c r="BR175" s="509"/>
      <c r="BS175" s="509"/>
      <c r="BT175" s="509"/>
      <c r="BU175" s="509"/>
      <c r="BV175" s="509"/>
      <c r="BW175" s="509"/>
      <c r="BX175" s="509"/>
      <c r="BY175" s="509"/>
      <c r="BZ175" s="509"/>
      <c r="CA175" s="509"/>
      <c r="CB175" s="509"/>
      <c r="CC175" s="509"/>
      <c r="CD175" s="509"/>
      <c r="CE175" s="509"/>
      <c r="CF175" s="509"/>
      <c r="CG175" s="509"/>
      <c r="CH175" s="509"/>
      <c r="CI175" s="509"/>
      <c r="CJ175" s="509"/>
      <c r="CK175" s="509"/>
    </row>
    <row r="176" spans="1:89" s="501" customFormat="1" ht="14" customHeight="1">
      <c r="B176" s="810"/>
      <c r="C176" s="803" t="s">
        <v>4059</v>
      </c>
      <c r="D176" s="803"/>
      <c r="E176" s="803"/>
      <c r="F176" s="803" t="s">
        <v>4111</v>
      </c>
      <c r="G176" s="814"/>
      <c r="H176" s="815"/>
      <c r="I176" s="815"/>
      <c r="J176" s="815"/>
      <c r="K176" s="815"/>
      <c r="L176" s="815"/>
      <c r="M176" s="815"/>
      <c r="N176" s="815"/>
      <c r="O176" s="815"/>
      <c r="P176" s="815"/>
      <c r="Q176" s="815"/>
      <c r="R176" s="815"/>
      <c r="S176" s="815"/>
      <c r="T176" s="815"/>
      <c r="U176" s="815"/>
      <c r="V176" s="815"/>
      <c r="W176" s="815"/>
      <c r="X176" s="815"/>
      <c r="Y176" s="815"/>
      <c r="Z176" s="815"/>
      <c r="AA176" s="815"/>
      <c r="AB176" s="815"/>
      <c r="AC176" s="815"/>
      <c r="AD176" s="815"/>
      <c r="AE176" s="815"/>
      <c r="AF176" s="815"/>
      <c r="AG176" s="815"/>
      <c r="AH176" s="815"/>
      <c r="AI176" s="815"/>
      <c r="AJ176" s="815"/>
      <c r="AK176" s="815"/>
      <c r="AL176" s="815"/>
      <c r="AM176" s="815"/>
      <c r="AN176" s="815"/>
      <c r="AO176" s="815"/>
      <c r="AP176" s="815"/>
      <c r="AQ176" s="815"/>
      <c r="AR176" s="815"/>
      <c r="AS176" s="815"/>
      <c r="AT176" s="815"/>
      <c r="AU176" s="815"/>
      <c r="AV176" s="815"/>
      <c r="AW176" s="815"/>
      <c r="AX176" s="802"/>
      <c r="AY176" s="816"/>
      <c r="AZ176" s="816"/>
      <c r="BA176" s="817"/>
      <c r="BB176" s="818">
        <v>0</v>
      </c>
      <c r="BC176" s="818">
        <v>0</v>
      </c>
      <c r="BD176" s="818">
        <v>0</v>
      </c>
      <c r="BE176" s="818">
        <v>0</v>
      </c>
      <c r="BF176" s="818">
        <v>0</v>
      </c>
      <c r="BG176" s="818">
        <v>0</v>
      </c>
      <c r="BH176" s="818">
        <v>0</v>
      </c>
      <c r="BI176" s="818">
        <v>0</v>
      </c>
      <c r="BJ176" s="808"/>
      <c r="BK176" s="508"/>
      <c r="BL176" s="509"/>
      <c r="BM176" s="509"/>
      <c r="BN176" s="509"/>
      <c r="BO176" s="509"/>
      <c r="BP176" s="509"/>
      <c r="BQ176" s="509"/>
      <c r="BR176" s="509"/>
      <c r="BS176" s="509"/>
      <c r="BT176" s="509"/>
      <c r="BU176" s="509"/>
      <c r="BV176" s="509"/>
      <c r="BW176" s="509"/>
      <c r="BX176" s="509"/>
      <c r="BY176" s="509"/>
      <c r="BZ176" s="509"/>
      <c r="CA176" s="509"/>
      <c r="CB176" s="509"/>
      <c r="CC176" s="509"/>
      <c r="CD176" s="509"/>
      <c r="CE176" s="509"/>
      <c r="CF176" s="509"/>
      <c r="CG176" s="509"/>
      <c r="CH176" s="509"/>
      <c r="CI176" s="509"/>
      <c r="CJ176" s="509"/>
      <c r="CK176" s="509"/>
    </row>
    <row r="177" spans="2:89" s="501" customFormat="1" ht="14" customHeight="1">
      <c r="B177" s="810"/>
      <c r="C177" s="803" t="s">
        <v>4060</v>
      </c>
      <c r="D177" s="803"/>
      <c r="E177" s="803"/>
      <c r="F177" s="803" t="s">
        <v>4112</v>
      </c>
      <c r="G177" s="814"/>
      <c r="H177" s="815"/>
      <c r="I177" s="815"/>
      <c r="J177" s="815"/>
      <c r="K177" s="815"/>
      <c r="L177" s="815"/>
      <c r="M177" s="815"/>
      <c r="N177" s="815"/>
      <c r="O177" s="815"/>
      <c r="P177" s="815"/>
      <c r="Q177" s="815"/>
      <c r="R177" s="815"/>
      <c r="S177" s="815"/>
      <c r="T177" s="815"/>
      <c r="U177" s="815"/>
      <c r="V177" s="815"/>
      <c r="W177" s="815"/>
      <c r="X177" s="815"/>
      <c r="Y177" s="815"/>
      <c r="Z177" s="815"/>
      <c r="AA177" s="815"/>
      <c r="AB177" s="815"/>
      <c r="AC177" s="815"/>
      <c r="AD177" s="815"/>
      <c r="AE177" s="815"/>
      <c r="AF177" s="815"/>
      <c r="AG177" s="815"/>
      <c r="AH177" s="815"/>
      <c r="AI177" s="815"/>
      <c r="AJ177" s="815"/>
      <c r="AK177" s="815"/>
      <c r="AL177" s="815"/>
      <c r="AM177" s="815"/>
      <c r="AN177" s="815"/>
      <c r="AO177" s="815"/>
      <c r="AP177" s="815"/>
      <c r="AQ177" s="815"/>
      <c r="AR177" s="815"/>
      <c r="AS177" s="815"/>
      <c r="AT177" s="815"/>
      <c r="AU177" s="815"/>
      <c r="AV177" s="815"/>
      <c r="AW177" s="815"/>
      <c r="AX177" s="802"/>
      <c r="AY177" s="816"/>
      <c r="AZ177" s="816"/>
      <c r="BA177" s="817"/>
      <c r="BB177" s="818">
        <v>0</v>
      </c>
      <c r="BC177" s="818">
        <v>0</v>
      </c>
      <c r="BD177" s="818">
        <v>0</v>
      </c>
      <c r="BE177" s="818">
        <v>0</v>
      </c>
      <c r="BF177" s="818">
        <v>0</v>
      </c>
      <c r="BG177" s="818">
        <v>0</v>
      </c>
      <c r="BH177" s="818">
        <v>0</v>
      </c>
      <c r="BI177" s="818">
        <v>0</v>
      </c>
      <c r="BJ177" s="808"/>
      <c r="BK177" s="508"/>
      <c r="BL177" s="509"/>
      <c r="BM177" s="509"/>
      <c r="BN177" s="509"/>
      <c r="BO177" s="509"/>
      <c r="BP177" s="509"/>
      <c r="BQ177" s="509"/>
      <c r="BR177" s="509"/>
      <c r="BS177" s="509"/>
      <c r="BT177" s="509"/>
      <c r="BU177" s="509"/>
      <c r="BV177" s="509"/>
      <c r="BW177" s="509"/>
      <c r="BX177" s="509"/>
      <c r="BY177" s="509"/>
      <c r="BZ177" s="509"/>
      <c r="CA177" s="509"/>
      <c r="CB177" s="509"/>
      <c r="CC177" s="509"/>
      <c r="CD177" s="509"/>
      <c r="CE177" s="509"/>
      <c r="CF177" s="509"/>
      <c r="CG177" s="509"/>
      <c r="CH177" s="509"/>
      <c r="CI177" s="509"/>
      <c r="CJ177" s="509"/>
      <c r="CK177" s="509"/>
    </row>
    <row r="178" spans="2:89" s="501" customFormat="1" ht="14" customHeight="1">
      <c r="B178" s="810"/>
      <c r="C178" s="803" t="s">
        <v>4113</v>
      </c>
      <c r="D178" s="803"/>
      <c r="E178" s="803"/>
      <c r="F178" s="803" t="s">
        <v>4114</v>
      </c>
      <c r="G178" s="814"/>
      <c r="H178" s="815"/>
      <c r="I178" s="815"/>
      <c r="J178" s="815"/>
      <c r="K178" s="815"/>
      <c r="L178" s="815"/>
      <c r="M178" s="815"/>
      <c r="N178" s="815"/>
      <c r="O178" s="815"/>
      <c r="P178" s="815"/>
      <c r="Q178" s="815"/>
      <c r="R178" s="815"/>
      <c r="S178" s="815"/>
      <c r="T178" s="815"/>
      <c r="U178" s="815"/>
      <c r="V178" s="815"/>
      <c r="W178" s="815"/>
      <c r="X178" s="815"/>
      <c r="Y178" s="815"/>
      <c r="Z178" s="815"/>
      <c r="AA178" s="815"/>
      <c r="AB178" s="815"/>
      <c r="AC178" s="815"/>
      <c r="AD178" s="815"/>
      <c r="AE178" s="815"/>
      <c r="AF178" s="815"/>
      <c r="AG178" s="815"/>
      <c r="AH178" s="815"/>
      <c r="AI178" s="815"/>
      <c r="AJ178" s="815"/>
      <c r="AK178" s="815"/>
      <c r="AL178" s="815"/>
      <c r="AM178" s="815"/>
      <c r="AN178" s="815"/>
      <c r="AO178" s="815"/>
      <c r="AP178" s="815"/>
      <c r="AQ178" s="815"/>
      <c r="AR178" s="815"/>
      <c r="AS178" s="815"/>
      <c r="AT178" s="815"/>
      <c r="AU178" s="815"/>
      <c r="AV178" s="815"/>
      <c r="AW178" s="815"/>
      <c r="AX178" s="802"/>
      <c r="AY178" s="816"/>
      <c r="AZ178" s="816"/>
      <c r="BA178" s="817"/>
      <c r="BB178" s="818">
        <v>0</v>
      </c>
      <c r="BC178" s="818">
        <v>0</v>
      </c>
      <c r="BD178" s="818">
        <v>0</v>
      </c>
      <c r="BE178" s="818">
        <v>0</v>
      </c>
      <c r="BF178" s="818">
        <v>0</v>
      </c>
      <c r="BG178" s="818">
        <v>0</v>
      </c>
      <c r="BH178" s="818">
        <v>0</v>
      </c>
      <c r="BI178" s="818">
        <v>0</v>
      </c>
      <c r="BJ178" s="808"/>
      <c r="BK178" s="508"/>
      <c r="BL178" s="509"/>
      <c r="BM178" s="509"/>
      <c r="BN178" s="509"/>
      <c r="BO178" s="509"/>
      <c r="BP178" s="509"/>
      <c r="BQ178" s="509"/>
      <c r="BR178" s="509"/>
      <c r="BS178" s="509"/>
      <c r="BT178" s="509"/>
      <c r="BU178" s="509"/>
      <c r="BV178" s="509"/>
      <c r="BW178" s="509"/>
      <c r="BX178" s="509"/>
      <c r="BY178" s="509"/>
      <c r="BZ178" s="509"/>
      <c r="CA178" s="509"/>
      <c r="CB178" s="509"/>
      <c r="CC178" s="509"/>
      <c r="CD178" s="509"/>
      <c r="CE178" s="509"/>
      <c r="CF178" s="509"/>
      <c r="CG178" s="509"/>
      <c r="CH178" s="509"/>
      <c r="CI178" s="509"/>
      <c r="CJ178" s="509"/>
      <c r="CK178" s="509"/>
    </row>
    <row r="179" spans="2:89" s="501" customFormat="1" ht="14" customHeight="1">
      <c r="B179" s="810"/>
      <c r="C179" s="803" t="s">
        <v>4115</v>
      </c>
      <c r="D179" s="803"/>
      <c r="E179" s="803"/>
      <c r="F179" s="803" t="s">
        <v>45</v>
      </c>
      <c r="G179" s="814"/>
      <c r="H179" s="815"/>
      <c r="I179" s="815"/>
      <c r="J179" s="815"/>
      <c r="K179" s="815"/>
      <c r="L179" s="815"/>
      <c r="M179" s="815"/>
      <c r="N179" s="815"/>
      <c r="O179" s="815"/>
      <c r="P179" s="815"/>
      <c r="Q179" s="815"/>
      <c r="R179" s="815"/>
      <c r="S179" s="815"/>
      <c r="T179" s="815"/>
      <c r="U179" s="815"/>
      <c r="V179" s="815"/>
      <c r="W179" s="815"/>
      <c r="X179" s="815"/>
      <c r="Y179" s="815"/>
      <c r="Z179" s="815"/>
      <c r="AA179" s="815"/>
      <c r="AB179" s="815"/>
      <c r="AC179" s="815"/>
      <c r="AD179" s="815"/>
      <c r="AE179" s="815"/>
      <c r="AF179" s="815"/>
      <c r="AG179" s="815"/>
      <c r="AH179" s="815"/>
      <c r="AI179" s="815"/>
      <c r="AJ179" s="815"/>
      <c r="AK179" s="815"/>
      <c r="AL179" s="815"/>
      <c r="AM179" s="815"/>
      <c r="AN179" s="815"/>
      <c r="AO179" s="815"/>
      <c r="AP179" s="815"/>
      <c r="AQ179" s="815"/>
      <c r="AR179" s="815"/>
      <c r="AS179" s="815"/>
      <c r="AT179" s="815"/>
      <c r="AU179" s="815"/>
      <c r="AV179" s="815"/>
      <c r="AW179" s="815"/>
      <c r="AX179" s="802"/>
      <c r="AY179" s="816"/>
      <c r="AZ179" s="816"/>
      <c r="BA179" s="817"/>
      <c r="BB179" s="818">
        <v>0</v>
      </c>
      <c r="BC179" s="818">
        <v>0</v>
      </c>
      <c r="BD179" s="818">
        <v>0</v>
      </c>
      <c r="BE179" s="818">
        <v>0</v>
      </c>
      <c r="BF179" s="818">
        <v>0</v>
      </c>
      <c r="BG179" s="818">
        <v>0</v>
      </c>
      <c r="BH179" s="818">
        <v>0</v>
      </c>
      <c r="BI179" s="818">
        <v>0</v>
      </c>
      <c r="BJ179" s="808"/>
      <c r="BK179" s="508"/>
      <c r="BL179" s="509"/>
      <c r="BM179" s="509"/>
      <c r="BN179" s="509"/>
      <c r="BO179" s="509"/>
      <c r="BP179" s="509"/>
      <c r="BQ179" s="509"/>
      <c r="BR179" s="509"/>
      <c r="BS179" s="509"/>
      <c r="BT179" s="509"/>
      <c r="BU179" s="509"/>
      <c r="BV179" s="509"/>
      <c r="BW179" s="509"/>
      <c r="BX179" s="509"/>
      <c r="BY179" s="509"/>
      <c r="BZ179" s="509"/>
      <c r="CA179" s="509"/>
      <c r="CB179" s="509"/>
      <c r="CC179" s="509"/>
      <c r="CD179" s="509"/>
      <c r="CE179" s="509"/>
      <c r="CF179" s="509"/>
      <c r="CG179" s="509"/>
      <c r="CH179" s="509"/>
      <c r="CI179" s="509"/>
      <c r="CJ179" s="509"/>
      <c r="CK179" s="509"/>
    </row>
    <row r="180" spans="2:89" s="501" customFormat="1" ht="14" customHeight="1">
      <c r="B180" s="810"/>
      <c r="C180" s="803" t="s">
        <v>4116</v>
      </c>
      <c r="D180" s="803"/>
      <c r="E180" s="803"/>
      <c r="F180" s="803" t="s">
        <v>3980</v>
      </c>
      <c r="G180" s="814"/>
      <c r="H180" s="815"/>
      <c r="I180" s="815"/>
      <c r="J180" s="815"/>
      <c r="K180" s="815"/>
      <c r="L180" s="815"/>
      <c r="M180" s="815"/>
      <c r="N180" s="815"/>
      <c r="O180" s="815"/>
      <c r="P180" s="815"/>
      <c r="Q180" s="815"/>
      <c r="R180" s="815"/>
      <c r="S180" s="815"/>
      <c r="T180" s="815"/>
      <c r="U180" s="815"/>
      <c r="V180" s="815"/>
      <c r="W180" s="815"/>
      <c r="X180" s="815"/>
      <c r="Y180" s="815"/>
      <c r="Z180" s="815"/>
      <c r="AA180" s="815"/>
      <c r="AB180" s="815"/>
      <c r="AC180" s="815"/>
      <c r="AD180" s="815"/>
      <c r="AE180" s="815"/>
      <c r="AF180" s="815"/>
      <c r="AG180" s="815"/>
      <c r="AH180" s="815"/>
      <c r="AI180" s="815"/>
      <c r="AJ180" s="815"/>
      <c r="AK180" s="815"/>
      <c r="AL180" s="815"/>
      <c r="AM180" s="815"/>
      <c r="AN180" s="815"/>
      <c r="AO180" s="815"/>
      <c r="AP180" s="815"/>
      <c r="AQ180" s="815"/>
      <c r="AR180" s="815"/>
      <c r="AS180" s="815"/>
      <c r="AT180" s="815"/>
      <c r="AU180" s="815"/>
      <c r="AV180" s="815"/>
      <c r="AW180" s="815"/>
      <c r="AX180" s="802"/>
      <c r="AY180" s="816"/>
      <c r="AZ180" s="816"/>
      <c r="BA180" s="817"/>
      <c r="BB180" s="818">
        <v>0</v>
      </c>
      <c r="BC180" s="818">
        <v>0</v>
      </c>
      <c r="BD180" s="818">
        <v>0</v>
      </c>
      <c r="BE180" s="818">
        <v>0</v>
      </c>
      <c r="BF180" s="818">
        <v>0</v>
      </c>
      <c r="BG180" s="818">
        <v>0</v>
      </c>
      <c r="BH180" s="818">
        <v>0</v>
      </c>
      <c r="BI180" s="818">
        <v>0</v>
      </c>
      <c r="BJ180" s="808"/>
      <c r="BK180" s="508"/>
      <c r="BL180" s="509"/>
      <c r="BM180" s="509"/>
      <c r="BN180" s="509"/>
      <c r="BO180" s="509"/>
      <c r="BP180" s="509"/>
      <c r="BQ180" s="509"/>
      <c r="BR180" s="509"/>
      <c r="BS180" s="509"/>
      <c r="BT180" s="509"/>
      <c r="BU180" s="509"/>
      <c r="BV180" s="509"/>
      <c r="BW180" s="509"/>
      <c r="BX180" s="509"/>
      <c r="BY180" s="509"/>
      <c r="BZ180" s="509"/>
      <c r="CA180" s="509"/>
      <c r="CB180" s="509"/>
      <c r="CC180" s="509"/>
      <c r="CD180" s="509"/>
      <c r="CE180" s="509"/>
      <c r="CF180" s="509"/>
      <c r="CG180" s="509"/>
      <c r="CH180" s="509"/>
      <c r="CI180" s="509"/>
      <c r="CJ180" s="509"/>
      <c r="CK180" s="509"/>
    </row>
    <row r="181" spans="2:89" s="501" customFormat="1" ht="14" customHeight="1">
      <c r="B181" s="810"/>
      <c r="C181" s="803" t="s">
        <v>4117</v>
      </c>
      <c r="D181" s="803"/>
      <c r="E181" s="803"/>
      <c r="F181" s="803" t="s">
        <v>4118</v>
      </c>
      <c r="G181" s="814"/>
      <c r="H181" s="815"/>
      <c r="I181" s="815"/>
      <c r="J181" s="815"/>
      <c r="K181" s="815"/>
      <c r="L181" s="815"/>
      <c r="M181" s="815"/>
      <c r="N181" s="815"/>
      <c r="O181" s="815"/>
      <c r="P181" s="815"/>
      <c r="Q181" s="815"/>
      <c r="R181" s="815"/>
      <c r="S181" s="815"/>
      <c r="T181" s="815"/>
      <c r="U181" s="815"/>
      <c r="V181" s="815"/>
      <c r="W181" s="815"/>
      <c r="X181" s="815"/>
      <c r="Y181" s="815"/>
      <c r="Z181" s="815"/>
      <c r="AA181" s="815"/>
      <c r="AB181" s="815"/>
      <c r="AC181" s="815"/>
      <c r="AD181" s="815"/>
      <c r="AE181" s="815"/>
      <c r="AF181" s="815"/>
      <c r="AG181" s="815"/>
      <c r="AH181" s="815"/>
      <c r="AI181" s="815"/>
      <c r="AJ181" s="815"/>
      <c r="AK181" s="815"/>
      <c r="AL181" s="815"/>
      <c r="AM181" s="815"/>
      <c r="AN181" s="815"/>
      <c r="AO181" s="815"/>
      <c r="AP181" s="815"/>
      <c r="AQ181" s="815"/>
      <c r="AR181" s="815"/>
      <c r="AS181" s="815"/>
      <c r="AT181" s="815"/>
      <c r="AU181" s="815"/>
      <c r="AV181" s="815"/>
      <c r="AW181" s="815"/>
      <c r="AX181" s="802"/>
      <c r="AY181" s="816"/>
      <c r="AZ181" s="816"/>
      <c r="BA181" s="817"/>
      <c r="BB181" s="818">
        <v>0</v>
      </c>
      <c r="BC181" s="818">
        <v>0</v>
      </c>
      <c r="BD181" s="818">
        <v>0</v>
      </c>
      <c r="BE181" s="818">
        <v>0</v>
      </c>
      <c r="BF181" s="818">
        <v>0</v>
      </c>
      <c r="BG181" s="818">
        <v>0</v>
      </c>
      <c r="BH181" s="818">
        <v>0</v>
      </c>
      <c r="BI181" s="818">
        <v>0</v>
      </c>
      <c r="BJ181" s="808"/>
      <c r="BK181" s="508"/>
      <c r="BL181" s="509"/>
      <c r="BM181" s="509"/>
      <c r="BN181" s="509"/>
      <c r="BO181" s="509"/>
      <c r="BP181" s="509"/>
      <c r="BQ181" s="509"/>
      <c r="BR181" s="509"/>
      <c r="BS181" s="509"/>
      <c r="BT181" s="509"/>
      <c r="BU181" s="509"/>
      <c r="BV181" s="509"/>
      <c r="BW181" s="509"/>
      <c r="BX181" s="509"/>
      <c r="BY181" s="509"/>
      <c r="BZ181" s="509"/>
      <c r="CA181" s="509"/>
      <c r="CB181" s="509"/>
      <c r="CC181" s="509"/>
      <c r="CD181" s="509"/>
      <c r="CE181" s="509"/>
      <c r="CF181" s="509"/>
      <c r="CG181" s="509"/>
      <c r="CH181" s="509"/>
      <c r="CI181" s="509"/>
      <c r="CJ181" s="509"/>
      <c r="CK181" s="509"/>
    </row>
    <row r="182" spans="2:89" s="501" customFormat="1" ht="14" customHeight="1">
      <c r="B182" s="810"/>
      <c r="C182" s="803"/>
      <c r="D182" s="803"/>
      <c r="E182" s="803"/>
      <c r="F182" s="803"/>
      <c r="G182" s="814"/>
      <c r="H182" s="815"/>
      <c r="I182" s="815"/>
      <c r="J182" s="815"/>
      <c r="K182" s="815"/>
      <c r="L182" s="815"/>
      <c r="M182" s="815"/>
      <c r="N182" s="815"/>
      <c r="O182" s="815"/>
      <c r="P182" s="815"/>
      <c r="Q182" s="815"/>
      <c r="R182" s="815"/>
      <c r="S182" s="815"/>
      <c r="T182" s="815"/>
      <c r="U182" s="815"/>
      <c r="V182" s="815"/>
      <c r="W182" s="815"/>
      <c r="X182" s="815"/>
      <c r="Y182" s="815"/>
      <c r="Z182" s="815"/>
      <c r="AA182" s="815"/>
      <c r="AB182" s="815"/>
      <c r="AC182" s="815"/>
      <c r="AD182" s="815"/>
      <c r="AE182" s="815"/>
      <c r="AF182" s="815"/>
      <c r="AG182" s="815"/>
      <c r="AH182" s="815"/>
      <c r="AI182" s="815"/>
      <c r="AJ182" s="815"/>
      <c r="AK182" s="815"/>
      <c r="AL182" s="815"/>
      <c r="AM182" s="815"/>
      <c r="AN182" s="815"/>
      <c r="AO182" s="815"/>
      <c r="AP182" s="815"/>
      <c r="AQ182" s="815"/>
      <c r="AR182" s="815"/>
      <c r="AS182" s="815"/>
      <c r="AT182" s="815"/>
      <c r="AU182" s="815"/>
      <c r="AV182" s="815"/>
      <c r="AW182" s="815"/>
      <c r="AX182" s="802"/>
      <c r="AY182" s="816"/>
      <c r="AZ182" s="816"/>
      <c r="BA182" s="817"/>
      <c r="BB182" s="818"/>
      <c r="BC182" s="818"/>
      <c r="BD182" s="818"/>
      <c r="BE182" s="818"/>
      <c r="BF182" s="818"/>
      <c r="BG182" s="818"/>
      <c r="BH182" s="818"/>
      <c r="BI182" s="818">
        <v>0</v>
      </c>
      <c r="BJ182" s="808"/>
      <c r="BK182" s="508"/>
      <c r="BL182" s="509"/>
      <c r="BM182" s="509"/>
      <c r="BN182" s="509"/>
      <c r="BO182" s="509"/>
      <c r="BP182" s="509"/>
      <c r="BQ182" s="509"/>
      <c r="BR182" s="509"/>
      <c r="BS182" s="509"/>
      <c r="BT182" s="509"/>
      <c r="BU182" s="509"/>
      <c r="BV182" s="509"/>
      <c r="BW182" s="509"/>
      <c r="BX182" s="509"/>
      <c r="BY182" s="509"/>
      <c r="BZ182" s="509"/>
      <c r="CA182" s="509"/>
      <c r="CB182" s="509"/>
      <c r="CC182" s="509"/>
      <c r="CD182" s="509"/>
      <c r="CE182" s="509"/>
      <c r="CF182" s="509"/>
      <c r="CG182" s="509"/>
      <c r="CH182" s="509"/>
      <c r="CI182" s="509"/>
      <c r="CJ182" s="509"/>
      <c r="CK182" s="509"/>
    </row>
    <row r="183" spans="2:89" s="501" customFormat="1" ht="14" customHeight="1">
      <c r="B183" s="810"/>
      <c r="C183" s="803" t="s">
        <v>4119</v>
      </c>
      <c r="D183" s="803"/>
      <c r="E183" s="803"/>
      <c r="F183" s="803" t="s">
        <v>4120</v>
      </c>
      <c r="G183" s="814"/>
      <c r="H183" s="815"/>
      <c r="I183" s="815"/>
      <c r="J183" s="815"/>
      <c r="K183" s="815"/>
      <c r="L183" s="815"/>
      <c r="M183" s="815"/>
      <c r="N183" s="815"/>
      <c r="O183" s="815"/>
      <c r="P183" s="815"/>
      <c r="Q183" s="815"/>
      <c r="R183" s="815"/>
      <c r="S183" s="815"/>
      <c r="T183" s="815"/>
      <c r="U183" s="815"/>
      <c r="V183" s="815"/>
      <c r="W183" s="815"/>
      <c r="X183" s="815"/>
      <c r="Y183" s="815"/>
      <c r="Z183" s="815"/>
      <c r="AA183" s="815"/>
      <c r="AB183" s="815"/>
      <c r="AC183" s="815"/>
      <c r="AD183" s="815"/>
      <c r="AE183" s="815"/>
      <c r="AF183" s="815"/>
      <c r="AG183" s="815"/>
      <c r="AH183" s="815"/>
      <c r="AI183" s="815"/>
      <c r="AJ183" s="815"/>
      <c r="AK183" s="815"/>
      <c r="AL183" s="815"/>
      <c r="AM183" s="815"/>
      <c r="AN183" s="815"/>
      <c r="AO183" s="815"/>
      <c r="AP183" s="815"/>
      <c r="AQ183" s="815"/>
      <c r="AR183" s="815"/>
      <c r="AS183" s="815"/>
      <c r="AT183" s="815"/>
      <c r="AU183" s="815"/>
      <c r="AV183" s="815"/>
      <c r="AW183" s="815"/>
      <c r="AX183" s="802"/>
      <c r="AY183" s="816"/>
      <c r="AZ183" s="816"/>
      <c r="BA183" s="817"/>
      <c r="BB183" s="818">
        <v>0</v>
      </c>
      <c r="BC183" s="818">
        <v>0</v>
      </c>
      <c r="BD183" s="818">
        <v>0</v>
      </c>
      <c r="BE183" s="818">
        <v>0</v>
      </c>
      <c r="BF183" s="818">
        <v>0</v>
      </c>
      <c r="BG183" s="818">
        <v>0</v>
      </c>
      <c r="BH183" s="818">
        <v>0</v>
      </c>
      <c r="BI183" s="818">
        <v>0</v>
      </c>
      <c r="BJ183" s="808"/>
      <c r="BK183" s="508"/>
      <c r="BL183" s="509"/>
      <c r="BM183" s="509"/>
      <c r="BN183" s="509"/>
      <c r="BO183" s="509"/>
      <c r="BP183" s="509"/>
      <c r="BQ183" s="509"/>
      <c r="BR183" s="509"/>
      <c r="BS183" s="509"/>
      <c r="BT183" s="509"/>
      <c r="BU183" s="509"/>
      <c r="BV183" s="509"/>
      <c r="BW183" s="509"/>
      <c r="BX183" s="509"/>
      <c r="BY183" s="509"/>
      <c r="BZ183" s="509"/>
      <c r="CA183" s="509"/>
      <c r="CB183" s="509"/>
      <c r="CC183" s="509"/>
      <c r="CD183" s="509"/>
      <c r="CE183" s="509"/>
      <c r="CF183" s="509"/>
      <c r="CG183" s="509"/>
      <c r="CH183" s="509"/>
      <c r="CI183" s="509"/>
      <c r="CJ183" s="509"/>
      <c r="CK183" s="509"/>
    </row>
    <row r="184" spans="2:89" s="501" customFormat="1" ht="14" customHeight="1">
      <c r="B184" s="810"/>
      <c r="C184" s="803" t="s">
        <v>4121</v>
      </c>
      <c r="D184" s="803"/>
      <c r="E184" s="803"/>
      <c r="F184" s="803" t="s">
        <v>3851</v>
      </c>
      <c r="G184" s="814"/>
      <c r="H184" s="815"/>
      <c r="I184" s="815"/>
      <c r="J184" s="815"/>
      <c r="K184" s="815"/>
      <c r="L184" s="815"/>
      <c r="M184" s="815"/>
      <c r="N184" s="815"/>
      <c r="O184" s="815"/>
      <c r="P184" s="815"/>
      <c r="Q184" s="815"/>
      <c r="R184" s="815"/>
      <c r="S184" s="815"/>
      <c r="T184" s="815"/>
      <c r="U184" s="815"/>
      <c r="V184" s="815"/>
      <c r="W184" s="815"/>
      <c r="X184" s="815"/>
      <c r="Y184" s="815"/>
      <c r="Z184" s="815"/>
      <c r="AA184" s="815"/>
      <c r="AB184" s="815"/>
      <c r="AC184" s="815"/>
      <c r="AD184" s="815"/>
      <c r="AE184" s="815"/>
      <c r="AF184" s="815"/>
      <c r="AG184" s="815"/>
      <c r="AH184" s="815"/>
      <c r="AI184" s="815"/>
      <c r="AJ184" s="815"/>
      <c r="AK184" s="815"/>
      <c r="AL184" s="815"/>
      <c r="AM184" s="815"/>
      <c r="AN184" s="815"/>
      <c r="AO184" s="815"/>
      <c r="AP184" s="815"/>
      <c r="AQ184" s="815"/>
      <c r="AR184" s="815"/>
      <c r="AS184" s="815"/>
      <c r="AT184" s="815"/>
      <c r="AU184" s="815"/>
      <c r="AV184" s="815"/>
      <c r="AW184" s="815"/>
      <c r="AX184" s="802"/>
      <c r="AY184" s="816"/>
      <c r="AZ184" s="816"/>
      <c r="BA184" s="817"/>
      <c r="BB184" s="818">
        <v>0</v>
      </c>
      <c r="BC184" s="818">
        <v>0</v>
      </c>
      <c r="BD184" s="818">
        <v>0</v>
      </c>
      <c r="BE184" s="818">
        <v>0</v>
      </c>
      <c r="BF184" s="818">
        <v>0</v>
      </c>
      <c r="BG184" s="818">
        <v>0</v>
      </c>
      <c r="BH184" s="818">
        <v>0</v>
      </c>
      <c r="BI184" s="818">
        <v>0</v>
      </c>
      <c r="BJ184" s="808"/>
      <c r="BK184" s="508"/>
      <c r="BL184" s="509"/>
      <c r="BM184" s="509"/>
      <c r="BN184" s="509"/>
      <c r="BO184" s="509"/>
      <c r="BP184" s="509"/>
      <c r="BQ184" s="509"/>
      <c r="BR184" s="509"/>
      <c r="BS184" s="509"/>
      <c r="BT184" s="509"/>
      <c r="BU184" s="509"/>
      <c r="BV184" s="509"/>
      <c r="BW184" s="509"/>
      <c r="BX184" s="509"/>
      <c r="BY184" s="509"/>
      <c r="BZ184" s="509"/>
      <c r="CA184" s="509"/>
      <c r="CB184" s="509"/>
      <c r="CC184" s="509"/>
      <c r="CD184" s="509"/>
      <c r="CE184" s="509"/>
      <c r="CF184" s="509"/>
      <c r="CG184" s="509"/>
      <c r="CH184" s="509"/>
      <c r="CI184" s="509"/>
      <c r="CJ184" s="509"/>
      <c r="CK184" s="509"/>
    </row>
    <row r="185" spans="2:89" s="501" customFormat="1" ht="14" customHeight="1">
      <c r="B185" s="810"/>
      <c r="C185" s="803" t="s">
        <v>419</v>
      </c>
      <c r="D185" s="803"/>
      <c r="E185" s="803"/>
      <c r="F185" s="803" t="s">
        <v>413</v>
      </c>
      <c r="G185" s="814"/>
      <c r="H185" s="815"/>
      <c r="I185" s="815"/>
      <c r="J185" s="815"/>
      <c r="K185" s="815"/>
      <c r="L185" s="815"/>
      <c r="M185" s="815"/>
      <c r="N185" s="815"/>
      <c r="O185" s="815"/>
      <c r="P185" s="815"/>
      <c r="Q185" s="815"/>
      <c r="R185" s="815"/>
      <c r="S185" s="815"/>
      <c r="T185" s="815"/>
      <c r="U185" s="815"/>
      <c r="V185" s="815"/>
      <c r="W185" s="815"/>
      <c r="X185" s="815"/>
      <c r="Y185" s="815"/>
      <c r="Z185" s="815"/>
      <c r="AA185" s="815"/>
      <c r="AB185" s="815"/>
      <c r="AC185" s="815"/>
      <c r="AD185" s="815"/>
      <c r="AE185" s="815"/>
      <c r="AF185" s="815"/>
      <c r="AG185" s="815"/>
      <c r="AH185" s="815"/>
      <c r="AI185" s="815"/>
      <c r="AJ185" s="815"/>
      <c r="AK185" s="815"/>
      <c r="AL185" s="815"/>
      <c r="AM185" s="815"/>
      <c r="AN185" s="815"/>
      <c r="AO185" s="815"/>
      <c r="AP185" s="815"/>
      <c r="AQ185" s="815"/>
      <c r="AR185" s="815"/>
      <c r="AS185" s="815"/>
      <c r="AT185" s="815"/>
      <c r="AU185" s="815"/>
      <c r="AV185" s="815"/>
      <c r="AW185" s="815"/>
      <c r="AX185" s="802"/>
      <c r="AY185" s="816"/>
      <c r="AZ185" s="816"/>
      <c r="BA185" s="817"/>
      <c r="BB185" s="818">
        <v>892.19874311583715</v>
      </c>
      <c r="BC185" s="818">
        <v>965.02565326059425</v>
      </c>
      <c r="BD185" s="818">
        <v>1224.4699473417854</v>
      </c>
      <c r="BE185" s="818">
        <v>1536.2223409634682</v>
      </c>
      <c r="BF185" s="818">
        <v>1855.1541807371295</v>
      </c>
      <c r="BG185" s="818">
        <v>2213.4065419870331</v>
      </c>
      <c r="BH185" s="818">
        <v>2618.445961849392</v>
      </c>
      <c r="BI185" s="818">
        <v>1412.4976403078967</v>
      </c>
      <c r="BJ185" s="808"/>
      <c r="BK185" s="508"/>
      <c r="BL185" s="509"/>
      <c r="BM185" s="509"/>
      <c r="BN185" s="509"/>
      <c r="BO185" s="509"/>
      <c r="BP185" s="509"/>
      <c r="BQ185" s="509"/>
      <c r="BR185" s="509"/>
      <c r="BS185" s="509"/>
      <c r="BT185" s="509"/>
      <c r="BU185" s="509"/>
      <c r="BV185" s="509"/>
      <c r="BW185" s="509"/>
      <c r="BX185" s="509"/>
      <c r="BY185" s="509"/>
      <c r="BZ185" s="509"/>
      <c r="CA185" s="509"/>
      <c r="CB185" s="509"/>
      <c r="CC185" s="509"/>
      <c r="CD185" s="509"/>
      <c r="CE185" s="509"/>
      <c r="CF185" s="509"/>
      <c r="CG185" s="509"/>
      <c r="CH185" s="509"/>
      <c r="CI185" s="509"/>
      <c r="CJ185" s="509"/>
      <c r="CK185" s="509"/>
    </row>
    <row r="186" spans="2:89" s="501" customFormat="1" ht="14" customHeight="1">
      <c r="B186" s="810"/>
      <c r="C186" s="803" t="s">
        <v>4122</v>
      </c>
      <c r="D186" s="803"/>
      <c r="E186" s="803"/>
      <c r="F186" s="803" t="s">
        <v>3852</v>
      </c>
      <c r="G186" s="814"/>
      <c r="H186" s="815"/>
      <c r="I186" s="815"/>
      <c r="J186" s="815"/>
      <c r="K186" s="815"/>
      <c r="L186" s="815"/>
      <c r="M186" s="815"/>
      <c r="N186" s="815"/>
      <c r="O186" s="815"/>
      <c r="P186" s="815"/>
      <c r="Q186" s="815"/>
      <c r="R186" s="815"/>
      <c r="S186" s="815"/>
      <c r="T186" s="815"/>
      <c r="U186" s="815"/>
      <c r="V186" s="815"/>
      <c r="W186" s="815"/>
      <c r="X186" s="815"/>
      <c r="Y186" s="815"/>
      <c r="Z186" s="815"/>
      <c r="AA186" s="815"/>
      <c r="AB186" s="815"/>
      <c r="AC186" s="815"/>
      <c r="AD186" s="815"/>
      <c r="AE186" s="815"/>
      <c r="AF186" s="815"/>
      <c r="AG186" s="815"/>
      <c r="AH186" s="815"/>
      <c r="AI186" s="815"/>
      <c r="AJ186" s="815"/>
      <c r="AK186" s="815"/>
      <c r="AL186" s="815"/>
      <c r="AM186" s="815"/>
      <c r="AN186" s="815"/>
      <c r="AO186" s="815"/>
      <c r="AP186" s="815"/>
      <c r="AQ186" s="815"/>
      <c r="AR186" s="815"/>
      <c r="AS186" s="815"/>
      <c r="AT186" s="815"/>
      <c r="AU186" s="815"/>
      <c r="AV186" s="815"/>
      <c r="AW186" s="815"/>
      <c r="AX186" s="802"/>
      <c r="AY186" s="816"/>
      <c r="AZ186" s="816"/>
      <c r="BA186" s="817"/>
      <c r="BB186" s="818">
        <v>400.3177881803266</v>
      </c>
      <c r="BC186" s="818">
        <v>360.34892263806285</v>
      </c>
      <c r="BD186" s="818">
        <v>500.60171733442263</v>
      </c>
      <c r="BE186" s="818">
        <v>578.39145002231749</v>
      </c>
      <c r="BF186" s="818">
        <v>634.21135477292717</v>
      </c>
      <c r="BG186" s="818">
        <v>662.17639871420454</v>
      </c>
      <c r="BH186" s="818">
        <v>648.49150843050961</v>
      </c>
      <c r="BI186" s="818">
        <v>548.72526928829802</v>
      </c>
      <c r="BJ186" s="808"/>
      <c r="BK186" s="508"/>
      <c r="BL186" s="509"/>
      <c r="BM186" s="509"/>
      <c r="BN186" s="509"/>
      <c r="BO186" s="509"/>
      <c r="BP186" s="509"/>
      <c r="BQ186" s="509"/>
      <c r="BR186" s="509"/>
      <c r="BS186" s="509"/>
      <c r="BT186" s="509"/>
      <c r="BU186" s="509"/>
      <c r="BV186" s="509"/>
      <c r="BW186" s="509"/>
      <c r="BX186" s="509"/>
      <c r="BY186" s="509"/>
      <c r="BZ186" s="509"/>
      <c r="CA186" s="509"/>
      <c r="CB186" s="509"/>
      <c r="CC186" s="509"/>
      <c r="CD186" s="509"/>
      <c r="CE186" s="509"/>
      <c r="CF186" s="509"/>
      <c r="CG186" s="509"/>
      <c r="CH186" s="509"/>
      <c r="CI186" s="509"/>
      <c r="CJ186" s="509"/>
      <c r="CK186" s="509"/>
    </row>
    <row r="187" spans="2:89" s="501" customFormat="1" ht="14" customHeight="1">
      <c r="B187" s="810"/>
      <c r="C187" s="803" t="s">
        <v>4123</v>
      </c>
      <c r="D187" s="803"/>
      <c r="E187" s="803"/>
      <c r="F187" s="803" t="s">
        <v>3854</v>
      </c>
      <c r="G187" s="814"/>
      <c r="H187" s="815"/>
      <c r="I187" s="815"/>
      <c r="J187" s="815"/>
      <c r="K187" s="815"/>
      <c r="L187" s="815"/>
      <c r="M187" s="815"/>
      <c r="N187" s="815"/>
      <c r="O187" s="815"/>
      <c r="P187" s="815"/>
      <c r="Q187" s="815"/>
      <c r="R187" s="815"/>
      <c r="S187" s="815"/>
      <c r="T187" s="815"/>
      <c r="U187" s="815"/>
      <c r="V187" s="815"/>
      <c r="W187" s="815"/>
      <c r="X187" s="815"/>
      <c r="Y187" s="815"/>
      <c r="Z187" s="815"/>
      <c r="AA187" s="815"/>
      <c r="AB187" s="815"/>
      <c r="AC187" s="815"/>
      <c r="AD187" s="815"/>
      <c r="AE187" s="815"/>
      <c r="AF187" s="815"/>
      <c r="AG187" s="815"/>
      <c r="AH187" s="815"/>
      <c r="AI187" s="815"/>
      <c r="AJ187" s="815"/>
      <c r="AK187" s="815"/>
      <c r="AL187" s="815"/>
      <c r="AM187" s="815"/>
      <c r="AN187" s="815"/>
      <c r="AO187" s="815"/>
      <c r="AP187" s="815"/>
      <c r="AQ187" s="815"/>
      <c r="AR187" s="815"/>
      <c r="AS187" s="815"/>
      <c r="AT187" s="815"/>
      <c r="AU187" s="815"/>
      <c r="AV187" s="815"/>
      <c r="AW187" s="815"/>
      <c r="AX187" s="802"/>
      <c r="AY187" s="816"/>
      <c r="AZ187" s="816"/>
      <c r="BA187" s="817"/>
      <c r="BB187" s="818">
        <v>78.428926130149875</v>
      </c>
      <c r="BC187" s="818">
        <v>84.269671155223762</v>
      </c>
      <c r="BD187" s="818">
        <v>99.546990166980237</v>
      </c>
      <c r="BE187" s="818">
        <v>115.37243488208934</v>
      </c>
      <c r="BF187" s="818">
        <v>128.48006565400749</v>
      </c>
      <c r="BG187" s="818">
        <v>138.37690097960808</v>
      </c>
      <c r="BH187" s="818">
        <v>143.59107320845052</v>
      </c>
      <c r="BI187" s="818">
        <v>109.0178192490046</v>
      </c>
      <c r="BJ187" s="808"/>
      <c r="BK187" s="508"/>
      <c r="BL187" s="509"/>
      <c r="BM187" s="509"/>
      <c r="BN187" s="509"/>
      <c r="BO187" s="509"/>
      <c r="BP187" s="509"/>
      <c r="BQ187" s="509"/>
      <c r="BR187" s="509"/>
      <c r="BS187" s="509"/>
      <c r="BT187" s="509"/>
      <c r="BU187" s="509"/>
      <c r="BV187" s="509"/>
      <c r="BW187" s="509"/>
      <c r="BX187" s="509"/>
      <c r="BY187" s="509"/>
      <c r="BZ187" s="509"/>
      <c r="CA187" s="509"/>
      <c r="CB187" s="509"/>
      <c r="CC187" s="509"/>
      <c r="CD187" s="509"/>
      <c r="CE187" s="509"/>
      <c r="CF187" s="509"/>
      <c r="CG187" s="509"/>
      <c r="CH187" s="509"/>
      <c r="CI187" s="509"/>
      <c r="CJ187" s="509"/>
      <c r="CK187" s="509"/>
    </row>
    <row r="188" spans="2:89" s="501" customFormat="1" ht="14" customHeight="1">
      <c r="B188" s="810"/>
      <c r="C188" s="803" t="s">
        <v>429</v>
      </c>
      <c r="D188" s="803"/>
      <c r="E188" s="803"/>
      <c r="F188" s="803" t="s">
        <v>428</v>
      </c>
      <c r="G188" s="814"/>
      <c r="H188" s="815"/>
      <c r="I188" s="815"/>
      <c r="J188" s="815"/>
      <c r="K188" s="815"/>
      <c r="L188" s="815"/>
      <c r="M188" s="815"/>
      <c r="N188" s="815"/>
      <c r="O188" s="815"/>
      <c r="P188" s="815"/>
      <c r="Q188" s="815"/>
      <c r="R188" s="815"/>
      <c r="S188" s="815"/>
      <c r="T188" s="815"/>
      <c r="U188" s="815"/>
      <c r="V188" s="815"/>
      <c r="W188" s="815"/>
      <c r="X188" s="815"/>
      <c r="Y188" s="815"/>
      <c r="Z188" s="815"/>
      <c r="AA188" s="815"/>
      <c r="AB188" s="815"/>
      <c r="AC188" s="815"/>
      <c r="AD188" s="815"/>
      <c r="AE188" s="815"/>
      <c r="AF188" s="815"/>
      <c r="AG188" s="815"/>
      <c r="AH188" s="815"/>
      <c r="AI188" s="815"/>
      <c r="AJ188" s="815"/>
      <c r="AK188" s="815"/>
      <c r="AL188" s="815"/>
      <c r="AM188" s="815"/>
      <c r="AN188" s="815"/>
      <c r="AO188" s="815"/>
      <c r="AP188" s="815"/>
      <c r="AQ188" s="815"/>
      <c r="AR188" s="815"/>
      <c r="AS188" s="815"/>
      <c r="AT188" s="815"/>
      <c r="AU188" s="815"/>
      <c r="AV188" s="815"/>
      <c r="AW188" s="815"/>
      <c r="AX188" s="802"/>
      <c r="AY188" s="816"/>
      <c r="AZ188" s="816"/>
      <c r="BA188" s="817"/>
      <c r="BB188" s="818">
        <v>50.155427954596341</v>
      </c>
      <c r="BC188" s="818">
        <v>54.170800367969669</v>
      </c>
      <c r="BD188" s="818">
        <v>65.673511959087833</v>
      </c>
      <c r="BE188" s="818">
        <v>79.703158146583959</v>
      </c>
      <c r="BF188" s="818">
        <v>80.595570412840118</v>
      </c>
      <c r="BG188" s="818">
        <v>78.780968123998846</v>
      </c>
      <c r="BH188" s="818">
        <v>75.853373801858382</v>
      </c>
      <c r="BI188" s="818">
        <v>73.702924587950093</v>
      </c>
      <c r="BJ188" s="808"/>
      <c r="BK188" s="819"/>
      <c r="BL188" s="509"/>
      <c r="BM188" s="509"/>
      <c r="BN188" s="509"/>
      <c r="BO188" s="509"/>
      <c r="BP188" s="509"/>
      <c r="BQ188" s="509"/>
      <c r="BR188" s="509"/>
      <c r="BS188" s="509"/>
      <c r="BT188" s="509"/>
      <c r="BU188" s="509"/>
      <c r="BV188" s="509"/>
      <c r="BW188" s="509"/>
      <c r="BX188" s="509"/>
      <c r="BY188" s="509"/>
      <c r="BZ188" s="509"/>
      <c r="CA188" s="509"/>
      <c r="CB188" s="509"/>
      <c r="CC188" s="509"/>
      <c r="CD188" s="509"/>
      <c r="CE188" s="509"/>
      <c r="CF188" s="509"/>
      <c r="CG188" s="509"/>
      <c r="CH188" s="509"/>
      <c r="CI188" s="509"/>
      <c r="CJ188" s="509"/>
      <c r="CK188" s="509"/>
    </row>
    <row r="189" spans="2:89" s="501" customFormat="1" ht="14" customHeight="1">
      <c r="B189" s="810"/>
      <c r="C189" s="803" t="s">
        <v>4124</v>
      </c>
      <c r="D189" s="803"/>
      <c r="E189" s="803"/>
      <c r="F189" s="803" t="s">
        <v>4125</v>
      </c>
      <c r="G189" s="814"/>
      <c r="H189" s="815"/>
      <c r="I189" s="815"/>
      <c r="J189" s="815"/>
      <c r="K189" s="815"/>
      <c r="L189" s="815"/>
      <c r="M189" s="815"/>
      <c r="N189" s="815"/>
      <c r="O189" s="815"/>
      <c r="P189" s="815"/>
      <c r="Q189" s="815"/>
      <c r="R189" s="815"/>
      <c r="S189" s="815"/>
      <c r="T189" s="815"/>
      <c r="U189" s="815"/>
      <c r="V189" s="815"/>
      <c r="W189" s="815"/>
      <c r="X189" s="815"/>
      <c r="Y189" s="815"/>
      <c r="Z189" s="815"/>
      <c r="AA189" s="815"/>
      <c r="AB189" s="815"/>
      <c r="AC189" s="815"/>
      <c r="AD189" s="815"/>
      <c r="AE189" s="815"/>
      <c r="AF189" s="815"/>
      <c r="AG189" s="815"/>
      <c r="AH189" s="815"/>
      <c r="AI189" s="815"/>
      <c r="AJ189" s="815"/>
      <c r="AK189" s="815"/>
      <c r="AL189" s="815"/>
      <c r="AM189" s="815"/>
      <c r="AN189" s="815"/>
      <c r="AO189" s="815"/>
      <c r="AP189" s="815"/>
      <c r="AQ189" s="815"/>
      <c r="AR189" s="815"/>
      <c r="AS189" s="815"/>
      <c r="AT189" s="815"/>
      <c r="AU189" s="815"/>
      <c r="AV189" s="815"/>
      <c r="AW189" s="815"/>
      <c r="AX189" s="802"/>
      <c r="AY189" s="816"/>
      <c r="AZ189" s="816"/>
      <c r="BA189" s="817"/>
      <c r="BB189" s="818">
        <v>23.725664636824927</v>
      </c>
      <c r="BC189" s="818">
        <v>25.207342295608466</v>
      </c>
      <c r="BD189" s="818">
        <v>29.687178551686532</v>
      </c>
      <c r="BE189" s="818">
        <v>34.314167615186101</v>
      </c>
      <c r="BF189" s="818">
        <v>39.309826912103787</v>
      </c>
      <c r="BG189" s="818">
        <v>45.231064666794794</v>
      </c>
      <c r="BH189" s="818">
        <v>51.637789848621999</v>
      </c>
      <c r="BI189" s="818">
        <v>32.540521397184875</v>
      </c>
      <c r="BJ189" s="808"/>
      <c r="BK189" s="508"/>
      <c r="BL189" s="509"/>
      <c r="BM189" s="509"/>
      <c r="BN189" s="509"/>
      <c r="BO189" s="509"/>
      <c r="BP189" s="509"/>
      <c r="BQ189" s="509"/>
      <c r="BR189" s="509"/>
      <c r="BS189" s="509"/>
      <c r="BT189" s="509"/>
      <c r="BU189" s="509"/>
      <c r="BV189" s="509"/>
      <c r="BW189" s="509"/>
      <c r="BX189" s="509"/>
      <c r="BY189" s="509"/>
      <c r="BZ189" s="509"/>
      <c r="CA189" s="509"/>
      <c r="CB189" s="509"/>
      <c r="CC189" s="509"/>
      <c r="CD189" s="509"/>
      <c r="CE189" s="509"/>
      <c r="CF189" s="509"/>
      <c r="CG189" s="509"/>
      <c r="CH189" s="509"/>
      <c r="CI189" s="509"/>
      <c r="CJ189" s="509"/>
      <c r="CK189" s="509"/>
    </row>
    <row r="190" spans="2:89" s="501" customFormat="1" ht="14" customHeight="1">
      <c r="B190" s="810"/>
      <c r="C190" s="803" t="s">
        <v>431</v>
      </c>
      <c r="D190" s="803"/>
      <c r="E190" s="803"/>
      <c r="F190" s="803" t="s">
        <v>430</v>
      </c>
      <c r="G190" s="814"/>
      <c r="H190" s="815"/>
      <c r="I190" s="815"/>
      <c r="J190" s="815"/>
      <c r="K190" s="815"/>
      <c r="L190" s="815"/>
      <c r="M190" s="815"/>
      <c r="N190" s="815"/>
      <c r="O190" s="815"/>
      <c r="P190" s="815"/>
      <c r="Q190" s="815"/>
      <c r="R190" s="815"/>
      <c r="S190" s="815"/>
      <c r="T190" s="815"/>
      <c r="U190" s="815"/>
      <c r="V190" s="815"/>
      <c r="W190" s="815"/>
      <c r="X190" s="815"/>
      <c r="Y190" s="815"/>
      <c r="Z190" s="815"/>
      <c r="AA190" s="815"/>
      <c r="AB190" s="815"/>
      <c r="AC190" s="815"/>
      <c r="AD190" s="815"/>
      <c r="AE190" s="815"/>
      <c r="AF190" s="815"/>
      <c r="AG190" s="815"/>
      <c r="AH190" s="815"/>
      <c r="AI190" s="815"/>
      <c r="AJ190" s="815"/>
      <c r="AK190" s="815"/>
      <c r="AL190" s="815"/>
      <c r="AM190" s="815"/>
      <c r="AN190" s="815"/>
      <c r="AO190" s="815"/>
      <c r="AP190" s="815"/>
      <c r="AQ190" s="815"/>
      <c r="AR190" s="815"/>
      <c r="AS190" s="815"/>
      <c r="AT190" s="815"/>
      <c r="AU190" s="815"/>
      <c r="AV190" s="815"/>
      <c r="AW190" s="815"/>
      <c r="AX190" s="802"/>
      <c r="AY190" s="816"/>
      <c r="AZ190" s="816"/>
      <c r="BA190" s="817"/>
      <c r="BB190" s="818">
        <v>14.189126735612215</v>
      </c>
      <c r="BC190" s="818">
        <v>16.023556708602058</v>
      </c>
      <c r="BD190" s="818">
        <v>20.343945244438952</v>
      </c>
      <c r="BE190" s="818">
        <v>22.825623826580724</v>
      </c>
      <c r="BF190" s="818">
        <v>23.670354888708538</v>
      </c>
      <c r="BG190" s="818">
        <v>21.694782262655259</v>
      </c>
      <c r="BH190" s="818">
        <v>15.801268268212377</v>
      </c>
      <c r="BI190" s="818">
        <v>21.925906884341128</v>
      </c>
      <c r="BJ190" s="808"/>
      <c r="BK190" s="508"/>
      <c r="BL190" s="509"/>
      <c r="BM190" s="509"/>
      <c r="BN190" s="509"/>
      <c r="BO190" s="509"/>
      <c r="BP190" s="509"/>
      <c r="BQ190" s="509"/>
      <c r="BR190" s="509"/>
      <c r="BS190" s="509"/>
      <c r="BT190" s="509"/>
      <c r="BU190" s="509"/>
      <c r="BV190" s="509"/>
      <c r="BW190" s="509"/>
      <c r="BX190" s="509"/>
      <c r="BY190" s="509"/>
      <c r="BZ190" s="509"/>
      <c r="CA190" s="509"/>
      <c r="CB190" s="509"/>
      <c r="CC190" s="509"/>
      <c r="CD190" s="509"/>
      <c r="CE190" s="509"/>
      <c r="CF190" s="509"/>
      <c r="CG190" s="509"/>
      <c r="CH190" s="509"/>
      <c r="CI190" s="509"/>
      <c r="CJ190" s="509"/>
      <c r="CK190" s="509"/>
    </row>
    <row r="191" spans="2:89" s="501" customFormat="1" ht="14" customHeight="1">
      <c r="B191" s="810"/>
      <c r="C191" s="803" t="s">
        <v>4126</v>
      </c>
      <c r="D191" s="803"/>
      <c r="E191" s="803"/>
      <c r="F191" s="803" t="s">
        <v>4127</v>
      </c>
      <c r="G191" s="814"/>
      <c r="H191" s="815"/>
      <c r="I191" s="815"/>
      <c r="J191" s="815"/>
      <c r="K191" s="815"/>
      <c r="L191" s="815"/>
      <c r="M191" s="815"/>
      <c r="N191" s="815"/>
      <c r="O191" s="815"/>
      <c r="P191" s="815"/>
      <c r="Q191" s="815"/>
      <c r="R191" s="815"/>
      <c r="S191" s="815"/>
      <c r="T191" s="815"/>
      <c r="U191" s="815"/>
      <c r="V191" s="815"/>
      <c r="W191" s="815"/>
      <c r="X191" s="815"/>
      <c r="Y191" s="815"/>
      <c r="Z191" s="815"/>
      <c r="AA191" s="815"/>
      <c r="AB191" s="815"/>
      <c r="AC191" s="815"/>
      <c r="AD191" s="815"/>
      <c r="AE191" s="815"/>
      <c r="AF191" s="815"/>
      <c r="AG191" s="815"/>
      <c r="AH191" s="815"/>
      <c r="AI191" s="815"/>
      <c r="AJ191" s="815"/>
      <c r="AK191" s="815"/>
      <c r="AL191" s="815"/>
      <c r="AM191" s="815"/>
      <c r="AN191" s="815"/>
      <c r="AO191" s="815"/>
      <c r="AP191" s="815"/>
      <c r="AQ191" s="815"/>
      <c r="AR191" s="815"/>
      <c r="AS191" s="815"/>
      <c r="AT191" s="815"/>
      <c r="AU191" s="815"/>
      <c r="AV191" s="815"/>
      <c r="AW191" s="815"/>
      <c r="AX191" s="802"/>
      <c r="AY191" s="816"/>
      <c r="AZ191" s="816"/>
      <c r="BA191" s="817"/>
      <c r="BB191" s="818">
        <v>49.853691356735219</v>
      </c>
      <c r="BC191" s="818">
        <v>48.791129972076689</v>
      </c>
      <c r="BD191" s="818">
        <v>60.877026651692361</v>
      </c>
      <c r="BE191" s="818">
        <v>69.058983673151715</v>
      </c>
      <c r="BF191" s="818">
        <v>74.726738663335496</v>
      </c>
      <c r="BG191" s="818">
        <v>78.551607744358563</v>
      </c>
      <c r="BH191" s="818">
        <v>79.928971369146865</v>
      </c>
      <c r="BI191" s="818">
        <v>65.859349019829068</v>
      </c>
      <c r="BJ191" s="808"/>
      <c r="BK191" s="508"/>
      <c r="BL191" s="509"/>
      <c r="BM191" s="509"/>
      <c r="BN191" s="509"/>
      <c r="BO191" s="509"/>
      <c r="BP191" s="509"/>
      <c r="BQ191" s="509"/>
      <c r="BR191" s="509"/>
      <c r="BS191" s="509"/>
      <c r="BT191" s="509"/>
      <c r="BU191" s="509"/>
      <c r="BV191" s="509"/>
      <c r="BW191" s="509"/>
      <c r="BX191" s="509"/>
      <c r="BY191" s="509"/>
      <c r="BZ191" s="509"/>
      <c r="CA191" s="509"/>
      <c r="CB191" s="509"/>
      <c r="CC191" s="509"/>
      <c r="CD191" s="509"/>
      <c r="CE191" s="509"/>
      <c r="CF191" s="509"/>
      <c r="CG191" s="509"/>
      <c r="CH191" s="509"/>
      <c r="CI191" s="509"/>
      <c r="CJ191" s="509"/>
      <c r="CK191" s="509"/>
    </row>
    <row r="192" spans="2:89" s="501" customFormat="1" ht="14" customHeight="1">
      <c r="B192" s="810"/>
      <c r="C192" s="820" t="s">
        <v>4128</v>
      </c>
      <c r="D192" s="803"/>
      <c r="E192" s="803"/>
      <c r="F192" s="803" t="s">
        <v>4129</v>
      </c>
      <c r="G192" s="803"/>
      <c r="H192" s="811"/>
      <c r="I192" s="811"/>
      <c r="J192" s="811"/>
      <c r="K192" s="811"/>
      <c r="L192" s="811"/>
      <c r="M192" s="811"/>
      <c r="N192" s="811"/>
      <c r="O192" s="811"/>
      <c r="P192" s="811"/>
      <c r="Q192" s="811"/>
      <c r="R192" s="811"/>
      <c r="S192" s="811"/>
      <c r="T192" s="811"/>
      <c r="U192" s="811"/>
      <c r="V192" s="811"/>
      <c r="W192" s="811"/>
      <c r="X192" s="811"/>
      <c r="Y192" s="811"/>
      <c r="Z192" s="811"/>
      <c r="AA192" s="811"/>
      <c r="AB192" s="811"/>
      <c r="AC192" s="811"/>
      <c r="AD192" s="811"/>
      <c r="AE192" s="811"/>
      <c r="AF192" s="811"/>
      <c r="AG192" s="811"/>
      <c r="AH192" s="811"/>
      <c r="AI192" s="811"/>
      <c r="AJ192" s="811"/>
      <c r="AK192" s="811"/>
      <c r="AL192" s="811"/>
      <c r="AM192" s="811"/>
      <c r="AN192" s="811"/>
      <c r="AO192" s="811"/>
      <c r="AP192" s="811"/>
      <c r="AQ192" s="811"/>
      <c r="AR192" s="811"/>
      <c r="AS192" s="811"/>
      <c r="AT192" s="811"/>
      <c r="AU192" s="811"/>
      <c r="AV192" s="811"/>
      <c r="AW192" s="811"/>
      <c r="AX192" s="802"/>
      <c r="AY192" s="816"/>
      <c r="AZ192" s="816"/>
      <c r="BA192" s="817"/>
      <c r="BB192" s="818">
        <v>2480.0336962723541</v>
      </c>
      <c r="BC192" s="818">
        <v>2576.934904616342</v>
      </c>
      <c r="BD192" s="818">
        <v>3196.9164438100638</v>
      </c>
      <c r="BE192" s="818">
        <v>3701.6454125982173</v>
      </c>
      <c r="BF192" s="818">
        <v>4039.0356131660001</v>
      </c>
      <c r="BG192" s="818">
        <v>4364.4265293925928</v>
      </c>
      <c r="BH192" s="818">
        <v>4772.0989322105834</v>
      </c>
      <c r="BI192" s="818">
        <v>3541.5326103267444</v>
      </c>
      <c r="BJ192" s="808"/>
      <c r="BK192" s="508"/>
      <c r="BL192" s="509"/>
      <c r="BM192" s="509"/>
      <c r="BN192" s="509"/>
      <c r="BO192" s="509"/>
      <c r="BP192" s="509"/>
      <c r="BQ192" s="509"/>
      <c r="BR192" s="509"/>
      <c r="BS192" s="509"/>
      <c r="BT192" s="509"/>
      <c r="BU192" s="509"/>
      <c r="BV192" s="509"/>
      <c r="BW192" s="509"/>
      <c r="BX192" s="509"/>
      <c r="BY192" s="509"/>
      <c r="BZ192" s="509"/>
      <c r="CA192" s="509"/>
      <c r="CB192" s="509"/>
      <c r="CC192" s="509"/>
      <c r="CD192" s="509"/>
      <c r="CE192" s="509"/>
      <c r="CF192" s="509"/>
      <c r="CG192" s="509"/>
      <c r="CH192" s="509"/>
      <c r="CI192" s="509"/>
      <c r="CJ192" s="509"/>
      <c r="CK192" s="509"/>
    </row>
    <row r="193" spans="2:89" s="501" customFormat="1" ht="14" customHeight="1">
      <c r="B193" s="810"/>
      <c r="C193" s="820"/>
      <c r="D193" s="803"/>
      <c r="E193" s="803"/>
      <c r="F193" s="803"/>
      <c r="G193" s="803"/>
      <c r="H193" s="811"/>
      <c r="I193" s="811"/>
      <c r="J193" s="811"/>
      <c r="K193" s="811"/>
      <c r="L193" s="811"/>
      <c r="M193" s="811"/>
      <c r="N193" s="811"/>
      <c r="O193" s="811"/>
      <c r="P193" s="811"/>
      <c r="Q193" s="811"/>
      <c r="R193" s="811"/>
      <c r="S193" s="811"/>
      <c r="T193" s="811"/>
      <c r="U193" s="811"/>
      <c r="V193" s="811"/>
      <c r="W193" s="811"/>
      <c r="X193" s="811"/>
      <c r="Y193" s="811"/>
      <c r="Z193" s="811"/>
      <c r="AA193" s="811"/>
      <c r="AB193" s="811"/>
      <c r="AC193" s="811"/>
      <c r="AD193" s="811"/>
      <c r="AE193" s="811"/>
      <c r="AF193" s="811"/>
      <c r="AG193" s="811"/>
      <c r="AH193" s="811"/>
      <c r="AI193" s="811"/>
      <c r="AJ193" s="811"/>
      <c r="AK193" s="811"/>
      <c r="AL193" s="811"/>
      <c r="AM193" s="811"/>
      <c r="AN193" s="811"/>
      <c r="AO193" s="811"/>
      <c r="AP193" s="811"/>
      <c r="AQ193" s="811"/>
      <c r="AR193" s="811"/>
      <c r="AS193" s="811"/>
      <c r="AT193" s="811"/>
      <c r="AU193" s="811"/>
      <c r="AV193" s="811"/>
      <c r="AW193" s="811"/>
      <c r="AX193" s="802"/>
      <c r="AY193" s="816"/>
      <c r="AZ193" s="816"/>
      <c r="BA193" s="817"/>
      <c r="BB193" s="817"/>
      <c r="BC193" s="817"/>
      <c r="BD193" s="817"/>
      <c r="BE193" s="817"/>
      <c r="BF193" s="817"/>
      <c r="BG193" s="817"/>
      <c r="BH193" s="817"/>
      <c r="BI193" s="817"/>
      <c r="BJ193" s="808"/>
      <c r="BK193" s="508"/>
      <c r="BL193" s="509"/>
      <c r="BM193" s="509"/>
      <c r="BN193" s="509"/>
      <c r="BO193" s="509"/>
      <c r="BP193" s="509"/>
      <c r="BQ193" s="509"/>
      <c r="BR193" s="509"/>
      <c r="BS193" s="509"/>
      <c r="BT193" s="509"/>
      <c r="BU193" s="509"/>
      <c r="BV193" s="509"/>
      <c r="BW193" s="509"/>
      <c r="BX193" s="509"/>
      <c r="BY193" s="509"/>
      <c r="BZ193" s="509"/>
      <c r="CA193" s="509"/>
      <c r="CB193" s="509"/>
      <c r="CC193" s="509"/>
      <c r="CD193" s="509"/>
      <c r="CE193" s="509"/>
      <c r="CF193" s="509"/>
      <c r="CG193" s="509"/>
      <c r="CH193" s="509"/>
      <c r="CI193" s="509"/>
      <c r="CJ193" s="509"/>
      <c r="CK193" s="509"/>
    </row>
    <row r="194" spans="2:89" ht="14">
      <c r="B194" s="810"/>
      <c r="C194" s="821" t="s">
        <v>3843</v>
      </c>
      <c r="D194" s="822"/>
      <c r="E194" s="795"/>
      <c r="F194" s="823" t="s">
        <v>3843</v>
      </c>
      <c r="G194" s="824"/>
      <c r="H194" s="825"/>
      <c r="I194" s="825"/>
      <c r="J194" s="825"/>
      <c r="K194" s="825"/>
      <c r="L194" s="825"/>
      <c r="M194" s="825"/>
      <c r="N194" s="825"/>
      <c r="O194" s="825"/>
      <c r="P194" s="825"/>
      <c r="Q194" s="825"/>
      <c r="R194" s="825"/>
      <c r="S194" s="825"/>
      <c r="T194" s="825"/>
      <c r="U194" s="825"/>
      <c r="V194" s="825"/>
      <c r="W194" s="825"/>
      <c r="X194" s="825"/>
      <c r="Y194" s="825"/>
      <c r="Z194" s="825"/>
      <c r="AA194" s="825"/>
      <c r="AB194" s="825"/>
      <c r="AC194" s="825"/>
      <c r="AD194" s="825"/>
      <c r="AE194" s="825"/>
      <c r="AF194" s="825"/>
      <c r="AG194" s="825"/>
      <c r="AH194" s="825"/>
      <c r="AI194" s="825"/>
      <c r="AJ194" s="825"/>
      <c r="AK194" s="825"/>
      <c r="AL194" s="825"/>
      <c r="AM194" s="825"/>
      <c r="AN194" s="825"/>
      <c r="AO194" s="825"/>
      <c r="AP194" s="825"/>
      <c r="AQ194" s="825"/>
      <c r="AR194" s="825"/>
      <c r="AS194" s="825"/>
      <c r="AT194" s="825"/>
      <c r="AU194" s="825"/>
      <c r="AV194" s="825"/>
      <c r="AW194" s="825"/>
      <c r="AX194" s="822" t="s">
        <v>3844</v>
      </c>
      <c r="AY194" s="795"/>
      <c r="AZ194" s="795"/>
      <c r="BA194" s="797"/>
      <c r="BB194" s="826">
        <v>1348.616</v>
      </c>
      <c r="BC194" s="826">
        <v>1374.6379999999999</v>
      </c>
      <c r="BD194" s="826">
        <v>1435.9190000000001</v>
      </c>
      <c r="BE194" s="826">
        <v>1490.1790000000001</v>
      </c>
      <c r="BF194" s="826">
        <v>1534.9639999999999</v>
      </c>
      <c r="BG194" s="826">
        <v>1568.6010000000001</v>
      </c>
      <c r="BH194" s="826">
        <v>1592.0419999999999</v>
      </c>
      <c r="BI194" s="826">
        <v>1469.441</v>
      </c>
      <c r="BJ194" s="798"/>
      <c r="BK194" s="508"/>
      <c r="BL194" s="509"/>
      <c r="BM194" s="509"/>
      <c r="BN194" s="509"/>
      <c r="BO194" s="509"/>
      <c r="BP194" s="509"/>
      <c r="BQ194" s="509"/>
      <c r="BR194" s="509"/>
      <c r="BS194" s="509"/>
      <c r="BT194" s="509"/>
    </row>
    <row r="195" spans="2:89" ht="14">
      <c r="B195" s="803"/>
      <c r="C195" s="827"/>
      <c r="D195" s="828"/>
      <c r="E195" s="829"/>
      <c r="F195" s="830" t="s">
        <v>4130</v>
      </c>
      <c r="G195" s="831"/>
      <c r="H195" s="832"/>
      <c r="I195" s="832"/>
      <c r="J195" s="832"/>
      <c r="K195" s="832"/>
      <c r="L195" s="832"/>
      <c r="M195" s="832"/>
      <c r="N195" s="832"/>
      <c r="O195" s="832"/>
      <c r="P195" s="832"/>
      <c r="Q195" s="832"/>
      <c r="R195" s="832"/>
      <c r="S195" s="832"/>
      <c r="T195" s="832"/>
      <c r="U195" s="832"/>
      <c r="V195" s="832"/>
      <c r="W195" s="832"/>
      <c r="X195" s="832"/>
      <c r="Y195" s="832"/>
      <c r="Z195" s="832"/>
      <c r="AA195" s="832"/>
      <c r="AB195" s="832"/>
      <c r="AC195" s="832"/>
      <c r="AD195" s="832"/>
      <c r="AE195" s="832"/>
      <c r="AF195" s="832"/>
      <c r="AG195" s="832"/>
      <c r="AH195" s="832"/>
      <c r="AI195" s="832"/>
      <c r="AJ195" s="832"/>
      <c r="AK195" s="832"/>
      <c r="AL195" s="832"/>
      <c r="AM195" s="832"/>
      <c r="AN195" s="832"/>
      <c r="AO195" s="832"/>
      <c r="AP195" s="832"/>
      <c r="AQ195" s="832"/>
      <c r="AR195" s="832"/>
      <c r="AS195" s="832"/>
      <c r="AT195" s="832"/>
      <c r="AU195" s="832"/>
      <c r="AV195" s="832"/>
      <c r="AW195" s="832"/>
      <c r="AX195" s="828" t="s">
        <v>4131</v>
      </c>
      <c r="AY195" s="833"/>
      <c r="AZ195" s="833"/>
      <c r="BA195" s="834"/>
      <c r="BB195" s="834">
        <v>1.8389472587247624</v>
      </c>
      <c r="BC195" s="834">
        <v>1.8746280145146157</v>
      </c>
      <c r="BD195" s="834">
        <v>2.2263905163244329</v>
      </c>
      <c r="BE195" s="834">
        <v>2.484027363557141</v>
      </c>
      <c r="BF195" s="834">
        <v>2.6313552716324291</v>
      </c>
      <c r="BG195" s="834">
        <v>2.7823688301821767</v>
      </c>
      <c r="BH195" s="834">
        <v>2.9974705015386425</v>
      </c>
      <c r="BI195" s="834">
        <v>2.4101223596774175</v>
      </c>
      <c r="BJ195" s="798"/>
      <c r="BK195" s="508"/>
      <c r="BL195" s="509"/>
      <c r="BM195" s="509"/>
      <c r="BN195" s="509"/>
      <c r="BO195" s="509"/>
      <c r="BP195" s="509"/>
      <c r="BQ195" s="509"/>
      <c r="BR195" s="509"/>
      <c r="BS195" s="509"/>
    </row>
    <row r="196" spans="2:89" ht="14">
      <c r="B196" s="800"/>
      <c r="C196" s="795"/>
      <c r="D196" s="795"/>
      <c r="E196" s="795"/>
      <c r="F196" s="795"/>
      <c r="G196" s="795"/>
      <c r="H196" s="796"/>
      <c r="I196" s="796"/>
      <c r="J196" s="796"/>
      <c r="K196" s="796"/>
      <c r="L196" s="796"/>
      <c r="M196" s="796"/>
      <c r="N196" s="796"/>
      <c r="O196" s="796"/>
      <c r="P196" s="796"/>
      <c r="Q196" s="796"/>
      <c r="R196" s="796"/>
      <c r="S196" s="796"/>
      <c r="T196" s="796"/>
      <c r="U196" s="796"/>
      <c r="V196" s="796"/>
      <c r="W196" s="796"/>
      <c r="X196" s="796"/>
      <c r="Y196" s="796"/>
      <c r="Z196" s="796"/>
      <c r="AA196" s="796"/>
      <c r="AB196" s="796"/>
      <c r="AC196" s="796"/>
      <c r="AD196" s="796"/>
      <c r="AE196" s="796"/>
      <c r="AF196" s="796"/>
      <c r="AG196" s="796"/>
      <c r="AH196" s="796"/>
      <c r="AI196" s="796"/>
      <c r="AJ196" s="796"/>
      <c r="AK196" s="796"/>
      <c r="AL196" s="796"/>
      <c r="AM196" s="796"/>
      <c r="AN196" s="796"/>
      <c r="AO196" s="796"/>
      <c r="AP196" s="796"/>
      <c r="AQ196" s="796"/>
      <c r="AR196" s="796"/>
      <c r="AS196" s="796"/>
      <c r="AT196" s="796"/>
      <c r="AU196" s="796"/>
      <c r="AV196" s="796"/>
      <c r="AW196" s="796"/>
      <c r="AX196" s="795"/>
      <c r="AY196" s="795"/>
      <c r="AZ196" s="795"/>
      <c r="BA196" s="797"/>
      <c r="BB196" s="797"/>
      <c r="BC196" s="797"/>
      <c r="BD196" s="797"/>
      <c r="BE196" s="797"/>
      <c r="BF196" s="797"/>
      <c r="BG196" s="797"/>
      <c r="BH196" s="797"/>
      <c r="BI196" s="797"/>
      <c r="BJ196" s="798"/>
    </row>
    <row r="197" spans="2:89" ht="14">
      <c r="B197" s="800"/>
      <c r="C197" s="795"/>
      <c r="D197" s="795"/>
      <c r="E197" s="795"/>
      <c r="F197" s="795"/>
      <c r="G197" s="795"/>
      <c r="H197" s="796"/>
      <c r="I197" s="796"/>
      <c r="J197" s="796"/>
      <c r="K197" s="796"/>
      <c r="L197" s="796"/>
      <c r="M197" s="796"/>
      <c r="N197" s="796"/>
      <c r="O197" s="796"/>
      <c r="P197" s="796"/>
      <c r="Q197" s="796"/>
      <c r="R197" s="796"/>
      <c r="S197" s="796"/>
      <c r="T197" s="796"/>
      <c r="U197" s="796"/>
      <c r="V197" s="796"/>
      <c r="W197" s="796"/>
      <c r="X197" s="796"/>
      <c r="Y197" s="796"/>
      <c r="Z197" s="796"/>
      <c r="AA197" s="796"/>
      <c r="AB197" s="796"/>
      <c r="AC197" s="796"/>
      <c r="AD197" s="796"/>
      <c r="AE197" s="796"/>
      <c r="AF197" s="796"/>
      <c r="AG197" s="796"/>
      <c r="AH197" s="796"/>
      <c r="AI197" s="796"/>
      <c r="AJ197" s="796"/>
      <c r="AK197" s="796"/>
      <c r="AL197" s="796"/>
      <c r="AM197" s="796"/>
      <c r="AN197" s="796"/>
      <c r="AO197" s="796"/>
      <c r="AP197" s="796"/>
      <c r="AQ197" s="796"/>
      <c r="AR197" s="796"/>
      <c r="AS197" s="796"/>
      <c r="AT197" s="796"/>
      <c r="AU197" s="796"/>
      <c r="AV197" s="796"/>
      <c r="AW197" s="796"/>
      <c r="AX197" s="795"/>
      <c r="AY197" s="795"/>
      <c r="AZ197" s="795"/>
      <c r="BA197" s="797"/>
      <c r="BB197" s="797"/>
      <c r="BC197" s="797"/>
      <c r="BD197" s="797"/>
      <c r="BE197" s="797"/>
      <c r="BF197" s="797"/>
      <c r="BG197" s="797"/>
      <c r="BH197" s="797"/>
      <c r="BI197" s="797"/>
      <c r="BJ197" s="798"/>
      <c r="BK197" s="835"/>
      <c r="BL197" s="836"/>
      <c r="BM197" s="836"/>
    </row>
    <row r="198" spans="2:89" ht="14">
      <c r="B198" s="800"/>
      <c r="C198" s="795"/>
      <c r="D198" s="795"/>
      <c r="E198" s="795"/>
      <c r="F198" s="833" t="s">
        <v>4132</v>
      </c>
      <c r="G198" s="795"/>
      <c r="H198" s="796"/>
      <c r="I198" s="796"/>
      <c r="J198" s="796"/>
      <c r="K198" s="796"/>
      <c r="L198" s="796"/>
      <c r="M198" s="796"/>
      <c r="N198" s="796"/>
      <c r="O198" s="796"/>
      <c r="P198" s="796"/>
      <c r="Q198" s="796"/>
      <c r="R198" s="796"/>
      <c r="S198" s="796"/>
      <c r="T198" s="796"/>
      <c r="U198" s="796"/>
      <c r="V198" s="796"/>
      <c r="W198" s="796"/>
      <c r="X198" s="796"/>
      <c r="Y198" s="796"/>
      <c r="Z198" s="796"/>
      <c r="AA198" s="796"/>
      <c r="AB198" s="796"/>
      <c r="AC198" s="796"/>
      <c r="AD198" s="796"/>
      <c r="AE198" s="796"/>
      <c r="AF198" s="796"/>
      <c r="AG198" s="796"/>
      <c r="AH198" s="796"/>
      <c r="AI198" s="796"/>
      <c r="AJ198" s="796"/>
      <c r="AK198" s="796"/>
      <c r="AL198" s="796"/>
      <c r="AM198" s="796"/>
      <c r="AN198" s="796"/>
      <c r="AO198" s="796"/>
      <c r="AP198" s="796"/>
      <c r="AQ198" s="796"/>
      <c r="AR198" s="796"/>
      <c r="AS198" s="796"/>
      <c r="AT198" s="796"/>
      <c r="AU198" s="796"/>
      <c r="AV198" s="796"/>
      <c r="AW198" s="796"/>
      <c r="AX198" s="795"/>
      <c r="AY198" s="802" t="s">
        <v>4133</v>
      </c>
      <c r="AZ198" s="802"/>
      <c r="BA198" s="837"/>
      <c r="BB198" s="837">
        <v>1.7084877872148387E-3</v>
      </c>
      <c r="BC198" s="837">
        <v>1.7487936646984103E-3</v>
      </c>
      <c r="BD198" s="837">
        <v>1.5468475731401398E-3</v>
      </c>
      <c r="BE198" s="837">
        <v>1.2770037156716973E-3</v>
      </c>
      <c r="BF198" s="837">
        <v>9.9347316425350655E-4</v>
      </c>
      <c r="BG198" s="837">
        <v>7.6539700151337083E-4</v>
      </c>
      <c r="BH198" s="837">
        <v>5.9669186883007537E-4</v>
      </c>
      <c r="BI198" s="837">
        <v>1.3988016852662969E-3</v>
      </c>
      <c r="BJ198" s="837"/>
      <c r="BK198" s="835"/>
      <c r="BL198" s="838"/>
      <c r="BM198" s="836"/>
    </row>
    <row r="199" spans="2:89" ht="14">
      <c r="B199" s="800"/>
      <c r="C199" s="795"/>
      <c r="D199" s="833" t="s">
        <v>4134</v>
      </c>
      <c r="E199" s="795"/>
      <c r="F199" s="795" t="s">
        <v>4135</v>
      </c>
      <c r="G199" s="795"/>
      <c r="H199" s="796"/>
      <c r="I199" s="796"/>
      <c r="J199" s="796"/>
      <c r="K199" s="796"/>
      <c r="L199" s="796"/>
      <c r="M199" s="796"/>
      <c r="N199" s="796"/>
      <c r="O199" s="796"/>
      <c r="P199" s="796"/>
      <c r="Q199" s="796"/>
      <c r="R199" s="796"/>
      <c r="S199" s="796"/>
      <c r="T199" s="796"/>
      <c r="U199" s="796"/>
      <c r="V199" s="796"/>
      <c r="W199" s="796"/>
      <c r="X199" s="796"/>
      <c r="Y199" s="796"/>
      <c r="Z199" s="796"/>
      <c r="AA199" s="796"/>
      <c r="AB199" s="796">
        <v>1990</v>
      </c>
      <c r="AC199" s="796">
        <v>1991</v>
      </c>
      <c r="AD199" s="796">
        <v>1992</v>
      </c>
      <c r="AE199" s="796">
        <v>1993</v>
      </c>
      <c r="AF199" s="796">
        <v>1994</v>
      </c>
      <c r="AG199" s="796">
        <v>1995</v>
      </c>
      <c r="AH199" s="796">
        <v>1996</v>
      </c>
      <c r="AI199" s="796">
        <v>1997</v>
      </c>
      <c r="AJ199" s="796">
        <v>1998</v>
      </c>
      <c r="AK199" s="796">
        <v>1999</v>
      </c>
      <c r="AL199" s="796">
        <v>2000</v>
      </c>
      <c r="AM199" s="796">
        <v>2001</v>
      </c>
      <c r="AN199" s="796">
        <v>2002</v>
      </c>
      <c r="AO199" s="796">
        <v>2003</v>
      </c>
      <c r="AP199" s="796">
        <v>2004</v>
      </c>
      <c r="AQ199" s="796">
        <v>2005</v>
      </c>
      <c r="AR199" s="796">
        <v>2006</v>
      </c>
      <c r="AS199" s="796">
        <v>2007</v>
      </c>
      <c r="AT199" s="796">
        <v>2008</v>
      </c>
      <c r="AU199" s="796">
        <v>2009</v>
      </c>
      <c r="AV199" s="796">
        <v>2010</v>
      </c>
      <c r="AW199" s="796"/>
      <c r="AX199" s="795"/>
      <c r="AY199" s="795"/>
      <c r="AZ199" s="795"/>
      <c r="BA199" s="797"/>
      <c r="BB199" s="797"/>
      <c r="BC199" s="797"/>
      <c r="BD199" s="797"/>
      <c r="BE199" s="797"/>
      <c r="BF199" s="797"/>
      <c r="BG199" s="797"/>
      <c r="BH199" s="797"/>
      <c r="BI199" s="797"/>
      <c r="BJ199" s="798"/>
      <c r="BK199" s="482"/>
    </row>
    <row r="200" spans="2:89" s="518" customFormat="1" ht="14">
      <c r="B200" s="800"/>
      <c r="C200" s="839" t="s">
        <v>4136</v>
      </c>
      <c r="D200" s="840" t="s">
        <v>4137</v>
      </c>
      <c r="E200" s="795"/>
      <c r="F200" s="841"/>
      <c r="G200" s="841"/>
      <c r="H200" s="842"/>
      <c r="I200" s="842"/>
      <c r="J200" s="842"/>
      <c r="K200" s="842"/>
      <c r="L200" s="842"/>
      <c r="M200" s="842"/>
      <c r="N200" s="842"/>
      <c r="O200" s="842"/>
      <c r="P200" s="842"/>
      <c r="Q200" s="842"/>
      <c r="R200" s="842"/>
      <c r="S200" s="842"/>
      <c r="T200" s="842"/>
      <c r="U200" s="842"/>
      <c r="V200" s="842"/>
      <c r="W200" s="842"/>
      <c r="X200" s="842"/>
      <c r="Y200" s="842"/>
      <c r="Z200" s="842"/>
      <c r="AA200" s="842"/>
      <c r="AB200" s="842">
        <v>574.32095470838158</v>
      </c>
      <c r="AC200" s="842">
        <v>584.07437428245817</v>
      </c>
      <c r="AD200" s="842">
        <v>567.77562980428604</v>
      </c>
      <c r="AE200" s="842">
        <v>553.33753691323284</v>
      </c>
      <c r="AF200" s="842">
        <v>546.2326953595707</v>
      </c>
      <c r="AG200" s="842">
        <v>536.02033883393392</v>
      </c>
      <c r="AH200" s="842">
        <v>556.6263616262188</v>
      </c>
      <c r="AI200" s="842">
        <v>534.74891299255432</v>
      </c>
      <c r="AJ200" s="842">
        <v>538.75473446895467</v>
      </c>
      <c r="AK200" s="842">
        <v>530.66566313949943</v>
      </c>
      <c r="AL200" s="842">
        <v>539.00049895868733</v>
      </c>
      <c r="AM200" s="842">
        <v>552.19141203114191</v>
      </c>
      <c r="AN200" s="842">
        <v>536.21693879087923</v>
      </c>
      <c r="AO200" s="842">
        <v>545.64182602813037</v>
      </c>
      <c r="AP200" s="842">
        <v>546.91526250414915</v>
      </c>
      <c r="AQ200" s="842">
        <v>542.80240867747409</v>
      </c>
      <c r="AR200" s="842">
        <v>542.65668632601535</v>
      </c>
      <c r="AS200" s="842">
        <v>534.02574552989233</v>
      </c>
      <c r="AT200" s="842">
        <v>522.9479251564137</v>
      </c>
      <c r="AU200" s="842">
        <v>475.60178758150977</v>
      </c>
      <c r="AV200" s="842">
        <v>492.7502706136072</v>
      </c>
      <c r="AW200" s="843" t="s">
        <v>4138</v>
      </c>
      <c r="AX200" s="844"/>
      <c r="AY200" s="841"/>
      <c r="AZ200" s="841"/>
      <c r="BA200" s="845"/>
      <c r="BB200" s="846">
        <v>2442.1189048999172</v>
      </c>
      <c r="BC200" s="846">
        <v>2535.7040056121314</v>
      </c>
      <c r="BD200" s="846">
        <v>3146.8853200139379</v>
      </c>
      <c r="BE200" s="846">
        <v>3660.9646593639832</v>
      </c>
      <c r="BF200" s="846">
        <v>4008.7972853748543</v>
      </c>
      <c r="BG200" s="846">
        <v>4346.3506009412722</v>
      </c>
      <c r="BH200" s="846">
        <v>4769.4444799177181</v>
      </c>
      <c r="BI200" s="846">
        <v>3496.9628374858667</v>
      </c>
      <c r="BJ200" s="847"/>
      <c r="BK200" s="494"/>
      <c r="BL200" s="482"/>
      <c r="BM200" s="482"/>
      <c r="BN200" s="482"/>
      <c r="BO200" s="482"/>
      <c r="BP200" s="482"/>
      <c r="BQ200" s="482"/>
      <c r="BR200" s="482"/>
      <c r="BS200" s="482"/>
      <c r="BT200" s="482"/>
    </row>
    <row r="201" spans="2:89" s="518" customFormat="1" ht="14">
      <c r="B201" s="800"/>
      <c r="C201" s="839" t="s">
        <v>4139</v>
      </c>
      <c r="D201" s="840" t="s">
        <v>4140</v>
      </c>
      <c r="E201" s="795"/>
      <c r="F201" s="841"/>
      <c r="G201" s="841"/>
      <c r="H201" s="842"/>
      <c r="I201" s="842"/>
      <c r="J201" s="842"/>
      <c r="K201" s="842"/>
      <c r="L201" s="842"/>
      <c r="M201" s="842"/>
      <c r="N201" s="842"/>
      <c r="O201" s="842"/>
      <c r="P201" s="842"/>
      <c r="Q201" s="842"/>
      <c r="R201" s="842"/>
      <c r="S201" s="842"/>
      <c r="T201" s="842"/>
      <c r="U201" s="842"/>
      <c r="V201" s="842"/>
      <c r="W201" s="842"/>
      <c r="X201" s="842"/>
      <c r="Y201" s="842"/>
      <c r="Z201" s="842"/>
      <c r="AA201" s="842"/>
      <c r="AB201" s="842">
        <v>35.28336958104466</v>
      </c>
      <c r="AC201" s="842">
        <v>35.182983866091305</v>
      </c>
      <c r="AD201" s="842">
        <v>35.289835728726885</v>
      </c>
      <c r="AE201" s="842">
        <v>34.031013507405163</v>
      </c>
      <c r="AF201" s="842">
        <v>28.324761088666332</v>
      </c>
      <c r="AG201" s="842">
        <v>31.042353791967415</v>
      </c>
      <c r="AH201" s="842">
        <v>30.473334583513346</v>
      </c>
      <c r="AI201" s="842">
        <v>27.620233281205483</v>
      </c>
      <c r="AJ201" s="842">
        <v>25.397431061510737</v>
      </c>
      <c r="AK201" s="842">
        <v>22.308283841071088</v>
      </c>
      <c r="AL201" s="842">
        <v>20.536975736659553</v>
      </c>
      <c r="AM201" s="842">
        <v>20.019669009851356</v>
      </c>
      <c r="AN201" s="842">
        <v>19.40477630089951</v>
      </c>
      <c r="AO201" s="842">
        <v>16.07854267407026</v>
      </c>
      <c r="AP201" s="842">
        <v>15.736887486965456</v>
      </c>
      <c r="AQ201" s="842">
        <v>14.992284178784804</v>
      </c>
      <c r="AR201" s="842">
        <v>13.510923257815429</v>
      </c>
      <c r="AS201" s="842">
        <v>12.929712235090694</v>
      </c>
      <c r="AT201" s="842">
        <v>11.879194090477329</v>
      </c>
      <c r="AU201" s="842">
        <v>12.040107260360204</v>
      </c>
      <c r="AV201" s="842">
        <v>11.646390385331518</v>
      </c>
      <c r="AW201" s="843" t="s">
        <v>4138</v>
      </c>
      <c r="AX201" s="844"/>
      <c r="AY201" s="841"/>
      <c r="AZ201" s="841"/>
      <c r="BA201" s="845"/>
      <c r="BB201" s="846">
        <v>23.725664636824927</v>
      </c>
      <c r="BC201" s="846">
        <v>25.207342295608466</v>
      </c>
      <c r="BD201" s="846">
        <v>29.687178551686532</v>
      </c>
      <c r="BE201" s="846">
        <v>34.314167615186101</v>
      </c>
      <c r="BF201" s="846">
        <v>39.309826912103787</v>
      </c>
      <c r="BG201" s="846">
        <v>45.231064666794794</v>
      </c>
      <c r="BH201" s="846">
        <v>51.637789848621999</v>
      </c>
      <c r="BI201" s="846">
        <v>32.540521397184875</v>
      </c>
      <c r="BJ201" s="847"/>
      <c r="BK201" s="494"/>
      <c r="BL201" s="482"/>
      <c r="BM201" s="482"/>
      <c r="BN201" s="482"/>
      <c r="BO201" s="482"/>
      <c r="BP201" s="482"/>
      <c r="BQ201" s="482"/>
      <c r="BR201" s="482"/>
      <c r="BS201" s="482"/>
    </row>
    <row r="202" spans="2:89" ht="14">
      <c r="B202" s="848"/>
      <c r="C202" s="849">
        <v>1</v>
      </c>
      <c r="D202" s="795" t="s">
        <v>4137</v>
      </c>
      <c r="E202" s="795"/>
      <c r="F202" s="850"/>
      <c r="G202" s="850"/>
      <c r="H202" s="843"/>
      <c r="I202" s="843"/>
      <c r="J202" s="843"/>
      <c r="K202" s="843"/>
      <c r="L202" s="843"/>
      <c r="M202" s="843"/>
      <c r="N202" s="843"/>
      <c r="O202" s="843"/>
      <c r="P202" s="843"/>
      <c r="Q202" s="843"/>
      <c r="R202" s="843"/>
      <c r="S202" s="843"/>
      <c r="T202" s="843"/>
      <c r="U202" s="843"/>
      <c r="V202" s="843"/>
      <c r="W202" s="843"/>
      <c r="X202" s="843"/>
      <c r="Y202" s="843"/>
      <c r="Z202" s="843"/>
      <c r="AA202" s="843"/>
      <c r="AB202" s="843">
        <v>609.60432428942624</v>
      </c>
      <c r="AC202" s="843">
        <v>619.25735814854954</v>
      </c>
      <c r="AD202" s="843">
        <v>603.06546553301303</v>
      </c>
      <c r="AE202" s="843">
        <v>587.36855042063803</v>
      </c>
      <c r="AF202" s="843">
        <v>574.55745644823708</v>
      </c>
      <c r="AG202" s="843">
        <v>567.06269262590126</v>
      </c>
      <c r="AH202" s="843">
        <v>587.09969620973209</v>
      </c>
      <c r="AI202" s="843">
        <v>562.36914627375972</v>
      </c>
      <c r="AJ202" s="843">
        <v>564.15216553046548</v>
      </c>
      <c r="AK202" s="843">
        <v>552.97394698057042</v>
      </c>
      <c r="AL202" s="843">
        <v>559.53747469534676</v>
      </c>
      <c r="AM202" s="843">
        <v>572.21108104099335</v>
      </c>
      <c r="AN202" s="843">
        <v>555.62171509177858</v>
      </c>
      <c r="AO202" s="843">
        <v>561.72036870220063</v>
      </c>
      <c r="AP202" s="843">
        <v>562.65214999111447</v>
      </c>
      <c r="AQ202" s="843">
        <v>557.79469285625896</v>
      </c>
      <c r="AR202" s="843">
        <v>556.16760958383077</v>
      </c>
      <c r="AS202" s="843">
        <v>546.95545776498307</v>
      </c>
      <c r="AT202" s="843">
        <v>534.82711924689102</v>
      </c>
      <c r="AU202" s="843">
        <v>487.64189484186994</v>
      </c>
      <c r="AV202" s="843">
        <v>504.39666099893867</v>
      </c>
      <c r="AW202" s="843" t="s">
        <v>4138</v>
      </c>
      <c r="AX202" s="844"/>
      <c r="AY202" s="850"/>
      <c r="AZ202" s="850"/>
      <c r="BA202" s="851"/>
      <c r="BB202" s="852">
        <v>2465.8445695367423</v>
      </c>
      <c r="BC202" s="852">
        <v>2560.91134790774</v>
      </c>
      <c r="BD202" s="852">
        <v>3176.5724985656243</v>
      </c>
      <c r="BE202" s="852">
        <v>3695.2788269791695</v>
      </c>
      <c r="BF202" s="852">
        <v>4048.107112286958</v>
      </c>
      <c r="BG202" s="852">
        <v>4391.5816656080669</v>
      </c>
      <c r="BH202" s="852">
        <v>4821.0822697663398</v>
      </c>
      <c r="BI202" s="852">
        <v>3529.5033588830515</v>
      </c>
      <c r="BJ202" s="798"/>
      <c r="BK202" s="853"/>
      <c r="BL202" s="518"/>
      <c r="BM202" s="518"/>
      <c r="BN202" s="518"/>
      <c r="BO202" s="518"/>
      <c r="BP202" s="518"/>
      <c r="BQ202" s="518"/>
      <c r="BR202" s="518"/>
      <c r="BS202" s="518"/>
      <c r="BT202" s="518"/>
    </row>
    <row r="203" spans="2:89" ht="14">
      <c r="B203" s="848"/>
      <c r="C203" s="849">
        <v>2</v>
      </c>
      <c r="D203" s="840" t="s">
        <v>4141</v>
      </c>
      <c r="E203" s="795"/>
      <c r="F203" s="850"/>
      <c r="G203" s="850"/>
      <c r="H203" s="843"/>
      <c r="I203" s="843"/>
      <c r="J203" s="843"/>
      <c r="K203" s="843"/>
      <c r="L203" s="843"/>
      <c r="M203" s="843"/>
      <c r="N203" s="843"/>
      <c r="O203" s="843"/>
      <c r="P203" s="843"/>
      <c r="Q203" s="843"/>
      <c r="R203" s="843"/>
      <c r="S203" s="843"/>
      <c r="T203" s="843"/>
      <c r="U203" s="843"/>
      <c r="V203" s="843"/>
      <c r="W203" s="843"/>
      <c r="X203" s="843"/>
      <c r="Y203" s="843"/>
      <c r="Z203" s="843"/>
      <c r="AA203" s="843"/>
      <c r="AB203" s="843">
        <v>54.14857476869939</v>
      </c>
      <c r="AC203" s="843">
        <v>52.475976085330302</v>
      </c>
      <c r="AD203" s="843">
        <v>47.09357259520948</v>
      </c>
      <c r="AE203" s="843">
        <v>43.783266649903538</v>
      </c>
      <c r="AF203" s="843">
        <v>46.200468631708674</v>
      </c>
      <c r="AG203" s="843">
        <v>46.438108640865629</v>
      </c>
      <c r="AH203" s="843">
        <v>48.20629279360756</v>
      </c>
      <c r="AI203" s="843">
        <v>50.509743157896679</v>
      </c>
      <c r="AJ203" s="843">
        <v>48.955619513700753</v>
      </c>
      <c r="AK203" s="843">
        <v>32.394255265102153</v>
      </c>
      <c r="AL203" s="843">
        <v>31.677024129804071</v>
      </c>
      <c r="AM203" s="843">
        <v>30.092795678224793</v>
      </c>
      <c r="AN203" s="843">
        <v>28.177211033386556</v>
      </c>
      <c r="AO203" s="843">
        <v>30.026667340786869</v>
      </c>
      <c r="AP203" s="843">
        <v>30.291978553378527</v>
      </c>
      <c r="AQ203" s="843">
        <v>30.619235422944978</v>
      </c>
      <c r="AR203" s="843">
        <v>29.927484392152323</v>
      </c>
      <c r="AS203" s="843">
        <v>31.616603644661854</v>
      </c>
      <c r="AT203" s="843">
        <v>30.80187951705711</v>
      </c>
      <c r="AU203" s="843">
        <v>25.47849294203823</v>
      </c>
      <c r="AV203" s="843">
        <v>26.811492537019994</v>
      </c>
      <c r="AW203" s="843" t="s">
        <v>4138</v>
      </c>
      <c r="AX203" s="844"/>
      <c r="AY203" s="841"/>
      <c r="AZ203" s="841"/>
      <c r="BA203" s="845"/>
      <c r="BB203" s="846">
        <v>119.035882541056</v>
      </c>
      <c r="BC203" s="846">
        <v>130.19600911978685</v>
      </c>
      <c r="BD203" s="846">
        <v>162.14138523037093</v>
      </c>
      <c r="BE203" s="846">
        <v>191.33743923823789</v>
      </c>
      <c r="BF203" s="846">
        <v>208.80990707480211</v>
      </c>
      <c r="BG203" s="846">
        <v>225.90948716214049</v>
      </c>
      <c r="BH203" s="846">
        <v>242.55205517420632</v>
      </c>
      <c r="BI203" s="846">
        <v>184.3277380008102</v>
      </c>
      <c r="BJ203" s="798"/>
      <c r="BK203" s="853"/>
      <c r="BL203" s="518"/>
      <c r="BM203" s="518"/>
      <c r="BN203" s="518"/>
      <c r="BO203" s="518"/>
      <c r="BP203" s="518"/>
      <c r="BQ203" s="518"/>
      <c r="BR203" s="518"/>
      <c r="BS203" s="518"/>
    </row>
    <row r="204" spans="2:89" ht="14">
      <c r="B204" s="800"/>
      <c r="C204" s="849">
        <v>3</v>
      </c>
      <c r="D204" s="840" t="s">
        <v>4142</v>
      </c>
      <c r="E204" s="795"/>
      <c r="F204" s="850"/>
      <c r="G204" s="850"/>
      <c r="H204" s="843"/>
      <c r="I204" s="843"/>
      <c r="J204" s="843"/>
      <c r="K204" s="843"/>
      <c r="L204" s="843"/>
      <c r="M204" s="843"/>
      <c r="N204" s="843"/>
      <c r="O204" s="843"/>
      <c r="P204" s="843"/>
      <c r="Q204" s="843"/>
      <c r="R204" s="843"/>
      <c r="S204" s="843"/>
      <c r="T204" s="843"/>
      <c r="U204" s="843"/>
      <c r="V204" s="843"/>
      <c r="W204" s="843"/>
      <c r="X204" s="843"/>
      <c r="Y204" s="843"/>
      <c r="Z204" s="843"/>
      <c r="AA204" s="843"/>
      <c r="AB204" s="843" t="s">
        <v>4143</v>
      </c>
      <c r="AC204" s="843" t="s">
        <v>4143</v>
      </c>
      <c r="AD204" s="843" t="s">
        <v>4143</v>
      </c>
      <c r="AE204" s="843" t="s">
        <v>4143</v>
      </c>
      <c r="AF204" s="843" t="s">
        <v>4143</v>
      </c>
      <c r="AG204" s="843" t="s">
        <v>4143</v>
      </c>
      <c r="AH204" s="843" t="s">
        <v>4143</v>
      </c>
      <c r="AI204" s="843" t="s">
        <v>4143</v>
      </c>
      <c r="AJ204" s="843" t="s">
        <v>4143</v>
      </c>
      <c r="AK204" s="843" t="s">
        <v>4143</v>
      </c>
      <c r="AL204" s="843" t="s">
        <v>4143</v>
      </c>
      <c r="AM204" s="843" t="s">
        <v>4143</v>
      </c>
      <c r="AN204" s="843" t="s">
        <v>4143</v>
      </c>
      <c r="AO204" s="843" t="s">
        <v>4143</v>
      </c>
      <c r="AP204" s="843" t="s">
        <v>4143</v>
      </c>
      <c r="AQ204" s="843" t="s">
        <v>4143</v>
      </c>
      <c r="AR204" s="843" t="s">
        <v>4143</v>
      </c>
      <c r="AS204" s="843" t="s">
        <v>4143</v>
      </c>
      <c r="AT204" s="843" t="s">
        <v>4143</v>
      </c>
      <c r="AU204" s="843" t="s">
        <v>4143</v>
      </c>
      <c r="AV204" s="843" t="s">
        <v>4143</v>
      </c>
      <c r="AW204" s="843" t="s">
        <v>4138</v>
      </c>
      <c r="AX204" s="844"/>
      <c r="AY204" s="841"/>
      <c r="AZ204" s="841"/>
      <c r="BA204" s="845"/>
      <c r="BB204" s="845">
        <v>0</v>
      </c>
      <c r="BC204" s="845">
        <v>0</v>
      </c>
      <c r="BD204" s="845">
        <v>0</v>
      </c>
      <c r="BE204" s="845">
        <v>0</v>
      </c>
      <c r="BF204" s="845">
        <v>0</v>
      </c>
      <c r="BG204" s="845">
        <v>0</v>
      </c>
      <c r="BH204" s="845">
        <v>0</v>
      </c>
      <c r="BI204" s="845">
        <v>0</v>
      </c>
      <c r="BJ204" s="798"/>
    </row>
    <row r="205" spans="2:89" ht="14">
      <c r="B205" s="800"/>
      <c r="C205" s="849">
        <v>4</v>
      </c>
      <c r="D205" s="840" t="s">
        <v>428</v>
      </c>
      <c r="E205" s="795"/>
      <c r="F205" s="850"/>
      <c r="G205" s="850"/>
      <c r="H205" s="843"/>
      <c r="I205" s="843"/>
      <c r="J205" s="843"/>
      <c r="K205" s="843"/>
      <c r="L205" s="843"/>
      <c r="M205" s="843"/>
      <c r="N205" s="843"/>
      <c r="O205" s="843"/>
      <c r="P205" s="843"/>
      <c r="Q205" s="843"/>
      <c r="R205" s="843"/>
      <c r="S205" s="843"/>
      <c r="T205" s="843"/>
      <c r="U205" s="843"/>
      <c r="V205" s="843"/>
      <c r="W205" s="843"/>
      <c r="X205" s="843"/>
      <c r="Y205" s="843"/>
      <c r="Z205" s="843"/>
      <c r="AA205" s="843"/>
      <c r="AB205" s="843">
        <v>57.50148520668305</v>
      </c>
      <c r="AC205" s="843">
        <v>57.246446553512868</v>
      </c>
      <c r="AD205" s="843">
        <v>57.064686407982649</v>
      </c>
      <c r="AE205" s="843">
        <v>56.349782848425512</v>
      </c>
      <c r="AF205" s="843">
        <v>56.482634229989579</v>
      </c>
      <c r="AG205" s="843">
        <v>56.062993674503744</v>
      </c>
      <c r="AH205" s="843">
        <v>56.438650509232893</v>
      </c>
      <c r="AI205" s="843">
        <v>56.199934507252166</v>
      </c>
      <c r="AJ205" s="843">
        <v>55.563813765969243</v>
      </c>
      <c r="AK205" s="843">
        <v>54.890137863427519</v>
      </c>
      <c r="AL205" s="843">
        <v>52.893308830233281</v>
      </c>
      <c r="AM205" s="843">
        <v>50.094491750341383</v>
      </c>
      <c r="AN205" s="843">
        <v>50.07904843936754</v>
      </c>
      <c r="AO205" s="843">
        <v>49.646482933698181</v>
      </c>
      <c r="AP205" s="843">
        <v>49.912563723285288</v>
      </c>
      <c r="AQ205" s="843">
        <v>50.204852733460946</v>
      </c>
      <c r="AR205" s="843">
        <v>48.573478811345488</v>
      </c>
      <c r="AS205" s="843">
        <v>47.145361104365769</v>
      </c>
      <c r="AT205" s="843">
        <v>46.490712439147927</v>
      </c>
      <c r="AU205" s="843">
        <v>45.808263743996648</v>
      </c>
      <c r="AV205" s="843">
        <v>46.201383319346213</v>
      </c>
      <c r="AW205" s="843" t="s">
        <v>4138</v>
      </c>
      <c r="AX205" s="844"/>
      <c r="AY205" s="841"/>
      <c r="AZ205" s="841"/>
      <c r="BA205" s="845"/>
      <c r="BB205" s="845">
        <v>0</v>
      </c>
      <c r="BC205" s="845">
        <v>0</v>
      </c>
      <c r="BD205" s="845">
        <v>0</v>
      </c>
      <c r="BE205" s="845">
        <v>0</v>
      </c>
      <c r="BF205" s="845">
        <v>0</v>
      </c>
      <c r="BG205" s="845">
        <v>0</v>
      </c>
      <c r="BH205" s="845">
        <v>0</v>
      </c>
      <c r="BI205" s="845">
        <v>0</v>
      </c>
      <c r="BJ205" s="798"/>
    </row>
    <row r="206" spans="2:89" ht="14">
      <c r="B206" s="800"/>
      <c r="C206" s="849">
        <v>5</v>
      </c>
      <c r="D206" s="840" t="s">
        <v>4144</v>
      </c>
      <c r="E206" s="795"/>
      <c r="F206" s="850"/>
      <c r="G206" s="850"/>
      <c r="H206" s="843"/>
      <c r="I206" s="843"/>
      <c r="J206" s="843"/>
      <c r="K206" s="843"/>
      <c r="L206" s="843"/>
      <c r="M206" s="843"/>
      <c r="N206" s="843"/>
      <c r="O206" s="843"/>
      <c r="P206" s="843"/>
      <c r="Q206" s="843"/>
      <c r="R206" s="843"/>
      <c r="S206" s="843"/>
      <c r="T206" s="843"/>
      <c r="U206" s="843"/>
      <c r="V206" s="843"/>
      <c r="W206" s="843"/>
      <c r="X206" s="843"/>
      <c r="Y206" s="843"/>
      <c r="Z206" s="843"/>
      <c r="AA206" s="843"/>
      <c r="AB206" s="843">
        <v>3.8930087572812679</v>
      </c>
      <c r="AC206" s="843">
        <v>3.8686000622628693</v>
      </c>
      <c r="AD206" s="843">
        <v>3.3433147414361009</v>
      </c>
      <c r="AE206" s="843">
        <v>2.2265845845315693</v>
      </c>
      <c r="AF206" s="843">
        <v>2.0533141148288525</v>
      </c>
      <c r="AG206" s="843">
        <v>2.4654776194817205</v>
      </c>
      <c r="AH206" s="843">
        <v>2.1813341723246857</v>
      </c>
      <c r="AI206" s="843">
        <v>1.920070200944781</v>
      </c>
      <c r="AJ206" s="843">
        <v>1.2405726372813575</v>
      </c>
      <c r="AK206" s="843">
        <v>1.0620443971872269</v>
      </c>
      <c r="AL206" s="843">
        <v>0.37726047037436505</v>
      </c>
      <c r="AM206" s="843">
        <v>-0.11419377707044237</v>
      </c>
      <c r="AN206" s="843">
        <v>-0.93459050389331721</v>
      </c>
      <c r="AO206" s="843">
        <v>-1.2868015775516333</v>
      </c>
      <c r="AP206" s="843">
        <v>-2.3579223431888501</v>
      </c>
      <c r="AQ206" s="843">
        <v>-2.9449125339525444</v>
      </c>
      <c r="AR206" s="843">
        <v>-3.0969424363046301</v>
      </c>
      <c r="AS206" s="843">
        <v>-3.4836455180367438</v>
      </c>
      <c r="AT206" s="843">
        <v>-3.8824317227172771</v>
      </c>
      <c r="AU206" s="843">
        <v>-4.2078283804095697</v>
      </c>
      <c r="AV206" s="843">
        <v>-3.8423973221854002</v>
      </c>
      <c r="AW206" s="843" t="s">
        <v>4138</v>
      </c>
      <c r="AX206" s="844"/>
      <c r="AY206" s="841"/>
      <c r="AZ206" s="841"/>
      <c r="BA206" s="845"/>
      <c r="BB206" s="845">
        <v>0</v>
      </c>
      <c r="BC206" s="845">
        <v>0</v>
      </c>
      <c r="BD206" s="845">
        <v>0</v>
      </c>
      <c r="BE206" s="845">
        <v>0</v>
      </c>
      <c r="BF206" s="845">
        <v>0</v>
      </c>
      <c r="BG206" s="845">
        <v>0</v>
      </c>
      <c r="BH206" s="845">
        <v>0</v>
      </c>
      <c r="BI206" s="845">
        <v>0</v>
      </c>
      <c r="BJ206" s="798"/>
    </row>
    <row r="207" spans="2:89" ht="14">
      <c r="B207" s="800"/>
      <c r="C207" s="849">
        <v>6</v>
      </c>
      <c r="D207" s="840" t="s">
        <v>3980</v>
      </c>
      <c r="E207" s="795"/>
      <c r="F207" s="850"/>
      <c r="G207" s="850"/>
      <c r="H207" s="843"/>
      <c r="I207" s="843"/>
      <c r="J207" s="843"/>
      <c r="K207" s="843"/>
      <c r="L207" s="843"/>
      <c r="M207" s="843"/>
      <c r="N207" s="843"/>
      <c r="O207" s="843"/>
      <c r="P207" s="843"/>
      <c r="Q207" s="843"/>
      <c r="R207" s="843"/>
      <c r="S207" s="843"/>
      <c r="T207" s="843"/>
      <c r="U207" s="843"/>
      <c r="V207" s="843"/>
      <c r="W207" s="843"/>
      <c r="X207" s="843"/>
      <c r="Y207" s="843"/>
      <c r="Z207" s="843"/>
      <c r="AA207" s="843"/>
      <c r="AB207" s="843">
        <v>46.005376459169604</v>
      </c>
      <c r="AC207" s="843">
        <v>45.106257535550021</v>
      </c>
      <c r="AD207" s="843">
        <v>43.802323592142784</v>
      </c>
      <c r="AE207" s="843">
        <v>42.398865017289033</v>
      </c>
      <c r="AF207" s="843">
        <v>41.175525117813187</v>
      </c>
      <c r="AG207" s="843">
        <v>40.080722749499124</v>
      </c>
      <c r="AH207" s="843">
        <v>39.045211708359346</v>
      </c>
      <c r="AI207" s="843">
        <v>35.946203438881568</v>
      </c>
      <c r="AJ207" s="843">
        <v>33.903942222331288</v>
      </c>
      <c r="AK207" s="843">
        <v>31.176954037822373</v>
      </c>
      <c r="AL207" s="843">
        <v>29.422387452691304</v>
      </c>
      <c r="AM207" s="843">
        <v>26.000773929539882</v>
      </c>
      <c r="AN207" s="843">
        <v>23.914147643814456</v>
      </c>
      <c r="AO207" s="843">
        <v>21.058526850801719</v>
      </c>
      <c r="AP207" s="843">
        <v>19.538460113710165</v>
      </c>
      <c r="AQ207" s="843">
        <v>19.037141136861958</v>
      </c>
      <c r="AR207" s="843">
        <v>18.640862074715724</v>
      </c>
      <c r="AS207" s="843">
        <v>18.271577747130092</v>
      </c>
      <c r="AT207" s="843">
        <v>17.712063346383925</v>
      </c>
      <c r="AU207" s="843">
        <v>17.198378568592883</v>
      </c>
      <c r="AV207" s="843">
        <v>16.611961862247568</v>
      </c>
      <c r="AW207" s="843" t="s">
        <v>4138</v>
      </c>
      <c r="AX207" s="844"/>
      <c r="AY207" s="841"/>
      <c r="AZ207" s="841"/>
      <c r="BA207" s="845"/>
      <c r="BB207" s="845">
        <v>0</v>
      </c>
      <c r="BC207" s="845">
        <v>0</v>
      </c>
      <c r="BD207" s="845">
        <v>0</v>
      </c>
      <c r="BE207" s="845">
        <v>0</v>
      </c>
      <c r="BF207" s="845">
        <v>0</v>
      </c>
      <c r="BG207" s="845">
        <v>0</v>
      </c>
      <c r="BH207" s="845">
        <v>0</v>
      </c>
      <c r="BI207" s="845">
        <v>0</v>
      </c>
      <c r="BJ207" s="798"/>
    </row>
    <row r="208" spans="2:89" ht="14">
      <c r="B208" s="800"/>
      <c r="C208" s="849">
        <v>7</v>
      </c>
      <c r="D208" s="840" t="s">
        <v>453</v>
      </c>
      <c r="E208" s="795"/>
      <c r="F208" s="844"/>
      <c r="G208" s="844"/>
      <c r="H208" s="854"/>
      <c r="I208" s="854"/>
      <c r="J208" s="854"/>
      <c r="K208" s="854"/>
      <c r="L208" s="854"/>
      <c r="M208" s="854"/>
      <c r="N208" s="854"/>
      <c r="O208" s="854"/>
      <c r="P208" s="854"/>
      <c r="Q208" s="854"/>
      <c r="R208" s="854"/>
      <c r="S208" s="854"/>
      <c r="T208" s="854"/>
      <c r="U208" s="854"/>
      <c r="V208" s="854"/>
      <c r="W208" s="854"/>
      <c r="X208" s="854"/>
      <c r="Y208" s="854"/>
      <c r="Z208" s="854"/>
      <c r="AA208" s="854"/>
      <c r="AB208" s="854" t="s">
        <v>862</v>
      </c>
      <c r="AC208" s="854" t="s">
        <v>862</v>
      </c>
      <c r="AD208" s="854" t="s">
        <v>862</v>
      </c>
      <c r="AE208" s="854" t="s">
        <v>862</v>
      </c>
      <c r="AF208" s="854" t="s">
        <v>862</v>
      </c>
      <c r="AG208" s="854" t="s">
        <v>862</v>
      </c>
      <c r="AH208" s="854" t="s">
        <v>862</v>
      </c>
      <c r="AI208" s="854" t="s">
        <v>862</v>
      </c>
      <c r="AJ208" s="854" t="s">
        <v>862</v>
      </c>
      <c r="AK208" s="854" t="s">
        <v>862</v>
      </c>
      <c r="AL208" s="854" t="s">
        <v>862</v>
      </c>
      <c r="AM208" s="854" t="s">
        <v>862</v>
      </c>
      <c r="AN208" s="854" t="s">
        <v>862</v>
      </c>
      <c r="AO208" s="854" t="s">
        <v>862</v>
      </c>
      <c r="AP208" s="854" t="s">
        <v>862</v>
      </c>
      <c r="AQ208" s="854" t="s">
        <v>862</v>
      </c>
      <c r="AR208" s="854" t="s">
        <v>862</v>
      </c>
      <c r="AS208" s="854" t="s">
        <v>862</v>
      </c>
      <c r="AT208" s="854" t="s">
        <v>862</v>
      </c>
      <c r="AU208" s="854" t="s">
        <v>862</v>
      </c>
      <c r="AV208" s="854" t="s">
        <v>862</v>
      </c>
      <c r="AW208" s="854" t="s">
        <v>4138</v>
      </c>
      <c r="AX208" s="844"/>
      <c r="AY208" s="841"/>
      <c r="AZ208" s="841"/>
      <c r="BA208" s="845"/>
      <c r="BB208" s="845">
        <v>0</v>
      </c>
      <c r="BC208" s="845">
        <v>0</v>
      </c>
      <c r="BD208" s="845">
        <v>0</v>
      </c>
      <c r="BE208" s="845">
        <v>0</v>
      </c>
      <c r="BF208" s="845">
        <v>0</v>
      </c>
      <c r="BG208" s="845">
        <v>0</v>
      </c>
      <c r="BH208" s="845">
        <v>0</v>
      </c>
      <c r="BI208" s="845">
        <v>0</v>
      </c>
      <c r="BJ208" s="798"/>
    </row>
    <row r="209" spans="1:89" ht="14">
      <c r="B209" s="800"/>
      <c r="C209" s="849" t="s">
        <v>4145</v>
      </c>
      <c r="D209" s="840" t="s">
        <v>4146</v>
      </c>
      <c r="E209" s="795"/>
      <c r="F209" s="850"/>
      <c r="G209" s="850"/>
      <c r="H209" s="843"/>
      <c r="I209" s="843"/>
      <c r="J209" s="843"/>
      <c r="K209" s="843"/>
      <c r="L209" s="843"/>
      <c r="M209" s="843"/>
      <c r="N209" s="843"/>
      <c r="O209" s="843"/>
      <c r="P209" s="843"/>
      <c r="Q209" s="843"/>
      <c r="R209" s="843"/>
      <c r="S209" s="843"/>
      <c r="T209" s="843"/>
      <c r="U209" s="843"/>
      <c r="V209" s="843"/>
      <c r="W209" s="843"/>
      <c r="X209" s="843"/>
      <c r="Y209" s="843"/>
      <c r="Z209" s="843"/>
      <c r="AA209" s="843"/>
      <c r="AB209" s="843">
        <v>0</v>
      </c>
      <c r="AC209" s="843">
        <v>0</v>
      </c>
      <c r="AD209" s="843">
        <v>0</v>
      </c>
      <c r="AE209" s="843">
        <v>0</v>
      </c>
      <c r="AF209" s="843">
        <v>0</v>
      </c>
      <c r="AG209" s="843">
        <v>0</v>
      </c>
      <c r="AH209" s="843">
        <v>0</v>
      </c>
      <c r="AI209" s="843">
        <v>0</v>
      </c>
      <c r="AJ209" s="843">
        <v>0</v>
      </c>
      <c r="AK209" s="843">
        <v>0</v>
      </c>
      <c r="AL209" s="843">
        <v>0</v>
      </c>
      <c r="AM209" s="843">
        <v>0</v>
      </c>
      <c r="AN209" s="843">
        <v>0</v>
      </c>
      <c r="AO209" s="843">
        <v>0</v>
      </c>
      <c r="AP209" s="843">
        <v>0</v>
      </c>
      <c r="AQ209" s="843">
        <v>0</v>
      </c>
      <c r="AR209" s="843">
        <v>0</v>
      </c>
      <c r="AS209" s="843"/>
      <c r="AT209" s="843"/>
      <c r="AU209" s="843"/>
      <c r="AV209" s="843"/>
      <c r="AW209" s="843" t="s">
        <v>4147</v>
      </c>
      <c r="AX209" s="844"/>
      <c r="AY209" s="841"/>
      <c r="AZ209" s="841"/>
      <c r="BA209" s="845"/>
      <c r="BB209" s="845">
        <v>0</v>
      </c>
      <c r="BC209" s="845">
        <v>0</v>
      </c>
      <c r="BD209" s="845">
        <v>0</v>
      </c>
      <c r="BE209" s="845">
        <v>0</v>
      </c>
      <c r="BF209" s="845">
        <v>0</v>
      </c>
      <c r="BG209" s="845">
        <v>0</v>
      </c>
      <c r="BH209" s="845">
        <v>0</v>
      </c>
      <c r="BI209" s="845">
        <v>0</v>
      </c>
      <c r="BJ209" s="798"/>
    </row>
    <row r="210" spans="1:89" s="518" customFormat="1" ht="14">
      <c r="B210" s="800"/>
      <c r="C210" s="849" t="s">
        <v>4148</v>
      </c>
      <c r="D210" s="840" t="s">
        <v>4149</v>
      </c>
      <c r="E210" s="795"/>
      <c r="F210" s="850"/>
      <c r="G210" s="850"/>
      <c r="H210" s="843"/>
      <c r="I210" s="843"/>
      <c r="J210" s="843"/>
      <c r="K210" s="843"/>
      <c r="L210" s="843"/>
      <c r="M210" s="843"/>
      <c r="N210" s="843"/>
      <c r="O210" s="843"/>
      <c r="P210" s="843"/>
      <c r="Q210" s="843"/>
      <c r="R210" s="843"/>
      <c r="S210" s="843"/>
      <c r="T210" s="843"/>
      <c r="U210" s="843"/>
      <c r="V210" s="843"/>
      <c r="W210" s="843"/>
      <c r="X210" s="843"/>
      <c r="Y210" s="843"/>
      <c r="Z210" s="843"/>
      <c r="AA210" s="843"/>
      <c r="AB210" s="843">
        <v>0</v>
      </c>
      <c r="AC210" s="843">
        <v>0</v>
      </c>
      <c r="AD210" s="843">
        <v>0</v>
      </c>
      <c r="AE210" s="843">
        <v>0</v>
      </c>
      <c r="AF210" s="843">
        <v>0</v>
      </c>
      <c r="AG210" s="843">
        <v>0</v>
      </c>
      <c r="AH210" s="843">
        <v>0</v>
      </c>
      <c r="AI210" s="843">
        <v>0</v>
      </c>
      <c r="AJ210" s="843">
        <v>0</v>
      </c>
      <c r="AK210" s="843">
        <v>0</v>
      </c>
      <c r="AL210" s="843">
        <v>0</v>
      </c>
      <c r="AM210" s="843">
        <v>0</v>
      </c>
      <c r="AN210" s="843">
        <v>0</v>
      </c>
      <c r="AO210" s="843">
        <v>0</v>
      </c>
      <c r="AP210" s="843">
        <v>0</v>
      </c>
      <c r="AQ210" s="843">
        <v>0</v>
      </c>
      <c r="AR210" s="843">
        <v>0</v>
      </c>
      <c r="AS210" s="843">
        <v>0</v>
      </c>
      <c r="AT210" s="843">
        <v>0</v>
      </c>
      <c r="AU210" s="843">
        <v>0</v>
      </c>
      <c r="AV210" s="843">
        <v>0</v>
      </c>
      <c r="AW210" s="843" t="s">
        <v>4138</v>
      </c>
      <c r="AX210" s="844"/>
      <c r="AY210" s="841"/>
      <c r="AZ210" s="841"/>
      <c r="BA210" s="845"/>
      <c r="BB210" s="845">
        <v>0</v>
      </c>
      <c r="BC210" s="845">
        <v>0</v>
      </c>
      <c r="BD210" s="845">
        <v>0</v>
      </c>
      <c r="BE210" s="845">
        <v>0</v>
      </c>
      <c r="BF210" s="845">
        <v>0</v>
      </c>
      <c r="BG210" s="845">
        <v>0</v>
      </c>
      <c r="BH210" s="845">
        <v>0</v>
      </c>
      <c r="BI210" s="845">
        <v>0</v>
      </c>
      <c r="BJ210" s="847"/>
      <c r="BK210" s="494"/>
      <c r="BL210" s="482"/>
      <c r="BM210" s="482"/>
      <c r="BN210" s="482"/>
      <c r="BO210" s="482"/>
      <c r="BP210" s="482"/>
      <c r="BQ210" s="482"/>
      <c r="BR210" s="482"/>
      <c r="BS210" s="482"/>
      <c r="BT210" s="482"/>
    </row>
    <row r="211" spans="1:89" ht="14">
      <c r="B211" s="800"/>
      <c r="C211" s="849" t="s">
        <v>4150</v>
      </c>
      <c r="D211" s="840" t="s">
        <v>4151</v>
      </c>
      <c r="E211" s="795"/>
      <c r="F211" s="850"/>
      <c r="G211" s="850"/>
      <c r="H211" s="843"/>
      <c r="I211" s="843"/>
      <c r="J211" s="843"/>
      <c r="K211" s="843"/>
      <c r="L211" s="843"/>
      <c r="M211" s="843"/>
      <c r="N211" s="843"/>
      <c r="O211" s="843"/>
      <c r="P211" s="843"/>
      <c r="Q211" s="843"/>
      <c r="R211" s="843"/>
      <c r="S211" s="843"/>
      <c r="T211" s="843"/>
      <c r="U211" s="843"/>
      <c r="V211" s="843"/>
      <c r="W211" s="843"/>
      <c r="X211" s="843"/>
      <c r="Y211" s="843"/>
      <c r="Z211" s="843"/>
      <c r="AA211" s="843"/>
      <c r="AB211" s="843">
        <v>0</v>
      </c>
      <c r="AC211" s="843">
        <v>0</v>
      </c>
      <c r="AD211" s="843">
        <v>0</v>
      </c>
      <c r="AE211" s="843">
        <v>0</v>
      </c>
      <c r="AF211" s="843">
        <v>0</v>
      </c>
      <c r="AG211" s="843">
        <v>0</v>
      </c>
      <c r="AH211" s="843">
        <v>0</v>
      </c>
      <c r="AI211" s="843">
        <v>0</v>
      </c>
      <c r="AJ211" s="843">
        <v>0</v>
      </c>
      <c r="AK211" s="843">
        <v>0</v>
      </c>
      <c r="AL211" s="843">
        <v>0</v>
      </c>
      <c r="AM211" s="843">
        <v>0</v>
      </c>
      <c r="AN211" s="843">
        <v>0</v>
      </c>
      <c r="AO211" s="843">
        <v>0</v>
      </c>
      <c r="AP211" s="843">
        <v>0</v>
      </c>
      <c r="AQ211" s="843">
        <v>0</v>
      </c>
      <c r="AR211" s="843">
        <v>0</v>
      </c>
      <c r="AS211" s="843">
        <v>0</v>
      </c>
      <c r="AT211" s="843">
        <v>0</v>
      </c>
      <c r="AU211" s="843">
        <v>0</v>
      </c>
      <c r="AV211" s="843">
        <v>0</v>
      </c>
      <c r="AW211" s="843" t="s">
        <v>4138</v>
      </c>
      <c r="AX211" s="844"/>
      <c r="AY211" s="855"/>
      <c r="AZ211" s="855"/>
      <c r="BA211" s="856"/>
      <c r="BB211" s="856">
        <v>0</v>
      </c>
      <c r="BC211" s="856">
        <v>0</v>
      </c>
      <c r="BD211" s="856">
        <v>0</v>
      </c>
      <c r="BE211" s="856">
        <v>-16.459038207533471</v>
      </c>
      <c r="BF211" s="856">
        <v>-32.741854009665616</v>
      </c>
      <c r="BG211" s="856">
        <v>-48.849918478129545</v>
      </c>
      <c r="BH211" s="856">
        <v>-64.784605823968093</v>
      </c>
      <c r="BI211" s="856">
        <v>-9.8966554406489546</v>
      </c>
      <c r="BJ211" s="798"/>
      <c r="BT211" s="518"/>
    </row>
    <row r="212" spans="1:89" ht="14">
      <c r="B212" s="848"/>
      <c r="C212" s="795"/>
      <c r="D212" s="795" t="s">
        <v>1265</v>
      </c>
      <c r="E212" s="795"/>
      <c r="F212" s="857"/>
      <c r="G212" s="857"/>
      <c r="H212" s="858"/>
      <c r="I212" s="858"/>
      <c r="J212" s="858"/>
      <c r="K212" s="858"/>
      <c r="L212" s="858"/>
      <c r="M212" s="858"/>
      <c r="N212" s="858"/>
      <c r="O212" s="858"/>
      <c r="P212" s="858"/>
      <c r="Q212" s="858"/>
      <c r="R212" s="858"/>
      <c r="S212" s="858"/>
      <c r="T212" s="858"/>
      <c r="U212" s="858"/>
      <c r="V212" s="858"/>
      <c r="W212" s="858"/>
      <c r="X212" s="858"/>
      <c r="Y212" s="858"/>
      <c r="Z212" s="858"/>
      <c r="AA212" s="858"/>
      <c r="AB212" s="858">
        <v>795.93572182124274</v>
      </c>
      <c r="AC212" s="858">
        <v>802.4755376560646</v>
      </c>
      <c r="AD212" s="858">
        <v>780.68534536725031</v>
      </c>
      <c r="AE212" s="858">
        <v>759.52035248688799</v>
      </c>
      <c r="AF212" s="858">
        <v>747.78944230587103</v>
      </c>
      <c r="AG212" s="858">
        <v>740.88891665083361</v>
      </c>
      <c r="AH212" s="858">
        <v>763.89065519339613</v>
      </c>
      <c r="AI212" s="858">
        <v>740.01388660823704</v>
      </c>
      <c r="AJ212" s="858">
        <v>739.9402055350414</v>
      </c>
      <c r="AK212" s="858">
        <v>708.00135984945894</v>
      </c>
      <c r="AL212" s="858">
        <v>711.50940185716161</v>
      </c>
      <c r="AM212" s="858">
        <v>715.30430320050698</v>
      </c>
      <c r="AN212" s="858">
        <v>691.76608222710354</v>
      </c>
      <c r="AO212" s="858">
        <v>697.82821693046253</v>
      </c>
      <c r="AP212" s="858">
        <v>700.45218287466992</v>
      </c>
      <c r="AQ212" s="858">
        <v>698.30813666551887</v>
      </c>
      <c r="AR212" s="858">
        <v>696.66133927951546</v>
      </c>
      <c r="AS212" s="858"/>
      <c r="AT212" s="858"/>
      <c r="AU212" s="858"/>
      <c r="AV212" s="858"/>
      <c r="AW212" s="858"/>
      <c r="AX212" s="844"/>
      <c r="AY212" s="857"/>
      <c r="AZ212" s="857"/>
      <c r="BA212" s="859"/>
      <c r="BB212" s="859">
        <v>2584.8804520777981</v>
      </c>
      <c r="BC212" s="859">
        <v>2691.1073570275271</v>
      </c>
      <c r="BD212" s="859">
        <v>3338.7138837959951</v>
      </c>
      <c r="BE212" s="859">
        <v>3870.157228009874</v>
      </c>
      <c r="BF212" s="859">
        <v>4224.1751653520942</v>
      </c>
      <c r="BG212" s="859">
        <v>4568.6412342920776</v>
      </c>
      <c r="BH212" s="859">
        <v>4998.8497191165779</v>
      </c>
      <c r="BI212" s="859">
        <v>3703.934441443213</v>
      </c>
      <c r="BJ212" s="798"/>
      <c r="BK212" s="853"/>
      <c r="BL212" s="518"/>
      <c r="BM212" s="518"/>
      <c r="BN212" s="518"/>
      <c r="BO212" s="518"/>
      <c r="BP212" s="518"/>
      <c r="BQ212" s="518"/>
      <c r="BR212" s="518"/>
      <c r="BS212" s="518"/>
    </row>
    <row r="213" spans="1:89" ht="5.25" customHeight="1">
      <c r="B213" s="800"/>
      <c r="C213" s="795"/>
      <c r="D213" s="795"/>
      <c r="E213" s="795"/>
      <c r="F213" s="844"/>
      <c r="G213" s="844"/>
      <c r="H213" s="854"/>
      <c r="I213" s="854"/>
      <c r="J213" s="854"/>
      <c r="K213" s="854"/>
      <c r="L213" s="854"/>
      <c r="M213" s="854"/>
      <c r="N213" s="854"/>
      <c r="O213" s="854"/>
      <c r="P213" s="854"/>
      <c r="Q213" s="854"/>
      <c r="R213" s="854"/>
      <c r="S213" s="854"/>
      <c r="T213" s="854"/>
      <c r="U213" s="854"/>
      <c r="V213" s="854"/>
      <c r="W213" s="854"/>
      <c r="X213" s="854"/>
      <c r="Y213" s="854"/>
      <c r="Z213" s="854"/>
      <c r="AA213" s="854"/>
      <c r="AB213" s="854"/>
      <c r="AC213" s="854"/>
      <c r="AD213" s="854"/>
      <c r="AE213" s="854"/>
      <c r="AF213" s="854"/>
      <c r="AG213" s="854"/>
      <c r="AH213" s="854"/>
      <c r="AI213" s="854"/>
      <c r="AJ213" s="854"/>
      <c r="AK213" s="854"/>
      <c r="AL213" s="854"/>
      <c r="AM213" s="854"/>
      <c r="AN213" s="854"/>
      <c r="AO213" s="854"/>
      <c r="AP213" s="854"/>
      <c r="AQ213" s="854"/>
      <c r="AR213" s="854"/>
      <c r="AS213" s="854"/>
      <c r="AT213" s="854"/>
      <c r="AU213" s="854"/>
      <c r="AV213" s="854"/>
      <c r="AW213" s="854"/>
      <c r="AX213" s="844"/>
      <c r="AY213" s="844"/>
      <c r="AZ213" s="844"/>
      <c r="BA213" s="860"/>
      <c r="BB213" s="860"/>
      <c r="BC213" s="860"/>
      <c r="BD213" s="860"/>
      <c r="BE213" s="860"/>
      <c r="BF213" s="860"/>
      <c r="BG213" s="860"/>
      <c r="BH213" s="860"/>
      <c r="BI213" s="860"/>
      <c r="BJ213" s="798"/>
    </row>
    <row r="214" spans="1:89" s="573" customFormat="1" ht="14">
      <c r="B214" s="800"/>
      <c r="C214" s="824"/>
      <c r="D214" s="824"/>
      <c r="E214" s="824"/>
      <c r="F214" s="861"/>
      <c r="G214" s="861"/>
      <c r="H214" s="862"/>
      <c r="I214" s="862"/>
      <c r="J214" s="862"/>
      <c r="K214" s="862"/>
      <c r="L214" s="862"/>
      <c r="M214" s="862"/>
      <c r="N214" s="862"/>
      <c r="O214" s="862"/>
      <c r="P214" s="862"/>
      <c r="Q214" s="862"/>
      <c r="R214" s="862"/>
      <c r="S214" s="862"/>
      <c r="T214" s="862"/>
      <c r="U214" s="862"/>
      <c r="V214" s="862"/>
      <c r="W214" s="862"/>
      <c r="X214" s="862"/>
      <c r="Y214" s="862"/>
      <c r="Z214" s="862"/>
      <c r="AA214" s="862"/>
      <c r="AB214" s="862"/>
      <c r="AC214" s="862"/>
      <c r="AD214" s="862"/>
      <c r="AE214" s="862"/>
      <c r="AF214" s="862"/>
      <c r="AG214" s="862"/>
      <c r="AH214" s="862"/>
      <c r="AI214" s="862"/>
      <c r="AJ214" s="862"/>
      <c r="AK214" s="862"/>
      <c r="AL214" s="862"/>
      <c r="AM214" s="862"/>
      <c r="AN214" s="862"/>
      <c r="AO214" s="862"/>
      <c r="AP214" s="862"/>
      <c r="AQ214" s="862"/>
      <c r="AR214" s="862"/>
      <c r="AS214" s="862"/>
      <c r="AT214" s="862"/>
      <c r="AU214" s="862"/>
      <c r="AV214" s="862"/>
      <c r="AW214" s="862"/>
      <c r="AX214" s="863"/>
      <c r="AY214" s="861"/>
      <c r="AZ214" s="861"/>
      <c r="BA214" s="864"/>
      <c r="BB214" s="864"/>
      <c r="BC214" s="864"/>
      <c r="BD214" s="864"/>
      <c r="BE214" s="864"/>
      <c r="BF214" s="864"/>
      <c r="BG214" s="864"/>
      <c r="BH214" s="864"/>
      <c r="BI214" s="864"/>
      <c r="BJ214" s="798"/>
      <c r="BK214" s="865"/>
      <c r="BL214" s="482"/>
      <c r="BM214" s="482"/>
      <c r="BN214" s="482"/>
      <c r="BO214" s="482"/>
      <c r="BP214" s="482"/>
      <c r="BQ214" s="482"/>
      <c r="BR214" s="482"/>
      <c r="BS214" s="482"/>
      <c r="BT214" s="482"/>
      <c r="BU214" s="582"/>
      <c r="BV214" s="582"/>
      <c r="BW214" s="582"/>
      <c r="BX214" s="582"/>
      <c r="BY214" s="582"/>
      <c r="BZ214" s="582"/>
      <c r="CA214" s="582"/>
      <c r="CB214" s="582"/>
      <c r="CC214" s="582"/>
      <c r="CD214" s="582"/>
      <c r="CE214" s="582"/>
      <c r="CF214" s="582"/>
      <c r="CG214" s="582"/>
      <c r="CH214" s="582"/>
      <c r="CI214" s="582"/>
      <c r="CJ214" s="582"/>
      <c r="CK214" s="582"/>
    </row>
    <row r="215" spans="1:89" ht="14">
      <c r="B215" s="801"/>
      <c r="C215" s="866"/>
      <c r="D215" s="866"/>
      <c r="E215" s="866"/>
      <c r="F215" s="866"/>
      <c r="G215" s="866"/>
      <c r="H215" s="867"/>
      <c r="I215" s="867"/>
      <c r="J215" s="867"/>
      <c r="K215" s="867"/>
      <c r="L215" s="867"/>
      <c r="M215" s="867"/>
      <c r="N215" s="867"/>
      <c r="O215" s="867"/>
      <c r="P215" s="867"/>
      <c r="Q215" s="867"/>
      <c r="R215" s="867"/>
      <c r="S215" s="867"/>
      <c r="T215" s="867"/>
      <c r="U215" s="867"/>
      <c r="V215" s="867"/>
      <c r="W215" s="867"/>
      <c r="X215" s="867"/>
      <c r="Y215" s="867"/>
      <c r="Z215" s="867"/>
      <c r="AA215" s="867"/>
      <c r="AB215" s="867"/>
      <c r="AC215" s="867"/>
      <c r="AD215" s="867"/>
      <c r="AE215" s="867"/>
      <c r="AF215" s="867"/>
      <c r="AG215" s="867"/>
      <c r="AH215" s="867"/>
      <c r="AI215" s="867"/>
      <c r="AJ215" s="867"/>
      <c r="AK215" s="867"/>
      <c r="AL215" s="867"/>
      <c r="AM215" s="867"/>
      <c r="AN215" s="867"/>
      <c r="AO215" s="867"/>
      <c r="AP215" s="867"/>
      <c r="AQ215" s="867"/>
      <c r="AR215" s="867"/>
      <c r="AS215" s="867"/>
      <c r="AT215" s="867"/>
      <c r="AU215" s="867"/>
      <c r="AV215" s="867"/>
      <c r="AW215" s="867"/>
      <c r="AX215" s="866"/>
      <c r="AY215" s="866"/>
      <c r="AZ215" s="866"/>
      <c r="BA215" s="868"/>
      <c r="BB215" s="868"/>
      <c r="BC215" s="868"/>
      <c r="BD215" s="868"/>
      <c r="BE215" s="868"/>
      <c r="BF215" s="868"/>
      <c r="BG215" s="868"/>
      <c r="BH215" s="868"/>
      <c r="BI215" s="868"/>
      <c r="BJ215" s="869"/>
      <c r="BT215" s="582"/>
    </row>
    <row r="216" spans="1:89" s="782" customFormat="1" ht="14">
      <c r="B216" s="870"/>
      <c r="H216" s="784"/>
      <c r="I216" s="784"/>
      <c r="J216" s="784"/>
      <c r="K216" s="784"/>
      <c r="L216" s="784"/>
      <c r="M216" s="784"/>
      <c r="N216" s="784"/>
      <c r="O216" s="784"/>
      <c r="P216" s="784"/>
      <c r="Q216" s="784"/>
      <c r="R216" s="784"/>
      <c r="S216" s="784"/>
      <c r="T216" s="784"/>
      <c r="U216" s="784"/>
      <c r="V216" s="784"/>
      <c r="W216" s="784"/>
      <c r="X216" s="784"/>
      <c r="Y216" s="784"/>
      <c r="Z216" s="784"/>
      <c r="AA216" s="784"/>
      <c r="AB216" s="784"/>
      <c r="AC216" s="784"/>
      <c r="AD216" s="784"/>
      <c r="AE216" s="784"/>
      <c r="AF216" s="784"/>
      <c r="AG216" s="784"/>
      <c r="AH216" s="784"/>
      <c r="AI216" s="784"/>
      <c r="AJ216" s="784"/>
      <c r="AK216" s="784"/>
      <c r="AL216" s="784"/>
      <c r="AM216" s="784"/>
      <c r="AN216" s="784"/>
      <c r="AO216" s="784"/>
      <c r="AP216" s="784"/>
      <c r="AQ216" s="784"/>
      <c r="AR216" s="784"/>
      <c r="AS216" s="784"/>
      <c r="AT216" s="784"/>
      <c r="AU216" s="784"/>
      <c r="AV216" s="784"/>
      <c r="AW216" s="784"/>
      <c r="BA216" s="871"/>
      <c r="BB216" s="871"/>
      <c r="BC216" s="871"/>
      <c r="BD216" s="871"/>
      <c r="BE216" s="871"/>
      <c r="BF216" s="871"/>
      <c r="BG216" s="871"/>
      <c r="BH216" s="871"/>
      <c r="BI216" s="871"/>
      <c r="BK216" s="872"/>
      <c r="BL216" s="582"/>
      <c r="BM216" s="582"/>
      <c r="BN216" s="582"/>
      <c r="BO216" s="582"/>
      <c r="BP216" s="582"/>
      <c r="BQ216" s="582"/>
      <c r="BR216" s="582"/>
      <c r="BS216" s="582"/>
      <c r="BT216" s="482"/>
      <c r="BU216" s="494"/>
      <c r="BV216" s="494"/>
      <c r="BW216" s="494"/>
      <c r="BX216" s="494"/>
      <c r="BY216" s="494"/>
      <c r="BZ216" s="494"/>
      <c r="CA216" s="494"/>
      <c r="CB216" s="494"/>
      <c r="CC216" s="494"/>
      <c r="CD216" s="494"/>
      <c r="CE216" s="494"/>
      <c r="CF216" s="494"/>
      <c r="CG216" s="494"/>
      <c r="CH216" s="494"/>
      <c r="CI216" s="494"/>
      <c r="CJ216" s="494"/>
      <c r="CK216" s="494"/>
    </row>
    <row r="217" spans="1:89" ht="23">
      <c r="A217" s="495"/>
      <c r="B217" s="857" t="s">
        <v>4152</v>
      </c>
      <c r="C217" s="790"/>
      <c r="D217" s="790"/>
      <c r="E217" s="790"/>
      <c r="F217" s="790"/>
      <c r="G217" s="790"/>
      <c r="H217" s="791"/>
      <c r="I217" s="791"/>
      <c r="J217" s="791"/>
      <c r="K217" s="791"/>
      <c r="L217" s="791"/>
      <c r="M217" s="791"/>
      <c r="N217" s="791"/>
      <c r="O217" s="791"/>
      <c r="P217" s="791"/>
      <c r="Q217" s="791"/>
      <c r="R217" s="791"/>
      <c r="S217" s="791"/>
      <c r="T217" s="791"/>
      <c r="U217" s="791"/>
      <c r="V217" s="791"/>
      <c r="W217" s="791"/>
      <c r="X217" s="791"/>
      <c r="Y217" s="791"/>
      <c r="Z217" s="791"/>
      <c r="AA217" s="791"/>
      <c r="AB217" s="791"/>
      <c r="AC217" s="791"/>
      <c r="AD217" s="791"/>
      <c r="AE217" s="791"/>
      <c r="AF217" s="791"/>
      <c r="AG217" s="791"/>
      <c r="AH217" s="791"/>
      <c r="AI217" s="791"/>
      <c r="AJ217" s="791"/>
      <c r="AK217" s="791"/>
      <c r="AL217" s="791"/>
      <c r="AM217" s="791"/>
      <c r="AN217" s="791"/>
      <c r="AO217" s="791"/>
      <c r="AP217" s="791"/>
      <c r="AQ217" s="791"/>
      <c r="AR217" s="791"/>
      <c r="AS217" s="791"/>
      <c r="AT217" s="791"/>
      <c r="AU217" s="791"/>
      <c r="AV217" s="791"/>
      <c r="AW217" s="791"/>
      <c r="AX217" s="790"/>
      <c r="AY217" s="790"/>
      <c r="AZ217" s="790"/>
      <c r="BA217" s="792"/>
      <c r="BB217" s="792"/>
      <c r="BC217" s="792"/>
      <c r="BD217" s="792"/>
      <c r="BE217" s="792"/>
      <c r="BF217" s="792"/>
      <c r="BG217" s="792"/>
      <c r="BH217" s="792"/>
      <c r="BI217" s="792"/>
      <c r="BJ217" s="794"/>
      <c r="BT217" s="494"/>
    </row>
    <row r="218" spans="1:89">
      <c r="B218" s="795"/>
      <c r="C218" s="857"/>
      <c r="D218" s="873"/>
      <c r="E218" s="795"/>
      <c r="F218" s="844"/>
      <c r="G218" s="844"/>
      <c r="H218" s="844"/>
      <c r="I218" s="844"/>
      <c r="J218" s="844"/>
      <c r="K218" s="844"/>
      <c r="L218" s="844"/>
      <c r="M218" s="844"/>
      <c r="N218" s="844"/>
      <c r="O218" s="844"/>
      <c r="P218" s="844"/>
      <c r="Q218" s="844"/>
      <c r="R218" s="844"/>
      <c r="S218" s="844"/>
      <c r="T218" s="844"/>
      <c r="U218" s="844"/>
      <c r="V218" s="844"/>
      <c r="W218" s="844"/>
      <c r="X218" s="844"/>
      <c r="Y218" s="844"/>
      <c r="Z218" s="844"/>
      <c r="AA218" s="844"/>
      <c r="AB218" s="844"/>
      <c r="AC218" s="844"/>
      <c r="AD218" s="844"/>
      <c r="AE218" s="844"/>
      <c r="AF218" s="844"/>
      <c r="AG218" s="844"/>
      <c r="AH218" s="844"/>
      <c r="AI218" s="844"/>
      <c r="AJ218" s="844"/>
      <c r="AK218" s="844"/>
      <c r="AL218" s="844"/>
      <c r="AM218" s="844"/>
      <c r="AN218" s="844"/>
      <c r="AO218" s="844"/>
      <c r="AP218" s="844"/>
      <c r="AQ218" s="844"/>
      <c r="AR218" s="844"/>
      <c r="AS218" s="844"/>
      <c r="AT218" s="844"/>
      <c r="AU218" s="844"/>
      <c r="AV218" s="844"/>
      <c r="AW218" s="844"/>
      <c r="AX218" s="795"/>
      <c r="AY218" s="849"/>
      <c r="AZ218" s="849"/>
      <c r="BA218" s="860"/>
      <c r="BB218" s="797"/>
      <c r="BC218" s="797"/>
      <c r="BD218" s="797"/>
      <c r="BE218" s="797"/>
      <c r="BF218" s="797"/>
      <c r="BG218" s="797"/>
      <c r="BH218" s="797"/>
      <c r="BI218" s="797"/>
      <c r="BJ218" s="795"/>
    </row>
    <row r="219" spans="1:89">
      <c r="B219" s="795"/>
      <c r="C219" s="844"/>
      <c r="D219" s="873"/>
      <c r="E219" s="795"/>
      <c r="F219" s="844"/>
      <c r="G219" s="844"/>
      <c r="H219" s="844"/>
      <c r="I219" s="844"/>
      <c r="J219" s="844"/>
      <c r="K219" s="844"/>
      <c r="L219" s="844"/>
      <c r="M219" s="844"/>
      <c r="N219" s="844"/>
      <c r="O219" s="844"/>
      <c r="P219" s="844"/>
      <c r="Q219" s="844"/>
      <c r="R219" s="844"/>
      <c r="S219" s="844"/>
      <c r="T219" s="844"/>
      <c r="U219" s="844"/>
      <c r="V219" s="844"/>
      <c r="W219" s="844"/>
      <c r="X219" s="844"/>
      <c r="Y219" s="844"/>
      <c r="Z219" s="844"/>
      <c r="AA219" s="844"/>
      <c r="AB219" s="844"/>
      <c r="AC219" s="844"/>
      <c r="AD219" s="844"/>
      <c r="AE219" s="844"/>
      <c r="AF219" s="844"/>
      <c r="AG219" s="844"/>
      <c r="AH219" s="844"/>
      <c r="AI219" s="844"/>
      <c r="AJ219" s="844"/>
      <c r="AK219" s="844"/>
      <c r="AL219" s="844"/>
      <c r="AM219" s="844"/>
      <c r="AN219" s="844"/>
      <c r="AO219" s="844"/>
      <c r="AP219" s="844"/>
      <c r="AQ219" s="844"/>
      <c r="AR219" s="844"/>
      <c r="AS219" s="844"/>
      <c r="AT219" s="844"/>
      <c r="AU219" s="844"/>
      <c r="AV219" s="844"/>
      <c r="AW219" s="844"/>
      <c r="AX219" s="795"/>
      <c r="AY219" s="849"/>
      <c r="AZ219" s="849"/>
      <c r="BA219" s="860"/>
      <c r="BB219" s="797"/>
      <c r="BC219" s="797"/>
      <c r="BD219" s="797"/>
      <c r="BE219" s="797"/>
      <c r="BF219" s="797"/>
      <c r="BG219" s="797"/>
      <c r="BH219" s="797"/>
      <c r="BI219" s="797"/>
      <c r="BJ219" s="795"/>
    </row>
    <row r="220" spans="1:89">
      <c r="B220" s="795"/>
      <c r="C220" s="844"/>
      <c r="D220" s="873"/>
      <c r="E220" s="795"/>
      <c r="F220" s="844"/>
      <c r="G220" s="844"/>
      <c r="H220" s="844"/>
      <c r="I220" s="844"/>
      <c r="J220" s="844"/>
      <c r="K220" s="844"/>
      <c r="L220" s="844"/>
      <c r="M220" s="844"/>
      <c r="N220" s="844"/>
      <c r="O220" s="844"/>
      <c r="P220" s="844"/>
      <c r="Q220" s="844"/>
      <c r="R220" s="844"/>
      <c r="S220" s="844"/>
      <c r="T220" s="844"/>
      <c r="U220" s="844"/>
      <c r="V220" s="844"/>
      <c r="W220" s="844"/>
      <c r="X220" s="844"/>
      <c r="Y220" s="844"/>
      <c r="Z220" s="844"/>
      <c r="AA220" s="844"/>
      <c r="AB220" s="844"/>
      <c r="AC220" s="844"/>
      <c r="AD220" s="844"/>
      <c r="AE220" s="844"/>
      <c r="AF220" s="844"/>
      <c r="AG220" s="844"/>
      <c r="AH220" s="844"/>
      <c r="AI220" s="844"/>
      <c r="AJ220" s="844"/>
      <c r="AK220" s="844"/>
      <c r="AL220" s="844"/>
      <c r="AM220" s="844"/>
      <c r="AN220" s="844"/>
      <c r="AO220" s="844"/>
      <c r="AP220" s="844"/>
      <c r="AQ220" s="844"/>
      <c r="AR220" s="844"/>
      <c r="AS220" s="844"/>
      <c r="AT220" s="844"/>
      <c r="AU220" s="844"/>
      <c r="AV220" s="844"/>
      <c r="AW220" s="844"/>
      <c r="AX220" s="795"/>
      <c r="AY220" s="849"/>
      <c r="AZ220" s="849"/>
      <c r="BA220" s="860"/>
      <c r="BB220" s="797"/>
      <c r="BC220" s="797"/>
      <c r="BD220" s="797"/>
      <c r="BE220" s="797"/>
      <c r="BF220" s="797"/>
      <c r="BG220" s="797"/>
      <c r="BH220" s="797"/>
      <c r="BI220" s="797"/>
      <c r="BJ220" s="849" t="s">
        <v>4153</v>
      </c>
    </row>
    <row r="221" spans="1:89">
      <c r="B221" s="795"/>
      <c r="C221" s="874" t="s">
        <v>1255</v>
      </c>
      <c r="D221" s="875"/>
      <c r="E221" s="876"/>
      <c r="F221" s="877"/>
      <c r="G221" s="877"/>
      <c r="H221" s="877"/>
      <c r="I221" s="877"/>
      <c r="J221" s="877"/>
      <c r="K221" s="877"/>
      <c r="L221" s="877"/>
      <c r="M221" s="877"/>
      <c r="N221" s="877"/>
      <c r="O221" s="877"/>
      <c r="P221" s="877"/>
      <c r="Q221" s="877"/>
      <c r="R221" s="877"/>
      <c r="S221" s="877"/>
      <c r="T221" s="877"/>
      <c r="U221" s="877"/>
      <c r="V221" s="877"/>
      <c r="W221" s="877"/>
      <c r="X221" s="877"/>
      <c r="Y221" s="877"/>
      <c r="Z221" s="877"/>
      <c r="AA221" s="877"/>
      <c r="AB221" s="877"/>
      <c r="AC221" s="877"/>
      <c r="AD221" s="877"/>
      <c r="AE221" s="877"/>
      <c r="AF221" s="877"/>
      <c r="AG221" s="877"/>
      <c r="AH221" s="877"/>
      <c r="AI221" s="877"/>
      <c r="AJ221" s="877"/>
      <c r="AK221" s="877"/>
      <c r="AL221" s="877"/>
      <c r="AM221" s="877"/>
      <c r="AN221" s="877"/>
      <c r="AO221" s="877"/>
      <c r="AP221" s="877"/>
      <c r="AQ221" s="877"/>
      <c r="AR221" s="877"/>
      <c r="AS221" s="877"/>
      <c r="AT221" s="877"/>
      <c r="AU221" s="877"/>
      <c r="AV221" s="877"/>
      <c r="AW221" s="877"/>
      <c r="AX221" s="876"/>
      <c r="AY221" s="878"/>
      <c r="AZ221" s="878"/>
      <c r="BA221" s="879"/>
      <c r="BB221" s="880">
        <v>2020</v>
      </c>
      <c r="BC221" s="880">
        <v>2022</v>
      </c>
      <c r="BD221" s="880">
        <v>2027</v>
      </c>
      <c r="BE221" s="879">
        <v>2032</v>
      </c>
      <c r="BF221" s="880">
        <v>2037</v>
      </c>
      <c r="BG221" s="880">
        <v>2042</v>
      </c>
      <c r="BH221" s="880">
        <v>2047</v>
      </c>
      <c r="BI221" s="880">
        <v>2030</v>
      </c>
      <c r="BJ221" s="881"/>
    </row>
    <row r="222" spans="1:89">
      <c r="B222" s="795"/>
      <c r="C222" s="857" t="s">
        <v>4154</v>
      </c>
      <c r="D222" s="873"/>
      <c r="E222" s="795" t="s">
        <v>4153</v>
      </c>
      <c r="F222" s="844"/>
      <c r="G222" s="844"/>
      <c r="H222" s="844"/>
      <c r="I222" s="844"/>
      <c r="J222" s="844"/>
      <c r="K222" s="844"/>
      <c r="L222" s="844"/>
      <c r="M222" s="844"/>
      <c r="N222" s="844"/>
      <c r="O222" s="844"/>
      <c r="P222" s="844"/>
      <c r="Q222" s="844"/>
      <c r="R222" s="844"/>
      <c r="S222" s="844"/>
      <c r="T222" s="844"/>
      <c r="U222" s="844"/>
      <c r="V222" s="844"/>
      <c r="W222" s="844"/>
      <c r="X222" s="844"/>
      <c r="Y222" s="844"/>
      <c r="Z222" s="844"/>
      <c r="AA222" s="844"/>
      <c r="AB222" s="844"/>
      <c r="AC222" s="844"/>
      <c r="AD222" s="844"/>
      <c r="AE222" s="844"/>
      <c r="AF222" s="844"/>
      <c r="AG222" s="844"/>
      <c r="AH222" s="844"/>
      <c r="AI222" s="844"/>
      <c r="AJ222" s="844"/>
      <c r="AK222" s="844"/>
      <c r="AL222" s="844"/>
      <c r="AM222" s="844"/>
      <c r="AN222" s="844"/>
      <c r="AO222" s="844"/>
      <c r="AP222" s="844"/>
      <c r="AQ222" s="844"/>
      <c r="AR222" s="844"/>
      <c r="AS222" s="844"/>
      <c r="AT222" s="844"/>
      <c r="AU222" s="844"/>
      <c r="AV222" s="844"/>
      <c r="AW222" s="844"/>
      <c r="AX222" s="795"/>
      <c r="AY222" s="849"/>
      <c r="AZ222" s="849"/>
      <c r="BA222" s="837"/>
      <c r="BB222" s="882">
        <v>9.9910807759417022</v>
      </c>
      <c r="BC222" s="882">
        <v>10.541987371354207</v>
      </c>
      <c r="BD222" s="882">
        <v>12.055841934090544</v>
      </c>
      <c r="BE222" s="882">
        <v>13.787089627399688</v>
      </c>
      <c r="BF222" s="882">
        <v>15.766948624006769</v>
      </c>
      <c r="BG222" s="882">
        <v>18.031120100795015</v>
      </c>
      <c r="BH222" s="882">
        <v>20.620432008909074</v>
      </c>
      <c r="BI222" s="882">
        <v>13.066599425721318</v>
      </c>
      <c r="BJ222" s="883"/>
    </row>
    <row r="223" spans="1:89">
      <c r="B223" s="795"/>
      <c r="C223" s="857" t="s">
        <v>4155</v>
      </c>
      <c r="D223" s="873"/>
      <c r="E223" s="795" t="s">
        <v>4153</v>
      </c>
      <c r="F223" s="844"/>
      <c r="G223" s="844"/>
      <c r="H223" s="844"/>
      <c r="I223" s="844"/>
      <c r="J223" s="844"/>
      <c r="K223" s="844"/>
      <c r="L223" s="844"/>
      <c r="M223" s="844"/>
      <c r="N223" s="844"/>
      <c r="O223" s="844"/>
      <c r="P223" s="844"/>
      <c r="Q223" s="844"/>
      <c r="R223" s="844"/>
      <c r="S223" s="844"/>
      <c r="T223" s="844"/>
      <c r="U223" s="844"/>
      <c r="V223" s="844"/>
      <c r="W223" s="844"/>
      <c r="X223" s="844"/>
      <c r="Y223" s="844"/>
      <c r="Z223" s="844"/>
      <c r="AA223" s="844"/>
      <c r="AB223" s="844"/>
      <c r="AC223" s="844"/>
      <c r="AD223" s="844"/>
      <c r="AE223" s="844"/>
      <c r="AF223" s="844"/>
      <c r="AG223" s="844"/>
      <c r="AH223" s="844"/>
      <c r="AI223" s="844"/>
      <c r="AJ223" s="844"/>
      <c r="AK223" s="844"/>
      <c r="AL223" s="844"/>
      <c r="AM223" s="844"/>
      <c r="AN223" s="844"/>
      <c r="AO223" s="844"/>
      <c r="AP223" s="844"/>
      <c r="AQ223" s="844"/>
      <c r="AR223" s="844"/>
      <c r="AS223" s="844"/>
      <c r="AT223" s="844"/>
      <c r="AU223" s="844"/>
      <c r="AV223" s="844"/>
      <c r="AW223" s="844"/>
      <c r="AX223" s="795"/>
      <c r="AY223" s="849"/>
      <c r="AZ223" s="849"/>
      <c r="BA223" s="837"/>
      <c r="BB223" s="882">
        <v>9.9910807759417022</v>
      </c>
      <c r="BC223" s="882">
        <v>10.337729715970854</v>
      </c>
      <c r="BD223" s="882">
        <v>11.257888180557135</v>
      </c>
      <c r="BE223" s="882">
        <v>12.259949695736983</v>
      </c>
      <c r="BF223" s="882">
        <v>13.351204429405071</v>
      </c>
      <c r="BG223" s="882">
        <v>14.539591445285298</v>
      </c>
      <c r="BH223" s="882">
        <v>15.833756460969218</v>
      </c>
      <c r="BI223" s="882">
        <v>11.84884409677049</v>
      </c>
      <c r="BJ223" s="883"/>
    </row>
    <row r="224" spans="1:89">
      <c r="B224" s="795"/>
      <c r="C224" s="857" t="s">
        <v>4156</v>
      </c>
      <c r="D224" s="873"/>
      <c r="E224" s="795" t="s">
        <v>4153</v>
      </c>
      <c r="F224" s="844"/>
      <c r="G224" s="844"/>
      <c r="H224" s="844"/>
      <c r="I224" s="844"/>
      <c r="J224" s="844"/>
      <c r="K224" s="844"/>
      <c r="L224" s="844"/>
      <c r="M224" s="844"/>
      <c r="N224" s="844"/>
      <c r="O224" s="844"/>
      <c r="P224" s="844"/>
      <c r="Q224" s="844"/>
      <c r="R224" s="844"/>
      <c r="S224" s="844"/>
      <c r="T224" s="844"/>
      <c r="U224" s="844"/>
      <c r="V224" s="844"/>
      <c r="W224" s="844"/>
      <c r="X224" s="844"/>
      <c r="Y224" s="844"/>
      <c r="Z224" s="844"/>
      <c r="AA224" s="844"/>
      <c r="AB224" s="844"/>
      <c r="AC224" s="844"/>
      <c r="AD224" s="844"/>
      <c r="AE224" s="844"/>
      <c r="AF224" s="844"/>
      <c r="AG224" s="844"/>
      <c r="AH224" s="844"/>
      <c r="AI224" s="844"/>
      <c r="AJ224" s="844"/>
      <c r="AK224" s="844"/>
      <c r="AL224" s="844"/>
      <c r="AM224" s="844"/>
      <c r="AN224" s="844"/>
      <c r="AO224" s="844"/>
      <c r="AP224" s="844"/>
      <c r="AQ224" s="844"/>
      <c r="AR224" s="844"/>
      <c r="AS224" s="844"/>
      <c r="AT224" s="844"/>
      <c r="AU224" s="844"/>
      <c r="AV224" s="844"/>
      <c r="AW224" s="844"/>
      <c r="AX224" s="795"/>
      <c r="AY224" s="849"/>
      <c r="AZ224" s="849"/>
      <c r="BA224" s="837"/>
      <c r="BB224" s="882">
        <v>9.9910807759417022</v>
      </c>
      <c r="BC224" s="882">
        <v>9.9910807759417022</v>
      </c>
      <c r="BD224" s="882">
        <v>9.9910807759417022</v>
      </c>
      <c r="BE224" s="882">
        <v>9.9910807759417022</v>
      </c>
      <c r="BF224" s="882">
        <v>9.9910807759417022</v>
      </c>
      <c r="BG224" s="882">
        <v>9.9910807759417022</v>
      </c>
      <c r="BH224" s="882">
        <v>9.9910807759417022</v>
      </c>
      <c r="BI224" s="882">
        <v>9.9910807759417022</v>
      </c>
      <c r="BJ224" s="883"/>
    </row>
    <row r="225" spans="2:62">
      <c r="B225" s="795"/>
      <c r="C225" s="795"/>
      <c r="D225" s="873"/>
      <c r="E225" s="795"/>
      <c r="F225" s="844"/>
      <c r="G225" s="844"/>
      <c r="H225" s="844"/>
      <c r="I225" s="844"/>
      <c r="J225" s="844"/>
      <c r="K225" s="844"/>
      <c r="L225" s="844"/>
      <c r="M225" s="844"/>
      <c r="N225" s="844"/>
      <c r="O225" s="844"/>
      <c r="P225" s="844"/>
      <c r="Q225" s="844"/>
      <c r="R225" s="844"/>
      <c r="S225" s="844"/>
      <c r="T225" s="844"/>
      <c r="U225" s="844"/>
      <c r="V225" s="844"/>
      <c r="W225" s="844"/>
      <c r="X225" s="844"/>
      <c r="Y225" s="844"/>
      <c r="Z225" s="844"/>
      <c r="AA225" s="844"/>
      <c r="AB225" s="844"/>
      <c r="AC225" s="844"/>
      <c r="AD225" s="844"/>
      <c r="AE225" s="844"/>
      <c r="AF225" s="844"/>
      <c r="AG225" s="844"/>
      <c r="AH225" s="844"/>
      <c r="AI225" s="844"/>
      <c r="AJ225" s="844"/>
      <c r="AK225" s="844"/>
      <c r="AL225" s="844"/>
      <c r="AM225" s="844"/>
      <c r="AN225" s="844"/>
      <c r="AO225" s="844"/>
      <c r="AP225" s="844"/>
      <c r="AQ225" s="844"/>
      <c r="AR225" s="844"/>
      <c r="AS225" s="844"/>
      <c r="AT225" s="844"/>
      <c r="AU225" s="844"/>
      <c r="AV225" s="844"/>
      <c r="AW225" s="844"/>
      <c r="AX225" s="795"/>
      <c r="AY225" s="849"/>
      <c r="AZ225" s="849"/>
      <c r="BA225" s="860"/>
      <c r="BB225" s="797"/>
      <c r="BC225" s="797"/>
      <c r="BD225" s="797"/>
      <c r="BE225" s="797"/>
      <c r="BF225" s="797"/>
      <c r="BG225" s="797"/>
      <c r="BH225" s="797"/>
      <c r="BI225" s="797"/>
      <c r="BJ225" s="849"/>
    </row>
    <row r="226" spans="2:62">
      <c r="B226" s="795"/>
      <c r="C226" s="844"/>
      <c r="D226" s="873"/>
      <c r="E226" s="795"/>
      <c r="F226" s="844"/>
      <c r="G226" s="844"/>
      <c r="H226" s="844"/>
      <c r="I226" s="844"/>
      <c r="J226" s="844"/>
      <c r="K226" s="844"/>
      <c r="L226" s="844"/>
      <c r="M226" s="844"/>
      <c r="N226" s="844"/>
      <c r="O226" s="844"/>
      <c r="P226" s="844"/>
      <c r="Q226" s="844"/>
      <c r="R226" s="844"/>
      <c r="S226" s="844"/>
      <c r="T226" s="844"/>
      <c r="U226" s="844"/>
      <c r="V226" s="844"/>
      <c r="W226" s="844"/>
      <c r="X226" s="844"/>
      <c r="Y226" s="844"/>
      <c r="Z226" s="844"/>
      <c r="AA226" s="844"/>
      <c r="AB226" s="844"/>
      <c r="AC226" s="844"/>
      <c r="AD226" s="844"/>
      <c r="AE226" s="844"/>
      <c r="AF226" s="844"/>
      <c r="AG226" s="844"/>
      <c r="AH226" s="844"/>
      <c r="AI226" s="844"/>
      <c r="AJ226" s="844"/>
      <c r="AK226" s="844"/>
      <c r="AL226" s="844"/>
      <c r="AM226" s="844"/>
      <c r="AN226" s="844"/>
      <c r="AO226" s="844"/>
      <c r="AP226" s="844"/>
      <c r="AQ226" s="844"/>
      <c r="AR226" s="844"/>
      <c r="AS226" s="844"/>
      <c r="AT226" s="844"/>
      <c r="AU226" s="844"/>
      <c r="AV226" s="844"/>
      <c r="AW226" s="844"/>
      <c r="AX226" s="795"/>
      <c r="AY226" s="849"/>
      <c r="AZ226" s="849"/>
      <c r="BA226" s="860"/>
      <c r="BB226" s="797"/>
      <c r="BC226" s="797"/>
      <c r="BD226" s="797"/>
      <c r="BE226" s="797"/>
      <c r="BF226" s="797"/>
      <c r="BG226" s="797"/>
      <c r="BH226" s="797"/>
      <c r="BI226" s="797"/>
      <c r="BJ226" s="849" t="s">
        <v>4153</v>
      </c>
    </row>
    <row r="227" spans="2:62">
      <c r="B227" s="795"/>
      <c r="C227" s="874" t="s">
        <v>3912</v>
      </c>
      <c r="D227" s="875"/>
      <c r="E227" s="876"/>
      <c r="F227" s="877"/>
      <c r="G227" s="877"/>
      <c r="H227" s="877"/>
      <c r="I227" s="877"/>
      <c r="J227" s="877"/>
      <c r="K227" s="877"/>
      <c r="L227" s="877"/>
      <c r="M227" s="877"/>
      <c r="N227" s="877"/>
      <c r="O227" s="877"/>
      <c r="P227" s="877"/>
      <c r="Q227" s="877"/>
      <c r="R227" s="877"/>
      <c r="S227" s="877"/>
      <c r="T227" s="877"/>
      <c r="U227" s="877"/>
      <c r="V227" s="877"/>
      <c r="W227" s="877"/>
      <c r="X227" s="877"/>
      <c r="Y227" s="877"/>
      <c r="Z227" s="877"/>
      <c r="AA227" s="877"/>
      <c r="AB227" s="877"/>
      <c r="AC227" s="877"/>
      <c r="AD227" s="877"/>
      <c r="AE227" s="877"/>
      <c r="AF227" s="877"/>
      <c r="AG227" s="877"/>
      <c r="AH227" s="877"/>
      <c r="AI227" s="877"/>
      <c r="AJ227" s="877"/>
      <c r="AK227" s="877"/>
      <c r="AL227" s="877"/>
      <c r="AM227" s="877"/>
      <c r="AN227" s="877"/>
      <c r="AO227" s="877"/>
      <c r="AP227" s="877"/>
      <c r="AQ227" s="877"/>
      <c r="AR227" s="877"/>
      <c r="AS227" s="877"/>
      <c r="AT227" s="877"/>
      <c r="AU227" s="877"/>
      <c r="AV227" s="877"/>
      <c r="AW227" s="877"/>
      <c r="AX227" s="876"/>
      <c r="AY227" s="878"/>
      <c r="AZ227" s="878"/>
      <c r="BA227" s="879"/>
      <c r="BB227" s="880">
        <v>2020</v>
      </c>
      <c r="BC227" s="880">
        <v>2022</v>
      </c>
      <c r="BD227" s="880">
        <v>2027</v>
      </c>
      <c r="BE227" s="879">
        <v>2032</v>
      </c>
      <c r="BF227" s="880">
        <v>2037</v>
      </c>
      <c r="BG227" s="880">
        <v>2042</v>
      </c>
      <c r="BH227" s="880">
        <v>2047</v>
      </c>
      <c r="BI227" s="880">
        <v>2030</v>
      </c>
      <c r="BJ227" s="881"/>
    </row>
    <row r="228" spans="2:62">
      <c r="B228" s="795"/>
      <c r="C228" s="857" t="s">
        <v>4154</v>
      </c>
      <c r="D228" s="873"/>
      <c r="E228" s="795" t="s">
        <v>4153</v>
      </c>
      <c r="F228" s="844"/>
      <c r="G228" s="844"/>
      <c r="H228" s="844"/>
      <c r="I228" s="844"/>
      <c r="J228" s="844"/>
      <c r="K228" s="844"/>
      <c r="L228" s="844"/>
      <c r="M228" s="844"/>
      <c r="N228" s="844"/>
      <c r="O228" s="844"/>
      <c r="P228" s="844"/>
      <c r="Q228" s="844"/>
      <c r="R228" s="844"/>
      <c r="S228" s="844"/>
      <c r="T228" s="844"/>
      <c r="U228" s="844"/>
      <c r="V228" s="844"/>
      <c r="W228" s="844"/>
      <c r="X228" s="844"/>
      <c r="Y228" s="844"/>
      <c r="Z228" s="844"/>
      <c r="AA228" s="844"/>
      <c r="AB228" s="844"/>
      <c r="AC228" s="844"/>
      <c r="AD228" s="844"/>
      <c r="AE228" s="844"/>
      <c r="AF228" s="844"/>
      <c r="AG228" s="844"/>
      <c r="AH228" s="844"/>
      <c r="AI228" s="844"/>
      <c r="AJ228" s="844"/>
      <c r="AK228" s="844"/>
      <c r="AL228" s="844"/>
      <c r="AM228" s="844"/>
      <c r="AN228" s="844"/>
      <c r="AO228" s="844"/>
      <c r="AP228" s="844"/>
      <c r="AQ228" s="844"/>
      <c r="AR228" s="844"/>
      <c r="AS228" s="844"/>
      <c r="AT228" s="844"/>
      <c r="AU228" s="844"/>
      <c r="AV228" s="844"/>
      <c r="AW228" s="844"/>
      <c r="AX228" s="795"/>
      <c r="AY228" s="849"/>
      <c r="AZ228" s="849"/>
      <c r="BA228" s="837"/>
      <c r="BB228" s="882">
        <v>31.592000000000006</v>
      </c>
      <c r="BC228" s="882">
        <v>33.139554338880004</v>
      </c>
      <c r="BD228" s="882">
        <v>37.3482727043964</v>
      </c>
      <c r="BE228" s="882">
        <v>42.091497662822938</v>
      </c>
      <c r="BF228" s="882">
        <v>47.437111470241476</v>
      </c>
      <c r="BG228" s="882">
        <v>53.461617418941607</v>
      </c>
      <c r="BH228" s="882">
        <v>60.251234707709145</v>
      </c>
      <c r="BI228" s="882">
        <v>40.125904547962108</v>
      </c>
      <c r="BJ228" s="883"/>
    </row>
    <row r="229" spans="2:62">
      <c r="B229" s="795"/>
      <c r="C229" s="857" t="s">
        <v>4155</v>
      </c>
      <c r="D229" s="873"/>
      <c r="E229" s="795" t="s">
        <v>4153</v>
      </c>
      <c r="F229" s="844"/>
      <c r="G229" s="844"/>
      <c r="H229" s="844"/>
      <c r="I229" s="844"/>
      <c r="J229" s="844"/>
      <c r="K229" s="844"/>
      <c r="L229" s="844"/>
      <c r="M229" s="844"/>
      <c r="N229" s="844"/>
      <c r="O229" s="844"/>
      <c r="P229" s="844"/>
      <c r="Q229" s="844"/>
      <c r="R229" s="844"/>
      <c r="S229" s="844"/>
      <c r="T229" s="844"/>
      <c r="U229" s="844"/>
      <c r="V229" s="844"/>
      <c r="W229" s="844"/>
      <c r="X229" s="844"/>
      <c r="Y229" s="844"/>
      <c r="Z229" s="844"/>
      <c r="AA229" s="844"/>
      <c r="AB229" s="844"/>
      <c r="AC229" s="844"/>
      <c r="AD229" s="844"/>
      <c r="AE229" s="844"/>
      <c r="AF229" s="844"/>
      <c r="AG229" s="844"/>
      <c r="AH229" s="844"/>
      <c r="AI229" s="844"/>
      <c r="AJ229" s="844"/>
      <c r="AK229" s="844"/>
      <c r="AL229" s="844"/>
      <c r="AM229" s="844"/>
      <c r="AN229" s="844"/>
      <c r="AO229" s="844"/>
      <c r="AP229" s="844"/>
      <c r="AQ229" s="844"/>
      <c r="AR229" s="844"/>
      <c r="AS229" s="844"/>
      <c r="AT229" s="844"/>
      <c r="AU229" s="844"/>
      <c r="AV229" s="844"/>
      <c r="AW229" s="844"/>
      <c r="AX229" s="795"/>
      <c r="AY229" s="849"/>
      <c r="AZ229" s="849"/>
      <c r="BA229" s="837"/>
      <c r="BB229" s="882">
        <v>31.592000000000006</v>
      </c>
      <c r="BC229" s="882">
        <v>32.495583010880004</v>
      </c>
      <c r="BD229" s="882">
        <v>34.869230565265056</v>
      </c>
      <c r="BE229" s="882">
        <v>37.416261767223126</v>
      </c>
      <c r="BF229" s="882">
        <v>40.149341466339891</v>
      </c>
      <c r="BG229" s="882">
        <v>43.082059619137461</v>
      </c>
      <c r="BH229" s="882">
        <v>46.228998863729494</v>
      </c>
      <c r="BI229" s="882">
        <v>36.375852722948331</v>
      </c>
      <c r="BJ229" s="883"/>
    </row>
    <row r="230" spans="2:62">
      <c r="B230" s="795"/>
      <c r="C230" s="857" t="s">
        <v>4156</v>
      </c>
      <c r="D230" s="873"/>
      <c r="E230" s="795" t="s">
        <v>4153</v>
      </c>
      <c r="F230" s="844"/>
      <c r="G230" s="844"/>
      <c r="H230" s="844"/>
      <c r="I230" s="844"/>
      <c r="J230" s="844"/>
      <c r="K230" s="844"/>
      <c r="L230" s="844"/>
      <c r="M230" s="844"/>
      <c r="N230" s="844"/>
      <c r="O230" s="844"/>
      <c r="P230" s="844"/>
      <c r="Q230" s="844"/>
      <c r="R230" s="844"/>
      <c r="S230" s="844"/>
      <c r="T230" s="844"/>
      <c r="U230" s="844"/>
      <c r="V230" s="844"/>
      <c r="W230" s="844"/>
      <c r="X230" s="844"/>
      <c r="Y230" s="844"/>
      <c r="Z230" s="844"/>
      <c r="AA230" s="844"/>
      <c r="AB230" s="844"/>
      <c r="AC230" s="844"/>
      <c r="AD230" s="844"/>
      <c r="AE230" s="844"/>
      <c r="AF230" s="844"/>
      <c r="AG230" s="844"/>
      <c r="AH230" s="844"/>
      <c r="AI230" s="844"/>
      <c r="AJ230" s="844"/>
      <c r="AK230" s="844"/>
      <c r="AL230" s="844"/>
      <c r="AM230" s="844"/>
      <c r="AN230" s="844"/>
      <c r="AO230" s="844"/>
      <c r="AP230" s="844"/>
      <c r="AQ230" s="844"/>
      <c r="AR230" s="844"/>
      <c r="AS230" s="844"/>
      <c r="AT230" s="844"/>
      <c r="AU230" s="844"/>
      <c r="AV230" s="844"/>
      <c r="AW230" s="844"/>
      <c r="AX230" s="795"/>
      <c r="AY230" s="849"/>
      <c r="AZ230" s="849"/>
      <c r="BA230" s="837"/>
      <c r="BB230" s="882">
        <v>31.592000000000006</v>
      </c>
      <c r="BC230" s="882">
        <v>31.592000000000006</v>
      </c>
      <c r="BD230" s="882">
        <v>31.592000000000006</v>
      </c>
      <c r="BE230" s="882">
        <v>31.592000000000006</v>
      </c>
      <c r="BF230" s="882">
        <v>31.592000000000006</v>
      </c>
      <c r="BG230" s="882">
        <v>31.592000000000006</v>
      </c>
      <c r="BH230" s="882">
        <v>31.592000000000006</v>
      </c>
      <c r="BI230" s="882">
        <v>31.592000000000006</v>
      </c>
      <c r="BJ230" s="883"/>
    </row>
    <row r="231" spans="2:62">
      <c r="B231" s="795"/>
      <c r="C231" s="857"/>
      <c r="D231" s="873"/>
      <c r="E231" s="795"/>
      <c r="F231" s="844"/>
      <c r="G231" s="844"/>
      <c r="H231" s="844"/>
      <c r="I231" s="844"/>
      <c r="J231" s="844"/>
      <c r="K231" s="844"/>
      <c r="L231" s="844"/>
      <c r="M231" s="844"/>
      <c r="N231" s="844"/>
      <c r="O231" s="844"/>
      <c r="P231" s="844"/>
      <c r="Q231" s="844"/>
      <c r="R231" s="844"/>
      <c r="S231" s="844"/>
      <c r="T231" s="844"/>
      <c r="U231" s="844"/>
      <c r="V231" s="844"/>
      <c r="W231" s="844"/>
      <c r="X231" s="844"/>
      <c r="Y231" s="844"/>
      <c r="Z231" s="844"/>
      <c r="AA231" s="844"/>
      <c r="AB231" s="844"/>
      <c r="AC231" s="844"/>
      <c r="AD231" s="844"/>
      <c r="AE231" s="844"/>
      <c r="AF231" s="844"/>
      <c r="AG231" s="844"/>
      <c r="AH231" s="844"/>
      <c r="AI231" s="844"/>
      <c r="AJ231" s="844"/>
      <c r="AK231" s="844"/>
      <c r="AL231" s="844"/>
      <c r="AM231" s="844"/>
      <c r="AN231" s="844"/>
      <c r="AO231" s="844"/>
      <c r="AP231" s="844"/>
      <c r="AQ231" s="844"/>
      <c r="AR231" s="844"/>
      <c r="AS231" s="844"/>
      <c r="AT231" s="844"/>
      <c r="AU231" s="844"/>
      <c r="AV231" s="844"/>
      <c r="AW231" s="844"/>
      <c r="AX231" s="795"/>
      <c r="AY231" s="849"/>
      <c r="AZ231" s="849"/>
      <c r="BA231" s="837"/>
      <c r="BB231" s="884"/>
      <c r="BC231" s="884"/>
      <c r="BD231" s="884"/>
      <c r="BE231" s="884"/>
      <c r="BF231" s="884"/>
      <c r="BG231" s="884"/>
      <c r="BH231" s="884"/>
      <c r="BI231" s="884"/>
      <c r="BJ231" s="885"/>
    </row>
    <row r="232" spans="2:62">
      <c r="B232" s="795"/>
      <c r="C232" s="844"/>
      <c r="D232" s="850"/>
      <c r="E232" s="795"/>
      <c r="F232" s="844"/>
      <c r="G232" s="844"/>
      <c r="H232" s="844"/>
      <c r="I232" s="844"/>
      <c r="J232" s="844"/>
      <c r="K232" s="844"/>
      <c r="L232" s="844"/>
      <c r="M232" s="844"/>
      <c r="N232" s="844"/>
      <c r="O232" s="844"/>
      <c r="P232" s="844"/>
      <c r="Q232" s="844"/>
      <c r="R232" s="844"/>
      <c r="S232" s="844"/>
      <c r="T232" s="844"/>
      <c r="U232" s="844"/>
      <c r="V232" s="844"/>
      <c r="W232" s="844"/>
      <c r="X232" s="844"/>
      <c r="Y232" s="844"/>
      <c r="Z232" s="844"/>
      <c r="AA232" s="844"/>
      <c r="AB232" s="844"/>
      <c r="AC232" s="844"/>
      <c r="AD232" s="844"/>
      <c r="AE232" s="844"/>
      <c r="AF232" s="844"/>
      <c r="AG232" s="844"/>
      <c r="AH232" s="844"/>
      <c r="AI232" s="844"/>
      <c r="AJ232" s="844"/>
      <c r="AK232" s="844"/>
      <c r="AL232" s="844"/>
      <c r="AM232" s="844"/>
      <c r="AN232" s="844"/>
      <c r="AO232" s="844"/>
      <c r="AP232" s="844"/>
      <c r="AQ232" s="844"/>
      <c r="AR232" s="844"/>
      <c r="AS232" s="844"/>
      <c r="AT232" s="844"/>
      <c r="AU232" s="844"/>
      <c r="AV232" s="844"/>
      <c r="AW232" s="844"/>
      <c r="AX232" s="795"/>
      <c r="AY232" s="849"/>
      <c r="AZ232" s="849"/>
      <c r="BA232" s="860"/>
      <c r="BB232" s="797"/>
      <c r="BC232" s="797"/>
      <c r="BD232" s="797"/>
      <c r="BE232" s="797"/>
      <c r="BF232" s="797"/>
      <c r="BG232" s="797"/>
      <c r="BH232" s="797"/>
      <c r="BI232" s="797"/>
      <c r="BJ232" s="849" t="s">
        <v>4153</v>
      </c>
    </row>
    <row r="233" spans="2:62">
      <c r="B233" s="795"/>
      <c r="C233" s="874" t="s">
        <v>448</v>
      </c>
      <c r="D233" s="875"/>
      <c r="E233" s="876"/>
      <c r="F233" s="877"/>
      <c r="G233" s="877"/>
      <c r="H233" s="877"/>
      <c r="I233" s="877"/>
      <c r="J233" s="877"/>
      <c r="K233" s="877"/>
      <c r="L233" s="877"/>
      <c r="M233" s="877"/>
      <c r="N233" s="877"/>
      <c r="O233" s="877"/>
      <c r="P233" s="877"/>
      <c r="Q233" s="877"/>
      <c r="R233" s="877"/>
      <c r="S233" s="877"/>
      <c r="T233" s="877"/>
      <c r="U233" s="877"/>
      <c r="V233" s="877"/>
      <c r="W233" s="877"/>
      <c r="X233" s="877"/>
      <c r="Y233" s="877"/>
      <c r="Z233" s="877"/>
      <c r="AA233" s="877"/>
      <c r="AB233" s="877"/>
      <c r="AC233" s="877"/>
      <c r="AD233" s="877"/>
      <c r="AE233" s="877"/>
      <c r="AF233" s="877"/>
      <c r="AG233" s="877"/>
      <c r="AH233" s="877"/>
      <c r="AI233" s="877"/>
      <c r="AJ233" s="877"/>
      <c r="AK233" s="877"/>
      <c r="AL233" s="877"/>
      <c r="AM233" s="877"/>
      <c r="AN233" s="877"/>
      <c r="AO233" s="877"/>
      <c r="AP233" s="877"/>
      <c r="AQ233" s="877"/>
      <c r="AR233" s="877"/>
      <c r="AS233" s="877"/>
      <c r="AT233" s="877"/>
      <c r="AU233" s="877"/>
      <c r="AV233" s="877"/>
      <c r="AW233" s="877"/>
      <c r="AX233" s="876"/>
      <c r="AY233" s="878"/>
      <c r="AZ233" s="878"/>
      <c r="BA233" s="879"/>
      <c r="BB233" s="880">
        <v>2020</v>
      </c>
      <c r="BC233" s="880">
        <v>2022</v>
      </c>
      <c r="BD233" s="880">
        <v>2027</v>
      </c>
      <c r="BE233" s="879">
        <v>2032</v>
      </c>
      <c r="BF233" s="880">
        <v>2037</v>
      </c>
      <c r="BG233" s="880">
        <v>2042</v>
      </c>
      <c r="BH233" s="880">
        <v>2047</v>
      </c>
      <c r="BI233" s="880">
        <v>2030</v>
      </c>
      <c r="BJ233" s="880"/>
    </row>
    <row r="234" spans="2:62">
      <c r="B234" s="795"/>
      <c r="C234" s="857" t="s">
        <v>4154</v>
      </c>
      <c r="D234" s="873"/>
      <c r="E234" s="795" t="s">
        <v>4153</v>
      </c>
      <c r="F234" s="844"/>
      <c r="G234" s="844"/>
      <c r="H234" s="844"/>
      <c r="I234" s="844"/>
      <c r="J234" s="844"/>
      <c r="K234" s="844"/>
      <c r="L234" s="844"/>
      <c r="M234" s="844"/>
      <c r="N234" s="844"/>
      <c r="O234" s="844"/>
      <c r="P234" s="844"/>
      <c r="Q234" s="844"/>
      <c r="R234" s="844"/>
      <c r="S234" s="844"/>
      <c r="T234" s="844"/>
      <c r="U234" s="844"/>
      <c r="V234" s="844"/>
      <c r="W234" s="844"/>
      <c r="X234" s="844"/>
      <c r="Y234" s="844"/>
      <c r="Z234" s="844"/>
      <c r="AA234" s="844"/>
      <c r="AB234" s="844"/>
      <c r="AC234" s="844"/>
      <c r="AD234" s="844"/>
      <c r="AE234" s="844"/>
      <c r="AF234" s="844"/>
      <c r="AG234" s="844"/>
      <c r="AH234" s="844"/>
      <c r="AI234" s="844"/>
      <c r="AJ234" s="844"/>
      <c r="AK234" s="844"/>
      <c r="AL234" s="844"/>
      <c r="AM234" s="844"/>
      <c r="AN234" s="844"/>
      <c r="AO234" s="844"/>
      <c r="AP234" s="844"/>
      <c r="AQ234" s="844"/>
      <c r="AR234" s="844"/>
      <c r="AS234" s="844"/>
      <c r="AT234" s="844"/>
      <c r="AU234" s="844"/>
      <c r="AV234" s="844"/>
      <c r="AW234" s="844"/>
      <c r="AX234" s="795"/>
      <c r="AY234" s="849"/>
      <c r="AZ234" s="849"/>
      <c r="BA234" s="837"/>
      <c r="BB234" s="882">
        <v>22.13595215311005</v>
      </c>
      <c r="BC234" s="882">
        <v>25.296102818440193</v>
      </c>
      <c r="BD234" s="882">
        <v>35.313612233410709</v>
      </c>
      <c r="BE234" s="882">
        <v>49.298155447985714</v>
      </c>
      <c r="BF234" s="882">
        <v>68.820717476033636</v>
      </c>
      <c r="BG234" s="882">
        <v>96.074409090483783</v>
      </c>
      <c r="BH234" s="882">
        <v>134.12083483872462</v>
      </c>
      <c r="BI234" s="882">
        <v>43.139515128697703</v>
      </c>
      <c r="BJ234" s="884"/>
    </row>
    <row r="235" spans="2:62">
      <c r="B235" s="795"/>
      <c r="C235" s="857" t="s">
        <v>4155</v>
      </c>
      <c r="D235" s="873"/>
      <c r="E235" s="795" t="s">
        <v>4153</v>
      </c>
      <c r="F235" s="844"/>
      <c r="G235" s="844"/>
      <c r="H235" s="844"/>
      <c r="I235" s="844"/>
      <c r="J235" s="844"/>
      <c r="K235" s="844"/>
      <c r="L235" s="844"/>
      <c r="M235" s="844"/>
      <c r="N235" s="844"/>
      <c r="O235" s="844"/>
      <c r="P235" s="844"/>
      <c r="Q235" s="844"/>
      <c r="R235" s="844"/>
      <c r="S235" s="844"/>
      <c r="T235" s="844"/>
      <c r="U235" s="844"/>
      <c r="V235" s="844"/>
      <c r="W235" s="844"/>
      <c r="X235" s="844"/>
      <c r="Y235" s="844"/>
      <c r="Z235" s="844"/>
      <c r="AA235" s="844"/>
      <c r="AB235" s="844"/>
      <c r="AC235" s="844"/>
      <c r="AD235" s="844"/>
      <c r="AE235" s="844"/>
      <c r="AF235" s="844"/>
      <c r="AG235" s="844"/>
      <c r="AH235" s="844"/>
      <c r="AI235" s="844"/>
      <c r="AJ235" s="844"/>
      <c r="AK235" s="844"/>
      <c r="AL235" s="844"/>
      <c r="AM235" s="844"/>
      <c r="AN235" s="844"/>
      <c r="AO235" s="844"/>
      <c r="AP235" s="844"/>
      <c r="AQ235" s="844"/>
      <c r="AR235" s="844"/>
      <c r="AS235" s="844"/>
      <c r="AT235" s="844"/>
      <c r="AU235" s="844"/>
      <c r="AV235" s="844"/>
      <c r="AW235" s="844"/>
      <c r="AX235" s="795"/>
      <c r="AY235" s="849"/>
      <c r="AZ235" s="849"/>
      <c r="BA235" s="837"/>
      <c r="BB235" s="882">
        <v>22.13595215311005</v>
      </c>
      <c r="BC235" s="882">
        <v>24.825049756622011</v>
      </c>
      <c r="BD235" s="882">
        <v>33.065106674273181</v>
      </c>
      <c r="BE235" s="882">
        <v>44.040245240170357</v>
      </c>
      <c r="BF235" s="882">
        <v>58.658307681294716</v>
      </c>
      <c r="BG235" s="882">
        <v>78.128471839093891</v>
      </c>
      <c r="BH235" s="882">
        <v>104.06127202095507</v>
      </c>
      <c r="BI235" s="882">
        <v>39.269720343162618</v>
      </c>
      <c r="BJ235" s="884"/>
    </row>
    <row r="236" spans="2:62">
      <c r="B236" s="795"/>
      <c r="C236" s="857" t="s">
        <v>4156</v>
      </c>
      <c r="D236" s="873"/>
      <c r="E236" s="795" t="s">
        <v>4153</v>
      </c>
      <c r="F236" s="844"/>
      <c r="G236" s="844"/>
      <c r="H236" s="844"/>
      <c r="I236" s="844"/>
      <c r="J236" s="844"/>
      <c r="K236" s="844"/>
      <c r="L236" s="844"/>
      <c r="M236" s="844"/>
      <c r="N236" s="844"/>
      <c r="O236" s="844"/>
      <c r="P236" s="844"/>
      <c r="Q236" s="844"/>
      <c r="R236" s="844"/>
      <c r="S236" s="844"/>
      <c r="T236" s="844"/>
      <c r="U236" s="844"/>
      <c r="V236" s="844"/>
      <c r="W236" s="844"/>
      <c r="X236" s="844"/>
      <c r="Y236" s="844"/>
      <c r="Z236" s="844"/>
      <c r="AA236" s="844"/>
      <c r="AB236" s="844"/>
      <c r="AC236" s="844"/>
      <c r="AD236" s="844"/>
      <c r="AE236" s="844"/>
      <c r="AF236" s="844"/>
      <c r="AG236" s="844"/>
      <c r="AH236" s="844"/>
      <c r="AI236" s="844"/>
      <c r="AJ236" s="844"/>
      <c r="AK236" s="844"/>
      <c r="AL236" s="844"/>
      <c r="AM236" s="844"/>
      <c r="AN236" s="844"/>
      <c r="AO236" s="844"/>
      <c r="AP236" s="844"/>
      <c r="AQ236" s="844"/>
      <c r="AR236" s="844"/>
      <c r="AS236" s="844"/>
      <c r="AT236" s="844"/>
      <c r="AU236" s="844"/>
      <c r="AV236" s="844"/>
      <c r="AW236" s="844"/>
      <c r="AX236" s="795"/>
      <c r="AY236" s="849"/>
      <c r="AZ236" s="849"/>
      <c r="BA236" s="837"/>
      <c r="BB236" s="882">
        <v>22.13595215311005</v>
      </c>
      <c r="BC236" s="882">
        <v>22.13595215311005</v>
      </c>
      <c r="BD236" s="882">
        <v>22.13595215311005</v>
      </c>
      <c r="BE236" s="882">
        <v>22.13595215311005</v>
      </c>
      <c r="BF236" s="882">
        <v>22.13595215311005</v>
      </c>
      <c r="BG236" s="882">
        <v>22.13595215311005</v>
      </c>
      <c r="BH236" s="882">
        <v>22.13595215311005</v>
      </c>
      <c r="BI236" s="882">
        <v>22.13595215311005</v>
      </c>
      <c r="BJ236" s="884"/>
    </row>
    <row r="237" spans="2:62">
      <c r="B237" s="795"/>
      <c r="C237" s="795"/>
      <c r="D237" s="795"/>
      <c r="E237" s="795"/>
      <c r="F237" s="795"/>
      <c r="G237" s="795"/>
      <c r="H237" s="795"/>
      <c r="I237" s="795"/>
      <c r="J237" s="795"/>
      <c r="K237" s="795"/>
      <c r="L237" s="795"/>
      <c r="M237" s="795"/>
      <c r="N237" s="795"/>
      <c r="O237" s="795"/>
      <c r="P237" s="795"/>
      <c r="Q237" s="795"/>
      <c r="R237" s="795"/>
      <c r="S237" s="795"/>
      <c r="T237" s="795"/>
      <c r="U237" s="795"/>
      <c r="V237" s="795"/>
      <c r="W237" s="795"/>
      <c r="X237" s="795"/>
      <c r="Y237" s="795"/>
      <c r="Z237" s="795"/>
      <c r="AA237" s="795"/>
      <c r="AB237" s="795"/>
      <c r="AC237" s="795"/>
      <c r="AD237" s="795"/>
      <c r="AE237" s="795"/>
      <c r="AF237" s="795"/>
      <c r="AG237" s="795"/>
      <c r="AH237" s="795"/>
      <c r="AI237" s="795"/>
      <c r="AJ237" s="795"/>
      <c r="AK237" s="795"/>
      <c r="AL237" s="795"/>
      <c r="AM237" s="795"/>
      <c r="AN237" s="795"/>
      <c r="AO237" s="795"/>
      <c r="AP237" s="795"/>
      <c r="AQ237" s="795"/>
      <c r="AR237" s="795"/>
      <c r="AS237" s="795"/>
      <c r="AT237" s="795"/>
      <c r="AU237" s="795"/>
      <c r="AV237" s="795"/>
      <c r="AW237" s="795"/>
      <c r="AX237" s="795"/>
      <c r="AY237" s="849"/>
      <c r="AZ237" s="849"/>
      <c r="BA237" s="860"/>
      <c r="BB237" s="797"/>
      <c r="BC237" s="797"/>
      <c r="BD237" s="797"/>
      <c r="BE237" s="797"/>
      <c r="BF237" s="797"/>
      <c r="BG237" s="797"/>
      <c r="BH237" s="797"/>
      <c r="BI237" s="797"/>
      <c r="BJ237" s="795"/>
    </row>
    <row r="238" spans="2:62">
      <c r="B238" s="795"/>
      <c r="C238" s="795"/>
      <c r="D238" s="795"/>
      <c r="E238" s="795"/>
      <c r="F238" s="795"/>
      <c r="G238" s="795"/>
      <c r="H238" s="795"/>
      <c r="I238" s="795"/>
      <c r="J238" s="795"/>
      <c r="K238" s="795"/>
      <c r="L238" s="795"/>
      <c r="M238" s="795"/>
      <c r="N238" s="795"/>
      <c r="O238" s="795"/>
      <c r="P238" s="795"/>
      <c r="Q238" s="795"/>
      <c r="R238" s="795"/>
      <c r="S238" s="795"/>
      <c r="T238" s="795"/>
      <c r="U238" s="795"/>
      <c r="V238" s="795"/>
      <c r="W238" s="795"/>
      <c r="X238" s="795"/>
      <c r="Y238" s="795"/>
      <c r="Z238" s="795"/>
      <c r="AA238" s="795"/>
      <c r="AB238" s="795"/>
      <c r="AC238" s="795"/>
      <c r="AD238" s="795"/>
      <c r="AE238" s="795"/>
      <c r="AF238" s="795"/>
      <c r="AG238" s="795"/>
      <c r="AH238" s="795"/>
      <c r="AI238" s="795"/>
      <c r="AJ238" s="795"/>
      <c r="AK238" s="795"/>
      <c r="AL238" s="795"/>
      <c r="AM238" s="795"/>
      <c r="AN238" s="795"/>
      <c r="AO238" s="795"/>
      <c r="AP238" s="795"/>
      <c r="AQ238" s="795"/>
      <c r="AR238" s="795"/>
      <c r="AS238" s="795"/>
      <c r="AT238" s="795"/>
      <c r="AU238" s="795"/>
      <c r="AV238" s="795"/>
      <c r="AW238" s="795"/>
      <c r="AX238" s="795"/>
      <c r="AY238" s="849"/>
      <c r="AZ238" s="849"/>
      <c r="BA238" s="797"/>
      <c r="BB238" s="797"/>
      <c r="BC238" s="797"/>
      <c r="BD238" s="797"/>
      <c r="BE238" s="797"/>
      <c r="BF238" s="797"/>
      <c r="BG238" s="797"/>
      <c r="BH238" s="797"/>
      <c r="BI238" s="797"/>
      <c r="BJ238" s="795"/>
    </row>
    <row r="239" spans="2:62" ht="14">
      <c r="AY239" s="886"/>
      <c r="AZ239" s="886"/>
      <c r="BA239" s="887"/>
      <c r="BB239" s="871"/>
    </row>
    <row r="240" spans="2:62">
      <c r="AY240" s="888"/>
      <c r="AZ240" s="888"/>
      <c r="BA240" s="887"/>
      <c r="BB240" s="871"/>
    </row>
    <row r="241" spans="51:54">
      <c r="AY241" s="888"/>
      <c r="AZ241" s="888"/>
      <c r="BA241" s="887"/>
    </row>
    <row r="242" spans="51:54">
      <c r="AY242" s="888"/>
      <c r="AZ242" s="888"/>
      <c r="BA242" s="887"/>
      <c r="BB242" s="871"/>
    </row>
    <row r="243" spans="51:54">
      <c r="AY243" s="888"/>
      <c r="AZ243" s="888"/>
      <c r="BA243" s="887"/>
      <c r="BB243" s="871"/>
    </row>
    <row r="244" spans="51:54">
      <c r="AY244" s="888"/>
      <c r="AZ244" s="888"/>
      <c r="BA244" s="887"/>
      <c r="BB244" s="871"/>
    </row>
    <row r="245" spans="51:54">
      <c r="AY245" s="888"/>
      <c r="AZ245" s="888"/>
      <c r="BA245" s="887"/>
      <c r="BB245" s="871"/>
    </row>
    <row r="246" spans="51:54">
      <c r="AY246" s="888"/>
      <c r="AZ246" s="888"/>
      <c r="BA246" s="887"/>
      <c r="BB246" s="871"/>
    </row>
    <row r="247" spans="51:54">
      <c r="AY247" s="888"/>
      <c r="AZ247" s="888"/>
      <c r="BA247" s="887"/>
      <c r="BB247" s="871"/>
    </row>
    <row r="248" spans="51:54">
      <c r="AY248" s="888"/>
      <c r="AZ248" s="888"/>
      <c r="BA248" s="887"/>
      <c r="BB248" s="871"/>
    </row>
    <row r="249" spans="51:54">
      <c r="AY249" s="888"/>
      <c r="AZ249" s="888"/>
      <c r="BA249" s="887"/>
      <c r="BB249" s="871"/>
    </row>
    <row r="250" spans="51:54">
      <c r="AY250" s="888"/>
      <c r="AZ250" s="888"/>
      <c r="BA250" s="887"/>
      <c r="BB250" s="871"/>
    </row>
    <row r="251" spans="51:54">
      <c r="AY251" s="888"/>
      <c r="AZ251" s="888"/>
      <c r="BA251" s="887"/>
      <c r="BB251" s="871"/>
    </row>
    <row r="252" spans="51:54">
      <c r="AY252" s="888"/>
      <c r="AZ252" s="888"/>
      <c r="BA252" s="887"/>
    </row>
    <row r="253" spans="51:54">
      <c r="AY253" s="888"/>
      <c r="AZ253" s="888"/>
      <c r="BA253" s="887"/>
      <c r="BB253" s="871"/>
    </row>
    <row r="254" spans="51:54">
      <c r="AY254" s="888"/>
      <c r="AZ254" s="888"/>
      <c r="BA254" s="887"/>
      <c r="BB254" s="871"/>
    </row>
    <row r="255" spans="51:54">
      <c r="AY255" s="888"/>
      <c r="AZ255" s="888"/>
      <c r="BA255" s="887"/>
      <c r="BB255" s="871"/>
    </row>
    <row r="256" spans="51:54">
      <c r="AY256" s="888"/>
      <c r="AZ256" s="888"/>
      <c r="BA256" s="887"/>
      <c r="BB256" s="871"/>
    </row>
    <row r="257" spans="51:54">
      <c r="AY257" s="888"/>
      <c r="AZ257" s="888"/>
      <c r="BA257" s="887"/>
      <c r="BB257" s="871"/>
    </row>
    <row r="258" spans="51:54">
      <c r="AY258" s="888"/>
      <c r="AZ258" s="888"/>
      <c r="BA258" s="887"/>
      <c r="BB258" s="871"/>
    </row>
    <row r="259" spans="51:54">
      <c r="AY259" s="888"/>
      <c r="AZ259" s="888"/>
      <c r="BA259" s="887"/>
      <c r="BB259" s="871"/>
    </row>
    <row r="260" spans="51:54">
      <c r="AY260" s="889"/>
      <c r="AZ260" s="889"/>
      <c r="BA260" s="887"/>
      <c r="BB260" s="871"/>
    </row>
    <row r="261" spans="51:54">
      <c r="AY261" s="888"/>
      <c r="AZ261" s="888"/>
      <c r="BA261" s="887"/>
      <c r="BB261" s="871"/>
    </row>
    <row r="262" spans="51:54">
      <c r="AY262" s="889"/>
      <c r="AZ262" s="889"/>
      <c r="BA262" s="887"/>
      <c r="BB262" s="871"/>
    </row>
    <row r="263" spans="51:54">
      <c r="AY263" s="889"/>
      <c r="AZ263" s="889"/>
      <c r="BA263" s="887"/>
      <c r="BB263" s="871"/>
    </row>
    <row r="264" spans="51:54">
      <c r="AY264" s="889"/>
      <c r="AZ264" s="889"/>
      <c r="BA264" s="887"/>
      <c r="BB264" s="871"/>
    </row>
    <row r="265" spans="51:54">
      <c r="AY265" s="889"/>
      <c r="AZ265" s="889"/>
      <c r="BA265" s="887"/>
      <c r="BB265" s="871"/>
    </row>
    <row r="266" spans="51:54">
      <c r="AY266" s="889"/>
      <c r="AZ266" s="889"/>
    </row>
    <row r="267" spans="51:54">
      <c r="AY267" s="889"/>
      <c r="AZ267" s="889"/>
    </row>
    <row r="268" spans="51:54">
      <c r="AY268" s="888"/>
      <c r="AZ268" s="888"/>
    </row>
    <row r="269" spans="51:54">
      <c r="AY269" s="888"/>
      <c r="AZ269" s="888"/>
    </row>
    <row r="270" spans="51:54">
      <c r="AY270" s="888"/>
      <c r="AZ270" s="888"/>
    </row>
    <row r="271" spans="51:54">
      <c r="AY271" s="888"/>
      <c r="AZ271" s="888"/>
    </row>
    <row r="272" spans="51:54">
      <c r="AY272" s="888"/>
      <c r="AZ272" s="888"/>
    </row>
    <row r="273" spans="51:52">
      <c r="AY273" s="888"/>
      <c r="AZ273" s="888"/>
    </row>
    <row r="274" spans="51:52">
      <c r="AY274" s="889"/>
      <c r="AZ274" s="889"/>
    </row>
    <row r="275" spans="51:52">
      <c r="AY275" s="889"/>
      <c r="AZ275" s="889"/>
    </row>
    <row r="276" spans="51:52">
      <c r="AY276" s="889"/>
      <c r="AZ276" s="889"/>
    </row>
    <row r="277" spans="51:52">
      <c r="AY277" s="889"/>
      <c r="AZ277" s="889"/>
    </row>
    <row r="278" spans="51:52">
      <c r="AY278" s="889"/>
      <c r="AZ278" s="889"/>
    </row>
    <row r="279" spans="51:52">
      <c r="AY279" s="889"/>
      <c r="AZ279" s="889"/>
    </row>
    <row r="280" spans="51:52">
      <c r="AY280" s="888"/>
      <c r="AZ280" s="888"/>
    </row>
    <row r="281" spans="51:52">
      <c r="AY281" s="888"/>
      <c r="AZ281" s="888"/>
    </row>
    <row r="282" spans="51:52">
      <c r="AY282" s="888"/>
      <c r="AZ282" s="888"/>
    </row>
    <row r="283" spans="51:52">
      <c r="AY283" s="888"/>
      <c r="AZ283" s="888"/>
    </row>
    <row r="284" spans="51:52">
      <c r="AY284" s="888"/>
      <c r="AZ284" s="888"/>
    </row>
    <row r="285" spans="51:52">
      <c r="AY285" s="888"/>
      <c r="AZ285" s="888"/>
    </row>
    <row r="286" spans="51:52">
      <c r="AY286" s="888"/>
      <c r="AZ286" s="888"/>
    </row>
    <row r="287" spans="51:52">
      <c r="AY287" s="888"/>
      <c r="AZ287" s="888"/>
    </row>
    <row r="288" spans="51:52">
      <c r="AY288" s="888"/>
      <c r="AZ288" s="888"/>
    </row>
    <row r="289" spans="51:52">
      <c r="AY289" s="888"/>
      <c r="AZ289" s="888"/>
    </row>
    <row r="290" spans="51:52">
      <c r="AY290" s="888"/>
      <c r="AZ290" s="888"/>
    </row>
    <row r="291" spans="51:52">
      <c r="AY291" s="888"/>
      <c r="AZ291" s="888"/>
    </row>
    <row r="292" spans="51:52">
      <c r="AY292" s="888"/>
      <c r="AZ292" s="888"/>
    </row>
    <row r="293" spans="51:52">
      <c r="AY293" s="888"/>
      <c r="AZ293" s="888"/>
    </row>
    <row r="294" spans="51:52">
      <c r="AY294" s="888"/>
      <c r="AZ294" s="888"/>
    </row>
    <row r="295" spans="51:52">
      <c r="AY295" s="888"/>
      <c r="AZ295" s="888"/>
    </row>
    <row r="296" spans="51:52">
      <c r="AY296" s="888"/>
      <c r="AZ296" s="888"/>
    </row>
    <row r="297" spans="51:52">
      <c r="AY297" s="888"/>
      <c r="AZ297" s="888"/>
    </row>
    <row r="298" spans="51:52">
      <c r="AY298" s="888"/>
      <c r="AZ298" s="888"/>
    </row>
    <row r="299" spans="51:52">
      <c r="AY299" s="888"/>
      <c r="AZ299" s="888"/>
    </row>
    <row r="300" spans="51:52">
      <c r="AY300" s="888"/>
      <c r="AZ300" s="888"/>
    </row>
    <row r="301" spans="51:52">
      <c r="AY301" s="888"/>
      <c r="AZ301" s="888"/>
    </row>
    <row r="302" spans="51:52">
      <c r="AY302" s="888"/>
      <c r="AZ302" s="888"/>
    </row>
    <row r="303" spans="51:52">
      <c r="AY303" s="888"/>
      <c r="AZ303" s="888"/>
    </row>
    <row r="304" spans="51:52">
      <c r="AY304" s="888"/>
      <c r="AZ304" s="888"/>
    </row>
    <row r="305" spans="51:52">
      <c r="AY305" s="888"/>
      <c r="AZ305" s="888"/>
    </row>
    <row r="306" spans="51:52">
      <c r="AY306" s="888"/>
      <c r="AZ306" s="888"/>
    </row>
    <row r="307" spans="51:52">
      <c r="AY307" s="888"/>
      <c r="AZ307" s="888"/>
    </row>
    <row r="308" spans="51:52">
      <c r="AY308" s="888"/>
      <c r="AZ308" s="888"/>
    </row>
    <row r="309" spans="51:52">
      <c r="AY309" s="888"/>
      <c r="AZ309" s="888"/>
    </row>
    <row r="310" spans="51:52">
      <c r="AY310" s="888"/>
      <c r="AZ310" s="888"/>
    </row>
    <row r="311" spans="51:52">
      <c r="AY311" s="888"/>
      <c r="AZ311" s="888"/>
    </row>
    <row r="312" spans="51:52">
      <c r="AY312" s="888"/>
      <c r="AZ312" s="888"/>
    </row>
    <row r="313" spans="51:52">
      <c r="AY313" s="888"/>
      <c r="AZ313" s="888"/>
    </row>
    <row r="314" spans="51:52">
      <c r="AY314" s="888"/>
      <c r="AZ314" s="888"/>
    </row>
    <row r="315" spans="51:52">
      <c r="AY315" s="888"/>
      <c r="AZ315" s="888"/>
    </row>
    <row r="316" spans="51:52">
      <c r="AY316" s="888"/>
      <c r="AZ316" s="888"/>
    </row>
    <row r="317" spans="51:52">
      <c r="AY317" s="888"/>
      <c r="AZ317" s="888"/>
    </row>
    <row r="318" spans="51:52">
      <c r="AY318" s="888"/>
      <c r="AZ318" s="888"/>
    </row>
    <row r="319" spans="51:52">
      <c r="AY319" s="888"/>
      <c r="AZ319" s="888"/>
    </row>
  </sheetData>
  <conditionalFormatting sqref="BB118:BI118">
    <cfRule type="cellIs" dxfId="10" priority="3" operator="lessThan">
      <formula>0</formula>
    </cfRule>
  </conditionalFormatting>
  <conditionalFormatting sqref="BB121:BI121">
    <cfRule type="cellIs" dxfId="9" priority="2" operator="lessThan">
      <formula>0</formula>
    </cfRule>
  </conditionalFormatting>
  <conditionalFormatting sqref="BB138:BI138">
    <cfRule type="cellIs" dxfId="8" priority="1" operator="lessThan">
      <formula>0</formula>
    </cfRule>
  </conditionalFormatting>
  <dataValidations count="1">
    <dataValidation type="decimal" errorStyle="warning" allowBlank="1" showInputMessage="1" showErrorMessage="1" error="ALERT" sqref="BH118" xr:uid="{0B4C7C84-6237-436F-8228-FFEC1F8C162A}">
      <formula1>0</formula1>
      <formula2>100000000000000000000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45936-2FC4-4D26-A879-F13B69ECA606}">
  <sheetPr>
    <tabColor rgb="FF92D050"/>
  </sheetPr>
  <dimension ref="A1:AB69"/>
  <sheetViews>
    <sheetView workbookViewId="0"/>
  </sheetViews>
  <sheetFormatPr baseColWidth="10" defaultColWidth="8.83203125" defaultRowHeight="15"/>
  <cols>
    <col min="1" max="1" width="43.5" customWidth="1"/>
    <col min="28" max="28" width="9.1640625" customWidth="1"/>
  </cols>
  <sheetData>
    <row r="1" spans="1:28">
      <c r="A1" t="s">
        <v>5651</v>
      </c>
    </row>
    <row r="2" spans="1:28">
      <c r="A2" t="s">
        <v>5652</v>
      </c>
    </row>
    <row r="3" spans="1:28">
      <c r="A3" t="s">
        <v>5653</v>
      </c>
    </row>
    <row r="5" spans="1:28">
      <c r="A5" s="55" t="s">
        <v>4750</v>
      </c>
      <c r="B5" s="56"/>
      <c r="C5" s="56"/>
      <c r="D5" s="56"/>
      <c r="E5" s="56"/>
      <c r="F5" s="56"/>
      <c r="G5" s="56"/>
      <c r="H5" s="56"/>
      <c r="I5" s="56"/>
      <c r="J5" s="56"/>
      <c r="K5" s="56"/>
      <c r="L5" s="56"/>
      <c r="M5" s="56"/>
      <c r="N5" s="56"/>
      <c r="O5" s="56"/>
      <c r="P5" s="56"/>
      <c r="Q5" s="56"/>
      <c r="R5" s="56"/>
      <c r="S5" s="56"/>
      <c r="T5" s="56"/>
      <c r="U5" s="56"/>
      <c r="V5" s="56"/>
      <c r="W5" s="56"/>
      <c r="X5" s="56"/>
      <c r="Y5" s="56"/>
      <c r="Z5" s="56"/>
      <c r="AA5" s="56"/>
      <c r="AB5" s="56"/>
    </row>
    <row r="6" spans="1:28">
      <c r="A6" s="3"/>
    </row>
    <row r="7" spans="1:28">
      <c r="A7" s="8" t="s">
        <v>5644</v>
      </c>
      <c r="B7" t="s">
        <v>40</v>
      </c>
      <c r="C7">
        <v>2025</v>
      </c>
      <c r="D7">
        <v>2026</v>
      </c>
      <c r="E7">
        <v>2027</v>
      </c>
      <c r="F7">
        <v>2028</v>
      </c>
      <c r="G7">
        <v>2029</v>
      </c>
      <c r="H7">
        <v>2030</v>
      </c>
      <c r="I7">
        <v>2031</v>
      </c>
      <c r="J7">
        <v>2032</v>
      </c>
      <c r="K7">
        <v>2033</v>
      </c>
      <c r="L7">
        <v>2034</v>
      </c>
      <c r="M7">
        <v>2035</v>
      </c>
      <c r="N7">
        <v>2036</v>
      </c>
      <c r="O7">
        <v>2037</v>
      </c>
      <c r="P7">
        <v>2038</v>
      </c>
      <c r="Q7">
        <v>2039</v>
      </c>
      <c r="R7">
        <v>2040</v>
      </c>
      <c r="S7">
        <v>2041</v>
      </c>
      <c r="T7">
        <v>2042</v>
      </c>
      <c r="U7">
        <v>2043</v>
      </c>
      <c r="V7">
        <v>2044</v>
      </c>
      <c r="W7">
        <v>2045</v>
      </c>
      <c r="X7">
        <v>2046</v>
      </c>
      <c r="Y7">
        <v>2047</v>
      </c>
      <c r="Z7">
        <v>2048</v>
      </c>
      <c r="AA7">
        <v>2049</v>
      </c>
      <c r="AB7">
        <v>2050</v>
      </c>
    </row>
    <row r="8" spans="1:28">
      <c r="A8" t="s">
        <v>5450</v>
      </c>
      <c r="B8" s="455">
        <f>'Output Graphs'!$B$95</f>
        <v>2.8723003796055107</v>
      </c>
      <c r="C8" s="455">
        <f>$B8+($AB8-$B8)*(C$7-2024)/($AB$7-2024)</f>
        <v>2.8723003796055107</v>
      </c>
      <c r="D8" s="455">
        <f t="shared" ref="D8:AA10" si="0">$B8+($AB8-$B8)*(D$7-2024)/($AB$7-2024)</f>
        <v>2.8723003796055107</v>
      </c>
      <c r="E8" s="455">
        <f t="shared" si="0"/>
        <v>2.8723003796055107</v>
      </c>
      <c r="F8" s="455">
        <f t="shared" si="0"/>
        <v>2.8723003796055107</v>
      </c>
      <c r="G8" s="455">
        <f t="shared" si="0"/>
        <v>2.8723003796055107</v>
      </c>
      <c r="H8" s="455">
        <f t="shared" si="0"/>
        <v>2.8723003796055107</v>
      </c>
      <c r="I8" s="455">
        <f t="shared" si="0"/>
        <v>2.8723003796055107</v>
      </c>
      <c r="J8" s="455">
        <f t="shared" si="0"/>
        <v>2.8723003796055107</v>
      </c>
      <c r="K8" s="455">
        <f t="shared" si="0"/>
        <v>2.8723003796055107</v>
      </c>
      <c r="L8" s="455">
        <f t="shared" si="0"/>
        <v>2.8723003796055107</v>
      </c>
      <c r="M8" s="455">
        <f t="shared" si="0"/>
        <v>2.8723003796055107</v>
      </c>
      <c r="N8" s="455">
        <f t="shared" si="0"/>
        <v>2.8723003796055107</v>
      </c>
      <c r="O8" s="455">
        <f t="shared" si="0"/>
        <v>2.8723003796055107</v>
      </c>
      <c r="P8" s="455">
        <f t="shared" si="0"/>
        <v>2.8723003796055107</v>
      </c>
      <c r="Q8" s="455">
        <f t="shared" si="0"/>
        <v>2.8723003796055107</v>
      </c>
      <c r="R8" s="455">
        <f t="shared" si="0"/>
        <v>2.8723003796055107</v>
      </c>
      <c r="S8" s="455">
        <f t="shared" si="0"/>
        <v>2.8723003796055107</v>
      </c>
      <c r="T8" s="455">
        <f t="shared" si="0"/>
        <v>2.8723003796055107</v>
      </c>
      <c r="U8" s="455">
        <f t="shared" si="0"/>
        <v>2.8723003796055107</v>
      </c>
      <c r="V8" s="455">
        <f t="shared" si="0"/>
        <v>2.8723003796055107</v>
      </c>
      <c r="W8" s="455">
        <f t="shared" si="0"/>
        <v>2.8723003796055107</v>
      </c>
      <c r="X8" s="455">
        <f t="shared" si="0"/>
        <v>2.8723003796055107</v>
      </c>
      <c r="Y8" s="455">
        <f t="shared" si="0"/>
        <v>2.8723003796055107</v>
      </c>
      <c r="Z8" s="455">
        <f t="shared" si="0"/>
        <v>2.8723003796055107</v>
      </c>
      <c r="AA8" s="455">
        <f t="shared" si="0"/>
        <v>2.8723003796055107</v>
      </c>
      <c r="AB8" s="455">
        <f>'Output Graphs'!$C$95</f>
        <v>2.8723003796055107</v>
      </c>
    </row>
    <row r="9" spans="1:28">
      <c r="A9" t="s">
        <v>53</v>
      </c>
      <c r="B9" s="455">
        <f>'Output Graphs'!$B$96</f>
        <v>1.0138181686652377</v>
      </c>
      <c r="C9" s="455">
        <f>$B9+($AB9-$B9)*(C$7-2024)/($AB$7-2024)</f>
        <v>1.1194575328503975</v>
      </c>
      <c r="D9" s="455">
        <f t="shared" si="0"/>
        <v>1.2250968970355571</v>
      </c>
      <c r="E9" s="455">
        <f t="shared" si="0"/>
        <v>1.330736261220717</v>
      </c>
      <c r="F9" s="455">
        <f t="shared" si="0"/>
        <v>1.4363756254058766</v>
      </c>
      <c r="G9" s="455">
        <f t="shared" si="0"/>
        <v>1.5420149895910362</v>
      </c>
      <c r="H9" s="455">
        <f t="shared" si="0"/>
        <v>1.6476543537761961</v>
      </c>
      <c r="I9" s="455">
        <f t="shared" si="0"/>
        <v>1.7532937179613559</v>
      </c>
      <c r="J9" s="455">
        <f t="shared" si="0"/>
        <v>1.8589330821465158</v>
      </c>
      <c r="K9" s="455">
        <f t="shared" si="0"/>
        <v>1.9645724463316754</v>
      </c>
      <c r="L9" s="455">
        <f t="shared" si="0"/>
        <v>2.070211810516835</v>
      </c>
      <c r="M9" s="455">
        <f t="shared" si="0"/>
        <v>2.1758511747019949</v>
      </c>
      <c r="N9" s="455">
        <f t="shared" si="0"/>
        <v>2.2814905388871543</v>
      </c>
      <c r="O9" s="455">
        <f t="shared" si="0"/>
        <v>2.3871299030723141</v>
      </c>
      <c r="P9" s="455">
        <f t="shared" si="0"/>
        <v>2.4927692672574739</v>
      </c>
      <c r="Q9" s="455">
        <f t="shared" si="0"/>
        <v>2.5984086314426342</v>
      </c>
      <c r="R9" s="455">
        <f t="shared" si="0"/>
        <v>2.7040479956277936</v>
      </c>
      <c r="S9" s="455">
        <f t="shared" si="0"/>
        <v>2.809687359812953</v>
      </c>
      <c r="T9" s="455">
        <f t="shared" si="0"/>
        <v>2.9153267239981133</v>
      </c>
      <c r="U9" s="455">
        <f t="shared" si="0"/>
        <v>3.0209660881832727</v>
      </c>
      <c r="V9" s="455">
        <f t="shared" si="0"/>
        <v>3.1266054523684321</v>
      </c>
      <c r="W9" s="455">
        <f t="shared" si="0"/>
        <v>3.2322448165535924</v>
      </c>
      <c r="X9" s="455">
        <f t="shared" si="0"/>
        <v>3.3378841807387518</v>
      </c>
      <c r="Y9" s="455">
        <f t="shared" si="0"/>
        <v>3.4435235449239121</v>
      </c>
      <c r="Z9" s="455">
        <f t="shared" si="0"/>
        <v>3.5491629091090715</v>
      </c>
      <c r="AA9" s="455">
        <f t="shared" si="0"/>
        <v>3.6548022732942309</v>
      </c>
      <c r="AB9" s="455">
        <f>'Output Graphs'!$C$96</f>
        <v>3.7604416374793908</v>
      </c>
    </row>
    <row r="10" spans="1:28">
      <c r="A10" t="s">
        <v>5524</v>
      </c>
      <c r="B10" s="455">
        <f>'Output Graphs'!B97</f>
        <v>0</v>
      </c>
      <c r="C10" s="455">
        <f>$B10+($AB10-$B10)*(C$7-2024)/($AB$7-2024)</f>
        <v>4.6931410924339105E-2</v>
      </c>
      <c r="D10" s="455">
        <f t="shared" si="0"/>
        <v>9.386282184867821E-2</v>
      </c>
      <c r="E10" s="455">
        <f t="shared" si="0"/>
        <v>0.14079423277301734</v>
      </c>
      <c r="F10" s="455">
        <f t="shared" si="0"/>
        <v>0.18772564369735642</v>
      </c>
      <c r="G10" s="455">
        <f t="shared" si="0"/>
        <v>0.23465705462169553</v>
      </c>
      <c r="H10" s="455">
        <f t="shared" si="0"/>
        <v>0.28158846554603467</v>
      </c>
      <c r="I10" s="455">
        <f t="shared" si="0"/>
        <v>0.32851987647037373</v>
      </c>
      <c r="J10" s="455">
        <f t="shared" si="0"/>
        <v>0.37545128739471284</v>
      </c>
      <c r="K10" s="455">
        <f t="shared" si="0"/>
        <v>0.42238269831905195</v>
      </c>
      <c r="L10" s="455">
        <f t="shared" si="0"/>
        <v>0.46931410924339106</v>
      </c>
      <c r="M10" s="455">
        <f t="shared" si="0"/>
        <v>0.51624552016773018</v>
      </c>
      <c r="N10" s="455">
        <f t="shared" si="0"/>
        <v>0.56317693109206934</v>
      </c>
      <c r="O10" s="455">
        <f t="shared" si="0"/>
        <v>0.6101083420164084</v>
      </c>
      <c r="P10" s="455">
        <f t="shared" si="0"/>
        <v>0.65703975294074746</v>
      </c>
      <c r="Q10" s="455">
        <f t="shared" si="0"/>
        <v>0.70397116386508662</v>
      </c>
      <c r="R10" s="455">
        <f t="shared" si="0"/>
        <v>0.75090257478942568</v>
      </c>
      <c r="S10" s="455">
        <f t="shared" si="0"/>
        <v>0.79783398571376485</v>
      </c>
      <c r="T10" s="455">
        <f t="shared" si="0"/>
        <v>0.8447653966381039</v>
      </c>
      <c r="U10" s="455">
        <f t="shared" si="0"/>
        <v>0.89169680756244307</v>
      </c>
      <c r="V10" s="455">
        <f t="shared" si="0"/>
        <v>0.93862821848678213</v>
      </c>
      <c r="W10" s="455">
        <f t="shared" si="0"/>
        <v>0.9855596294111213</v>
      </c>
      <c r="X10" s="455">
        <f t="shared" si="0"/>
        <v>1.0324910403354604</v>
      </c>
      <c r="Y10" s="455">
        <f t="shared" si="0"/>
        <v>1.0794224512597994</v>
      </c>
      <c r="Z10" s="455">
        <f t="shared" si="0"/>
        <v>1.1263538621841387</v>
      </c>
      <c r="AA10" s="455">
        <f t="shared" si="0"/>
        <v>1.1732852731084777</v>
      </c>
      <c r="AB10" s="455">
        <f>'Output Graphs'!$C$97</f>
        <v>1.2202166840328168</v>
      </c>
    </row>
    <row r="11" spans="1:28">
      <c r="A11" t="s">
        <v>1265</v>
      </c>
      <c r="B11" s="455">
        <f>SUM(B8:B10)</f>
        <v>3.8861185482707485</v>
      </c>
      <c r="C11" s="455">
        <f t="shared" ref="C11:AB11" si="1">SUM(C8:C10)</f>
        <v>4.0386893233802468</v>
      </c>
      <c r="D11" s="455">
        <f t="shared" si="1"/>
        <v>4.1912600984897468</v>
      </c>
      <c r="E11" s="455">
        <f t="shared" si="1"/>
        <v>4.343830873599245</v>
      </c>
      <c r="F11" s="455">
        <f t="shared" si="1"/>
        <v>4.4964016487087433</v>
      </c>
      <c r="G11" s="455">
        <f t="shared" si="1"/>
        <v>4.6489724238182433</v>
      </c>
      <c r="H11" s="455">
        <f t="shared" si="1"/>
        <v>4.8015431989277415</v>
      </c>
      <c r="I11" s="455">
        <f t="shared" si="1"/>
        <v>4.9541139740372397</v>
      </c>
      <c r="J11" s="455">
        <f t="shared" si="1"/>
        <v>5.1066847491467389</v>
      </c>
      <c r="K11" s="455">
        <f t="shared" si="1"/>
        <v>5.259255524256238</v>
      </c>
      <c r="L11" s="455">
        <f t="shared" si="1"/>
        <v>5.4118262993657362</v>
      </c>
      <c r="M11" s="455">
        <f t="shared" si="1"/>
        <v>5.5643970744752353</v>
      </c>
      <c r="N11" s="455">
        <f t="shared" si="1"/>
        <v>5.7169678495847345</v>
      </c>
      <c r="O11" s="455">
        <f t="shared" si="1"/>
        <v>5.8695386246942327</v>
      </c>
      <c r="P11" s="455">
        <f t="shared" si="1"/>
        <v>6.0221093998037318</v>
      </c>
      <c r="Q11" s="455">
        <f t="shared" si="1"/>
        <v>6.1746801749132318</v>
      </c>
      <c r="R11" s="455">
        <f t="shared" si="1"/>
        <v>6.3272509500227301</v>
      </c>
      <c r="S11" s="455">
        <f t="shared" si="1"/>
        <v>6.4798217251322283</v>
      </c>
      <c r="T11" s="455">
        <f t="shared" si="1"/>
        <v>6.6323925002417283</v>
      </c>
      <c r="U11" s="455">
        <f t="shared" si="1"/>
        <v>6.7849632753512266</v>
      </c>
      <c r="V11" s="455">
        <f t="shared" si="1"/>
        <v>6.9375340504607248</v>
      </c>
      <c r="W11" s="455">
        <f t="shared" si="1"/>
        <v>7.0901048255702239</v>
      </c>
      <c r="X11" s="455">
        <f t="shared" si="1"/>
        <v>7.242675600679723</v>
      </c>
      <c r="Y11" s="455">
        <f t="shared" si="1"/>
        <v>7.3952463757892222</v>
      </c>
      <c r="Z11" s="455">
        <f t="shared" si="1"/>
        <v>7.5478171508987213</v>
      </c>
      <c r="AA11" s="455">
        <f t="shared" si="1"/>
        <v>7.7003879260082195</v>
      </c>
      <c r="AB11" s="455">
        <f t="shared" si="1"/>
        <v>7.8529587011177178</v>
      </c>
    </row>
    <row r="13" spans="1:28">
      <c r="A13" s="8" t="s">
        <v>5645</v>
      </c>
      <c r="B13" t="s">
        <v>40</v>
      </c>
      <c r="C13">
        <v>2025</v>
      </c>
      <c r="D13">
        <v>2026</v>
      </c>
      <c r="E13">
        <v>2027</v>
      </c>
      <c r="F13">
        <v>2028</v>
      </c>
      <c r="G13">
        <v>2029</v>
      </c>
      <c r="H13">
        <v>2030</v>
      </c>
      <c r="I13">
        <v>2031</v>
      </c>
      <c r="J13">
        <v>2032</v>
      </c>
      <c r="K13">
        <v>2033</v>
      </c>
      <c r="L13">
        <v>2034</v>
      </c>
      <c r="M13">
        <v>2035</v>
      </c>
      <c r="N13">
        <v>2036</v>
      </c>
      <c r="O13">
        <v>2037</v>
      </c>
      <c r="P13">
        <v>2038</v>
      </c>
      <c r="Q13">
        <v>2039</v>
      </c>
      <c r="R13">
        <v>2040</v>
      </c>
      <c r="S13">
        <v>2041</v>
      </c>
      <c r="T13">
        <v>2042</v>
      </c>
      <c r="U13">
        <v>2043</v>
      </c>
      <c r="V13">
        <v>2044</v>
      </c>
      <c r="W13">
        <v>2045</v>
      </c>
      <c r="X13">
        <v>2046</v>
      </c>
      <c r="Y13">
        <v>2047</v>
      </c>
      <c r="Z13">
        <v>2048</v>
      </c>
      <c r="AA13">
        <v>2049</v>
      </c>
      <c r="AB13">
        <v>2050</v>
      </c>
    </row>
    <row r="14" spans="1:28">
      <c r="A14" t="s">
        <v>5450</v>
      </c>
      <c r="B14" s="455">
        <f>'Output Graphs'!$B$95</f>
        <v>2.8723003796055107</v>
      </c>
      <c r="C14" s="455">
        <f>$B14</f>
        <v>2.8723003796055107</v>
      </c>
      <c r="D14" s="455">
        <f t="shared" ref="D14:AA14" si="2">$B14</f>
        <v>2.8723003796055107</v>
      </c>
      <c r="E14" s="455">
        <f t="shared" si="2"/>
        <v>2.8723003796055107</v>
      </c>
      <c r="F14" s="455">
        <f t="shared" si="2"/>
        <v>2.8723003796055107</v>
      </c>
      <c r="G14" s="455">
        <f t="shared" si="2"/>
        <v>2.8723003796055107</v>
      </c>
      <c r="H14" s="455">
        <f t="shared" si="2"/>
        <v>2.8723003796055107</v>
      </c>
      <c r="I14" s="455">
        <f t="shared" si="2"/>
        <v>2.8723003796055107</v>
      </c>
      <c r="J14" s="455">
        <f t="shared" si="2"/>
        <v>2.8723003796055107</v>
      </c>
      <c r="K14" s="455">
        <f t="shared" si="2"/>
        <v>2.8723003796055107</v>
      </c>
      <c r="L14" s="455">
        <f t="shared" si="2"/>
        <v>2.8723003796055107</v>
      </c>
      <c r="M14" s="455">
        <f t="shared" si="2"/>
        <v>2.8723003796055107</v>
      </c>
      <c r="N14" s="455">
        <f t="shared" si="2"/>
        <v>2.8723003796055107</v>
      </c>
      <c r="O14" s="455">
        <f t="shared" si="2"/>
        <v>2.8723003796055107</v>
      </c>
      <c r="P14" s="455">
        <f t="shared" si="2"/>
        <v>2.8723003796055107</v>
      </c>
      <c r="Q14" s="455">
        <f t="shared" si="2"/>
        <v>2.8723003796055107</v>
      </c>
      <c r="R14" s="455">
        <f t="shared" si="2"/>
        <v>2.8723003796055107</v>
      </c>
      <c r="S14" s="455">
        <f t="shared" si="2"/>
        <v>2.8723003796055107</v>
      </c>
      <c r="T14" s="455">
        <f t="shared" si="2"/>
        <v>2.8723003796055107</v>
      </c>
      <c r="U14" s="455">
        <f t="shared" si="2"/>
        <v>2.8723003796055107</v>
      </c>
      <c r="V14" s="455">
        <f t="shared" si="2"/>
        <v>2.8723003796055107</v>
      </c>
      <c r="W14" s="455">
        <f t="shared" si="2"/>
        <v>2.8723003796055107</v>
      </c>
      <c r="X14" s="455">
        <f t="shared" si="2"/>
        <v>2.8723003796055107</v>
      </c>
      <c r="Y14" s="455">
        <f t="shared" si="2"/>
        <v>2.8723003796055107</v>
      </c>
      <c r="Z14" s="455">
        <f t="shared" si="2"/>
        <v>2.8723003796055107</v>
      </c>
      <c r="AA14" s="455">
        <f t="shared" si="2"/>
        <v>2.8723003796055107</v>
      </c>
      <c r="AB14" s="455">
        <f>'Output Graphs'!$C$95</f>
        <v>2.8723003796055107</v>
      </c>
    </row>
    <row r="15" spans="1:28">
      <c r="A15" t="s">
        <v>53</v>
      </c>
      <c r="B15" s="455">
        <f>'Output Graphs'!$B$96</f>
        <v>1.0138181686652377</v>
      </c>
      <c r="C15">
        <f>C19</f>
        <v>1.0662410721627582</v>
      </c>
      <c r="D15">
        <f t="shared" ref="D15:AA15" si="3">D19</f>
        <v>1.1213746795084141</v>
      </c>
      <c r="E15">
        <f t="shared" si="3"/>
        <v>1.1793591568292616</v>
      </c>
      <c r="F15">
        <f t="shared" si="3"/>
        <v>1.2403419180168769</v>
      </c>
      <c r="G15">
        <f t="shared" si="3"/>
        <v>1.3044779994975775</v>
      </c>
      <c r="H15">
        <f t="shared" si="3"/>
        <v>1.3719304543814086</v>
      </c>
      <c r="I15">
        <f t="shared" si="3"/>
        <v>1.4428707669919378</v>
      </c>
      <c r="J15">
        <f t="shared" si="3"/>
        <v>1.5174792888307174</v>
      </c>
      <c r="K15">
        <f t="shared" si="3"/>
        <v>1.5959456970847663</v>
      </c>
      <c r="L15">
        <f t="shared" si="3"/>
        <v>1.6784694768427357</v>
      </c>
      <c r="M15">
        <f t="shared" si="3"/>
        <v>1.7652604282456938</v>
      </c>
      <c r="N15">
        <f t="shared" si="3"/>
        <v>1.8565391998618619</v>
      </c>
      <c r="O15">
        <f t="shared" si="3"/>
        <v>1.9525378496412971</v>
      </c>
      <c r="P15">
        <f t="shared" si="3"/>
        <v>2.0535004348766388</v>
      </c>
      <c r="Q15">
        <f t="shared" si="3"/>
        <v>2.1596836326697737</v>
      </c>
      <c r="R15">
        <f t="shared" si="3"/>
        <v>2.2713573924818315</v>
      </c>
      <c r="S15">
        <f t="shared" si="3"/>
        <v>2.3888056224254917</v>
      </c>
      <c r="T15">
        <f t="shared" si="3"/>
        <v>2.5123269110443549</v>
      </c>
      <c r="U15">
        <f t="shared" si="3"/>
        <v>2.6422352864143672</v>
      </c>
      <c r="V15">
        <f t="shared" si="3"/>
        <v>2.7788610144971524</v>
      </c>
      <c r="W15">
        <f t="shared" si="3"/>
        <v>2.9225514387749092</v>
      </c>
      <c r="X15">
        <f t="shared" si="3"/>
        <v>3.0736718633014757</v>
      </c>
      <c r="Y15">
        <f t="shared" si="3"/>
        <v>3.2326064814145417</v>
      </c>
      <c r="Z15">
        <f t="shared" si="3"/>
        <v>3.3997593524700718</v>
      </c>
      <c r="AA15">
        <f t="shared" si="3"/>
        <v>3.5755554290820917</v>
      </c>
      <c r="AB15" s="455">
        <f>'Output Graphs'!$C$96</f>
        <v>3.7604416374793908</v>
      </c>
    </row>
    <row r="16" spans="1:28">
      <c r="A16" t="s">
        <v>5524</v>
      </c>
      <c r="B16" s="455">
        <f>'Output Graphs'!B102</f>
        <v>0</v>
      </c>
      <c r="C16" s="455">
        <f t="shared" ref="C16:AA16" si="4">C22-SUM(C14:C15)</f>
        <v>5.4158817273378457E-2</v>
      </c>
      <c r="D16" s="455">
        <f t="shared" si="4"/>
        <v>0.10853006931659781</v>
      </c>
      <c r="E16" s="455">
        <f t="shared" si="4"/>
        <v>0.16305376077971268</v>
      </c>
      <c r="F16" s="455">
        <f t="shared" si="4"/>
        <v>0.21766484733330937</v>
      </c>
      <c r="G16" s="455">
        <f t="shared" si="4"/>
        <v>0.27229292120275073</v>
      </c>
      <c r="H16" s="455">
        <f t="shared" si="4"/>
        <v>0.32686187897757879</v>
      </c>
      <c r="I16" s="455">
        <f t="shared" si="4"/>
        <v>0.38128957073939862</v>
      </c>
      <c r="J16" s="455">
        <f t="shared" si="4"/>
        <v>0.43548742950098163</v>
      </c>
      <c r="K16" s="455">
        <f t="shared" si="4"/>
        <v>0.48936007989613284</v>
      </c>
      <c r="L16" s="455">
        <f t="shared" si="4"/>
        <v>0.54280492500384181</v>
      </c>
      <c r="M16" s="455">
        <f t="shared" si="4"/>
        <v>0.59571171013133295</v>
      </c>
      <c r="N16" s="455">
        <f t="shared" si="4"/>
        <v>0.64796206231861397</v>
      </c>
      <c r="O16" s="455">
        <f t="shared" si="4"/>
        <v>0.69942900426188803</v>
      </c>
      <c r="P16" s="455">
        <f t="shared" si="4"/>
        <v>0.74997644128452556</v>
      </c>
      <c r="Q16" s="455">
        <f t="shared" si="4"/>
        <v>0.7994586199120679</v>
      </c>
      <c r="R16" s="455">
        <f t="shared" si="4"/>
        <v>0.84771955653171638</v>
      </c>
      <c r="S16" s="455">
        <f t="shared" si="4"/>
        <v>0.89459243453678905</v>
      </c>
      <c r="T16" s="455">
        <f t="shared" si="4"/>
        <v>0.93989896827246344</v>
      </c>
      <c r="U16" s="455">
        <f t="shared" si="4"/>
        <v>0.9834487320105918</v>
      </c>
      <c r="V16" s="455">
        <f t="shared" si="4"/>
        <v>1.0250384520882125</v>
      </c>
      <c r="W16" s="455">
        <f t="shared" si="4"/>
        <v>1.0644512602463436</v>
      </c>
      <c r="X16" s="455">
        <f t="shared" si="4"/>
        <v>1.1014559061025322</v>
      </c>
      <c r="Y16" s="455">
        <f t="shared" si="4"/>
        <v>1.1358059265821154</v>
      </c>
      <c r="Z16" s="455">
        <f t="shared" si="4"/>
        <v>1.1672387700189786</v>
      </c>
      <c r="AA16" s="455">
        <f t="shared" si="4"/>
        <v>1.1954748725164794</v>
      </c>
      <c r="AB16" s="455">
        <f>'Output Graphs'!$C$97</f>
        <v>1.2202166840328168</v>
      </c>
    </row>
    <row r="18" spans="1:28">
      <c r="A18" t="s">
        <v>5647</v>
      </c>
      <c r="B18" s="2022">
        <f>(AB9/B9)^(1/COUNT($C$7:$AB$7))-1</f>
        <v>5.1708388267039052E-2</v>
      </c>
    </row>
    <row r="19" spans="1:28">
      <c r="A19" t="s">
        <v>5650</v>
      </c>
      <c r="B19" s="455">
        <f>B15</f>
        <v>1.0138181686652377</v>
      </c>
      <c r="C19">
        <f>B19*(1+$B$18)</f>
        <v>1.0662410721627582</v>
      </c>
      <c r="D19">
        <f t="shared" ref="D19:AB19" si="5">C19*(1+$B$18)</f>
        <v>1.1213746795084141</v>
      </c>
      <c r="E19">
        <f t="shared" si="5"/>
        <v>1.1793591568292616</v>
      </c>
      <c r="F19">
        <f t="shared" si="5"/>
        <v>1.2403419180168769</v>
      </c>
      <c r="G19">
        <f t="shared" si="5"/>
        <v>1.3044779994975775</v>
      </c>
      <c r="H19">
        <f t="shared" si="5"/>
        <v>1.3719304543814086</v>
      </c>
      <c r="I19">
        <f t="shared" si="5"/>
        <v>1.4428707669919378</v>
      </c>
      <c r="J19">
        <f t="shared" si="5"/>
        <v>1.5174792888307174</v>
      </c>
      <c r="K19">
        <f t="shared" si="5"/>
        <v>1.5959456970847663</v>
      </c>
      <c r="L19">
        <f t="shared" si="5"/>
        <v>1.6784694768427357</v>
      </c>
      <c r="M19">
        <f t="shared" si="5"/>
        <v>1.7652604282456938</v>
      </c>
      <c r="N19">
        <f t="shared" si="5"/>
        <v>1.8565391998618619</v>
      </c>
      <c r="O19">
        <f t="shared" si="5"/>
        <v>1.9525378496412971</v>
      </c>
      <c r="P19">
        <f t="shared" si="5"/>
        <v>2.0535004348766388</v>
      </c>
      <c r="Q19">
        <f t="shared" si="5"/>
        <v>2.1596836326697737</v>
      </c>
      <c r="R19">
        <f t="shared" si="5"/>
        <v>2.2713573924818315</v>
      </c>
      <c r="S19">
        <f t="shared" si="5"/>
        <v>2.3888056224254917</v>
      </c>
      <c r="T19">
        <f t="shared" si="5"/>
        <v>2.5123269110443549</v>
      </c>
      <c r="U19">
        <f t="shared" si="5"/>
        <v>2.6422352864143672</v>
      </c>
      <c r="V19">
        <f t="shared" si="5"/>
        <v>2.7788610144971524</v>
      </c>
      <c r="W19">
        <f t="shared" si="5"/>
        <v>2.9225514387749092</v>
      </c>
      <c r="X19">
        <f t="shared" si="5"/>
        <v>3.0736718633014757</v>
      </c>
      <c r="Y19">
        <f t="shared" si="5"/>
        <v>3.2326064814145417</v>
      </c>
      <c r="Z19">
        <f t="shared" si="5"/>
        <v>3.3997593524700718</v>
      </c>
      <c r="AA19">
        <f t="shared" si="5"/>
        <v>3.5755554290820917</v>
      </c>
      <c r="AB19">
        <f t="shared" si="5"/>
        <v>3.7604416374793881</v>
      </c>
    </row>
    <row r="20" spans="1:28">
      <c r="AB20" s="2023"/>
    </row>
    <row r="21" spans="1:28">
      <c r="A21" t="s">
        <v>5648</v>
      </c>
      <c r="B21" s="2022">
        <f>(AB11/B11)^(1/COUNT($C$7:$AB$7))-1</f>
        <v>2.7426265937853467E-2</v>
      </c>
    </row>
    <row r="22" spans="1:28">
      <c r="A22" t="s">
        <v>5649</v>
      </c>
      <c r="B22" s="455">
        <f>SUM(B14:B16)</f>
        <v>3.8861185482707485</v>
      </c>
      <c r="C22">
        <f>B22*(1+$B$21)</f>
        <v>3.9927002690416473</v>
      </c>
      <c r="D22">
        <f t="shared" ref="D22:AB22" si="6">C22*(1+$B$21)</f>
        <v>4.1022051284305228</v>
      </c>
      <c r="E22">
        <f t="shared" si="6"/>
        <v>4.2147132972144847</v>
      </c>
      <c r="F22">
        <f t="shared" si="6"/>
        <v>4.3303071449556967</v>
      </c>
      <c r="G22">
        <f t="shared" si="6"/>
        <v>4.4490713003058389</v>
      </c>
      <c r="H22">
        <f t="shared" si="6"/>
        <v>4.5710927129644983</v>
      </c>
      <c r="I22">
        <f t="shared" si="6"/>
        <v>4.6964607173368469</v>
      </c>
      <c r="J22">
        <f t="shared" si="6"/>
        <v>4.8252670979372096</v>
      </c>
      <c r="K22">
        <f t="shared" si="6"/>
        <v>4.9576061565864098</v>
      </c>
      <c r="L22">
        <f t="shared" si="6"/>
        <v>5.0935747814520882</v>
      </c>
      <c r="M22">
        <f t="shared" si="6"/>
        <v>5.2332725179825372</v>
      </c>
      <c r="N22">
        <f t="shared" si="6"/>
        <v>5.3768016417859865</v>
      </c>
      <c r="O22">
        <f t="shared" si="6"/>
        <v>5.524267233508696</v>
      </c>
      <c r="P22">
        <f t="shared" si="6"/>
        <v>5.6757772557666755</v>
      </c>
      <c r="Q22">
        <f t="shared" si="6"/>
        <v>5.8314426321873523</v>
      </c>
      <c r="R22">
        <f t="shared" si="6"/>
        <v>5.991377328619059</v>
      </c>
      <c r="S22">
        <f t="shared" si="6"/>
        <v>6.1556984365677918</v>
      </c>
      <c r="T22">
        <f t="shared" si="6"/>
        <v>6.3245262589223286</v>
      </c>
      <c r="U22">
        <f t="shared" si="6"/>
        <v>6.4979843980304697</v>
      </c>
      <c r="V22">
        <f t="shared" si="6"/>
        <v>6.676199846190876</v>
      </c>
      <c r="W22">
        <f t="shared" si="6"/>
        <v>6.8593030786267635</v>
      </c>
      <c r="X22">
        <f t="shared" si="6"/>
        <v>7.0474281490095185</v>
      </c>
      <c r="Y22">
        <f t="shared" si="6"/>
        <v>7.2407127876021677</v>
      </c>
      <c r="Z22">
        <f t="shared" si="6"/>
        <v>7.4392985020945614</v>
      </c>
      <c r="AA22">
        <f t="shared" si="6"/>
        <v>7.6433306812040822</v>
      </c>
      <c r="AB22">
        <f t="shared" si="6"/>
        <v>7.85295870111774</v>
      </c>
    </row>
    <row r="51" spans="1:28">
      <c r="A51" s="55" t="s">
        <v>5449</v>
      </c>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row>
    <row r="52" spans="1:28">
      <c r="A52" s="3"/>
    </row>
    <row r="53" spans="1:28">
      <c r="A53" s="8" t="s">
        <v>5644</v>
      </c>
      <c r="B53" t="s">
        <v>40</v>
      </c>
      <c r="C53">
        <v>2025</v>
      </c>
      <c r="D53">
        <v>2026</v>
      </c>
      <c r="E53">
        <v>2027</v>
      </c>
      <c r="F53">
        <v>2028</v>
      </c>
      <c r="G53">
        <v>2029</v>
      </c>
      <c r="H53">
        <v>2030</v>
      </c>
      <c r="I53">
        <v>2031</v>
      </c>
      <c r="J53">
        <v>2032</v>
      </c>
      <c r="K53">
        <v>2033</v>
      </c>
      <c r="L53">
        <v>2034</v>
      </c>
      <c r="M53">
        <v>2035</v>
      </c>
      <c r="N53">
        <v>2036</v>
      </c>
      <c r="O53">
        <v>2037</v>
      </c>
      <c r="P53">
        <v>2038</v>
      </c>
      <c r="Q53">
        <v>2039</v>
      </c>
      <c r="R53">
        <v>2040</v>
      </c>
      <c r="S53">
        <v>2041</v>
      </c>
      <c r="T53">
        <v>2042</v>
      </c>
      <c r="U53">
        <v>2043</v>
      </c>
      <c r="V53">
        <v>2044</v>
      </c>
      <c r="W53">
        <v>2045</v>
      </c>
      <c r="X53">
        <v>2046</v>
      </c>
      <c r="Y53">
        <v>2047</v>
      </c>
      <c r="Z53">
        <v>2048</v>
      </c>
      <c r="AA53">
        <v>2049</v>
      </c>
      <c r="AB53">
        <v>2050</v>
      </c>
    </row>
    <row r="54" spans="1:28">
      <c r="A54" t="s">
        <v>5450</v>
      </c>
      <c r="B54" s="455">
        <f>'Output Graphs'!$B$95</f>
        <v>2.8723003796055107</v>
      </c>
      <c r="C54" s="455">
        <f>$B54+($AB54-$B54)*(C$7-2024)/($AB$7-2024)</f>
        <v>2.8723003796055107</v>
      </c>
      <c r="D54" s="455">
        <f t="shared" ref="D54:AA56" si="7">$B54+($AB54-$B54)*(D$7-2024)/($AB$7-2024)</f>
        <v>2.8723003796055107</v>
      </c>
      <c r="E54" s="455">
        <f t="shared" si="7"/>
        <v>2.8723003796055107</v>
      </c>
      <c r="F54" s="455">
        <f t="shared" si="7"/>
        <v>2.8723003796055107</v>
      </c>
      <c r="G54" s="455">
        <f t="shared" si="7"/>
        <v>2.8723003796055107</v>
      </c>
      <c r="H54" s="455">
        <f t="shared" si="7"/>
        <v>2.8723003796055107</v>
      </c>
      <c r="I54" s="455">
        <f t="shared" si="7"/>
        <v>2.8723003796055107</v>
      </c>
      <c r="J54" s="455">
        <f t="shared" si="7"/>
        <v>2.8723003796055107</v>
      </c>
      <c r="K54" s="455">
        <f t="shared" si="7"/>
        <v>2.8723003796055107</v>
      </c>
      <c r="L54" s="455">
        <f t="shared" si="7"/>
        <v>2.8723003796055107</v>
      </c>
      <c r="M54" s="455">
        <f t="shared" si="7"/>
        <v>2.8723003796055107</v>
      </c>
      <c r="N54" s="455">
        <f t="shared" si="7"/>
        <v>2.8723003796055107</v>
      </c>
      <c r="O54" s="455">
        <f t="shared" si="7"/>
        <v>2.8723003796055107</v>
      </c>
      <c r="P54" s="455">
        <f t="shared" si="7"/>
        <v>2.8723003796055107</v>
      </c>
      <c r="Q54" s="455">
        <f t="shared" si="7"/>
        <v>2.8723003796055107</v>
      </c>
      <c r="R54" s="455">
        <f t="shared" si="7"/>
        <v>2.8723003796055107</v>
      </c>
      <c r="S54" s="455">
        <f t="shared" si="7"/>
        <v>2.8723003796055107</v>
      </c>
      <c r="T54" s="455">
        <f t="shared" si="7"/>
        <v>2.8723003796055107</v>
      </c>
      <c r="U54" s="455">
        <f t="shared" si="7"/>
        <v>2.8723003796055107</v>
      </c>
      <c r="V54" s="455">
        <f t="shared" si="7"/>
        <v>2.8723003796055107</v>
      </c>
      <c r="W54" s="455">
        <f t="shared" si="7"/>
        <v>2.8723003796055107</v>
      </c>
      <c r="X54" s="455">
        <f t="shared" si="7"/>
        <v>2.8723003796055107</v>
      </c>
      <c r="Y54" s="455">
        <f t="shared" si="7"/>
        <v>2.8723003796055107</v>
      </c>
      <c r="Z54" s="455">
        <f t="shared" si="7"/>
        <v>2.8723003796055107</v>
      </c>
      <c r="AA54" s="455">
        <f t="shared" si="7"/>
        <v>2.8723003796055107</v>
      </c>
      <c r="AB54" s="455">
        <f>'Output Graphs'!$D$95</f>
        <v>2.8723003796055107</v>
      </c>
    </row>
    <row r="55" spans="1:28">
      <c r="A55" t="s">
        <v>53</v>
      </c>
      <c r="B55" s="455">
        <f>'Output Graphs'!$B$96</f>
        <v>1.0138181686652377</v>
      </c>
      <c r="C55" s="455">
        <f>$B55+($AB55-$B55)*(C$7-2024)/($AB$7-2024)</f>
        <v>1.0410827087653747</v>
      </c>
      <c r="D55" s="455">
        <f t="shared" si="7"/>
        <v>1.0683472488655117</v>
      </c>
      <c r="E55" s="455">
        <f t="shared" si="7"/>
        <v>1.0956117889656487</v>
      </c>
      <c r="F55" s="455">
        <f t="shared" si="7"/>
        <v>1.1228763290657857</v>
      </c>
      <c r="G55" s="455">
        <f t="shared" si="7"/>
        <v>1.1501408691659227</v>
      </c>
      <c r="H55" s="455">
        <f t="shared" si="7"/>
        <v>1.1774054092660595</v>
      </c>
      <c r="I55" s="455">
        <f t="shared" si="7"/>
        <v>1.2046699493661968</v>
      </c>
      <c r="J55" s="455">
        <f t="shared" si="7"/>
        <v>1.2319344894663335</v>
      </c>
      <c r="K55" s="455">
        <f t="shared" si="7"/>
        <v>1.2591990295664706</v>
      </c>
      <c r="L55" s="455">
        <f t="shared" si="7"/>
        <v>1.2864635696666076</v>
      </c>
      <c r="M55" s="455">
        <f t="shared" si="7"/>
        <v>1.3137281097667446</v>
      </c>
      <c r="N55" s="455">
        <f t="shared" si="7"/>
        <v>1.3409926498668816</v>
      </c>
      <c r="O55" s="455">
        <f t="shared" si="7"/>
        <v>1.3682571899670186</v>
      </c>
      <c r="P55" s="455">
        <f t="shared" si="7"/>
        <v>1.3955217300671556</v>
      </c>
      <c r="Q55" s="455">
        <f t="shared" si="7"/>
        <v>1.4227862701672926</v>
      </c>
      <c r="R55" s="455">
        <f t="shared" si="7"/>
        <v>1.4500508102674297</v>
      </c>
      <c r="S55" s="455">
        <f t="shared" si="7"/>
        <v>1.4773153503675667</v>
      </c>
      <c r="T55" s="455">
        <f t="shared" si="7"/>
        <v>1.5045798904677037</v>
      </c>
      <c r="U55" s="455">
        <f t="shared" si="7"/>
        <v>1.5318444305678405</v>
      </c>
      <c r="V55" s="455">
        <f t="shared" si="7"/>
        <v>1.5591089706679777</v>
      </c>
      <c r="W55" s="455">
        <f t="shared" si="7"/>
        <v>1.5863735107681145</v>
      </c>
      <c r="X55" s="455">
        <f t="shared" si="7"/>
        <v>1.6136380508682517</v>
      </c>
      <c r="Y55" s="455">
        <f t="shared" si="7"/>
        <v>1.6409025909683885</v>
      </c>
      <c r="Z55" s="455">
        <f t="shared" si="7"/>
        <v>1.6681671310685255</v>
      </c>
      <c r="AA55" s="455">
        <f t="shared" si="7"/>
        <v>1.6954316711686626</v>
      </c>
      <c r="AB55" s="455">
        <f>'Output Graphs'!$D$96</f>
        <v>1.7226962112687996</v>
      </c>
    </row>
    <row r="56" spans="1:28">
      <c r="A56" t="s">
        <v>5524</v>
      </c>
      <c r="B56" s="455">
        <f>'Output Graphs'!B142</f>
        <v>0</v>
      </c>
      <c r="C56" s="455">
        <f>$B56+($AB56-$B56)*(C$7-2024)/($AB$7-2024)</f>
        <v>0.27175374351285203</v>
      </c>
      <c r="D56" s="455">
        <f t="shared" si="7"/>
        <v>0.54350748702570406</v>
      </c>
      <c r="E56" s="455">
        <f t="shared" si="7"/>
        <v>0.81526123053855604</v>
      </c>
      <c r="F56" s="455">
        <f t="shared" si="7"/>
        <v>1.0870149740514081</v>
      </c>
      <c r="G56" s="455">
        <f t="shared" si="7"/>
        <v>1.35876871756426</v>
      </c>
      <c r="H56" s="455">
        <f t="shared" si="7"/>
        <v>1.6305224610771121</v>
      </c>
      <c r="I56" s="455">
        <f t="shared" si="7"/>
        <v>1.9022762045899642</v>
      </c>
      <c r="J56" s="455">
        <f t="shared" si="7"/>
        <v>2.1740299481028162</v>
      </c>
      <c r="K56" s="455">
        <f t="shared" si="7"/>
        <v>2.4457836916156683</v>
      </c>
      <c r="L56" s="455">
        <f t="shared" si="7"/>
        <v>2.71753743512852</v>
      </c>
      <c r="M56" s="455">
        <f t="shared" si="7"/>
        <v>2.9892911786413725</v>
      </c>
      <c r="N56" s="455">
        <f t="shared" si="7"/>
        <v>3.2610449221542241</v>
      </c>
      <c r="O56" s="455">
        <f t="shared" si="7"/>
        <v>3.5327986656670762</v>
      </c>
      <c r="P56" s="455">
        <f t="shared" si="7"/>
        <v>3.8045524091799283</v>
      </c>
      <c r="Q56" s="455">
        <f t="shared" si="7"/>
        <v>4.0763061526927808</v>
      </c>
      <c r="R56" s="455">
        <f t="shared" si="7"/>
        <v>4.3480598962056325</v>
      </c>
      <c r="S56" s="455">
        <f t="shared" si="7"/>
        <v>4.6198136397184841</v>
      </c>
      <c r="T56" s="455">
        <f t="shared" si="7"/>
        <v>4.8915673832313367</v>
      </c>
      <c r="U56" s="455">
        <f t="shared" si="7"/>
        <v>5.1633211267441883</v>
      </c>
      <c r="V56" s="455">
        <f t="shared" si="7"/>
        <v>5.4350748702570399</v>
      </c>
      <c r="W56" s="455">
        <f t="shared" si="7"/>
        <v>5.7068286137698925</v>
      </c>
      <c r="X56" s="455">
        <f t="shared" si="7"/>
        <v>5.978582357282745</v>
      </c>
      <c r="Y56" s="455">
        <f t="shared" si="7"/>
        <v>6.2503361007955966</v>
      </c>
      <c r="Z56" s="455">
        <f t="shared" si="7"/>
        <v>6.5220898443084483</v>
      </c>
      <c r="AA56" s="455">
        <f t="shared" si="7"/>
        <v>6.7938435878212999</v>
      </c>
      <c r="AB56" s="455">
        <f>'Output Graphs'!$D$97</f>
        <v>7.0655973313341525</v>
      </c>
    </row>
    <row r="57" spans="1:28">
      <c r="A57" t="s">
        <v>1265</v>
      </c>
      <c r="B57" s="455">
        <f>SUM(B54:B56)</f>
        <v>3.8861185482707485</v>
      </c>
      <c r="C57" s="455">
        <f t="shared" ref="C57" si="8">SUM(C54:C56)</f>
        <v>4.185136831883737</v>
      </c>
      <c r="D57" s="455">
        <f t="shared" ref="D57" si="9">SUM(D54:D56)</f>
        <v>4.4841551154967263</v>
      </c>
      <c r="E57" s="455">
        <f t="shared" ref="E57" si="10">SUM(E54:E56)</f>
        <v>4.7831733991097156</v>
      </c>
      <c r="F57" s="455">
        <f t="shared" ref="F57" si="11">SUM(F54:F56)</f>
        <v>5.0821916827227049</v>
      </c>
      <c r="G57" s="455">
        <f t="shared" ref="G57" si="12">SUM(G54:G56)</f>
        <v>5.3812099663356934</v>
      </c>
      <c r="H57" s="455">
        <f t="shared" ref="H57" si="13">SUM(H54:H56)</f>
        <v>5.6802282499486818</v>
      </c>
      <c r="I57" s="455">
        <f t="shared" ref="I57" si="14">SUM(I54:I56)</f>
        <v>5.979246533561672</v>
      </c>
      <c r="J57" s="455">
        <f t="shared" ref="J57" si="15">SUM(J54:J56)</f>
        <v>6.2782648171746605</v>
      </c>
      <c r="K57" s="455">
        <f t="shared" ref="K57" si="16">SUM(K54:K56)</f>
        <v>6.5772831007876498</v>
      </c>
      <c r="L57" s="455">
        <f t="shared" ref="L57" si="17">SUM(L54:L56)</f>
        <v>6.8763013844006382</v>
      </c>
      <c r="M57" s="455">
        <f t="shared" ref="M57" si="18">SUM(M54:M56)</f>
        <v>7.1753196680136275</v>
      </c>
      <c r="N57" s="455">
        <f t="shared" ref="N57" si="19">SUM(N54:N56)</f>
        <v>7.4743379516266168</v>
      </c>
      <c r="O57" s="455">
        <f t="shared" ref="O57" si="20">SUM(O54:O56)</f>
        <v>7.7733562352396053</v>
      </c>
      <c r="P57" s="455">
        <f t="shared" ref="P57" si="21">SUM(P54:P56)</f>
        <v>8.0723745188525946</v>
      </c>
      <c r="Q57" s="455">
        <f t="shared" ref="Q57" si="22">SUM(Q54:Q56)</f>
        <v>8.3713928024655839</v>
      </c>
      <c r="R57" s="455">
        <f t="shared" ref="R57" si="23">SUM(R54:R56)</f>
        <v>8.6704110860785732</v>
      </c>
      <c r="S57" s="455">
        <f t="shared" ref="S57" si="24">SUM(S54:S56)</f>
        <v>8.9694293696915608</v>
      </c>
      <c r="T57" s="455">
        <f t="shared" ref="T57" si="25">SUM(T54:T56)</f>
        <v>9.2684476533045519</v>
      </c>
      <c r="U57" s="455">
        <f t="shared" ref="U57" si="26">SUM(U54:U56)</f>
        <v>9.5674659369175394</v>
      </c>
      <c r="V57" s="455">
        <f t="shared" ref="V57" si="27">SUM(V54:V56)</f>
        <v>9.8664842205305288</v>
      </c>
      <c r="W57" s="455">
        <f t="shared" ref="W57" si="28">SUM(W54:W56)</f>
        <v>10.165502504143518</v>
      </c>
      <c r="X57" s="455">
        <f t="shared" ref="X57" si="29">SUM(X54:X56)</f>
        <v>10.464520787756507</v>
      </c>
      <c r="Y57" s="455">
        <f t="shared" ref="Y57" si="30">SUM(Y54:Y56)</f>
        <v>10.763539071369497</v>
      </c>
      <c r="Z57" s="455">
        <f t="shared" ref="Z57" si="31">SUM(Z54:Z56)</f>
        <v>11.062557354982484</v>
      </c>
      <c r="AA57" s="455">
        <f t="shared" ref="AA57" si="32">SUM(AA54:AA56)</f>
        <v>11.361575638595474</v>
      </c>
      <c r="AB57" s="455">
        <f t="shared" ref="AB57" si="33">SUM(AB54:AB56)</f>
        <v>11.660593922208463</v>
      </c>
    </row>
    <row r="59" spans="1:28">
      <c r="A59" s="8" t="s">
        <v>5645</v>
      </c>
      <c r="B59" t="s">
        <v>40</v>
      </c>
      <c r="C59">
        <v>2025</v>
      </c>
      <c r="D59">
        <v>2026</v>
      </c>
      <c r="E59">
        <v>2027</v>
      </c>
      <c r="F59">
        <v>2028</v>
      </c>
      <c r="G59">
        <v>2029</v>
      </c>
      <c r="H59">
        <v>2030</v>
      </c>
      <c r="I59">
        <v>2031</v>
      </c>
      <c r="J59">
        <v>2032</v>
      </c>
      <c r="K59">
        <v>2033</v>
      </c>
      <c r="L59">
        <v>2034</v>
      </c>
      <c r="M59">
        <v>2035</v>
      </c>
      <c r="N59">
        <v>2036</v>
      </c>
      <c r="O59">
        <v>2037</v>
      </c>
      <c r="P59">
        <v>2038</v>
      </c>
      <c r="Q59">
        <v>2039</v>
      </c>
      <c r="R59">
        <v>2040</v>
      </c>
      <c r="S59">
        <v>2041</v>
      </c>
      <c r="T59">
        <v>2042</v>
      </c>
      <c r="U59">
        <v>2043</v>
      </c>
      <c r="V59">
        <v>2044</v>
      </c>
      <c r="W59">
        <v>2045</v>
      </c>
      <c r="X59">
        <v>2046</v>
      </c>
      <c r="Y59">
        <v>2047</v>
      </c>
      <c r="Z59">
        <v>2048</v>
      </c>
      <c r="AA59">
        <v>2049</v>
      </c>
      <c r="AB59">
        <v>2050</v>
      </c>
    </row>
    <row r="60" spans="1:28">
      <c r="A60" t="s">
        <v>5450</v>
      </c>
      <c r="B60" s="455">
        <f>'Output Graphs'!$B$95</f>
        <v>2.8723003796055107</v>
      </c>
      <c r="C60" s="455">
        <f>$B60</f>
        <v>2.8723003796055107</v>
      </c>
      <c r="D60" s="455">
        <f t="shared" ref="D60:AA60" si="34">$B60</f>
        <v>2.8723003796055107</v>
      </c>
      <c r="E60" s="455">
        <f t="shared" si="34"/>
        <v>2.8723003796055107</v>
      </c>
      <c r="F60" s="455">
        <f t="shared" si="34"/>
        <v>2.8723003796055107</v>
      </c>
      <c r="G60" s="455">
        <f t="shared" si="34"/>
        <v>2.8723003796055107</v>
      </c>
      <c r="H60" s="455">
        <f t="shared" si="34"/>
        <v>2.8723003796055107</v>
      </c>
      <c r="I60" s="455">
        <f t="shared" si="34"/>
        <v>2.8723003796055107</v>
      </c>
      <c r="J60" s="455">
        <f t="shared" si="34"/>
        <v>2.8723003796055107</v>
      </c>
      <c r="K60" s="455">
        <f t="shared" si="34"/>
        <v>2.8723003796055107</v>
      </c>
      <c r="L60" s="455">
        <f t="shared" si="34"/>
        <v>2.8723003796055107</v>
      </c>
      <c r="M60" s="455">
        <f t="shared" si="34"/>
        <v>2.8723003796055107</v>
      </c>
      <c r="N60" s="455">
        <f t="shared" si="34"/>
        <v>2.8723003796055107</v>
      </c>
      <c r="O60" s="455">
        <f t="shared" si="34"/>
        <v>2.8723003796055107</v>
      </c>
      <c r="P60" s="455">
        <f t="shared" si="34"/>
        <v>2.8723003796055107</v>
      </c>
      <c r="Q60" s="455">
        <f t="shared" si="34"/>
        <v>2.8723003796055107</v>
      </c>
      <c r="R60" s="455">
        <f t="shared" si="34"/>
        <v>2.8723003796055107</v>
      </c>
      <c r="S60" s="455">
        <f t="shared" si="34"/>
        <v>2.8723003796055107</v>
      </c>
      <c r="T60" s="455">
        <f t="shared" si="34"/>
        <v>2.8723003796055107</v>
      </c>
      <c r="U60" s="455">
        <f t="shared" si="34"/>
        <v>2.8723003796055107</v>
      </c>
      <c r="V60" s="455">
        <f t="shared" si="34"/>
        <v>2.8723003796055107</v>
      </c>
      <c r="W60" s="455">
        <f t="shared" si="34"/>
        <v>2.8723003796055107</v>
      </c>
      <c r="X60" s="455">
        <f t="shared" si="34"/>
        <v>2.8723003796055107</v>
      </c>
      <c r="Y60" s="455">
        <f t="shared" si="34"/>
        <v>2.8723003796055107</v>
      </c>
      <c r="Z60" s="455">
        <f t="shared" si="34"/>
        <v>2.8723003796055107</v>
      </c>
      <c r="AA60" s="455">
        <f t="shared" si="34"/>
        <v>2.8723003796055107</v>
      </c>
      <c r="AB60" s="455">
        <f>'Output Graphs'!$D$95</f>
        <v>2.8723003796055107</v>
      </c>
    </row>
    <row r="61" spans="1:28">
      <c r="A61" t="s">
        <v>53</v>
      </c>
      <c r="B61" s="455">
        <f>'Output Graphs'!$B$96</f>
        <v>1.0138181686652377</v>
      </c>
      <c r="C61">
        <f>C66</f>
        <v>1.0347031862431582</v>
      </c>
      <c r="D61">
        <f t="shared" ref="D61:AA61" si="35">D66</f>
        <v>1.0560184426673644</v>
      </c>
      <c r="E61">
        <f t="shared" si="35"/>
        <v>1.0777728010122667</v>
      </c>
      <c r="F61">
        <f t="shared" si="35"/>
        <v>1.0999753069347842</v>
      </c>
      <c r="G61">
        <f t="shared" si="35"/>
        <v>1.1226351924356102</v>
      </c>
      <c r="H61">
        <f t="shared" si="35"/>
        <v>1.1457618796979607</v>
      </c>
      <c r="I61">
        <f t="shared" si="35"/>
        <v>1.1693649850054022</v>
      </c>
      <c r="J61">
        <f t="shared" si="35"/>
        <v>1.1934543227403889</v>
      </c>
      <c r="K61">
        <f t="shared" si="35"/>
        <v>1.2180399094651702</v>
      </c>
      <c r="L61">
        <f t="shared" si="35"/>
        <v>1.2431319680867676</v>
      </c>
      <c r="M61">
        <f t="shared" si="35"/>
        <v>1.2687409321077507</v>
      </c>
      <c r="N61">
        <f t="shared" si="35"/>
        <v>1.2948774499645805</v>
      </c>
      <c r="O61">
        <f t="shared" si="35"/>
        <v>1.3215523894553254</v>
      </c>
      <c r="P61">
        <f t="shared" si="35"/>
        <v>1.3487768422585884</v>
      </c>
      <c r="Q61">
        <f t="shared" si="35"/>
        <v>1.3765621285455263</v>
      </c>
      <c r="R61">
        <f t="shared" si="35"/>
        <v>1.4049198016868782</v>
      </c>
      <c r="S61">
        <f t="shared" si="35"/>
        <v>1.4338616530569612</v>
      </c>
      <c r="T61">
        <f t="shared" si="35"/>
        <v>1.4633997169366282</v>
      </c>
      <c r="U61">
        <f t="shared" si="35"/>
        <v>1.4935462755172302</v>
      </c>
      <c r="V61">
        <f t="shared" si="35"/>
        <v>1.5243138640076617</v>
      </c>
      <c r="W61">
        <f t="shared" si="35"/>
        <v>1.5557152758466124</v>
      </c>
      <c r="X61">
        <f t="shared" si="35"/>
        <v>1.5877635680221933</v>
      </c>
      <c r="Y61">
        <f t="shared" si="35"/>
        <v>1.6204720665011496</v>
      </c>
      <c r="Z61">
        <f t="shared" si="35"/>
        <v>1.653854371769917</v>
      </c>
      <c r="AA61">
        <f t="shared" si="35"/>
        <v>1.6879243644898252</v>
      </c>
      <c r="AB61" s="455">
        <f>'Output Graphs'!$D$96</f>
        <v>1.7226962112687996</v>
      </c>
    </row>
    <row r="62" spans="1:28">
      <c r="A62" t="s">
        <v>5524</v>
      </c>
      <c r="B62" s="455">
        <f>'Output Graphs'!B147</f>
        <v>0</v>
      </c>
      <c r="C62" s="455">
        <f t="shared" ref="C62:AA62" si="36">C69-SUM(C60:C61)</f>
        <v>0.14686878075285659</v>
      </c>
      <c r="D62" s="455">
        <f t="shared" si="36"/>
        <v>0.30054882507497327</v>
      </c>
      <c r="E62" s="455">
        <f t="shared" si="36"/>
        <v>0.46134386702986596</v>
      </c>
      <c r="F62" s="455">
        <f t="shared" si="36"/>
        <v>0.62957095211746683</v>
      </c>
      <c r="G62" s="455">
        <f t="shared" si="36"/>
        <v>0.8055610160151403</v>
      </c>
      <c r="H62" s="455">
        <f t="shared" si="36"/>
        <v>0.98965948838635676</v>
      </c>
      <c r="I62" s="455">
        <f t="shared" si="36"/>
        <v>1.1822269228408624</v>
      </c>
      <c r="J62" s="455">
        <f t="shared" si="36"/>
        <v>1.3836396541770402</v>
      </c>
      <c r="K62" s="455">
        <f t="shared" si="36"/>
        <v>1.5942904840859731</v>
      </c>
      <c r="L62" s="455">
        <f t="shared" si="36"/>
        <v>1.8145893965476914</v>
      </c>
      <c r="M62" s="455">
        <f t="shared" si="36"/>
        <v>2.0449643042032468</v>
      </c>
      <c r="N62" s="455">
        <f t="shared" si="36"/>
        <v>2.2858618270416695</v>
      </c>
      <c r="O62" s="455">
        <f t="shared" si="36"/>
        <v>2.5377481047987764</v>
      </c>
      <c r="P62" s="455">
        <f t="shared" si="36"/>
        <v>2.8011096445250567</v>
      </c>
      <c r="Q62" s="455">
        <f t="shared" si="36"/>
        <v>3.0764542048428911</v>
      </c>
      <c r="R62" s="455">
        <f t="shared" si="36"/>
        <v>3.3643117184789642</v>
      </c>
      <c r="S62" s="455">
        <f t="shared" si="36"/>
        <v>3.6652352547262659</v>
      </c>
      <c r="T62" s="455">
        <f t="shared" si="36"/>
        <v>3.9798020235615343</v>
      </c>
      <c r="U62" s="455">
        <f t="shared" si="36"/>
        <v>4.3086144232185148</v>
      </c>
      <c r="V62" s="455">
        <f t="shared" si="36"/>
        <v>4.652301133095218</v>
      </c>
      <c r="W62" s="455">
        <f t="shared" si="36"/>
        <v>5.0115182539544207</v>
      </c>
      <c r="X62" s="455">
        <f t="shared" si="36"/>
        <v>5.3869504974613527</v>
      </c>
      <c r="Y62" s="455">
        <f t="shared" si="36"/>
        <v>5.7793124271907095</v>
      </c>
      <c r="Z62" s="455">
        <f t="shared" si="36"/>
        <v>6.1893497533273027</v>
      </c>
      <c r="AA62" s="455">
        <f t="shared" si="36"/>
        <v>6.6178406833806616</v>
      </c>
      <c r="AB62" s="455">
        <f>'Output Graphs'!$D$97</f>
        <v>7.0655973313341525</v>
      </c>
    </row>
    <row r="64" spans="1:28">
      <c r="A64" t="s">
        <v>5646</v>
      </c>
      <c r="B64" s="928"/>
      <c r="C64" s="2021">
        <f t="shared" ref="C64:AB64" si="37">(C55-B55)/B55</f>
        <v>2.6892929070340771E-2</v>
      </c>
      <c r="D64" s="2021">
        <f t="shared" si="37"/>
        <v>2.6188639836762031E-2</v>
      </c>
      <c r="E64" s="2021">
        <f t="shared" si="37"/>
        <v>2.5520297945344543E-2</v>
      </c>
      <c r="F64" s="2021">
        <f t="shared" si="37"/>
        <v>2.488521972356383E-2</v>
      </c>
      <c r="G64" s="2021">
        <f t="shared" si="37"/>
        <v>2.4280982147714035E-2</v>
      </c>
      <c r="H64" s="2021">
        <f t="shared" si="37"/>
        <v>2.3705391948995708E-2</v>
      </c>
      <c r="I64" s="2021">
        <f t="shared" si="37"/>
        <v>2.3156459011966574E-2</v>
      </c>
      <c r="J64" s="2021">
        <f t="shared" si="37"/>
        <v>2.2632373385325387E-2</v>
      </c>
      <c r="K64" s="2021">
        <f t="shared" si="37"/>
        <v>2.2131485345416254E-2</v>
      </c>
      <c r="L64" s="2021">
        <f t="shared" si="37"/>
        <v>2.1652288049748513E-2</v>
      </c>
      <c r="M64" s="2021">
        <f t="shared" si="37"/>
        <v>2.1193402396309392E-2</v>
      </c>
      <c r="N64" s="2021">
        <f t="shared" si="37"/>
        <v>2.0753563768212201E-2</v>
      </c>
      <c r="O64" s="2021">
        <f t="shared" si="37"/>
        <v>2.0331610395361618E-2</v>
      </c>
      <c r="P64" s="2021">
        <f t="shared" si="37"/>
        <v>1.9926473107584559E-2</v>
      </c>
      <c r="Q64" s="2021">
        <f t="shared" si="37"/>
        <v>1.9537166288929791E-2</v>
      </c>
      <c r="R64" s="2021">
        <f t="shared" si="37"/>
        <v>1.9162779872012134E-2</v>
      </c>
      <c r="S64" s="2021">
        <f t="shared" si="37"/>
        <v>1.880247223551337E-2</v>
      </c>
      <c r="T64" s="2021">
        <f t="shared" si="37"/>
        <v>1.8455463888162674E-2</v>
      </c>
      <c r="U64" s="2021">
        <f t="shared" si="37"/>
        <v>1.8121031839433609E-2</v>
      </c>
      <c r="V64" s="2021">
        <f t="shared" si="37"/>
        <v>1.7798504571401239E-2</v>
      </c>
      <c r="W64" s="2021">
        <f t="shared" si="37"/>
        <v>1.7487257538166618E-2</v>
      </c>
      <c r="X64" s="2021">
        <f t="shared" si="37"/>
        <v>1.7186709129387742E-2</v>
      </c>
      <c r="Y64" s="2021">
        <f t="shared" si="37"/>
        <v>1.6896317043011311E-2</v>
      </c>
      <c r="Z64" s="2021">
        <f t="shared" si="37"/>
        <v>1.6615575019627876E-2</v>
      </c>
      <c r="AA64" s="2021">
        <f t="shared" si="37"/>
        <v>1.6344009897061706E-2</v>
      </c>
      <c r="AB64" s="2021">
        <f t="shared" si="37"/>
        <v>1.608117894916021E-2</v>
      </c>
    </row>
    <row r="65" spans="1:28">
      <c r="A65" t="s">
        <v>5647</v>
      </c>
      <c r="B65" s="2022">
        <f>(AB55/B55)^(1/COUNT($C$7:$AB$7))-1</f>
        <v>2.060035835165297E-2</v>
      </c>
    </row>
    <row r="66" spans="1:28">
      <c r="A66" t="s">
        <v>5650</v>
      </c>
      <c r="B66" s="455">
        <f>B61</f>
        <v>1.0138181686652377</v>
      </c>
      <c r="C66">
        <f>B66*(1+$B$65)</f>
        <v>1.0347031862431582</v>
      </c>
      <c r="D66">
        <f t="shared" ref="D66:AB66" si="38">C66*(1+$B$65)</f>
        <v>1.0560184426673644</v>
      </c>
      <c r="E66">
        <f t="shared" si="38"/>
        <v>1.0777728010122667</v>
      </c>
      <c r="F66">
        <f t="shared" si="38"/>
        <v>1.0999753069347842</v>
      </c>
      <c r="G66">
        <f t="shared" si="38"/>
        <v>1.1226351924356102</v>
      </c>
      <c r="H66">
        <f t="shared" si="38"/>
        <v>1.1457618796979607</v>
      </c>
      <c r="I66">
        <f t="shared" si="38"/>
        <v>1.1693649850054022</v>
      </c>
      <c r="J66">
        <f t="shared" si="38"/>
        <v>1.1934543227403889</v>
      </c>
      <c r="K66">
        <f t="shared" si="38"/>
        <v>1.2180399094651702</v>
      </c>
      <c r="L66">
        <f t="shared" si="38"/>
        <v>1.2431319680867676</v>
      </c>
      <c r="M66">
        <f t="shared" si="38"/>
        <v>1.2687409321077507</v>
      </c>
      <c r="N66">
        <f t="shared" si="38"/>
        <v>1.2948774499645805</v>
      </c>
      <c r="O66">
        <f t="shared" si="38"/>
        <v>1.3215523894553254</v>
      </c>
      <c r="P66">
        <f t="shared" si="38"/>
        <v>1.3487768422585884</v>
      </c>
      <c r="Q66">
        <f t="shared" si="38"/>
        <v>1.3765621285455263</v>
      </c>
      <c r="R66">
        <f t="shared" si="38"/>
        <v>1.4049198016868782</v>
      </c>
      <c r="S66">
        <f t="shared" si="38"/>
        <v>1.4338616530569612</v>
      </c>
      <c r="T66">
        <f t="shared" si="38"/>
        <v>1.4633997169366282</v>
      </c>
      <c r="U66">
        <f t="shared" si="38"/>
        <v>1.4935462755172302</v>
      </c>
      <c r="V66">
        <f t="shared" si="38"/>
        <v>1.5243138640076617</v>
      </c>
      <c r="W66">
        <f t="shared" si="38"/>
        <v>1.5557152758466124</v>
      </c>
      <c r="X66">
        <f t="shared" si="38"/>
        <v>1.5877635680221933</v>
      </c>
      <c r="Y66">
        <f t="shared" si="38"/>
        <v>1.6204720665011496</v>
      </c>
      <c r="Z66">
        <f t="shared" si="38"/>
        <v>1.653854371769917</v>
      </c>
      <c r="AA66">
        <f t="shared" si="38"/>
        <v>1.6879243644898252</v>
      </c>
      <c r="AB66">
        <f t="shared" si="38"/>
        <v>1.7226962112688018</v>
      </c>
    </row>
    <row r="68" spans="1:28">
      <c r="A68" t="s">
        <v>5648</v>
      </c>
      <c r="B68" s="2022">
        <f>(AB57/B57)^(1/COUNT($C$7:$AB$7))-1</f>
        <v>4.3167442332767703E-2</v>
      </c>
    </row>
    <row r="69" spans="1:28">
      <c r="A69" t="s">
        <v>5649</v>
      </c>
      <c r="B69" s="455">
        <f>SUM(B60:B62)</f>
        <v>3.8861185482707485</v>
      </c>
      <c r="C69">
        <f>B69*(1+$B$68)</f>
        <v>4.0538723466015254</v>
      </c>
      <c r="D69">
        <f t="shared" ref="D69:AB69" si="39">C69*(1+$B$68)</f>
        <v>4.2288676473478484</v>
      </c>
      <c r="E69">
        <f t="shared" si="39"/>
        <v>4.4114170476476433</v>
      </c>
      <c r="F69">
        <f t="shared" si="39"/>
        <v>4.6018466386577614</v>
      </c>
      <c r="G69">
        <f t="shared" si="39"/>
        <v>4.8004965880562613</v>
      </c>
      <c r="H69">
        <f t="shared" si="39"/>
        <v>5.0077217476898284</v>
      </c>
      <c r="I69">
        <f t="shared" si="39"/>
        <v>5.2238922874517755</v>
      </c>
      <c r="J69">
        <f t="shared" si="39"/>
        <v>5.4493943565229399</v>
      </c>
      <c r="K69">
        <f t="shared" si="39"/>
        <v>5.6846307731566537</v>
      </c>
      <c r="L69">
        <f t="shared" si="39"/>
        <v>5.9300217442399701</v>
      </c>
      <c r="M69">
        <f t="shared" si="39"/>
        <v>6.1860056159165078</v>
      </c>
      <c r="N69">
        <f t="shared" si="39"/>
        <v>6.4530396566117609</v>
      </c>
      <c r="O69">
        <f t="shared" si="39"/>
        <v>6.7316008738596125</v>
      </c>
      <c r="P69">
        <f t="shared" si="39"/>
        <v>7.0221868663891556</v>
      </c>
      <c r="Q69">
        <f t="shared" si="39"/>
        <v>7.3253167129939278</v>
      </c>
      <c r="R69">
        <f t="shared" si="39"/>
        <v>7.6415318997713531</v>
      </c>
      <c r="S69">
        <f t="shared" si="39"/>
        <v>7.9713972873887382</v>
      </c>
      <c r="T69">
        <f t="shared" si="39"/>
        <v>8.3155021201036732</v>
      </c>
      <c r="U69">
        <f t="shared" si="39"/>
        <v>8.6744610783412561</v>
      </c>
      <c r="V69">
        <f t="shared" si="39"/>
        <v>9.0489153767083899</v>
      </c>
      <c r="W69">
        <f t="shared" si="39"/>
        <v>9.4395339094065438</v>
      </c>
      <c r="X69">
        <f t="shared" si="39"/>
        <v>9.8470144450890569</v>
      </c>
      <c r="Y69">
        <f t="shared" si="39"/>
        <v>10.27208487329737</v>
      </c>
      <c r="Z69">
        <f t="shared" si="39"/>
        <v>10.71550450470273</v>
      </c>
      <c r="AA69">
        <f t="shared" si="39"/>
        <v>11.178065427475998</v>
      </c>
      <c r="AB69">
        <f t="shared" si="39"/>
        <v>11.660593922208472</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6899C-8525-469E-B11E-95B446463F60}">
  <sheetPr codeName="Sheet47">
    <pageSetUpPr autoPageBreaks="0"/>
  </sheetPr>
  <dimension ref="A1:DQ112"/>
  <sheetViews>
    <sheetView showGridLines="0" zoomScale="80" zoomScaleNormal="80" workbookViewId="0">
      <pane xSplit="5" ySplit="5" topLeftCell="F6" activePane="bottomRight" state="frozen"/>
      <selection activeCell="A2" sqref="A2"/>
      <selection pane="topRight" activeCell="A2" sqref="A2"/>
      <selection pane="bottomLeft" activeCell="A2" sqref="A2"/>
      <selection pane="bottomRight" activeCell="A19" sqref="A19:XFD19"/>
    </sheetView>
  </sheetViews>
  <sheetFormatPr baseColWidth="10" defaultColWidth="8.5" defaultRowHeight="14" outlineLevelRow="1" outlineLevelCol="2"/>
  <cols>
    <col min="1" max="1" width="6.33203125" style="1196" customWidth="1"/>
    <col min="2" max="2" width="1.5" style="1196" customWidth="1"/>
    <col min="3" max="3" width="4.5" style="1197" customWidth="1"/>
    <col min="4" max="4" width="5.33203125" style="1199" customWidth="1"/>
    <col min="5" max="5" width="41.5" style="1199" customWidth="1"/>
    <col min="6" max="6" width="1.33203125" style="1196" customWidth="1" outlineLevel="1"/>
    <col min="7" max="11" width="10" style="1197" customWidth="1" outlineLevel="2"/>
    <col min="12" max="12" width="10" style="1747" customWidth="1" outlineLevel="2"/>
    <col min="13" max="16" width="10" style="1197" customWidth="1" outlineLevel="2"/>
    <col min="17" max="17" width="11" style="1197" customWidth="1" outlineLevel="2"/>
    <col min="18" max="19" width="11.5" style="1197" customWidth="1" outlineLevel="2"/>
    <col min="20" max="20" width="10" style="1197" customWidth="1" outlineLevel="1"/>
    <col min="21" max="21" width="1.33203125" style="1748" customWidth="1" outlineLevel="1"/>
    <col min="22" max="22" width="10" style="1197" customWidth="1" outlineLevel="2"/>
    <col min="23" max="23" width="12.5" style="1197" customWidth="1" outlineLevel="2"/>
    <col min="24" max="24" width="10" style="1749" customWidth="1" outlineLevel="2"/>
    <col min="25" max="25" width="12.5" style="1749" customWidth="1" outlineLevel="2"/>
    <col min="26" max="45" width="10" style="1197" customWidth="1" outlineLevel="2"/>
    <col min="46" max="46" width="10" style="1197" customWidth="1" outlineLevel="1"/>
    <col min="47" max="47" width="1.33203125" style="1748" customWidth="1" outlineLevel="1"/>
    <col min="48" max="66" width="10" style="1197" customWidth="1" outlineLevel="2"/>
    <col min="67" max="67" width="10" style="1197" customWidth="1" outlineLevel="1"/>
    <col min="68" max="68" width="1.33203125" style="1748" customWidth="1" outlineLevel="1"/>
    <col min="69" max="70" width="10" style="1197" customWidth="1" outlineLevel="2"/>
    <col min="71" max="71" width="10" style="1197" customWidth="1" outlineLevel="1"/>
    <col min="72" max="72" width="1.33203125" style="1748" customWidth="1" outlineLevel="1"/>
    <col min="73" max="73" width="11" style="1197" customWidth="1" outlineLevel="1"/>
    <col min="74" max="74" width="5.5" style="1197" customWidth="1"/>
    <col min="75" max="75" width="8.5" style="1748"/>
    <col min="76" max="119" width="7.5" style="1748" customWidth="1"/>
    <col min="120" max="120" width="2.5" style="1748" customWidth="1"/>
    <col min="121" max="121" width="8.5" style="1748"/>
    <col min="122" max="16384" width="8.5" style="1196"/>
  </cols>
  <sheetData>
    <row r="1" spans="1:121" ht="9" customHeight="1"/>
    <row r="2" spans="1:121" ht="21.5" customHeight="1">
      <c r="D2" s="1243"/>
      <c r="E2" s="1750">
        <v>2022</v>
      </c>
      <c r="G2" s="1748"/>
      <c r="H2" s="1748"/>
      <c r="I2" s="1748"/>
      <c r="J2" s="1748"/>
      <c r="K2" s="1748"/>
      <c r="L2" s="1748"/>
      <c r="M2" s="1748"/>
      <c r="N2" s="1748"/>
      <c r="O2" s="1748"/>
      <c r="P2" s="1748"/>
      <c r="Q2" s="1748"/>
      <c r="R2" s="1748"/>
      <c r="S2" s="1748"/>
      <c r="T2" s="1748"/>
      <c r="V2" s="1748"/>
      <c r="W2" s="1748"/>
      <c r="X2" s="1751"/>
      <c r="Y2" s="1751"/>
      <c r="Z2" s="1748"/>
      <c r="AA2" s="1748"/>
      <c r="AB2" s="1748"/>
      <c r="AC2" s="1748"/>
      <c r="AD2" s="1748"/>
      <c r="AE2" s="1748"/>
      <c r="AF2" s="1748"/>
      <c r="AG2" s="1748"/>
      <c r="AH2" s="1748"/>
      <c r="AI2" s="1748"/>
      <c r="AJ2" s="1748"/>
      <c r="AK2" s="1748"/>
      <c r="AL2" s="1748"/>
      <c r="AM2" s="1748"/>
      <c r="AN2" s="1748"/>
      <c r="AO2" s="1748"/>
      <c r="AP2" s="1748"/>
      <c r="AQ2" s="1748"/>
      <c r="AR2" s="1748"/>
      <c r="AS2" s="1748"/>
      <c r="AT2" s="1748"/>
      <c r="AV2" s="1748"/>
      <c r="AW2" s="1748"/>
      <c r="AX2" s="1748"/>
      <c r="AY2" s="1748"/>
      <c r="AZ2" s="1748"/>
      <c r="BA2" s="1748"/>
      <c r="BB2" s="1748"/>
      <c r="BC2" s="1748"/>
      <c r="BD2" s="1748"/>
      <c r="BE2" s="1748"/>
      <c r="BF2" s="1748"/>
      <c r="BG2" s="1748"/>
      <c r="BH2" s="1748"/>
      <c r="BI2" s="1748"/>
      <c r="BJ2" s="1748"/>
      <c r="BK2" s="1748"/>
      <c r="BL2" s="1748"/>
      <c r="BM2" s="1748"/>
      <c r="BN2" s="1748"/>
      <c r="BO2" s="1748"/>
      <c r="BQ2" s="1748"/>
      <c r="BR2" s="1748"/>
      <c r="BS2" s="1748"/>
      <c r="BU2" s="1748"/>
      <c r="BV2" s="1752"/>
    </row>
    <row r="3" spans="1:121" ht="39.5" customHeight="1">
      <c r="A3" s="1753"/>
      <c r="B3" s="1753"/>
      <c r="C3" s="1753"/>
      <c r="D3" s="1754"/>
      <c r="E3" s="1755" t="s">
        <v>420</v>
      </c>
      <c r="G3" s="2194" t="s">
        <v>4755</v>
      </c>
      <c r="H3" s="2195"/>
      <c r="I3" s="2195"/>
      <c r="J3" s="2195"/>
      <c r="K3" s="2195"/>
      <c r="L3" s="2195"/>
      <c r="M3" s="2195"/>
      <c r="N3" s="2195"/>
      <c r="O3" s="2195"/>
      <c r="P3" s="2195"/>
      <c r="Q3" s="2195"/>
      <c r="R3" s="2195"/>
      <c r="S3" s="2195"/>
      <c r="T3" s="2196"/>
      <c r="V3" s="2197" t="s">
        <v>4756</v>
      </c>
      <c r="W3" s="2198"/>
      <c r="X3" s="2198"/>
      <c r="Y3" s="2198"/>
      <c r="Z3" s="2198"/>
      <c r="AA3" s="2198"/>
      <c r="AB3" s="2198"/>
      <c r="AC3" s="2198"/>
      <c r="AD3" s="2198"/>
      <c r="AE3" s="2198"/>
      <c r="AF3" s="2198"/>
      <c r="AG3" s="2198"/>
      <c r="AH3" s="2198"/>
      <c r="AI3" s="2198"/>
      <c r="AJ3" s="2198"/>
      <c r="AK3" s="2198"/>
      <c r="AL3" s="2198"/>
      <c r="AM3" s="2198"/>
      <c r="AN3" s="2198"/>
      <c r="AO3" s="2198"/>
      <c r="AP3" s="2198"/>
      <c r="AQ3" s="2198"/>
      <c r="AR3" s="2198"/>
      <c r="AS3" s="2198"/>
      <c r="AT3" s="2199"/>
      <c r="AV3" s="2200" t="s">
        <v>4757</v>
      </c>
      <c r="AW3" s="2200"/>
      <c r="AX3" s="2200"/>
      <c r="AY3" s="2200"/>
      <c r="AZ3" s="2200"/>
      <c r="BA3" s="2200"/>
      <c r="BB3" s="2200"/>
      <c r="BC3" s="2200"/>
      <c r="BD3" s="2200"/>
      <c r="BE3" s="2200"/>
      <c r="BF3" s="2200"/>
      <c r="BG3" s="2200"/>
      <c r="BH3" s="2200"/>
      <c r="BI3" s="2200"/>
      <c r="BJ3" s="2200"/>
      <c r="BK3" s="2200"/>
      <c r="BL3" s="2200"/>
      <c r="BM3" s="2200"/>
      <c r="BN3" s="2200"/>
      <c r="BO3" s="2201"/>
      <c r="BQ3" s="2202" t="s">
        <v>4758</v>
      </c>
      <c r="BR3" s="2203"/>
      <c r="BS3" s="2204"/>
      <c r="BU3" s="1756"/>
      <c r="BV3" s="1756"/>
      <c r="BW3" s="1757"/>
      <c r="BX3" s="2205" t="s">
        <v>4759</v>
      </c>
      <c r="BY3" s="2206"/>
      <c r="BZ3" s="2206"/>
      <c r="CA3" s="2206"/>
      <c r="CB3" s="2206"/>
      <c r="CC3" s="2206"/>
      <c r="CD3" s="2206"/>
      <c r="CE3" s="2206"/>
      <c r="CF3" s="2206"/>
      <c r="CG3" s="2206"/>
      <c r="CH3" s="2206"/>
      <c r="CI3" s="2206"/>
      <c r="CJ3" s="2206"/>
      <c r="CK3" s="2206"/>
      <c r="CL3" s="2206"/>
      <c r="CM3" s="2206"/>
      <c r="CN3" s="2206"/>
      <c r="CO3" s="2206"/>
      <c r="CP3" s="2206"/>
      <c r="CQ3" s="2206"/>
      <c r="CR3" s="2206"/>
      <c r="CS3" s="2206"/>
      <c r="CT3" s="2206"/>
      <c r="CU3" s="2206"/>
      <c r="CV3" s="2206"/>
      <c r="CW3" s="2206"/>
      <c r="CX3" s="2206"/>
      <c r="CY3" s="2206"/>
      <c r="CZ3" s="2206"/>
      <c r="DA3" s="2206"/>
      <c r="DB3" s="2206"/>
      <c r="DC3" s="2206"/>
      <c r="DD3" s="2206"/>
      <c r="DE3" s="2206"/>
      <c r="DF3" s="2206"/>
      <c r="DG3" s="2206"/>
      <c r="DH3" s="2206"/>
      <c r="DI3" s="2206"/>
      <c r="DJ3" s="2206"/>
      <c r="DK3" s="2206"/>
      <c r="DL3" s="2206"/>
      <c r="DM3" s="2206"/>
      <c r="DN3" s="2206"/>
      <c r="DO3" s="2206"/>
    </row>
    <row r="4" spans="1:121" ht="42" customHeight="1">
      <c r="C4" s="1758"/>
      <c r="D4" s="1758"/>
      <c r="G4" s="1759" t="s">
        <v>3933</v>
      </c>
      <c r="H4" s="1759" t="s">
        <v>3935</v>
      </c>
      <c r="I4" s="1759" t="s">
        <v>3937</v>
      </c>
      <c r="J4" s="1759" t="s">
        <v>3939</v>
      </c>
      <c r="K4" s="1759" t="s">
        <v>413</v>
      </c>
      <c r="L4" s="1759" t="s">
        <v>3942</v>
      </c>
      <c r="M4" s="1759" t="s">
        <v>3944</v>
      </c>
      <c r="N4" s="1759" t="s">
        <v>3946</v>
      </c>
      <c r="O4" s="1759" t="s">
        <v>3948</v>
      </c>
      <c r="P4" s="1759" t="s">
        <v>3853</v>
      </c>
      <c r="Q4" s="1759" t="s">
        <v>430</v>
      </c>
      <c r="R4" s="1759" t="s">
        <v>3854</v>
      </c>
      <c r="S4" s="1759" t="s">
        <v>3953</v>
      </c>
      <c r="T4" s="1760" t="s">
        <v>4760</v>
      </c>
      <c r="V4" s="1761" t="s">
        <v>4033</v>
      </c>
      <c r="W4" s="1761" t="s">
        <v>4035</v>
      </c>
      <c r="X4" s="1762" t="s">
        <v>4805</v>
      </c>
      <c r="Y4" s="1762" t="s">
        <v>4806</v>
      </c>
      <c r="Z4" s="1761" t="s">
        <v>3998</v>
      </c>
      <c r="AA4" s="1761" t="s">
        <v>4000</v>
      </c>
      <c r="AB4" s="1761" t="s">
        <v>4002</v>
      </c>
      <c r="AC4" s="1761" t="s">
        <v>4678</v>
      </c>
      <c r="AD4" s="1761" t="s">
        <v>4679</v>
      </c>
      <c r="AE4" s="1761" t="s">
        <v>4007</v>
      </c>
      <c r="AF4" s="1761" t="s">
        <v>3870</v>
      </c>
      <c r="AG4" s="1761" t="s">
        <v>4010</v>
      </c>
      <c r="AH4" s="1761" t="s">
        <v>4012</v>
      </c>
      <c r="AI4" s="1761" t="s">
        <v>4014</v>
      </c>
      <c r="AJ4" s="1761" t="s">
        <v>4016</v>
      </c>
      <c r="AK4" s="1761" t="s">
        <v>4018</v>
      </c>
      <c r="AL4" s="1761" t="s">
        <v>4028</v>
      </c>
      <c r="AM4" s="1761" t="s">
        <v>4807</v>
      </c>
      <c r="AN4" s="1761" t="s">
        <v>4020</v>
      </c>
      <c r="AO4" s="1761" t="s">
        <v>4022</v>
      </c>
      <c r="AP4" s="1761" t="s">
        <v>4808</v>
      </c>
      <c r="AQ4" s="1761" t="s">
        <v>4024</v>
      </c>
      <c r="AR4" s="1761" t="s">
        <v>4026</v>
      </c>
      <c r="AS4" s="1761" t="s">
        <v>4809</v>
      </c>
      <c r="AT4" s="1763" t="s">
        <v>4761</v>
      </c>
      <c r="AV4" s="1764" t="s">
        <v>3869</v>
      </c>
      <c r="AW4" s="1764" t="s">
        <v>3870</v>
      </c>
      <c r="AX4" s="1764" t="s">
        <v>3874</v>
      </c>
      <c r="AY4" s="1764" t="s">
        <v>4810</v>
      </c>
      <c r="AZ4" s="1764" t="s">
        <v>3975</v>
      </c>
      <c r="BA4" s="1764" t="s">
        <v>4811</v>
      </c>
      <c r="BB4" s="1764" t="s">
        <v>3868</v>
      </c>
      <c r="BC4" s="1764" t="s">
        <v>3871</v>
      </c>
      <c r="BD4" s="1764" t="s">
        <v>3873</v>
      </c>
      <c r="BE4" s="1764" t="s">
        <v>3961</v>
      </c>
      <c r="BF4" s="1764" t="s">
        <v>3963</v>
      </c>
      <c r="BG4" s="1764" t="s">
        <v>3965</v>
      </c>
      <c r="BH4" s="1764" t="s">
        <v>3967</v>
      </c>
      <c r="BI4" s="1764" t="s">
        <v>3969</v>
      </c>
      <c r="BJ4" s="1764" t="s">
        <v>3971</v>
      </c>
      <c r="BK4" s="1764" t="s">
        <v>3973</v>
      </c>
      <c r="BL4" s="1764" t="s">
        <v>3978</v>
      </c>
      <c r="BM4" s="1764" t="s">
        <v>428</v>
      </c>
      <c r="BN4" s="1764" t="s">
        <v>3980</v>
      </c>
      <c r="BO4" s="1765" t="s">
        <v>4762</v>
      </c>
      <c r="BQ4" s="1764" t="s">
        <v>3992</v>
      </c>
      <c r="BR4" s="1764" t="s">
        <v>3994</v>
      </c>
      <c r="BS4" s="1766" t="s">
        <v>4763</v>
      </c>
      <c r="BU4" s="1764" t="s">
        <v>4041</v>
      </c>
      <c r="BV4" s="1767"/>
      <c r="BX4" s="2191" t="s">
        <v>4137</v>
      </c>
      <c r="BY4" s="2192"/>
      <c r="BZ4" s="2192"/>
      <c r="CA4" s="2193"/>
      <c r="CB4" s="2191" t="s">
        <v>4140</v>
      </c>
      <c r="CC4" s="2192"/>
      <c r="CD4" s="2192"/>
      <c r="CE4" s="2193"/>
      <c r="CF4" s="2191" t="s">
        <v>4141</v>
      </c>
      <c r="CG4" s="2192"/>
      <c r="CH4" s="2192"/>
      <c r="CI4" s="2193"/>
      <c r="CJ4" s="2191" t="s">
        <v>4142</v>
      </c>
      <c r="CK4" s="2192"/>
      <c r="CL4" s="2192"/>
      <c r="CM4" s="2193"/>
      <c r="CN4" s="2191" t="s">
        <v>428</v>
      </c>
      <c r="CO4" s="2192"/>
      <c r="CP4" s="2192"/>
      <c r="CQ4" s="2193"/>
      <c r="CR4" s="2191" t="s">
        <v>4144</v>
      </c>
      <c r="CS4" s="2192"/>
      <c r="CT4" s="2192"/>
      <c r="CU4" s="2193"/>
      <c r="CV4" s="2191" t="s">
        <v>3980</v>
      </c>
      <c r="CW4" s="2192"/>
      <c r="CX4" s="2192"/>
      <c r="CY4" s="2193"/>
      <c r="CZ4" s="2191" t="s">
        <v>453</v>
      </c>
      <c r="DA4" s="2192"/>
      <c r="DB4" s="2192"/>
      <c r="DC4" s="2193"/>
      <c r="DD4" s="2191" t="s">
        <v>4146</v>
      </c>
      <c r="DE4" s="2192"/>
      <c r="DF4" s="2192"/>
      <c r="DG4" s="2193"/>
      <c r="DH4" s="2191" t="s">
        <v>4149</v>
      </c>
      <c r="DI4" s="2192"/>
      <c r="DJ4" s="2192"/>
      <c r="DK4" s="2193"/>
      <c r="DL4" s="2191" t="s">
        <v>4151</v>
      </c>
      <c r="DM4" s="2192"/>
      <c r="DN4" s="2192"/>
      <c r="DO4" s="2193"/>
      <c r="DQ4" s="1768" t="s">
        <v>1265</v>
      </c>
    </row>
    <row r="5" spans="1:121">
      <c r="D5" s="1769" t="s">
        <v>455</v>
      </c>
      <c r="G5" s="1770" t="s">
        <v>3932</v>
      </c>
      <c r="H5" s="1770" t="s">
        <v>3934</v>
      </c>
      <c r="I5" s="1770" t="s">
        <v>3936</v>
      </c>
      <c r="J5" s="1770" t="s">
        <v>3938</v>
      </c>
      <c r="K5" s="1770" t="s">
        <v>3940</v>
      </c>
      <c r="L5" s="1770" t="s">
        <v>3941</v>
      </c>
      <c r="M5" s="1770" t="s">
        <v>3943</v>
      </c>
      <c r="N5" s="1770" t="s">
        <v>3945</v>
      </c>
      <c r="O5" s="1770" t="s">
        <v>3947</v>
      </c>
      <c r="P5" s="1770" t="s">
        <v>3949</v>
      </c>
      <c r="Q5" s="1770" t="s">
        <v>3950</v>
      </c>
      <c r="R5" s="1770" t="s">
        <v>3951</v>
      </c>
      <c r="S5" s="1770" t="s">
        <v>3952</v>
      </c>
      <c r="T5" s="1770"/>
      <c r="V5" s="1771" t="s">
        <v>4032</v>
      </c>
      <c r="W5" s="1771" t="s">
        <v>4034</v>
      </c>
      <c r="X5" s="1772" t="s">
        <v>4764</v>
      </c>
      <c r="Y5" s="1772" t="s">
        <v>4765</v>
      </c>
      <c r="Z5" s="1771" t="s">
        <v>3997</v>
      </c>
      <c r="AA5" s="1771" t="s">
        <v>3999</v>
      </c>
      <c r="AB5" s="1771" t="s">
        <v>4001</v>
      </c>
      <c r="AC5" s="1771" t="s">
        <v>4385</v>
      </c>
      <c r="AD5" s="1771" t="s">
        <v>4386</v>
      </c>
      <c r="AE5" s="1771" t="s">
        <v>4006</v>
      </c>
      <c r="AF5" s="1771" t="s">
        <v>4008</v>
      </c>
      <c r="AG5" s="1771" t="s">
        <v>4009</v>
      </c>
      <c r="AH5" s="1771" t="s">
        <v>4011</v>
      </c>
      <c r="AI5" s="1771" t="s">
        <v>4013</v>
      </c>
      <c r="AJ5" s="1771" t="s">
        <v>4015</v>
      </c>
      <c r="AK5" s="1771" t="s">
        <v>4017</v>
      </c>
      <c r="AL5" s="1771" t="s">
        <v>4027</v>
      </c>
      <c r="AM5" s="1771" t="s">
        <v>4766</v>
      </c>
      <c r="AN5" s="1771" t="s">
        <v>4019</v>
      </c>
      <c r="AO5" s="1771" t="s">
        <v>4021</v>
      </c>
      <c r="AP5" s="1771" t="s">
        <v>4767</v>
      </c>
      <c r="AQ5" s="1771" t="s">
        <v>4023</v>
      </c>
      <c r="AR5" s="1771" t="s">
        <v>4025</v>
      </c>
      <c r="AS5" s="1771" t="s">
        <v>4768</v>
      </c>
      <c r="AT5" s="1771"/>
      <c r="AV5" s="1773" t="s">
        <v>3985</v>
      </c>
      <c r="AW5" s="1773" t="s">
        <v>3986</v>
      </c>
      <c r="AX5" s="1773" t="s">
        <v>3989</v>
      </c>
      <c r="AY5" s="1773" t="s">
        <v>4769</v>
      </c>
      <c r="AZ5" s="1773" t="s">
        <v>3974</v>
      </c>
      <c r="BA5" s="1773" t="s">
        <v>4770</v>
      </c>
      <c r="BB5" s="1773" t="s">
        <v>3982</v>
      </c>
      <c r="BC5" s="1773" t="s">
        <v>3987</v>
      </c>
      <c r="BD5" s="1773" t="s">
        <v>3988</v>
      </c>
      <c r="BE5" s="1773" t="s">
        <v>3960</v>
      </c>
      <c r="BF5" s="1773" t="s">
        <v>3962</v>
      </c>
      <c r="BG5" s="1773" t="s">
        <v>3964</v>
      </c>
      <c r="BH5" s="1773" t="s">
        <v>3966</v>
      </c>
      <c r="BI5" s="1773" t="s">
        <v>3968</v>
      </c>
      <c r="BJ5" s="1773" t="s">
        <v>3970</v>
      </c>
      <c r="BK5" s="1773" t="s">
        <v>3972</v>
      </c>
      <c r="BL5" s="1773" t="s">
        <v>3977</v>
      </c>
      <c r="BM5" s="1773" t="s">
        <v>3981</v>
      </c>
      <c r="BN5" s="1773" t="s">
        <v>3979</v>
      </c>
      <c r="BO5" s="1773"/>
      <c r="BQ5" s="1774" t="s">
        <v>3991</v>
      </c>
      <c r="BR5" s="1774" t="s">
        <v>3993</v>
      </c>
      <c r="BS5" s="1774"/>
      <c r="BU5" s="1775" t="s">
        <v>4040</v>
      </c>
      <c r="BV5" s="1775"/>
      <c r="BX5" s="1776" t="s">
        <v>4136</v>
      </c>
      <c r="BY5" s="1777" t="s">
        <v>4136</v>
      </c>
      <c r="BZ5" s="1777" t="s">
        <v>4136</v>
      </c>
      <c r="CA5" s="1778" t="s">
        <v>4136</v>
      </c>
      <c r="CB5" s="1776" t="s">
        <v>4139</v>
      </c>
      <c r="CC5" s="1777" t="s">
        <v>4139</v>
      </c>
      <c r="CD5" s="1777" t="s">
        <v>4139</v>
      </c>
      <c r="CE5" s="1778" t="s">
        <v>4139</v>
      </c>
      <c r="CF5" s="1776">
        <v>2</v>
      </c>
      <c r="CG5" s="1777">
        <v>2</v>
      </c>
      <c r="CH5" s="1777">
        <v>2</v>
      </c>
      <c r="CI5" s="1778">
        <v>2</v>
      </c>
      <c r="CJ5" s="1776">
        <v>3</v>
      </c>
      <c r="CK5" s="1777">
        <v>3</v>
      </c>
      <c r="CL5" s="1777">
        <v>3</v>
      </c>
      <c r="CM5" s="1778">
        <v>3</v>
      </c>
      <c r="CN5" s="1776">
        <v>4</v>
      </c>
      <c r="CO5" s="1777">
        <v>4</v>
      </c>
      <c r="CP5" s="1777">
        <v>4</v>
      </c>
      <c r="CQ5" s="1778">
        <v>4</v>
      </c>
      <c r="CR5" s="1776">
        <v>5</v>
      </c>
      <c r="CS5" s="1777">
        <v>5</v>
      </c>
      <c r="CT5" s="1777">
        <v>5</v>
      </c>
      <c r="CU5" s="1778">
        <v>5</v>
      </c>
      <c r="CV5" s="1776">
        <v>6</v>
      </c>
      <c r="CW5" s="1777">
        <v>6</v>
      </c>
      <c r="CX5" s="1777">
        <v>6</v>
      </c>
      <c r="CY5" s="1778">
        <v>6</v>
      </c>
      <c r="CZ5" s="1776">
        <v>7</v>
      </c>
      <c r="DA5" s="1777">
        <v>7</v>
      </c>
      <c r="DB5" s="1777">
        <v>7</v>
      </c>
      <c r="DC5" s="1778">
        <v>7</v>
      </c>
      <c r="DD5" s="1776" t="s">
        <v>4145</v>
      </c>
      <c r="DE5" s="1777" t="s">
        <v>4145</v>
      </c>
      <c r="DF5" s="1777" t="s">
        <v>4145</v>
      </c>
      <c r="DG5" s="1778" t="s">
        <v>4145</v>
      </c>
      <c r="DH5" s="1776" t="s">
        <v>4148</v>
      </c>
      <c r="DI5" s="1777" t="s">
        <v>4148</v>
      </c>
      <c r="DJ5" s="1777" t="s">
        <v>4148</v>
      </c>
      <c r="DK5" s="1778" t="s">
        <v>4148</v>
      </c>
      <c r="DL5" s="1776" t="s">
        <v>4150</v>
      </c>
      <c r="DM5" s="1777" t="s">
        <v>4150</v>
      </c>
      <c r="DN5" s="1777" t="s">
        <v>4150</v>
      </c>
      <c r="DO5" s="1778" t="s">
        <v>4150</v>
      </c>
    </row>
    <row r="6" spans="1:121" ht="15.75" customHeight="1">
      <c r="G6" s="1779"/>
      <c r="H6" s="1779"/>
      <c r="I6" s="1779"/>
      <c r="J6" s="1779"/>
      <c r="K6" s="1779"/>
      <c r="L6" s="1780"/>
      <c r="M6" s="1779"/>
      <c r="N6" s="1779"/>
      <c r="O6" s="1779"/>
      <c r="P6" s="1779"/>
      <c r="Q6" s="1779"/>
      <c r="R6" s="1779"/>
      <c r="S6" s="1779"/>
      <c r="T6" s="1781"/>
      <c r="V6" s="1782"/>
      <c r="W6" s="1782"/>
      <c r="X6" s="1783"/>
      <c r="Y6" s="1783"/>
      <c r="Z6" s="1782"/>
      <c r="AA6" s="1782"/>
      <c r="AB6" s="1782"/>
      <c r="AC6" s="1782"/>
      <c r="AD6" s="1782"/>
      <c r="AE6" s="1782"/>
      <c r="AF6" s="1782"/>
      <c r="AG6" s="1782"/>
      <c r="AH6" s="1782"/>
      <c r="AI6" s="1782"/>
      <c r="AJ6" s="1782"/>
      <c r="AK6" s="1782"/>
      <c r="AL6" s="1782"/>
      <c r="AM6" s="1782"/>
      <c r="AN6" s="1782"/>
      <c r="AO6" s="1782"/>
      <c r="AP6" s="1782"/>
      <c r="AQ6" s="1782"/>
      <c r="AR6" s="1782"/>
      <c r="AS6" s="1782"/>
      <c r="AT6" s="1782"/>
      <c r="AV6" s="1784"/>
      <c r="AW6" s="1784"/>
      <c r="AX6" s="1784"/>
      <c r="AY6" s="1784"/>
      <c r="AZ6" s="1784"/>
      <c r="BA6" s="1784"/>
      <c r="BB6" s="1784"/>
      <c r="BC6" s="1784"/>
      <c r="BD6" s="1784"/>
      <c r="BE6" s="1784"/>
      <c r="BF6" s="1784"/>
      <c r="BG6" s="1784"/>
      <c r="BH6" s="1784"/>
      <c r="BI6" s="1784"/>
      <c r="BJ6" s="1784"/>
      <c r="BK6" s="1784"/>
      <c r="BL6" s="1784"/>
      <c r="BM6" s="1784"/>
      <c r="BN6" s="1784"/>
      <c r="BO6" s="1784"/>
      <c r="BQ6" s="1785"/>
      <c r="BR6" s="1785"/>
      <c r="BS6" s="1785"/>
      <c r="BU6" s="1786"/>
      <c r="BV6" s="1786"/>
      <c r="BX6" s="1787" t="s">
        <v>122</v>
      </c>
      <c r="BY6" s="1787" t="s">
        <v>4297</v>
      </c>
      <c r="BZ6" s="1787" t="s">
        <v>4298</v>
      </c>
      <c r="CA6" s="1787" t="s">
        <v>4771</v>
      </c>
      <c r="CB6" s="1787" t="s">
        <v>122</v>
      </c>
      <c r="CC6" s="1787" t="s">
        <v>4297</v>
      </c>
      <c r="CD6" s="1787" t="s">
        <v>4298</v>
      </c>
      <c r="CE6" s="1787" t="s">
        <v>4771</v>
      </c>
      <c r="CF6" s="1787" t="s">
        <v>122</v>
      </c>
      <c r="CG6" s="1787" t="s">
        <v>4297</v>
      </c>
      <c r="CH6" s="1787" t="s">
        <v>4298</v>
      </c>
      <c r="CI6" s="1787" t="s">
        <v>4771</v>
      </c>
      <c r="CJ6" s="1787" t="s">
        <v>122</v>
      </c>
      <c r="CK6" s="1787" t="s">
        <v>4297</v>
      </c>
      <c r="CL6" s="1787" t="s">
        <v>4298</v>
      </c>
      <c r="CM6" s="1787" t="s">
        <v>4771</v>
      </c>
      <c r="CN6" s="1787" t="s">
        <v>122</v>
      </c>
      <c r="CO6" s="1787" t="s">
        <v>4297</v>
      </c>
      <c r="CP6" s="1787" t="s">
        <v>4298</v>
      </c>
      <c r="CQ6" s="1787" t="s">
        <v>4771</v>
      </c>
      <c r="CR6" s="1787" t="s">
        <v>122</v>
      </c>
      <c r="CS6" s="1787" t="s">
        <v>4297</v>
      </c>
      <c r="CT6" s="1787" t="s">
        <v>4298</v>
      </c>
      <c r="CU6" s="1787" t="s">
        <v>4771</v>
      </c>
      <c r="CV6" s="1787" t="s">
        <v>122</v>
      </c>
      <c r="CW6" s="1787" t="s">
        <v>4297</v>
      </c>
      <c r="CX6" s="1787" t="s">
        <v>4298</v>
      </c>
      <c r="CY6" s="1787" t="s">
        <v>4771</v>
      </c>
      <c r="CZ6" s="1787" t="s">
        <v>122</v>
      </c>
      <c r="DA6" s="1787" t="s">
        <v>4297</v>
      </c>
      <c r="DB6" s="1787" t="s">
        <v>4298</v>
      </c>
      <c r="DC6" s="1787" t="s">
        <v>4771</v>
      </c>
      <c r="DD6" s="1787" t="s">
        <v>122</v>
      </c>
      <c r="DE6" s="1787" t="s">
        <v>4297</v>
      </c>
      <c r="DF6" s="1787" t="s">
        <v>4298</v>
      </c>
      <c r="DG6" s="1787" t="s">
        <v>4771</v>
      </c>
      <c r="DH6" s="1787" t="s">
        <v>122</v>
      </c>
      <c r="DI6" s="1787" t="s">
        <v>4297</v>
      </c>
      <c r="DJ6" s="1787" t="s">
        <v>4298</v>
      </c>
      <c r="DK6" s="1787" t="s">
        <v>4771</v>
      </c>
      <c r="DL6" s="1787" t="s">
        <v>122</v>
      </c>
      <c r="DM6" s="1787" t="s">
        <v>4297</v>
      </c>
      <c r="DN6" s="1787" t="s">
        <v>4298</v>
      </c>
      <c r="DO6" s="1787" t="s">
        <v>4771</v>
      </c>
    </row>
    <row r="7" spans="1:121" ht="18" customHeight="1">
      <c r="C7" s="1788" t="s">
        <v>4772</v>
      </c>
      <c r="D7" s="1198"/>
      <c r="E7" s="1789"/>
      <c r="G7" s="1790"/>
      <c r="H7" s="1790"/>
      <c r="I7" s="1790"/>
      <c r="J7" s="1790"/>
      <c r="K7" s="1790"/>
      <c r="L7" s="1790"/>
      <c r="M7" s="1790"/>
      <c r="N7" s="1790"/>
      <c r="O7" s="1790"/>
      <c r="P7" s="1790"/>
      <c r="Q7" s="1790"/>
      <c r="R7" s="1790"/>
      <c r="S7" s="1790"/>
      <c r="T7" s="1790"/>
      <c r="V7" s="1791"/>
      <c r="W7" s="1791"/>
      <c r="X7" s="1792"/>
      <c r="Y7" s="1792"/>
      <c r="Z7" s="1791"/>
      <c r="AA7" s="1791"/>
      <c r="AB7" s="1791"/>
      <c r="AC7" s="1791"/>
      <c r="AD7" s="1791"/>
      <c r="AE7" s="1791"/>
      <c r="AF7" s="1791"/>
      <c r="AG7" s="1791"/>
      <c r="AH7" s="1791"/>
      <c r="AI7" s="1791"/>
      <c r="AJ7" s="1791"/>
      <c r="AK7" s="1791"/>
      <c r="AL7" s="1791"/>
      <c r="AM7" s="1791"/>
      <c r="AN7" s="1791"/>
      <c r="AO7" s="1791"/>
      <c r="AP7" s="1791"/>
      <c r="AQ7" s="1791"/>
      <c r="AR7" s="1791"/>
      <c r="AS7" s="1791"/>
      <c r="AT7" s="1791"/>
      <c r="AV7" s="1793"/>
      <c r="AW7" s="1793"/>
      <c r="AX7" s="1793"/>
      <c r="AY7" s="1793"/>
      <c r="AZ7" s="1793"/>
      <c r="BA7" s="1793"/>
      <c r="BB7" s="1793"/>
      <c r="BC7" s="1793"/>
      <c r="BD7" s="1793"/>
      <c r="BE7" s="1793"/>
      <c r="BF7" s="1793"/>
      <c r="BG7" s="1793"/>
      <c r="BH7" s="1793"/>
      <c r="BI7" s="1793"/>
      <c r="BJ7" s="1793"/>
      <c r="BK7" s="1793"/>
      <c r="BL7" s="1793"/>
      <c r="BM7" s="1793"/>
      <c r="BN7" s="1793"/>
      <c r="BO7" s="1793"/>
      <c r="BQ7" s="1794"/>
      <c r="BR7" s="1794"/>
      <c r="BS7" s="1794"/>
      <c r="BU7" s="1795"/>
      <c r="BV7" s="1795"/>
      <c r="BX7" s="1796"/>
      <c r="BY7" s="1796"/>
      <c r="BZ7" s="1796"/>
      <c r="CA7" s="1796"/>
      <c r="CB7" s="1796"/>
      <c r="CC7" s="1796"/>
      <c r="CD7" s="1796"/>
      <c r="CE7" s="1796"/>
      <c r="CF7" s="1796"/>
      <c r="CG7" s="1796"/>
      <c r="CH7" s="1796"/>
      <c r="CI7" s="1796"/>
      <c r="CJ7" s="1796"/>
      <c r="CK7" s="1796"/>
      <c r="CL7" s="1796"/>
      <c r="CM7" s="1796"/>
      <c r="CN7" s="1796"/>
      <c r="CO7" s="1796"/>
      <c r="CP7" s="1796"/>
      <c r="CQ7" s="1796"/>
      <c r="CR7" s="1796"/>
      <c r="CS7" s="1796"/>
      <c r="CT7" s="1796"/>
      <c r="CU7" s="1796"/>
      <c r="CV7" s="1796"/>
      <c r="CW7" s="1796"/>
      <c r="CX7" s="1796"/>
      <c r="CY7" s="1796"/>
      <c r="CZ7" s="1796"/>
      <c r="DA7" s="1796"/>
      <c r="DB7" s="1796"/>
      <c r="DC7" s="1796"/>
      <c r="DD7" s="1796"/>
      <c r="DE7" s="1796"/>
      <c r="DF7" s="1796"/>
      <c r="DG7" s="1796"/>
      <c r="DH7" s="1796"/>
      <c r="DI7" s="1796"/>
      <c r="DJ7" s="1796"/>
      <c r="DK7" s="1796"/>
      <c r="DL7" s="1796"/>
      <c r="DM7" s="1796"/>
      <c r="DN7" s="1796"/>
      <c r="DO7" s="1796"/>
    </row>
    <row r="8" spans="1:121" ht="6" customHeight="1" outlineLevel="1">
      <c r="G8" s="1779"/>
      <c r="H8" s="1779"/>
      <c r="I8" s="1779"/>
      <c r="J8" s="1779"/>
      <c r="K8" s="1779"/>
      <c r="L8" s="1780"/>
      <c r="M8" s="1779"/>
      <c r="N8" s="1779"/>
      <c r="O8" s="1779"/>
      <c r="P8" s="1779"/>
      <c r="Q8" s="1779"/>
      <c r="R8" s="1779"/>
      <c r="S8" s="1779"/>
      <c r="T8" s="1779"/>
      <c r="V8" s="1797"/>
      <c r="W8" s="1797"/>
      <c r="X8" s="1798"/>
      <c r="Y8" s="1798"/>
      <c r="Z8" s="1797"/>
      <c r="AA8" s="1797"/>
      <c r="AB8" s="1797"/>
      <c r="AC8" s="1797"/>
      <c r="AD8" s="1797"/>
      <c r="AE8" s="1797"/>
      <c r="AF8" s="1797"/>
      <c r="AG8" s="1797"/>
      <c r="AH8" s="1797"/>
      <c r="AI8" s="1797"/>
      <c r="AJ8" s="1797"/>
      <c r="AK8" s="1797"/>
      <c r="AL8" s="1797"/>
      <c r="AM8" s="1797"/>
      <c r="AN8" s="1797"/>
      <c r="AO8" s="1797"/>
      <c r="AP8" s="1797"/>
      <c r="AQ8" s="1797"/>
      <c r="AR8" s="1797"/>
      <c r="AS8" s="1797"/>
      <c r="AT8" s="1797"/>
      <c r="AV8" s="1799"/>
      <c r="AW8" s="1799"/>
      <c r="AX8" s="1799"/>
      <c r="AY8" s="1799"/>
      <c r="AZ8" s="1799"/>
      <c r="BA8" s="1799"/>
      <c r="BB8" s="1799"/>
      <c r="BC8" s="1799"/>
      <c r="BD8" s="1799"/>
      <c r="BE8" s="1799"/>
      <c r="BF8" s="1799"/>
      <c r="BG8" s="1799"/>
      <c r="BH8" s="1799"/>
      <c r="BI8" s="1799"/>
      <c r="BJ8" s="1799"/>
      <c r="BK8" s="1799"/>
      <c r="BL8" s="1799"/>
      <c r="BM8" s="1799"/>
      <c r="BN8" s="1799"/>
      <c r="BO8" s="1799"/>
      <c r="BQ8" s="1800"/>
      <c r="BR8" s="1800"/>
      <c r="BS8" s="1800"/>
      <c r="BU8" s="1801"/>
      <c r="BV8" s="1801"/>
      <c r="BX8" s="1802"/>
      <c r="BY8" s="1802"/>
      <c r="BZ8" s="1802"/>
      <c r="CA8" s="1802"/>
      <c r="CB8" s="1802"/>
      <c r="CC8" s="1802"/>
      <c r="CD8" s="1802"/>
      <c r="CE8" s="1802"/>
      <c r="CF8" s="1802"/>
      <c r="CG8" s="1802"/>
      <c r="CH8" s="1802"/>
      <c r="CI8" s="1802"/>
      <c r="CJ8" s="1802"/>
      <c r="CK8" s="1802"/>
      <c r="CL8" s="1802"/>
      <c r="CM8" s="1802"/>
      <c r="CN8" s="1802"/>
      <c r="CO8" s="1802"/>
      <c r="CP8" s="1802"/>
      <c r="CQ8" s="1802"/>
      <c r="CR8" s="1802"/>
      <c r="CS8" s="1802"/>
      <c r="CT8" s="1802"/>
      <c r="CU8" s="1802"/>
      <c r="CV8" s="1802"/>
      <c r="CW8" s="1802"/>
      <c r="CX8" s="1802"/>
      <c r="CY8" s="1802"/>
      <c r="CZ8" s="1802"/>
      <c r="DA8" s="1802"/>
      <c r="DB8" s="1802"/>
      <c r="DC8" s="1802"/>
      <c r="DD8" s="1802"/>
      <c r="DE8" s="1802"/>
      <c r="DF8" s="1802"/>
      <c r="DG8" s="1802"/>
      <c r="DH8" s="1802"/>
      <c r="DI8" s="1802"/>
      <c r="DJ8" s="1802"/>
      <c r="DK8" s="1802"/>
      <c r="DL8" s="1802"/>
      <c r="DM8" s="1802"/>
      <c r="DN8" s="1802"/>
      <c r="DO8" s="1802"/>
    </row>
    <row r="9" spans="1:121" s="1199" customFormat="1" ht="12.75" customHeight="1" outlineLevel="1">
      <c r="A9" s="1803"/>
      <c r="B9" s="1803"/>
      <c r="C9" s="1804" t="s">
        <v>433</v>
      </c>
      <c r="D9" s="1805" t="s">
        <v>416</v>
      </c>
      <c r="E9" s="1806"/>
      <c r="G9" s="1807">
        <v>0</v>
      </c>
      <c r="H9" s="1807">
        <v>0</v>
      </c>
      <c r="I9" s="1807">
        <v>27.571778248325508</v>
      </c>
      <c r="J9" s="1807">
        <v>0</v>
      </c>
      <c r="K9" s="1807">
        <v>0</v>
      </c>
      <c r="L9" s="1807">
        <v>0</v>
      </c>
      <c r="M9" s="1807">
        <v>0</v>
      </c>
      <c r="N9" s="1807">
        <v>0</v>
      </c>
      <c r="O9" s="1807">
        <v>0</v>
      </c>
      <c r="P9" s="1807">
        <v>0</v>
      </c>
      <c r="Q9" s="1807">
        <v>0</v>
      </c>
      <c r="R9" s="1807">
        <v>0</v>
      </c>
      <c r="S9" s="1807">
        <v>0</v>
      </c>
      <c r="T9" s="1807">
        <v>27.571778248325508</v>
      </c>
      <c r="U9" s="1197"/>
      <c r="V9" s="1808">
        <v>-27.571778248325508</v>
      </c>
      <c r="W9" s="1808">
        <v>0</v>
      </c>
      <c r="X9" s="1809">
        <v>0</v>
      </c>
      <c r="Y9" s="1809">
        <v>0</v>
      </c>
      <c r="Z9" s="1808">
        <v>0</v>
      </c>
      <c r="AA9" s="1808">
        <v>0</v>
      </c>
      <c r="AB9" s="1808">
        <v>0</v>
      </c>
      <c r="AC9" s="1808">
        <v>0</v>
      </c>
      <c r="AD9" s="1808">
        <v>0</v>
      </c>
      <c r="AE9" s="1808">
        <v>0</v>
      </c>
      <c r="AF9" s="1808">
        <v>0</v>
      </c>
      <c r="AG9" s="1808">
        <v>0</v>
      </c>
      <c r="AH9" s="1808">
        <v>0</v>
      </c>
      <c r="AI9" s="1808">
        <v>0</v>
      </c>
      <c r="AJ9" s="1808">
        <v>0</v>
      </c>
      <c r="AK9" s="1808">
        <v>0</v>
      </c>
      <c r="AL9" s="1808">
        <v>0</v>
      </c>
      <c r="AM9" s="1808">
        <v>0</v>
      </c>
      <c r="AN9" s="1808">
        <v>0</v>
      </c>
      <c r="AO9" s="1808">
        <v>0</v>
      </c>
      <c r="AP9" s="1808">
        <v>0</v>
      </c>
      <c r="AQ9" s="1808">
        <v>0</v>
      </c>
      <c r="AR9" s="1808">
        <v>0</v>
      </c>
      <c r="AS9" s="1808">
        <v>0</v>
      </c>
      <c r="AT9" s="1808">
        <v>-27.571778248325508</v>
      </c>
      <c r="AU9" s="1197"/>
      <c r="AV9" s="1810">
        <v>0</v>
      </c>
      <c r="AW9" s="1810">
        <v>0</v>
      </c>
      <c r="AX9" s="1810">
        <v>0</v>
      </c>
      <c r="AY9" s="1810">
        <v>0</v>
      </c>
      <c r="AZ9" s="1810">
        <v>0</v>
      </c>
      <c r="BA9" s="1810">
        <v>0</v>
      </c>
      <c r="BB9" s="1810">
        <v>0</v>
      </c>
      <c r="BC9" s="1810">
        <v>0</v>
      </c>
      <c r="BD9" s="1810">
        <v>0</v>
      </c>
      <c r="BE9" s="1810">
        <v>0</v>
      </c>
      <c r="BF9" s="1810">
        <v>0</v>
      </c>
      <c r="BG9" s="1810">
        <v>0</v>
      </c>
      <c r="BH9" s="1810">
        <v>0</v>
      </c>
      <c r="BI9" s="1810">
        <v>0</v>
      </c>
      <c r="BJ9" s="1810">
        <v>0</v>
      </c>
      <c r="BK9" s="1810">
        <v>0</v>
      </c>
      <c r="BL9" s="1810">
        <v>0</v>
      </c>
      <c r="BM9" s="1810">
        <v>0</v>
      </c>
      <c r="BN9" s="1810">
        <v>0</v>
      </c>
      <c r="BO9" s="1811">
        <v>0</v>
      </c>
      <c r="BP9" s="1197"/>
      <c r="BQ9" s="1812">
        <v>0</v>
      </c>
      <c r="BR9" s="1812">
        <v>0</v>
      </c>
      <c r="BS9" s="1813">
        <v>0</v>
      </c>
      <c r="BT9" s="1197"/>
      <c r="BU9" s="1814">
        <v>0</v>
      </c>
      <c r="BV9" s="1814"/>
      <c r="BW9" s="1815"/>
      <c r="BX9" s="1816">
        <v>0</v>
      </c>
      <c r="BY9" s="1817">
        <v>0</v>
      </c>
      <c r="BZ9" s="1817">
        <v>0</v>
      </c>
      <c r="CA9" s="1817">
        <v>0</v>
      </c>
      <c r="CB9" s="1817">
        <v>0</v>
      </c>
      <c r="CC9" s="1817">
        <v>0</v>
      </c>
      <c r="CD9" s="1817">
        <v>0</v>
      </c>
      <c r="CE9" s="1817">
        <v>0</v>
      </c>
      <c r="CF9" s="1817">
        <v>0</v>
      </c>
      <c r="CG9" s="1817">
        <v>0</v>
      </c>
      <c r="CH9" s="1817">
        <v>0</v>
      </c>
      <c r="CI9" s="1817">
        <v>0</v>
      </c>
      <c r="CJ9" s="1817">
        <v>0</v>
      </c>
      <c r="CK9" s="1817">
        <v>0</v>
      </c>
      <c r="CL9" s="1817">
        <v>0</v>
      </c>
      <c r="CM9" s="1817">
        <v>0</v>
      </c>
      <c r="CN9" s="1817">
        <v>0</v>
      </c>
      <c r="CO9" s="1817">
        <v>0</v>
      </c>
      <c r="CP9" s="1817">
        <v>0</v>
      </c>
      <c r="CQ9" s="1817">
        <v>0</v>
      </c>
      <c r="CR9" s="1817">
        <v>0</v>
      </c>
      <c r="CS9" s="1817">
        <v>0</v>
      </c>
      <c r="CT9" s="1817">
        <v>0</v>
      </c>
      <c r="CU9" s="1817">
        <v>0</v>
      </c>
      <c r="CV9" s="1817">
        <v>0</v>
      </c>
      <c r="CW9" s="1817">
        <v>0</v>
      </c>
      <c r="CX9" s="1817">
        <v>0</v>
      </c>
      <c r="CY9" s="1817">
        <v>0</v>
      </c>
      <c r="CZ9" s="1817">
        <v>0</v>
      </c>
      <c r="DA9" s="1817">
        <v>0</v>
      </c>
      <c r="DB9" s="1817">
        <v>0</v>
      </c>
      <c r="DC9" s="1817">
        <v>0</v>
      </c>
      <c r="DD9" s="1817">
        <v>0</v>
      </c>
      <c r="DE9" s="1817">
        <v>0</v>
      </c>
      <c r="DF9" s="1817">
        <v>0</v>
      </c>
      <c r="DG9" s="1817">
        <v>0</v>
      </c>
      <c r="DH9" s="1817">
        <v>0</v>
      </c>
      <c r="DI9" s="1817">
        <v>0</v>
      </c>
      <c r="DJ9" s="1817">
        <v>0</v>
      </c>
      <c r="DK9" s="1817">
        <v>0</v>
      </c>
      <c r="DL9" s="1817">
        <v>0</v>
      </c>
      <c r="DM9" s="1817">
        <v>0</v>
      </c>
      <c r="DN9" s="1817">
        <v>0</v>
      </c>
      <c r="DO9" s="1817">
        <v>0</v>
      </c>
      <c r="DP9" s="1197"/>
      <c r="DQ9" s="1226">
        <v>0</v>
      </c>
    </row>
    <row r="10" spans="1:121" s="1199" customFormat="1" ht="12.75" customHeight="1" outlineLevel="1">
      <c r="A10" s="1803"/>
      <c r="B10" s="1803"/>
      <c r="C10" s="1804" t="s">
        <v>434</v>
      </c>
      <c r="D10" s="1805" t="s">
        <v>3884</v>
      </c>
      <c r="E10" s="1805"/>
      <c r="G10" s="1818">
        <v>0</v>
      </c>
      <c r="H10" s="1818">
        <v>0</v>
      </c>
      <c r="I10" s="1818">
        <v>0</v>
      </c>
      <c r="J10" s="1818">
        <v>8.5969089718730327</v>
      </c>
      <c r="K10" s="1818">
        <v>0</v>
      </c>
      <c r="L10" s="1818">
        <v>0</v>
      </c>
      <c r="M10" s="1818">
        <v>0</v>
      </c>
      <c r="N10" s="1818">
        <v>0</v>
      </c>
      <c r="O10" s="1818">
        <v>0</v>
      </c>
      <c r="P10" s="1818">
        <v>0</v>
      </c>
      <c r="Q10" s="1818">
        <v>0</v>
      </c>
      <c r="R10" s="1818">
        <v>0</v>
      </c>
      <c r="S10" s="1818">
        <v>0</v>
      </c>
      <c r="T10" s="1807">
        <v>8.5969089718730327</v>
      </c>
      <c r="U10" s="1197"/>
      <c r="V10" s="1819">
        <v>-8.5969089718730327</v>
      </c>
      <c r="W10" s="1819">
        <v>0</v>
      </c>
      <c r="X10" s="1820">
        <v>0</v>
      </c>
      <c r="Y10" s="1820">
        <v>0</v>
      </c>
      <c r="Z10" s="1819">
        <v>0</v>
      </c>
      <c r="AA10" s="1819">
        <v>0</v>
      </c>
      <c r="AB10" s="1819">
        <v>0</v>
      </c>
      <c r="AC10" s="1819">
        <v>0</v>
      </c>
      <c r="AD10" s="1819">
        <v>0</v>
      </c>
      <c r="AE10" s="1819">
        <v>0</v>
      </c>
      <c r="AF10" s="1819">
        <v>0</v>
      </c>
      <c r="AG10" s="1819">
        <v>0</v>
      </c>
      <c r="AH10" s="1819">
        <v>0</v>
      </c>
      <c r="AI10" s="1819">
        <v>0</v>
      </c>
      <c r="AJ10" s="1819">
        <v>0</v>
      </c>
      <c r="AK10" s="1819">
        <v>0</v>
      </c>
      <c r="AL10" s="1819">
        <v>0</v>
      </c>
      <c r="AM10" s="1819">
        <v>0</v>
      </c>
      <c r="AN10" s="1819">
        <v>0</v>
      </c>
      <c r="AO10" s="1819">
        <v>0</v>
      </c>
      <c r="AP10" s="1819">
        <v>0</v>
      </c>
      <c r="AQ10" s="1819">
        <v>0</v>
      </c>
      <c r="AR10" s="1819">
        <v>0</v>
      </c>
      <c r="AS10" s="1819">
        <v>0</v>
      </c>
      <c r="AT10" s="1808">
        <v>-8.5969089718730327</v>
      </c>
      <c r="AU10" s="1197"/>
      <c r="AV10" s="1821">
        <v>0</v>
      </c>
      <c r="AW10" s="1821">
        <v>0</v>
      </c>
      <c r="AX10" s="1821">
        <v>0</v>
      </c>
      <c r="AY10" s="1821">
        <v>0</v>
      </c>
      <c r="AZ10" s="1821">
        <v>0</v>
      </c>
      <c r="BA10" s="1821">
        <v>0</v>
      </c>
      <c r="BB10" s="1821">
        <v>0</v>
      </c>
      <c r="BC10" s="1821">
        <v>0</v>
      </c>
      <c r="BD10" s="1821">
        <v>0</v>
      </c>
      <c r="BE10" s="1821">
        <v>0</v>
      </c>
      <c r="BF10" s="1821">
        <v>0</v>
      </c>
      <c r="BG10" s="1821">
        <v>0</v>
      </c>
      <c r="BH10" s="1821">
        <v>0</v>
      </c>
      <c r="BI10" s="1821">
        <v>0</v>
      </c>
      <c r="BJ10" s="1821">
        <v>0</v>
      </c>
      <c r="BK10" s="1821">
        <v>0</v>
      </c>
      <c r="BL10" s="1821">
        <v>0</v>
      </c>
      <c r="BM10" s="1821">
        <v>0</v>
      </c>
      <c r="BN10" s="1821">
        <v>0</v>
      </c>
      <c r="BO10" s="1822">
        <v>0</v>
      </c>
      <c r="BP10" s="1197"/>
      <c r="BQ10" s="1823">
        <v>0</v>
      </c>
      <c r="BR10" s="1823">
        <v>0</v>
      </c>
      <c r="BS10" s="1824">
        <v>0</v>
      </c>
      <c r="BT10" s="1197"/>
      <c r="BU10" s="1814">
        <v>0</v>
      </c>
      <c r="BV10" s="1814"/>
      <c r="BW10" s="1815"/>
      <c r="BX10" s="1825">
        <v>0</v>
      </c>
      <c r="BY10" s="1826">
        <v>0</v>
      </c>
      <c r="BZ10" s="1826">
        <v>0</v>
      </c>
      <c r="CA10" s="1826">
        <v>0</v>
      </c>
      <c r="CB10" s="1826">
        <v>0</v>
      </c>
      <c r="CC10" s="1826">
        <v>0</v>
      </c>
      <c r="CD10" s="1826">
        <v>0</v>
      </c>
      <c r="CE10" s="1826">
        <v>0</v>
      </c>
      <c r="CF10" s="1826">
        <v>0</v>
      </c>
      <c r="CG10" s="1826">
        <v>0</v>
      </c>
      <c r="CH10" s="1826">
        <v>0</v>
      </c>
      <c r="CI10" s="1826">
        <v>0</v>
      </c>
      <c r="CJ10" s="1826">
        <v>0</v>
      </c>
      <c r="CK10" s="1826">
        <v>0</v>
      </c>
      <c r="CL10" s="1826">
        <v>0</v>
      </c>
      <c r="CM10" s="1826">
        <v>0</v>
      </c>
      <c r="CN10" s="1826">
        <v>0</v>
      </c>
      <c r="CO10" s="1826">
        <v>0</v>
      </c>
      <c r="CP10" s="1826">
        <v>0</v>
      </c>
      <c r="CQ10" s="1826">
        <v>0</v>
      </c>
      <c r="CR10" s="1826">
        <v>0</v>
      </c>
      <c r="CS10" s="1826">
        <v>0</v>
      </c>
      <c r="CT10" s="1826">
        <v>0</v>
      </c>
      <c r="CU10" s="1826">
        <v>0</v>
      </c>
      <c r="CV10" s="1826">
        <v>0</v>
      </c>
      <c r="CW10" s="1826">
        <v>0</v>
      </c>
      <c r="CX10" s="1826">
        <v>0</v>
      </c>
      <c r="CY10" s="1826">
        <v>0</v>
      </c>
      <c r="CZ10" s="1826">
        <v>0</v>
      </c>
      <c r="DA10" s="1826">
        <v>0</v>
      </c>
      <c r="DB10" s="1826">
        <v>0</v>
      </c>
      <c r="DC10" s="1826">
        <v>0</v>
      </c>
      <c r="DD10" s="1826">
        <v>0</v>
      </c>
      <c r="DE10" s="1826">
        <v>0</v>
      </c>
      <c r="DF10" s="1826">
        <v>0</v>
      </c>
      <c r="DG10" s="1826">
        <v>0</v>
      </c>
      <c r="DH10" s="1826">
        <v>0</v>
      </c>
      <c r="DI10" s="1826">
        <v>0</v>
      </c>
      <c r="DJ10" s="1826">
        <v>0</v>
      </c>
      <c r="DK10" s="1826">
        <v>0</v>
      </c>
      <c r="DL10" s="1826">
        <v>0</v>
      </c>
      <c r="DM10" s="1826">
        <v>0</v>
      </c>
      <c r="DN10" s="1826">
        <v>0</v>
      </c>
      <c r="DO10" s="1826">
        <v>0</v>
      </c>
      <c r="DP10" s="1197"/>
      <c r="DQ10" s="1226">
        <v>0</v>
      </c>
    </row>
    <row r="11" spans="1:121" s="1199" customFormat="1" ht="16">
      <c r="B11" s="1789"/>
      <c r="C11" s="1653" t="s">
        <v>4121</v>
      </c>
      <c r="D11" s="1205" t="s">
        <v>3851</v>
      </c>
      <c r="G11" s="1779">
        <v>0</v>
      </c>
      <c r="H11" s="1779">
        <v>0</v>
      </c>
      <c r="I11" s="1779">
        <v>27.571778248325508</v>
      </c>
      <c r="J11" s="1779">
        <v>8.5969089718730327</v>
      </c>
      <c r="K11" s="1779">
        <v>0</v>
      </c>
      <c r="L11" s="1779">
        <v>0</v>
      </c>
      <c r="M11" s="1779">
        <v>0</v>
      </c>
      <c r="N11" s="1779">
        <v>0</v>
      </c>
      <c r="O11" s="1779">
        <v>0</v>
      </c>
      <c r="P11" s="1779">
        <v>0</v>
      </c>
      <c r="Q11" s="1779">
        <v>0</v>
      </c>
      <c r="R11" s="1779">
        <v>0</v>
      </c>
      <c r="S11" s="1779">
        <v>0</v>
      </c>
      <c r="T11" s="1807">
        <v>36.168687220198542</v>
      </c>
      <c r="U11" s="1197"/>
      <c r="V11" s="1797">
        <v>-36.168687220198542</v>
      </c>
      <c r="W11" s="1797">
        <v>0</v>
      </c>
      <c r="X11" s="1798">
        <v>0</v>
      </c>
      <c r="Y11" s="1798">
        <v>0</v>
      </c>
      <c r="Z11" s="1797">
        <v>0</v>
      </c>
      <c r="AA11" s="1797">
        <v>0</v>
      </c>
      <c r="AB11" s="1797">
        <v>0</v>
      </c>
      <c r="AC11" s="1797">
        <v>0</v>
      </c>
      <c r="AD11" s="1797">
        <v>0</v>
      </c>
      <c r="AE11" s="1797">
        <v>0</v>
      </c>
      <c r="AF11" s="1797">
        <v>0</v>
      </c>
      <c r="AG11" s="1797">
        <v>0</v>
      </c>
      <c r="AH11" s="1797">
        <v>0</v>
      </c>
      <c r="AI11" s="1797">
        <v>0</v>
      </c>
      <c r="AJ11" s="1797">
        <v>0</v>
      </c>
      <c r="AK11" s="1797">
        <v>0</v>
      </c>
      <c r="AL11" s="1797">
        <v>0</v>
      </c>
      <c r="AM11" s="1797">
        <v>0</v>
      </c>
      <c r="AN11" s="1797">
        <v>0</v>
      </c>
      <c r="AO11" s="1797">
        <v>0</v>
      </c>
      <c r="AP11" s="1797">
        <v>0</v>
      </c>
      <c r="AQ11" s="1797">
        <v>0</v>
      </c>
      <c r="AR11" s="1797">
        <v>0</v>
      </c>
      <c r="AS11" s="1797">
        <v>0</v>
      </c>
      <c r="AT11" s="1808">
        <v>-36.168687220198542</v>
      </c>
      <c r="AU11" s="1197"/>
      <c r="AV11" s="1799">
        <v>0</v>
      </c>
      <c r="AW11" s="1799">
        <v>0</v>
      </c>
      <c r="AX11" s="1799">
        <v>0</v>
      </c>
      <c r="AY11" s="1799">
        <v>0</v>
      </c>
      <c r="AZ11" s="1799">
        <v>0</v>
      </c>
      <c r="BA11" s="1799">
        <v>0</v>
      </c>
      <c r="BB11" s="1799">
        <v>0</v>
      </c>
      <c r="BC11" s="1799">
        <v>0</v>
      </c>
      <c r="BD11" s="1799">
        <v>0</v>
      </c>
      <c r="BE11" s="1799">
        <v>0</v>
      </c>
      <c r="BF11" s="1799">
        <v>0</v>
      </c>
      <c r="BG11" s="1799">
        <v>0</v>
      </c>
      <c r="BH11" s="1799">
        <v>0</v>
      </c>
      <c r="BI11" s="1799">
        <v>0</v>
      </c>
      <c r="BJ11" s="1799">
        <v>0</v>
      </c>
      <c r="BK11" s="1799">
        <v>0</v>
      </c>
      <c r="BL11" s="1799">
        <v>0</v>
      </c>
      <c r="BM11" s="1799">
        <v>0</v>
      </c>
      <c r="BN11" s="1799">
        <v>0</v>
      </c>
      <c r="BO11" s="1799">
        <v>0</v>
      </c>
      <c r="BP11" s="1197"/>
      <c r="BQ11" s="1800">
        <v>0</v>
      </c>
      <c r="BR11" s="1800">
        <v>0</v>
      </c>
      <c r="BS11" s="1800">
        <v>0</v>
      </c>
      <c r="BT11" s="1197"/>
      <c r="BU11" s="1801">
        <v>0</v>
      </c>
      <c r="BV11" s="1801"/>
      <c r="BW11" s="1815"/>
      <c r="BX11" s="1817">
        <v>0</v>
      </c>
      <c r="BY11" s="1817">
        <v>0</v>
      </c>
      <c r="BZ11" s="1817">
        <v>0</v>
      </c>
      <c r="CA11" s="1817">
        <v>0</v>
      </c>
      <c r="CB11" s="1817">
        <v>0</v>
      </c>
      <c r="CC11" s="1817">
        <v>0</v>
      </c>
      <c r="CD11" s="1817">
        <v>0</v>
      </c>
      <c r="CE11" s="1817">
        <v>0</v>
      </c>
      <c r="CF11" s="1817">
        <v>0</v>
      </c>
      <c r="CG11" s="1817">
        <v>0</v>
      </c>
      <c r="CH11" s="1817">
        <v>0</v>
      </c>
      <c r="CI11" s="1817">
        <v>0</v>
      </c>
      <c r="CJ11" s="1817">
        <v>0</v>
      </c>
      <c r="CK11" s="1817">
        <v>0</v>
      </c>
      <c r="CL11" s="1817">
        <v>0</v>
      </c>
      <c r="CM11" s="1817">
        <v>0</v>
      </c>
      <c r="CN11" s="1817">
        <v>0</v>
      </c>
      <c r="CO11" s="1817">
        <v>0</v>
      </c>
      <c r="CP11" s="1817">
        <v>0</v>
      </c>
      <c r="CQ11" s="1817">
        <v>0</v>
      </c>
      <c r="CR11" s="1817">
        <v>0</v>
      </c>
      <c r="CS11" s="1817">
        <v>0</v>
      </c>
      <c r="CT11" s="1817">
        <v>0</v>
      </c>
      <c r="CU11" s="1817">
        <v>0</v>
      </c>
      <c r="CV11" s="1817">
        <v>0</v>
      </c>
      <c r="CW11" s="1817">
        <v>0</v>
      </c>
      <c r="CX11" s="1817">
        <v>0</v>
      </c>
      <c r="CY11" s="1817">
        <v>0</v>
      </c>
      <c r="CZ11" s="1817">
        <v>0</v>
      </c>
      <c r="DA11" s="1817">
        <v>0</v>
      </c>
      <c r="DB11" s="1817">
        <v>0</v>
      </c>
      <c r="DC11" s="1817">
        <v>0</v>
      </c>
      <c r="DD11" s="1817">
        <v>0</v>
      </c>
      <c r="DE11" s="1817">
        <v>0</v>
      </c>
      <c r="DF11" s="1817">
        <v>0</v>
      </c>
      <c r="DG11" s="1817">
        <v>0</v>
      </c>
      <c r="DH11" s="1817">
        <v>0</v>
      </c>
      <c r="DI11" s="1817">
        <v>0</v>
      </c>
      <c r="DJ11" s="1817">
        <v>0</v>
      </c>
      <c r="DK11" s="1817">
        <v>0</v>
      </c>
      <c r="DL11" s="1817">
        <v>0</v>
      </c>
      <c r="DM11" s="1817">
        <v>0</v>
      </c>
      <c r="DN11" s="1817">
        <v>0</v>
      </c>
      <c r="DO11" s="1817">
        <v>0</v>
      </c>
      <c r="DP11" s="1197"/>
      <c r="DQ11" s="1226">
        <v>0</v>
      </c>
    </row>
    <row r="12" spans="1:121" s="1199" customFormat="1" ht="12.75" hidden="1" customHeight="1" outlineLevel="1">
      <c r="A12" s="1803"/>
      <c r="B12" s="1803"/>
      <c r="C12" s="1804" t="s">
        <v>419</v>
      </c>
      <c r="D12" s="1805" t="s">
        <v>413</v>
      </c>
      <c r="E12" s="1805"/>
      <c r="G12" s="1818">
        <v>0</v>
      </c>
      <c r="H12" s="1818">
        <v>0</v>
      </c>
      <c r="I12" s="1818">
        <v>0</v>
      </c>
      <c r="J12" s="1818">
        <v>0</v>
      </c>
      <c r="K12" s="1818">
        <v>262.41250218921147</v>
      </c>
      <c r="L12" s="1818">
        <v>0</v>
      </c>
      <c r="M12" s="1818">
        <v>0</v>
      </c>
      <c r="N12" s="1818">
        <v>0</v>
      </c>
      <c r="O12" s="1818">
        <v>0</v>
      </c>
      <c r="P12" s="1818">
        <v>0</v>
      </c>
      <c r="Q12" s="1818">
        <v>0</v>
      </c>
      <c r="R12" s="1818">
        <v>0</v>
      </c>
      <c r="S12" s="1818">
        <v>35.533041321889996</v>
      </c>
      <c r="T12" s="1807">
        <v>297.94554351110145</v>
      </c>
      <c r="U12" s="1197"/>
      <c r="V12" s="1819">
        <v>-28.729604437013137</v>
      </c>
      <c r="W12" s="1819">
        <v>0</v>
      </c>
      <c r="X12" s="1820">
        <v>0</v>
      </c>
      <c r="Y12" s="1820">
        <v>0</v>
      </c>
      <c r="Z12" s="1819">
        <v>-157.42666995337615</v>
      </c>
      <c r="AA12" s="1819">
        <v>-49.705326678069696</v>
      </c>
      <c r="AB12" s="1819">
        <v>-10.281825083307972</v>
      </c>
      <c r="AC12" s="1819">
        <v>-24.5</v>
      </c>
      <c r="AD12" s="1819">
        <v>-11.033041321889998</v>
      </c>
      <c r="AE12" s="1819">
        <v>0</v>
      </c>
      <c r="AF12" s="1819">
        <v>0</v>
      </c>
      <c r="AG12" s="1819">
        <v>0</v>
      </c>
      <c r="AH12" s="1819">
        <v>0</v>
      </c>
      <c r="AI12" s="1819">
        <v>0</v>
      </c>
      <c r="AJ12" s="1819">
        <v>0</v>
      </c>
      <c r="AK12" s="1819">
        <v>0</v>
      </c>
      <c r="AL12" s="1819">
        <v>0</v>
      </c>
      <c r="AM12" s="1819">
        <v>0</v>
      </c>
      <c r="AN12" s="1819">
        <v>0</v>
      </c>
      <c r="AO12" s="1819">
        <v>0</v>
      </c>
      <c r="AP12" s="1819">
        <v>0</v>
      </c>
      <c r="AQ12" s="1819">
        <v>0</v>
      </c>
      <c r="AR12" s="1819">
        <v>0</v>
      </c>
      <c r="AS12" s="1819">
        <v>0</v>
      </c>
      <c r="AT12" s="1808">
        <v>-281.67646747365694</v>
      </c>
      <c r="AU12" s="1197"/>
      <c r="AV12" s="1821">
        <v>0</v>
      </c>
      <c r="AW12" s="1821">
        <v>0</v>
      </c>
      <c r="AX12" s="1821">
        <v>0</v>
      </c>
      <c r="AY12" s="1821">
        <v>0</v>
      </c>
      <c r="AZ12" s="1821">
        <v>0</v>
      </c>
      <c r="BA12" s="1821">
        <v>0</v>
      </c>
      <c r="BB12" s="1821">
        <v>0</v>
      </c>
      <c r="BC12" s="1821">
        <v>0</v>
      </c>
      <c r="BD12" s="1821">
        <v>0</v>
      </c>
      <c r="BE12" s="1821">
        <v>0</v>
      </c>
      <c r="BF12" s="1821">
        <v>0</v>
      </c>
      <c r="BG12" s="1821">
        <v>0</v>
      </c>
      <c r="BH12" s="1821">
        <v>0</v>
      </c>
      <c r="BI12" s="1821">
        <v>0</v>
      </c>
      <c r="BJ12" s="1821">
        <v>0</v>
      </c>
      <c r="BK12" s="1821">
        <v>0</v>
      </c>
      <c r="BL12" s="1821">
        <v>0</v>
      </c>
      <c r="BM12" s="1821">
        <v>-16.269076037444517</v>
      </c>
      <c r="BN12" s="1821">
        <v>0</v>
      </c>
      <c r="BO12" s="1822">
        <v>-16.269076037444517</v>
      </c>
      <c r="BP12" s="1197"/>
      <c r="BQ12" s="1823">
        <v>0</v>
      </c>
      <c r="BR12" s="1823">
        <v>0</v>
      </c>
      <c r="BS12" s="1824">
        <v>0</v>
      </c>
      <c r="BT12" s="1197"/>
      <c r="BU12" s="1814">
        <v>-1.0658141036401503E-14</v>
      </c>
      <c r="BV12" s="1814"/>
      <c r="BW12" s="1815"/>
      <c r="BX12" s="1825">
        <v>961.46176955532155</v>
      </c>
      <c r="BY12" s="1826">
        <v>0.61964712094011209</v>
      </c>
      <c r="BZ12" s="1826">
        <v>2.9442365843324305</v>
      </c>
      <c r="CA12" s="1826">
        <v>0</v>
      </c>
      <c r="CB12" s="1826">
        <v>0</v>
      </c>
      <c r="CC12" s="1826">
        <v>0</v>
      </c>
      <c r="CD12" s="1826">
        <v>0</v>
      </c>
      <c r="CE12" s="1826">
        <v>0</v>
      </c>
      <c r="CF12" s="1826">
        <v>130.19600911978685</v>
      </c>
      <c r="CG12" s="1826">
        <v>0</v>
      </c>
      <c r="CH12" s="1826">
        <v>0</v>
      </c>
      <c r="CI12" s="1826">
        <v>0</v>
      </c>
      <c r="CJ12" s="1826">
        <v>0</v>
      </c>
      <c r="CK12" s="1826">
        <v>0</v>
      </c>
      <c r="CL12" s="1826">
        <v>0</v>
      </c>
      <c r="CM12" s="1826">
        <v>0</v>
      </c>
      <c r="CN12" s="1826">
        <v>0</v>
      </c>
      <c r="CO12" s="1826">
        <v>0</v>
      </c>
      <c r="CP12" s="1826">
        <v>0</v>
      </c>
      <c r="CQ12" s="1826">
        <v>0</v>
      </c>
      <c r="CR12" s="1826">
        <v>0</v>
      </c>
      <c r="CS12" s="1826">
        <v>0</v>
      </c>
      <c r="CT12" s="1826">
        <v>0</v>
      </c>
      <c r="CU12" s="1826">
        <v>0</v>
      </c>
      <c r="CV12" s="1826">
        <v>0</v>
      </c>
      <c r="CW12" s="1826">
        <v>0</v>
      </c>
      <c r="CX12" s="1826">
        <v>0</v>
      </c>
      <c r="CY12" s="1826">
        <v>0</v>
      </c>
      <c r="CZ12" s="1826">
        <v>0</v>
      </c>
      <c r="DA12" s="1826">
        <v>0</v>
      </c>
      <c r="DB12" s="1826">
        <v>0</v>
      </c>
      <c r="DC12" s="1826">
        <v>0</v>
      </c>
      <c r="DD12" s="1826">
        <v>0</v>
      </c>
      <c r="DE12" s="1826">
        <v>0</v>
      </c>
      <c r="DF12" s="1826">
        <v>0</v>
      </c>
      <c r="DG12" s="1826">
        <v>0</v>
      </c>
      <c r="DH12" s="1826">
        <v>0</v>
      </c>
      <c r="DI12" s="1826">
        <v>0</v>
      </c>
      <c r="DJ12" s="1826">
        <v>0</v>
      </c>
      <c r="DK12" s="1826">
        <v>0</v>
      </c>
      <c r="DL12" s="1826">
        <v>0</v>
      </c>
      <c r="DM12" s="1826">
        <v>0</v>
      </c>
      <c r="DN12" s="1826">
        <v>0</v>
      </c>
      <c r="DO12" s="1826">
        <v>0</v>
      </c>
      <c r="DP12" s="1197"/>
      <c r="DQ12" s="1226"/>
    </row>
    <row r="13" spans="1:121" s="1199" customFormat="1" ht="16" collapsed="1">
      <c r="B13" s="1789"/>
      <c r="C13" s="1653" t="s">
        <v>419</v>
      </c>
      <c r="D13" s="1205" t="s">
        <v>413</v>
      </c>
      <c r="G13" s="1779">
        <v>0</v>
      </c>
      <c r="H13" s="1779">
        <v>0</v>
      </c>
      <c r="I13" s="1779">
        <v>0</v>
      </c>
      <c r="J13" s="1779">
        <v>0</v>
      </c>
      <c r="K13" s="1779">
        <v>262.41250218921147</v>
      </c>
      <c r="L13" s="1779">
        <v>0</v>
      </c>
      <c r="M13" s="1779">
        <v>0</v>
      </c>
      <c r="N13" s="1779">
        <v>0</v>
      </c>
      <c r="O13" s="1779">
        <v>0</v>
      </c>
      <c r="P13" s="1779">
        <v>0</v>
      </c>
      <c r="Q13" s="1779">
        <v>0</v>
      </c>
      <c r="R13" s="1779">
        <v>0</v>
      </c>
      <c r="S13" s="1779">
        <v>35.533041321889996</v>
      </c>
      <c r="T13" s="1807">
        <v>297.94554351110145</v>
      </c>
      <c r="U13" s="1197"/>
      <c r="V13" s="1797">
        <v>-28.729604437013137</v>
      </c>
      <c r="W13" s="1797">
        <v>0</v>
      </c>
      <c r="X13" s="1798">
        <v>0</v>
      </c>
      <c r="Y13" s="1798">
        <v>0</v>
      </c>
      <c r="Z13" s="1797">
        <v>-157.42666995337615</v>
      </c>
      <c r="AA13" s="1797">
        <v>-49.705326678069696</v>
      </c>
      <c r="AB13" s="1797">
        <v>-10.281825083307972</v>
      </c>
      <c r="AC13" s="1797">
        <v>-24.5</v>
      </c>
      <c r="AD13" s="1797">
        <v>-11.033041321889998</v>
      </c>
      <c r="AE13" s="1797">
        <v>0</v>
      </c>
      <c r="AF13" s="1797">
        <v>0</v>
      </c>
      <c r="AG13" s="1797">
        <v>0</v>
      </c>
      <c r="AH13" s="1797">
        <v>0</v>
      </c>
      <c r="AI13" s="1797">
        <v>0</v>
      </c>
      <c r="AJ13" s="1797">
        <v>0</v>
      </c>
      <c r="AK13" s="1797">
        <v>0</v>
      </c>
      <c r="AL13" s="1797">
        <v>0</v>
      </c>
      <c r="AM13" s="1797">
        <v>0</v>
      </c>
      <c r="AN13" s="1797">
        <v>0</v>
      </c>
      <c r="AO13" s="1797">
        <v>0</v>
      </c>
      <c r="AP13" s="1797">
        <v>0</v>
      </c>
      <c r="AQ13" s="1797">
        <v>0</v>
      </c>
      <c r="AR13" s="1797">
        <v>0</v>
      </c>
      <c r="AS13" s="1797">
        <v>0</v>
      </c>
      <c r="AT13" s="1808">
        <v>-281.67646747365694</v>
      </c>
      <c r="AU13" s="1197"/>
      <c r="AV13" s="1799">
        <v>0</v>
      </c>
      <c r="AW13" s="1799">
        <v>0</v>
      </c>
      <c r="AX13" s="1799">
        <v>0</v>
      </c>
      <c r="AY13" s="1799">
        <v>0</v>
      </c>
      <c r="AZ13" s="1799">
        <v>0</v>
      </c>
      <c r="BA13" s="1799">
        <v>0</v>
      </c>
      <c r="BB13" s="1799">
        <v>0</v>
      </c>
      <c r="BC13" s="1799">
        <v>0</v>
      </c>
      <c r="BD13" s="1799">
        <v>0</v>
      </c>
      <c r="BE13" s="1799">
        <v>0</v>
      </c>
      <c r="BF13" s="1799">
        <v>0</v>
      </c>
      <c r="BG13" s="1799">
        <v>0</v>
      </c>
      <c r="BH13" s="1799">
        <v>0</v>
      </c>
      <c r="BI13" s="1799">
        <v>0</v>
      </c>
      <c r="BJ13" s="1799">
        <v>0</v>
      </c>
      <c r="BK13" s="1799">
        <v>0</v>
      </c>
      <c r="BL13" s="1799">
        <v>0</v>
      </c>
      <c r="BM13" s="1799">
        <v>-16.269076037444517</v>
      </c>
      <c r="BN13" s="1799">
        <v>0</v>
      </c>
      <c r="BO13" s="1799">
        <v>-16.269076037444517</v>
      </c>
      <c r="BP13" s="1197"/>
      <c r="BQ13" s="1800">
        <v>0</v>
      </c>
      <c r="BR13" s="1800">
        <v>0</v>
      </c>
      <c r="BS13" s="1800">
        <v>0</v>
      </c>
      <c r="BT13" s="1197"/>
      <c r="BU13" s="1801">
        <v>-1.0658141036401503E-14</v>
      </c>
      <c r="BV13" s="1801"/>
      <c r="BW13" s="1815"/>
      <c r="BX13" s="1817">
        <v>961.46176955532155</v>
      </c>
      <c r="BY13" s="1817">
        <v>0.61964712094011209</v>
      </c>
      <c r="BZ13" s="1817">
        <v>2.9442365843324305</v>
      </c>
      <c r="CA13" s="1817">
        <v>0</v>
      </c>
      <c r="CB13" s="1817">
        <v>0</v>
      </c>
      <c r="CC13" s="1817">
        <v>0</v>
      </c>
      <c r="CD13" s="1817">
        <v>0</v>
      </c>
      <c r="CE13" s="1817">
        <v>0</v>
      </c>
      <c r="CF13" s="1817">
        <v>130.19600911978685</v>
      </c>
      <c r="CG13" s="1817">
        <v>0</v>
      </c>
      <c r="CH13" s="1817">
        <v>0</v>
      </c>
      <c r="CI13" s="1817">
        <v>0</v>
      </c>
      <c r="CJ13" s="1817">
        <v>0</v>
      </c>
      <c r="CK13" s="1817">
        <v>0</v>
      </c>
      <c r="CL13" s="1817">
        <v>0</v>
      </c>
      <c r="CM13" s="1817">
        <v>0</v>
      </c>
      <c r="CN13" s="1817">
        <v>0</v>
      </c>
      <c r="CO13" s="1817">
        <v>0</v>
      </c>
      <c r="CP13" s="1817">
        <v>0</v>
      </c>
      <c r="CQ13" s="1817">
        <v>0</v>
      </c>
      <c r="CR13" s="1817">
        <v>0</v>
      </c>
      <c r="CS13" s="1817">
        <v>0</v>
      </c>
      <c r="CT13" s="1817">
        <v>0</v>
      </c>
      <c r="CU13" s="1817">
        <v>0</v>
      </c>
      <c r="CV13" s="1817">
        <v>0</v>
      </c>
      <c r="CW13" s="1817">
        <v>0</v>
      </c>
      <c r="CX13" s="1817">
        <v>0</v>
      </c>
      <c r="CY13" s="1817">
        <v>0</v>
      </c>
      <c r="CZ13" s="1817">
        <v>0</v>
      </c>
      <c r="DA13" s="1817">
        <v>0</v>
      </c>
      <c r="DB13" s="1817">
        <v>0</v>
      </c>
      <c r="DC13" s="1817">
        <v>0</v>
      </c>
      <c r="DD13" s="1817">
        <v>0</v>
      </c>
      <c r="DE13" s="1817">
        <v>0</v>
      </c>
      <c r="DF13" s="1817">
        <v>0</v>
      </c>
      <c r="DG13" s="1817">
        <v>0</v>
      </c>
      <c r="DH13" s="1817">
        <v>0</v>
      </c>
      <c r="DI13" s="1817">
        <v>0</v>
      </c>
      <c r="DJ13" s="1817">
        <v>0</v>
      </c>
      <c r="DK13" s="1817">
        <v>0</v>
      </c>
      <c r="DL13" s="1817">
        <v>0</v>
      </c>
      <c r="DM13" s="1817">
        <v>0</v>
      </c>
      <c r="DN13" s="1817">
        <v>0</v>
      </c>
      <c r="DO13" s="1817">
        <v>0</v>
      </c>
      <c r="DP13" s="1197"/>
      <c r="DQ13" s="1226">
        <v>965.02565326059425</v>
      </c>
    </row>
    <row r="14" spans="1:121" s="1199" customFormat="1" ht="12.75" hidden="1" customHeight="1" outlineLevel="1">
      <c r="A14" s="1803"/>
      <c r="B14" s="1803"/>
      <c r="C14" s="1804" t="s">
        <v>435</v>
      </c>
      <c r="D14" s="1805" t="s">
        <v>4677</v>
      </c>
      <c r="E14" s="1806"/>
      <c r="G14" s="1807">
        <v>0</v>
      </c>
      <c r="H14" s="1807">
        <v>0</v>
      </c>
      <c r="I14" s="1807">
        <v>0</v>
      </c>
      <c r="J14" s="1807">
        <v>0</v>
      </c>
      <c r="K14" s="1807">
        <v>0</v>
      </c>
      <c r="L14" s="1807">
        <v>61.641869447513798</v>
      </c>
      <c r="M14" s="1807">
        <v>1.9216084407756675</v>
      </c>
      <c r="N14" s="1807">
        <v>2.9039183627002205</v>
      </c>
      <c r="O14" s="1807">
        <v>0</v>
      </c>
      <c r="P14" s="1807">
        <v>0</v>
      </c>
      <c r="Q14" s="1807">
        <v>0</v>
      </c>
      <c r="R14" s="1807">
        <v>0</v>
      </c>
      <c r="S14" s="1807">
        <v>0</v>
      </c>
      <c r="T14" s="1807">
        <v>66.467396250989694</v>
      </c>
      <c r="U14" s="1197"/>
      <c r="V14" s="1808">
        <v>-1.3992388727683378</v>
      </c>
      <c r="W14" s="1808">
        <v>0</v>
      </c>
      <c r="X14" s="1809">
        <v>0</v>
      </c>
      <c r="Y14" s="1809">
        <v>0</v>
      </c>
      <c r="Z14" s="1808">
        <v>0</v>
      </c>
      <c r="AA14" s="1808">
        <v>-54.431868845379825</v>
      </c>
      <c r="AB14" s="1808">
        <v>-8.0901445361516959</v>
      </c>
      <c r="AC14" s="1808">
        <v>0</v>
      </c>
      <c r="AD14" s="1808">
        <v>0</v>
      </c>
      <c r="AE14" s="1808">
        <v>0</v>
      </c>
      <c r="AF14" s="1808">
        <v>0</v>
      </c>
      <c r="AG14" s="1808">
        <v>0</v>
      </c>
      <c r="AH14" s="1808">
        <v>0</v>
      </c>
      <c r="AI14" s="1808">
        <v>-2.5461439966898212</v>
      </c>
      <c r="AJ14" s="1808">
        <v>0</v>
      </c>
      <c r="AK14" s="1808">
        <v>0</v>
      </c>
      <c r="AL14" s="1808">
        <v>0</v>
      </c>
      <c r="AM14" s="1808">
        <v>0</v>
      </c>
      <c r="AN14" s="1808">
        <v>0</v>
      </c>
      <c r="AO14" s="1808">
        <v>0</v>
      </c>
      <c r="AP14" s="1808">
        <v>0</v>
      </c>
      <c r="AQ14" s="1808">
        <v>0</v>
      </c>
      <c r="AR14" s="1808">
        <v>0</v>
      </c>
      <c r="AS14" s="1808">
        <v>0</v>
      </c>
      <c r="AT14" s="1808">
        <v>-66.46739625098968</v>
      </c>
      <c r="AU14" s="1197"/>
      <c r="AV14" s="1810">
        <v>0</v>
      </c>
      <c r="AW14" s="1810">
        <v>0</v>
      </c>
      <c r="AX14" s="1810">
        <v>0</v>
      </c>
      <c r="AY14" s="1810">
        <v>0</v>
      </c>
      <c r="AZ14" s="1810">
        <v>0</v>
      </c>
      <c r="BA14" s="1810">
        <v>0</v>
      </c>
      <c r="BB14" s="1810">
        <v>0</v>
      </c>
      <c r="BC14" s="1810">
        <v>0</v>
      </c>
      <c r="BD14" s="1810">
        <v>0</v>
      </c>
      <c r="BE14" s="1810">
        <v>0</v>
      </c>
      <c r="BF14" s="1810">
        <v>0</v>
      </c>
      <c r="BG14" s="1810">
        <v>0</v>
      </c>
      <c r="BH14" s="1810">
        <v>0</v>
      </c>
      <c r="BI14" s="1810">
        <v>0</v>
      </c>
      <c r="BJ14" s="1810">
        <v>0</v>
      </c>
      <c r="BK14" s="1810">
        <v>0</v>
      </c>
      <c r="BL14" s="1810">
        <v>0</v>
      </c>
      <c r="BM14" s="1810">
        <v>0</v>
      </c>
      <c r="BN14" s="1810">
        <v>0</v>
      </c>
      <c r="BO14" s="1811">
        <v>0</v>
      </c>
      <c r="BP14" s="1197"/>
      <c r="BQ14" s="1812">
        <v>0</v>
      </c>
      <c r="BR14" s="1812">
        <v>0</v>
      </c>
      <c r="BS14" s="1813">
        <v>0</v>
      </c>
      <c r="BT14" s="1197"/>
      <c r="BU14" s="1814">
        <v>1.4210854715202004E-14</v>
      </c>
      <c r="BV14" s="1814"/>
      <c r="BW14" s="1815"/>
      <c r="BX14" s="1816">
        <v>190.50858796252459</v>
      </c>
      <c r="BY14" s="1817">
        <v>1.4464258754029853</v>
      </c>
      <c r="BZ14" s="1817">
        <v>2.8367496070008658</v>
      </c>
      <c r="CA14" s="1817">
        <v>0</v>
      </c>
      <c r="CB14" s="1817">
        <v>0</v>
      </c>
      <c r="CC14" s="1817">
        <v>0</v>
      </c>
      <c r="CD14" s="1817">
        <v>0</v>
      </c>
      <c r="CE14" s="1817">
        <v>0</v>
      </c>
      <c r="CF14" s="1817">
        <v>0</v>
      </c>
      <c r="CG14" s="1817">
        <v>0</v>
      </c>
      <c r="CH14" s="1817">
        <v>0</v>
      </c>
      <c r="CI14" s="1817">
        <v>0</v>
      </c>
      <c r="CJ14" s="1817">
        <v>0</v>
      </c>
      <c r="CK14" s="1817">
        <v>0</v>
      </c>
      <c r="CL14" s="1817">
        <v>0</v>
      </c>
      <c r="CM14" s="1817">
        <v>0</v>
      </c>
      <c r="CN14" s="1817">
        <v>0</v>
      </c>
      <c r="CO14" s="1817">
        <v>0</v>
      </c>
      <c r="CP14" s="1817">
        <v>0</v>
      </c>
      <c r="CQ14" s="1817">
        <v>0</v>
      </c>
      <c r="CR14" s="1817">
        <v>0</v>
      </c>
      <c r="CS14" s="1817">
        <v>0</v>
      </c>
      <c r="CT14" s="1817">
        <v>0</v>
      </c>
      <c r="CU14" s="1817">
        <v>0</v>
      </c>
      <c r="CV14" s="1817">
        <v>0</v>
      </c>
      <c r="CW14" s="1817">
        <v>0</v>
      </c>
      <c r="CX14" s="1817">
        <v>0</v>
      </c>
      <c r="CY14" s="1817">
        <v>0</v>
      </c>
      <c r="CZ14" s="1817">
        <v>0</v>
      </c>
      <c r="DA14" s="1817">
        <v>0</v>
      </c>
      <c r="DB14" s="1817">
        <v>0</v>
      </c>
      <c r="DC14" s="1817">
        <v>0</v>
      </c>
      <c r="DD14" s="1817">
        <v>0</v>
      </c>
      <c r="DE14" s="1817">
        <v>0</v>
      </c>
      <c r="DF14" s="1817">
        <v>0</v>
      </c>
      <c r="DG14" s="1817">
        <v>0</v>
      </c>
      <c r="DH14" s="1817">
        <v>0</v>
      </c>
      <c r="DI14" s="1817">
        <v>0</v>
      </c>
      <c r="DJ14" s="1817">
        <v>0</v>
      </c>
      <c r="DK14" s="1817">
        <v>0</v>
      </c>
      <c r="DL14" s="1817">
        <v>0</v>
      </c>
      <c r="DM14" s="1817">
        <v>0</v>
      </c>
      <c r="DN14" s="1817">
        <v>0</v>
      </c>
      <c r="DO14" s="1817">
        <v>0</v>
      </c>
      <c r="DP14" s="1197"/>
      <c r="DQ14" s="1226">
        <v>194.79176344492842</v>
      </c>
    </row>
    <row r="15" spans="1:121" s="1199" customFormat="1" ht="12.75" hidden="1" customHeight="1" outlineLevel="1">
      <c r="A15" s="1803"/>
      <c r="B15" s="1803"/>
      <c r="C15" s="1804" t="s">
        <v>436</v>
      </c>
      <c r="D15" s="1805" t="s">
        <v>4395</v>
      </c>
      <c r="E15" s="1806"/>
      <c r="G15" s="1807">
        <v>0</v>
      </c>
      <c r="H15" s="1807">
        <v>0</v>
      </c>
      <c r="I15" s="1807">
        <v>0</v>
      </c>
      <c r="J15" s="1807">
        <v>0</v>
      </c>
      <c r="K15" s="1807">
        <v>0</v>
      </c>
      <c r="L15" s="1807">
        <v>51.554307396502551</v>
      </c>
      <c r="M15" s="1807">
        <v>1.2916568789981016</v>
      </c>
      <c r="N15" s="1807">
        <v>0.6184052364215652</v>
      </c>
      <c r="O15" s="1807">
        <v>8.0936709333162521E-2</v>
      </c>
      <c r="P15" s="1807">
        <v>0</v>
      </c>
      <c r="Q15" s="1807">
        <v>0</v>
      </c>
      <c r="R15" s="1807">
        <v>0</v>
      </c>
      <c r="S15" s="1807">
        <v>0</v>
      </c>
      <c r="T15" s="1807">
        <v>53.545306221255387</v>
      </c>
      <c r="U15" s="1197"/>
      <c r="V15" s="1808">
        <v>-0.71258487627916556</v>
      </c>
      <c r="W15" s="1808">
        <v>0</v>
      </c>
      <c r="X15" s="1809">
        <v>0</v>
      </c>
      <c r="Y15" s="1809">
        <v>0</v>
      </c>
      <c r="Z15" s="1808">
        <v>0</v>
      </c>
      <c r="AA15" s="1808">
        <v>-51.895330809853846</v>
      </c>
      <c r="AB15" s="1808">
        <v>-0.76212870663387178</v>
      </c>
      <c r="AC15" s="1808">
        <v>0</v>
      </c>
      <c r="AD15" s="1808">
        <v>0</v>
      </c>
      <c r="AE15" s="1808">
        <v>0</v>
      </c>
      <c r="AF15" s="1808">
        <v>0</v>
      </c>
      <c r="AG15" s="1808">
        <v>0</v>
      </c>
      <c r="AH15" s="1808">
        <v>0</v>
      </c>
      <c r="AI15" s="1808">
        <v>-0.17526182848850425</v>
      </c>
      <c r="AJ15" s="1808">
        <v>0</v>
      </c>
      <c r="AK15" s="1808">
        <v>0</v>
      </c>
      <c r="AL15" s="1808">
        <v>0</v>
      </c>
      <c r="AM15" s="1808">
        <v>0</v>
      </c>
      <c r="AN15" s="1808">
        <v>0</v>
      </c>
      <c r="AO15" s="1808">
        <v>0</v>
      </c>
      <c r="AP15" s="1808">
        <v>0</v>
      </c>
      <c r="AQ15" s="1808">
        <v>0</v>
      </c>
      <c r="AR15" s="1808">
        <v>0</v>
      </c>
      <c r="AS15" s="1808">
        <v>0</v>
      </c>
      <c r="AT15" s="1808">
        <v>-53.545306221255387</v>
      </c>
      <c r="AU15" s="1197"/>
      <c r="AV15" s="1810">
        <v>0</v>
      </c>
      <c r="AW15" s="1810">
        <v>0</v>
      </c>
      <c r="AX15" s="1810">
        <v>0</v>
      </c>
      <c r="AY15" s="1810">
        <v>0</v>
      </c>
      <c r="AZ15" s="1810">
        <v>0</v>
      </c>
      <c r="BA15" s="1810">
        <v>0</v>
      </c>
      <c r="BB15" s="1810">
        <v>0</v>
      </c>
      <c r="BC15" s="1810">
        <v>0</v>
      </c>
      <c r="BD15" s="1810">
        <v>0</v>
      </c>
      <c r="BE15" s="1810">
        <v>0</v>
      </c>
      <c r="BF15" s="1810">
        <v>0</v>
      </c>
      <c r="BG15" s="1810">
        <v>0</v>
      </c>
      <c r="BH15" s="1810">
        <v>0</v>
      </c>
      <c r="BI15" s="1810">
        <v>0</v>
      </c>
      <c r="BJ15" s="1810">
        <v>0</v>
      </c>
      <c r="BK15" s="1810">
        <v>0</v>
      </c>
      <c r="BL15" s="1810">
        <v>0</v>
      </c>
      <c r="BM15" s="1810">
        <v>0</v>
      </c>
      <c r="BN15" s="1810">
        <v>0</v>
      </c>
      <c r="BO15" s="1811">
        <v>0</v>
      </c>
      <c r="BP15" s="1197"/>
      <c r="BQ15" s="1812">
        <v>0</v>
      </c>
      <c r="BR15" s="1812">
        <v>0</v>
      </c>
      <c r="BS15" s="1813">
        <v>0</v>
      </c>
      <c r="BT15" s="1197"/>
      <c r="BU15" s="1814">
        <v>0</v>
      </c>
      <c r="BV15" s="1814"/>
      <c r="BW15" s="1815"/>
      <c r="BX15" s="1816">
        <v>162.68497917898429</v>
      </c>
      <c r="BY15" s="1817">
        <v>0.23807680557738065</v>
      </c>
      <c r="BZ15" s="1817">
        <v>2.6341032085727281</v>
      </c>
      <c r="CA15" s="1817">
        <v>0</v>
      </c>
      <c r="CB15" s="1817">
        <v>0</v>
      </c>
      <c r="CC15" s="1817">
        <v>0</v>
      </c>
      <c r="CD15" s="1817">
        <v>0</v>
      </c>
      <c r="CE15" s="1817">
        <v>0</v>
      </c>
      <c r="CF15" s="1817">
        <v>0</v>
      </c>
      <c r="CG15" s="1817">
        <v>0</v>
      </c>
      <c r="CH15" s="1817">
        <v>0</v>
      </c>
      <c r="CI15" s="1817">
        <v>0</v>
      </c>
      <c r="CJ15" s="1817">
        <v>0</v>
      </c>
      <c r="CK15" s="1817">
        <v>0</v>
      </c>
      <c r="CL15" s="1817">
        <v>0</v>
      </c>
      <c r="CM15" s="1817">
        <v>0</v>
      </c>
      <c r="CN15" s="1817">
        <v>0</v>
      </c>
      <c r="CO15" s="1817">
        <v>0</v>
      </c>
      <c r="CP15" s="1817">
        <v>0</v>
      </c>
      <c r="CQ15" s="1817">
        <v>0</v>
      </c>
      <c r="CR15" s="1817">
        <v>0</v>
      </c>
      <c r="CS15" s="1817">
        <v>0</v>
      </c>
      <c r="CT15" s="1817">
        <v>0</v>
      </c>
      <c r="CU15" s="1817">
        <v>0</v>
      </c>
      <c r="CV15" s="1817">
        <v>0</v>
      </c>
      <c r="CW15" s="1817">
        <v>0</v>
      </c>
      <c r="CX15" s="1817">
        <v>0</v>
      </c>
      <c r="CY15" s="1817">
        <v>0</v>
      </c>
      <c r="CZ15" s="1817">
        <v>0</v>
      </c>
      <c r="DA15" s="1817">
        <v>0</v>
      </c>
      <c r="DB15" s="1817">
        <v>0</v>
      </c>
      <c r="DC15" s="1817">
        <v>0</v>
      </c>
      <c r="DD15" s="1817">
        <v>0</v>
      </c>
      <c r="DE15" s="1817">
        <v>0</v>
      </c>
      <c r="DF15" s="1817">
        <v>0</v>
      </c>
      <c r="DG15" s="1817">
        <v>0</v>
      </c>
      <c r="DH15" s="1817">
        <v>0</v>
      </c>
      <c r="DI15" s="1817">
        <v>0</v>
      </c>
      <c r="DJ15" s="1817">
        <v>0</v>
      </c>
      <c r="DK15" s="1817">
        <v>0</v>
      </c>
      <c r="DL15" s="1817">
        <v>0</v>
      </c>
      <c r="DM15" s="1817">
        <v>0</v>
      </c>
      <c r="DN15" s="1817">
        <v>0</v>
      </c>
      <c r="DO15" s="1817">
        <v>0</v>
      </c>
      <c r="DP15" s="1197"/>
      <c r="DQ15" s="1226">
        <v>165.5571591931344</v>
      </c>
    </row>
    <row r="16" spans="1:121" s="1199" customFormat="1" ht="16" collapsed="1">
      <c r="B16" s="1789"/>
      <c r="C16" s="1653" t="s">
        <v>4122</v>
      </c>
      <c r="D16" s="1205" t="s">
        <v>3852</v>
      </c>
      <c r="G16" s="1779">
        <v>0</v>
      </c>
      <c r="H16" s="1779">
        <v>0</v>
      </c>
      <c r="I16" s="1779">
        <v>0</v>
      </c>
      <c r="J16" s="1779">
        <v>0</v>
      </c>
      <c r="K16" s="1779">
        <v>0</v>
      </c>
      <c r="L16" s="1779">
        <v>113.19617684401635</v>
      </c>
      <c r="M16" s="1779">
        <v>3.2132653197737691</v>
      </c>
      <c r="N16" s="1779">
        <v>3.5223235991217856</v>
      </c>
      <c r="O16" s="1779">
        <v>8.0936709333162521E-2</v>
      </c>
      <c r="P16" s="1779">
        <v>0</v>
      </c>
      <c r="Q16" s="1779">
        <v>0</v>
      </c>
      <c r="R16" s="1779">
        <v>0</v>
      </c>
      <c r="S16" s="1779">
        <v>0</v>
      </c>
      <c r="T16" s="1807">
        <v>120.01270247224507</v>
      </c>
      <c r="U16" s="1197"/>
      <c r="V16" s="1797">
        <v>-2.1118237490475034</v>
      </c>
      <c r="W16" s="1797">
        <v>0</v>
      </c>
      <c r="X16" s="1798">
        <v>0</v>
      </c>
      <c r="Y16" s="1798">
        <v>0</v>
      </c>
      <c r="Z16" s="1797">
        <v>0</v>
      </c>
      <c r="AA16" s="1797">
        <v>-106.32719965523367</v>
      </c>
      <c r="AB16" s="1797">
        <v>-8.8522732427855679</v>
      </c>
      <c r="AC16" s="1797">
        <v>0</v>
      </c>
      <c r="AD16" s="1797">
        <v>0</v>
      </c>
      <c r="AE16" s="1797">
        <v>0</v>
      </c>
      <c r="AF16" s="1797">
        <v>0</v>
      </c>
      <c r="AG16" s="1797">
        <v>0</v>
      </c>
      <c r="AH16" s="1797">
        <v>0</v>
      </c>
      <c r="AI16" s="1797">
        <v>-2.7214058251783255</v>
      </c>
      <c r="AJ16" s="1797">
        <v>0</v>
      </c>
      <c r="AK16" s="1797">
        <v>0</v>
      </c>
      <c r="AL16" s="1797">
        <v>0</v>
      </c>
      <c r="AM16" s="1797">
        <v>0</v>
      </c>
      <c r="AN16" s="1797">
        <v>0</v>
      </c>
      <c r="AO16" s="1797">
        <v>0</v>
      </c>
      <c r="AP16" s="1797">
        <v>0</v>
      </c>
      <c r="AQ16" s="1797">
        <v>0</v>
      </c>
      <c r="AR16" s="1797">
        <v>0</v>
      </c>
      <c r="AS16" s="1797">
        <v>0</v>
      </c>
      <c r="AT16" s="1808">
        <v>-120.01270247224507</v>
      </c>
      <c r="AU16" s="1197"/>
      <c r="AV16" s="1799">
        <v>0</v>
      </c>
      <c r="AW16" s="1799">
        <v>0</v>
      </c>
      <c r="AX16" s="1799">
        <v>0</v>
      </c>
      <c r="AY16" s="1799">
        <v>0</v>
      </c>
      <c r="AZ16" s="1799">
        <v>0</v>
      </c>
      <c r="BA16" s="1799">
        <v>0</v>
      </c>
      <c r="BB16" s="1799">
        <v>0</v>
      </c>
      <c r="BC16" s="1799">
        <v>0</v>
      </c>
      <c r="BD16" s="1799">
        <v>0</v>
      </c>
      <c r="BE16" s="1799">
        <v>0</v>
      </c>
      <c r="BF16" s="1799">
        <v>0</v>
      </c>
      <c r="BG16" s="1799">
        <v>0</v>
      </c>
      <c r="BH16" s="1799">
        <v>0</v>
      </c>
      <c r="BI16" s="1799">
        <v>0</v>
      </c>
      <c r="BJ16" s="1799">
        <v>0</v>
      </c>
      <c r="BK16" s="1799">
        <v>0</v>
      </c>
      <c r="BL16" s="1799">
        <v>0</v>
      </c>
      <c r="BM16" s="1799">
        <v>0</v>
      </c>
      <c r="BN16" s="1799">
        <v>0</v>
      </c>
      <c r="BO16" s="1799">
        <v>0</v>
      </c>
      <c r="BP16" s="1197"/>
      <c r="BQ16" s="1800">
        <v>0</v>
      </c>
      <c r="BR16" s="1800">
        <v>0</v>
      </c>
      <c r="BS16" s="1800">
        <v>0</v>
      </c>
      <c r="BT16" s="1197"/>
      <c r="BU16" s="1801">
        <v>0</v>
      </c>
      <c r="BV16" s="1801"/>
      <c r="BW16" s="1815"/>
      <c r="BX16" s="1817">
        <v>353.19356714150888</v>
      </c>
      <c r="BY16" s="1817">
        <v>1.684502680980366</v>
      </c>
      <c r="BZ16" s="1817">
        <v>5.4708528155735934</v>
      </c>
      <c r="CA16" s="1817">
        <v>0</v>
      </c>
      <c r="CB16" s="1817">
        <v>0</v>
      </c>
      <c r="CC16" s="1817">
        <v>0</v>
      </c>
      <c r="CD16" s="1817">
        <v>0</v>
      </c>
      <c r="CE16" s="1817">
        <v>0</v>
      </c>
      <c r="CF16" s="1817">
        <v>0</v>
      </c>
      <c r="CG16" s="1817">
        <v>0</v>
      </c>
      <c r="CH16" s="1817">
        <v>0</v>
      </c>
      <c r="CI16" s="1817">
        <v>0</v>
      </c>
      <c r="CJ16" s="1817">
        <v>0</v>
      </c>
      <c r="CK16" s="1817">
        <v>0</v>
      </c>
      <c r="CL16" s="1817">
        <v>0</v>
      </c>
      <c r="CM16" s="1817">
        <v>0</v>
      </c>
      <c r="CN16" s="1817">
        <v>0</v>
      </c>
      <c r="CO16" s="1817">
        <v>0</v>
      </c>
      <c r="CP16" s="1817">
        <v>0</v>
      </c>
      <c r="CQ16" s="1817">
        <v>0</v>
      </c>
      <c r="CR16" s="1817">
        <v>0</v>
      </c>
      <c r="CS16" s="1817">
        <v>0</v>
      </c>
      <c r="CT16" s="1817">
        <v>0</v>
      </c>
      <c r="CU16" s="1817">
        <v>0</v>
      </c>
      <c r="CV16" s="1817">
        <v>0</v>
      </c>
      <c r="CW16" s="1817">
        <v>0</v>
      </c>
      <c r="CX16" s="1817">
        <v>0</v>
      </c>
      <c r="CY16" s="1817">
        <v>0</v>
      </c>
      <c r="CZ16" s="1817">
        <v>0</v>
      </c>
      <c r="DA16" s="1817">
        <v>0</v>
      </c>
      <c r="DB16" s="1817">
        <v>0</v>
      </c>
      <c r="DC16" s="1817">
        <v>0</v>
      </c>
      <c r="DD16" s="1817">
        <v>0</v>
      </c>
      <c r="DE16" s="1817">
        <v>0</v>
      </c>
      <c r="DF16" s="1817">
        <v>0</v>
      </c>
      <c r="DG16" s="1817">
        <v>0</v>
      </c>
      <c r="DH16" s="1817">
        <v>0</v>
      </c>
      <c r="DI16" s="1817">
        <v>0</v>
      </c>
      <c r="DJ16" s="1817">
        <v>0</v>
      </c>
      <c r="DK16" s="1817">
        <v>0</v>
      </c>
      <c r="DL16" s="1817">
        <v>0</v>
      </c>
      <c r="DM16" s="1817">
        <v>0</v>
      </c>
      <c r="DN16" s="1817">
        <v>0</v>
      </c>
      <c r="DO16" s="1817">
        <v>0</v>
      </c>
      <c r="DP16" s="1197"/>
      <c r="DQ16" s="1226">
        <v>360.34892263806285</v>
      </c>
    </row>
    <row r="17" spans="1:121" s="1199" customFormat="1" ht="12.75" hidden="1" customHeight="1" outlineLevel="1">
      <c r="C17" s="1652" t="s">
        <v>4773</v>
      </c>
      <c r="D17" s="1805" t="s">
        <v>4812</v>
      </c>
      <c r="G17" s="1818">
        <v>0</v>
      </c>
      <c r="H17" s="1818">
        <v>0</v>
      </c>
      <c r="I17" s="1818">
        <v>0</v>
      </c>
      <c r="J17" s="1818">
        <v>0</v>
      </c>
      <c r="K17" s="1818">
        <v>0</v>
      </c>
      <c r="L17" s="1818">
        <v>0</v>
      </c>
      <c r="M17" s="1818">
        <v>0</v>
      </c>
      <c r="N17" s="1818">
        <v>0</v>
      </c>
      <c r="O17" s="1818">
        <v>0</v>
      </c>
      <c r="P17" s="1818">
        <v>0</v>
      </c>
      <c r="Q17" s="1818">
        <v>0</v>
      </c>
      <c r="R17" s="1818">
        <v>95.303403558183888</v>
      </c>
      <c r="S17" s="1818">
        <v>0</v>
      </c>
      <c r="T17" s="1807">
        <v>95.303403558183888</v>
      </c>
      <c r="U17" s="1197"/>
      <c r="V17" s="1819">
        <v>-0.27884072155861361</v>
      </c>
      <c r="W17" s="1819">
        <v>0</v>
      </c>
      <c r="X17" s="1820">
        <v>0</v>
      </c>
      <c r="Y17" s="1820">
        <v>0</v>
      </c>
      <c r="Z17" s="1819">
        <v>0</v>
      </c>
      <c r="AA17" s="1819">
        <v>-26.329946908480956</v>
      </c>
      <c r="AB17" s="1819">
        <v>-1.3674563951686305</v>
      </c>
      <c r="AC17" s="1819">
        <v>0</v>
      </c>
      <c r="AD17" s="1819">
        <v>0</v>
      </c>
      <c r="AE17" s="1819">
        <v>0</v>
      </c>
      <c r="AF17" s="1819">
        <v>0</v>
      </c>
      <c r="AG17" s="1819">
        <v>0</v>
      </c>
      <c r="AH17" s="1819">
        <v>0</v>
      </c>
      <c r="AI17" s="1819">
        <v>0</v>
      </c>
      <c r="AJ17" s="1819">
        <v>0</v>
      </c>
      <c r="AK17" s="1819">
        <v>0</v>
      </c>
      <c r="AL17" s="1819">
        <v>0</v>
      </c>
      <c r="AM17" s="1819">
        <v>0</v>
      </c>
      <c r="AN17" s="1819">
        <v>0</v>
      </c>
      <c r="AO17" s="1819">
        <v>0</v>
      </c>
      <c r="AP17" s="1819">
        <v>0</v>
      </c>
      <c r="AQ17" s="1819">
        <v>0</v>
      </c>
      <c r="AR17" s="1819">
        <v>0</v>
      </c>
      <c r="AS17" s="1819">
        <v>0</v>
      </c>
      <c r="AT17" s="1808">
        <v>-27.976244025208199</v>
      </c>
      <c r="AU17" s="1197"/>
      <c r="AV17" s="1821">
        <v>0</v>
      </c>
      <c r="AW17" s="1821">
        <v>0</v>
      </c>
      <c r="AX17" s="1821">
        <v>0</v>
      </c>
      <c r="AY17" s="1821">
        <v>0</v>
      </c>
      <c r="AZ17" s="1821">
        <v>0</v>
      </c>
      <c r="BA17" s="1821">
        <v>0</v>
      </c>
      <c r="BB17" s="1821">
        <v>0</v>
      </c>
      <c r="BC17" s="1821">
        <v>0</v>
      </c>
      <c r="BD17" s="1821">
        <v>0</v>
      </c>
      <c r="BE17" s="1821">
        <v>0</v>
      </c>
      <c r="BF17" s="1821">
        <v>0</v>
      </c>
      <c r="BG17" s="1821">
        <v>0</v>
      </c>
      <c r="BH17" s="1821">
        <v>0</v>
      </c>
      <c r="BI17" s="1821">
        <v>0</v>
      </c>
      <c r="BJ17" s="1821">
        <v>0</v>
      </c>
      <c r="BK17" s="1821">
        <v>0</v>
      </c>
      <c r="BL17" s="1821">
        <v>0</v>
      </c>
      <c r="BM17" s="1821">
        <v>0</v>
      </c>
      <c r="BN17" s="1821">
        <v>-67.327159532975671</v>
      </c>
      <c r="BO17" s="1822">
        <v>-67.327159532975671</v>
      </c>
      <c r="BP17" s="1197"/>
      <c r="BQ17" s="1823">
        <v>0</v>
      </c>
      <c r="BR17" s="1823">
        <v>0</v>
      </c>
      <c r="BS17" s="1824">
        <v>0</v>
      </c>
      <c r="BT17" s="1197"/>
      <c r="BU17" s="1814">
        <v>1.4210854715202004E-14</v>
      </c>
      <c r="BV17" s="1801"/>
      <c r="BW17" s="1197"/>
      <c r="BX17" s="1816">
        <v>73.315221344109062</v>
      </c>
      <c r="BY17" s="1817">
        <v>0.12176166255930609</v>
      </c>
      <c r="BZ17" s="1817">
        <v>10.832688148555395</v>
      </c>
      <c r="CA17" s="1817"/>
      <c r="CB17" s="1817"/>
      <c r="CC17" s="1817"/>
      <c r="CD17" s="1817"/>
      <c r="CE17" s="1817"/>
      <c r="CF17" s="1817"/>
      <c r="CG17" s="1817"/>
      <c r="CH17" s="1817"/>
      <c r="CI17" s="1817"/>
      <c r="CJ17" s="1817"/>
      <c r="CK17" s="1817"/>
      <c r="CL17" s="1817"/>
      <c r="CM17" s="1817"/>
      <c r="CN17" s="1817"/>
      <c r="CO17" s="1817"/>
      <c r="CP17" s="1817"/>
      <c r="CQ17" s="1817"/>
      <c r="CR17" s="1817"/>
      <c r="CS17" s="1817"/>
      <c r="CT17" s="1817"/>
      <c r="CU17" s="1817"/>
      <c r="CV17" s="1817"/>
      <c r="CW17" s="1817"/>
      <c r="CX17" s="1817"/>
      <c r="CY17" s="1817"/>
      <c r="CZ17" s="1817"/>
      <c r="DA17" s="1817"/>
      <c r="DB17" s="1817"/>
      <c r="DC17" s="1817"/>
      <c r="DD17" s="1817"/>
      <c r="DE17" s="1817"/>
      <c r="DF17" s="1817"/>
      <c r="DG17" s="1817"/>
      <c r="DH17" s="1817"/>
      <c r="DI17" s="1817"/>
      <c r="DJ17" s="1817"/>
      <c r="DK17" s="1817"/>
      <c r="DL17" s="1817"/>
      <c r="DM17" s="1817"/>
      <c r="DN17" s="1817"/>
      <c r="DO17" s="1817"/>
      <c r="DP17" s="1197"/>
      <c r="DQ17" s="1226">
        <v>84.269671155223762</v>
      </c>
    </row>
    <row r="18" spans="1:121" s="1199" customFormat="1" ht="16" collapsed="1">
      <c r="B18" s="1789"/>
      <c r="C18" s="1653" t="s">
        <v>4123</v>
      </c>
      <c r="D18" s="1205" t="s">
        <v>3854</v>
      </c>
      <c r="G18" s="1779">
        <v>0</v>
      </c>
      <c r="H18" s="1779">
        <v>0</v>
      </c>
      <c r="I18" s="1779">
        <v>0</v>
      </c>
      <c r="J18" s="1779">
        <v>0</v>
      </c>
      <c r="K18" s="1779">
        <v>0</v>
      </c>
      <c r="L18" s="1779">
        <v>0</v>
      </c>
      <c r="M18" s="1779">
        <v>0</v>
      </c>
      <c r="N18" s="1779">
        <v>0</v>
      </c>
      <c r="O18" s="1779">
        <v>0</v>
      </c>
      <c r="P18" s="1779">
        <v>0</v>
      </c>
      <c r="Q18" s="1779">
        <v>0</v>
      </c>
      <c r="R18" s="1779">
        <v>95.303403558183888</v>
      </c>
      <c r="S18" s="1779">
        <v>0</v>
      </c>
      <c r="T18" s="1807">
        <v>95.303403558183888</v>
      </c>
      <c r="U18" s="1197"/>
      <c r="V18" s="1797">
        <v>-0.27884072155861361</v>
      </c>
      <c r="W18" s="1797">
        <v>0</v>
      </c>
      <c r="X18" s="1797">
        <v>0</v>
      </c>
      <c r="Y18" s="1797">
        <v>0</v>
      </c>
      <c r="Z18" s="1797">
        <v>0</v>
      </c>
      <c r="AA18" s="1797">
        <v>-26.329946908480956</v>
      </c>
      <c r="AB18" s="1797">
        <v>-1.3674563951686305</v>
      </c>
      <c r="AC18" s="1797">
        <v>0</v>
      </c>
      <c r="AD18" s="1797">
        <v>0</v>
      </c>
      <c r="AE18" s="1797">
        <v>0</v>
      </c>
      <c r="AF18" s="1797">
        <v>0</v>
      </c>
      <c r="AG18" s="1797">
        <v>0</v>
      </c>
      <c r="AH18" s="1797">
        <v>0</v>
      </c>
      <c r="AI18" s="1797">
        <v>0</v>
      </c>
      <c r="AJ18" s="1797">
        <v>0</v>
      </c>
      <c r="AK18" s="1797">
        <v>0</v>
      </c>
      <c r="AL18" s="1797">
        <v>0</v>
      </c>
      <c r="AM18" s="1797">
        <v>0</v>
      </c>
      <c r="AN18" s="1797">
        <v>0</v>
      </c>
      <c r="AO18" s="1797">
        <v>0</v>
      </c>
      <c r="AP18" s="1797">
        <v>0</v>
      </c>
      <c r="AQ18" s="1797">
        <v>0</v>
      </c>
      <c r="AR18" s="1797">
        <v>0</v>
      </c>
      <c r="AS18" s="1797">
        <v>0</v>
      </c>
      <c r="AT18" s="1808">
        <v>-27.976244025208199</v>
      </c>
      <c r="AU18" s="1197"/>
      <c r="AV18" s="1799">
        <v>0</v>
      </c>
      <c r="AW18" s="1799">
        <v>0</v>
      </c>
      <c r="AX18" s="1799">
        <v>0</v>
      </c>
      <c r="AY18" s="1799">
        <v>0</v>
      </c>
      <c r="AZ18" s="1799">
        <v>0</v>
      </c>
      <c r="BA18" s="1799">
        <v>0</v>
      </c>
      <c r="BB18" s="1799">
        <v>0</v>
      </c>
      <c r="BC18" s="1799">
        <v>0</v>
      </c>
      <c r="BD18" s="1799">
        <v>0</v>
      </c>
      <c r="BE18" s="1799">
        <v>0</v>
      </c>
      <c r="BF18" s="1799">
        <v>0</v>
      </c>
      <c r="BG18" s="1799">
        <v>0</v>
      </c>
      <c r="BH18" s="1799">
        <v>0</v>
      </c>
      <c r="BI18" s="1799">
        <v>0</v>
      </c>
      <c r="BJ18" s="1799">
        <v>0</v>
      </c>
      <c r="BK18" s="1799">
        <v>0</v>
      </c>
      <c r="BL18" s="1799">
        <v>0</v>
      </c>
      <c r="BM18" s="1799">
        <v>0</v>
      </c>
      <c r="BN18" s="1799">
        <v>-67.327159532975671</v>
      </c>
      <c r="BO18" s="1799">
        <v>-67.327159532975671</v>
      </c>
      <c r="BP18" s="1197"/>
      <c r="BQ18" s="1800">
        <v>0</v>
      </c>
      <c r="BR18" s="1800">
        <v>0</v>
      </c>
      <c r="BS18" s="1824">
        <v>0</v>
      </c>
      <c r="BT18" s="1197"/>
      <c r="BU18" s="1801">
        <v>1.4210854715202004E-14</v>
      </c>
      <c r="BV18" s="1801"/>
      <c r="BW18" s="1815"/>
      <c r="BX18" s="1817">
        <v>73.315221344109062</v>
      </c>
      <c r="BY18" s="1817">
        <v>0.12176166255930609</v>
      </c>
      <c r="BZ18" s="1817">
        <v>10.832688148555395</v>
      </c>
      <c r="CA18" s="1817">
        <v>0</v>
      </c>
      <c r="CB18" s="1817">
        <v>0</v>
      </c>
      <c r="CC18" s="1817">
        <v>0</v>
      </c>
      <c r="CD18" s="1817">
        <v>0</v>
      </c>
      <c r="CE18" s="1817">
        <v>0</v>
      </c>
      <c r="CF18" s="1817">
        <v>0</v>
      </c>
      <c r="CG18" s="1817">
        <v>0</v>
      </c>
      <c r="CH18" s="1817">
        <v>0</v>
      </c>
      <c r="CI18" s="1817">
        <v>0</v>
      </c>
      <c r="CJ18" s="1817">
        <v>0</v>
      </c>
      <c r="CK18" s="1817">
        <v>0</v>
      </c>
      <c r="CL18" s="1817">
        <v>0</v>
      </c>
      <c r="CM18" s="1817">
        <v>0</v>
      </c>
      <c r="CN18" s="1817">
        <v>0</v>
      </c>
      <c r="CO18" s="1817">
        <v>0</v>
      </c>
      <c r="CP18" s="1817">
        <v>0</v>
      </c>
      <c r="CQ18" s="1817">
        <v>0</v>
      </c>
      <c r="CR18" s="1817">
        <v>0</v>
      </c>
      <c r="CS18" s="1817">
        <v>0</v>
      </c>
      <c r="CT18" s="1817">
        <v>0</v>
      </c>
      <c r="CU18" s="1817">
        <v>0</v>
      </c>
      <c r="CV18" s="1817">
        <v>0</v>
      </c>
      <c r="CW18" s="1817">
        <v>0</v>
      </c>
      <c r="CX18" s="1817">
        <v>0</v>
      </c>
      <c r="CY18" s="1817">
        <v>0</v>
      </c>
      <c r="CZ18" s="1817">
        <v>0</v>
      </c>
      <c r="DA18" s="1817">
        <v>0</v>
      </c>
      <c r="DB18" s="1817">
        <v>0</v>
      </c>
      <c r="DC18" s="1817">
        <v>0</v>
      </c>
      <c r="DD18" s="1817">
        <v>0</v>
      </c>
      <c r="DE18" s="1817">
        <v>0</v>
      </c>
      <c r="DF18" s="1817">
        <v>0</v>
      </c>
      <c r="DG18" s="1817">
        <v>0</v>
      </c>
      <c r="DH18" s="1817">
        <v>0</v>
      </c>
      <c r="DI18" s="1817">
        <v>0</v>
      </c>
      <c r="DJ18" s="1817">
        <v>0</v>
      </c>
      <c r="DK18" s="1817">
        <v>0</v>
      </c>
      <c r="DL18" s="1817">
        <v>0</v>
      </c>
      <c r="DM18" s="1817">
        <v>0</v>
      </c>
      <c r="DN18" s="1817">
        <v>0</v>
      </c>
      <c r="DO18" s="1817">
        <v>0</v>
      </c>
      <c r="DP18" s="1197"/>
      <c r="DQ18" s="1226">
        <v>84.269671155223762</v>
      </c>
    </row>
    <row r="19" spans="1:121" s="1199" customFormat="1" ht="16">
      <c r="B19" s="1789"/>
      <c r="C19" s="1653" t="s">
        <v>429</v>
      </c>
      <c r="D19" s="1205" t="s">
        <v>428</v>
      </c>
      <c r="G19" s="1818">
        <v>0</v>
      </c>
      <c r="H19" s="1818">
        <v>0</v>
      </c>
      <c r="I19" s="1818">
        <v>0</v>
      </c>
      <c r="J19" s="1818">
        <v>0</v>
      </c>
      <c r="K19" s="1818">
        <v>0</v>
      </c>
      <c r="L19" s="1818">
        <v>0</v>
      </c>
      <c r="M19" s="1818">
        <v>0</v>
      </c>
      <c r="N19" s="1818">
        <v>0</v>
      </c>
      <c r="O19" s="1818">
        <v>0</v>
      </c>
      <c r="P19" s="1818">
        <v>34.48923167691634</v>
      </c>
      <c r="Q19" s="1818">
        <v>0</v>
      </c>
      <c r="R19" s="1818">
        <v>0</v>
      </c>
      <c r="S19" s="1818">
        <v>0</v>
      </c>
      <c r="T19" s="1807">
        <v>34.48923167691634</v>
      </c>
      <c r="U19" s="1197"/>
      <c r="V19" s="1819">
        <v>-16.707024852791985</v>
      </c>
      <c r="W19" s="1819">
        <v>0</v>
      </c>
      <c r="X19" s="1820">
        <v>0</v>
      </c>
      <c r="Y19" s="1820">
        <v>0</v>
      </c>
      <c r="Z19" s="1819">
        <v>0</v>
      </c>
      <c r="AA19" s="1819">
        <v>-17.385470086195259</v>
      </c>
      <c r="AB19" s="1819">
        <v>0</v>
      </c>
      <c r="AC19" s="1819">
        <v>0</v>
      </c>
      <c r="AD19" s="1819">
        <v>0</v>
      </c>
      <c r="AE19" s="1819">
        <v>0</v>
      </c>
      <c r="AF19" s="1819">
        <v>0</v>
      </c>
      <c r="AG19" s="1819">
        <v>0</v>
      </c>
      <c r="AH19" s="1819">
        <v>0</v>
      </c>
      <c r="AI19" s="1819">
        <v>0</v>
      </c>
      <c r="AJ19" s="1819">
        <v>0</v>
      </c>
      <c r="AK19" s="1819">
        <v>0</v>
      </c>
      <c r="AL19" s="1819">
        <v>0</v>
      </c>
      <c r="AM19" s="1819">
        <v>0</v>
      </c>
      <c r="AN19" s="1819">
        <v>0</v>
      </c>
      <c r="AO19" s="1819">
        <v>0</v>
      </c>
      <c r="AP19" s="1819">
        <v>0</v>
      </c>
      <c r="AQ19" s="1819">
        <v>-0.39673673792909719</v>
      </c>
      <c r="AR19" s="1819">
        <v>0</v>
      </c>
      <c r="AS19" s="1819">
        <v>0</v>
      </c>
      <c r="AT19" s="1808">
        <v>-34.48923167691634</v>
      </c>
      <c r="AU19" s="1197"/>
      <c r="AV19" s="1821">
        <v>0</v>
      </c>
      <c r="AW19" s="1821">
        <v>0</v>
      </c>
      <c r="AX19" s="1821">
        <v>0</v>
      </c>
      <c r="AY19" s="1821">
        <v>0</v>
      </c>
      <c r="AZ19" s="1821">
        <v>0</v>
      </c>
      <c r="BA19" s="1821">
        <v>0</v>
      </c>
      <c r="BB19" s="1821">
        <v>0</v>
      </c>
      <c r="BC19" s="1821">
        <v>0</v>
      </c>
      <c r="BD19" s="1821">
        <v>0</v>
      </c>
      <c r="BE19" s="1821">
        <v>0</v>
      </c>
      <c r="BF19" s="1821">
        <v>0</v>
      </c>
      <c r="BG19" s="1821">
        <v>0</v>
      </c>
      <c r="BH19" s="1821">
        <v>0</v>
      </c>
      <c r="BI19" s="1821">
        <v>0</v>
      </c>
      <c r="BJ19" s="1821">
        <v>0</v>
      </c>
      <c r="BK19" s="1821">
        <v>0</v>
      </c>
      <c r="BL19" s="1821">
        <v>0</v>
      </c>
      <c r="BM19" s="1821">
        <v>0</v>
      </c>
      <c r="BN19" s="1821">
        <v>0</v>
      </c>
      <c r="BO19" s="1799">
        <v>0</v>
      </c>
      <c r="BP19" s="1197"/>
      <c r="BQ19" s="1823">
        <v>0</v>
      </c>
      <c r="BR19" s="1823">
        <v>0</v>
      </c>
      <c r="BS19" s="1823">
        <v>0</v>
      </c>
      <c r="BT19" s="1197"/>
      <c r="BU19" s="1801">
        <v>0</v>
      </c>
      <c r="BV19" s="1801"/>
      <c r="BW19" s="1815"/>
      <c r="BX19" s="1825">
        <v>53.930979392138866</v>
      </c>
      <c r="BY19" s="1825">
        <v>0.12717779021330478</v>
      </c>
      <c r="BZ19" s="1825">
        <v>0.1126431856174985</v>
      </c>
      <c r="CA19" s="1825">
        <v>0</v>
      </c>
      <c r="CB19" s="1825">
        <v>0</v>
      </c>
      <c r="CC19" s="1825">
        <v>0</v>
      </c>
      <c r="CD19" s="1825">
        <v>0</v>
      </c>
      <c r="CE19" s="1825">
        <v>0</v>
      </c>
      <c r="CF19" s="1825">
        <v>0</v>
      </c>
      <c r="CG19" s="1825">
        <v>0</v>
      </c>
      <c r="CH19" s="1825">
        <v>0</v>
      </c>
      <c r="CI19" s="1825">
        <v>0</v>
      </c>
      <c r="CJ19" s="1825">
        <v>0</v>
      </c>
      <c r="CK19" s="1825">
        <v>0</v>
      </c>
      <c r="CL19" s="1825">
        <v>0</v>
      </c>
      <c r="CM19" s="1825">
        <v>0</v>
      </c>
      <c r="CN19" s="1825">
        <v>0</v>
      </c>
      <c r="CO19" s="1825">
        <v>0</v>
      </c>
      <c r="CP19" s="1825">
        <v>0</v>
      </c>
      <c r="CQ19" s="1825">
        <v>0</v>
      </c>
      <c r="CR19" s="1825">
        <v>0</v>
      </c>
      <c r="CS19" s="1825">
        <v>0</v>
      </c>
      <c r="CT19" s="1825">
        <v>0</v>
      </c>
      <c r="CU19" s="1825">
        <v>0</v>
      </c>
      <c r="CV19" s="1825">
        <v>0</v>
      </c>
      <c r="CW19" s="1825">
        <v>0</v>
      </c>
      <c r="CX19" s="1825">
        <v>0</v>
      </c>
      <c r="CY19" s="1825">
        <v>0</v>
      </c>
      <c r="CZ19" s="1825">
        <v>0</v>
      </c>
      <c r="DA19" s="1825">
        <v>0</v>
      </c>
      <c r="DB19" s="1825">
        <v>0</v>
      </c>
      <c r="DC19" s="1825">
        <v>0</v>
      </c>
      <c r="DD19" s="1825">
        <v>0</v>
      </c>
      <c r="DE19" s="1825">
        <v>0</v>
      </c>
      <c r="DF19" s="1825">
        <v>0</v>
      </c>
      <c r="DG19" s="1825">
        <v>0</v>
      </c>
      <c r="DH19" s="1825">
        <v>0</v>
      </c>
      <c r="DI19" s="1825">
        <v>0</v>
      </c>
      <c r="DJ19" s="1825">
        <v>0</v>
      </c>
      <c r="DK19" s="1825">
        <v>0</v>
      </c>
      <c r="DL19" s="1825">
        <v>0</v>
      </c>
      <c r="DM19" s="1825">
        <v>0</v>
      </c>
      <c r="DN19" s="1825">
        <v>0</v>
      </c>
      <c r="DO19" s="1825">
        <v>0</v>
      </c>
      <c r="DP19" s="1197"/>
      <c r="DQ19" s="1226">
        <v>54.170800367969669</v>
      </c>
    </row>
    <row r="20" spans="1:121" s="1199" customFormat="1" ht="12.75" customHeight="1">
      <c r="C20" s="1768" t="s">
        <v>431</v>
      </c>
      <c r="D20" s="1205" t="s">
        <v>430</v>
      </c>
      <c r="G20" s="1818">
        <v>0</v>
      </c>
      <c r="H20" s="1818">
        <v>0</v>
      </c>
      <c r="I20" s="1818">
        <v>0</v>
      </c>
      <c r="J20" s="1818">
        <v>0</v>
      </c>
      <c r="K20" s="1818">
        <v>0</v>
      </c>
      <c r="L20" s="1818">
        <v>0</v>
      </c>
      <c r="M20" s="1818">
        <v>0</v>
      </c>
      <c r="N20" s="1818">
        <v>0</v>
      </c>
      <c r="O20" s="1818">
        <v>0</v>
      </c>
      <c r="P20" s="1818">
        <v>0</v>
      </c>
      <c r="Q20" s="1818">
        <v>8.9319236036295013</v>
      </c>
      <c r="R20" s="1818">
        <v>0</v>
      </c>
      <c r="S20" s="1818">
        <v>0</v>
      </c>
      <c r="T20" s="1807">
        <v>8.9319236036295013</v>
      </c>
      <c r="U20" s="1197"/>
      <c r="V20" s="1819">
        <v>-3.6001756207244222</v>
      </c>
      <c r="W20" s="1819">
        <v>0</v>
      </c>
      <c r="X20" s="1820">
        <v>0</v>
      </c>
      <c r="Y20" s="1820">
        <v>0</v>
      </c>
      <c r="Z20" s="1819">
        <v>0</v>
      </c>
      <c r="AA20" s="1819">
        <v>-5.1379787798245049</v>
      </c>
      <c r="AB20" s="1819">
        <v>0</v>
      </c>
      <c r="AC20" s="1819">
        <v>0</v>
      </c>
      <c r="AD20" s="1819">
        <v>0</v>
      </c>
      <c r="AE20" s="1819">
        <v>0</v>
      </c>
      <c r="AF20" s="1819">
        <v>0</v>
      </c>
      <c r="AG20" s="1819">
        <v>0</v>
      </c>
      <c r="AH20" s="1819">
        <v>0</v>
      </c>
      <c r="AI20" s="1819">
        <v>0</v>
      </c>
      <c r="AJ20" s="1819">
        <v>0</v>
      </c>
      <c r="AK20" s="1819">
        <v>0</v>
      </c>
      <c r="AL20" s="1819">
        <v>0</v>
      </c>
      <c r="AM20" s="1819">
        <v>0</v>
      </c>
      <c r="AN20" s="1819">
        <v>0</v>
      </c>
      <c r="AO20" s="1819">
        <v>0</v>
      </c>
      <c r="AP20" s="1819">
        <v>0</v>
      </c>
      <c r="AQ20" s="1819">
        <v>-0.19376920308057466</v>
      </c>
      <c r="AR20" s="1819">
        <v>0</v>
      </c>
      <c r="AS20" s="1819">
        <v>0</v>
      </c>
      <c r="AT20" s="1808">
        <v>-8.9319236036295013</v>
      </c>
      <c r="AU20" s="1197"/>
      <c r="AV20" s="1821">
        <v>0</v>
      </c>
      <c r="AW20" s="1821">
        <v>0</v>
      </c>
      <c r="AX20" s="1821">
        <v>0</v>
      </c>
      <c r="AY20" s="1821">
        <v>0</v>
      </c>
      <c r="AZ20" s="1821">
        <v>0</v>
      </c>
      <c r="BA20" s="1821">
        <v>0</v>
      </c>
      <c r="BB20" s="1821">
        <v>0</v>
      </c>
      <c r="BC20" s="1821">
        <v>0</v>
      </c>
      <c r="BD20" s="1821">
        <v>0</v>
      </c>
      <c r="BE20" s="1821">
        <v>0</v>
      </c>
      <c r="BF20" s="1821">
        <v>0</v>
      </c>
      <c r="BG20" s="1821">
        <v>0</v>
      </c>
      <c r="BH20" s="1821">
        <v>0</v>
      </c>
      <c r="BI20" s="1821">
        <v>0</v>
      </c>
      <c r="BJ20" s="1821">
        <v>0</v>
      </c>
      <c r="BK20" s="1821">
        <v>0</v>
      </c>
      <c r="BL20" s="1821">
        <v>0</v>
      </c>
      <c r="BM20" s="1821">
        <v>0</v>
      </c>
      <c r="BN20" s="1821">
        <v>0</v>
      </c>
      <c r="BO20" s="1799">
        <v>0</v>
      </c>
      <c r="BP20" s="1197"/>
      <c r="BQ20" s="1823">
        <v>0</v>
      </c>
      <c r="BR20" s="1823">
        <v>0</v>
      </c>
      <c r="BS20" s="1823">
        <v>0</v>
      </c>
      <c r="BT20" s="1197"/>
      <c r="BU20" s="1801">
        <v>0</v>
      </c>
      <c r="BV20" s="1801"/>
      <c r="BW20" s="1815"/>
      <c r="BX20" s="1825">
        <v>15.938379941304397</v>
      </c>
      <c r="BY20" s="1825">
        <v>4.5169497809364696E-2</v>
      </c>
      <c r="BZ20" s="1825">
        <v>4.0007269488294445E-2</v>
      </c>
      <c r="CA20" s="1825">
        <v>0</v>
      </c>
      <c r="CB20" s="1825">
        <v>0</v>
      </c>
      <c r="CC20" s="1825">
        <v>0</v>
      </c>
      <c r="CD20" s="1825">
        <v>0</v>
      </c>
      <c r="CE20" s="1825">
        <v>0</v>
      </c>
      <c r="CF20" s="1825">
        <v>0</v>
      </c>
      <c r="CG20" s="1825">
        <v>0</v>
      </c>
      <c r="CH20" s="1825">
        <v>0</v>
      </c>
      <c r="CI20" s="1825">
        <v>0</v>
      </c>
      <c r="CJ20" s="1825">
        <v>0</v>
      </c>
      <c r="CK20" s="1825">
        <v>0</v>
      </c>
      <c r="CL20" s="1825">
        <v>0</v>
      </c>
      <c r="CM20" s="1825">
        <v>0</v>
      </c>
      <c r="CN20" s="1825">
        <v>0</v>
      </c>
      <c r="CO20" s="1825">
        <v>0</v>
      </c>
      <c r="CP20" s="1825">
        <v>0</v>
      </c>
      <c r="CQ20" s="1825">
        <v>0</v>
      </c>
      <c r="CR20" s="1825">
        <v>0</v>
      </c>
      <c r="CS20" s="1825">
        <v>0</v>
      </c>
      <c r="CT20" s="1825">
        <v>0</v>
      </c>
      <c r="CU20" s="1825">
        <v>0</v>
      </c>
      <c r="CV20" s="1825">
        <v>0</v>
      </c>
      <c r="CW20" s="1825">
        <v>0</v>
      </c>
      <c r="CX20" s="1825">
        <v>0</v>
      </c>
      <c r="CY20" s="1825">
        <v>0</v>
      </c>
      <c r="CZ20" s="1825">
        <v>0</v>
      </c>
      <c r="DA20" s="1825">
        <v>0</v>
      </c>
      <c r="DB20" s="1825">
        <v>0</v>
      </c>
      <c r="DC20" s="1825">
        <v>0</v>
      </c>
      <c r="DD20" s="1825">
        <v>0</v>
      </c>
      <c r="DE20" s="1825">
        <v>0</v>
      </c>
      <c r="DF20" s="1825">
        <v>0</v>
      </c>
      <c r="DG20" s="1825">
        <v>0</v>
      </c>
      <c r="DH20" s="1825">
        <v>0</v>
      </c>
      <c r="DI20" s="1825">
        <v>0</v>
      </c>
      <c r="DJ20" s="1825">
        <v>0</v>
      </c>
      <c r="DK20" s="1825">
        <v>0</v>
      </c>
      <c r="DL20" s="1825">
        <v>0</v>
      </c>
      <c r="DM20" s="1825">
        <v>0</v>
      </c>
      <c r="DN20" s="1825">
        <v>0</v>
      </c>
      <c r="DO20" s="1825">
        <v>0</v>
      </c>
      <c r="DP20" s="1197"/>
      <c r="DQ20" s="1226">
        <v>16.023556708602058</v>
      </c>
    </row>
    <row r="21" spans="1:121" s="1199" customFormat="1" ht="12.75" customHeight="1">
      <c r="C21" s="1768"/>
      <c r="D21" s="1205" t="s">
        <v>3954</v>
      </c>
      <c r="G21" s="1807"/>
      <c r="H21" s="1807"/>
      <c r="I21" s="1807"/>
      <c r="J21" s="1807"/>
      <c r="K21" s="1807"/>
      <c r="L21" s="1807"/>
      <c r="M21" s="1807"/>
      <c r="N21" s="1807"/>
      <c r="O21" s="1807"/>
      <c r="P21" s="1807"/>
      <c r="Q21" s="1807"/>
      <c r="R21" s="1807"/>
      <c r="S21" s="1807"/>
      <c r="T21" s="1807">
        <v>7.1493565189115174</v>
      </c>
      <c r="U21" s="1197"/>
      <c r="V21" s="1808">
        <v>-7.1493565189115174</v>
      </c>
      <c r="W21" s="1808"/>
      <c r="X21" s="1809"/>
      <c r="Y21" s="1809"/>
      <c r="Z21" s="1808"/>
      <c r="AA21" s="1808"/>
      <c r="AB21" s="1808"/>
      <c r="AC21" s="1808"/>
      <c r="AD21" s="1808"/>
      <c r="AE21" s="1808"/>
      <c r="AF21" s="1808"/>
      <c r="AG21" s="1808"/>
      <c r="AH21" s="1808"/>
      <c r="AI21" s="1808"/>
      <c r="AJ21" s="1808"/>
      <c r="AK21" s="1808"/>
      <c r="AL21" s="1808"/>
      <c r="AM21" s="1808"/>
      <c r="AN21" s="1808"/>
      <c r="AO21" s="1808"/>
      <c r="AP21" s="1808"/>
      <c r="AQ21" s="1808"/>
      <c r="AR21" s="1808"/>
      <c r="AS21" s="1808"/>
      <c r="AT21" s="1808">
        <v>-7.1493565189115174</v>
      </c>
      <c r="AU21" s="1197"/>
      <c r="AV21" s="1810"/>
      <c r="AW21" s="1810"/>
      <c r="AX21" s="1810"/>
      <c r="AY21" s="1810"/>
      <c r="AZ21" s="1810"/>
      <c r="BA21" s="1810"/>
      <c r="BB21" s="1810"/>
      <c r="BC21" s="1810"/>
      <c r="BD21" s="1810"/>
      <c r="BE21" s="1810"/>
      <c r="BF21" s="1810"/>
      <c r="BG21" s="1810"/>
      <c r="BH21" s="1810"/>
      <c r="BI21" s="1810"/>
      <c r="BJ21" s="1810"/>
      <c r="BK21" s="1810"/>
      <c r="BL21" s="1810"/>
      <c r="BM21" s="1810"/>
      <c r="BN21" s="1810"/>
      <c r="BO21" s="1799"/>
      <c r="BP21" s="1197"/>
      <c r="BQ21" s="1812"/>
      <c r="BR21" s="1812"/>
      <c r="BS21" s="1812"/>
      <c r="BT21" s="1197"/>
      <c r="BU21" s="1801"/>
      <c r="BV21" s="1801"/>
      <c r="BW21" s="1815"/>
      <c r="BX21" s="1816"/>
      <c r="BY21" s="1816"/>
      <c r="BZ21" s="1816"/>
      <c r="CA21" s="1816"/>
      <c r="CB21" s="1816"/>
      <c r="CC21" s="1816"/>
      <c r="CD21" s="1816"/>
      <c r="CE21" s="1816"/>
      <c r="CF21" s="1816"/>
      <c r="CG21" s="1816"/>
      <c r="CH21" s="1816"/>
      <c r="CI21" s="1816"/>
      <c r="CJ21" s="1816"/>
      <c r="CK21" s="1816"/>
      <c r="CL21" s="1816"/>
      <c r="CM21" s="1816"/>
      <c r="CN21" s="1816"/>
      <c r="CO21" s="1816"/>
      <c r="CP21" s="1816"/>
      <c r="CQ21" s="1816"/>
      <c r="CR21" s="1816"/>
      <c r="CS21" s="1816"/>
      <c r="CT21" s="1816"/>
      <c r="CU21" s="1816"/>
      <c r="CV21" s="1816"/>
      <c r="CW21" s="1816"/>
      <c r="CX21" s="1816"/>
      <c r="CY21" s="1816"/>
      <c r="CZ21" s="1816"/>
      <c r="DA21" s="1816"/>
      <c r="DB21" s="1816"/>
      <c r="DC21" s="1816"/>
      <c r="DD21" s="1816"/>
      <c r="DE21" s="1816"/>
      <c r="DF21" s="1816"/>
      <c r="DG21" s="1816"/>
      <c r="DH21" s="1816"/>
      <c r="DI21" s="1816"/>
      <c r="DJ21" s="1816"/>
      <c r="DK21" s="1816"/>
      <c r="DL21" s="1816"/>
      <c r="DM21" s="1816"/>
      <c r="DN21" s="1816"/>
      <c r="DO21" s="1816"/>
      <c r="DP21" s="1197"/>
      <c r="DQ21" s="1226"/>
    </row>
    <row r="22" spans="1:121" s="1199" customFormat="1" ht="16">
      <c r="B22" s="1789"/>
      <c r="C22" s="1827" t="s">
        <v>4774</v>
      </c>
      <c r="D22" s="1828" t="s">
        <v>4775</v>
      </c>
      <c r="E22" s="1829"/>
      <c r="G22" s="1830">
        <v>0</v>
      </c>
      <c r="H22" s="1830">
        <v>0</v>
      </c>
      <c r="I22" s="1830">
        <v>27.571778248325508</v>
      </c>
      <c r="J22" s="1830">
        <v>8.5969089718730327</v>
      </c>
      <c r="K22" s="1830">
        <v>262.41250218921147</v>
      </c>
      <c r="L22" s="1830">
        <v>113.19617684401635</v>
      </c>
      <c r="M22" s="1830">
        <v>3.2132653197737691</v>
      </c>
      <c r="N22" s="1830">
        <v>3.5223235991217856</v>
      </c>
      <c r="O22" s="1830">
        <v>8.0936709333162521E-2</v>
      </c>
      <c r="P22" s="1830">
        <v>34.48923167691634</v>
      </c>
      <c r="Q22" s="1830">
        <v>8.9319236036295013</v>
      </c>
      <c r="R22" s="1830">
        <v>95.303403558183888</v>
      </c>
      <c r="S22" s="1830">
        <v>35.533041321889996</v>
      </c>
      <c r="T22" s="1830">
        <v>600.00084856118622</v>
      </c>
      <c r="U22" s="1197"/>
      <c r="V22" s="1831">
        <v>-94.745513120245718</v>
      </c>
      <c r="W22" s="1831">
        <v>0</v>
      </c>
      <c r="X22" s="1831">
        <v>0</v>
      </c>
      <c r="Y22" s="1831">
        <v>0</v>
      </c>
      <c r="Z22" s="1831">
        <v>-157.42666995337615</v>
      </c>
      <c r="AA22" s="1831">
        <v>-204.88592210780408</v>
      </c>
      <c r="AB22" s="1831">
        <v>-20.50155472126217</v>
      </c>
      <c r="AC22" s="1831">
        <v>-24.5</v>
      </c>
      <c r="AD22" s="1831">
        <v>-11.033041321889998</v>
      </c>
      <c r="AE22" s="1831">
        <v>0</v>
      </c>
      <c r="AF22" s="1831">
        <v>0</v>
      </c>
      <c r="AG22" s="1831">
        <v>0</v>
      </c>
      <c r="AH22" s="1831">
        <v>0</v>
      </c>
      <c r="AI22" s="1831">
        <v>-2.7214058251783255</v>
      </c>
      <c r="AJ22" s="1831">
        <v>0</v>
      </c>
      <c r="AK22" s="1831">
        <v>0</v>
      </c>
      <c r="AL22" s="1831">
        <v>0</v>
      </c>
      <c r="AM22" s="1831">
        <v>0</v>
      </c>
      <c r="AN22" s="1831">
        <v>0</v>
      </c>
      <c r="AO22" s="1831">
        <v>0</v>
      </c>
      <c r="AP22" s="1831">
        <v>0</v>
      </c>
      <c r="AQ22" s="1831">
        <v>-0.5905059410096718</v>
      </c>
      <c r="AR22" s="1831">
        <v>0</v>
      </c>
      <c r="AS22" s="1831">
        <v>0</v>
      </c>
      <c r="AT22" s="1831">
        <v>-516.40461299076605</v>
      </c>
      <c r="AU22" s="1197"/>
      <c r="AV22" s="1832">
        <v>0</v>
      </c>
      <c r="AW22" s="1832">
        <v>0</v>
      </c>
      <c r="AX22" s="1832">
        <v>0</v>
      </c>
      <c r="AY22" s="1832">
        <v>0</v>
      </c>
      <c r="AZ22" s="1832">
        <v>0</v>
      </c>
      <c r="BA22" s="1832">
        <v>0</v>
      </c>
      <c r="BB22" s="1832">
        <v>0</v>
      </c>
      <c r="BC22" s="1832">
        <v>0</v>
      </c>
      <c r="BD22" s="1832">
        <v>0</v>
      </c>
      <c r="BE22" s="1832">
        <v>0</v>
      </c>
      <c r="BF22" s="1832">
        <v>0</v>
      </c>
      <c r="BG22" s="1832">
        <v>0</v>
      </c>
      <c r="BH22" s="1832">
        <v>0</v>
      </c>
      <c r="BI22" s="1832">
        <v>0</v>
      </c>
      <c r="BJ22" s="1832">
        <v>0</v>
      </c>
      <c r="BK22" s="1832">
        <v>0</v>
      </c>
      <c r="BL22" s="1832">
        <v>0</v>
      </c>
      <c r="BM22" s="1832">
        <v>-16.269076037444517</v>
      </c>
      <c r="BN22" s="1832">
        <v>-67.327159532975671</v>
      </c>
      <c r="BO22" s="1832">
        <v>-83.596235570420191</v>
      </c>
      <c r="BP22" s="1197"/>
      <c r="BQ22" s="1833">
        <v>0</v>
      </c>
      <c r="BR22" s="1833">
        <v>0</v>
      </c>
      <c r="BS22" s="1833">
        <v>0</v>
      </c>
      <c r="BT22" s="1197"/>
      <c r="BU22" s="1834">
        <v>-2.8421709430404007E-14</v>
      </c>
      <c r="BV22" s="1834"/>
      <c r="BW22" s="1197"/>
      <c r="BX22" s="1835">
        <v>1441.9015374330784</v>
      </c>
      <c r="BY22" s="1836">
        <v>2.5530892546930892</v>
      </c>
      <c r="BZ22" s="1836">
        <v>19.360420734078915</v>
      </c>
      <c r="CA22" s="1836">
        <v>0</v>
      </c>
      <c r="CB22" s="1836">
        <v>0</v>
      </c>
      <c r="CC22" s="1836">
        <v>0</v>
      </c>
      <c r="CD22" s="1836">
        <v>0</v>
      </c>
      <c r="CE22" s="1836">
        <v>0</v>
      </c>
      <c r="CF22" s="1836">
        <v>130.19600911978685</v>
      </c>
      <c r="CG22" s="1836">
        <v>0</v>
      </c>
      <c r="CH22" s="1836">
        <v>0</v>
      </c>
      <c r="CI22" s="1836">
        <v>0</v>
      </c>
      <c r="CJ22" s="1836">
        <v>0</v>
      </c>
      <c r="CK22" s="1836">
        <v>0</v>
      </c>
      <c r="CL22" s="1836">
        <v>0</v>
      </c>
      <c r="CM22" s="1836">
        <v>0</v>
      </c>
      <c r="CN22" s="1836">
        <v>0</v>
      </c>
      <c r="CO22" s="1836">
        <v>0</v>
      </c>
      <c r="CP22" s="1836">
        <v>0</v>
      </c>
      <c r="CQ22" s="1836">
        <v>0</v>
      </c>
      <c r="CR22" s="1836">
        <v>0</v>
      </c>
      <c r="CS22" s="1836">
        <v>0</v>
      </c>
      <c r="CT22" s="1836">
        <v>0</v>
      </c>
      <c r="CU22" s="1836">
        <v>0</v>
      </c>
      <c r="CV22" s="1836">
        <v>0</v>
      </c>
      <c r="CW22" s="1836">
        <v>0</v>
      </c>
      <c r="CX22" s="1836">
        <v>0</v>
      </c>
      <c r="CY22" s="1836">
        <v>0</v>
      </c>
      <c r="CZ22" s="1836">
        <v>0</v>
      </c>
      <c r="DA22" s="1836">
        <v>0</v>
      </c>
      <c r="DB22" s="1836">
        <v>0</v>
      </c>
      <c r="DC22" s="1836">
        <v>0</v>
      </c>
      <c r="DD22" s="1836">
        <v>0</v>
      </c>
      <c r="DE22" s="1836">
        <v>0</v>
      </c>
      <c r="DF22" s="1836">
        <v>0</v>
      </c>
      <c r="DG22" s="1836">
        <v>0</v>
      </c>
      <c r="DH22" s="1836">
        <v>0</v>
      </c>
      <c r="DI22" s="1836">
        <v>0</v>
      </c>
      <c r="DJ22" s="1836">
        <v>0</v>
      </c>
      <c r="DK22" s="1836">
        <v>0</v>
      </c>
      <c r="DL22" s="1836">
        <v>0</v>
      </c>
      <c r="DM22" s="1836">
        <v>0</v>
      </c>
      <c r="DN22" s="1836">
        <v>0</v>
      </c>
      <c r="DO22" s="1836">
        <v>0</v>
      </c>
      <c r="DP22" s="1197"/>
      <c r="DQ22" s="1837">
        <v>1594.0110565416371</v>
      </c>
    </row>
    <row r="23" spans="1:121" s="1199" customFormat="1" ht="6" customHeight="1">
      <c r="G23" s="1779"/>
      <c r="H23" s="1779"/>
      <c r="I23" s="1779"/>
      <c r="J23" s="1779"/>
      <c r="K23" s="1779"/>
      <c r="L23" s="1838"/>
      <c r="M23" s="1779"/>
      <c r="N23" s="1779"/>
      <c r="O23" s="1779"/>
      <c r="P23" s="1779"/>
      <c r="Q23" s="1779"/>
      <c r="R23" s="1779"/>
      <c r="S23" s="1779"/>
      <c r="T23" s="1779"/>
      <c r="U23" s="1197"/>
      <c r="V23" s="1797"/>
      <c r="W23" s="1797"/>
      <c r="X23" s="1798"/>
      <c r="Y23" s="1798"/>
      <c r="Z23" s="1797"/>
      <c r="AA23" s="1797"/>
      <c r="AB23" s="1797"/>
      <c r="AC23" s="1797"/>
      <c r="AD23" s="1797"/>
      <c r="AE23" s="1797"/>
      <c r="AF23" s="1797"/>
      <c r="AG23" s="1797"/>
      <c r="AH23" s="1797"/>
      <c r="AI23" s="1797"/>
      <c r="AJ23" s="1797"/>
      <c r="AK23" s="1797"/>
      <c r="AL23" s="1797"/>
      <c r="AM23" s="1797"/>
      <c r="AN23" s="1797"/>
      <c r="AO23" s="1797"/>
      <c r="AP23" s="1797"/>
      <c r="AQ23" s="1797"/>
      <c r="AR23" s="1797"/>
      <c r="AS23" s="1797"/>
      <c r="AT23" s="1797"/>
      <c r="AU23" s="1197"/>
      <c r="AV23" s="1799"/>
      <c r="AW23" s="1799"/>
      <c r="AX23" s="1799"/>
      <c r="AY23" s="1799"/>
      <c r="AZ23" s="1799"/>
      <c r="BA23" s="1799"/>
      <c r="BB23" s="1799"/>
      <c r="BC23" s="1799"/>
      <c r="BD23" s="1799"/>
      <c r="BE23" s="1799"/>
      <c r="BF23" s="1799"/>
      <c r="BG23" s="1799"/>
      <c r="BH23" s="1799"/>
      <c r="BI23" s="1799"/>
      <c r="BJ23" s="1799"/>
      <c r="BK23" s="1799"/>
      <c r="BL23" s="1799"/>
      <c r="BM23" s="1799"/>
      <c r="BN23" s="1799"/>
      <c r="BO23" s="1799"/>
      <c r="BP23" s="1197"/>
      <c r="BQ23" s="1800"/>
      <c r="BR23" s="1800"/>
      <c r="BS23" s="1800">
        <v>0</v>
      </c>
      <c r="BT23" s="1197"/>
      <c r="BU23" s="1801">
        <v>0</v>
      </c>
      <c r="BV23" s="1801"/>
      <c r="BW23" s="1197"/>
      <c r="BX23" s="1817"/>
      <c r="BY23" s="1817"/>
      <c r="BZ23" s="1817"/>
      <c r="CA23" s="1817"/>
      <c r="CB23" s="1817"/>
      <c r="CC23" s="1817"/>
      <c r="CD23" s="1817"/>
      <c r="CE23" s="1817"/>
      <c r="CF23" s="1817"/>
      <c r="CG23" s="1817"/>
      <c r="CH23" s="1817"/>
      <c r="CI23" s="1817"/>
      <c r="CJ23" s="1817"/>
      <c r="CK23" s="1817"/>
      <c r="CL23" s="1817"/>
      <c r="CM23" s="1817"/>
      <c r="CN23" s="1817"/>
      <c r="CO23" s="1817"/>
      <c r="CP23" s="1817"/>
      <c r="CQ23" s="1817"/>
      <c r="CR23" s="1817"/>
      <c r="CS23" s="1817"/>
      <c r="CT23" s="1817"/>
      <c r="CU23" s="1817"/>
      <c r="CV23" s="1817"/>
      <c r="CW23" s="1817"/>
      <c r="CX23" s="1817"/>
      <c r="CY23" s="1817"/>
      <c r="CZ23" s="1817"/>
      <c r="DA23" s="1817"/>
      <c r="DB23" s="1817"/>
      <c r="DC23" s="1817"/>
      <c r="DD23" s="1817"/>
      <c r="DE23" s="1817"/>
      <c r="DF23" s="1817"/>
      <c r="DG23" s="1817"/>
      <c r="DH23" s="1817"/>
      <c r="DI23" s="1817"/>
      <c r="DJ23" s="1817"/>
      <c r="DK23" s="1817"/>
      <c r="DL23" s="1817"/>
      <c r="DM23" s="1817"/>
      <c r="DN23" s="1817"/>
      <c r="DO23" s="1817"/>
      <c r="DP23" s="1197"/>
      <c r="DQ23" s="1226"/>
    </row>
    <row r="24" spans="1:121" s="1199" customFormat="1" ht="16">
      <c r="C24" s="1788" t="s">
        <v>4776</v>
      </c>
      <c r="D24" s="1198"/>
      <c r="E24" s="1789"/>
      <c r="G24" s="1790"/>
      <c r="H24" s="1790"/>
      <c r="I24" s="1790"/>
      <c r="J24" s="1790"/>
      <c r="K24" s="1790"/>
      <c r="L24" s="1790"/>
      <c r="M24" s="1790"/>
      <c r="N24" s="1790"/>
      <c r="O24" s="1790"/>
      <c r="P24" s="1790"/>
      <c r="Q24" s="1790"/>
      <c r="R24" s="1790"/>
      <c r="S24" s="1790"/>
      <c r="T24" s="1790"/>
      <c r="U24" s="1197"/>
      <c r="V24" s="1791"/>
      <c r="W24" s="1791"/>
      <c r="X24" s="1792"/>
      <c r="Y24" s="1792"/>
      <c r="Z24" s="1791"/>
      <c r="AA24" s="1791"/>
      <c r="AB24" s="1791"/>
      <c r="AC24" s="1791"/>
      <c r="AD24" s="1791"/>
      <c r="AE24" s="1791"/>
      <c r="AF24" s="1791"/>
      <c r="AG24" s="1791"/>
      <c r="AH24" s="1791"/>
      <c r="AI24" s="1791"/>
      <c r="AJ24" s="1791"/>
      <c r="AK24" s="1791"/>
      <c r="AL24" s="1791"/>
      <c r="AM24" s="1791"/>
      <c r="AN24" s="1791"/>
      <c r="AO24" s="1791"/>
      <c r="AP24" s="1791"/>
      <c r="AQ24" s="1791"/>
      <c r="AR24" s="1791"/>
      <c r="AS24" s="1791"/>
      <c r="AT24" s="1791"/>
      <c r="AU24" s="1197"/>
      <c r="AV24" s="1793"/>
      <c r="AW24" s="1793"/>
      <c r="AX24" s="1793"/>
      <c r="AY24" s="1793"/>
      <c r="AZ24" s="1793"/>
      <c r="BA24" s="1793"/>
      <c r="BB24" s="1793"/>
      <c r="BC24" s="1793"/>
      <c r="BD24" s="1793"/>
      <c r="BE24" s="1793"/>
      <c r="BF24" s="1793"/>
      <c r="BG24" s="1793"/>
      <c r="BH24" s="1793"/>
      <c r="BI24" s="1793"/>
      <c r="BJ24" s="1793"/>
      <c r="BK24" s="1793"/>
      <c r="BL24" s="1793"/>
      <c r="BM24" s="1793"/>
      <c r="BN24" s="1793"/>
      <c r="BO24" s="1793"/>
      <c r="BP24" s="1197"/>
      <c r="BQ24" s="1794"/>
      <c r="BR24" s="1794"/>
      <c r="BS24" s="1800">
        <v>0</v>
      </c>
      <c r="BT24" s="1197"/>
      <c r="BU24" s="1795">
        <v>0</v>
      </c>
      <c r="BV24" s="1795"/>
      <c r="BW24" s="1197"/>
      <c r="BX24" s="1817"/>
      <c r="BY24" s="1817"/>
      <c r="BZ24" s="1817"/>
      <c r="CA24" s="1817"/>
      <c r="CB24" s="1817"/>
      <c r="CC24" s="1817"/>
      <c r="CD24" s="1817"/>
      <c r="CE24" s="1817"/>
      <c r="CF24" s="1817"/>
      <c r="CG24" s="1817"/>
      <c r="CH24" s="1817"/>
      <c r="CI24" s="1817"/>
      <c r="CJ24" s="1817"/>
      <c r="CK24" s="1817"/>
      <c r="CL24" s="1817"/>
      <c r="CM24" s="1817"/>
      <c r="CN24" s="1817"/>
      <c r="CO24" s="1817"/>
      <c r="CP24" s="1817"/>
      <c r="CQ24" s="1817"/>
      <c r="CR24" s="1817"/>
      <c r="CS24" s="1817"/>
      <c r="CT24" s="1817"/>
      <c r="CU24" s="1817"/>
      <c r="CV24" s="1817"/>
      <c r="CW24" s="1817"/>
      <c r="CX24" s="1817"/>
      <c r="CY24" s="1817"/>
      <c r="CZ24" s="1817"/>
      <c r="DA24" s="1817"/>
      <c r="DB24" s="1817"/>
      <c r="DC24" s="1817"/>
      <c r="DD24" s="1817"/>
      <c r="DE24" s="1817"/>
      <c r="DF24" s="1817"/>
      <c r="DG24" s="1817"/>
      <c r="DH24" s="1817"/>
      <c r="DI24" s="1817"/>
      <c r="DJ24" s="1817"/>
      <c r="DK24" s="1817"/>
      <c r="DL24" s="1817"/>
      <c r="DM24" s="1817"/>
      <c r="DN24" s="1817"/>
      <c r="DO24" s="1817"/>
      <c r="DP24" s="1197"/>
      <c r="DQ24" s="1226"/>
    </row>
    <row r="25" spans="1:121" s="1199" customFormat="1" outlineLevel="1">
      <c r="C25" s="1652" t="s">
        <v>4777</v>
      </c>
      <c r="D25" s="1805" t="s">
        <v>4081</v>
      </c>
      <c r="G25" s="1839">
        <v>0</v>
      </c>
      <c r="H25" s="1839">
        <v>0</v>
      </c>
      <c r="I25" s="1839">
        <v>0</v>
      </c>
      <c r="J25" s="1839">
        <v>0</v>
      </c>
      <c r="K25" s="1839">
        <v>0</v>
      </c>
      <c r="L25" s="1839">
        <v>0</v>
      </c>
      <c r="M25" s="1839">
        <v>0</v>
      </c>
      <c r="N25" s="1839">
        <v>0</v>
      </c>
      <c r="O25" s="1839">
        <v>0</v>
      </c>
      <c r="P25" s="1839">
        <v>0</v>
      </c>
      <c r="Q25" s="1839">
        <v>0</v>
      </c>
      <c r="R25" s="1839">
        <v>0</v>
      </c>
      <c r="S25" s="1839">
        <v>0</v>
      </c>
      <c r="T25" s="1807">
        <v>0</v>
      </c>
      <c r="U25" s="1197"/>
      <c r="V25" s="1840">
        <v>0</v>
      </c>
      <c r="W25" s="1840">
        <v>1.2737819576956146</v>
      </c>
      <c r="X25" s="1841">
        <v>0</v>
      </c>
      <c r="Y25" s="1841">
        <v>0</v>
      </c>
      <c r="Z25" s="1840">
        <v>0</v>
      </c>
      <c r="AA25" s="1840">
        <v>0</v>
      </c>
      <c r="AB25" s="1840">
        <v>0</v>
      </c>
      <c r="AC25" s="1840">
        <v>0</v>
      </c>
      <c r="AD25" s="1840">
        <v>0</v>
      </c>
      <c r="AE25" s="1840">
        <v>0</v>
      </c>
      <c r="AF25" s="1840">
        <v>0</v>
      </c>
      <c r="AG25" s="1840">
        <v>0</v>
      </c>
      <c r="AH25" s="1840">
        <v>0</v>
      </c>
      <c r="AI25" s="1840">
        <v>0</v>
      </c>
      <c r="AJ25" s="1840">
        <v>0</v>
      </c>
      <c r="AK25" s="1840">
        <v>0</v>
      </c>
      <c r="AL25" s="1840">
        <v>0</v>
      </c>
      <c r="AM25" s="1840">
        <v>0</v>
      </c>
      <c r="AN25" s="1840">
        <v>0</v>
      </c>
      <c r="AO25" s="1840">
        <v>0</v>
      </c>
      <c r="AP25" s="1840">
        <v>0</v>
      </c>
      <c r="AQ25" s="1840">
        <v>0</v>
      </c>
      <c r="AR25" s="1840">
        <v>0</v>
      </c>
      <c r="AS25" s="1840">
        <v>0</v>
      </c>
      <c r="AT25" s="1819">
        <v>1.2737819576956146</v>
      </c>
      <c r="AU25" s="1197"/>
      <c r="AV25" s="1821">
        <v>0</v>
      </c>
      <c r="AW25" s="1821">
        <v>0</v>
      </c>
      <c r="AX25" s="1821">
        <v>0</v>
      </c>
      <c r="AY25" s="1821">
        <v>0</v>
      </c>
      <c r="AZ25" s="1821">
        <v>0</v>
      </c>
      <c r="BA25" s="1821">
        <v>0</v>
      </c>
      <c r="BB25" s="1821">
        <v>0</v>
      </c>
      <c r="BC25" s="1821">
        <v>0</v>
      </c>
      <c r="BD25" s="1821">
        <v>0</v>
      </c>
      <c r="BE25" s="1821">
        <v>0</v>
      </c>
      <c r="BF25" s="1821">
        <v>0</v>
      </c>
      <c r="BG25" s="1821">
        <v>0</v>
      </c>
      <c r="BH25" s="1821">
        <v>0</v>
      </c>
      <c r="BI25" s="1821">
        <v>0</v>
      </c>
      <c r="BJ25" s="1821">
        <v>0</v>
      </c>
      <c r="BK25" s="1821">
        <v>0</v>
      </c>
      <c r="BL25" s="1821">
        <v>0</v>
      </c>
      <c r="BM25" s="1821">
        <v>-5.0576636555561176</v>
      </c>
      <c r="BN25" s="1821">
        <v>0</v>
      </c>
      <c r="BO25" s="1822">
        <v>-5.0576636555561176</v>
      </c>
      <c r="BP25" s="1197"/>
      <c r="BQ25" s="1823">
        <v>3.7838816978605028</v>
      </c>
      <c r="BR25" s="1823">
        <v>0</v>
      </c>
      <c r="BS25" s="1800">
        <v>3.7838816978605028</v>
      </c>
      <c r="BT25" s="1197"/>
      <c r="BU25" s="1801">
        <v>0</v>
      </c>
      <c r="BV25" s="1801"/>
      <c r="BW25" s="1197"/>
      <c r="BX25" s="1825">
        <v>0</v>
      </c>
      <c r="BY25" s="1825">
        <v>0</v>
      </c>
      <c r="BZ25" s="1825">
        <v>0</v>
      </c>
      <c r="CA25" s="1825">
        <v>0</v>
      </c>
      <c r="CB25" s="1825">
        <v>0</v>
      </c>
      <c r="CC25" s="1825">
        <v>0</v>
      </c>
      <c r="CD25" s="1825">
        <v>0</v>
      </c>
      <c r="CE25" s="1825">
        <v>0</v>
      </c>
      <c r="CF25" s="1825">
        <v>0</v>
      </c>
      <c r="CG25" s="1825">
        <v>0</v>
      </c>
      <c r="CH25" s="1825">
        <v>0</v>
      </c>
      <c r="CI25" s="1825">
        <v>0</v>
      </c>
      <c r="CJ25" s="1825">
        <v>0</v>
      </c>
      <c r="CK25" s="1825">
        <v>0</v>
      </c>
      <c r="CL25" s="1825">
        <v>0</v>
      </c>
      <c r="CM25" s="1825">
        <v>0</v>
      </c>
      <c r="CN25" s="1825">
        <v>0</v>
      </c>
      <c r="CO25" s="1825">
        <v>0</v>
      </c>
      <c r="CP25" s="1825">
        <v>0</v>
      </c>
      <c r="CQ25" s="1825">
        <v>0</v>
      </c>
      <c r="CR25" s="1825">
        <v>0</v>
      </c>
      <c r="CS25" s="1825">
        <v>0</v>
      </c>
      <c r="CT25" s="1825">
        <v>0</v>
      </c>
      <c r="CU25" s="1825">
        <v>0</v>
      </c>
      <c r="CV25" s="1825">
        <v>0</v>
      </c>
      <c r="CW25" s="1825">
        <v>0</v>
      </c>
      <c r="CX25" s="1825">
        <v>0</v>
      </c>
      <c r="CY25" s="1825">
        <v>0</v>
      </c>
      <c r="CZ25" s="1825">
        <v>0</v>
      </c>
      <c r="DA25" s="1825">
        <v>0</v>
      </c>
      <c r="DB25" s="1825">
        <v>0</v>
      </c>
      <c r="DC25" s="1825">
        <v>0</v>
      </c>
      <c r="DD25" s="1825">
        <v>0</v>
      </c>
      <c r="DE25" s="1825">
        <v>0</v>
      </c>
      <c r="DF25" s="1825">
        <v>0</v>
      </c>
      <c r="DG25" s="1825">
        <v>0</v>
      </c>
      <c r="DH25" s="1825">
        <v>0</v>
      </c>
      <c r="DI25" s="1825">
        <v>0</v>
      </c>
      <c r="DJ25" s="1825">
        <v>0</v>
      </c>
      <c r="DK25" s="1825">
        <v>0</v>
      </c>
      <c r="DL25" s="1825">
        <v>0</v>
      </c>
      <c r="DM25" s="1825">
        <v>0</v>
      </c>
      <c r="DN25" s="1825">
        <v>0</v>
      </c>
      <c r="DO25" s="1825">
        <v>0</v>
      </c>
      <c r="DP25" s="1197"/>
      <c r="DQ25" s="1842">
        <v>0</v>
      </c>
    </row>
    <row r="26" spans="1:121" s="1843" customFormat="1" ht="15" customHeight="1" outlineLevel="1">
      <c r="C26" s="1844" t="s">
        <v>4778</v>
      </c>
      <c r="D26" s="1805" t="s">
        <v>4813</v>
      </c>
      <c r="E26" s="1845"/>
      <c r="F26" s="1651"/>
      <c r="G26" s="1839">
        <v>0</v>
      </c>
      <c r="H26" s="1839">
        <v>0</v>
      </c>
      <c r="I26" s="1839">
        <v>0</v>
      </c>
      <c r="J26" s="1839">
        <v>0</v>
      </c>
      <c r="K26" s="1839">
        <v>0</v>
      </c>
      <c r="L26" s="1839">
        <v>0</v>
      </c>
      <c r="M26" s="1839">
        <v>0</v>
      </c>
      <c r="N26" s="1839">
        <v>0</v>
      </c>
      <c r="O26" s="1839">
        <v>0</v>
      </c>
      <c r="P26" s="1839">
        <v>0</v>
      </c>
      <c r="Q26" s="1839">
        <v>0</v>
      </c>
      <c r="R26" s="1839">
        <v>0</v>
      </c>
      <c r="S26" s="1839">
        <v>0</v>
      </c>
      <c r="T26" s="1807">
        <v>0</v>
      </c>
      <c r="U26" s="1846"/>
      <c r="V26" s="1840">
        <v>0</v>
      </c>
      <c r="W26" s="1840">
        <v>0</v>
      </c>
      <c r="X26" s="1841">
        <v>0</v>
      </c>
      <c r="Y26" s="1841">
        <v>0</v>
      </c>
      <c r="Z26" s="1840">
        <v>0</v>
      </c>
      <c r="AA26" s="1840">
        <v>0</v>
      </c>
      <c r="AB26" s="1840">
        <v>0</v>
      </c>
      <c r="AC26" s="1840">
        <v>0</v>
      </c>
      <c r="AD26" s="1840">
        <v>0</v>
      </c>
      <c r="AE26" s="1840">
        <v>0</v>
      </c>
      <c r="AF26" s="1840">
        <v>0</v>
      </c>
      <c r="AG26" s="1840">
        <v>0</v>
      </c>
      <c r="AH26" s="1840">
        <v>0</v>
      </c>
      <c r="AI26" s="1840">
        <v>2.5461073672831143</v>
      </c>
      <c r="AJ26" s="1840">
        <v>0</v>
      </c>
      <c r="AK26" s="1840">
        <v>0</v>
      </c>
      <c r="AL26" s="1840">
        <v>0</v>
      </c>
      <c r="AM26" s="1840">
        <v>0</v>
      </c>
      <c r="AN26" s="1840">
        <v>0</v>
      </c>
      <c r="AO26" s="1840">
        <v>0</v>
      </c>
      <c r="AP26" s="1840">
        <v>0</v>
      </c>
      <c r="AQ26" s="1840">
        <v>0</v>
      </c>
      <c r="AR26" s="1840">
        <v>0</v>
      </c>
      <c r="AS26" s="1840">
        <v>0</v>
      </c>
      <c r="AT26" s="1819">
        <v>2.5461073672831143</v>
      </c>
      <c r="AU26" s="1846"/>
      <c r="AV26" s="1821">
        <v>0</v>
      </c>
      <c r="AW26" s="1821">
        <v>0</v>
      </c>
      <c r="AX26" s="1821">
        <v>0</v>
      </c>
      <c r="AY26" s="1821">
        <v>0</v>
      </c>
      <c r="AZ26" s="1821">
        <v>0</v>
      </c>
      <c r="BA26" s="1821">
        <v>0</v>
      </c>
      <c r="BB26" s="1821">
        <v>0</v>
      </c>
      <c r="BC26" s="1821">
        <v>0</v>
      </c>
      <c r="BD26" s="1821">
        <v>0</v>
      </c>
      <c r="BE26" s="1821">
        <v>0</v>
      </c>
      <c r="BF26" s="1821">
        <v>0</v>
      </c>
      <c r="BG26" s="1821">
        <v>0</v>
      </c>
      <c r="BH26" s="1821">
        <v>0</v>
      </c>
      <c r="BI26" s="1821">
        <v>0</v>
      </c>
      <c r="BJ26" s="1821">
        <v>0</v>
      </c>
      <c r="BK26" s="1821">
        <v>0</v>
      </c>
      <c r="BL26" s="1821">
        <v>0</v>
      </c>
      <c r="BM26" s="1821">
        <v>-2.5461073672831143</v>
      </c>
      <c r="BN26" s="1821">
        <v>0</v>
      </c>
      <c r="BO26" s="1822">
        <v>-2.5461073672831143</v>
      </c>
      <c r="BP26" s="1846"/>
      <c r="BQ26" s="1823">
        <v>0</v>
      </c>
      <c r="BR26" s="1823">
        <v>0</v>
      </c>
      <c r="BS26" s="1800">
        <v>0</v>
      </c>
      <c r="BT26" s="1846"/>
      <c r="BU26" s="1847">
        <v>0</v>
      </c>
      <c r="BV26" s="1847"/>
      <c r="BW26" s="1848"/>
      <c r="BX26" s="1825">
        <v>0</v>
      </c>
      <c r="BY26" s="1825">
        <v>0</v>
      </c>
      <c r="BZ26" s="1825">
        <v>0</v>
      </c>
      <c r="CA26" s="1825">
        <v>0</v>
      </c>
      <c r="CB26" s="1825">
        <v>0</v>
      </c>
      <c r="CC26" s="1825">
        <v>0</v>
      </c>
      <c r="CD26" s="1825">
        <v>0</v>
      </c>
      <c r="CE26" s="1825">
        <v>0</v>
      </c>
      <c r="CF26" s="1825">
        <v>0</v>
      </c>
      <c r="CG26" s="1825">
        <v>0</v>
      </c>
      <c r="CH26" s="1825">
        <v>0</v>
      </c>
      <c r="CI26" s="1825">
        <v>0</v>
      </c>
      <c r="CJ26" s="1825">
        <v>0</v>
      </c>
      <c r="CK26" s="1825">
        <v>0</v>
      </c>
      <c r="CL26" s="1825">
        <v>0</v>
      </c>
      <c r="CM26" s="1825">
        <v>0</v>
      </c>
      <c r="CN26" s="1825">
        <v>0</v>
      </c>
      <c r="CO26" s="1825">
        <v>0</v>
      </c>
      <c r="CP26" s="1825">
        <v>0</v>
      </c>
      <c r="CQ26" s="1825">
        <v>0</v>
      </c>
      <c r="CR26" s="1825">
        <v>0</v>
      </c>
      <c r="CS26" s="1825">
        <v>0</v>
      </c>
      <c r="CT26" s="1825">
        <v>0</v>
      </c>
      <c r="CU26" s="1825">
        <v>0</v>
      </c>
      <c r="CV26" s="1825">
        <v>0</v>
      </c>
      <c r="CW26" s="1825">
        <v>0</v>
      </c>
      <c r="CX26" s="1825">
        <v>0</v>
      </c>
      <c r="CY26" s="1825">
        <v>0</v>
      </c>
      <c r="CZ26" s="1825">
        <v>0</v>
      </c>
      <c r="DA26" s="1825">
        <v>0</v>
      </c>
      <c r="DB26" s="1825">
        <v>0</v>
      </c>
      <c r="DC26" s="1825">
        <v>0</v>
      </c>
      <c r="DD26" s="1825">
        <v>0</v>
      </c>
      <c r="DE26" s="1825">
        <v>0</v>
      </c>
      <c r="DF26" s="1825">
        <v>0</v>
      </c>
      <c r="DG26" s="1825">
        <v>0</v>
      </c>
      <c r="DH26" s="1825">
        <v>0</v>
      </c>
      <c r="DI26" s="1825">
        <v>0</v>
      </c>
      <c r="DJ26" s="1825">
        <v>0</v>
      </c>
      <c r="DK26" s="1825">
        <v>0</v>
      </c>
      <c r="DL26" s="1825">
        <v>0</v>
      </c>
      <c r="DM26" s="1825">
        <v>0</v>
      </c>
      <c r="DN26" s="1825">
        <v>0</v>
      </c>
      <c r="DO26" s="1825">
        <v>0</v>
      </c>
      <c r="DP26" s="1848"/>
      <c r="DQ26" s="1842">
        <v>0</v>
      </c>
    </row>
    <row r="27" spans="1:121" s="1199" customFormat="1" ht="12.5" customHeight="1" outlineLevel="1">
      <c r="C27" s="1804" t="s">
        <v>4779</v>
      </c>
      <c r="D27" s="1805" t="s">
        <v>4814</v>
      </c>
      <c r="E27" s="1849"/>
      <c r="G27" s="1839">
        <v>0</v>
      </c>
      <c r="H27" s="1839">
        <v>0</v>
      </c>
      <c r="I27" s="1839">
        <v>0</v>
      </c>
      <c r="J27" s="1839">
        <v>0</v>
      </c>
      <c r="K27" s="1839">
        <v>0</v>
      </c>
      <c r="L27" s="1839">
        <v>0</v>
      </c>
      <c r="M27" s="1839">
        <v>0</v>
      </c>
      <c r="N27" s="1839">
        <v>0</v>
      </c>
      <c r="O27" s="1839">
        <v>0</v>
      </c>
      <c r="P27" s="1839">
        <v>0</v>
      </c>
      <c r="Q27" s="1839">
        <v>0</v>
      </c>
      <c r="R27" s="1839">
        <v>0</v>
      </c>
      <c r="S27" s="1839">
        <v>0</v>
      </c>
      <c r="T27" s="1807">
        <v>0</v>
      </c>
      <c r="U27" s="1197"/>
      <c r="V27" s="1840">
        <v>0</v>
      </c>
      <c r="W27" s="1840">
        <v>0</v>
      </c>
      <c r="X27" s="1841">
        <v>0</v>
      </c>
      <c r="Y27" s="1841">
        <v>0</v>
      </c>
      <c r="Z27" s="1840">
        <v>0</v>
      </c>
      <c r="AA27" s="1840">
        <v>0</v>
      </c>
      <c r="AB27" s="1840">
        <v>0</v>
      </c>
      <c r="AC27" s="1840">
        <v>0</v>
      </c>
      <c r="AD27" s="1840">
        <v>0</v>
      </c>
      <c r="AE27" s="1840">
        <v>0</v>
      </c>
      <c r="AF27" s="1840">
        <v>0</v>
      </c>
      <c r="AG27" s="1840">
        <v>0</v>
      </c>
      <c r="AH27" s="1840">
        <v>0</v>
      </c>
      <c r="AI27" s="1840">
        <v>3.6629406706792774E-5</v>
      </c>
      <c r="AJ27" s="1840">
        <v>0</v>
      </c>
      <c r="AK27" s="1840">
        <v>0</v>
      </c>
      <c r="AL27" s="1840">
        <v>0</v>
      </c>
      <c r="AM27" s="1840">
        <v>0</v>
      </c>
      <c r="AN27" s="1840">
        <v>0</v>
      </c>
      <c r="AO27" s="1840">
        <v>0</v>
      </c>
      <c r="AP27" s="1840">
        <v>0</v>
      </c>
      <c r="AQ27" s="1840">
        <v>0</v>
      </c>
      <c r="AR27" s="1840">
        <v>0</v>
      </c>
      <c r="AS27" s="1840">
        <v>0</v>
      </c>
      <c r="AT27" s="1819">
        <v>3.6629406706792774E-5</v>
      </c>
      <c r="AU27" s="1197"/>
      <c r="AV27" s="1821">
        <v>0</v>
      </c>
      <c r="AW27" s="1821">
        <v>0</v>
      </c>
      <c r="AX27" s="1821">
        <v>0</v>
      </c>
      <c r="AY27" s="1821">
        <v>0</v>
      </c>
      <c r="AZ27" s="1821">
        <v>0</v>
      </c>
      <c r="BA27" s="1821">
        <v>0</v>
      </c>
      <c r="BB27" s="1821">
        <v>0</v>
      </c>
      <c r="BC27" s="1821">
        <v>0</v>
      </c>
      <c r="BD27" s="1821">
        <v>0</v>
      </c>
      <c r="BE27" s="1821">
        <v>0</v>
      </c>
      <c r="BF27" s="1821">
        <v>0</v>
      </c>
      <c r="BG27" s="1821">
        <v>0</v>
      </c>
      <c r="BH27" s="1821">
        <v>0</v>
      </c>
      <c r="BI27" s="1821">
        <v>0</v>
      </c>
      <c r="BJ27" s="1821">
        <v>0</v>
      </c>
      <c r="BK27" s="1821">
        <v>0</v>
      </c>
      <c r="BL27" s="1821">
        <v>0</v>
      </c>
      <c r="BM27" s="1821">
        <v>-3.6629406706792774E-5</v>
      </c>
      <c r="BN27" s="1821">
        <v>0</v>
      </c>
      <c r="BO27" s="1822">
        <v>-3.6629406706792774E-5</v>
      </c>
      <c r="BP27" s="1197"/>
      <c r="BQ27" s="1823">
        <v>0</v>
      </c>
      <c r="BR27" s="1823">
        <v>0</v>
      </c>
      <c r="BS27" s="1800">
        <v>0</v>
      </c>
      <c r="BT27" s="1197"/>
      <c r="BU27" s="1847">
        <v>0</v>
      </c>
      <c r="BV27" s="1801"/>
      <c r="BW27" s="1815"/>
      <c r="BX27" s="1825">
        <v>0</v>
      </c>
      <c r="BY27" s="1825">
        <v>0</v>
      </c>
      <c r="BZ27" s="1825">
        <v>0</v>
      </c>
      <c r="CA27" s="1825">
        <v>0</v>
      </c>
      <c r="CB27" s="1825">
        <v>0</v>
      </c>
      <c r="CC27" s="1825">
        <v>0</v>
      </c>
      <c r="CD27" s="1825">
        <v>0</v>
      </c>
      <c r="CE27" s="1825">
        <v>0</v>
      </c>
      <c r="CF27" s="1825">
        <v>0</v>
      </c>
      <c r="CG27" s="1825">
        <v>0</v>
      </c>
      <c r="CH27" s="1825">
        <v>0</v>
      </c>
      <c r="CI27" s="1825">
        <v>0</v>
      </c>
      <c r="CJ27" s="1825">
        <v>0</v>
      </c>
      <c r="CK27" s="1825">
        <v>0</v>
      </c>
      <c r="CL27" s="1825">
        <v>0</v>
      </c>
      <c r="CM27" s="1825">
        <v>0</v>
      </c>
      <c r="CN27" s="1825">
        <v>0</v>
      </c>
      <c r="CO27" s="1825">
        <v>0</v>
      </c>
      <c r="CP27" s="1825">
        <v>0</v>
      </c>
      <c r="CQ27" s="1825">
        <v>0</v>
      </c>
      <c r="CR27" s="1825">
        <v>0</v>
      </c>
      <c r="CS27" s="1825">
        <v>0</v>
      </c>
      <c r="CT27" s="1825">
        <v>0</v>
      </c>
      <c r="CU27" s="1825">
        <v>0</v>
      </c>
      <c r="CV27" s="1825">
        <v>0</v>
      </c>
      <c r="CW27" s="1825">
        <v>0</v>
      </c>
      <c r="CX27" s="1825">
        <v>0</v>
      </c>
      <c r="CY27" s="1825">
        <v>0</v>
      </c>
      <c r="CZ27" s="1825">
        <v>0</v>
      </c>
      <c r="DA27" s="1825">
        <v>0</v>
      </c>
      <c r="DB27" s="1825">
        <v>0</v>
      </c>
      <c r="DC27" s="1825">
        <v>0</v>
      </c>
      <c r="DD27" s="1825">
        <v>0</v>
      </c>
      <c r="DE27" s="1825">
        <v>0</v>
      </c>
      <c r="DF27" s="1825">
        <v>0</v>
      </c>
      <c r="DG27" s="1825">
        <v>0</v>
      </c>
      <c r="DH27" s="1825">
        <v>0</v>
      </c>
      <c r="DI27" s="1825">
        <v>0</v>
      </c>
      <c r="DJ27" s="1825">
        <v>0</v>
      </c>
      <c r="DK27" s="1825">
        <v>0</v>
      </c>
      <c r="DL27" s="1825">
        <v>0</v>
      </c>
      <c r="DM27" s="1825">
        <v>0</v>
      </c>
      <c r="DN27" s="1825">
        <v>0</v>
      </c>
      <c r="DO27" s="1825">
        <v>0</v>
      </c>
      <c r="DP27" s="1197"/>
      <c r="DQ27" s="1842">
        <v>0</v>
      </c>
    </row>
    <row r="28" spans="1:121" s="1199" customFormat="1" ht="12.5" customHeight="1">
      <c r="C28" s="1850" t="s">
        <v>4115</v>
      </c>
      <c r="D28" s="1205" t="s">
        <v>45</v>
      </c>
      <c r="E28" s="1849"/>
      <c r="G28" s="1839">
        <v>0</v>
      </c>
      <c r="H28" s="1839">
        <v>0</v>
      </c>
      <c r="I28" s="1839">
        <v>0</v>
      </c>
      <c r="J28" s="1839">
        <v>0</v>
      </c>
      <c r="K28" s="1839">
        <v>0</v>
      </c>
      <c r="L28" s="1839">
        <v>0</v>
      </c>
      <c r="M28" s="1839">
        <v>0</v>
      </c>
      <c r="N28" s="1839">
        <v>0</v>
      </c>
      <c r="O28" s="1839">
        <v>0</v>
      </c>
      <c r="P28" s="1839">
        <v>0</v>
      </c>
      <c r="Q28" s="1839">
        <v>0</v>
      </c>
      <c r="R28" s="1839">
        <v>0</v>
      </c>
      <c r="S28" s="1839">
        <v>0</v>
      </c>
      <c r="T28" s="1807">
        <v>0</v>
      </c>
      <c r="U28" s="1197"/>
      <c r="V28" s="1840">
        <v>0</v>
      </c>
      <c r="W28" s="1840">
        <v>1.2737819576956146</v>
      </c>
      <c r="X28" s="1840">
        <v>0</v>
      </c>
      <c r="Y28" s="1840">
        <v>0</v>
      </c>
      <c r="Z28" s="1840">
        <v>0</v>
      </c>
      <c r="AA28" s="1840">
        <v>0</v>
      </c>
      <c r="AB28" s="1840">
        <v>0</v>
      </c>
      <c r="AC28" s="1840">
        <v>0</v>
      </c>
      <c r="AD28" s="1840">
        <v>0</v>
      </c>
      <c r="AE28" s="1840">
        <v>0</v>
      </c>
      <c r="AF28" s="1840">
        <v>0</v>
      </c>
      <c r="AG28" s="1840">
        <v>0</v>
      </c>
      <c r="AH28" s="1840">
        <v>0</v>
      </c>
      <c r="AI28" s="1840">
        <v>2.5461439966898212</v>
      </c>
      <c r="AJ28" s="1840">
        <v>0</v>
      </c>
      <c r="AK28" s="1840">
        <v>0</v>
      </c>
      <c r="AL28" s="1840">
        <v>0</v>
      </c>
      <c r="AM28" s="1840">
        <v>0</v>
      </c>
      <c r="AN28" s="1840">
        <v>0</v>
      </c>
      <c r="AO28" s="1840">
        <v>0</v>
      </c>
      <c r="AP28" s="1840">
        <v>0</v>
      </c>
      <c r="AQ28" s="1840">
        <v>0</v>
      </c>
      <c r="AR28" s="1840">
        <v>0</v>
      </c>
      <c r="AS28" s="1840">
        <v>0</v>
      </c>
      <c r="AT28" s="1819">
        <v>3.819925954385436</v>
      </c>
      <c r="AU28" s="1197"/>
      <c r="AV28" s="1821">
        <v>0</v>
      </c>
      <c r="AW28" s="1821">
        <v>0</v>
      </c>
      <c r="AX28" s="1821">
        <v>0</v>
      </c>
      <c r="AY28" s="1821">
        <v>0</v>
      </c>
      <c r="AZ28" s="1821">
        <v>0</v>
      </c>
      <c r="BA28" s="1821">
        <v>0</v>
      </c>
      <c r="BB28" s="1821">
        <v>0</v>
      </c>
      <c r="BC28" s="1821">
        <v>0</v>
      </c>
      <c r="BD28" s="1821">
        <v>0</v>
      </c>
      <c r="BE28" s="1821">
        <v>0</v>
      </c>
      <c r="BF28" s="1821">
        <v>0</v>
      </c>
      <c r="BG28" s="1821">
        <v>0</v>
      </c>
      <c r="BH28" s="1821">
        <v>0</v>
      </c>
      <c r="BI28" s="1821">
        <v>0</v>
      </c>
      <c r="BJ28" s="1821">
        <v>0</v>
      </c>
      <c r="BK28" s="1821">
        <v>0</v>
      </c>
      <c r="BL28" s="1821">
        <v>0</v>
      </c>
      <c r="BM28" s="1821">
        <v>-7.6038076522459388</v>
      </c>
      <c r="BN28" s="1821">
        <v>0</v>
      </c>
      <c r="BO28" s="1822">
        <v>-7.6038076522459388</v>
      </c>
      <c r="BP28" s="1197"/>
      <c r="BQ28" s="1823">
        <v>3.7838816978605028</v>
      </c>
      <c r="BR28" s="1823">
        <v>0</v>
      </c>
      <c r="BS28" s="1800">
        <v>3.7838816978605028</v>
      </c>
      <c r="BT28" s="1197"/>
      <c r="BU28" s="1847">
        <v>0</v>
      </c>
      <c r="BV28" s="1801"/>
      <c r="BW28" s="1815"/>
      <c r="BX28" s="1825">
        <v>0</v>
      </c>
      <c r="BY28" s="1825">
        <v>0</v>
      </c>
      <c r="BZ28" s="1825">
        <v>0</v>
      </c>
      <c r="CA28" s="1825">
        <v>0</v>
      </c>
      <c r="CB28" s="1825">
        <v>0</v>
      </c>
      <c r="CC28" s="1825">
        <v>0</v>
      </c>
      <c r="CD28" s="1825">
        <v>0</v>
      </c>
      <c r="CE28" s="1825">
        <v>0</v>
      </c>
      <c r="CF28" s="1825">
        <v>0</v>
      </c>
      <c r="CG28" s="1825">
        <v>0</v>
      </c>
      <c r="CH28" s="1825">
        <v>0</v>
      </c>
      <c r="CI28" s="1825">
        <v>0</v>
      </c>
      <c r="CJ28" s="1825">
        <v>0</v>
      </c>
      <c r="CK28" s="1825">
        <v>0</v>
      </c>
      <c r="CL28" s="1825">
        <v>0</v>
      </c>
      <c r="CM28" s="1825">
        <v>0</v>
      </c>
      <c r="CN28" s="1825">
        <v>0</v>
      </c>
      <c r="CO28" s="1825">
        <v>0</v>
      </c>
      <c r="CP28" s="1825">
        <v>0</v>
      </c>
      <c r="CQ28" s="1825">
        <v>0</v>
      </c>
      <c r="CR28" s="1825">
        <v>0</v>
      </c>
      <c r="CS28" s="1825">
        <v>0</v>
      </c>
      <c r="CT28" s="1825">
        <v>0</v>
      </c>
      <c r="CU28" s="1825">
        <v>0</v>
      </c>
      <c r="CV28" s="1825">
        <v>0</v>
      </c>
      <c r="CW28" s="1825">
        <v>0</v>
      </c>
      <c r="CX28" s="1825">
        <v>0</v>
      </c>
      <c r="CY28" s="1825">
        <v>0</v>
      </c>
      <c r="CZ28" s="1825">
        <v>0</v>
      </c>
      <c r="DA28" s="1825">
        <v>0</v>
      </c>
      <c r="DB28" s="1825">
        <v>0</v>
      </c>
      <c r="DC28" s="1825">
        <v>0</v>
      </c>
      <c r="DD28" s="1825">
        <v>0</v>
      </c>
      <c r="DE28" s="1825">
        <v>0</v>
      </c>
      <c r="DF28" s="1825">
        <v>0</v>
      </c>
      <c r="DG28" s="1825">
        <v>0</v>
      </c>
      <c r="DH28" s="1825">
        <v>0</v>
      </c>
      <c r="DI28" s="1825">
        <v>0</v>
      </c>
      <c r="DJ28" s="1825">
        <v>0</v>
      </c>
      <c r="DK28" s="1825">
        <v>0</v>
      </c>
      <c r="DL28" s="1825">
        <v>0</v>
      </c>
      <c r="DM28" s="1825">
        <v>0</v>
      </c>
      <c r="DN28" s="1825">
        <v>0</v>
      </c>
      <c r="DO28" s="1825">
        <v>0</v>
      </c>
      <c r="DP28" s="1197"/>
      <c r="DQ28" s="1842">
        <v>0</v>
      </c>
    </row>
    <row r="29" spans="1:121" s="1199" customFormat="1" ht="14.25" customHeight="1" outlineLevel="1">
      <c r="A29" s="1803"/>
      <c r="B29" s="1803"/>
      <c r="C29" s="1804" t="s">
        <v>4082</v>
      </c>
      <c r="D29" s="1805" t="s">
        <v>4083</v>
      </c>
      <c r="E29" s="1805"/>
      <c r="G29" s="1839">
        <v>0</v>
      </c>
      <c r="H29" s="1839">
        <v>0</v>
      </c>
      <c r="I29" s="1839">
        <v>0</v>
      </c>
      <c r="J29" s="1839">
        <v>0</v>
      </c>
      <c r="K29" s="1839">
        <v>0</v>
      </c>
      <c r="L29" s="1839">
        <v>0</v>
      </c>
      <c r="M29" s="1839">
        <v>0</v>
      </c>
      <c r="N29" s="1839">
        <v>0</v>
      </c>
      <c r="O29" s="1839">
        <v>0</v>
      </c>
      <c r="P29" s="1839">
        <v>0</v>
      </c>
      <c r="Q29" s="1839">
        <v>0</v>
      </c>
      <c r="R29" s="1839">
        <v>0</v>
      </c>
      <c r="S29" s="1839">
        <v>0</v>
      </c>
      <c r="T29" s="1807">
        <v>0</v>
      </c>
      <c r="U29" s="1197"/>
      <c r="V29" s="1840">
        <v>0</v>
      </c>
      <c r="W29" s="1840">
        <v>0.10165749372141958</v>
      </c>
      <c r="X29" s="1841">
        <v>0</v>
      </c>
      <c r="Y29" s="1841">
        <v>0</v>
      </c>
      <c r="Z29" s="1840">
        <v>6.4798949042816113E-9</v>
      </c>
      <c r="AA29" s="1840">
        <v>0</v>
      </c>
      <c r="AB29" s="1840">
        <v>3.4068348593556358E-10</v>
      </c>
      <c r="AC29" s="1840">
        <v>0</v>
      </c>
      <c r="AD29" s="1840">
        <v>0</v>
      </c>
      <c r="AE29" s="1840">
        <v>0</v>
      </c>
      <c r="AF29" s="1840">
        <v>0</v>
      </c>
      <c r="AG29" s="1840">
        <v>0</v>
      </c>
      <c r="AH29" s="1840">
        <v>0</v>
      </c>
      <c r="AI29" s="1840">
        <v>0</v>
      </c>
      <c r="AJ29" s="1840">
        <v>0</v>
      </c>
      <c r="AK29" s="1840">
        <v>0</v>
      </c>
      <c r="AL29" s="1840">
        <v>0</v>
      </c>
      <c r="AM29" s="1840">
        <v>0</v>
      </c>
      <c r="AN29" s="1840">
        <v>0</v>
      </c>
      <c r="AO29" s="1840">
        <v>0</v>
      </c>
      <c r="AP29" s="1840">
        <v>0</v>
      </c>
      <c r="AQ29" s="1840">
        <v>0</v>
      </c>
      <c r="AR29" s="1840">
        <v>0</v>
      </c>
      <c r="AS29" s="1840">
        <v>0</v>
      </c>
      <c r="AT29" s="1819">
        <v>0.10165750054199796</v>
      </c>
      <c r="AU29" s="1197"/>
      <c r="AV29" s="1821">
        <v>0</v>
      </c>
      <c r="AW29" s="1821">
        <v>0</v>
      </c>
      <c r="AX29" s="1821">
        <v>0</v>
      </c>
      <c r="AY29" s="1821">
        <v>0</v>
      </c>
      <c r="AZ29" s="1821">
        <v>0</v>
      </c>
      <c r="BA29" s="1821">
        <v>0</v>
      </c>
      <c r="BB29" s="1821">
        <v>0</v>
      </c>
      <c r="BC29" s="1821">
        <v>0</v>
      </c>
      <c r="BD29" s="1821">
        <v>0</v>
      </c>
      <c r="BE29" s="1821">
        <v>0</v>
      </c>
      <c r="BF29" s="1821">
        <v>0</v>
      </c>
      <c r="BG29" s="1821">
        <v>0</v>
      </c>
      <c r="BH29" s="1821">
        <v>0</v>
      </c>
      <c r="BI29" s="1821">
        <v>0</v>
      </c>
      <c r="BJ29" s="1821">
        <v>0</v>
      </c>
      <c r="BK29" s="1821">
        <v>0</v>
      </c>
      <c r="BL29" s="1821">
        <v>0</v>
      </c>
      <c r="BM29" s="1821">
        <v>0</v>
      </c>
      <c r="BN29" s="1821">
        <v>-0.40662998170625669</v>
      </c>
      <c r="BO29" s="1822">
        <v>-0.40662998170625669</v>
      </c>
      <c r="BP29" s="1197"/>
      <c r="BQ29" s="1823">
        <v>0.30497248116425874</v>
      </c>
      <c r="BR29" s="1823">
        <v>0</v>
      </c>
      <c r="BS29" s="1800">
        <v>0.30497248116425874</v>
      </c>
      <c r="BT29" s="1197"/>
      <c r="BU29" s="1814">
        <v>0</v>
      </c>
      <c r="BV29" s="1814"/>
      <c r="BW29" s="1815"/>
      <c r="BX29" s="1825">
        <v>0</v>
      </c>
      <c r="BY29" s="1826">
        <v>0</v>
      </c>
      <c r="BZ29" s="1826">
        <v>0</v>
      </c>
      <c r="CA29" s="1826">
        <v>0</v>
      </c>
      <c r="CB29" s="1826">
        <v>0</v>
      </c>
      <c r="CC29" s="1826">
        <v>0</v>
      </c>
      <c r="CD29" s="1826">
        <v>0</v>
      </c>
      <c r="CE29" s="1826">
        <v>0</v>
      </c>
      <c r="CF29" s="1826">
        <v>0</v>
      </c>
      <c r="CG29" s="1826">
        <v>0</v>
      </c>
      <c r="CH29" s="1826">
        <v>0</v>
      </c>
      <c r="CI29" s="1826">
        <v>0</v>
      </c>
      <c r="CJ29" s="1826">
        <v>0</v>
      </c>
      <c r="CK29" s="1826">
        <v>0</v>
      </c>
      <c r="CL29" s="1826">
        <v>0</v>
      </c>
      <c r="CM29" s="1826">
        <v>0</v>
      </c>
      <c r="CN29" s="1826">
        <v>0</v>
      </c>
      <c r="CO29" s="1826">
        <v>0</v>
      </c>
      <c r="CP29" s="1826">
        <v>0</v>
      </c>
      <c r="CQ29" s="1826">
        <v>0</v>
      </c>
      <c r="CR29" s="1826">
        <v>0</v>
      </c>
      <c r="CS29" s="1826">
        <v>0</v>
      </c>
      <c r="CT29" s="1826">
        <v>0</v>
      </c>
      <c r="CU29" s="1826">
        <v>0</v>
      </c>
      <c r="CV29" s="1826">
        <v>0</v>
      </c>
      <c r="CW29" s="1826">
        <v>0</v>
      </c>
      <c r="CX29" s="1826">
        <v>0</v>
      </c>
      <c r="CY29" s="1826">
        <v>0</v>
      </c>
      <c r="CZ29" s="1826">
        <v>0</v>
      </c>
      <c r="DA29" s="1826">
        <v>0</v>
      </c>
      <c r="DB29" s="1826">
        <v>0</v>
      </c>
      <c r="DC29" s="1826">
        <v>0</v>
      </c>
      <c r="DD29" s="1826">
        <v>0</v>
      </c>
      <c r="DE29" s="1826">
        <v>0</v>
      </c>
      <c r="DF29" s="1826">
        <v>0</v>
      </c>
      <c r="DG29" s="1826">
        <v>0</v>
      </c>
      <c r="DH29" s="1826">
        <v>0</v>
      </c>
      <c r="DI29" s="1826">
        <v>0</v>
      </c>
      <c r="DJ29" s="1826">
        <v>0</v>
      </c>
      <c r="DK29" s="1826">
        <v>0</v>
      </c>
      <c r="DL29" s="1826">
        <v>0</v>
      </c>
      <c r="DM29" s="1826">
        <v>0</v>
      </c>
      <c r="DN29" s="1826">
        <v>0</v>
      </c>
      <c r="DO29" s="1826">
        <v>0</v>
      </c>
      <c r="DP29" s="1197"/>
      <c r="DQ29" s="1226">
        <v>0</v>
      </c>
    </row>
    <row r="30" spans="1:121" s="1199" customFormat="1" ht="16">
      <c r="B30" s="1789"/>
      <c r="C30" s="1653" t="s">
        <v>4116</v>
      </c>
      <c r="D30" s="1205" t="s">
        <v>3980</v>
      </c>
      <c r="G30" s="1779">
        <v>0</v>
      </c>
      <c r="H30" s="1779">
        <v>0</v>
      </c>
      <c r="I30" s="1779">
        <v>0</v>
      </c>
      <c r="J30" s="1779">
        <v>0</v>
      </c>
      <c r="K30" s="1779">
        <v>0</v>
      </c>
      <c r="L30" s="1779">
        <v>0</v>
      </c>
      <c r="M30" s="1779">
        <v>0</v>
      </c>
      <c r="N30" s="1779">
        <v>0</v>
      </c>
      <c r="O30" s="1779">
        <v>0</v>
      </c>
      <c r="P30" s="1779">
        <v>0</v>
      </c>
      <c r="Q30" s="1779">
        <v>0</v>
      </c>
      <c r="R30" s="1779">
        <v>0</v>
      </c>
      <c r="S30" s="1779">
        <v>0</v>
      </c>
      <c r="T30" s="1807">
        <v>0</v>
      </c>
      <c r="U30" s="1197"/>
      <c r="V30" s="1797">
        <v>0</v>
      </c>
      <c r="W30" s="1797">
        <v>0.10165749372141958</v>
      </c>
      <c r="X30" s="1798">
        <v>0</v>
      </c>
      <c r="Y30" s="1798">
        <v>0</v>
      </c>
      <c r="Z30" s="1797">
        <v>6.4798949042816113E-9</v>
      </c>
      <c r="AA30" s="1797">
        <v>0</v>
      </c>
      <c r="AB30" s="1797">
        <v>3.4068348593556358E-10</v>
      </c>
      <c r="AC30" s="1797">
        <v>0</v>
      </c>
      <c r="AD30" s="1797">
        <v>0</v>
      </c>
      <c r="AE30" s="1797">
        <v>0</v>
      </c>
      <c r="AF30" s="1797">
        <v>0</v>
      </c>
      <c r="AG30" s="1797">
        <v>0</v>
      </c>
      <c r="AH30" s="1797">
        <v>0</v>
      </c>
      <c r="AI30" s="1797">
        <v>0</v>
      </c>
      <c r="AJ30" s="1797">
        <v>0</v>
      </c>
      <c r="AK30" s="1797">
        <v>0</v>
      </c>
      <c r="AL30" s="1797">
        <v>0</v>
      </c>
      <c r="AM30" s="1797">
        <v>0</v>
      </c>
      <c r="AN30" s="1797">
        <v>0</v>
      </c>
      <c r="AO30" s="1797">
        <v>0</v>
      </c>
      <c r="AP30" s="1797">
        <v>0</v>
      </c>
      <c r="AQ30" s="1797">
        <v>0</v>
      </c>
      <c r="AR30" s="1797">
        <v>0</v>
      </c>
      <c r="AS30" s="1797">
        <v>0</v>
      </c>
      <c r="AT30" s="1819">
        <v>0.10165750054199796</v>
      </c>
      <c r="AU30" s="1197"/>
      <c r="AV30" s="1799">
        <v>0</v>
      </c>
      <c r="AW30" s="1799">
        <v>0</v>
      </c>
      <c r="AX30" s="1799">
        <v>0</v>
      </c>
      <c r="AY30" s="1799">
        <v>0</v>
      </c>
      <c r="AZ30" s="1799">
        <v>0</v>
      </c>
      <c r="BA30" s="1799">
        <v>0</v>
      </c>
      <c r="BB30" s="1799">
        <v>0</v>
      </c>
      <c r="BC30" s="1799">
        <v>0</v>
      </c>
      <c r="BD30" s="1799">
        <v>0</v>
      </c>
      <c r="BE30" s="1799">
        <v>0</v>
      </c>
      <c r="BF30" s="1799">
        <v>0</v>
      </c>
      <c r="BG30" s="1799">
        <v>0</v>
      </c>
      <c r="BH30" s="1799">
        <v>0</v>
      </c>
      <c r="BI30" s="1799">
        <v>0</v>
      </c>
      <c r="BJ30" s="1799">
        <v>0</v>
      </c>
      <c r="BK30" s="1799">
        <v>0</v>
      </c>
      <c r="BL30" s="1799">
        <v>0</v>
      </c>
      <c r="BM30" s="1799">
        <v>0</v>
      </c>
      <c r="BN30" s="1799">
        <v>-0.40662998170625669</v>
      </c>
      <c r="BO30" s="1799">
        <v>-0.40662998170625669</v>
      </c>
      <c r="BP30" s="1197"/>
      <c r="BQ30" s="1800">
        <v>0.30497248116425874</v>
      </c>
      <c r="BR30" s="1800">
        <v>0</v>
      </c>
      <c r="BS30" s="1800">
        <v>0.30497248116425874</v>
      </c>
      <c r="BT30" s="1197"/>
      <c r="BU30" s="1801">
        <v>0</v>
      </c>
      <c r="BV30" s="1801"/>
      <c r="BW30" s="1815"/>
      <c r="BX30" s="1817">
        <v>0</v>
      </c>
      <c r="BY30" s="1817">
        <v>0</v>
      </c>
      <c r="BZ30" s="1817">
        <v>0</v>
      </c>
      <c r="CA30" s="1817">
        <v>0</v>
      </c>
      <c r="CB30" s="1817">
        <v>0</v>
      </c>
      <c r="CC30" s="1817">
        <v>0</v>
      </c>
      <c r="CD30" s="1817">
        <v>0</v>
      </c>
      <c r="CE30" s="1817">
        <v>0</v>
      </c>
      <c r="CF30" s="1817">
        <v>0</v>
      </c>
      <c r="CG30" s="1817">
        <v>0</v>
      </c>
      <c r="CH30" s="1817">
        <v>0</v>
      </c>
      <c r="CI30" s="1817">
        <v>0</v>
      </c>
      <c r="CJ30" s="1817">
        <v>0</v>
      </c>
      <c r="CK30" s="1817">
        <v>0</v>
      </c>
      <c r="CL30" s="1817">
        <v>0</v>
      </c>
      <c r="CM30" s="1817">
        <v>0</v>
      </c>
      <c r="CN30" s="1817">
        <v>0</v>
      </c>
      <c r="CO30" s="1817">
        <v>0</v>
      </c>
      <c r="CP30" s="1817">
        <v>0</v>
      </c>
      <c r="CQ30" s="1817">
        <v>0</v>
      </c>
      <c r="CR30" s="1817">
        <v>0</v>
      </c>
      <c r="CS30" s="1817">
        <v>0</v>
      </c>
      <c r="CT30" s="1817">
        <v>0</v>
      </c>
      <c r="CU30" s="1817">
        <v>0</v>
      </c>
      <c r="CV30" s="1817">
        <v>0</v>
      </c>
      <c r="CW30" s="1817">
        <v>0</v>
      </c>
      <c r="CX30" s="1817">
        <v>0</v>
      </c>
      <c r="CY30" s="1817">
        <v>0</v>
      </c>
      <c r="CZ30" s="1817">
        <v>0</v>
      </c>
      <c r="DA30" s="1817">
        <v>0</v>
      </c>
      <c r="DB30" s="1817">
        <v>0</v>
      </c>
      <c r="DC30" s="1817">
        <v>0</v>
      </c>
      <c r="DD30" s="1817">
        <v>0</v>
      </c>
      <c r="DE30" s="1817">
        <v>0</v>
      </c>
      <c r="DF30" s="1817">
        <v>0</v>
      </c>
      <c r="DG30" s="1817">
        <v>0</v>
      </c>
      <c r="DH30" s="1817">
        <v>0</v>
      </c>
      <c r="DI30" s="1817">
        <v>0</v>
      </c>
      <c r="DJ30" s="1817">
        <v>0</v>
      </c>
      <c r="DK30" s="1817">
        <v>0</v>
      </c>
      <c r="DL30" s="1817">
        <v>0</v>
      </c>
      <c r="DM30" s="1817">
        <v>0</v>
      </c>
      <c r="DN30" s="1817">
        <v>0</v>
      </c>
      <c r="DO30" s="1817">
        <v>0</v>
      </c>
      <c r="DP30" s="1197"/>
      <c r="DQ30" s="1226">
        <v>0</v>
      </c>
    </row>
    <row r="31" spans="1:121" s="1199" customFormat="1" ht="15" outlineLevel="1">
      <c r="A31" s="1803"/>
      <c r="B31" s="1803"/>
      <c r="C31" s="1851" t="s">
        <v>4780</v>
      </c>
      <c r="D31" s="1805" t="s">
        <v>4815</v>
      </c>
      <c r="E31" s="1852"/>
      <c r="G31" s="1853">
        <v>0</v>
      </c>
      <c r="H31" s="1853">
        <v>0</v>
      </c>
      <c r="I31" s="1853">
        <v>0</v>
      </c>
      <c r="J31" s="1853">
        <v>0</v>
      </c>
      <c r="K31" s="1853">
        <v>0</v>
      </c>
      <c r="L31" s="1853">
        <v>0</v>
      </c>
      <c r="M31" s="1853">
        <v>0</v>
      </c>
      <c r="N31" s="1853">
        <v>0</v>
      </c>
      <c r="O31" s="1853">
        <v>0</v>
      </c>
      <c r="P31" s="1853">
        <v>0</v>
      </c>
      <c r="Q31" s="1853">
        <v>0</v>
      </c>
      <c r="R31" s="1853">
        <v>0</v>
      </c>
      <c r="S31" s="1853">
        <v>0</v>
      </c>
      <c r="T31" s="1807">
        <v>0</v>
      </c>
      <c r="U31" s="1197"/>
      <c r="V31" s="1854">
        <v>0</v>
      </c>
      <c r="W31" s="1854">
        <v>0</v>
      </c>
      <c r="X31" s="1855">
        <v>0</v>
      </c>
      <c r="Y31" s="1855">
        <v>0</v>
      </c>
      <c r="Z31" s="1854">
        <v>0</v>
      </c>
      <c r="AA31" s="1854">
        <v>0</v>
      </c>
      <c r="AB31" s="1854">
        <v>0</v>
      </c>
      <c r="AC31" s="1854">
        <v>0</v>
      </c>
      <c r="AD31" s="1854">
        <v>0</v>
      </c>
      <c r="AE31" s="1854">
        <v>0</v>
      </c>
      <c r="AF31" s="1854">
        <v>0</v>
      </c>
      <c r="AG31" s="1854">
        <v>24.447199813865218</v>
      </c>
      <c r="AH31" s="1854">
        <v>0</v>
      </c>
      <c r="AI31" s="1854">
        <v>0</v>
      </c>
      <c r="AJ31" s="1854">
        <v>0</v>
      </c>
      <c r="AK31" s="1854">
        <v>0</v>
      </c>
      <c r="AL31" s="1854">
        <v>0</v>
      </c>
      <c r="AM31" s="1854">
        <v>0</v>
      </c>
      <c r="AN31" s="1854">
        <v>0</v>
      </c>
      <c r="AO31" s="1854">
        <v>0</v>
      </c>
      <c r="AP31" s="1854">
        <v>0</v>
      </c>
      <c r="AQ31" s="1854">
        <v>0</v>
      </c>
      <c r="AR31" s="1854">
        <v>0</v>
      </c>
      <c r="AS31" s="1854">
        <v>0</v>
      </c>
      <c r="AT31" s="1819">
        <v>24.447199813865218</v>
      </c>
      <c r="AU31" s="1197"/>
      <c r="AV31" s="1810">
        <v>0</v>
      </c>
      <c r="AW31" s="1810">
        <v>0</v>
      </c>
      <c r="AX31" s="1810">
        <v>-24.447199813865218</v>
      </c>
      <c r="AY31" s="1810">
        <v>0</v>
      </c>
      <c r="AZ31" s="1810">
        <v>0</v>
      </c>
      <c r="BA31" s="1810">
        <v>0</v>
      </c>
      <c r="BB31" s="1810">
        <v>0</v>
      </c>
      <c r="BC31" s="1810">
        <v>0</v>
      </c>
      <c r="BD31" s="1810">
        <v>0</v>
      </c>
      <c r="BE31" s="1810">
        <v>0</v>
      </c>
      <c r="BF31" s="1810">
        <v>0</v>
      </c>
      <c r="BG31" s="1810">
        <v>0</v>
      </c>
      <c r="BH31" s="1810">
        <v>0</v>
      </c>
      <c r="BI31" s="1810">
        <v>0</v>
      </c>
      <c r="BJ31" s="1810">
        <v>0</v>
      </c>
      <c r="BK31" s="1810">
        <v>0</v>
      </c>
      <c r="BL31" s="1810">
        <v>0</v>
      </c>
      <c r="BM31" s="1810">
        <v>0</v>
      </c>
      <c r="BN31" s="1810">
        <v>0</v>
      </c>
      <c r="BO31" s="1811">
        <v>-24.447199813865218</v>
      </c>
      <c r="BP31" s="1197"/>
      <c r="BQ31" s="1812">
        <v>0</v>
      </c>
      <c r="BR31" s="1812">
        <v>0</v>
      </c>
      <c r="BS31" s="1800">
        <v>0</v>
      </c>
      <c r="BT31" s="1197"/>
      <c r="BU31" s="1814">
        <v>0</v>
      </c>
      <c r="BV31" s="1814"/>
      <c r="BW31" s="1815"/>
      <c r="BX31" s="1816">
        <v>0</v>
      </c>
      <c r="BY31" s="1817">
        <v>0</v>
      </c>
      <c r="BZ31" s="1817">
        <v>0</v>
      </c>
      <c r="CA31" s="1817">
        <v>0</v>
      </c>
      <c r="CB31" s="1817">
        <v>0</v>
      </c>
      <c r="CC31" s="1817">
        <v>12.196306959482612</v>
      </c>
      <c r="CD31" s="1817">
        <v>0</v>
      </c>
      <c r="CE31" s="1817">
        <v>0</v>
      </c>
      <c r="CF31" s="1817">
        <v>0</v>
      </c>
      <c r="CG31" s="1817">
        <v>0</v>
      </c>
      <c r="CH31" s="1817">
        <v>0</v>
      </c>
      <c r="CI31" s="1817">
        <v>0</v>
      </c>
      <c r="CJ31" s="1817">
        <v>0</v>
      </c>
      <c r="CK31" s="1817">
        <v>0</v>
      </c>
      <c r="CL31" s="1817">
        <v>0</v>
      </c>
      <c r="CM31" s="1817">
        <v>0</v>
      </c>
      <c r="CN31" s="1817">
        <v>0</v>
      </c>
      <c r="CO31" s="1817">
        <v>0</v>
      </c>
      <c r="CP31" s="1817">
        <v>0</v>
      </c>
      <c r="CQ31" s="1817">
        <v>0</v>
      </c>
      <c r="CR31" s="1817">
        <v>0</v>
      </c>
      <c r="CS31" s="1817">
        <v>0</v>
      </c>
      <c r="CT31" s="1817">
        <v>0</v>
      </c>
      <c r="CU31" s="1817">
        <v>0</v>
      </c>
      <c r="CV31" s="1817">
        <v>0</v>
      </c>
      <c r="CW31" s="1817">
        <v>0</v>
      </c>
      <c r="CX31" s="1817">
        <v>0</v>
      </c>
      <c r="CY31" s="1817">
        <v>0</v>
      </c>
      <c r="CZ31" s="1817">
        <v>0</v>
      </c>
      <c r="DA31" s="1817">
        <v>0</v>
      </c>
      <c r="DB31" s="1817">
        <v>0</v>
      </c>
      <c r="DC31" s="1817">
        <v>0</v>
      </c>
      <c r="DD31" s="1817">
        <v>0</v>
      </c>
      <c r="DE31" s="1817">
        <v>0</v>
      </c>
      <c r="DF31" s="1817">
        <v>0</v>
      </c>
      <c r="DG31" s="1817">
        <v>0</v>
      </c>
      <c r="DH31" s="1817">
        <v>0</v>
      </c>
      <c r="DI31" s="1817">
        <v>0</v>
      </c>
      <c r="DJ31" s="1817">
        <v>0</v>
      </c>
      <c r="DK31" s="1817">
        <v>0</v>
      </c>
      <c r="DL31" s="1817">
        <v>0</v>
      </c>
      <c r="DM31" s="1817">
        <v>0</v>
      </c>
      <c r="DN31" s="1817">
        <v>0</v>
      </c>
      <c r="DO31" s="1817">
        <v>0</v>
      </c>
      <c r="DP31" s="1197"/>
      <c r="DQ31" s="1226">
        <v>12.196306959482612</v>
      </c>
    </row>
    <row r="32" spans="1:121" s="1199" customFormat="1" ht="15" outlineLevel="1">
      <c r="A32" s="1803"/>
      <c r="B32" s="1803"/>
      <c r="C32" s="1851" t="s">
        <v>4781</v>
      </c>
      <c r="D32" s="1805" t="s">
        <v>4816</v>
      </c>
      <c r="E32" s="1805"/>
      <c r="G32" s="1853">
        <v>0</v>
      </c>
      <c r="H32" s="1853">
        <v>0</v>
      </c>
      <c r="I32" s="1853">
        <v>0</v>
      </c>
      <c r="J32" s="1853">
        <v>0</v>
      </c>
      <c r="K32" s="1853">
        <v>0</v>
      </c>
      <c r="L32" s="1853">
        <v>0</v>
      </c>
      <c r="M32" s="1853">
        <v>0</v>
      </c>
      <c r="N32" s="1853">
        <v>0</v>
      </c>
      <c r="O32" s="1853">
        <v>0</v>
      </c>
      <c r="P32" s="1853">
        <v>0</v>
      </c>
      <c r="Q32" s="1853">
        <v>0</v>
      </c>
      <c r="R32" s="1853">
        <v>0</v>
      </c>
      <c r="S32" s="1853">
        <v>0</v>
      </c>
      <c r="T32" s="1807">
        <v>0</v>
      </c>
      <c r="U32" s="1197"/>
      <c r="V32" s="1854">
        <v>0</v>
      </c>
      <c r="W32" s="1854">
        <v>0</v>
      </c>
      <c r="X32" s="1855">
        <v>0</v>
      </c>
      <c r="Y32" s="1855">
        <v>0</v>
      </c>
      <c r="Z32" s="1854">
        <v>0</v>
      </c>
      <c r="AA32" s="1854">
        <v>0</v>
      </c>
      <c r="AB32" s="1854">
        <v>0</v>
      </c>
      <c r="AC32" s="1854">
        <v>0</v>
      </c>
      <c r="AD32" s="1854">
        <v>0</v>
      </c>
      <c r="AE32" s="1854">
        <v>305.14276566866266</v>
      </c>
      <c r="AF32" s="1854">
        <v>0</v>
      </c>
      <c r="AG32" s="1854">
        <v>0</v>
      </c>
      <c r="AH32" s="1854">
        <v>0</v>
      </c>
      <c r="AI32" s="1854">
        <v>0</v>
      </c>
      <c r="AJ32" s="1854">
        <v>0</v>
      </c>
      <c r="AK32" s="1854">
        <v>0</v>
      </c>
      <c r="AL32" s="1854">
        <v>0</v>
      </c>
      <c r="AM32" s="1854">
        <v>0</v>
      </c>
      <c r="AN32" s="1854">
        <v>0</v>
      </c>
      <c r="AO32" s="1854">
        <v>0</v>
      </c>
      <c r="AP32" s="1854">
        <v>0</v>
      </c>
      <c r="AQ32" s="1854">
        <v>0</v>
      </c>
      <c r="AR32" s="1854">
        <v>0</v>
      </c>
      <c r="AS32" s="1854">
        <v>0</v>
      </c>
      <c r="AT32" s="1819">
        <v>305.14276566866266</v>
      </c>
      <c r="AU32" s="1197"/>
      <c r="AV32" s="1810">
        <v>-305.14276566866266</v>
      </c>
      <c r="AW32" s="1810">
        <v>0</v>
      </c>
      <c r="AX32" s="1810">
        <v>0</v>
      </c>
      <c r="AY32" s="1810">
        <v>0</v>
      </c>
      <c r="AZ32" s="1810">
        <v>0</v>
      </c>
      <c r="BA32" s="1810">
        <v>0</v>
      </c>
      <c r="BB32" s="1810">
        <v>0</v>
      </c>
      <c r="BC32" s="1810">
        <v>0</v>
      </c>
      <c r="BD32" s="1810">
        <v>0</v>
      </c>
      <c r="BE32" s="1810">
        <v>0</v>
      </c>
      <c r="BF32" s="1810">
        <v>0</v>
      </c>
      <c r="BG32" s="1810">
        <v>0</v>
      </c>
      <c r="BH32" s="1810">
        <v>0</v>
      </c>
      <c r="BI32" s="1810">
        <v>0</v>
      </c>
      <c r="BJ32" s="1810">
        <v>0</v>
      </c>
      <c r="BK32" s="1810">
        <v>0</v>
      </c>
      <c r="BL32" s="1810">
        <v>0</v>
      </c>
      <c r="BM32" s="1810">
        <v>0</v>
      </c>
      <c r="BN32" s="1810">
        <v>0</v>
      </c>
      <c r="BO32" s="1811">
        <v>-305.14276566866266</v>
      </c>
      <c r="BP32" s="1197"/>
      <c r="BQ32" s="1812">
        <v>0</v>
      </c>
      <c r="BR32" s="1812">
        <v>0</v>
      </c>
      <c r="BS32" s="1800">
        <v>0</v>
      </c>
      <c r="BT32" s="1197"/>
      <c r="BU32" s="1814">
        <v>0</v>
      </c>
      <c r="BV32" s="1814"/>
      <c r="BW32" s="1815"/>
      <c r="BX32" s="1816">
        <v>0</v>
      </c>
      <c r="BY32" s="1816">
        <v>0</v>
      </c>
      <c r="BZ32" s="1816">
        <v>0</v>
      </c>
      <c r="CA32" s="1816">
        <v>0</v>
      </c>
      <c r="CB32" s="1816">
        <v>0</v>
      </c>
      <c r="CC32" s="1816">
        <v>12.802750289832698</v>
      </c>
      <c r="CD32" s="1816">
        <v>0</v>
      </c>
      <c r="CE32" s="1816">
        <v>0</v>
      </c>
      <c r="CF32" s="1816">
        <v>0</v>
      </c>
      <c r="CG32" s="1816">
        <v>0</v>
      </c>
      <c r="CH32" s="1816">
        <v>0</v>
      </c>
      <c r="CI32" s="1816">
        <v>0</v>
      </c>
      <c r="CJ32" s="1816">
        <v>0</v>
      </c>
      <c r="CK32" s="1816">
        <v>0</v>
      </c>
      <c r="CL32" s="1816">
        <v>0</v>
      </c>
      <c r="CM32" s="1816">
        <v>0</v>
      </c>
      <c r="CN32" s="1816">
        <v>0</v>
      </c>
      <c r="CO32" s="1816">
        <v>0</v>
      </c>
      <c r="CP32" s="1816">
        <v>0</v>
      </c>
      <c r="CQ32" s="1816">
        <v>0</v>
      </c>
      <c r="CR32" s="1816">
        <v>0</v>
      </c>
      <c r="CS32" s="1816">
        <v>0</v>
      </c>
      <c r="CT32" s="1816">
        <v>0</v>
      </c>
      <c r="CU32" s="1816">
        <v>0</v>
      </c>
      <c r="CV32" s="1816">
        <v>0</v>
      </c>
      <c r="CW32" s="1816">
        <v>0</v>
      </c>
      <c r="CX32" s="1816">
        <v>0</v>
      </c>
      <c r="CY32" s="1816">
        <v>0</v>
      </c>
      <c r="CZ32" s="1816">
        <v>0</v>
      </c>
      <c r="DA32" s="1816">
        <v>0</v>
      </c>
      <c r="DB32" s="1816">
        <v>0</v>
      </c>
      <c r="DC32" s="1816">
        <v>0</v>
      </c>
      <c r="DD32" s="1816">
        <v>0</v>
      </c>
      <c r="DE32" s="1816">
        <v>0</v>
      </c>
      <c r="DF32" s="1816">
        <v>0</v>
      </c>
      <c r="DG32" s="1816">
        <v>0</v>
      </c>
      <c r="DH32" s="1816">
        <v>0</v>
      </c>
      <c r="DI32" s="1816">
        <v>0</v>
      </c>
      <c r="DJ32" s="1816">
        <v>0</v>
      </c>
      <c r="DK32" s="1816">
        <v>0</v>
      </c>
      <c r="DL32" s="1816">
        <v>0</v>
      </c>
      <c r="DM32" s="1816">
        <v>0</v>
      </c>
      <c r="DN32" s="1816">
        <v>0</v>
      </c>
      <c r="DO32" s="1816">
        <v>0</v>
      </c>
      <c r="DP32" s="1197"/>
      <c r="DQ32" s="1226">
        <v>12.802750289832698</v>
      </c>
    </row>
    <row r="33" spans="1:121" s="1199" customFormat="1" ht="15" outlineLevel="1">
      <c r="A33" s="1803"/>
      <c r="B33" s="1803"/>
      <c r="C33" s="1199" t="s">
        <v>4782</v>
      </c>
      <c r="D33" s="1805" t="s">
        <v>4817</v>
      </c>
      <c r="G33" s="1853">
        <v>0</v>
      </c>
      <c r="H33" s="1853">
        <v>0</v>
      </c>
      <c r="I33" s="1853">
        <v>0</v>
      </c>
      <c r="J33" s="1853">
        <v>0</v>
      </c>
      <c r="K33" s="1853">
        <v>0</v>
      </c>
      <c r="L33" s="1853">
        <v>0</v>
      </c>
      <c r="M33" s="1853">
        <v>0</v>
      </c>
      <c r="N33" s="1853">
        <v>0</v>
      </c>
      <c r="O33" s="1853">
        <v>0</v>
      </c>
      <c r="P33" s="1853">
        <v>0</v>
      </c>
      <c r="Q33" s="1853">
        <v>0</v>
      </c>
      <c r="R33" s="1853">
        <v>0</v>
      </c>
      <c r="S33" s="1853">
        <v>0</v>
      </c>
      <c r="T33" s="1807">
        <v>0</v>
      </c>
      <c r="U33" s="1197"/>
      <c r="V33" s="1854">
        <v>0</v>
      </c>
      <c r="W33" s="1854">
        <v>0</v>
      </c>
      <c r="X33" s="1855">
        <v>0</v>
      </c>
      <c r="Y33" s="1855">
        <v>0</v>
      </c>
      <c r="Z33" s="1854">
        <v>0</v>
      </c>
      <c r="AA33" s="1854">
        <v>0</v>
      </c>
      <c r="AB33" s="1854">
        <v>0</v>
      </c>
      <c r="AC33" s="1854">
        <v>0</v>
      </c>
      <c r="AD33" s="1854">
        <v>0</v>
      </c>
      <c r="AE33" s="1854">
        <v>0</v>
      </c>
      <c r="AF33" s="1854">
        <v>29.674114975883853</v>
      </c>
      <c r="AG33" s="1854">
        <v>0</v>
      </c>
      <c r="AH33" s="1854">
        <v>0</v>
      </c>
      <c r="AI33" s="1854">
        <v>0</v>
      </c>
      <c r="AJ33" s="1854">
        <v>0</v>
      </c>
      <c r="AK33" s="1854">
        <v>0</v>
      </c>
      <c r="AL33" s="1854">
        <v>0</v>
      </c>
      <c r="AM33" s="1854">
        <v>0</v>
      </c>
      <c r="AN33" s="1854">
        <v>0</v>
      </c>
      <c r="AO33" s="1854">
        <v>0</v>
      </c>
      <c r="AP33" s="1854">
        <v>0</v>
      </c>
      <c r="AQ33" s="1854">
        <v>0</v>
      </c>
      <c r="AR33" s="1854">
        <v>0</v>
      </c>
      <c r="AS33" s="1854">
        <v>0</v>
      </c>
      <c r="AT33" s="1819">
        <v>29.674114975883853</v>
      </c>
      <c r="AU33" s="1197"/>
      <c r="AV33" s="1810">
        <v>0</v>
      </c>
      <c r="AW33" s="1810">
        <v>-29.674114975883853</v>
      </c>
      <c r="AX33" s="1810">
        <v>0</v>
      </c>
      <c r="AY33" s="1810">
        <v>0</v>
      </c>
      <c r="AZ33" s="1810">
        <v>0</v>
      </c>
      <c r="BA33" s="1810">
        <v>0</v>
      </c>
      <c r="BB33" s="1810">
        <v>0</v>
      </c>
      <c r="BC33" s="1810">
        <v>0</v>
      </c>
      <c r="BD33" s="1810">
        <v>0</v>
      </c>
      <c r="BE33" s="1810">
        <v>0</v>
      </c>
      <c r="BF33" s="1810">
        <v>0</v>
      </c>
      <c r="BG33" s="1810">
        <v>0</v>
      </c>
      <c r="BH33" s="1810">
        <v>0</v>
      </c>
      <c r="BI33" s="1810">
        <v>0</v>
      </c>
      <c r="BJ33" s="1810">
        <v>0</v>
      </c>
      <c r="BK33" s="1810">
        <v>0</v>
      </c>
      <c r="BL33" s="1810">
        <v>0</v>
      </c>
      <c r="BM33" s="1810">
        <v>0</v>
      </c>
      <c r="BN33" s="1810">
        <v>0</v>
      </c>
      <c r="BO33" s="1811">
        <v>-29.674114975883853</v>
      </c>
      <c r="BP33" s="1197"/>
      <c r="BQ33" s="1812">
        <v>0</v>
      </c>
      <c r="BR33" s="1812">
        <v>0</v>
      </c>
      <c r="BS33" s="1800">
        <v>0</v>
      </c>
      <c r="BT33" s="1197"/>
      <c r="BU33" s="1814">
        <v>0</v>
      </c>
      <c r="BV33" s="1814"/>
      <c r="BW33" s="1815"/>
      <c r="BX33" s="1816">
        <v>0</v>
      </c>
      <c r="BY33" s="1816">
        <v>0</v>
      </c>
      <c r="BZ33" s="1816">
        <v>0</v>
      </c>
      <c r="CA33" s="1816">
        <v>0</v>
      </c>
      <c r="CB33" s="1816">
        <v>0</v>
      </c>
      <c r="CC33" s="1816">
        <v>0.20828504629315681</v>
      </c>
      <c r="CD33" s="1816">
        <v>0</v>
      </c>
      <c r="CE33" s="1816">
        <v>0</v>
      </c>
      <c r="CF33" s="1816">
        <v>0</v>
      </c>
      <c r="CG33" s="1816">
        <v>0</v>
      </c>
      <c r="CH33" s="1816">
        <v>0</v>
      </c>
      <c r="CI33" s="1816">
        <v>0</v>
      </c>
      <c r="CJ33" s="1816">
        <v>0</v>
      </c>
      <c r="CK33" s="1816">
        <v>0</v>
      </c>
      <c r="CL33" s="1816">
        <v>0</v>
      </c>
      <c r="CM33" s="1816">
        <v>0</v>
      </c>
      <c r="CN33" s="1816">
        <v>0</v>
      </c>
      <c r="CO33" s="1816">
        <v>0</v>
      </c>
      <c r="CP33" s="1816">
        <v>0</v>
      </c>
      <c r="CQ33" s="1816">
        <v>0</v>
      </c>
      <c r="CR33" s="1816">
        <v>0</v>
      </c>
      <c r="CS33" s="1816">
        <v>0</v>
      </c>
      <c r="CT33" s="1816">
        <v>0</v>
      </c>
      <c r="CU33" s="1816">
        <v>0</v>
      </c>
      <c r="CV33" s="1816">
        <v>0</v>
      </c>
      <c r="CW33" s="1816">
        <v>0</v>
      </c>
      <c r="CX33" s="1816">
        <v>0</v>
      </c>
      <c r="CY33" s="1816">
        <v>0</v>
      </c>
      <c r="CZ33" s="1816">
        <v>0</v>
      </c>
      <c r="DA33" s="1816">
        <v>0</v>
      </c>
      <c r="DB33" s="1816">
        <v>0</v>
      </c>
      <c r="DC33" s="1816">
        <v>0</v>
      </c>
      <c r="DD33" s="1816">
        <v>0</v>
      </c>
      <c r="DE33" s="1816">
        <v>0</v>
      </c>
      <c r="DF33" s="1816">
        <v>0</v>
      </c>
      <c r="DG33" s="1816">
        <v>0</v>
      </c>
      <c r="DH33" s="1816">
        <v>0</v>
      </c>
      <c r="DI33" s="1816">
        <v>0</v>
      </c>
      <c r="DJ33" s="1816">
        <v>0</v>
      </c>
      <c r="DK33" s="1816">
        <v>0</v>
      </c>
      <c r="DL33" s="1816">
        <v>0</v>
      </c>
      <c r="DM33" s="1816">
        <v>0</v>
      </c>
      <c r="DN33" s="1816">
        <v>0</v>
      </c>
      <c r="DO33" s="1816">
        <v>0</v>
      </c>
      <c r="DP33" s="1197"/>
      <c r="DQ33" s="1226">
        <v>0.20828504629315681</v>
      </c>
    </row>
    <row r="34" spans="1:121" s="1199" customFormat="1" ht="16">
      <c r="A34" s="1856"/>
      <c r="B34" s="1857"/>
      <c r="C34" s="1653" t="s">
        <v>4124</v>
      </c>
      <c r="D34" s="1205" t="s">
        <v>4125</v>
      </c>
      <c r="G34" s="1779">
        <v>0</v>
      </c>
      <c r="H34" s="1779">
        <v>0</v>
      </c>
      <c r="I34" s="1779">
        <v>0</v>
      </c>
      <c r="J34" s="1779">
        <v>0</v>
      </c>
      <c r="K34" s="1779">
        <v>0</v>
      </c>
      <c r="L34" s="1779">
        <v>0</v>
      </c>
      <c r="M34" s="1779">
        <v>0</v>
      </c>
      <c r="N34" s="1779">
        <v>0</v>
      </c>
      <c r="O34" s="1779">
        <v>0</v>
      </c>
      <c r="P34" s="1779">
        <v>0</v>
      </c>
      <c r="Q34" s="1779">
        <v>0</v>
      </c>
      <c r="R34" s="1779">
        <v>0</v>
      </c>
      <c r="S34" s="1779">
        <v>0</v>
      </c>
      <c r="T34" s="1807">
        <v>0</v>
      </c>
      <c r="U34" s="1197"/>
      <c r="V34" s="1797">
        <v>0</v>
      </c>
      <c r="W34" s="1797">
        <v>0</v>
      </c>
      <c r="X34" s="1798">
        <v>0</v>
      </c>
      <c r="Y34" s="1798">
        <v>0</v>
      </c>
      <c r="Z34" s="1797">
        <v>0</v>
      </c>
      <c r="AA34" s="1797">
        <v>0</v>
      </c>
      <c r="AB34" s="1797">
        <v>0</v>
      </c>
      <c r="AC34" s="1797">
        <v>0</v>
      </c>
      <c r="AD34" s="1797">
        <v>0</v>
      </c>
      <c r="AE34" s="1797">
        <v>305.14276566866266</v>
      </c>
      <c r="AF34" s="1797">
        <v>29.674114975883853</v>
      </c>
      <c r="AG34" s="1797">
        <v>24.447199813865218</v>
      </c>
      <c r="AH34" s="1797">
        <v>0</v>
      </c>
      <c r="AI34" s="1797">
        <v>0</v>
      </c>
      <c r="AJ34" s="1797">
        <v>0</v>
      </c>
      <c r="AK34" s="1797">
        <v>0</v>
      </c>
      <c r="AL34" s="1797">
        <v>0</v>
      </c>
      <c r="AM34" s="1797">
        <v>0</v>
      </c>
      <c r="AN34" s="1797">
        <v>0</v>
      </c>
      <c r="AO34" s="1797">
        <v>0</v>
      </c>
      <c r="AP34" s="1797">
        <v>0</v>
      </c>
      <c r="AQ34" s="1797">
        <v>0</v>
      </c>
      <c r="AR34" s="1797">
        <v>0</v>
      </c>
      <c r="AS34" s="1797">
        <v>0</v>
      </c>
      <c r="AT34" s="1819">
        <v>359.26408045841174</v>
      </c>
      <c r="AU34" s="1197"/>
      <c r="AV34" s="1799">
        <v>-305.14276566866266</v>
      </c>
      <c r="AW34" s="1799">
        <v>-29.674114975883853</v>
      </c>
      <c r="AX34" s="1799">
        <v>-24.447199813865218</v>
      </c>
      <c r="AY34" s="1799">
        <v>0</v>
      </c>
      <c r="AZ34" s="1799">
        <v>0</v>
      </c>
      <c r="BA34" s="1799">
        <v>0</v>
      </c>
      <c r="BB34" s="1799">
        <v>0</v>
      </c>
      <c r="BC34" s="1799">
        <v>0</v>
      </c>
      <c r="BD34" s="1799">
        <v>0</v>
      </c>
      <c r="BE34" s="1799">
        <v>0</v>
      </c>
      <c r="BF34" s="1799">
        <v>0</v>
      </c>
      <c r="BG34" s="1799">
        <v>0</v>
      </c>
      <c r="BH34" s="1799">
        <v>0</v>
      </c>
      <c r="BI34" s="1799">
        <v>0</v>
      </c>
      <c r="BJ34" s="1799">
        <v>0</v>
      </c>
      <c r="BK34" s="1799">
        <v>0</v>
      </c>
      <c r="BL34" s="1799">
        <v>0</v>
      </c>
      <c r="BM34" s="1799">
        <v>0</v>
      </c>
      <c r="BN34" s="1799">
        <v>0</v>
      </c>
      <c r="BO34" s="1799">
        <v>-359.26408045841174</v>
      </c>
      <c r="BP34" s="1197"/>
      <c r="BQ34" s="1800">
        <v>0</v>
      </c>
      <c r="BR34" s="1800">
        <v>0</v>
      </c>
      <c r="BS34" s="1800">
        <v>0</v>
      </c>
      <c r="BT34" s="1197"/>
      <c r="BU34" s="1801">
        <v>0</v>
      </c>
      <c r="BV34" s="1858"/>
      <c r="BW34" s="1815"/>
      <c r="BX34" s="1816">
        <v>0</v>
      </c>
      <c r="BY34" s="1817">
        <v>0</v>
      </c>
      <c r="BZ34" s="1817">
        <v>0</v>
      </c>
      <c r="CA34" s="1817">
        <v>0</v>
      </c>
      <c r="CB34" s="1817">
        <v>0</v>
      </c>
      <c r="CC34" s="1817">
        <v>25.207342295608466</v>
      </c>
      <c r="CD34" s="1817">
        <v>0</v>
      </c>
      <c r="CE34" s="1817">
        <v>0</v>
      </c>
      <c r="CF34" s="1817">
        <v>0</v>
      </c>
      <c r="CG34" s="1817">
        <v>0</v>
      </c>
      <c r="CH34" s="1817">
        <v>0</v>
      </c>
      <c r="CI34" s="1817">
        <v>0</v>
      </c>
      <c r="CJ34" s="1817">
        <v>0</v>
      </c>
      <c r="CK34" s="1817">
        <v>0</v>
      </c>
      <c r="CL34" s="1817">
        <v>0</v>
      </c>
      <c r="CM34" s="1817">
        <v>0</v>
      </c>
      <c r="CN34" s="1817">
        <v>0</v>
      </c>
      <c r="CO34" s="1817">
        <v>0</v>
      </c>
      <c r="CP34" s="1817">
        <v>0</v>
      </c>
      <c r="CQ34" s="1817">
        <v>0</v>
      </c>
      <c r="CR34" s="1817">
        <v>0</v>
      </c>
      <c r="CS34" s="1817">
        <v>0</v>
      </c>
      <c r="CT34" s="1817">
        <v>0</v>
      </c>
      <c r="CU34" s="1817">
        <v>0</v>
      </c>
      <c r="CV34" s="1817">
        <v>0</v>
      </c>
      <c r="CW34" s="1817">
        <v>0</v>
      </c>
      <c r="CX34" s="1817">
        <v>0</v>
      </c>
      <c r="CY34" s="1817">
        <v>0</v>
      </c>
      <c r="CZ34" s="1817">
        <v>0</v>
      </c>
      <c r="DA34" s="1817">
        <v>0</v>
      </c>
      <c r="DB34" s="1817">
        <v>0</v>
      </c>
      <c r="DC34" s="1817">
        <v>0</v>
      </c>
      <c r="DD34" s="1817">
        <v>0</v>
      </c>
      <c r="DE34" s="1817">
        <v>0</v>
      </c>
      <c r="DF34" s="1817">
        <v>0</v>
      </c>
      <c r="DG34" s="1817">
        <v>0</v>
      </c>
      <c r="DH34" s="1817">
        <v>0</v>
      </c>
      <c r="DI34" s="1817">
        <v>0</v>
      </c>
      <c r="DJ34" s="1817">
        <v>0</v>
      </c>
      <c r="DK34" s="1817">
        <v>0</v>
      </c>
      <c r="DL34" s="1817">
        <v>0</v>
      </c>
      <c r="DM34" s="1817">
        <v>0</v>
      </c>
      <c r="DN34" s="1817">
        <v>0</v>
      </c>
      <c r="DO34" s="1817">
        <v>0</v>
      </c>
      <c r="DP34" s="1197"/>
      <c r="DQ34" s="1226">
        <v>25.207342295608466</v>
      </c>
    </row>
    <row r="35" spans="1:121" s="1199" customFormat="1" ht="16">
      <c r="A35" s="1856"/>
      <c r="B35" s="1857"/>
      <c r="C35" s="1653" t="s">
        <v>4783</v>
      </c>
      <c r="D35" s="1205" t="s">
        <v>3864</v>
      </c>
      <c r="G35" s="1859">
        <v>0</v>
      </c>
      <c r="H35" s="1859">
        <v>0</v>
      </c>
      <c r="I35" s="1859">
        <v>0</v>
      </c>
      <c r="J35" s="1859">
        <v>0</v>
      </c>
      <c r="K35" s="1859">
        <v>0</v>
      </c>
      <c r="L35" s="1860">
        <v>0</v>
      </c>
      <c r="M35" s="1859">
        <v>0</v>
      </c>
      <c r="N35" s="1859">
        <v>0</v>
      </c>
      <c r="O35" s="1859">
        <v>0</v>
      </c>
      <c r="P35" s="1859">
        <v>0</v>
      </c>
      <c r="Q35" s="1859">
        <v>0</v>
      </c>
      <c r="R35" s="1859">
        <v>0</v>
      </c>
      <c r="S35" s="1859">
        <v>0</v>
      </c>
      <c r="T35" s="1807">
        <v>0</v>
      </c>
      <c r="U35" s="1197"/>
      <c r="V35" s="1861">
        <v>0</v>
      </c>
      <c r="W35" s="1861">
        <v>0</v>
      </c>
      <c r="X35" s="1862">
        <v>0</v>
      </c>
      <c r="Y35" s="1862">
        <v>0</v>
      </c>
      <c r="Z35" s="1861">
        <v>0</v>
      </c>
      <c r="AA35" s="1861">
        <v>0</v>
      </c>
      <c r="AB35" s="1861">
        <v>0</v>
      </c>
      <c r="AC35" s="1861">
        <v>0</v>
      </c>
      <c r="AD35" s="1861">
        <v>0</v>
      </c>
      <c r="AE35" s="1861">
        <v>0</v>
      </c>
      <c r="AF35" s="1861">
        <v>0</v>
      </c>
      <c r="AG35" s="1861">
        <v>0</v>
      </c>
      <c r="AH35" s="1861">
        <v>0</v>
      </c>
      <c r="AI35" s="1861">
        <v>0</v>
      </c>
      <c r="AJ35" s="1861">
        <v>0</v>
      </c>
      <c r="AK35" s="1861">
        <v>0</v>
      </c>
      <c r="AL35" s="1861">
        <v>0</v>
      </c>
      <c r="AM35" s="1861">
        <v>0</v>
      </c>
      <c r="AN35" s="1861">
        <v>0</v>
      </c>
      <c r="AO35" s="1861">
        <v>0</v>
      </c>
      <c r="AP35" s="1861">
        <v>0</v>
      </c>
      <c r="AQ35" s="1861">
        <v>0</v>
      </c>
      <c r="AR35" s="1861">
        <v>0</v>
      </c>
      <c r="AS35" s="1861">
        <v>0</v>
      </c>
      <c r="AT35" s="1819">
        <v>0</v>
      </c>
      <c r="AU35" s="1863"/>
      <c r="AV35" s="1864">
        <v>0</v>
      </c>
      <c r="AW35" s="1864">
        <v>0</v>
      </c>
      <c r="AX35" s="1864">
        <v>0</v>
      </c>
      <c r="AY35" s="1864">
        <v>0</v>
      </c>
      <c r="AZ35" s="1864">
        <v>0</v>
      </c>
      <c r="BA35" s="1864">
        <v>0</v>
      </c>
      <c r="BB35" s="1864">
        <v>0</v>
      </c>
      <c r="BC35" s="1864">
        <v>0</v>
      </c>
      <c r="BD35" s="1864">
        <v>0</v>
      </c>
      <c r="BE35" s="1864">
        <v>0</v>
      </c>
      <c r="BF35" s="1864">
        <v>0</v>
      </c>
      <c r="BG35" s="1864">
        <v>0</v>
      </c>
      <c r="BH35" s="1864">
        <v>0</v>
      </c>
      <c r="BI35" s="1864">
        <v>0</v>
      </c>
      <c r="BJ35" s="1864">
        <v>0</v>
      </c>
      <c r="BK35" s="1864">
        <v>0</v>
      </c>
      <c r="BL35" s="1864">
        <v>0</v>
      </c>
      <c r="BM35" s="1864">
        <v>0</v>
      </c>
      <c r="BN35" s="1864">
        <v>0</v>
      </c>
      <c r="BO35" s="1811">
        <v>0</v>
      </c>
      <c r="BP35" s="1197"/>
      <c r="BQ35" s="1865">
        <v>0</v>
      </c>
      <c r="BR35" s="1865">
        <v>0</v>
      </c>
      <c r="BS35" s="1800">
        <v>0</v>
      </c>
      <c r="BT35" s="1863"/>
      <c r="BU35" s="1814">
        <v>0</v>
      </c>
      <c r="BV35" s="1858"/>
      <c r="BW35" s="1815"/>
      <c r="BX35" s="1816"/>
      <c r="BY35" s="1866">
        <v>0</v>
      </c>
      <c r="BZ35" s="1866">
        <v>0</v>
      </c>
      <c r="CA35" s="1866">
        <v>0</v>
      </c>
      <c r="CB35" s="1866">
        <v>0</v>
      </c>
      <c r="CC35" s="1866">
        <v>0</v>
      </c>
      <c r="CD35" s="1866">
        <v>0</v>
      </c>
      <c r="CE35" s="1866">
        <v>0</v>
      </c>
      <c r="CF35" s="1866">
        <v>0</v>
      </c>
      <c r="CG35" s="1866">
        <v>0</v>
      </c>
      <c r="CH35" s="1866">
        <v>0</v>
      </c>
      <c r="CI35" s="1866">
        <v>0</v>
      </c>
      <c r="CJ35" s="1866">
        <v>0</v>
      </c>
      <c r="CK35" s="1866">
        <v>0</v>
      </c>
      <c r="CL35" s="1866">
        <v>0</v>
      </c>
      <c r="CM35" s="1866">
        <v>0</v>
      </c>
      <c r="CN35" s="1866">
        <v>0</v>
      </c>
      <c r="CO35" s="1866">
        <v>0</v>
      </c>
      <c r="CP35" s="1866">
        <v>0</v>
      </c>
      <c r="CQ35" s="1866">
        <v>0</v>
      </c>
      <c r="CR35" s="1866">
        <v>0</v>
      </c>
      <c r="CS35" s="1866">
        <v>0</v>
      </c>
      <c r="CT35" s="1866">
        <v>0</v>
      </c>
      <c r="CU35" s="1866">
        <v>0</v>
      </c>
      <c r="CV35" s="1866">
        <v>0</v>
      </c>
      <c r="CW35" s="1866">
        <v>0</v>
      </c>
      <c r="CX35" s="1866">
        <v>0</v>
      </c>
      <c r="CY35" s="1866">
        <v>0</v>
      </c>
      <c r="CZ35" s="1866">
        <v>0</v>
      </c>
      <c r="DA35" s="1866">
        <v>0</v>
      </c>
      <c r="DB35" s="1866">
        <v>0</v>
      </c>
      <c r="DC35" s="1866">
        <v>0</v>
      </c>
      <c r="DD35" s="1866">
        <v>0</v>
      </c>
      <c r="DE35" s="1866">
        <v>0</v>
      </c>
      <c r="DF35" s="1866">
        <v>0</v>
      </c>
      <c r="DG35" s="1866">
        <v>0</v>
      </c>
      <c r="DH35" s="1866">
        <v>0</v>
      </c>
      <c r="DI35" s="1866">
        <v>0</v>
      </c>
      <c r="DJ35" s="1866">
        <v>0</v>
      </c>
      <c r="DK35" s="1866">
        <v>0</v>
      </c>
      <c r="DL35" s="1866">
        <v>0</v>
      </c>
      <c r="DM35" s="1866">
        <v>0</v>
      </c>
      <c r="DN35" s="1866">
        <v>0</v>
      </c>
      <c r="DO35" s="1866">
        <v>0</v>
      </c>
      <c r="DP35" s="1863"/>
      <c r="DQ35" s="1867">
        <v>0</v>
      </c>
    </row>
    <row r="36" spans="1:121" s="1199" customFormat="1" ht="16">
      <c r="B36" s="1789"/>
      <c r="C36" s="1653" t="s">
        <v>4060</v>
      </c>
      <c r="D36" s="1205" t="s">
        <v>4112</v>
      </c>
      <c r="G36" s="1859">
        <v>0</v>
      </c>
      <c r="H36" s="1859">
        <v>0</v>
      </c>
      <c r="I36" s="1859">
        <v>0</v>
      </c>
      <c r="J36" s="1859">
        <v>0</v>
      </c>
      <c r="K36" s="1859">
        <v>0</v>
      </c>
      <c r="L36" s="1860">
        <v>0</v>
      </c>
      <c r="M36" s="1859">
        <v>0</v>
      </c>
      <c r="N36" s="1859">
        <v>0</v>
      </c>
      <c r="O36" s="1859">
        <v>0</v>
      </c>
      <c r="P36" s="1859">
        <v>0</v>
      </c>
      <c r="Q36" s="1859">
        <v>0</v>
      </c>
      <c r="R36" s="1859">
        <v>0</v>
      </c>
      <c r="S36" s="1859">
        <v>0</v>
      </c>
      <c r="T36" s="1807">
        <v>0</v>
      </c>
      <c r="U36" s="1863"/>
      <c r="V36" s="1861">
        <v>0</v>
      </c>
      <c r="W36" s="1861">
        <v>13.044101054239036</v>
      </c>
      <c r="X36" s="1862">
        <v>0</v>
      </c>
      <c r="Y36" s="1862">
        <v>0</v>
      </c>
      <c r="Z36" s="1861">
        <v>0</v>
      </c>
      <c r="AA36" s="1861">
        <v>0</v>
      </c>
      <c r="AB36" s="1861">
        <v>0</v>
      </c>
      <c r="AC36" s="1861">
        <v>0</v>
      </c>
      <c r="AD36" s="1861">
        <v>0</v>
      </c>
      <c r="AE36" s="1861">
        <v>0</v>
      </c>
      <c r="AF36" s="1861">
        <v>0</v>
      </c>
      <c r="AG36" s="1861">
        <v>0</v>
      </c>
      <c r="AH36" s="1861">
        <v>0</v>
      </c>
      <c r="AI36" s="1861">
        <v>0</v>
      </c>
      <c r="AJ36" s="1861">
        <v>0</v>
      </c>
      <c r="AK36" s="1861">
        <v>0</v>
      </c>
      <c r="AL36" s="1861">
        <v>0</v>
      </c>
      <c r="AM36" s="1861">
        <v>0</v>
      </c>
      <c r="AN36" s="1861">
        <v>0</v>
      </c>
      <c r="AO36" s="1861">
        <v>0</v>
      </c>
      <c r="AP36" s="1861">
        <v>0</v>
      </c>
      <c r="AQ36" s="1861">
        <v>0</v>
      </c>
      <c r="AR36" s="1861">
        <v>0</v>
      </c>
      <c r="AS36" s="1861">
        <v>0</v>
      </c>
      <c r="AT36" s="1819">
        <v>13.044101054239036</v>
      </c>
      <c r="AU36" s="1863"/>
      <c r="AV36" s="1864">
        <v>0</v>
      </c>
      <c r="AW36" s="1864">
        <v>0</v>
      </c>
      <c r="AX36" s="1864">
        <v>0</v>
      </c>
      <c r="AY36" s="1864">
        <v>0</v>
      </c>
      <c r="AZ36" s="1864">
        <v>0</v>
      </c>
      <c r="BA36" s="1864">
        <v>0</v>
      </c>
      <c r="BB36" s="1864">
        <v>0</v>
      </c>
      <c r="BC36" s="1864">
        <v>0</v>
      </c>
      <c r="BD36" s="1864">
        <v>0</v>
      </c>
      <c r="BE36" s="1864">
        <v>0</v>
      </c>
      <c r="BF36" s="1864">
        <v>0</v>
      </c>
      <c r="BG36" s="1864">
        <v>0</v>
      </c>
      <c r="BH36" s="1864">
        <v>0</v>
      </c>
      <c r="BI36" s="1864">
        <v>0</v>
      </c>
      <c r="BJ36" s="1864">
        <v>0</v>
      </c>
      <c r="BK36" s="1864">
        <v>-13.044101054239036</v>
      </c>
      <c r="BL36" s="1864">
        <v>0</v>
      </c>
      <c r="BM36" s="1864">
        <v>0</v>
      </c>
      <c r="BN36" s="1864">
        <v>0</v>
      </c>
      <c r="BO36" s="1811">
        <v>-13.044101054239036</v>
      </c>
      <c r="BP36" s="1863"/>
      <c r="BQ36" s="1865">
        <v>0</v>
      </c>
      <c r="BR36" s="1865">
        <v>0</v>
      </c>
      <c r="BS36" s="1800">
        <v>0</v>
      </c>
      <c r="BT36" s="1863"/>
      <c r="BU36" s="1814">
        <v>0</v>
      </c>
      <c r="BV36" s="1814">
        <v>0</v>
      </c>
      <c r="BW36" s="1814">
        <v>0</v>
      </c>
      <c r="BX36" s="1866">
        <v>0</v>
      </c>
      <c r="BY36" s="1866">
        <v>0</v>
      </c>
      <c r="BZ36" s="1866">
        <v>0</v>
      </c>
      <c r="CA36" s="1866">
        <v>0</v>
      </c>
      <c r="CB36" s="1866">
        <v>0</v>
      </c>
      <c r="CC36" s="1866">
        <v>0</v>
      </c>
      <c r="CD36" s="1866">
        <v>0</v>
      </c>
      <c r="CE36" s="1866">
        <v>0</v>
      </c>
      <c r="CF36" s="1866">
        <v>0</v>
      </c>
      <c r="CG36" s="1866">
        <v>0</v>
      </c>
      <c r="CH36" s="1866">
        <v>0</v>
      </c>
      <c r="CI36" s="1866">
        <v>0</v>
      </c>
      <c r="CJ36" s="1866">
        <v>0</v>
      </c>
      <c r="CK36" s="1866">
        <v>0</v>
      </c>
      <c r="CL36" s="1866">
        <v>0</v>
      </c>
      <c r="CM36" s="1866">
        <v>0</v>
      </c>
      <c r="CN36" s="1866">
        <v>0</v>
      </c>
      <c r="CO36" s="1866">
        <v>0</v>
      </c>
      <c r="CP36" s="1866">
        <v>0</v>
      </c>
      <c r="CQ36" s="1866">
        <v>0</v>
      </c>
      <c r="CR36" s="1866">
        <v>0</v>
      </c>
      <c r="CS36" s="1866">
        <v>0</v>
      </c>
      <c r="CT36" s="1866">
        <v>0</v>
      </c>
      <c r="CU36" s="1866">
        <v>0</v>
      </c>
      <c r="CV36" s="1866">
        <v>0</v>
      </c>
      <c r="CW36" s="1866">
        <v>0</v>
      </c>
      <c r="CX36" s="1866">
        <v>0</v>
      </c>
      <c r="CY36" s="1866">
        <v>0</v>
      </c>
      <c r="CZ36" s="1866">
        <v>0</v>
      </c>
      <c r="DA36" s="1866">
        <v>0</v>
      </c>
      <c r="DB36" s="1866">
        <v>0</v>
      </c>
      <c r="DC36" s="1866">
        <v>0</v>
      </c>
      <c r="DD36" s="1866">
        <v>0</v>
      </c>
      <c r="DE36" s="1866">
        <v>0</v>
      </c>
      <c r="DF36" s="1866">
        <v>0</v>
      </c>
      <c r="DG36" s="1866">
        <v>0</v>
      </c>
      <c r="DH36" s="1866">
        <v>0</v>
      </c>
      <c r="DI36" s="1866">
        <v>0</v>
      </c>
      <c r="DJ36" s="1866">
        <v>0</v>
      </c>
      <c r="DK36" s="1866">
        <v>0</v>
      </c>
      <c r="DL36" s="1866">
        <v>0</v>
      </c>
      <c r="DM36" s="1866">
        <v>0</v>
      </c>
      <c r="DN36" s="1866">
        <v>0</v>
      </c>
      <c r="DO36" s="1866">
        <v>0</v>
      </c>
      <c r="DP36" s="1863"/>
      <c r="DQ36" s="1867">
        <v>0</v>
      </c>
    </row>
    <row r="37" spans="1:121" s="1803" customFormat="1" ht="12.75" customHeight="1" outlineLevel="1">
      <c r="C37" s="1804" t="s">
        <v>4064</v>
      </c>
      <c r="D37" s="1805" t="s">
        <v>4065</v>
      </c>
      <c r="E37" s="1852"/>
      <c r="G37" s="1859">
        <v>0</v>
      </c>
      <c r="H37" s="1859">
        <v>0</v>
      </c>
      <c r="I37" s="1859">
        <v>0</v>
      </c>
      <c r="J37" s="1859">
        <v>0</v>
      </c>
      <c r="K37" s="1859">
        <v>0</v>
      </c>
      <c r="L37" s="1860">
        <v>0</v>
      </c>
      <c r="M37" s="1859">
        <v>0</v>
      </c>
      <c r="N37" s="1859">
        <v>0</v>
      </c>
      <c r="O37" s="1859">
        <v>0</v>
      </c>
      <c r="P37" s="1859">
        <v>0</v>
      </c>
      <c r="Q37" s="1859">
        <v>0</v>
      </c>
      <c r="R37" s="1859">
        <v>0</v>
      </c>
      <c r="S37" s="1859">
        <v>0</v>
      </c>
      <c r="T37" s="1807">
        <v>0</v>
      </c>
      <c r="U37" s="1863"/>
      <c r="V37" s="1861">
        <v>0</v>
      </c>
      <c r="W37" s="1861">
        <v>6.2569740087855541</v>
      </c>
      <c r="X37" s="1862">
        <v>0</v>
      </c>
      <c r="Y37" s="1862">
        <v>0</v>
      </c>
      <c r="Z37" s="1861">
        <v>0</v>
      </c>
      <c r="AA37" s="1861">
        <v>0</v>
      </c>
      <c r="AB37" s="1861">
        <v>0</v>
      </c>
      <c r="AC37" s="1861">
        <v>0</v>
      </c>
      <c r="AD37" s="1861">
        <v>0</v>
      </c>
      <c r="AE37" s="1861">
        <v>0</v>
      </c>
      <c r="AF37" s="1861">
        <v>0</v>
      </c>
      <c r="AG37" s="1861">
        <v>0</v>
      </c>
      <c r="AH37" s="1861">
        <v>0</v>
      </c>
      <c r="AI37" s="1861">
        <v>0</v>
      </c>
      <c r="AJ37" s="1861">
        <v>0</v>
      </c>
      <c r="AK37" s="1861">
        <v>0</v>
      </c>
      <c r="AL37" s="1861">
        <v>0</v>
      </c>
      <c r="AM37" s="1861">
        <v>0</v>
      </c>
      <c r="AN37" s="1861">
        <v>0</v>
      </c>
      <c r="AO37" s="1861">
        <v>0</v>
      </c>
      <c r="AP37" s="1861">
        <v>0</v>
      </c>
      <c r="AQ37" s="1861">
        <v>0</v>
      </c>
      <c r="AR37" s="1861">
        <v>0</v>
      </c>
      <c r="AS37" s="1861">
        <v>0</v>
      </c>
      <c r="AT37" s="1819">
        <v>6.2569740087855541</v>
      </c>
      <c r="AU37" s="1863"/>
      <c r="AV37" s="1864">
        <v>0</v>
      </c>
      <c r="AW37" s="1864">
        <v>0</v>
      </c>
      <c r="AX37" s="1864">
        <v>0</v>
      </c>
      <c r="AY37" s="1864">
        <v>0</v>
      </c>
      <c r="AZ37" s="1864">
        <v>0</v>
      </c>
      <c r="BA37" s="1864">
        <v>0</v>
      </c>
      <c r="BB37" s="1864">
        <v>0</v>
      </c>
      <c r="BC37" s="1864">
        <v>0</v>
      </c>
      <c r="BD37" s="1864">
        <v>0</v>
      </c>
      <c r="BE37" s="1864">
        <v>0</v>
      </c>
      <c r="BF37" s="1864">
        <v>-6.2569740087855541</v>
      </c>
      <c r="BG37" s="1864">
        <v>0</v>
      </c>
      <c r="BH37" s="1864">
        <v>0</v>
      </c>
      <c r="BI37" s="1864">
        <v>0</v>
      </c>
      <c r="BJ37" s="1864">
        <v>0</v>
      </c>
      <c r="BK37" s="1864">
        <v>0</v>
      </c>
      <c r="BL37" s="1864">
        <v>0</v>
      </c>
      <c r="BM37" s="1864">
        <v>0</v>
      </c>
      <c r="BN37" s="1864">
        <v>0</v>
      </c>
      <c r="BO37" s="1811">
        <v>-6.2569740087855541</v>
      </c>
      <c r="BP37" s="1863"/>
      <c r="BQ37" s="1865">
        <v>0</v>
      </c>
      <c r="BR37" s="1865">
        <v>0</v>
      </c>
      <c r="BS37" s="1800">
        <v>0</v>
      </c>
      <c r="BT37" s="1863"/>
      <c r="BU37" s="1814">
        <v>0</v>
      </c>
      <c r="BV37" s="1814">
        <v>0</v>
      </c>
      <c r="BW37" s="1814">
        <v>0</v>
      </c>
      <c r="BX37" s="1866">
        <v>0</v>
      </c>
      <c r="BY37" s="1866">
        <v>0</v>
      </c>
      <c r="BZ37" s="1866">
        <v>0</v>
      </c>
      <c r="CA37" s="1866">
        <v>0</v>
      </c>
      <c r="CB37" s="1866">
        <v>0</v>
      </c>
      <c r="CC37" s="1866">
        <v>0</v>
      </c>
      <c r="CD37" s="1866">
        <v>0</v>
      </c>
      <c r="CE37" s="1866">
        <v>0</v>
      </c>
      <c r="CF37" s="1866">
        <v>0</v>
      </c>
      <c r="CG37" s="1866">
        <v>0</v>
      </c>
      <c r="CH37" s="1866">
        <v>0</v>
      </c>
      <c r="CI37" s="1866">
        <v>0</v>
      </c>
      <c r="CJ37" s="1866">
        <v>0</v>
      </c>
      <c r="CK37" s="1866">
        <v>0</v>
      </c>
      <c r="CL37" s="1866">
        <v>0</v>
      </c>
      <c r="CM37" s="1866">
        <v>0</v>
      </c>
      <c r="CN37" s="1866">
        <v>0</v>
      </c>
      <c r="CO37" s="1866">
        <v>0</v>
      </c>
      <c r="CP37" s="1866">
        <v>0</v>
      </c>
      <c r="CQ37" s="1866">
        <v>0</v>
      </c>
      <c r="CR37" s="1866">
        <v>0</v>
      </c>
      <c r="CS37" s="1866">
        <v>0</v>
      </c>
      <c r="CT37" s="1866">
        <v>0</v>
      </c>
      <c r="CU37" s="1866">
        <v>0</v>
      </c>
      <c r="CV37" s="1866">
        <v>0</v>
      </c>
      <c r="CW37" s="1866">
        <v>0</v>
      </c>
      <c r="CX37" s="1866">
        <v>0</v>
      </c>
      <c r="CY37" s="1866">
        <v>0</v>
      </c>
      <c r="CZ37" s="1866">
        <v>0</v>
      </c>
      <c r="DA37" s="1866">
        <v>0</v>
      </c>
      <c r="DB37" s="1866">
        <v>0</v>
      </c>
      <c r="DC37" s="1866">
        <v>0</v>
      </c>
      <c r="DD37" s="1866">
        <v>0</v>
      </c>
      <c r="DE37" s="1866">
        <v>0</v>
      </c>
      <c r="DF37" s="1866">
        <v>0</v>
      </c>
      <c r="DG37" s="1866">
        <v>0</v>
      </c>
      <c r="DH37" s="1866">
        <v>0</v>
      </c>
      <c r="DI37" s="1866">
        <v>0</v>
      </c>
      <c r="DJ37" s="1866">
        <v>0</v>
      </c>
      <c r="DK37" s="1866">
        <v>0</v>
      </c>
      <c r="DL37" s="1866">
        <v>0</v>
      </c>
      <c r="DM37" s="1866">
        <v>0</v>
      </c>
      <c r="DN37" s="1866">
        <v>0</v>
      </c>
      <c r="DO37" s="1866">
        <v>0</v>
      </c>
      <c r="DP37" s="1863"/>
      <c r="DQ37" s="1867">
        <v>0</v>
      </c>
    </row>
    <row r="38" spans="1:121" s="1803" customFormat="1" ht="12.75" customHeight="1" outlineLevel="1">
      <c r="C38" s="1804" t="s">
        <v>4068</v>
      </c>
      <c r="D38" s="1805" t="s">
        <v>4069</v>
      </c>
      <c r="E38" s="1852"/>
      <c r="G38" s="1859">
        <v>0</v>
      </c>
      <c r="H38" s="1859">
        <v>0</v>
      </c>
      <c r="I38" s="1859">
        <v>0</v>
      </c>
      <c r="J38" s="1859">
        <v>0</v>
      </c>
      <c r="K38" s="1859">
        <v>0</v>
      </c>
      <c r="L38" s="1860">
        <v>0</v>
      </c>
      <c r="M38" s="1859">
        <v>0</v>
      </c>
      <c r="N38" s="1859">
        <v>0</v>
      </c>
      <c r="O38" s="1859">
        <v>0</v>
      </c>
      <c r="P38" s="1859">
        <v>0</v>
      </c>
      <c r="Q38" s="1859">
        <v>0</v>
      </c>
      <c r="R38" s="1859">
        <v>0</v>
      </c>
      <c r="S38" s="1859">
        <v>0</v>
      </c>
      <c r="T38" s="1807">
        <v>0</v>
      </c>
      <c r="U38" s="1863"/>
      <c r="V38" s="1861">
        <v>0</v>
      </c>
      <c r="W38" s="1861">
        <v>9.2921107480653492E-2</v>
      </c>
      <c r="X38" s="1862">
        <v>0</v>
      </c>
      <c r="Y38" s="1862">
        <v>0</v>
      </c>
      <c r="Z38" s="1861">
        <v>0</v>
      </c>
      <c r="AA38" s="1861">
        <v>0</v>
      </c>
      <c r="AB38" s="1861">
        <v>0</v>
      </c>
      <c r="AC38" s="1861">
        <v>0</v>
      </c>
      <c r="AD38" s="1861">
        <v>0</v>
      </c>
      <c r="AE38" s="1861">
        <v>0</v>
      </c>
      <c r="AF38" s="1861">
        <v>0</v>
      </c>
      <c r="AG38" s="1861">
        <v>0</v>
      </c>
      <c r="AH38" s="1861">
        <v>0</v>
      </c>
      <c r="AI38" s="1861">
        <v>0</v>
      </c>
      <c r="AJ38" s="1861">
        <v>0</v>
      </c>
      <c r="AK38" s="1861">
        <v>0</v>
      </c>
      <c r="AL38" s="1861">
        <v>0</v>
      </c>
      <c r="AM38" s="1861">
        <v>0</v>
      </c>
      <c r="AN38" s="1861">
        <v>0</v>
      </c>
      <c r="AO38" s="1861">
        <v>0</v>
      </c>
      <c r="AP38" s="1861">
        <v>0</v>
      </c>
      <c r="AQ38" s="1861">
        <v>0</v>
      </c>
      <c r="AR38" s="1861">
        <v>0</v>
      </c>
      <c r="AS38" s="1861">
        <v>0</v>
      </c>
      <c r="AT38" s="1819">
        <v>9.2921107480653492E-2</v>
      </c>
      <c r="AU38" s="1863"/>
      <c r="AV38" s="1864">
        <v>0</v>
      </c>
      <c r="AW38" s="1864">
        <v>0</v>
      </c>
      <c r="AX38" s="1864">
        <v>0</v>
      </c>
      <c r="AY38" s="1864">
        <v>0</v>
      </c>
      <c r="AZ38" s="1864">
        <v>0</v>
      </c>
      <c r="BA38" s="1864">
        <v>0</v>
      </c>
      <c r="BB38" s="1864">
        <v>0</v>
      </c>
      <c r="BC38" s="1864">
        <v>0</v>
      </c>
      <c r="BD38" s="1864">
        <v>0</v>
      </c>
      <c r="BE38" s="1864">
        <v>0</v>
      </c>
      <c r="BF38" s="1864">
        <v>-9.2921107480653492E-2</v>
      </c>
      <c r="BG38" s="1864">
        <v>0</v>
      </c>
      <c r="BH38" s="1864">
        <v>0</v>
      </c>
      <c r="BI38" s="1864">
        <v>0</v>
      </c>
      <c r="BJ38" s="1864">
        <v>0</v>
      </c>
      <c r="BK38" s="1864">
        <v>0</v>
      </c>
      <c r="BL38" s="1864">
        <v>0</v>
      </c>
      <c r="BM38" s="1864">
        <v>0</v>
      </c>
      <c r="BN38" s="1864">
        <v>0</v>
      </c>
      <c r="BO38" s="1799">
        <v>-9.2921107480653492E-2</v>
      </c>
      <c r="BP38" s="1863"/>
      <c r="BQ38" s="1865">
        <v>0</v>
      </c>
      <c r="BR38" s="1865">
        <v>0</v>
      </c>
      <c r="BS38" s="1800">
        <v>0</v>
      </c>
      <c r="BT38" s="1863"/>
      <c r="BU38" s="1814">
        <v>0</v>
      </c>
      <c r="BV38" s="1814">
        <v>0</v>
      </c>
      <c r="BW38" s="1814">
        <v>0</v>
      </c>
      <c r="BX38" s="1866">
        <v>0</v>
      </c>
      <c r="BY38" s="1866">
        <v>0</v>
      </c>
      <c r="BZ38" s="1866">
        <v>0</v>
      </c>
      <c r="CA38" s="1866">
        <v>0</v>
      </c>
      <c r="CB38" s="1866">
        <v>0</v>
      </c>
      <c r="CC38" s="1866">
        <v>0</v>
      </c>
      <c r="CD38" s="1866">
        <v>0</v>
      </c>
      <c r="CE38" s="1866">
        <v>0</v>
      </c>
      <c r="CF38" s="1866">
        <v>0</v>
      </c>
      <c r="CG38" s="1866">
        <v>0</v>
      </c>
      <c r="CH38" s="1866">
        <v>0</v>
      </c>
      <c r="CI38" s="1866">
        <v>0</v>
      </c>
      <c r="CJ38" s="1866">
        <v>0</v>
      </c>
      <c r="CK38" s="1866">
        <v>0</v>
      </c>
      <c r="CL38" s="1866">
        <v>0</v>
      </c>
      <c r="CM38" s="1866">
        <v>0</v>
      </c>
      <c r="CN38" s="1866">
        <v>0</v>
      </c>
      <c r="CO38" s="1866">
        <v>0</v>
      </c>
      <c r="CP38" s="1866">
        <v>0</v>
      </c>
      <c r="CQ38" s="1866">
        <v>0</v>
      </c>
      <c r="CR38" s="1866">
        <v>0</v>
      </c>
      <c r="CS38" s="1866">
        <v>0</v>
      </c>
      <c r="CT38" s="1866">
        <v>0</v>
      </c>
      <c r="CU38" s="1866">
        <v>0</v>
      </c>
      <c r="CV38" s="1866">
        <v>0</v>
      </c>
      <c r="CW38" s="1866">
        <v>0</v>
      </c>
      <c r="CX38" s="1866">
        <v>0</v>
      </c>
      <c r="CY38" s="1866">
        <v>0</v>
      </c>
      <c r="CZ38" s="1866">
        <v>0</v>
      </c>
      <c r="DA38" s="1866">
        <v>0</v>
      </c>
      <c r="DB38" s="1866">
        <v>0</v>
      </c>
      <c r="DC38" s="1866">
        <v>0</v>
      </c>
      <c r="DD38" s="1866">
        <v>0</v>
      </c>
      <c r="DE38" s="1866">
        <v>0</v>
      </c>
      <c r="DF38" s="1866">
        <v>0</v>
      </c>
      <c r="DG38" s="1866">
        <v>0</v>
      </c>
      <c r="DH38" s="1866">
        <v>0</v>
      </c>
      <c r="DI38" s="1866">
        <v>0</v>
      </c>
      <c r="DJ38" s="1866">
        <v>0</v>
      </c>
      <c r="DK38" s="1866">
        <v>0</v>
      </c>
      <c r="DL38" s="1866">
        <v>0</v>
      </c>
      <c r="DM38" s="1866">
        <v>0</v>
      </c>
      <c r="DN38" s="1866">
        <v>0</v>
      </c>
      <c r="DO38" s="1866">
        <v>0</v>
      </c>
      <c r="DP38" s="1863"/>
      <c r="DQ38" s="1867">
        <v>0</v>
      </c>
    </row>
    <row r="39" spans="1:121" s="1803" customFormat="1" ht="12.75" customHeight="1" outlineLevel="1">
      <c r="C39" s="1804" t="s">
        <v>4071</v>
      </c>
      <c r="D39" s="1805" t="s">
        <v>4072</v>
      </c>
      <c r="E39" s="1852"/>
      <c r="G39" s="1859">
        <v>0</v>
      </c>
      <c r="H39" s="1859">
        <v>0</v>
      </c>
      <c r="I39" s="1859">
        <v>0</v>
      </c>
      <c r="J39" s="1859">
        <v>0</v>
      </c>
      <c r="K39" s="1859">
        <v>0</v>
      </c>
      <c r="L39" s="1859">
        <v>0</v>
      </c>
      <c r="M39" s="1859">
        <v>0</v>
      </c>
      <c r="N39" s="1859">
        <v>0</v>
      </c>
      <c r="O39" s="1859">
        <v>0</v>
      </c>
      <c r="P39" s="1859">
        <v>0</v>
      </c>
      <c r="Q39" s="1859">
        <v>0</v>
      </c>
      <c r="R39" s="1859">
        <v>0</v>
      </c>
      <c r="S39" s="1859">
        <v>0</v>
      </c>
      <c r="T39" s="1807">
        <v>0</v>
      </c>
      <c r="U39" s="1859">
        <v>0</v>
      </c>
      <c r="V39" s="1861">
        <v>0</v>
      </c>
      <c r="W39" s="1861">
        <v>5.9047082558899397</v>
      </c>
      <c r="X39" s="1862">
        <v>0</v>
      </c>
      <c r="Y39" s="1862">
        <v>0</v>
      </c>
      <c r="Z39" s="1861">
        <v>0</v>
      </c>
      <c r="AA39" s="1861">
        <v>0</v>
      </c>
      <c r="AB39" s="1861">
        <v>0</v>
      </c>
      <c r="AC39" s="1861">
        <v>0</v>
      </c>
      <c r="AD39" s="1861">
        <v>0</v>
      </c>
      <c r="AE39" s="1861">
        <v>0</v>
      </c>
      <c r="AF39" s="1861">
        <v>0</v>
      </c>
      <c r="AG39" s="1861">
        <v>0</v>
      </c>
      <c r="AH39" s="1861">
        <v>0</v>
      </c>
      <c r="AI39" s="1861">
        <v>0</v>
      </c>
      <c r="AJ39" s="1861">
        <v>0</v>
      </c>
      <c r="AK39" s="1861">
        <v>0</v>
      </c>
      <c r="AL39" s="1861">
        <v>0</v>
      </c>
      <c r="AM39" s="1861">
        <v>0</v>
      </c>
      <c r="AN39" s="1861">
        <v>0</v>
      </c>
      <c r="AO39" s="1861">
        <v>0</v>
      </c>
      <c r="AP39" s="1861">
        <v>0</v>
      </c>
      <c r="AQ39" s="1861">
        <v>0</v>
      </c>
      <c r="AR39" s="1861">
        <v>0</v>
      </c>
      <c r="AS39" s="1861">
        <v>0</v>
      </c>
      <c r="AT39" s="1819">
        <v>5.9047082558899397</v>
      </c>
      <c r="AU39" s="1859">
        <v>0</v>
      </c>
      <c r="AV39" s="1864">
        <v>0</v>
      </c>
      <c r="AW39" s="1864">
        <v>0</v>
      </c>
      <c r="AX39" s="1864">
        <v>0</v>
      </c>
      <c r="AY39" s="1864">
        <v>0</v>
      </c>
      <c r="AZ39" s="1864">
        <v>0</v>
      </c>
      <c r="BA39" s="1864">
        <v>0</v>
      </c>
      <c r="BB39" s="1864">
        <v>0</v>
      </c>
      <c r="BC39" s="1864">
        <v>0</v>
      </c>
      <c r="BD39" s="1864">
        <v>0</v>
      </c>
      <c r="BE39" s="1864">
        <v>0</v>
      </c>
      <c r="BF39" s="1864">
        <v>0</v>
      </c>
      <c r="BG39" s="1864">
        <v>-5.9047082558899397</v>
      </c>
      <c r="BH39" s="1864">
        <v>0</v>
      </c>
      <c r="BI39" s="1864">
        <v>0</v>
      </c>
      <c r="BJ39" s="1864">
        <v>0</v>
      </c>
      <c r="BK39" s="1864">
        <v>0</v>
      </c>
      <c r="BL39" s="1864">
        <v>0</v>
      </c>
      <c r="BM39" s="1864">
        <v>0</v>
      </c>
      <c r="BN39" s="1864">
        <v>0</v>
      </c>
      <c r="BO39" s="1799">
        <v>-5.9047082558899397</v>
      </c>
      <c r="BP39" s="1859">
        <v>0</v>
      </c>
      <c r="BQ39" s="1865">
        <v>0</v>
      </c>
      <c r="BR39" s="1865">
        <v>0</v>
      </c>
      <c r="BS39" s="1800">
        <v>0</v>
      </c>
      <c r="BT39" s="1859">
        <v>0</v>
      </c>
      <c r="BU39" s="1814">
        <v>0</v>
      </c>
      <c r="BV39" s="1814">
        <v>0</v>
      </c>
      <c r="BW39" s="1814">
        <v>0</v>
      </c>
      <c r="BX39" s="1866">
        <v>0</v>
      </c>
      <c r="BY39" s="1866">
        <v>0</v>
      </c>
      <c r="BZ39" s="1866">
        <v>0</v>
      </c>
      <c r="CA39" s="1866">
        <v>0</v>
      </c>
      <c r="CB39" s="1866">
        <v>0</v>
      </c>
      <c r="CC39" s="1866">
        <v>0</v>
      </c>
      <c r="CD39" s="1866">
        <v>0</v>
      </c>
      <c r="CE39" s="1866">
        <v>0</v>
      </c>
      <c r="CF39" s="1866">
        <v>0</v>
      </c>
      <c r="CG39" s="1866">
        <v>0</v>
      </c>
      <c r="CH39" s="1866">
        <v>0</v>
      </c>
      <c r="CI39" s="1866">
        <v>0</v>
      </c>
      <c r="CJ39" s="1866">
        <v>0</v>
      </c>
      <c r="CK39" s="1866">
        <v>0</v>
      </c>
      <c r="CL39" s="1866">
        <v>0</v>
      </c>
      <c r="CM39" s="1866">
        <v>0</v>
      </c>
      <c r="CN39" s="1866">
        <v>0</v>
      </c>
      <c r="CO39" s="1866">
        <v>0</v>
      </c>
      <c r="CP39" s="1866">
        <v>0</v>
      </c>
      <c r="CQ39" s="1866">
        <v>0</v>
      </c>
      <c r="CR39" s="1866">
        <v>0</v>
      </c>
      <c r="CS39" s="1866">
        <v>0</v>
      </c>
      <c r="CT39" s="1866">
        <v>0</v>
      </c>
      <c r="CU39" s="1866">
        <v>0</v>
      </c>
      <c r="CV39" s="1866">
        <v>0</v>
      </c>
      <c r="CW39" s="1866">
        <v>0</v>
      </c>
      <c r="CX39" s="1866">
        <v>0</v>
      </c>
      <c r="CY39" s="1866">
        <v>0</v>
      </c>
      <c r="CZ39" s="1866">
        <v>0</v>
      </c>
      <c r="DA39" s="1866">
        <v>0</v>
      </c>
      <c r="DB39" s="1866">
        <v>0</v>
      </c>
      <c r="DC39" s="1866">
        <v>0</v>
      </c>
      <c r="DD39" s="1866">
        <v>0</v>
      </c>
      <c r="DE39" s="1866">
        <v>0</v>
      </c>
      <c r="DF39" s="1866">
        <v>0</v>
      </c>
      <c r="DG39" s="1866">
        <v>0</v>
      </c>
      <c r="DH39" s="1866">
        <v>0</v>
      </c>
      <c r="DI39" s="1866">
        <v>0</v>
      </c>
      <c r="DJ39" s="1866">
        <v>0</v>
      </c>
      <c r="DK39" s="1866">
        <v>0</v>
      </c>
      <c r="DL39" s="1866">
        <v>0</v>
      </c>
      <c r="DM39" s="1866">
        <v>0</v>
      </c>
      <c r="DN39" s="1866">
        <v>0</v>
      </c>
      <c r="DO39" s="1866">
        <v>0</v>
      </c>
      <c r="DP39" s="1863"/>
      <c r="DQ39" s="1867">
        <v>0</v>
      </c>
    </row>
    <row r="40" spans="1:121" s="1803" customFormat="1" ht="12.75" customHeight="1" outlineLevel="1">
      <c r="C40" s="1804" t="s">
        <v>4074</v>
      </c>
      <c r="D40" s="1805" t="s">
        <v>4075</v>
      </c>
      <c r="E40" s="1805"/>
      <c r="F40" s="1199"/>
      <c r="G40" s="1859">
        <v>0</v>
      </c>
      <c r="H40" s="1859">
        <v>0</v>
      </c>
      <c r="I40" s="1859">
        <v>0</v>
      </c>
      <c r="J40" s="1859">
        <v>0</v>
      </c>
      <c r="K40" s="1859">
        <v>0</v>
      </c>
      <c r="L40" s="1859">
        <v>0</v>
      </c>
      <c r="M40" s="1859">
        <v>0</v>
      </c>
      <c r="N40" s="1859">
        <v>0</v>
      </c>
      <c r="O40" s="1859">
        <v>0</v>
      </c>
      <c r="P40" s="1859">
        <v>0</v>
      </c>
      <c r="Q40" s="1859">
        <v>0</v>
      </c>
      <c r="R40" s="1859">
        <v>0</v>
      </c>
      <c r="S40" s="1859">
        <v>0</v>
      </c>
      <c r="T40" s="1807">
        <v>0</v>
      </c>
      <c r="U40" s="1859">
        <v>0</v>
      </c>
      <c r="V40" s="1861">
        <v>0</v>
      </c>
      <c r="W40" s="1861">
        <v>0</v>
      </c>
      <c r="X40" s="1862">
        <v>0</v>
      </c>
      <c r="Y40" s="1862">
        <v>0</v>
      </c>
      <c r="Z40" s="1861">
        <v>0</v>
      </c>
      <c r="AA40" s="1861">
        <v>0</v>
      </c>
      <c r="AB40" s="1861">
        <v>0</v>
      </c>
      <c r="AC40" s="1861">
        <v>0</v>
      </c>
      <c r="AD40" s="1861">
        <v>0</v>
      </c>
      <c r="AE40" s="1861">
        <v>0</v>
      </c>
      <c r="AF40" s="1861">
        <v>0</v>
      </c>
      <c r="AG40" s="1861">
        <v>0</v>
      </c>
      <c r="AH40" s="1861">
        <v>0</v>
      </c>
      <c r="AI40" s="1861">
        <v>0</v>
      </c>
      <c r="AJ40" s="1861">
        <v>0</v>
      </c>
      <c r="AK40" s="1861">
        <v>0</v>
      </c>
      <c r="AL40" s="1861">
        <v>0</v>
      </c>
      <c r="AM40" s="1861">
        <v>0</v>
      </c>
      <c r="AN40" s="1861">
        <v>0</v>
      </c>
      <c r="AO40" s="1861">
        <v>0</v>
      </c>
      <c r="AP40" s="1861">
        <v>0</v>
      </c>
      <c r="AQ40" s="1861">
        <v>0</v>
      </c>
      <c r="AR40" s="1861">
        <v>0</v>
      </c>
      <c r="AS40" s="1861">
        <v>0</v>
      </c>
      <c r="AT40" s="1819">
        <v>0</v>
      </c>
      <c r="AU40" s="1859">
        <v>0</v>
      </c>
      <c r="AV40" s="1864">
        <v>0</v>
      </c>
      <c r="AW40" s="1864">
        <v>0</v>
      </c>
      <c r="AX40" s="1864">
        <v>0</v>
      </c>
      <c r="AY40" s="1864">
        <v>0</v>
      </c>
      <c r="AZ40" s="1864">
        <v>0</v>
      </c>
      <c r="BA40" s="1864">
        <v>0</v>
      </c>
      <c r="BB40" s="1864">
        <v>0</v>
      </c>
      <c r="BC40" s="1864">
        <v>0</v>
      </c>
      <c r="BD40" s="1864">
        <v>0</v>
      </c>
      <c r="BE40" s="1864">
        <v>0</v>
      </c>
      <c r="BF40" s="1864">
        <v>0</v>
      </c>
      <c r="BG40" s="1864">
        <v>0</v>
      </c>
      <c r="BH40" s="1864">
        <v>0</v>
      </c>
      <c r="BI40" s="1864">
        <v>0</v>
      </c>
      <c r="BJ40" s="1864">
        <v>0</v>
      </c>
      <c r="BK40" s="1864">
        <v>0</v>
      </c>
      <c r="BL40" s="1864">
        <v>0</v>
      </c>
      <c r="BM40" s="1864">
        <v>0</v>
      </c>
      <c r="BN40" s="1864">
        <v>0</v>
      </c>
      <c r="BO40" s="1799">
        <v>0</v>
      </c>
      <c r="BP40" s="1859">
        <v>0</v>
      </c>
      <c r="BQ40" s="1865">
        <v>0</v>
      </c>
      <c r="BR40" s="1865">
        <v>0</v>
      </c>
      <c r="BS40" s="1800">
        <v>0</v>
      </c>
      <c r="BT40" s="1859">
        <v>0</v>
      </c>
      <c r="BU40" s="1814">
        <v>0</v>
      </c>
      <c r="BV40" s="1814"/>
      <c r="BW40" s="1814"/>
      <c r="BX40" s="1866">
        <v>0</v>
      </c>
      <c r="BY40" s="1866">
        <v>0</v>
      </c>
      <c r="BZ40" s="1866">
        <v>0</v>
      </c>
      <c r="CA40" s="1866">
        <v>0</v>
      </c>
      <c r="CB40" s="1866">
        <v>0</v>
      </c>
      <c r="CC40" s="1866">
        <v>0</v>
      </c>
      <c r="CD40" s="1866">
        <v>0</v>
      </c>
      <c r="CE40" s="1866">
        <v>0</v>
      </c>
      <c r="CF40" s="1866">
        <v>0</v>
      </c>
      <c r="CG40" s="1866">
        <v>0</v>
      </c>
      <c r="CH40" s="1866">
        <v>0</v>
      </c>
      <c r="CI40" s="1866">
        <v>0</v>
      </c>
      <c r="CJ40" s="1866">
        <v>0</v>
      </c>
      <c r="CK40" s="1866">
        <v>0</v>
      </c>
      <c r="CL40" s="1866">
        <v>0</v>
      </c>
      <c r="CM40" s="1866">
        <v>0</v>
      </c>
      <c r="CN40" s="1866">
        <v>0</v>
      </c>
      <c r="CO40" s="1866">
        <v>0</v>
      </c>
      <c r="CP40" s="1866">
        <v>0</v>
      </c>
      <c r="CQ40" s="1866">
        <v>0</v>
      </c>
      <c r="CR40" s="1866">
        <v>0</v>
      </c>
      <c r="CS40" s="1866">
        <v>0</v>
      </c>
      <c r="CT40" s="1866">
        <v>0</v>
      </c>
      <c r="CU40" s="1866">
        <v>0</v>
      </c>
      <c r="CV40" s="1866">
        <v>0</v>
      </c>
      <c r="CW40" s="1866">
        <v>0</v>
      </c>
      <c r="CX40" s="1866">
        <v>0</v>
      </c>
      <c r="CY40" s="1866">
        <v>0</v>
      </c>
      <c r="CZ40" s="1866">
        <v>0</v>
      </c>
      <c r="DA40" s="1866">
        <v>0</v>
      </c>
      <c r="DB40" s="1866">
        <v>0</v>
      </c>
      <c r="DC40" s="1866">
        <v>0</v>
      </c>
      <c r="DD40" s="1866">
        <v>0</v>
      </c>
      <c r="DE40" s="1866">
        <v>0</v>
      </c>
      <c r="DF40" s="1866">
        <v>0</v>
      </c>
      <c r="DG40" s="1866">
        <v>0</v>
      </c>
      <c r="DH40" s="1866">
        <v>0</v>
      </c>
      <c r="DI40" s="1866">
        <v>0</v>
      </c>
      <c r="DJ40" s="1866">
        <v>0</v>
      </c>
      <c r="DK40" s="1866">
        <v>0</v>
      </c>
      <c r="DL40" s="1866">
        <v>0</v>
      </c>
      <c r="DM40" s="1866">
        <v>0</v>
      </c>
      <c r="DN40" s="1866">
        <v>0</v>
      </c>
      <c r="DO40" s="1866">
        <v>0</v>
      </c>
      <c r="DP40" s="1863"/>
      <c r="DQ40" s="1867">
        <v>0</v>
      </c>
    </row>
    <row r="41" spans="1:121" s="1803" customFormat="1" ht="12.75" customHeight="1" outlineLevel="1">
      <c r="C41" s="1804" t="s">
        <v>4076</v>
      </c>
      <c r="D41" s="1805" t="s">
        <v>4077</v>
      </c>
      <c r="E41" s="1852"/>
      <c r="F41" s="1199"/>
      <c r="G41" s="1859">
        <v>0</v>
      </c>
      <c r="H41" s="1859">
        <v>0</v>
      </c>
      <c r="I41" s="1859">
        <v>0</v>
      </c>
      <c r="J41" s="1859">
        <v>0</v>
      </c>
      <c r="K41" s="1859">
        <v>0</v>
      </c>
      <c r="L41" s="1859">
        <v>0</v>
      </c>
      <c r="M41" s="1859">
        <v>0</v>
      </c>
      <c r="N41" s="1859">
        <v>0</v>
      </c>
      <c r="O41" s="1859">
        <v>0</v>
      </c>
      <c r="P41" s="1859">
        <v>0</v>
      </c>
      <c r="Q41" s="1859">
        <v>0</v>
      </c>
      <c r="R41" s="1859">
        <v>0</v>
      </c>
      <c r="S41" s="1859">
        <v>0</v>
      </c>
      <c r="T41" s="1807">
        <v>0</v>
      </c>
      <c r="U41" s="1868"/>
      <c r="V41" s="1861">
        <v>0</v>
      </c>
      <c r="W41" s="1861">
        <v>0.8992875838349097</v>
      </c>
      <c r="X41" s="1862">
        <v>0</v>
      </c>
      <c r="Y41" s="1862">
        <v>0</v>
      </c>
      <c r="Z41" s="1861">
        <v>0</v>
      </c>
      <c r="AA41" s="1861">
        <v>0</v>
      </c>
      <c r="AB41" s="1861">
        <v>0</v>
      </c>
      <c r="AC41" s="1861">
        <v>0</v>
      </c>
      <c r="AD41" s="1861">
        <v>0</v>
      </c>
      <c r="AE41" s="1861">
        <v>0</v>
      </c>
      <c r="AF41" s="1861">
        <v>0</v>
      </c>
      <c r="AG41" s="1861">
        <v>0</v>
      </c>
      <c r="AH41" s="1861">
        <v>0</v>
      </c>
      <c r="AI41" s="1861">
        <v>0</v>
      </c>
      <c r="AJ41" s="1861">
        <v>0</v>
      </c>
      <c r="AK41" s="1861">
        <v>0</v>
      </c>
      <c r="AL41" s="1861">
        <v>0</v>
      </c>
      <c r="AM41" s="1861">
        <v>0</v>
      </c>
      <c r="AN41" s="1861">
        <v>0</v>
      </c>
      <c r="AO41" s="1861">
        <v>0</v>
      </c>
      <c r="AP41" s="1861">
        <v>0</v>
      </c>
      <c r="AQ41" s="1861">
        <v>0</v>
      </c>
      <c r="AR41" s="1861">
        <v>0</v>
      </c>
      <c r="AS41" s="1861">
        <v>0</v>
      </c>
      <c r="AT41" s="1819">
        <v>0.8992875838349097</v>
      </c>
      <c r="AU41" s="1868"/>
      <c r="AV41" s="1864">
        <v>0</v>
      </c>
      <c r="AW41" s="1864">
        <v>0</v>
      </c>
      <c r="AX41" s="1864">
        <v>0</v>
      </c>
      <c r="AY41" s="1864">
        <v>0</v>
      </c>
      <c r="AZ41" s="1864">
        <v>0</v>
      </c>
      <c r="BA41" s="1864">
        <v>0</v>
      </c>
      <c r="BB41" s="1864">
        <v>0</v>
      </c>
      <c r="BC41" s="1864">
        <v>0</v>
      </c>
      <c r="BD41" s="1864">
        <v>0</v>
      </c>
      <c r="BE41" s="1864">
        <v>0</v>
      </c>
      <c r="BF41" s="1864">
        <v>0</v>
      </c>
      <c r="BG41" s="1864">
        <v>0</v>
      </c>
      <c r="BH41" s="1864">
        <v>0</v>
      </c>
      <c r="BI41" s="1864">
        <v>0</v>
      </c>
      <c r="BJ41" s="1864">
        <v>0</v>
      </c>
      <c r="BK41" s="1864">
        <v>-0.8992875838349097</v>
      </c>
      <c r="BL41" s="1864">
        <v>0</v>
      </c>
      <c r="BM41" s="1864">
        <v>0</v>
      </c>
      <c r="BN41" s="1864">
        <v>0</v>
      </c>
      <c r="BO41" s="1799">
        <v>-0.8992875838349097</v>
      </c>
      <c r="BP41" s="1868"/>
      <c r="BQ41" s="1865">
        <v>0</v>
      </c>
      <c r="BR41" s="1865">
        <v>0</v>
      </c>
      <c r="BS41" s="1800">
        <v>0</v>
      </c>
      <c r="BT41" s="1868"/>
      <c r="BU41" s="1814">
        <v>0</v>
      </c>
      <c r="BV41" s="1814"/>
      <c r="BW41" s="1814"/>
      <c r="BX41" s="1866">
        <v>0</v>
      </c>
      <c r="BY41" s="1866">
        <v>0</v>
      </c>
      <c r="BZ41" s="1866">
        <v>0</v>
      </c>
      <c r="CA41" s="1866">
        <v>0</v>
      </c>
      <c r="CB41" s="1866">
        <v>0</v>
      </c>
      <c r="CC41" s="1866">
        <v>0</v>
      </c>
      <c r="CD41" s="1866">
        <v>0</v>
      </c>
      <c r="CE41" s="1866">
        <v>0</v>
      </c>
      <c r="CF41" s="1866">
        <v>0</v>
      </c>
      <c r="CG41" s="1866">
        <v>0</v>
      </c>
      <c r="CH41" s="1866">
        <v>0</v>
      </c>
      <c r="CI41" s="1866">
        <v>0</v>
      </c>
      <c r="CJ41" s="1866">
        <v>0</v>
      </c>
      <c r="CK41" s="1866">
        <v>0</v>
      </c>
      <c r="CL41" s="1866">
        <v>0</v>
      </c>
      <c r="CM41" s="1866">
        <v>0</v>
      </c>
      <c r="CN41" s="1866">
        <v>0</v>
      </c>
      <c r="CO41" s="1866">
        <v>0</v>
      </c>
      <c r="CP41" s="1866">
        <v>0</v>
      </c>
      <c r="CQ41" s="1866">
        <v>0</v>
      </c>
      <c r="CR41" s="1866">
        <v>0</v>
      </c>
      <c r="CS41" s="1866">
        <v>0</v>
      </c>
      <c r="CT41" s="1866">
        <v>0</v>
      </c>
      <c r="CU41" s="1866">
        <v>0</v>
      </c>
      <c r="CV41" s="1866">
        <v>0</v>
      </c>
      <c r="CW41" s="1866">
        <v>0</v>
      </c>
      <c r="CX41" s="1866">
        <v>0</v>
      </c>
      <c r="CY41" s="1866">
        <v>0</v>
      </c>
      <c r="CZ41" s="1866">
        <v>0</v>
      </c>
      <c r="DA41" s="1866">
        <v>0</v>
      </c>
      <c r="DB41" s="1866">
        <v>0</v>
      </c>
      <c r="DC41" s="1866">
        <v>0</v>
      </c>
      <c r="DD41" s="1866">
        <v>0</v>
      </c>
      <c r="DE41" s="1866">
        <v>0</v>
      </c>
      <c r="DF41" s="1866">
        <v>0</v>
      </c>
      <c r="DG41" s="1866">
        <v>0</v>
      </c>
      <c r="DH41" s="1866">
        <v>0</v>
      </c>
      <c r="DI41" s="1866">
        <v>0</v>
      </c>
      <c r="DJ41" s="1866">
        <v>0</v>
      </c>
      <c r="DK41" s="1866">
        <v>0</v>
      </c>
      <c r="DL41" s="1866">
        <v>0</v>
      </c>
      <c r="DM41" s="1866">
        <v>0</v>
      </c>
      <c r="DN41" s="1866">
        <v>0</v>
      </c>
      <c r="DO41" s="1866">
        <v>0</v>
      </c>
      <c r="DP41" s="1863"/>
      <c r="DQ41" s="1867">
        <v>0</v>
      </c>
    </row>
    <row r="42" spans="1:121" s="1803" customFormat="1" ht="12.75" customHeight="1" outlineLevel="1">
      <c r="C42" s="1804" t="s">
        <v>4078</v>
      </c>
      <c r="D42" s="1805" t="s">
        <v>4079</v>
      </c>
      <c r="E42" s="1852"/>
      <c r="F42" s="1199"/>
      <c r="G42" s="1859">
        <v>0</v>
      </c>
      <c r="H42" s="1859">
        <v>0</v>
      </c>
      <c r="I42" s="1859">
        <v>0</v>
      </c>
      <c r="J42" s="1859">
        <v>0</v>
      </c>
      <c r="K42" s="1859">
        <v>0</v>
      </c>
      <c r="L42" s="1859">
        <v>0</v>
      </c>
      <c r="M42" s="1859">
        <v>0</v>
      </c>
      <c r="N42" s="1859">
        <v>0</v>
      </c>
      <c r="O42" s="1859">
        <v>0</v>
      </c>
      <c r="P42" s="1859">
        <v>0</v>
      </c>
      <c r="Q42" s="1859">
        <v>0</v>
      </c>
      <c r="R42" s="1859">
        <v>0</v>
      </c>
      <c r="S42" s="1859">
        <v>0</v>
      </c>
      <c r="T42" s="1807">
        <v>0</v>
      </c>
      <c r="U42" s="1868"/>
      <c r="V42" s="1861">
        <v>0</v>
      </c>
      <c r="W42" s="1861">
        <v>0.77908759788753235</v>
      </c>
      <c r="X42" s="1862">
        <v>0</v>
      </c>
      <c r="Y42" s="1862">
        <v>0</v>
      </c>
      <c r="Z42" s="1861">
        <v>0</v>
      </c>
      <c r="AA42" s="1861">
        <v>0</v>
      </c>
      <c r="AB42" s="1861">
        <v>0</v>
      </c>
      <c r="AC42" s="1861">
        <v>0</v>
      </c>
      <c r="AD42" s="1861">
        <v>0</v>
      </c>
      <c r="AE42" s="1861">
        <v>0</v>
      </c>
      <c r="AF42" s="1861">
        <v>0</v>
      </c>
      <c r="AG42" s="1861">
        <v>0</v>
      </c>
      <c r="AH42" s="1861">
        <v>0</v>
      </c>
      <c r="AI42" s="1861">
        <v>0</v>
      </c>
      <c r="AJ42" s="1861">
        <v>0</v>
      </c>
      <c r="AK42" s="1861">
        <v>0</v>
      </c>
      <c r="AL42" s="1861">
        <v>0</v>
      </c>
      <c r="AM42" s="1861">
        <v>0</v>
      </c>
      <c r="AN42" s="1861">
        <v>0</v>
      </c>
      <c r="AO42" s="1861">
        <v>0</v>
      </c>
      <c r="AP42" s="1861">
        <v>0</v>
      </c>
      <c r="AQ42" s="1861">
        <v>0.5905059410096718</v>
      </c>
      <c r="AR42" s="1861">
        <v>0</v>
      </c>
      <c r="AS42" s="1861">
        <v>0</v>
      </c>
      <c r="AT42" s="1819">
        <v>1.3695935388972043</v>
      </c>
      <c r="AU42" s="1868"/>
      <c r="AV42" s="1864">
        <v>0</v>
      </c>
      <c r="AW42" s="1864">
        <v>0</v>
      </c>
      <c r="AX42" s="1864">
        <v>0</v>
      </c>
      <c r="AY42" s="1864">
        <v>0</v>
      </c>
      <c r="AZ42" s="1864">
        <v>0</v>
      </c>
      <c r="BA42" s="1864">
        <v>0</v>
      </c>
      <c r="BB42" s="1864">
        <v>0</v>
      </c>
      <c r="BC42" s="1864">
        <v>0</v>
      </c>
      <c r="BD42" s="1864">
        <v>0</v>
      </c>
      <c r="BE42" s="1864">
        <v>0</v>
      </c>
      <c r="BF42" s="1864">
        <v>-1.3695935388972043</v>
      </c>
      <c r="BG42" s="1864">
        <v>0</v>
      </c>
      <c r="BH42" s="1864">
        <v>0</v>
      </c>
      <c r="BI42" s="1864">
        <v>0</v>
      </c>
      <c r="BJ42" s="1864">
        <v>0</v>
      </c>
      <c r="BK42" s="1864">
        <v>0</v>
      </c>
      <c r="BL42" s="1864">
        <v>0</v>
      </c>
      <c r="BM42" s="1864">
        <v>0</v>
      </c>
      <c r="BN42" s="1864">
        <v>0</v>
      </c>
      <c r="BO42" s="1799">
        <v>-1.3695935388972043</v>
      </c>
      <c r="BP42" s="1868"/>
      <c r="BQ42" s="1865">
        <v>0</v>
      </c>
      <c r="BR42" s="1865">
        <v>0</v>
      </c>
      <c r="BS42" s="1800">
        <v>0</v>
      </c>
      <c r="BT42" s="1868"/>
      <c r="BU42" s="1814">
        <v>0</v>
      </c>
      <c r="BV42" s="1814"/>
      <c r="BW42" s="1814"/>
      <c r="BX42" s="1866">
        <v>0</v>
      </c>
      <c r="BY42" s="1866">
        <v>0</v>
      </c>
      <c r="BZ42" s="1866">
        <v>0</v>
      </c>
      <c r="CA42" s="1866">
        <v>0</v>
      </c>
      <c r="CB42" s="1866">
        <v>0</v>
      </c>
      <c r="CC42" s="1866">
        <v>0</v>
      </c>
      <c r="CD42" s="1866">
        <v>0</v>
      </c>
      <c r="CE42" s="1866">
        <v>0</v>
      </c>
      <c r="CF42" s="1866">
        <v>0</v>
      </c>
      <c r="CG42" s="1866">
        <v>0</v>
      </c>
      <c r="CH42" s="1866">
        <v>0</v>
      </c>
      <c r="CI42" s="1866">
        <v>0</v>
      </c>
      <c r="CJ42" s="1866">
        <v>0</v>
      </c>
      <c r="CK42" s="1866">
        <v>0</v>
      </c>
      <c r="CL42" s="1866">
        <v>0</v>
      </c>
      <c r="CM42" s="1866">
        <v>0</v>
      </c>
      <c r="CN42" s="1866">
        <v>0</v>
      </c>
      <c r="CO42" s="1866">
        <v>0</v>
      </c>
      <c r="CP42" s="1866">
        <v>0</v>
      </c>
      <c r="CQ42" s="1866">
        <v>0</v>
      </c>
      <c r="CR42" s="1866">
        <v>0</v>
      </c>
      <c r="CS42" s="1866">
        <v>0</v>
      </c>
      <c r="CT42" s="1866">
        <v>0</v>
      </c>
      <c r="CU42" s="1866">
        <v>0</v>
      </c>
      <c r="CV42" s="1866">
        <v>0</v>
      </c>
      <c r="CW42" s="1866">
        <v>0</v>
      </c>
      <c r="CX42" s="1866">
        <v>0</v>
      </c>
      <c r="CY42" s="1866">
        <v>0</v>
      </c>
      <c r="CZ42" s="1866">
        <v>0</v>
      </c>
      <c r="DA42" s="1866">
        <v>0</v>
      </c>
      <c r="DB42" s="1866">
        <v>0</v>
      </c>
      <c r="DC42" s="1866">
        <v>0</v>
      </c>
      <c r="DD42" s="1866">
        <v>0</v>
      </c>
      <c r="DE42" s="1866">
        <v>0</v>
      </c>
      <c r="DF42" s="1866">
        <v>0</v>
      </c>
      <c r="DG42" s="1866">
        <v>0</v>
      </c>
      <c r="DH42" s="1866">
        <v>0</v>
      </c>
      <c r="DI42" s="1866">
        <v>0</v>
      </c>
      <c r="DJ42" s="1866">
        <v>0</v>
      </c>
      <c r="DK42" s="1866">
        <v>0</v>
      </c>
      <c r="DL42" s="1866">
        <v>0</v>
      </c>
      <c r="DM42" s="1866">
        <v>0</v>
      </c>
      <c r="DN42" s="1866">
        <v>0</v>
      </c>
      <c r="DO42" s="1866">
        <v>0</v>
      </c>
      <c r="DP42" s="1863"/>
      <c r="DQ42" s="1867">
        <v>0</v>
      </c>
    </row>
    <row r="43" spans="1:121" s="1803" customFormat="1" ht="12.75" customHeight="1" outlineLevel="1">
      <c r="C43" s="1804" t="s">
        <v>4784</v>
      </c>
      <c r="D43" s="1805" t="s">
        <v>4818</v>
      </c>
      <c r="E43" s="1852"/>
      <c r="F43" s="1199"/>
      <c r="G43" s="1859">
        <v>0</v>
      </c>
      <c r="H43" s="1859">
        <v>0</v>
      </c>
      <c r="I43" s="1859">
        <v>0</v>
      </c>
      <c r="J43" s="1859">
        <v>0</v>
      </c>
      <c r="K43" s="1859">
        <v>0</v>
      </c>
      <c r="L43" s="1859">
        <v>0</v>
      </c>
      <c r="M43" s="1859">
        <v>0</v>
      </c>
      <c r="N43" s="1859">
        <v>0</v>
      </c>
      <c r="O43" s="1859">
        <v>0</v>
      </c>
      <c r="P43" s="1859">
        <v>0</v>
      </c>
      <c r="Q43" s="1859">
        <v>0</v>
      </c>
      <c r="R43" s="1859">
        <v>0</v>
      </c>
      <c r="S43" s="1859">
        <v>0</v>
      </c>
      <c r="T43" s="1807">
        <v>0</v>
      </c>
      <c r="U43" s="1868"/>
      <c r="V43" s="1861">
        <v>0</v>
      </c>
      <c r="W43" s="1861">
        <v>0</v>
      </c>
      <c r="X43" s="1861">
        <v>0</v>
      </c>
      <c r="Y43" s="1861">
        <v>0</v>
      </c>
      <c r="Z43" s="1861">
        <v>0</v>
      </c>
      <c r="AA43" s="1861">
        <v>0</v>
      </c>
      <c r="AB43" s="1861">
        <v>0</v>
      </c>
      <c r="AC43" s="1861">
        <v>0</v>
      </c>
      <c r="AD43" s="1861">
        <v>0</v>
      </c>
      <c r="AE43" s="1861">
        <v>0</v>
      </c>
      <c r="AF43" s="1861">
        <v>0</v>
      </c>
      <c r="AG43" s="1861">
        <v>0</v>
      </c>
      <c r="AH43" s="1861">
        <v>0</v>
      </c>
      <c r="AI43" s="1861">
        <v>0</v>
      </c>
      <c r="AJ43" s="1861">
        <v>0</v>
      </c>
      <c r="AK43" s="1861">
        <v>0</v>
      </c>
      <c r="AL43" s="1861">
        <v>0</v>
      </c>
      <c r="AM43" s="1861">
        <v>0</v>
      </c>
      <c r="AN43" s="1861">
        <v>0</v>
      </c>
      <c r="AO43" s="1861">
        <v>0</v>
      </c>
      <c r="AP43" s="1861">
        <v>0</v>
      </c>
      <c r="AQ43" s="1861">
        <v>0</v>
      </c>
      <c r="AR43" s="1861">
        <v>0</v>
      </c>
      <c r="AS43" s="1861">
        <v>0</v>
      </c>
      <c r="AT43" s="1819">
        <v>0</v>
      </c>
      <c r="AU43" s="1868"/>
      <c r="AV43" s="1864">
        <v>0</v>
      </c>
      <c r="AW43" s="1864">
        <v>0</v>
      </c>
      <c r="AX43" s="1864">
        <v>0</v>
      </c>
      <c r="AY43" s="1864">
        <v>0</v>
      </c>
      <c r="AZ43" s="1864">
        <v>0</v>
      </c>
      <c r="BA43" s="1864">
        <v>0</v>
      </c>
      <c r="BB43" s="1864">
        <v>0</v>
      </c>
      <c r="BC43" s="1864">
        <v>0</v>
      </c>
      <c r="BD43" s="1864">
        <v>0</v>
      </c>
      <c r="BE43" s="1864">
        <v>0</v>
      </c>
      <c r="BF43" s="1864">
        <v>0</v>
      </c>
      <c r="BG43" s="1864">
        <v>0</v>
      </c>
      <c r="BH43" s="1864">
        <v>0</v>
      </c>
      <c r="BI43" s="1864">
        <v>0</v>
      </c>
      <c r="BJ43" s="1864">
        <v>0</v>
      </c>
      <c r="BK43" s="1864">
        <v>0</v>
      </c>
      <c r="BL43" s="1864">
        <v>0</v>
      </c>
      <c r="BM43" s="1864">
        <v>0</v>
      </c>
      <c r="BN43" s="1864">
        <v>0</v>
      </c>
      <c r="BO43" s="1799">
        <v>0</v>
      </c>
      <c r="BP43" s="1868"/>
      <c r="BQ43" s="1865">
        <v>0</v>
      </c>
      <c r="BR43" s="1865">
        <v>0</v>
      </c>
      <c r="BS43" s="1800">
        <v>0</v>
      </c>
      <c r="BT43" s="1868"/>
      <c r="BU43" s="1814">
        <v>0</v>
      </c>
      <c r="BV43" s="1814"/>
      <c r="BW43" s="1814"/>
      <c r="BX43" s="1866">
        <v>0</v>
      </c>
      <c r="BY43" s="1866">
        <v>0</v>
      </c>
      <c r="BZ43" s="1866">
        <v>0</v>
      </c>
      <c r="CA43" s="1866">
        <v>0</v>
      </c>
      <c r="CB43" s="1866">
        <v>0</v>
      </c>
      <c r="CC43" s="1866">
        <v>0</v>
      </c>
      <c r="CD43" s="1866">
        <v>0</v>
      </c>
      <c r="CE43" s="1866">
        <v>0</v>
      </c>
      <c r="CF43" s="1866">
        <v>0</v>
      </c>
      <c r="CG43" s="1866">
        <v>0</v>
      </c>
      <c r="CH43" s="1866">
        <v>0</v>
      </c>
      <c r="CI43" s="1866">
        <v>0</v>
      </c>
      <c r="CJ43" s="1866">
        <v>0</v>
      </c>
      <c r="CK43" s="1866">
        <v>0</v>
      </c>
      <c r="CL43" s="1866">
        <v>0</v>
      </c>
      <c r="CM43" s="1866">
        <v>0</v>
      </c>
      <c r="CN43" s="1866">
        <v>0</v>
      </c>
      <c r="CO43" s="1866">
        <v>0</v>
      </c>
      <c r="CP43" s="1866">
        <v>0</v>
      </c>
      <c r="CQ43" s="1866">
        <v>0</v>
      </c>
      <c r="CR43" s="1866">
        <v>0</v>
      </c>
      <c r="CS43" s="1866">
        <v>0</v>
      </c>
      <c r="CT43" s="1866">
        <v>0</v>
      </c>
      <c r="CU43" s="1866">
        <v>0</v>
      </c>
      <c r="CV43" s="1866">
        <v>0</v>
      </c>
      <c r="CW43" s="1866">
        <v>0</v>
      </c>
      <c r="CX43" s="1866">
        <v>0</v>
      </c>
      <c r="CY43" s="1866">
        <v>0</v>
      </c>
      <c r="CZ43" s="1866">
        <v>0</v>
      </c>
      <c r="DA43" s="1866">
        <v>0</v>
      </c>
      <c r="DB43" s="1866">
        <v>0</v>
      </c>
      <c r="DC43" s="1866">
        <v>0</v>
      </c>
      <c r="DD43" s="1866">
        <v>0</v>
      </c>
      <c r="DE43" s="1866">
        <v>0</v>
      </c>
      <c r="DF43" s="1866">
        <v>0</v>
      </c>
      <c r="DG43" s="1866">
        <v>0</v>
      </c>
      <c r="DH43" s="1866">
        <v>0</v>
      </c>
      <c r="DI43" s="1866">
        <v>0</v>
      </c>
      <c r="DJ43" s="1866">
        <v>0</v>
      </c>
      <c r="DK43" s="1866">
        <v>0</v>
      </c>
      <c r="DL43" s="1866">
        <v>0</v>
      </c>
      <c r="DM43" s="1866">
        <v>0</v>
      </c>
      <c r="DN43" s="1866">
        <v>0</v>
      </c>
      <c r="DO43" s="1866">
        <v>0</v>
      </c>
      <c r="DP43" s="1863"/>
      <c r="DQ43" s="1867">
        <v>0</v>
      </c>
    </row>
    <row r="44" spans="1:121" s="1199" customFormat="1" ht="16">
      <c r="B44" s="1789"/>
      <c r="C44" s="1653" t="s">
        <v>4113</v>
      </c>
      <c r="D44" s="1205" t="s">
        <v>4114</v>
      </c>
      <c r="G44" s="1779">
        <v>0</v>
      </c>
      <c r="H44" s="1779">
        <v>0</v>
      </c>
      <c r="I44" s="1779">
        <v>0</v>
      </c>
      <c r="J44" s="1779">
        <v>0</v>
      </c>
      <c r="K44" s="1779">
        <v>0</v>
      </c>
      <c r="L44" s="1779">
        <v>0</v>
      </c>
      <c r="M44" s="1779">
        <v>0</v>
      </c>
      <c r="N44" s="1779">
        <v>0</v>
      </c>
      <c r="O44" s="1779">
        <v>0</v>
      </c>
      <c r="P44" s="1779">
        <v>0</v>
      </c>
      <c r="Q44" s="1779">
        <v>0</v>
      </c>
      <c r="R44" s="1779">
        <v>0</v>
      </c>
      <c r="S44" s="1779">
        <v>0</v>
      </c>
      <c r="T44" s="1807">
        <v>0</v>
      </c>
      <c r="U44" s="1197"/>
      <c r="V44" s="1797">
        <v>0</v>
      </c>
      <c r="W44" s="1797">
        <v>13.93297855387859</v>
      </c>
      <c r="X44" s="1798">
        <v>0</v>
      </c>
      <c r="Y44" s="1798">
        <v>0</v>
      </c>
      <c r="Z44" s="1798">
        <v>0</v>
      </c>
      <c r="AA44" s="1798">
        <v>0</v>
      </c>
      <c r="AB44" s="1798">
        <v>0</v>
      </c>
      <c r="AC44" s="1798">
        <v>0</v>
      </c>
      <c r="AD44" s="1798">
        <v>0</v>
      </c>
      <c r="AE44" s="1798">
        <v>0</v>
      </c>
      <c r="AF44" s="1798">
        <v>0</v>
      </c>
      <c r="AG44" s="1798">
        <v>0</v>
      </c>
      <c r="AH44" s="1798">
        <v>0</v>
      </c>
      <c r="AI44" s="1798">
        <v>0</v>
      </c>
      <c r="AJ44" s="1798">
        <v>0</v>
      </c>
      <c r="AK44" s="1798">
        <v>0</v>
      </c>
      <c r="AL44" s="1798">
        <v>0</v>
      </c>
      <c r="AM44" s="1798">
        <v>0</v>
      </c>
      <c r="AN44" s="1798">
        <v>0</v>
      </c>
      <c r="AO44" s="1798">
        <v>0</v>
      </c>
      <c r="AP44" s="1798">
        <v>0</v>
      </c>
      <c r="AQ44" s="1798">
        <v>0.5905059410096718</v>
      </c>
      <c r="AR44" s="1798">
        <v>0</v>
      </c>
      <c r="AS44" s="1798">
        <v>0</v>
      </c>
      <c r="AT44" s="1819">
        <v>14.523484494888262</v>
      </c>
      <c r="AU44" s="1197"/>
      <c r="AV44" s="1799">
        <v>0</v>
      </c>
      <c r="AW44" s="1799">
        <v>0</v>
      </c>
      <c r="AX44" s="1799">
        <v>0</v>
      </c>
      <c r="AY44" s="1799">
        <v>0</v>
      </c>
      <c r="AZ44" s="1799">
        <v>0</v>
      </c>
      <c r="BA44" s="1799">
        <v>0</v>
      </c>
      <c r="BB44" s="1799">
        <v>0</v>
      </c>
      <c r="BC44" s="1799">
        <v>0</v>
      </c>
      <c r="BD44" s="1799">
        <v>0</v>
      </c>
      <c r="BE44" s="1799">
        <v>0</v>
      </c>
      <c r="BF44" s="1799">
        <v>-7.7194886551634117</v>
      </c>
      <c r="BG44" s="1799">
        <v>-5.9047082558899397</v>
      </c>
      <c r="BH44" s="1799">
        <v>0</v>
      </c>
      <c r="BI44" s="1799">
        <v>0</v>
      </c>
      <c r="BJ44" s="1799">
        <v>0</v>
      </c>
      <c r="BK44" s="1799">
        <v>-0.8992875838349097</v>
      </c>
      <c r="BL44" s="1799">
        <v>0</v>
      </c>
      <c r="BM44" s="1799">
        <v>0</v>
      </c>
      <c r="BN44" s="1799">
        <v>0</v>
      </c>
      <c r="BO44" s="1799">
        <v>-14.523484494888262</v>
      </c>
      <c r="BP44" s="1197"/>
      <c r="BQ44" s="1800">
        <v>0</v>
      </c>
      <c r="BR44" s="1800">
        <v>0</v>
      </c>
      <c r="BS44" s="1800">
        <v>0</v>
      </c>
      <c r="BT44" s="1197"/>
      <c r="BU44" s="1801">
        <v>0</v>
      </c>
      <c r="BV44" s="1801"/>
      <c r="BW44" s="1815"/>
      <c r="BX44" s="1817">
        <v>0</v>
      </c>
      <c r="BY44" s="1817">
        <v>0</v>
      </c>
      <c r="BZ44" s="1817">
        <v>0</v>
      </c>
      <c r="CA44" s="1817">
        <v>0</v>
      </c>
      <c r="CB44" s="1817">
        <v>0</v>
      </c>
      <c r="CC44" s="1817">
        <v>0</v>
      </c>
      <c r="CD44" s="1817">
        <v>0</v>
      </c>
      <c r="CE44" s="1817">
        <v>0</v>
      </c>
      <c r="CF44" s="1817">
        <v>0</v>
      </c>
      <c r="CG44" s="1817">
        <v>0</v>
      </c>
      <c r="CH44" s="1817">
        <v>0</v>
      </c>
      <c r="CI44" s="1817">
        <v>0</v>
      </c>
      <c r="CJ44" s="1817">
        <v>0</v>
      </c>
      <c r="CK44" s="1817">
        <v>0</v>
      </c>
      <c r="CL44" s="1817">
        <v>0</v>
      </c>
      <c r="CM44" s="1817">
        <v>0</v>
      </c>
      <c r="CN44" s="1817">
        <v>0</v>
      </c>
      <c r="CO44" s="1817">
        <v>0</v>
      </c>
      <c r="CP44" s="1817">
        <v>0</v>
      </c>
      <c r="CQ44" s="1817">
        <v>0</v>
      </c>
      <c r="CR44" s="1817">
        <v>0</v>
      </c>
      <c r="CS44" s="1817">
        <v>0</v>
      </c>
      <c r="CT44" s="1817">
        <v>0</v>
      </c>
      <c r="CU44" s="1817">
        <v>0</v>
      </c>
      <c r="CV44" s="1817">
        <v>0</v>
      </c>
      <c r="CW44" s="1817">
        <v>0</v>
      </c>
      <c r="CX44" s="1817">
        <v>0</v>
      </c>
      <c r="CY44" s="1817">
        <v>0</v>
      </c>
      <c r="CZ44" s="1817">
        <v>0</v>
      </c>
      <c r="DA44" s="1817">
        <v>0</v>
      </c>
      <c r="DB44" s="1817">
        <v>0</v>
      </c>
      <c r="DC44" s="1817">
        <v>0</v>
      </c>
      <c r="DD44" s="1817">
        <v>0</v>
      </c>
      <c r="DE44" s="1817">
        <v>0</v>
      </c>
      <c r="DF44" s="1817">
        <v>0</v>
      </c>
      <c r="DG44" s="1817">
        <v>0</v>
      </c>
      <c r="DH44" s="1817">
        <v>0</v>
      </c>
      <c r="DI44" s="1817">
        <v>0</v>
      </c>
      <c r="DJ44" s="1817">
        <v>0</v>
      </c>
      <c r="DK44" s="1817">
        <v>0</v>
      </c>
      <c r="DL44" s="1817">
        <v>0</v>
      </c>
      <c r="DM44" s="1817">
        <v>0</v>
      </c>
      <c r="DN44" s="1817">
        <v>0</v>
      </c>
      <c r="DO44" s="1817">
        <v>0</v>
      </c>
      <c r="DP44" s="1197"/>
      <c r="DQ44" s="1867">
        <v>0</v>
      </c>
    </row>
    <row r="45" spans="1:121" s="1199" customFormat="1" ht="16">
      <c r="B45" s="1789"/>
      <c r="C45" s="1653" t="s">
        <v>4059</v>
      </c>
      <c r="D45" s="1205" t="s">
        <v>4111</v>
      </c>
      <c r="G45" s="1869">
        <v>0</v>
      </c>
      <c r="H45" s="1869">
        <v>0</v>
      </c>
      <c r="I45" s="1869">
        <v>0</v>
      </c>
      <c r="J45" s="1869">
        <v>0</v>
      </c>
      <c r="K45" s="1869">
        <v>0</v>
      </c>
      <c r="L45" s="1869">
        <v>0</v>
      </c>
      <c r="M45" s="1869">
        <v>0</v>
      </c>
      <c r="N45" s="1869">
        <v>0</v>
      </c>
      <c r="O45" s="1869">
        <v>0</v>
      </c>
      <c r="P45" s="1869">
        <v>0</v>
      </c>
      <c r="Q45" s="1869">
        <v>0</v>
      </c>
      <c r="R45" s="1869">
        <v>0</v>
      </c>
      <c r="S45" s="1869">
        <v>0</v>
      </c>
      <c r="T45" s="1807">
        <v>0</v>
      </c>
      <c r="U45" s="1197"/>
      <c r="V45" s="1870">
        <v>0</v>
      </c>
      <c r="W45" s="1870">
        <v>3.6079028110363538</v>
      </c>
      <c r="X45" s="1871">
        <v>0</v>
      </c>
      <c r="Y45" s="1871">
        <v>0</v>
      </c>
      <c r="Z45" s="1870">
        <v>0</v>
      </c>
      <c r="AA45" s="1870">
        <v>0</v>
      </c>
      <c r="AB45" s="1870">
        <v>0</v>
      </c>
      <c r="AC45" s="1870">
        <v>0</v>
      </c>
      <c r="AD45" s="1870">
        <v>0</v>
      </c>
      <c r="AE45" s="1870">
        <v>0</v>
      </c>
      <c r="AF45" s="1870">
        <v>0</v>
      </c>
      <c r="AG45" s="1870">
        <v>0</v>
      </c>
      <c r="AH45" s="1870">
        <v>0</v>
      </c>
      <c r="AI45" s="1870">
        <v>0</v>
      </c>
      <c r="AJ45" s="1870">
        <v>0</v>
      </c>
      <c r="AK45" s="1870">
        <v>0</v>
      </c>
      <c r="AL45" s="1870">
        <v>0</v>
      </c>
      <c r="AM45" s="1870">
        <v>0</v>
      </c>
      <c r="AN45" s="1870">
        <v>0</v>
      </c>
      <c r="AO45" s="1870">
        <v>0</v>
      </c>
      <c r="AP45" s="1870">
        <v>0</v>
      </c>
      <c r="AQ45" s="1870">
        <v>0</v>
      </c>
      <c r="AR45" s="1870">
        <v>0</v>
      </c>
      <c r="AS45" s="1870">
        <v>0</v>
      </c>
      <c r="AT45" s="1819">
        <v>3.6079028110363538</v>
      </c>
      <c r="AU45" s="1197"/>
      <c r="AV45" s="1872">
        <v>0</v>
      </c>
      <c r="AW45" s="1872">
        <v>0</v>
      </c>
      <c r="AX45" s="1872">
        <v>0</v>
      </c>
      <c r="AY45" s="1872">
        <v>0</v>
      </c>
      <c r="AZ45" s="1872">
        <v>0</v>
      </c>
      <c r="BA45" s="1872">
        <v>0</v>
      </c>
      <c r="BB45" s="1872">
        <v>0</v>
      </c>
      <c r="BC45" s="1872">
        <v>0</v>
      </c>
      <c r="BD45" s="1872">
        <v>0</v>
      </c>
      <c r="BE45" s="1872">
        <v>-13.044604533325936</v>
      </c>
      <c r="BF45" s="1872">
        <v>0</v>
      </c>
      <c r="BG45" s="1872">
        <v>0</v>
      </c>
      <c r="BH45" s="1872">
        <v>0</v>
      </c>
      <c r="BI45" s="1872">
        <v>0</v>
      </c>
      <c r="BJ45" s="1872">
        <v>0</v>
      </c>
      <c r="BK45" s="1872">
        <v>0</v>
      </c>
      <c r="BL45" s="1872">
        <v>0</v>
      </c>
      <c r="BM45" s="1872">
        <v>0</v>
      </c>
      <c r="BN45" s="1872">
        <v>0</v>
      </c>
      <c r="BO45" s="1811">
        <v>-13.044604533325936</v>
      </c>
      <c r="BP45" s="1197"/>
      <c r="BQ45" s="1873">
        <v>9.0007771279948958</v>
      </c>
      <c r="BR45" s="1873">
        <v>0.43592459429468616</v>
      </c>
      <c r="BS45" s="1800">
        <v>9.4367017222895822</v>
      </c>
      <c r="BT45" s="1197"/>
      <c r="BU45" s="1801">
        <v>0</v>
      </c>
      <c r="BV45" s="1801"/>
      <c r="BW45" s="1815"/>
      <c r="BX45" s="1816">
        <v>0</v>
      </c>
      <c r="BY45" s="1816">
        <v>0</v>
      </c>
      <c r="BZ45" s="1816">
        <v>0</v>
      </c>
      <c r="CA45" s="1816">
        <v>0</v>
      </c>
      <c r="CB45" s="1816">
        <v>0</v>
      </c>
      <c r="CC45" s="1816">
        <v>0</v>
      </c>
      <c r="CD45" s="1816">
        <v>0</v>
      </c>
      <c r="CE45" s="1816">
        <v>0</v>
      </c>
      <c r="CF45" s="1816">
        <v>0</v>
      </c>
      <c r="CG45" s="1816">
        <v>0</v>
      </c>
      <c r="CH45" s="1816">
        <v>0</v>
      </c>
      <c r="CI45" s="1816">
        <v>0</v>
      </c>
      <c r="CJ45" s="1816">
        <v>0</v>
      </c>
      <c r="CK45" s="1816">
        <v>0</v>
      </c>
      <c r="CL45" s="1816">
        <v>0</v>
      </c>
      <c r="CM45" s="1816">
        <v>0</v>
      </c>
      <c r="CN45" s="1816">
        <v>0</v>
      </c>
      <c r="CO45" s="1816">
        <v>0</v>
      </c>
      <c r="CP45" s="1816">
        <v>0</v>
      </c>
      <c r="CQ45" s="1816">
        <v>0</v>
      </c>
      <c r="CR45" s="1816">
        <v>0</v>
      </c>
      <c r="CS45" s="1816">
        <v>0</v>
      </c>
      <c r="CT45" s="1816">
        <v>0</v>
      </c>
      <c r="CU45" s="1816">
        <v>0</v>
      </c>
      <c r="CV45" s="1816">
        <v>0</v>
      </c>
      <c r="CW45" s="1816">
        <v>0</v>
      </c>
      <c r="CX45" s="1816">
        <v>0</v>
      </c>
      <c r="CY45" s="1816">
        <v>0</v>
      </c>
      <c r="CZ45" s="1816">
        <v>0</v>
      </c>
      <c r="DA45" s="1816">
        <v>0</v>
      </c>
      <c r="DB45" s="1816">
        <v>0</v>
      </c>
      <c r="DC45" s="1816">
        <v>0</v>
      </c>
      <c r="DD45" s="1816">
        <v>0</v>
      </c>
      <c r="DE45" s="1816">
        <v>0</v>
      </c>
      <c r="DF45" s="1816">
        <v>0</v>
      </c>
      <c r="DG45" s="1816">
        <v>0</v>
      </c>
      <c r="DH45" s="1816">
        <v>0</v>
      </c>
      <c r="DI45" s="1816">
        <v>0</v>
      </c>
      <c r="DJ45" s="1816">
        <v>0</v>
      </c>
      <c r="DK45" s="1816">
        <v>0</v>
      </c>
      <c r="DL45" s="1816">
        <v>0</v>
      </c>
      <c r="DM45" s="1816">
        <v>0</v>
      </c>
      <c r="DN45" s="1816">
        <v>0</v>
      </c>
      <c r="DO45" s="1816">
        <v>0</v>
      </c>
      <c r="DP45" s="1197"/>
      <c r="DQ45" s="1226">
        <v>0</v>
      </c>
    </row>
    <row r="46" spans="1:121" s="1803" customFormat="1" ht="12.75" customHeight="1" outlineLevel="1">
      <c r="C46" s="1804" t="s">
        <v>4050</v>
      </c>
      <c r="D46" s="1805" t="s">
        <v>4051</v>
      </c>
      <c r="E46" s="1852"/>
      <c r="F46" s="1199"/>
      <c r="G46" s="1869">
        <v>0</v>
      </c>
      <c r="H46" s="1869">
        <v>0</v>
      </c>
      <c r="I46" s="1869">
        <v>0</v>
      </c>
      <c r="J46" s="1869">
        <v>0</v>
      </c>
      <c r="K46" s="1869">
        <v>0</v>
      </c>
      <c r="L46" s="1869">
        <v>0</v>
      </c>
      <c r="M46" s="1869">
        <v>0</v>
      </c>
      <c r="N46" s="1869">
        <v>0</v>
      </c>
      <c r="O46" s="1869">
        <v>0</v>
      </c>
      <c r="P46" s="1869">
        <v>0</v>
      </c>
      <c r="Q46" s="1869">
        <v>0</v>
      </c>
      <c r="R46" s="1869">
        <v>0</v>
      </c>
      <c r="S46" s="1869">
        <v>0</v>
      </c>
      <c r="T46" s="1807">
        <v>0</v>
      </c>
      <c r="U46" s="1197"/>
      <c r="V46" s="1870">
        <v>0</v>
      </c>
      <c r="W46" s="1871">
        <v>81.395970517272602</v>
      </c>
      <c r="X46" s="1871">
        <v>0</v>
      </c>
      <c r="Y46" s="1871">
        <v>0</v>
      </c>
      <c r="Z46" s="1870">
        <v>-250.25819321587127</v>
      </c>
      <c r="AA46" s="1870">
        <v>0</v>
      </c>
      <c r="AB46" s="1870">
        <v>0</v>
      </c>
      <c r="AC46" s="1870">
        <v>0</v>
      </c>
      <c r="AD46" s="1870">
        <v>0</v>
      </c>
      <c r="AE46" s="1870">
        <v>0</v>
      </c>
      <c r="AF46" s="1870">
        <v>0</v>
      </c>
      <c r="AG46" s="1870">
        <v>0</v>
      </c>
      <c r="AH46" s="1870">
        <v>0</v>
      </c>
      <c r="AI46" s="1870">
        <v>0</v>
      </c>
      <c r="AJ46" s="1870">
        <v>0</v>
      </c>
      <c r="AK46" s="1870">
        <v>0</v>
      </c>
      <c r="AL46" s="1870">
        <v>0</v>
      </c>
      <c r="AM46" s="1870">
        <v>0</v>
      </c>
      <c r="AN46" s="1870">
        <v>0</v>
      </c>
      <c r="AO46" s="1870">
        <v>0</v>
      </c>
      <c r="AP46" s="1870">
        <v>0</v>
      </c>
      <c r="AQ46" s="1870">
        <v>0</v>
      </c>
      <c r="AR46" s="1870">
        <v>0</v>
      </c>
      <c r="AS46" s="1870">
        <v>0</v>
      </c>
      <c r="AT46" s="1819">
        <v>-168.86222269859866</v>
      </c>
      <c r="AU46" s="1197"/>
      <c r="AV46" s="1872">
        <v>0</v>
      </c>
      <c r="AW46" s="1872">
        <v>0</v>
      </c>
      <c r="AX46" s="1872">
        <v>0</v>
      </c>
      <c r="AY46" s="1872">
        <v>0</v>
      </c>
      <c r="AZ46" s="1872">
        <v>0</v>
      </c>
      <c r="BA46" s="1872">
        <v>0</v>
      </c>
      <c r="BB46" s="1872">
        <v>0</v>
      </c>
      <c r="BC46" s="1872">
        <v>0</v>
      </c>
      <c r="BD46" s="1872">
        <v>0</v>
      </c>
      <c r="BE46" s="1872">
        <v>0</v>
      </c>
      <c r="BF46" s="1872">
        <v>0</v>
      </c>
      <c r="BG46" s="1872">
        <v>0</v>
      </c>
      <c r="BH46" s="1872">
        <v>0</v>
      </c>
      <c r="BI46" s="1872">
        <v>0</v>
      </c>
      <c r="BJ46" s="1872">
        <v>0</v>
      </c>
      <c r="BK46" s="1872">
        <v>0</v>
      </c>
      <c r="BL46" s="1872">
        <v>0</v>
      </c>
      <c r="BM46" s="1872">
        <v>0</v>
      </c>
      <c r="BN46" s="1872">
        <v>0</v>
      </c>
      <c r="BO46" s="1811">
        <v>0</v>
      </c>
      <c r="BP46" s="1197"/>
      <c r="BQ46" s="1873">
        <v>162.2625494134144</v>
      </c>
      <c r="BR46" s="1873">
        <v>6.5996732851842603</v>
      </c>
      <c r="BS46" s="1800">
        <v>168.86222269859866</v>
      </c>
      <c r="BT46" s="1197"/>
      <c r="BU46" s="1801">
        <v>0</v>
      </c>
      <c r="BV46" s="1814"/>
      <c r="BW46" s="1815"/>
      <c r="BX46" s="1816">
        <v>1003.0882280448416</v>
      </c>
      <c r="BY46" s="1816">
        <v>0</v>
      </c>
      <c r="BZ46" s="1816">
        <v>0.60188069899020591</v>
      </c>
      <c r="CA46" s="1816">
        <v>0</v>
      </c>
      <c r="CB46" s="1816">
        <v>0</v>
      </c>
      <c r="CC46" s="1816">
        <v>0</v>
      </c>
      <c r="CD46" s="1816">
        <v>0</v>
      </c>
      <c r="CE46" s="1816">
        <v>0</v>
      </c>
      <c r="CF46" s="1816">
        <v>0</v>
      </c>
      <c r="CG46" s="1816">
        <v>0</v>
      </c>
      <c r="CH46" s="1816">
        <v>0</v>
      </c>
      <c r="CI46" s="1816">
        <v>0</v>
      </c>
      <c r="CJ46" s="1816">
        <v>0</v>
      </c>
      <c r="CK46" s="1816">
        <v>0</v>
      </c>
      <c r="CL46" s="1816">
        <v>0</v>
      </c>
      <c r="CM46" s="1816">
        <v>0</v>
      </c>
      <c r="CN46" s="1816">
        <v>0</v>
      </c>
      <c r="CO46" s="1816">
        <v>0</v>
      </c>
      <c r="CP46" s="1816">
        <v>0</v>
      </c>
      <c r="CQ46" s="1816">
        <v>0</v>
      </c>
      <c r="CR46" s="1816">
        <v>0</v>
      </c>
      <c r="CS46" s="1816">
        <v>0</v>
      </c>
      <c r="CT46" s="1816">
        <v>0</v>
      </c>
      <c r="CU46" s="1816">
        <v>0</v>
      </c>
      <c r="CV46" s="1816">
        <v>0</v>
      </c>
      <c r="CW46" s="1816">
        <v>0</v>
      </c>
      <c r="CX46" s="1816">
        <v>0</v>
      </c>
      <c r="CY46" s="1816">
        <v>0</v>
      </c>
      <c r="CZ46" s="1816">
        <v>0</v>
      </c>
      <c r="DA46" s="1816">
        <v>0</v>
      </c>
      <c r="DB46" s="1816">
        <v>0</v>
      </c>
      <c r="DC46" s="1816">
        <v>0</v>
      </c>
      <c r="DD46" s="1816">
        <v>0</v>
      </c>
      <c r="DE46" s="1816">
        <v>0</v>
      </c>
      <c r="DF46" s="1816">
        <v>0</v>
      </c>
      <c r="DG46" s="1816">
        <v>0</v>
      </c>
      <c r="DH46" s="1816">
        <v>0</v>
      </c>
      <c r="DI46" s="1816">
        <v>0</v>
      </c>
      <c r="DJ46" s="1816">
        <v>0</v>
      </c>
      <c r="DK46" s="1816">
        <v>0</v>
      </c>
      <c r="DL46" s="1816">
        <v>0</v>
      </c>
      <c r="DM46" s="1816">
        <v>0</v>
      </c>
      <c r="DN46" s="1816">
        <v>0</v>
      </c>
      <c r="DO46" s="1816">
        <v>0</v>
      </c>
      <c r="DP46" s="1863"/>
      <c r="DQ46" s="1226">
        <v>1003.6901087438317</v>
      </c>
    </row>
    <row r="47" spans="1:121" s="1803" customFormat="1" ht="12.75" customHeight="1" outlineLevel="1">
      <c r="C47" s="1804" t="s">
        <v>4047</v>
      </c>
      <c r="D47" s="1805" t="s">
        <v>4048</v>
      </c>
      <c r="E47" s="1852"/>
      <c r="F47" s="1199"/>
      <c r="G47" s="1869">
        <v>0</v>
      </c>
      <c r="H47" s="1869">
        <v>0</v>
      </c>
      <c r="I47" s="1869">
        <v>0</v>
      </c>
      <c r="J47" s="1869">
        <v>0</v>
      </c>
      <c r="K47" s="1869">
        <v>0</v>
      </c>
      <c r="L47" s="1869">
        <v>0</v>
      </c>
      <c r="M47" s="1869">
        <v>0</v>
      </c>
      <c r="N47" s="1869">
        <v>0</v>
      </c>
      <c r="O47" s="1869">
        <v>0</v>
      </c>
      <c r="P47" s="1869">
        <v>0</v>
      </c>
      <c r="Q47" s="1869">
        <v>0</v>
      </c>
      <c r="R47" s="1869">
        <v>0</v>
      </c>
      <c r="S47" s="1869">
        <v>0</v>
      </c>
      <c r="T47" s="1807">
        <v>0</v>
      </c>
      <c r="U47" s="1197"/>
      <c r="V47" s="1870">
        <v>0</v>
      </c>
      <c r="W47" s="1870">
        <v>3.9411498830610485</v>
      </c>
      <c r="X47" s="1871">
        <v>0</v>
      </c>
      <c r="Y47" s="1871">
        <v>0</v>
      </c>
      <c r="Z47" s="1870">
        <v>0</v>
      </c>
      <c r="AA47" s="1870">
        <v>0</v>
      </c>
      <c r="AB47" s="1870">
        <v>-9.3836901977644018</v>
      </c>
      <c r="AC47" s="1870">
        <v>0</v>
      </c>
      <c r="AD47" s="1870">
        <v>0</v>
      </c>
      <c r="AE47" s="1870">
        <v>0</v>
      </c>
      <c r="AF47" s="1870">
        <v>0</v>
      </c>
      <c r="AG47" s="1870">
        <v>0</v>
      </c>
      <c r="AH47" s="1870">
        <v>0</v>
      </c>
      <c r="AI47" s="1870">
        <v>0</v>
      </c>
      <c r="AJ47" s="1870">
        <v>0</v>
      </c>
      <c r="AK47" s="1870">
        <v>0</v>
      </c>
      <c r="AL47" s="1870">
        <v>0</v>
      </c>
      <c r="AM47" s="1870">
        <v>0</v>
      </c>
      <c r="AN47" s="1870">
        <v>0</v>
      </c>
      <c r="AO47" s="1870">
        <v>0</v>
      </c>
      <c r="AP47" s="1870">
        <v>0</v>
      </c>
      <c r="AQ47" s="1870">
        <v>0</v>
      </c>
      <c r="AR47" s="1870">
        <v>0</v>
      </c>
      <c r="AS47" s="1870">
        <v>0</v>
      </c>
      <c r="AT47" s="1819">
        <v>-5.4425403147033533</v>
      </c>
      <c r="AU47" s="1197"/>
      <c r="AV47" s="1872">
        <v>0</v>
      </c>
      <c r="AW47" s="1872">
        <v>0</v>
      </c>
      <c r="AX47" s="1872">
        <v>0</v>
      </c>
      <c r="AY47" s="1872">
        <v>0</v>
      </c>
      <c r="AZ47" s="1872">
        <v>0</v>
      </c>
      <c r="BA47" s="1872">
        <v>0</v>
      </c>
      <c r="BB47" s="1872">
        <v>0</v>
      </c>
      <c r="BC47" s="1872">
        <v>0</v>
      </c>
      <c r="BD47" s="1872">
        <v>0</v>
      </c>
      <c r="BE47" s="1872">
        <v>0</v>
      </c>
      <c r="BF47" s="1872">
        <v>0</v>
      </c>
      <c r="BG47" s="1872">
        <v>0</v>
      </c>
      <c r="BH47" s="1872">
        <v>0</v>
      </c>
      <c r="BI47" s="1872">
        <v>0</v>
      </c>
      <c r="BJ47" s="1872">
        <v>0</v>
      </c>
      <c r="BK47" s="1872">
        <v>0</v>
      </c>
      <c r="BL47" s="1872">
        <v>0</v>
      </c>
      <c r="BM47" s="1872">
        <v>0</v>
      </c>
      <c r="BN47" s="1872">
        <v>0</v>
      </c>
      <c r="BO47" s="1811">
        <v>0</v>
      </c>
      <c r="BP47" s="1197"/>
      <c r="BQ47" s="1873">
        <v>5.4425403147033533</v>
      </c>
      <c r="BR47" s="1873">
        <v>0</v>
      </c>
      <c r="BS47" s="1800">
        <v>5.4425403147033533</v>
      </c>
      <c r="BT47" s="1197"/>
      <c r="BU47" s="1801">
        <v>0</v>
      </c>
      <c r="BV47" s="1814"/>
      <c r="BW47" s="1815"/>
      <c r="BX47" s="1816">
        <v>19.40111514161914</v>
      </c>
      <c r="BY47" s="1816">
        <v>0</v>
      </c>
      <c r="BZ47" s="1816">
        <v>6.6043327531866017E-3</v>
      </c>
      <c r="CA47" s="1816">
        <v>0</v>
      </c>
      <c r="CB47" s="1816">
        <v>0</v>
      </c>
      <c r="CC47" s="1816">
        <v>0</v>
      </c>
      <c r="CD47" s="1816">
        <v>0</v>
      </c>
      <c r="CE47" s="1816">
        <v>0</v>
      </c>
      <c r="CF47" s="1816">
        <v>0</v>
      </c>
      <c r="CG47" s="1816">
        <v>0</v>
      </c>
      <c r="CH47" s="1816">
        <v>0</v>
      </c>
      <c r="CI47" s="1816">
        <v>0</v>
      </c>
      <c r="CJ47" s="1816">
        <v>0</v>
      </c>
      <c r="CK47" s="1816">
        <v>0</v>
      </c>
      <c r="CL47" s="1816">
        <v>0</v>
      </c>
      <c r="CM47" s="1816">
        <v>0</v>
      </c>
      <c r="CN47" s="1816">
        <v>0</v>
      </c>
      <c r="CO47" s="1816">
        <v>0</v>
      </c>
      <c r="CP47" s="1816">
        <v>0</v>
      </c>
      <c r="CQ47" s="1816">
        <v>0</v>
      </c>
      <c r="CR47" s="1816">
        <v>0</v>
      </c>
      <c r="CS47" s="1816">
        <v>0</v>
      </c>
      <c r="CT47" s="1816">
        <v>0</v>
      </c>
      <c r="CU47" s="1816">
        <v>0</v>
      </c>
      <c r="CV47" s="1816">
        <v>0</v>
      </c>
      <c r="CW47" s="1816">
        <v>0</v>
      </c>
      <c r="CX47" s="1816">
        <v>0</v>
      </c>
      <c r="CY47" s="1816">
        <v>0</v>
      </c>
      <c r="CZ47" s="1816">
        <v>0</v>
      </c>
      <c r="DA47" s="1816">
        <v>0</v>
      </c>
      <c r="DB47" s="1816">
        <v>0</v>
      </c>
      <c r="DC47" s="1816">
        <v>0</v>
      </c>
      <c r="DD47" s="1816">
        <v>0</v>
      </c>
      <c r="DE47" s="1816">
        <v>0</v>
      </c>
      <c r="DF47" s="1816">
        <v>0</v>
      </c>
      <c r="DG47" s="1816">
        <v>0</v>
      </c>
      <c r="DH47" s="1816">
        <v>0</v>
      </c>
      <c r="DI47" s="1816">
        <v>0</v>
      </c>
      <c r="DJ47" s="1816">
        <v>0</v>
      </c>
      <c r="DK47" s="1816">
        <v>0</v>
      </c>
      <c r="DL47" s="1816">
        <v>0</v>
      </c>
      <c r="DM47" s="1816">
        <v>0</v>
      </c>
      <c r="DN47" s="1816">
        <v>0</v>
      </c>
      <c r="DO47" s="1816">
        <v>0</v>
      </c>
      <c r="DP47" s="1863"/>
      <c r="DQ47" s="1226">
        <v>19.407719474372328</v>
      </c>
    </row>
    <row r="48" spans="1:121" s="1803" customFormat="1" ht="12.75" customHeight="1" outlineLevel="1">
      <c r="C48" s="1804" t="s">
        <v>4052</v>
      </c>
      <c r="D48" s="1805" t="s">
        <v>4053</v>
      </c>
      <c r="E48" s="1852"/>
      <c r="F48" s="1199"/>
      <c r="G48" s="1869">
        <v>0</v>
      </c>
      <c r="H48" s="1869">
        <v>0</v>
      </c>
      <c r="I48" s="1869">
        <v>0</v>
      </c>
      <c r="J48" s="1869">
        <v>0</v>
      </c>
      <c r="K48" s="1869">
        <v>0</v>
      </c>
      <c r="L48" s="1869">
        <v>0</v>
      </c>
      <c r="M48" s="1869">
        <v>0</v>
      </c>
      <c r="N48" s="1869">
        <v>0</v>
      </c>
      <c r="O48" s="1869">
        <v>0</v>
      </c>
      <c r="P48" s="1869">
        <v>0</v>
      </c>
      <c r="Q48" s="1869">
        <v>0</v>
      </c>
      <c r="R48" s="1869">
        <v>0</v>
      </c>
      <c r="S48" s="1869">
        <v>0</v>
      </c>
      <c r="T48" s="1807">
        <v>0</v>
      </c>
      <c r="U48" s="1197"/>
      <c r="V48" s="1870">
        <v>0</v>
      </c>
      <c r="W48" s="1870">
        <v>0</v>
      </c>
      <c r="X48" s="1871">
        <v>0</v>
      </c>
      <c r="Y48" s="1871">
        <v>0</v>
      </c>
      <c r="Z48" s="1870">
        <v>0</v>
      </c>
      <c r="AA48" s="1870">
        <v>0</v>
      </c>
      <c r="AB48" s="1870">
        <v>0</v>
      </c>
      <c r="AC48" s="1870">
        <v>0</v>
      </c>
      <c r="AD48" s="1870">
        <v>0</v>
      </c>
      <c r="AE48" s="1870">
        <v>0</v>
      </c>
      <c r="AF48" s="1870">
        <v>0</v>
      </c>
      <c r="AG48" s="1870">
        <v>0</v>
      </c>
      <c r="AH48" s="1870">
        <v>0</v>
      </c>
      <c r="AI48" s="1870">
        <v>0</v>
      </c>
      <c r="AJ48" s="1870">
        <v>0</v>
      </c>
      <c r="AK48" s="1870">
        <v>0</v>
      </c>
      <c r="AL48" s="1870">
        <v>0</v>
      </c>
      <c r="AM48" s="1870">
        <v>0</v>
      </c>
      <c r="AN48" s="1870">
        <v>0</v>
      </c>
      <c r="AO48" s="1870">
        <v>0</v>
      </c>
      <c r="AP48" s="1870">
        <v>0</v>
      </c>
      <c r="AQ48" s="1870">
        <v>0</v>
      </c>
      <c r="AR48" s="1870">
        <v>0</v>
      </c>
      <c r="AS48" s="1870">
        <v>0</v>
      </c>
      <c r="AT48" s="1819">
        <v>0</v>
      </c>
      <c r="AU48" s="1197"/>
      <c r="AV48" s="1872">
        <v>0</v>
      </c>
      <c r="AW48" s="1872">
        <v>0</v>
      </c>
      <c r="AX48" s="1872">
        <v>0</v>
      </c>
      <c r="AY48" s="1872">
        <v>0</v>
      </c>
      <c r="AZ48" s="1872">
        <v>0</v>
      </c>
      <c r="BA48" s="1872">
        <v>0</v>
      </c>
      <c r="BB48" s="1872">
        <v>0</v>
      </c>
      <c r="BC48" s="1872">
        <v>0</v>
      </c>
      <c r="BD48" s="1872">
        <v>0</v>
      </c>
      <c r="BE48" s="1872">
        <v>0</v>
      </c>
      <c r="BF48" s="1872">
        <v>0</v>
      </c>
      <c r="BG48" s="1872">
        <v>0</v>
      </c>
      <c r="BH48" s="1872">
        <v>0</v>
      </c>
      <c r="BI48" s="1872">
        <v>0</v>
      </c>
      <c r="BJ48" s="1872">
        <v>0</v>
      </c>
      <c r="BK48" s="1872">
        <v>0</v>
      </c>
      <c r="BL48" s="1872">
        <v>0</v>
      </c>
      <c r="BM48" s="1872">
        <v>0</v>
      </c>
      <c r="BN48" s="1872">
        <v>0</v>
      </c>
      <c r="BO48" s="1811">
        <v>0</v>
      </c>
      <c r="BP48" s="1197"/>
      <c r="BQ48" s="1873">
        <v>0</v>
      </c>
      <c r="BR48" s="1873">
        <v>0</v>
      </c>
      <c r="BS48" s="1800">
        <v>0</v>
      </c>
      <c r="BT48" s="1197"/>
      <c r="BU48" s="1801">
        <v>0</v>
      </c>
      <c r="BV48" s="1814"/>
      <c r="BW48" s="1815"/>
      <c r="BX48" s="1816">
        <v>0</v>
      </c>
      <c r="BY48" s="1816">
        <v>0</v>
      </c>
      <c r="BZ48" s="1816">
        <v>0</v>
      </c>
      <c r="CA48" s="1816">
        <v>0</v>
      </c>
      <c r="CB48" s="1816">
        <v>0</v>
      </c>
      <c r="CC48" s="1816">
        <v>0</v>
      </c>
      <c r="CD48" s="1816">
        <v>0</v>
      </c>
      <c r="CE48" s="1816">
        <v>0</v>
      </c>
      <c r="CF48" s="1816">
        <v>0</v>
      </c>
      <c r="CG48" s="1816">
        <v>0</v>
      </c>
      <c r="CH48" s="1816">
        <v>0</v>
      </c>
      <c r="CI48" s="1816">
        <v>0</v>
      </c>
      <c r="CJ48" s="1816">
        <v>0</v>
      </c>
      <c r="CK48" s="1816">
        <v>0</v>
      </c>
      <c r="CL48" s="1816">
        <v>0</v>
      </c>
      <c r="CM48" s="1816">
        <v>0</v>
      </c>
      <c r="CN48" s="1816">
        <v>0</v>
      </c>
      <c r="CO48" s="1816">
        <v>0</v>
      </c>
      <c r="CP48" s="1816">
        <v>0</v>
      </c>
      <c r="CQ48" s="1816">
        <v>0</v>
      </c>
      <c r="CR48" s="1816">
        <v>0</v>
      </c>
      <c r="CS48" s="1816">
        <v>0</v>
      </c>
      <c r="CT48" s="1816">
        <v>0</v>
      </c>
      <c r="CU48" s="1816">
        <v>0</v>
      </c>
      <c r="CV48" s="1816">
        <v>0</v>
      </c>
      <c r="CW48" s="1816">
        <v>0</v>
      </c>
      <c r="CX48" s="1816">
        <v>0</v>
      </c>
      <c r="CY48" s="1816">
        <v>0</v>
      </c>
      <c r="CZ48" s="1816">
        <v>0</v>
      </c>
      <c r="DA48" s="1816">
        <v>0</v>
      </c>
      <c r="DB48" s="1816">
        <v>0</v>
      </c>
      <c r="DC48" s="1816">
        <v>0</v>
      </c>
      <c r="DD48" s="1816">
        <v>0</v>
      </c>
      <c r="DE48" s="1816">
        <v>0</v>
      </c>
      <c r="DF48" s="1816">
        <v>0</v>
      </c>
      <c r="DG48" s="1816">
        <v>0</v>
      </c>
      <c r="DH48" s="1816">
        <v>0</v>
      </c>
      <c r="DI48" s="1816">
        <v>0</v>
      </c>
      <c r="DJ48" s="1816">
        <v>0</v>
      </c>
      <c r="DK48" s="1816">
        <v>0</v>
      </c>
      <c r="DL48" s="1816">
        <v>0</v>
      </c>
      <c r="DM48" s="1816">
        <v>0</v>
      </c>
      <c r="DN48" s="1816">
        <v>0</v>
      </c>
      <c r="DO48" s="1816">
        <v>0</v>
      </c>
      <c r="DP48" s="1863"/>
      <c r="DQ48" s="1226">
        <v>0</v>
      </c>
    </row>
    <row r="49" spans="1:121">
      <c r="A49" s="1843"/>
      <c r="B49" s="1843"/>
      <c r="C49" s="1844" t="s">
        <v>4785</v>
      </c>
      <c r="D49" s="1874" t="s">
        <v>4786</v>
      </c>
      <c r="E49" s="1845"/>
      <c r="V49" s="1875">
        <v>-94.745513120245718</v>
      </c>
      <c r="W49" s="1655">
        <v>13.34954260297312</v>
      </c>
      <c r="X49" s="1876">
        <v>0</v>
      </c>
      <c r="Y49" s="1876">
        <v>0</v>
      </c>
      <c r="BS49" s="1800">
        <v>0</v>
      </c>
    </row>
    <row r="50" spans="1:121" ht="15">
      <c r="A50" s="1877"/>
      <c r="B50" s="1877"/>
      <c r="C50" s="1878" t="s">
        <v>4054</v>
      </c>
      <c r="D50" s="1805" t="s">
        <v>4055</v>
      </c>
      <c r="E50" s="1879"/>
      <c r="G50" s="1869">
        <v>0</v>
      </c>
      <c r="H50" s="1869">
        <v>0</v>
      </c>
      <c r="I50" s="1869">
        <v>0</v>
      </c>
      <c r="J50" s="1869">
        <v>0</v>
      </c>
      <c r="K50" s="1869">
        <v>0</v>
      </c>
      <c r="L50" s="1869">
        <v>0</v>
      </c>
      <c r="M50" s="1869">
        <v>0</v>
      </c>
      <c r="N50" s="1869">
        <v>0</v>
      </c>
      <c r="O50" s="1869">
        <v>0</v>
      </c>
      <c r="P50" s="1869">
        <v>0</v>
      </c>
      <c r="Q50" s="1869">
        <v>0</v>
      </c>
      <c r="R50" s="1869">
        <v>0</v>
      </c>
      <c r="S50" s="1869">
        <v>0</v>
      </c>
      <c r="T50" s="1807">
        <v>0</v>
      </c>
      <c r="U50" s="1197"/>
      <c r="V50" s="1870">
        <v>0</v>
      </c>
      <c r="W50" s="1870">
        <v>0</v>
      </c>
      <c r="X50" s="1871">
        <v>0</v>
      </c>
      <c r="Y50" s="1871">
        <v>0</v>
      </c>
      <c r="Z50" s="1870">
        <v>0</v>
      </c>
      <c r="AA50" s="1870">
        <v>0</v>
      </c>
      <c r="AB50" s="1870">
        <v>0</v>
      </c>
      <c r="AC50" s="1870">
        <v>0</v>
      </c>
      <c r="AD50" s="1870">
        <v>0</v>
      </c>
      <c r="AE50" s="1870">
        <v>0</v>
      </c>
      <c r="AF50" s="1870">
        <v>0</v>
      </c>
      <c r="AG50" s="1870">
        <v>0</v>
      </c>
      <c r="AH50" s="1870">
        <v>0</v>
      </c>
      <c r="AI50" s="1870">
        <v>0</v>
      </c>
      <c r="AJ50" s="1870">
        <v>0</v>
      </c>
      <c r="AK50" s="1870">
        <v>0</v>
      </c>
      <c r="AL50" s="1870">
        <v>0</v>
      </c>
      <c r="AM50" s="1870">
        <v>0</v>
      </c>
      <c r="AN50" s="1870">
        <v>0</v>
      </c>
      <c r="AO50" s="1870">
        <v>0</v>
      </c>
      <c r="AP50" s="1870">
        <v>0</v>
      </c>
      <c r="AQ50" s="1870">
        <v>0</v>
      </c>
      <c r="AR50" s="1870">
        <v>0</v>
      </c>
      <c r="AS50" s="1870">
        <v>0</v>
      </c>
      <c r="AT50" s="1880">
        <v>0</v>
      </c>
      <c r="AU50" s="1197"/>
      <c r="AV50" s="1872">
        <v>0</v>
      </c>
      <c r="AW50" s="1872">
        <v>0</v>
      </c>
      <c r="AX50" s="1872">
        <v>0</v>
      </c>
      <c r="AY50" s="1872">
        <v>0</v>
      </c>
      <c r="AZ50" s="1872">
        <v>0</v>
      </c>
      <c r="BA50" s="1872">
        <v>0</v>
      </c>
      <c r="BB50" s="1872">
        <v>0</v>
      </c>
      <c r="BC50" s="1872">
        <v>0</v>
      </c>
      <c r="BD50" s="1872">
        <v>0</v>
      </c>
      <c r="BE50" s="1872">
        <v>0</v>
      </c>
      <c r="BF50" s="1872">
        <v>0</v>
      </c>
      <c r="BG50" s="1872">
        <v>0</v>
      </c>
      <c r="BH50" s="1872">
        <v>0</v>
      </c>
      <c r="BI50" s="1872">
        <v>0</v>
      </c>
      <c r="BJ50" s="1872">
        <v>0</v>
      </c>
      <c r="BK50" s="1872">
        <v>0</v>
      </c>
      <c r="BL50" s="1872">
        <v>0</v>
      </c>
      <c r="BM50" s="1872">
        <v>0</v>
      </c>
      <c r="BN50" s="1872">
        <v>0</v>
      </c>
      <c r="BO50" s="1811">
        <v>0</v>
      </c>
      <c r="BP50" s="1197"/>
      <c r="BQ50" s="1873">
        <v>0</v>
      </c>
      <c r="BR50" s="1873">
        <v>0</v>
      </c>
      <c r="BS50" s="1800">
        <v>0</v>
      </c>
      <c r="BT50" s="1197"/>
      <c r="BU50" s="1801">
        <v>0</v>
      </c>
      <c r="BV50" s="1814"/>
      <c r="BW50" s="1815"/>
      <c r="BX50" s="1816">
        <v>0</v>
      </c>
      <c r="BY50" s="1816">
        <v>0</v>
      </c>
      <c r="BZ50" s="1816">
        <v>0</v>
      </c>
      <c r="CA50" s="1816">
        <v>0</v>
      </c>
      <c r="CB50" s="1816">
        <v>0</v>
      </c>
      <c r="CC50" s="1816">
        <v>0</v>
      </c>
      <c r="CD50" s="1816">
        <v>0</v>
      </c>
      <c r="CE50" s="1816">
        <v>0</v>
      </c>
      <c r="CF50" s="1816">
        <v>0</v>
      </c>
      <c r="CG50" s="1816">
        <v>0</v>
      </c>
      <c r="CH50" s="1816">
        <v>0</v>
      </c>
      <c r="CI50" s="1816">
        <v>0</v>
      </c>
      <c r="CJ50" s="1816">
        <v>0</v>
      </c>
      <c r="CK50" s="1816">
        <v>0</v>
      </c>
      <c r="CL50" s="1816">
        <v>0</v>
      </c>
      <c r="CM50" s="1816">
        <v>0</v>
      </c>
      <c r="CN50" s="1816">
        <v>0</v>
      </c>
      <c r="CO50" s="1816">
        <v>0</v>
      </c>
      <c r="CP50" s="1816">
        <v>0</v>
      </c>
      <c r="CQ50" s="1816">
        <v>0</v>
      </c>
      <c r="CR50" s="1816">
        <v>0</v>
      </c>
      <c r="CS50" s="1816">
        <v>0</v>
      </c>
      <c r="CT50" s="1816">
        <v>0</v>
      </c>
      <c r="CU50" s="1816">
        <v>0</v>
      </c>
      <c r="CV50" s="1816">
        <v>0</v>
      </c>
      <c r="CW50" s="1816">
        <v>0</v>
      </c>
      <c r="CX50" s="1816">
        <v>0</v>
      </c>
      <c r="CY50" s="1816">
        <v>0</v>
      </c>
      <c r="CZ50" s="1816">
        <v>0</v>
      </c>
      <c r="DA50" s="1816">
        <v>0</v>
      </c>
      <c r="DB50" s="1816">
        <v>0</v>
      </c>
      <c r="DC50" s="1816">
        <v>0</v>
      </c>
      <c r="DD50" s="1816">
        <v>0</v>
      </c>
      <c r="DE50" s="1816">
        <v>0</v>
      </c>
      <c r="DF50" s="1816">
        <v>0</v>
      </c>
      <c r="DG50" s="1816">
        <v>0</v>
      </c>
      <c r="DH50" s="1816">
        <v>0</v>
      </c>
      <c r="DI50" s="1816">
        <v>0</v>
      </c>
      <c r="DJ50" s="1816">
        <v>0</v>
      </c>
      <c r="DK50" s="1816">
        <v>0</v>
      </c>
      <c r="DL50" s="1816">
        <v>0</v>
      </c>
      <c r="DM50" s="1816">
        <v>0</v>
      </c>
      <c r="DN50" s="1816">
        <v>0</v>
      </c>
      <c r="DO50" s="1816">
        <v>0</v>
      </c>
      <c r="DP50" s="1863"/>
      <c r="DQ50" s="1226">
        <v>0</v>
      </c>
    </row>
    <row r="51" spans="1:121" s="1884" customFormat="1" ht="15">
      <c r="A51" s="1881"/>
      <c r="B51" s="1881"/>
      <c r="C51" s="1882" t="s">
        <v>4094</v>
      </c>
      <c r="D51" s="1883" t="s">
        <v>4095</v>
      </c>
      <c r="E51" s="1881"/>
      <c r="G51" s="1871">
        <v>0</v>
      </c>
      <c r="H51" s="1871">
        <v>0</v>
      </c>
      <c r="I51" s="1871">
        <v>0</v>
      </c>
      <c r="J51" s="1871">
        <v>0</v>
      </c>
      <c r="K51" s="1871">
        <v>0</v>
      </c>
      <c r="L51" s="1871">
        <v>0</v>
      </c>
      <c r="M51" s="1871">
        <v>0</v>
      </c>
      <c r="N51" s="1871">
        <v>0</v>
      </c>
      <c r="O51" s="1871">
        <v>0</v>
      </c>
      <c r="P51" s="1871">
        <v>0</v>
      </c>
      <c r="Q51" s="1871">
        <v>0</v>
      </c>
      <c r="R51" s="1871">
        <v>0</v>
      </c>
      <c r="S51" s="1871">
        <v>0</v>
      </c>
      <c r="T51" s="1809">
        <v>0</v>
      </c>
      <c r="U51" s="1749"/>
      <c r="V51" s="1871">
        <v>0</v>
      </c>
      <c r="W51" s="1871">
        <v>0</v>
      </c>
      <c r="X51" s="1871">
        <v>0</v>
      </c>
      <c r="Y51" s="1871">
        <v>0</v>
      </c>
      <c r="Z51" s="1871">
        <v>0</v>
      </c>
      <c r="AA51" s="1871">
        <v>0</v>
      </c>
      <c r="AB51" s="1871">
        <v>0</v>
      </c>
      <c r="AC51" s="1871">
        <v>0</v>
      </c>
      <c r="AD51" s="1871">
        <v>0</v>
      </c>
      <c r="AE51" s="1871">
        <v>0</v>
      </c>
      <c r="AF51" s="1871">
        <v>0</v>
      </c>
      <c r="AG51" s="1871">
        <v>0</v>
      </c>
      <c r="AH51" s="1871">
        <v>0</v>
      </c>
      <c r="AI51" s="1871">
        <v>0</v>
      </c>
      <c r="AJ51" s="1871">
        <v>0</v>
      </c>
      <c r="AK51" s="1871">
        <v>0</v>
      </c>
      <c r="AL51" s="1871">
        <v>0</v>
      </c>
      <c r="AM51" s="1871">
        <v>0</v>
      </c>
      <c r="AN51" s="1871">
        <v>0</v>
      </c>
      <c r="AO51" s="1871">
        <v>0</v>
      </c>
      <c r="AP51" s="1871">
        <v>0</v>
      </c>
      <c r="AQ51" s="1871">
        <v>0</v>
      </c>
      <c r="AR51" s="1871">
        <v>0</v>
      </c>
      <c r="AS51" s="1871">
        <v>0</v>
      </c>
      <c r="AT51" s="1885">
        <v>0</v>
      </c>
      <c r="AU51" s="1749"/>
      <c r="AV51" s="1871">
        <v>0</v>
      </c>
      <c r="AW51" s="1871">
        <v>0</v>
      </c>
      <c r="AX51" s="1871">
        <v>0</v>
      </c>
      <c r="AY51" s="1871">
        <v>0</v>
      </c>
      <c r="AZ51" s="1871">
        <v>0</v>
      </c>
      <c r="BA51" s="1871">
        <v>0</v>
      </c>
      <c r="BB51" s="1871">
        <v>0</v>
      </c>
      <c r="BC51" s="1871">
        <v>0</v>
      </c>
      <c r="BD51" s="1871">
        <v>0</v>
      </c>
      <c r="BE51" s="1871">
        <v>0</v>
      </c>
      <c r="BF51" s="1871">
        <v>0</v>
      </c>
      <c r="BG51" s="1871">
        <v>0</v>
      </c>
      <c r="BH51" s="1871">
        <v>0</v>
      </c>
      <c r="BI51" s="1871">
        <v>0</v>
      </c>
      <c r="BJ51" s="1871">
        <v>0</v>
      </c>
      <c r="BK51" s="1871">
        <v>0</v>
      </c>
      <c r="BL51" s="1871">
        <v>0</v>
      </c>
      <c r="BM51" s="1871">
        <v>0</v>
      </c>
      <c r="BN51" s="1871">
        <v>0</v>
      </c>
      <c r="BO51" s="1885">
        <v>0</v>
      </c>
      <c r="BP51" s="1749"/>
      <c r="BQ51" s="1871">
        <v>0</v>
      </c>
      <c r="BR51" s="1871">
        <v>0</v>
      </c>
      <c r="BS51" s="1800">
        <v>0</v>
      </c>
      <c r="BT51" s="1749"/>
      <c r="BU51" s="1886">
        <v>0</v>
      </c>
      <c r="BV51" s="1887"/>
      <c r="BW51" s="1888"/>
      <c r="BX51" s="1809">
        <v>0</v>
      </c>
      <c r="BY51" s="1809">
        <v>0</v>
      </c>
      <c r="BZ51" s="1809">
        <v>0</v>
      </c>
      <c r="CA51" s="1809">
        <v>0</v>
      </c>
      <c r="CB51" s="1809">
        <v>0</v>
      </c>
      <c r="CC51" s="1809">
        <v>0</v>
      </c>
      <c r="CD51" s="1809">
        <v>0</v>
      </c>
      <c r="CE51" s="1809">
        <v>0</v>
      </c>
      <c r="CF51" s="1809">
        <v>0</v>
      </c>
      <c r="CG51" s="1809">
        <v>0</v>
      </c>
      <c r="CH51" s="1809">
        <v>0</v>
      </c>
      <c r="CI51" s="1809">
        <v>0</v>
      </c>
      <c r="CJ51" s="1809">
        <v>0</v>
      </c>
      <c r="CK51" s="1809">
        <v>0</v>
      </c>
      <c r="CL51" s="1809">
        <v>0</v>
      </c>
      <c r="CM51" s="1809">
        <v>0</v>
      </c>
      <c r="CN51" s="1809">
        <v>0</v>
      </c>
      <c r="CO51" s="1809">
        <v>0</v>
      </c>
      <c r="CP51" s="1809">
        <v>0</v>
      </c>
      <c r="CQ51" s="1809">
        <v>0</v>
      </c>
      <c r="CR51" s="1809">
        <v>0</v>
      </c>
      <c r="CS51" s="1809">
        <v>0</v>
      </c>
      <c r="CT51" s="1809">
        <v>0</v>
      </c>
      <c r="CU51" s="1809">
        <v>0</v>
      </c>
      <c r="CV51" s="1809">
        <v>0</v>
      </c>
      <c r="CW51" s="1809">
        <v>0</v>
      </c>
      <c r="CX51" s="1809">
        <v>0</v>
      </c>
      <c r="CY51" s="1809">
        <v>0</v>
      </c>
      <c r="CZ51" s="1809">
        <v>0</v>
      </c>
      <c r="DA51" s="1809">
        <v>0</v>
      </c>
      <c r="DB51" s="1809">
        <v>0</v>
      </c>
      <c r="DC51" s="1809">
        <v>0</v>
      </c>
      <c r="DD51" s="1809">
        <v>0</v>
      </c>
      <c r="DE51" s="1809">
        <v>0</v>
      </c>
      <c r="DF51" s="1809">
        <v>0</v>
      </c>
      <c r="DG51" s="1809">
        <v>0</v>
      </c>
      <c r="DH51" s="1809">
        <v>0</v>
      </c>
      <c r="DI51" s="1809">
        <v>0</v>
      </c>
      <c r="DJ51" s="1809">
        <v>0</v>
      </c>
      <c r="DK51" s="1809">
        <v>0</v>
      </c>
      <c r="DL51" s="1809">
        <v>0</v>
      </c>
      <c r="DM51" s="1809">
        <v>0</v>
      </c>
      <c r="DN51" s="1809">
        <v>0</v>
      </c>
      <c r="DO51" s="1809">
        <v>0</v>
      </c>
      <c r="DP51" s="1889"/>
      <c r="DQ51" s="1890">
        <v>0</v>
      </c>
    </row>
    <row r="52" spans="1:121" s="1654" customFormat="1" ht="16">
      <c r="B52" s="1891"/>
      <c r="C52" s="1892" t="s">
        <v>4109</v>
      </c>
      <c r="D52" s="1893" t="s">
        <v>4110</v>
      </c>
      <c r="G52" s="1798">
        <v>0</v>
      </c>
      <c r="H52" s="1798">
        <v>0</v>
      </c>
      <c r="I52" s="1798">
        <v>0</v>
      </c>
      <c r="J52" s="1798">
        <v>0</v>
      </c>
      <c r="K52" s="1798">
        <v>0</v>
      </c>
      <c r="L52" s="1798">
        <v>0</v>
      </c>
      <c r="M52" s="1798">
        <v>0</v>
      </c>
      <c r="N52" s="1798">
        <v>0</v>
      </c>
      <c r="O52" s="1798">
        <v>0</v>
      </c>
      <c r="P52" s="1798">
        <v>0</v>
      </c>
      <c r="Q52" s="1798">
        <v>0</v>
      </c>
      <c r="R52" s="1798">
        <v>0</v>
      </c>
      <c r="S52" s="1798">
        <v>0</v>
      </c>
      <c r="T52" s="1809">
        <v>0</v>
      </c>
      <c r="U52" s="1749">
        <v>0</v>
      </c>
      <c r="V52" s="1798">
        <v>0</v>
      </c>
      <c r="W52" s="1798">
        <v>85.337120400333646</v>
      </c>
      <c r="X52" s="1798">
        <v>0</v>
      </c>
      <c r="Y52" s="1798">
        <v>0</v>
      </c>
      <c r="Z52" s="1798">
        <v>-250.25819321587127</v>
      </c>
      <c r="AA52" s="1798">
        <v>0</v>
      </c>
      <c r="AB52" s="1798">
        <v>-9.3836901977644018</v>
      </c>
      <c r="AC52" s="1798">
        <v>0</v>
      </c>
      <c r="AD52" s="1798">
        <v>0</v>
      </c>
      <c r="AE52" s="1798">
        <v>0</v>
      </c>
      <c r="AF52" s="1798">
        <v>0</v>
      </c>
      <c r="AG52" s="1798">
        <v>0</v>
      </c>
      <c r="AH52" s="1798">
        <v>0</v>
      </c>
      <c r="AI52" s="1798">
        <v>0</v>
      </c>
      <c r="AJ52" s="1798">
        <v>0</v>
      </c>
      <c r="AK52" s="1798">
        <v>0</v>
      </c>
      <c r="AL52" s="1798">
        <v>0</v>
      </c>
      <c r="AM52" s="1798">
        <v>0</v>
      </c>
      <c r="AN52" s="1798">
        <v>0</v>
      </c>
      <c r="AO52" s="1798">
        <v>0</v>
      </c>
      <c r="AP52" s="1798">
        <v>0</v>
      </c>
      <c r="AQ52" s="1798">
        <v>0</v>
      </c>
      <c r="AR52" s="1798">
        <v>0</v>
      </c>
      <c r="AS52" s="1798">
        <v>0</v>
      </c>
      <c r="AT52" s="1798">
        <v>-174.30476301330202</v>
      </c>
      <c r="AU52" s="1749">
        <v>0</v>
      </c>
      <c r="AV52" s="1798">
        <v>0</v>
      </c>
      <c r="AW52" s="1798">
        <v>0</v>
      </c>
      <c r="AX52" s="1798">
        <v>0</v>
      </c>
      <c r="AY52" s="1798">
        <v>0</v>
      </c>
      <c r="AZ52" s="1798">
        <v>0</v>
      </c>
      <c r="BA52" s="1798">
        <v>0</v>
      </c>
      <c r="BB52" s="1798">
        <v>0</v>
      </c>
      <c r="BC52" s="1798">
        <v>0</v>
      </c>
      <c r="BD52" s="1798">
        <v>0</v>
      </c>
      <c r="BE52" s="1798">
        <v>0</v>
      </c>
      <c r="BF52" s="1798">
        <v>0</v>
      </c>
      <c r="BG52" s="1798">
        <v>0</v>
      </c>
      <c r="BH52" s="1798">
        <v>0</v>
      </c>
      <c r="BI52" s="1798">
        <v>0</v>
      </c>
      <c r="BJ52" s="1798">
        <v>0</v>
      </c>
      <c r="BK52" s="1798">
        <v>0</v>
      </c>
      <c r="BL52" s="1798">
        <v>0</v>
      </c>
      <c r="BM52" s="1798">
        <v>0</v>
      </c>
      <c r="BN52" s="1798">
        <v>0</v>
      </c>
      <c r="BO52" s="1798">
        <v>0</v>
      </c>
      <c r="BP52" s="1749">
        <v>0</v>
      </c>
      <c r="BQ52" s="1798">
        <v>167.70508972811777</v>
      </c>
      <c r="BR52" s="1798">
        <v>6.5996732851842603</v>
      </c>
      <c r="BS52" s="1800">
        <v>174.30476301330202</v>
      </c>
      <c r="BT52" s="1749">
        <v>0</v>
      </c>
      <c r="BU52" s="1886">
        <v>0</v>
      </c>
      <c r="BV52" s="1886">
        <v>0</v>
      </c>
      <c r="BW52" s="1888">
        <v>0</v>
      </c>
      <c r="BX52" s="1894">
        <v>1022.4893431864607</v>
      </c>
      <c r="BY52" s="1894">
        <v>0</v>
      </c>
      <c r="BZ52" s="1894">
        <v>0.60848503174339252</v>
      </c>
      <c r="CA52" s="1894">
        <v>0</v>
      </c>
      <c r="CB52" s="1894">
        <v>0</v>
      </c>
      <c r="CC52" s="1894">
        <v>0</v>
      </c>
      <c r="CD52" s="1894">
        <v>0</v>
      </c>
      <c r="CE52" s="1894">
        <v>0</v>
      </c>
      <c r="CF52" s="1894">
        <v>0</v>
      </c>
      <c r="CG52" s="1894">
        <v>0</v>
      </c>
      <c r="CH52" s="1894">
        <v>0</v>
      </c>
      <c r="CI52" s="1894">
        <v>0</v>
      </c>
      <c r="CJ52" s="1894">
        <v>0</v>
      </c>
      <c r="CK52" s="1894">
        <v>0</v>
      </c>
      <c r="CL52" s="1894">
        <v>0</v>
      </c>
      <c r="CM52" s="1894">
        <v>0</v>
      </c>
      <c r="CN52" s="1894">
        <v>0</v>
      </c>
      <c r="CO52" s="1894">
        <v>0</v>
      </c>
      <c r="CP52" s="1894">
        <v>0</v>
      </c>
      <c r="CQ52" s="1894">
        <v>0</v>
      </c>
      <c r="CR52" s="1894">
        <v>0</v>
      </c>
      <c r="CS52" s="1894">
        <v>0</v>
      </c>
      <c r="CT52" s="1894">
        <v>0</v>
      </c>
      <c r="CU52" s="1894">
        <v>0</v>
      </c>
      <c r="CV52" s="1894">
        <v>0</v>
      </c>
      <c r="CW52" s="1894">
        <v>0</v>
      </c>
      <c r="CX52" s="1894">
        <v>0</v>
      </c>
      <c r="CY52" s="1894">
        <v>0</v>
      </c>
      <c r="CZ52" s="1894">
        <v>0</v>
      </c>
      <c r="DA52" s="1894">
        <v>0</v>
      </c>
      <c r="DB52" s="1894">
        <v>0</v>
      </c>
      <c r="DC52" s="1894">
        <v>0</v>
      </c>
      <c r="DD52" s="1894">
        <v>0</v>
      </c>
      <c r="DE52" s="1894">
        <v>0</v>
      </c>
      <c r="DF52" s="1894">
        <v>0</v>
      </c>
      <c r="DG52" s="1894">
        <v>0</v>
      </c>
      <c r="DH52" s="1894">
        <v>0</v>
      </c>
      <c r="DI52" s="1894">
        <v>0</v>
      </c>
      <c r="DJ52" s="1894">
        <v>0</v>
      </c>
      <c r="DK52" s="1894">
        <v>0</v>
      </c>
      <c r="DL52" s="1894">
        <v>0</v>
      </c>
      <c r="DM52" s="1894">
        <v>0</v>
      </c>
      <c r="DN52" s="1894">
        <v>0</v>
      </c>
      <c r="DO52" s="1894">
        <v>0</v>
      </c>
      <c r="DP52" s="1749">
        <v>0</v>
      </c>
      <c r="DQ52" s="1890">
        <v>1023.0978282182041</v>
      </c>
    </row>
    <row r="53" spans="1:121" s="1199" customFormat="1" ht="16">
      <c r="B53" s="1789"/>
      <c r="C53" s="1827" t="s">
        <v>4787</v>
      </c>
      <c r="D53" s="1828" t="s">
        <v>4788</v>
      </c>
      <c r="E53" s="1829"/>
      <c r="G53" s="1830">
        <v>0</v>
      </c>
      <c r="H53" s="1830">
        <v>0</v>
      </c>
      <c r="I53" s="1830">
        <v>0</v>
      </c>
      <c r="J53" s="1830">
        <v>0</v>
      </c>
      <c r="K53" s="1830">
        <v>0</v>
      </c>
      <c r="L53" s="1830">
        <v>0</v>
      </c>
      <c r="M53" s="1830">
        <v>0</v>
      </c>
      <c r="N53" s="1830">
        <v>0</v>
      </c>
      <c r="O53" s="1830">
        <v>0</v>
      </c>
      <c r="P53" s="1830">
        <v>0</v>
      </c>
      <c r="Q53" s="1830">
        <v>0</v>
      </c>
      <c r="R53" s="1830">
        <v>0</v>
      </c>
      <c r="S53" s="1830">
        <v>0</v>
      </c>
      <c r="T53" s="1779">
        <v>0</v>
      </c>
      <c r="U53" s="1197"/>
      <c r="V53" s="1831">
        <v>0</v>
      </c>
      <c r="W53" s="1831">
        <v>117.29754227090466</v>
      </c>
      <c r="X53" s="1831">
        <v>0</v>
      </c>
      <c r="Y53" s="1831">
        <v>0</v>
      </c>
      <c r="Z53" s="1831">
        <v>-250.25819320939138</v>
      </c>
      <c r="AA53" s="1831">
        <v>0</v>
      </c>
      <c r="AB53" s="1831">
        <v>-9.3836901974237179</v>
      </c>
      <c r="AC53" s="1831">
        <v>0</v>
      </c>
      <c r="AD53" s="1831">
        <v>0</v>
      </c>
      <c r="AE53" s="1831">
        <v>305.14276566866266</v>
      </c>
      <c r="AF53" s="1831">
        <v>29.674114975883853</v>
      </c>
      <c r="AG53" s="1831">
        <v>24.447199813865218</v>
      </c>
      <c r="AH53" s="1831">
        <v>0</v>
      </c>
      <c r="AI53" s="1831">
        <v>2.5461439966898212</v>
      </c>
      <c r="AJ53" s="1831">
        <v>0</v>
      </c>
      <c r="AK53" s="1831">
        <v>0</v>
      </c>
      <c r="AL53" s="1831">
        <v>0</v>
      </c>
      <c r="AM53" s="1831">
        <v>0</v>
      </c>
      <c r="AN53" s="1831">
        <v>0</v>
      </c>
      <c r="AO53" s="1831">
        <v>0</v>
      </c>
      <c r="AP53" s="1831">
        <v>0</v>
      </c>
      <c r="AQ53" s="1831">
        <v>0.5905059410096718</v>
      </c>
      <c r="AR53" s="1831">
        <v>0</v>
      </c>
      <c r="AS53" s="1831">
        <v>0</v>
      </c>
      <c r="AT53" s="1797">
        <v>220.05638926020077</v>
      </c>
      <c r="AU53" s="1197"/>
      <c r="AV53" s="1831">
        <v>-305.14276566866266</v>
      </c>
      <c r="AW53" s="1831">
        <v>-29.674114975883853</v>
      </c>
      <c r="AX53" s="1831">
        <v>-24.447199813865218</v>
      </c>
      <c r="AY53" s="1831">
        <v>0</v>
      </c>
      <c r="AZ53" s="1831">
        <v>0</v>
      </c>
      <c r="BA53" s="1831">
        <v>0</v>
      </c>
      <c r="BB53" s="1831">
        <v>0</v>
      </c>
      <c r="BC53" s="1831">
        <v>0</v>
      </c>
      <c r="BD53" s="1831">
        <v>0</v>
      </c>
      <c r="BE53" s="1831">
        <v>-13.044604533325936</v>
      </c>
      <c r="BF53" s="1831">
        <v>-7.7194886551634117</v>
      </c>
      <c r="BG53" s="1831">
        <v>-5.9047082558899397</v>
      </c>
      <c r="BH53" s="1831">
        <v>0</v>
      </c>
      <c r="BI53" s="1831">
        <v>0</v>
      </c>
      <c r="BJ53" s="1831">
        <v>0</v>
      </c>
      <c r="BK53" s="1831">
        <v>-13.943388638073946</v>
      </c>
      <c r="BL53" s="1831">
        <v>0</v>
      </c>
      <c r="BM53" s="1831">
        <v>-7.6038076522459388</v>
      </c>
      <c r="BN53" s="1831">
        <v>-0.40662998170625669</v>
      </c>
      <c r="BO53" s="1895">
        <v>-407.88670817481716</v>
      </c>
      <c r="BP53" s="1197"/>
      <c r="BQ53" s="1831">
        <v>180.79472103513743</v>
      </c>
      <c r="BR53" s="1831">
        <v>7.0355978794789467</v>
      </c>
      <c r="BS53" s="1831">
        <v>187.83031891461636</v>
      </c>
      <c r="BT53" s="1197"/>
      <c r="BU53" s="1886">
        <v>0</v>
      </c>
      <c r="BV53" s="1834"/>
      <c r="BW53" s="1197"/>
      <c r="BX53" s="1835">
        <v>1022.4893431864607</v>
      </c>
      <c r="BY53" s="1836">
        <v>0</v>
      </c>
      <c r="BZ53" s="1836">
        <v>0.60848503174339252</v>
      </c>
      <c r="CA53" s="1836">
        <v>0</v>
      </c>
      <c r="CB53" s="1836">
        <v>0</v>
      </c>
      <c r="CC53" s="1836">
        <v>25.207342295608466</v>
      </c>
      <c r="CD53" s="1836">
        <v>0</v>
      </c>
      <c r="CE53" s="1836">
        <v>0</v>
      </c>
      <c r="CF53" s="1836">
        <v>0</v>
      </c>
      <c r="CG53" s="1836">
        <v>0</v>
      </c>
      <c r="CH53" s="1836">
        <v>0</v>
      </c>
      <c r="CI53" s="1836">
        <v>0</v>
      </c>
      <c r="CJ53" s="1836">
        <v>0</v>
      </c>
      <c r="CK53" s="1836">
        <v>0</v>
      </c>
      <c r="CL53" s="1836">
        <v>0</v>
      </c>
      <c r="CM53" s="1836">
        <v>0</v>
      </c>
      <c r="CN53" s="1836">
        <v>0</v>
      </c>
      <c r="CO53" s="1836">
        <v>0</v>
      </c>
      <c r="CP53" s="1836">
        <v>0</v>
      </c>
      <c r="CQ53" s="1836">
        <v>0</v>
      </c>
      <c r="CR53" s="1836">
        <v>0</v>
      </c>
      <c r="CS53" s="1836">
        <v>0</v>
      </c>
      <c r="CT53" s="1836">
        <v>0</v>
      </c>
      <c r="CU53" s="1836">
        <v>0</v>
      </c>
      <c r="CV53" s="1836">
        <v>0</v>
      </c>
      <c r="CW53" s="1836">
        <v>0</v>
      </c>
      <c r="CX53" s="1836">
        <v>0</v>
      </c>
      <c r="CY53" s="1836">
        <v>0</v>
      </c>
      <c r="CZ53" s="1836">
        <v>0</v>
      </c>
      <c r="DA53" s="1836">
        <v>0</v>
      </c>
      <c r="DB53" s="1836">
        <v>0</v>
      </c>
      <c r="DC53" s="1836">
        <v>0</v>
      </c>
      <c r="DD53" s="1836">
        <v>0</v>
      </c>
      <c r="DE53" s="1836">
        <v>0</v>
      </c>
      <c r="DF53" s="1836">
        <v>0</v>
      </c>
      <c r="DG53" s="1836">
        <v>0</v>
      </c>
      <c r="DH53" s="1836">
        <v>0</v>
      </c>
      <c r="DI53" s="1836">
        <v>0</v>
      </c>
      <c r="DJ53" s="1836">
        <v>0</v>
      </c>
      <c r="DK53" s="1836">
        <v>0</v>
      </c>
      <c r="DL53" s="1836">
        <v>0</v>
      </c>
      <c r="DM53" s="1836">
        <v>0</v>
      </c>
      <c r="DN53" s="1836">
        <v>0</v>
      </c>
      <c r="DO53" s="1836">
        <v>0</v>
      </c>
      <c r="DP53" s="1197"/>
      <c r="DQ53" s="1837">
        <v>1048.3051705138125</v>
      </c>
    </row>
    <row r="54" spans="1:121" s="1199" customFormat="1" ht="6" customHeight="1">
      <c r="C54" s="1768"/>
      <c r="D54" s="1205"/>
      <c r="G54" s="1779"/>
      <c r="H54" s="1779"/>
      <c r="I54" s="1779"/>
      <c r="J54" s="1779"/>
      <c r="K54" s="1779"/>
      <c r="L54" s="1838"/>
      <c r="M54" s="1779"/>
      <c r="N54" s="1779"/>
      <c r="O54" s="1779"/>
      <c r="P54" s="1779"/>
      <c r="Q54" s="1779"/>
      <c r="R54" s="1779"/>
      <c r="S54" s="1779"/>
      <c r="T54" s="1779"/>
      <c r="U54" s="1197"/>
      <c r="V54" s="1797"/>
      <c r="W54" s="1797"/>
      <c r="X54" s="1798"/>
      <c r="Y54" s="1798"/>
      <c r="Z54" s="1797"/>
      <c r="AA54" s="1797"/>
      <c r="AB54" s="1797"/>
      <c r="AC54" s="1797"/>
      <c r="AD54" s="1797"/>
      <c r="AE54" s="1797"/>
      <c r="AF54" s="1797"/>
      <c r="AG54" s="1797"/>
      <c r="AH54" s="1797"/>
      <c r="AI54" s="1797"/>
      <c r="AJ54" s="1797"/>
      <c r="AK54" s="1797"/>
      <c r="AL54" s="1797"/>
      <c r="AM54" s="1797"/>
      <c r="AN54" s="1797"/>
      <c r="AO54" s="1797"/>
      <c r="AP54" s="1797"/>
      <c r="AQ54" s="1797"/>
      <c r="AR54" s="1797"/>
      <c r="AS54" s="1797"/>
      <c r="AT54" s="1797"/>
      <c r="AU54" s="1197"/>
      <c r="AV54" s="1799"/>
      <c r="AW54" s="1799"/>
      <c r="AX54" s="1799"/>
      <c r="AY54" s="1799"/>
      <c r="AZ54" s="1799"/>
      <c r="BA54" s="1799"/>
      <c r="BB54" s="1799"/>
      <c r="BC54" s="1799"/>
      <c r="BD54" s="1799"/>
      <c r="BE54" s="1799"/>
      <c r="BF54" s="1799"/>
      <c r="BG54" s="1799"/>
      <c r="BH54" s="1799"/>
      <c r="BI54" s="1799"/>
      <c r="BJ54" s="1799"/>
      <c r="BK54" s="1799"/>
      <c r="BL54" s="1799"/>
      <c r="BM54" s="1799"/>
      <c r="BN54" s="1799"/>
      <c r="BO54" s="1799"/>
      <c r="BP54" s="1197"/>
      <c r="BQ54" s="1800"/>
      <c r="BR54" s="1800"/>
      <c r="BS54" s="1800"/>
      <c r="BT54" s="1197"/>
      <c r="BU54" s="1801">
        <v>0</v>
      </c>
      <c r="BV54" s="1801"/>
      <c r="BW54" s="1197"/>
      <c r="BX54" s="1817"/>
      <c r="BY54" s="1817"/>
      <c r="BZ54" s="1817"/>
      <c r="CA54" s="1817"/>
      <c r="CB54" s="1817"/>
      <c r="CC54" s="1817"/>
      <c r="CD54" s="1817"/>
      <c r="CE54" s="1817"/>
      <c r="CF54" s="1817"/>
      <c r="CG54" s="1817"/>
      <c r="CH54" s="1817"/>
      <c r="CI54" s="1817"/>
      <c r="CJ54" s="1817"/>
      <c r="CK54" s="1817"/>
      <c r="CL54" s="1817"/>
      <c r="CM54" s="1817"/>
      <c r="CN54" s="1817"/>
      <c r="CO54" s="1817"/>
      <c r="CP54" s="1817"/>
      <c r="CQ54" s="1817"/>
      <c r="CR54" s="1817"/>
      <c r="CS54" s="1817"/>
      <c r="CT54" s="1817"/>
      <c r="CU54" s="1817"/>
      <c r="CV54" s="1817"/>
      <c r="CW54" s="1817"/>
      <c r="CX54" s="1817"/>
      <c r="CY54" s="1817"/>
      <c r="CZ54" s="1817"/>
      <c r="DA54" s="1817"/>
      <c r="DB54" s="1817"/>
      <c r="DC54" s="1817"/>
      <c r="DD54" s="1817"/>
      <c r="DE54" s="1817"/>
      <c r="DF54" s="1817"/>
      <c r="DG54" s="1817"/>
      <c r="DH54" s="1817"/>
      <c r="DI54" s="1817"/>
      <c r="DJ54" s="1817"/>
      <c r="DK54" s="1817"/>
      <c r="DL54" s="1817"/>
      <c r="DM54" s="1817"/>
      <c r="DN54" s="1817"/>
      <c r="DO54" s="1817"/>
      <c r="DP54" s="1197"/>
      <c r="DQ54" s="1226"/>
    </row>
    <row r="55" spans="1:121" s="1199" customFormat="1" ht="24" customHeight="1">
      <c r="C55" s="1198" t="s">
        <v>4789</v>
      </c>
      <c r="D55" s="1198"/>
      <c r="E55" s="1789"/>
      <c r="G55" s="1790"/>
      <c r="H55" s="1790"/>
      <c r="I55" s="1790"/>
      <c r="J55" s="1790"/>
      <c r="K55" s="1790"/>
      <c r="L55" s="1790"/>
      <c r="M55" s="1790"/>
      <c r="N55" s="1790"/>
      <c r="O55" s="1790"/>
      <c r="P55" s="1790"/>
      <c r="Q55" s="1790"/>
      <c r="R55" s="1790"/>
      <c r="S55" s="1790"/>
      <c r="T55" s="1790"/>
      <c r="U55" s="1197"/>
      <c r="V55" s="1896"/>
      <c r="W55" s="1896"/>
      <c r="X55" s="1897"/>
      <c r="Y55" s="1897"/>
      <c r="Z55" s="1896"/>
      <c r="AA55" s="1896"/>
      <c r="AB55" s="1896"/>
      <c r="AC55" s="1896"/>
      <c r="AD55" s="1896"/>
      <c r="AE55" s="1791"/>
      <c r="AF55" s="1791"/>
      <c r="AG55" s="1791"/>
      <c r="AH55" s="1896"/>
      <c r="AI55" s="1896"/>
      <c r="AJ55" s="1896"/>
      <c r="AK55" s="1896"/>
      <c r="AL55" s="1896"/>
      <c r="AM55" s="1896"/>
      <c r="AN55" s="1896"/>
      <c r="AO55" s="1896"/>
      <c r="AP55" s="1896"/>
      <c r="AQ55" s="1896"/>
      <c r="AR55" s="1896"/>
      <c r="AS55" s="1896"/>
      <c r="AT55" s="1896"/>
      <c r="AU55" s="1197"/>
      <c r="AV55" s="1898"/>
      <c r="AW55" s="1898"/>
      <c r="AX55" s="1898"/>
      <c r="AY55" s="1898"/>
      <c r="AZ55" s="1898"/>
      <c r="BA55" s="1898"/>
      <c r="BB55" s="1898"/>
      <c r="BC55" s="1898"/>
      <c r="BD55" s="1898"/>
      <c r="BE55" s="1898"/>
      <c r="BF55" s="1793"/>
      <c r="BG55" s="1793"/>
      <c r="BH55" s="1793"/>
      <c r="BI55" s="1793"/>
      <c r="BJ55" s="1793"/>
      <c r="BK55" s="1793"/>
      <c r="BL55" s="1793"/>
      <c r="BM55" s="1793"/>
      <c r="BN55" s="1793"/>
      <c r="BO55" s="1898"/>
      <c r="BP55" s="1197"/>
      <c r="BQ55" s="1899"/>
      <c r="BR55" s="1899"/>
      <c r="BS55" s="1899"/>
      <c r="BT55" s="1197"/>
      <c r="BU55" s="1795">
        <v>0</v>
      </c>
      <c r="BV55" s="1795"/>
      <c r="BW55" s="1197"/>
      <c r="BX55" s="1817"/>
      <c r="BY55" s="1817"/>
      <c r="BZ55" s="1817"/>
      <c r="CA55" s="1817"/>
      <c r="CB55" s="1817"/>
      <c r="CC55" s="1817"/>
      <c r="CD55" s="1817"/>
      <c r="CE55" s="1817"/>
      <c r="CF55" s="1817"/>
      <c r="CG55" s="1817"/>
      <c r="CH55" s="1817"/>
      <c r="CI55" s="1817"/>
      <c r="CJ55" s="1817"/>
      <c r="CK55" s="1817"/>
      <c r="CL55" s="1817"/>
      <c r="CM55" s="1817"/>
      <c r="CN55" s="1817"/>
      <c r="CO55" s="1817"/>
      <c r="CP55" s="1817"/>
      <c r="CQ55" s="1817"/>
      <c r="CR55" s="1817"/>
      <c r="CS55" s="1817"/>
      <c r="CT55" s="1817"/>
      <c r="CU55" s="1817"/>
      <c r="CV55" s="1817"/>
      <c r="CW55" s="1817"/>
      <c r="CX55" s="1817"/>
      <c r="CY55" s="1817"/>
      <c r="CZ55" s="1817"/>
      <c r="DA55" s="1817"/>
      <c r="DB55" s="1817"/>
      <c r="DC55" s="1817"/>
      <c r="DD55" s="1817"/>
      <c r="DE55" s="1817"/>
      <c r="DF55" s="1817"/>
      <c r="DG55" s="1817"/>
      <c r="DH55" s="1817"/>
      <c r="DI55" s="1817"/>
      <c r="DJ55" s="1817"/>
      <c r="DK55" s="1817"/>
      <c r="DL55" s="1817"/>
      <c r="DM55" s="1817"/>
      <c r="DN55" s="1817"/>
      <c r="DO55" s="1817"/>
      <c r="DP55" s="1197"/>
      <c r="DQ55" s="1226"/>
    </row>
    <row r="56" spans="1:121" s="1199" customFormat="1" ht="6" customHeight="1">
      <c r="C56" s="1197"/>
      <c r="G56" s="1779"/>
      <c r="H56" s="1779"/>
      <c r="I56" s="1779"/>
      <c r="J56" s="1779"/>
      <c r="K56" s="1779"/>
      <c r="L56" s="1838"/>
      <c r="M56" s="1779"/>
      <c r="N56" s="1779"/>
      <c r="O56" s="1779"/>
      <c r="P56" s="1779"/>
      <c r="Q56" s="1779"/>
      <c r="R56" s="1779"/>
      <c r="S56" s="1779"/>
      <c r="T56" s="1779"/>
      <c r="U56" s="1197"/>
      <c r="V56" s="1797"/>
      <c r="W56" s="1797"/>
      <c r="X56" s="1798"/>
      <c r="Y56" s="1798"/>
      <c r="Z56" s="1797"/>
      <c r="AA56" s="1797"/>
      <c r="AB56" s="1797"/>
      <c r="AC56" s="1797"/>
      <c r="AD56" s="1797"/>
      <c r="AE56" s="1797"/>
      <c r="AF56" s="1797"/>
      <c r="AG56" s="1797"/>
      <c r="AH56" s="1797"/>
      <c r="AI56" s="1797"/>
      <c r="AJ56" s="1797"/>
      <c r="AK56" s="1797"/>
      <c r="AL56" s="1797"/>
      <c r="AM56" s="1797"/>
      <c r="AN56" s="1797"/>
      <c r="AO56" s="1797"/>
      <c r="AP56" s="1797"/>
      <c r="AQ56" s="1797"/>
      <c r="AR56" s="1797"/>
      <c r="AS56" s="1797"/>
      <c r="AT56" s="1797"/>
      <c r="AU56" s="1197"/>
      <c r="AV56" s="1799"/>
      <c r="AW56" s="1799"/>
      <c r="AX56" s="1799"/>
      <c r="AY56" s="1799"/>
      <c r="AZ56" s="1799"/>
      <c r="BA56" s="1799"/>
      <c r="BB56" s="1799"/>
      <c r="BC56" s="1799"/>
      <c r="BD56" s="1799"/>
      <c r="BE56" s="1799"/>
      <c r="BF56" s="1799"/>
      <c r="BG56" s="1799"/>
      <c r="BH56" s="1799"/>
      <c r="BI56" s="1799"/>
      <c r="BJ56" s="1799"/>
      <c r="BK56" s="1799"/>
      <c r="BL56" s="1799"/>
      <c r="BM56" s="1799"/>
      <c r="BN56" s="1799"/>
      <c r="BO56" s="1799"/>
      <c r="BP56" s="1197"/>
      <c r="BQ56" s="1800"/>
      <c r="BR56" s="1800"/>
      <c r="BS56" s="1800"/>
      <c r="BT56" s="1197"/>
      <c r="BU56" s="1801">
        <v>0</v>
      </c>
      <c r="BV56" s="1801"/>
      <c r="BW56" s="1197"/>
      <c r="BX56" s="1817"/>
      <c r="BY56" s="1817"/>
      <c r="BZ56" s="1817"/>
      <c r="CA56" s="1817"/>
      <c r="CB56" s="1817"/>
      <c r="CC56" s="1817"/>
      <c r="CD56" s="1817"/>
      <c r="CE56" s="1817"/>
      <c r="CF56" s="1817"/>
      <c r="CG56" s="1817"/>
      <c r="CH56" s="1817"/>
      <c r="CI56" s="1817"/>
      <c r="CJ56" s="1817"/>
      <c r="CK56" s="1817"/>
      <c r="CL56" s="1817"/>
      <c r="CM56" s="1817"/>
      <c r="CN56" s="1817"/>
      <c r="CO56" s="1817"/>
      <c r="CP56" s="1817"/>
      <c r="CQ56" s="1817"/>
      <c r="CR56" s="1817"/>
      <c r="CS56" s="1817"/>
      <c r="CT56" s="1817"/>
      <c r="CU56" s="1817"/>
      <c r="CV56" s="1817"/>
      <c r="CW56" s="1817"/>
      <c r="CX56" s="1817"/>
      <c r="CY56" s="1817"/>
      <c r="CZ56" s="1817"/>
      <c r="DA56" s="1817"/>
      <c r="DB56" s="1817"/>
      <c r="DC56" s="1817"/>
      <c r="DD56" s="1817"/>
      <c r="DE56" s="1817"/>
      <c r="DF56" s="1817"/>
      <c r="DG56" s="1817"/>
      <c r="DH56" s="1817"/>
      <c r="DI56" s="1817"/>
      <c r="DJ56" s="1817"/>
      <c r="DK56" s="1817"/>
      <c r="DL56" s="1817"/>
      <c r="DM56" s="1817"/>
      <c r="DN56" s="1817"/>
      <c r="DO56" s="1817"/>
      <c r="DP56" s="1197"/>
      <c r="DQ56" s="1226"/>
    </row>
    <row r="57" spans="1:121" s="1199" customFormat="1" ht="15" outlineLevel="1">
      <c r="A57" s="1856"/>
      <c r="B57" s="1856"/>
      <c r="C57" s="1900"/>
      <c r="D57" s="1879"/>
      <c r="E57" s="1879"/>
      <c r="G57" s="1901"/>
      <c r="H57" s="1901"/>
      <c r="I57" s="1901"/>
      <c r="J57" s="1901"/>
      <c r="K57" s="1901"/>
      <c r="L57" s="1902"/>
      <c r="M57" s="1901"/>
      <c r="N57" s="1901"/>
      <c r="O57" s="1901"/>
      <c r="P57" s="1901"/>
      <c r="Q57" s="1901"/>
      <c r="R57" s="1901"/>
      <c r="S57" s="1901"/>
      <c r="T57" s="1901"/>
      <c r="U57" s="1197"/>
      <c r="V57" s="1903"/>
      <c r="W57" s="1903"/>
      <c r="X57" s="1904"/>
      <c r="Y57" s="1904"/>
      <c r="Z57" s="1903"/>
      <c r="AA57" s="1903"/>
      <c r="AB57" s="1903"/>
      <c r="AC57" s="1903"/>
      <c r="AD57" s="1903"/>
      <c r="AE57" s="1903"/>
      <c r="AF57" s="1903"/>
      <c r="AG57" s="1903"/>
      <c r="AH57" s="1903"/>
      <c r="AI57" s="1903"/>
      <c r="AJ57" s="1903"/>
      <c r="AK57" s="1903"/>
      <c r="AL57" s="1903"/>
      <c r="AM57" s="1903"/>
      <c r="AN57" s="1903"/>
      <c r="AO57" s="1903"/>
      <c r="AP57" s="1903"/>
      <c r="AQ57" s="1903"/>
      <c r="AR57" s="1903"/>
      <c r="AS57" s="1903"/>
      <c r="AT57" s="1903"/>
      <c r="AU57" s="1197"/>
      <c r="AV57" s="1905"/>
      <c r="AW57" s="1905"/>
      <c r="AX57" s="1905"/>
      <c r="AY57" s="1905"/>
      <c r="AZ57" s="1905"/>
      <c r="BA57" s="1905"/>
      <c r="BB57" s="1905"/>
      <c r="BC57" s="1905"/>
      <c r="BD57" s="1905"/>
      <c r="BE57" s="1905"/>
      <c r="BF57" s="1905"/>
      <c r="BG57" s="1905"/>
      <c r="BH57" s="1905"/>
      <c r="BI57" s="1905"/>
      <c r="BJ57" s="1905"/>
      <c r="BK57" s="1905"/>
      <c r="BL57" s="1905"/>
      <c r="BM57" s="1905"/>
      <c r="BN57" s="1905"/>
      <c r="BO57" s="1905"/>
      <c r="BP57" s="1197"/>
      <c r="BQ57" s="1906"/>
      <c r="BR57" s="1906"/>
      <c r="BS57" s="1906"/>
      <c r="BT57" s="1197"/>
      <c r="BU57" s="1858"/>
      <c r="BV57" s="1858"/>
      <c r="BW57" s="1907"/>
      <c r="BX57" s="1908"/>
      <c r="BY57" s="1817"/>
      <c r="BZ57" s="1817"/>
      <c r="CA57" s="1817"/>
      <c r="CB57" s="1817"/>
      <c r="CC57" s="1817"/>
      <c r="CD57" s="1817"/>
      <c r="CE57" s="1817"/>
      <c r="CF57" s="1817"/>
      <c r="CG57" s="1817"/>
      <c r="CH57" s="1817"/>
      <c r="CI57" s="1817"/>
      <c r="CJ57" s="1817"/>
      <c r="CK57" s="1817"/>
      <c r="CL57" s="1817"/>
      <c r="CM57" s="1817"/>
      <c r="CN57" s="1817"/>
      <c r="CO57" s="1817"/>
      <c r="CP57" s="1817"/>
      <c r="CQ57" s="1817"/>
      <c r="CR57" s="1817"/>
      <c r="CS57" s="1817"/>
      <c r="CT57" s="1817"/>
      <c r="CU57" s="1817"/>
      <c r="CV57" s="1817"/>
      <c r="CW57" s="1817"/>
      <c r="CX57" s="1817"/>
      <c r="CY57" s="1817"/>
      <c r="CZ57" s="1817"/>
      <c r="DA57" s="1817"/>
      <c r="DB57" s="1817"/>
      <c r="DC57" s="1817"/>
      <c r="DD57" s="1817"/>
      <c r="DE57" s="1817"/>
      <c r="DF57" s="1817"/>
      <c r="DG57" s="1817"/>
      <c r="DH57" s="1817"/>
      <c r="DI57" s="1817"/>
      <c r="DJ57" s="1817"/>
      <c r="DK57" s="1817"/>
      <c r="DL57" s="1817"/>
      <c r="DM57" s="1817"/>
      <c r="DN57" s="1817"/>
      <c r="DO57" s="1817"/>
      <c r="DP57" s="1197"/>
      <c r="DQ57" s="1226"/>
    </row>
    <row r="58" spans="1:121" s="1803" customFormat="1" ht="15" outlineLevel="1">
      <c r="C58" s="1851" t="s">
        <v>4085</v>
      </c>
      <c r="D58" s="1805" t="s">
        <v>4086</v>
      </c>
      <c r="E58" s="1852"/>
      <c r="F58" s="1199"/>
      <c r="G58" s="1853">
        <v>0</v>
      </c>
      <c r="H58" s="1853"/>
      <c r="I58" s="1853">
        <v>0</v>
      </c>
      <c r="J58" s="1853">
        <v>0</v>
      </c>
      <c r="K58" s="1853">
        <v>0</v>
      </c>
      <c r="L58" s="1853">
        <v>0</v>
      </c>
      <c r="M58" s="1853">
        <v>0</v>
      </c>
      <c r="N58" s="1853">
        <v>0</v>
      </c>
      <c r="O58" s="1853">
        <v>0</v>
      </c>
      <c r="P58" s="1853">
        <v>0</v>
      </c>
      <c r="Q58" s="1853">
        <v>0</v>
      </c>
      <c r="R58" s="1853">
        <v>0</v>
      </c>
      <c r="S58" s="1853">
        <v>0</v>
      </c>
      <c r="T58" s="1807">
        <v>0</v>
      </c>
      <c r="U58" s="1197"/>
      <c r="V58" s="1854">
        <v>0</v>
      </c>
      <c r="W58" s="1854">
        <v>-0.13974194909716242</v>
      </c>
      <c r="X58" s="1855">
        <v>0</v>
      </c>
      <c r="Y58" s="1855">
        <v>0</v>
      </c>
      <c r="Z58" s="1854">
        <v>0</v>
      </c>
      <c r="AA58" s="1854">
        <v>0</v>
      </c>
      <c r="AB58" s="1854">
        <v>0</v>
      </c>
      <c r="AC58" s="1854">
        <v>0</v>
      </c>
      <c r="AD58" s="1854">
        <v>0</v>
      </c>
      <c r="AE58" s="1854">
        <v>0</v>
      </c>
      <c r="AF58" s="1854">
        <v>0</v>
      </c>
      <c r="AG58" s="1854">
        <v>0</v>
      </c>
      <c r="AH58" s="1854">
        <v>0</v>
      </c>
      <c r="AI58" s="1854">
        <v>0</v>
      </c>
      <c r="AJ58" s="1854">
        <v>0</v>
      </c>
      <c r="AK58" s="1854">
        <v>0</v>
      </c>
      <c r="AL58" s="1854">
        <v>0</v>
      </c>
      <c r="AM58" s="1854">
        <v>0</v>
      </c>
      <c r="AN58" s="1854">
        <v>0</v>
      </c>
      <c r="AO58" s="1854">
        <v>0</v>
      </c>
      <c r="AP58" s="1854">
        <v>0</v>
      </c>
      <c r="AQ58" s="1854">
        <v>0</v>
      </c>
      <c r="AR58" s="1854">
        <v>0</v>
      </c>
      <c r="AS58" s="1854">
        <v>0</v>
      </c>
      <c r="AT58" s="1808">
        <v>-0.13974194909716242</v>
      </c>
      <c r="AU58" s="1197"/>
      <c r="AV58" s="1810">
        <v>0</v>
      </c>
      <c r="AW58" s="1810">
        <v>0</v>
      </c>
      <c r="AX58" s="1810">
        <v>0</v>
      </c>
      <c r="AY58" s="1810">
        <v>0</v>
      </c>
      <c r="AZ58" s="1810">
        <v>0.13974194909716242</v>
      </c>
      <c r="BA58" s="1810">
        <v>0</v>
      </c>
      <c r="BB58" s="1810">
        <v>0</v>
      </c>
      <c r="BC58" s="1810">
        <v>0</v>
      </c>
      <c r="BD58" s="1810">
        <v>0</v>
      </c>
      <c r="BE58" s="1810">
        <v>0</v>
      </c>
      <c r="BF58" s="1810">
        <v>0</v>
      </c>
      <c r="BG58" s="1810">
        <v>0</v>
      </c>
      <c r="BH58" s="1810">
        <v>0</v>
      </c>
      <c r="BI58" s="1810">
        <v>0</v>
      </c>
      <c r="BJ58" s="1810">
        <v>0</v>
      </c>
      <c r="BK58" s="1810">
        <v>0</v>
      </c>
      <c r="BL58" s="1810">
        <v>0</v>
      </c>
      <c r="BM58" s="1810">
        <v>0</v>
      </c>
      <c r="BN58" s="1810">
        <v>0</v>
      </c>
      <c r="BO58" s="1811">
        <v>0.13974194909716242</v>
      </c>
      <c r="BP58" s="1197"/>
      <c r="BQ58" s="1812">
        <v>0</v>
      </c>
      <c r="BR58" s="1812">
        <v>0</v>
      </c>
      <c r="BS58" s="1813">
        <v>0</v>
      </c>
      <c r="BT58" s="1197"/>
      <c r="BU58" s="1814">
        <v>0</v>
      </c>
      <c r="BV58" s="1814"/>
      <c r="BW58" s="1863"/>
      <c r="BX58" s="1816">
        <v>0</v>
      </c>
      <c r="BY58" s="1817">
        <v>0</v>
      </c>
      <c r="BZ58" s="1817">
        <v>0</v>
      </c>
      <c r="CA58" s="1817">
        <v>0</v>
      </c>
      <c r="CB58" s="1817">
        <v>0</v>
      </c>
      <c r="CC58" s="1817">
        <v>0</v>
      </c>
      <c r="CD58" s="1817">
        <v>0</v>
      </c>
      <c r="CE58" s="1817">
        <v>0</v>
      </c>
      <c r="CF58" s="1817">
        <v>0</v>
      </c>
      <c r="CG58" s="1817">
        <v>0</v>
      </c>
      <c r="CH58" s="1817">
        <v>0</v>
      </c>
      <c r="CI58" s="1817">
        <v>0</v>
      </c>
      <c r="CJ58" s="1817">
        <v>0</v>
      </c>
      <c r="CK58" s="1817">
        <v>0</v>
      </c>
      <c r="CL58" s="1817">
        <v>0</v>
      </c>
      <c r="CM58" s="1817">
        <v>0</v>
      </c>
      <c r="CN58" s="1817">
        <v>0</v>
      </c>
      <c r="CO58" s="1817">
        <v>0</v>
      </c>
      <c r="CP58" s="1817">
        <v>0</v>
      </c>
      <c r="CQ58" s="1817">
        <v>0</v>
      </c>
      <c r="CR58" s="1817">
        <v>0</v>
      </c>
      <c r="CS58" s="1817">
        <v>0</v>
      </c>
      <c r="CT58" s="1817">
        <v>0</v>
      </c>
      <c r="CU58" s="1817">
        <v>0</v>
      </c>
      <c r="CV58" s="1817">
        <v>0</v>
      </c>
      <c r="CW58" s="1817">
        <v>0</v>
      </c>
      <c r="CX58" s="1817">
        <v>0</v>
      </c>
      <c r="CY58" s="1817">
        <v>0</v>
      </c>
      <c r="CZ58" s="1817">
        <v>0</v>
      </c>
      <c r="DA58" s="1817">
        <v>0</v>
      </c>
      <c r="DB58" s="1817">
        <v>0</v>
      </c>
      <c r="DC58" s="1817">
        <v>0</v>
      </c>
      <c r="DD58" s="1817">
        <v>0</v>
      </c>
      <c r="DE58" s="1817">
        <v>0</v>
      </c>
      <c r="DF58" s="1817">
        <v>0</v>
      </c>
      <c r="DG58" s="1817">
        <v>0</v>
      </c>
      <c r="DH58" s="1817">
        <v>0</v>
      </c>
      <c r="DI58" s="1817">
        <v>0</v>
      </c>
      <c r="DJ58" s="1817">
        <v>0</v>
      </c>
      <c r="DK58" s="1817">
        <v>0</v>
      </c>
      <c r="DL58" s="1817">
        <v>0</v>
      </c>
      <c r="DM58" s="1817">
        <v>0</v>
      </c>
      <c r="DN58" s="1817">
        <v>0</v>
      </c>
      <c r="DO58" s="1817">
        <v>0</v>
      </c>
      <c r="DP58" s="1863"/>
      <c r="DQ58" s="1226"/>
    </row>
    <row r="59" spans="1:121" s="1856" customFormat="1" ht="12.75" customHeight="1" outlineLevel="1">
      <c r="C59" s="1878" t="s">
        <v>4790</v>
      </c>
      <c r="D59" s="1874" t="s">
        <v>4791</v>
      </c>
      <c r="E59" s="1874"/>
      <c r="F59" s="1199"/>
      <c r="G59" s="1909"/>
      <c r="H59" s="1909"/>
      <c r="I59" s="1909"/>
      <c r="J59" s="1909"/>
      <c r="K59" s="1909"/>
      <c r="L59" s="1910"/>
      <c r="M59" s="1909"/>
      <c r="N59" s="1909"/>
      <c r="O59" s="1909"/>
      <c r="P59" s="1909"/>
      <c r="Q59" s="1909"/>
      <c r="R59" s="1909"/>
      <c r="S59" s="1909"/>
      <c r="T59" s="1909"/>
      <c r="U59" s="1197"/>
      <c r="V59" s="1911">
        <v>-94.745513120245718</v>
      </c>
      <c r="W59" s="1911">
        <v>31.820679921473854</v>
      </c>
      <c r="X59" s="1912">
        <v>0</v>
      </c>
      <c r="Y59" s="1912">
        <v>0</v>
      </c>
      <c r="Z59" s="1911"/>
      <c r="AA59" s="1911"/>
      <c r="AB59" s="1911"/>
      <c r="AC59" s="1911"/>
      <c r="AD59" s="1911"/>
      <c r="AE59" s="1911"/>
      <c r="AF59" s="1911"/>
      <c r="AG59" s="1911"/>
      <c r="AH59" s="1911"/>
      <c r="AI59" s="1911"/>
      <c r="AJ59" s="1911"/>
      <c r="AK59" s="1911"/>
      <c r="AL59" s="1911"/>
      <c r="AM59" s="1911"/>
      <c r="AN59" s="1911"/>
      <c r="AO59" s="1911"/>
      <c r="AP59" s="1911"/>
      <c r="AQ59" s="1911"/>
      <c r="AR59" s="1911"/>
      <c r="AS59" s="1911"/>
      <c r="AT59" s="1808">
        <v>-62.924833198771864</v>
      </c>
      <c r="AU59" s="1197"/>
      <c r="AV59" s="1913"/>
      <c r="AW59" s="1913"/>
      <c r="AX59" s="1913"/>
      <c r="AY59" s="1913"/>
      <c r="AZ59" s="1913"/>
      <c r="BA59" s="1913"/>
      <c r="BB59" s="1913"/>
      <c r="BC59" s="1913"/>
      <c r="BD59" s="1913"/>
      <c r="BE59" s="1913"/>
      <c r="BF59" s="1913"/>
      <c r="BG59" s="1913"/>
      <c r="BH59" s="1913"/>
      <c r="BI59" s="1913"/>
      <c r="BJ59" s="1913"/>
      <c r="BK59" s="1913"/>
      <c r="BL59" s="1913"/>
      <c r="BM59" s="1913"/>
      <c r="BN59" s="1913"/>
      <c r="BO59" s="1913"/>
      <c r="BP59" s="1197"/>
      <c r="BQ59" s="1914"/>
      <c r="BR59" s="1914"/>
      <c r="BS59" s="1914"/>
      <c r="BT59" s="1197"/>
      <c r="BU59" s="1858"/>
      <c r="BV59" s="1858"/>
      <c r="BW59" s="1907"/>
      <c r="BX59" s="1908"/>
      <c r="BY59" s="1908"/>
      <c r="BZ59" s="1908"/>
      <c r="CA59" s="1908"/>
      <c r="CB59" s="1908"/>
      <c r="CC59" s="1908"/>
      <c r="CD59" s="1908"/>
      <c r="CE59" s="1908"/>
      <c r="CF59" s="1908"/>
      <c r="CG59" s="1908"/>
      <c r="CH59" s="1908"/>
      <c r="CI59" s="1908"/>
      <c r="CJ59" s="1908"/>
      <c r="CK59" s="1908"/>
      <c r="CL59" s="1908"/>
      <c r="CM59" s="1908"/>
      <c r="CN59" s="1908"/>
      <c r="CO59" s="1908"/>
      <c r="CP59" s="1908"/>
      <c r="CQ59" s="1908"/>
      <c r="CR59" s="1908"/>
      <c r="CS59" s="1908"/>
      <c r="CT59" s="1908"/>
      <c r="CU59" s="1908"/>
      <c r="CV59" s="1908"/>
      <c r="CW59" s="1908"/>
      <c r="CX59" s="1908"/>
      <c r="CY59" s="1908"/>
      <c r="CZ59" s="1908"/>
      <c r="DA59" s="1908"/>
      <c r="DB59" s="1908"/>
      <c r="DC59" s="1908"/>
      <c r="DD59" s="1908"/>
      <c r="DE59" s="1908"/>
      <c r="DF59" s="1908"/>
      <c r="DG59" s="1908"/>
      <c r="DH59" s="1908"/>
      <c r="DI59" s="1908"/>
      <c r="DJ59" s="1908"/>
      <c r="DK59" s="1908"/>
      <c r="DL59" s="1908"/>
      <c r="DM59" s="1908"/>
      <c r="DN59" s="1908"/>
      <c r="DO59" s="1908"/>
      <c r="DP59" s="1907"/>
      <c r="DQ59" s="1226"/>
    </row>
    <row r="60" spans="1:121" s="1803" customFormat="1" ht="15" outlineLevel="1">
      <c r="C60" s="1851" t="s">
        <v>4792</v>
      </c>
      <c r="D60" s="1805" t="s">
        <v>4037</v>
      </c>
      <c r="E60" s="1852"/>
      <c r="F60" s="1199"/>
      <c r="G60" s="1853">
        <v>0</v>
      </c>
      <c r="H60" s="1853"/>
      <c r="I60" s="1853">
        <v>0</v>
      </c>
      <c r="J60" s="1853">
        <v>0</v>
      </c>
      <c r="K60" s="1853">
        <v>0</v>
      </c>
      <c r="L60" s="1853">
        <v>0</v>
      </c>
      <c r="M60" s="1853">
        <v>0</v>
      </c>
      <c r="N60" s="1853">
        <v>0</v>
      </c>
      <c r="O60" s="1853">
        <v>0</v>
      </c>
      <c r="P60" s="1853">
        <v>0</v>
      </c>
      <c r="Q60" s="1853">
        <v>0</v>
      </c>
      <c r="R60" s="1853">
        <v>0</v>
      </c>
      <c r="S60" s="1853">
        <v>0</v>
      </c>
      <c r="T60" s="1807">
        <v>0</v>
      </c>
      <c r="U60" s="1197"/>
      <c r="V60" s="1854">
        <v>0</v>
      </c>
      <c r="W60" s="1854">
        <v>-22.412287201561782</v>
      </c>
      <c r="X60" s="1855">
        <v>0</v>
      </c>
      <c r="Y60" s="1855">
        <v>0</v>
      </c>
      <c r="Z60" s="1854">
        <v>0</v>
      </c>
      <c r="AA60" s="1854">
        <v>0</v>
      </c>
      <c r="AB60" s="1854">
        <v>0</v>
      </c>
      <c r="AC60" s="1854">
        <v>0</v>
      </c>
      <c r="AD60" s="1854">
        <v>0</v>
      </c>
      <c r="AE60" s="1854">
        <v>0</v>
      </c>
      <c r="AF60" s="1854">
        <v>0</v>
      </c>
      <c r="AG60" s="1854">
        <v>0</v>
      </c>
      <c r="AH60" s="1854">
        <v>0</v>
      </c>
      <c r="AI60" s="1854">
        <v>0</v>
      </c>
      <c r="AJ60" s="1854">
        <v>0</v>
      </c>
      <c r="AK60" s="1854">
        <v>0</v>
      </c>
      <c r="AL60" s="1854">
        <v>0</v>
      </c>
      <c r="AM60" s="1854">
        <v>0</v>
      </c>
      <c r="AN60" s="1854">
        <v>0</v>
      </c>
      <c r="AO60" s="1854">
        <v>0</v>
      </c>
      <c r="AP60" s="1854">
        <v>0</v>
      </c>
      <c r="AQ60" s="1854">
        <v>0</v>
      </c>
      <c r="AR60" s="1854">
        <v>0</v>
      </c>
      <c r="AS60" s="1854">
        <v>0</v>
      </c>
      <c r="AT60" s="1808">
        <v>-22.412287201561782</v>
      </c>
      <c r="AU60" s="1197"/>
      <c r="AV60" s="1810">
        <v>0</v>
      </c>
      <c r="AW60" s="1810">
        <v>0</v>
      </c>
      <c r="AX60" s="1810">
        <v>0</v>
      </c>
      <c r="AY60" s="1810">
        <v>0</v>
      </c>
      <c r="AZ60" s="1810">
        <v>0</v>
      </c>
      <c r="BA60" s="1810">
        <v>0</v>
      </c>
      <c r="BB60" s="1810">
        <v>0</v>
      </c>
      <c r="BC60" s="1810">
        <v>0</v>
      </c>
      <c r="BD60" s="1810">
        <v>0</v>
      </c>
      <c r="BE60" s="1810">
        <v>0</v>
      </c>
      <c r="BF60" s="1810">
        <v>0</v>
      </c>
      <c r="BG60" s="1810">
        <v>0</v>
      </c>
      <c r="BH60" s="1810">
        <v>0</v>
      </c>
      <c r="BI60" s="1810">
        <v>0</v>
      </c>
      <c r="BJ60" s="1810">
        <v>0</v>
      </c>
      <c r="BK60" s="1810">
        <v>0</v>
      </c>
      <c r="BL60" s="1810">
        <v>0</v>
      </c>
      <c r="BM60" s="1810">
        <v>0</v>
      </c>
      <c r="BN60" s="1810">
        <v>0</v>
      </c>
      <c r="BO60" s="1811">
        <v>0</v>
      </c>
      <c r="BP60" s="1197"/>
      <c r="BQ60" s="1812">
        <v>0</v>
      </c>
      <c r="BR60" s="1812">
        <v>22.412287201561774</v>
      </c>
      <c r="BS60" s="1813">
        <v>22.412287201561774</v>
      </c>
      <c r="BT60" s="1197"/>
      <c r="BU60" s="1858">
        <v>0</v>
      </c>
      <c r="BV60" s="1814"/>
      <c r="BW60" s="1863"/>
      <c r="BX60" s="1816">
        <v>0</v>
      </c>
      <c r="BY60" s="1817">
        <v>0</v>
      </c>
      <c r="BZ60" s="1817">
        <v>0</v>
      </c>
      <c r="CA60" s="1817">
        <v>0</v>
      </c>
      <c r="CB60" s="1817">
        <v>0</v>
      </c>
      <c r="CC60" s="1817">
        <v>0</v>
      </c>
      <c r="CD60" s="1817">
        <v>0</v>
      </c>
      <c r="CE60" s="1817">
        <v>0</v>
      </c>
      <c r="CF60" s="1817">
        <v>0</v>
      </c>
      <c r="CG60" s="1817">
        <v>0</v>
      </c>
      <c r="CH60" s="1817">
        <v>0</v>
      </c>
      <c r="CI60" s="1817">
        <v>0</v>
      </c>
      <c r="CJ60" s="1817">
        <v>0</v>
      </c>
      <c r="CK60" s="1817">
        <v>0</v>
      </c>
      <c r="CL60" s="1817">
        <v>0</v>
      </c>
      <c r="CM60" s="1817">
        <v>0</v>
      </c>
      <c r="CN60" s="1817">
        <v>0</v>
      </c>
      <c r="CO60" s="1817">
        <v>0</v>
      </c>
      <c r="CP60" s="1817">
        <v>0</v>
      </c>
      <c r="CQ60" s="1817">
        <v>0</v>
      </c>
      <c r="CR60" s="1817">
        <v>0</v>
      </c>
      <c r="CS60" s="1817">
        <v>0</v>
      </c>
      <c r="CT60" s="1817">
        <v>0</v>
      </c>
      <c r="CU60" s="1817">
        <v>0</v>
      </c>
      <c r="CV60" s="1817">
        <v>0</v>
      </c>
      <c r="CW60" s="1817">
        <v>0</v>
      </c>
      <c r="CX60" s="1817">
        <v>0</v>
      </c>
      <c r="CY60" s="1817">
        <v>0</v>
      </c>
      <c r="CZ60" s="1817">
        <v>0</v>
      </c>
      <c r="DA60" s="1817">
        <v>0</v>
      </c>
      <c r="DB60" s="1817">
        <v>0</v>
      </c>
      <c r="DC60" s="1817">
        <v>0</v>
      </c>
      <c r="DD60" s="1817">
        <v>0</v>
      </c>
      <c r="DE60" s="1817">
        <v>0</v>
      </c>
      <c r="DF60" s="1817">
        <v>0</v>
      </c>
      <c r="DG60" s="1817">
        <v>0</v>
      </c>
      <c r="DH60" s="1817">
        <v>0</v>
      </c>
      <c r="DI60" s="1817">
        <v>0</v>
      </c>
      <c r="DJ60" s="1817">
        <v>0</v>
      </c>
      <c r="DK60" s="1817">
        <v>0</v>
      </c>
      <c r="DL60" s="1817">
        <v>0</v>
      </c>
      <c r="DM60" s="1817">
        <v>0</v>
      </c>
      <c r="DN60" s="1817">
        <v>0</v>
      </c>
      <c r="DO60" s="1817">
        <v>0</v>
      </c>
      <c r="DP60" s="1863"/>
      <c r="DQ60" s="1226"/>
    </row>
    <row r="61" spans="1:121" s="1803" customFormat="1" ht="15" outlineLevel="1">
      <c r="C61" s="1851" t="s">
        <v>4100</v>
      </c>
      <c r="D61" s="1805" t="s">
        <v>4819</v>
      </c>
      <c r="E61" s="1805"/>
      <c r="F61" s="1199"/>
      <c r="G61" s="1839">
        <v>0</v>
      </c>
      <c r="H61" s="1839"/>
      <c r="I61" s="1839">
        <v>0</v>
      </c>
      <c r="J61" s="1839">
        <v>0</v>
      </c>
      <c r="K61" s="1839">
        <v>0</v>
      </c>
      <c r="L61" s="1839">
        <v>0</v>
      </c>
      <c r="M61" s="1839">
        <v>0</v>
      </c>
      <c r="N61" s="1839">
        <v>0</v>
      </c>
      <c r="O61" s="1839">
        <v>0</v>
      </c>
      <c r="P61" s="1839">
        <v>0</v>
      </c>
      <c r="Q61" s="1839">
        <v>0</v>
      </c>
      <c r="R61" s="1839">
        <v>0</v>
      </c>
      <c r="S61" s="1839">
        <v>0</v>
      </c>
      <c r="T61" s="1818">
        <v>0</v>
      </c>
      <c r="U61" s="1197"/>
      <c r="V61" s="1840">
        <v>0</v>
      </c>
      <c r="W61" s="1840">
        <v>0</v>
      </c>
      <c r="X61" s="1841">
        <v>0</v>
      </c>
      <c r="Y61" s="1841">
        <v>0</v>
      </c>
      <c r="Z61" s="1840">
        <v>0</v>
      </c>
      <c r="AA61" s="1840">
        <v>0</v>
      </c>
      <c r="AB61" s="1840">
        <v>0</v>
      </c>
      <c r="AC61" s="1840">
        <v>0</v>
      </c>
      <c r="AD61" s="1840">
        <v>0</v>
      </c>
      <c r="AE61" s="1840">
        <v>0</v>
      </c>
      <c r="AF61" s="1840">
        <v>0</v>
      </c>
      <c r="AG61" s="1840">
        <v>0</v>
      </c>
      <c r="AH61" s="1840">
        <v>0</v>
      </c>
      <c r="AI61" s="1840">
        <v>0</v>
      </c>
      <c r="AJ61" s="1840">
        <v>0</v>
      </c>
      <c r="AK61" s="1840">
        <v>0</v>
      </c>
      <c r="AL61" s="1840">
        <v>0</v>
      </c>
      <c r="AM61" s="1840">
        <v>0</v>
      </c>
      <c r="AN61" s="1840">
        <v>0</v>
      </c>
      <c r="AO61" s="1840">
        <v>0</v>
      </c>
      <c r="AP61" s="1840">
        <v>0</v>
      </c>
      <c r="AQ61" s="1840">
        <v>0</v>
      </c>
      <c r="AR61" s="1840">
        <v>0</v>
      </c>
      <c r="AS61" s="1840">
        <v>0</v>
      </c>
      <c r="AT61" s="1808">
        <v>0</v>
      </c>
      <c r="AU61" s="1197"/>
      <c r="AV61" s="1821">
        <v>0</v>
      </c>
      <c r="AW61" s="1821">
        <v>0</v>
      </c>
      <c r="AX61" s="1821">
        <v>0</v>
      </c>
      <c r="AY61" s="1821">
        <v>0</v>
      </c>
      <c r="AZ61" s="1821">
        <v>0</v>
      </c>
      <c r="BA61" s="1821">
        <v>0</v>
      </c>
      <c r="BB61" s="1821">
        <v>0</v>
      </c>
      <c r="BC61" s="1821">
        <v>0</v>
      </c>
      <c r="BD61" s="1821">
        <v>0</v>
      </c>
      <c r="BE61" s="1821">
        <v>0</v>
      </c>
      <c r="BF61" s="1821">
        <v>0</v>
      </c>
      <c r="BG61" s="1821">
        <v>0</v>
      </c>
      <c r="BH61" s="1821">
        <v>0</v>
      </c>
      <c r="BI61" s="1821">
        <v>0</v>
      </c>
      <c r="BJ61" s="1821">
        <v>0</v>
      </c>
      <c r="BK61" s="1821">
        <v>0</v>
      </c>
      <c r="BL61" s="1821">
        <v>0</v>
      </c>
      <c r="BM61" s="1821">
        <v>0</v>
      </c>
      <c r="BN61" s="1821">
        <v>0</v>
      </c>
      <c r="BO61" s="1822">
        <v>0</v>
      </c>
      <c r="BP61" s="1197"/>
      <c r="BQ61" s="1823">
        <v>0</v>
      </c>
      <c r="BR61" s="1823">
        <v>0</v>
      </c>
      <c r="BS61" s="1824">
        <v>0</v>
      </c>
      <c r="BT61" s="1197"/>
      <c r="BU61" s="1858">
        <v>0</v>
      </c>
      <c r="BV61" s="1814"/>
      <c r="BW61" s="1863"/>
      <c r="BX61" s="1825">
        <v>0</v>
      </c>
      <c r="BY61" s="1826">
        <v>0</v>
      </c>
      <c r="BZ61" s="1826">
        <v>0</v>
      </c>
      <c r="CA61" s="1826">
        <v>0</v>
      </c>
      <c r="CB61" s="1826">
        <v>0</v>
      </c>
      <c r="CC61" s="1826">
        <v>0</v>
      </c>
      <c r="CD61" s="1826">
        <v>0</v>
      </c>
      <c r="CE61" s="1826">
        <v>0</v>
      </c>
      <c r="CF61" s="1826">
        <v>0</v>
      </c>
      <c r="CG61" s="1826">
        <v>0</v>
      </c>
      <c r="CH61" s="1826">
        <v>0</v>
      </c>
      <c r="CI61" s="1826">
        <v>0</v>
      </c>
      <c r="CJ61" s="1826">
        <v>0</v>
      </c>
      <c r="CK61" s="1826">
        <v>0</v>
      </c>
      <c r="CL61" s="1826">
        <v>0</v>
      </c>
      <c r="CM61" s="1826">
        <v>0</v>
      </c>
      <c r="CN61" s="1826">
        <v>0</v>
      </c>
      <c r="CO61" s="1826">
        <v>0</v>
      </c>
      <c r="CP61" s="1826">
        <v>0</v>
      </c>
      <c r="CQ61" s="1826">
        <v>0</v>
      </c>
      <c r="CR61" s="1826">
        <v>0</v>
      </c>
      <c r="CS61" s="1826">
        <v>0</v>
      </c>
      <c r="CT61" s="1826">
        <v>0</v>
      </c>
      <c r="CU61" s="1826">
        <v>0</v>
      </c>
      <c r="CV61" s="1826">
        <v>0</v>
      </c>
      <c r="CW61" s="1826">
        <v>0</v>
      </c>
      <c r="CX61" s="1826">
        <v>0</v>
      </c>
      <c r="CY61" s="1826">
        <v>0</v>
      </c>
      <c r="CZ61" s="1826">
        <v>0</v>
      </c>
      <c r="DA61" s="1826">
        <v>0</v>
      </c>
      <c r="DB61" s="1826">
        <v>0</v>
      </c>
      <c r="DC61" s="1826">
        <v>0</v>
      </c>
      <c r="DD61" s="1826">
        <v>0</v>
      </c>
      <c r="DE61" s="1826">
        <v>0</v>
      </c>
      <c r="DF61" s="1826">
        <v>0</v>
      </c>
      <c r="DG61" s="1826">
        <v>0</v>
      </c>
      <c r="DH61" s="1826">
        <v>0</v>
      </c>
      <c r="DI61" s="1826">
        <v>0</v>
      </c>
      <c r="DJ61" s="1826">
        <v>0</v>
      </c>
      <c r="DK61" s="1826">
        <v>0</v>
      </c>
      <c r="DL61" s="1826">
        <v>0</v>
      </c>
      <c r="DM61" s="1826">
        <v>0</v>
      </c>
      <c r="DN61" s="1826">
        <v>0</v>
      </c>
      <c r="DO61" s="1826">
        <v>0</v>
      </c>
      <c r="DP61" s="1863"/>
      <c r="DQ61" s="1226"/>
    </row>
    <row r="62" spans="1:121" s="1803" customFormat="1" ht="15" outlineLevel="1">
      <c r="C62" s="1851"/>
      <c r="D62" s="1852"/>
      <c r="E62" s="1852"/>
      <c r="F62" s="1199"/>
      <c r="G62" s="1853"/>
      <c r="H62" s="1853"/>
      <c r="I62" s="1853"/>
      <c r="J62" s="1853"/>
      <c r="K62" s="1853"/>
      <c r="L62" s="1853"/>
      <c r="M62" s="1853"/>
      <c r="N62" s="1853"/>
      <c r="O62" s="1853"/>
      <c r="P62" s="1853"/>
      <c r="Q62" s="1853"/>
      <c r="R62" s="1853"/>
      <c r="S62" s="1853"/>
      <c r="T62" s="1807"/>
      <c r="U62" s="1197"/>
      <c r="V62" s="1854"/>
      <c r="W62" s="1854"/>
      <c r="X62" s="1855"/>
      <c r="Y62" s="1855"/>
      <c r="Z62" s="1854"/>
      <c r="AA62" s="1854"/>
      <c r="AB62" s="1854"/>
      <c r="AC62" s="1854"/>
      <c r="AD62" s="1854"/>
      <c r="AE62" s="1854"/>
      <c r="AF62" s="1854"/>
      <c r="AG62" s="1854"/>
      <c r="AH62" s="1854"/>
      <c r="AI62" s="1854"/>
      <c r="AJ62" s="1854"/>
      <c r="AK62" s="1854"/>
      <c r="AL62" s="1854"/>
      <c r="AM62" s="1854"/>
      <c r="AN62" s="1854"/>
      <c r="AO62" s="1854"/>
      <c r="AP62" s="1854"/>
      <c r="AQ62" s="1854"/>
      <c r="AR62" s="1854"/>
      <c r="AS62" s="1854"/>
      <c r="AT62" s="1808">
        <v>0</v>
      </c>
      <c r="AU62" s="1197"/>
      <c r="AV62" s="1810"/>
      <c r="AW62" s="1810"/>
      <c r="AX62" s="1810"/>
      <c r="AY62" s="1810"/>
      <c r="AZ62" s="1810"/>
      <c r="BA62" s="1810"/>
      <c r="BB62" s="1810"/>
      <c r="BC62" s="1810"/>
      <c r="BD62" s="1810"/>
      <c r="BE62" s="1810"/>
      <c r="BF62" s="1810"/>
      <c r="BG62" s="1810"/>
      <c r="BH62" s="1810"/>
      <c r="BI62" s="1810"/>
      <c r="BJ62" s="1810"/>
      <c r="BK62" s="1810"/>
      <c r="BL62" s="1810"/>
      <c r="BM62" s="1810"/>
      <c r="BN62" s="1810"/>
      <c r="BO62" s="1811"/>
      <c r="BP62" s="1197"/>
      <c r="BQ62" s="1812"/>
      <c r="BR62" s="1812"/>
      <c r="BS62" s="1813"/>
      <c r="BT62" s="1197"/>
      <c r="BU62" s="1858"/>
      <c r="BV62" s="1814"/>
      <c r="BW62" s="1863"/>
      <c r="BX62" s="1816"/>
      <c r="BY62" s="1817"/>
      <c r="BZ62" s="1817"/>
      <c r="CA62" s="1817"/>
      <c r="CB62" s="1817"/>
      <c r="CC62" s="1817"/>
      <c r="CD62" s="1817"/>
      <c r="CE62" s="1817"/>
      <c r="CF62" s="1817"/>
      <c r="CG62" s="1817"/>
      <c r="CH62" s="1817"/>
      <c r="CI62" s="1817"/>
      <c r="CJ62" s="1817"/>
      <c r="CK62" s="1817"/>
      <c r="CL62" s="1817"/>
      <c r="CM62" s="1817"/>
      <c r="CN62" s="1817"/>
      <c r="CO62" s="1817"/>
      <c r="CP62" s="1817"/>
      <c r="CQ62" s="1817"/>
      <c r="CR62" s="1817"/>
      <c r="CS62" s="1817"/>
      <c r="CT62" s="1817"/>
      <c r="CU62" s="1817"/>
      <c r="CV62" s="1817"/>
      <c r="CW62" s="1817"/>
      <c r="CX62" s="1817"/>
      <c r="CY62" s="1817"/>
      <c r="CZ62" s="1817"/>
      <c r="DA62" s="1817"/>
      <c r="DB62" s="1817"/>
      <c r="DC62" s="1817"/>
      <c r="DD62" s="1817"/>
      <c r="DE62" s="1817"/>
      <c r="DF62" s="1817"/>
      <c r="DG62" s="1817"/>
      <c r="DH62" s="1817"/>
      <c r="DI62" s="1817"/>
      <c r="DJ62" s="1817"/>
      <c r="DK62" s="1817"/>
      <c r="DL62" s="1817"/>
      <c r="DM62" s="1817"/>
      <c r="DN62" s="1817"/>
      <c r="DO62" s="1817"/>
      <c r="DP62" s="1863"/>
      <c r="DQ62" s="1226"/>
    </row>
    <row r="63" spans="1:121" s="1199" customFormat="1" ht="12.75" customHeight="1">
      <c r="B63" s="1789"/>
      <c r="C63" s="1653" t="s">
        <v>4117</v>
      </c>
      <c r="D63" s="1205" t="s">
        <v>4118</v>
      </c>
      <c r="G63" s="1779">
        <v>0</v>
      </c>
      <c r="H63" s="1779"/>
      <c r="I63" s="1779">
        <v>0</v>
      </c>
      <c r="J63" s="1779">
        <v>0</v>
      </c>
      <c r="K63" s="1779">
        <v>0</v>
      </c>
      <c r="L63" s="1838">
        <v>0</v>
      </c>
      <c r="M63" s="1779">
        <v>0</v>
      </c>
      <c r="N63" s="1779">
        <v>0</v>
      </c>
      <c r="O63" s="1779">
        <v>0</v>
      </c>
      <c r="P63" s="1779">
        <v>0</v>
      </c>
      <c r="Q63" s="1779">
        <v>0</v>
      </c>
      <c r="R63" s="1779">
        <v>0</v>
      </c>
      <c r="S63" s="1779">
        <v>0</v>
      </c>
      <c r="T63" s="1779">
        <v>0</v>
      </c>
      <c r="U63" s="1197"/>
      <c r="V63" s="1797">
        <v>0</v>
      </c>
      <c r="W63" s="1797">
        <v>-22.552029150658942</v>
      </c>
      <c r="X63" s="1798">
        <v>0</v>
      </c>
      <c r="Y63" s="1798">
        <v>0</v>
      </c>
      <c r="Z63" s="1797">
        <v>0</v>
      </c>
      <c r="AA63" s="1797">
        <v>0</v>
      </c>
      <c r="AB63" s="1797">
        <v>0</v>
      </c>
      <c r="AC63" s="1797">
        <v>0</v>
      </c>
      <c r="AD63" s="1797">
        <v>0</v>
      </c>
      <c r="AE63" s="1797">
        <v>0</v>
      </c>
      <c r="AF63" s="1797">
        <v>0</v>
      </c>
      <c r="AG63" s="1797">
        <v>0</v>
      </c>
      <c r="AH63" s="1797">
        <v>0</v>
      </c>
      <c r="AI63" s="1797">
        <v>0</v>
      </c>
      <c r="AJ63" s="1797">
        <v>0</v>
      </c>
      <c r="AK63" s="1797">
        <v>0</v>
      </c>
      <c r="AL63" s="1797">
        <v>0</v>
      </c>
      <c r="AM63" s="1797">
        <v>0</v>
      </c>
      <c r="AN63" s="1797">
        <v>0</v>
      </c>
      <c r="AO63" s="1797">
        <v>0</v>
      </c>
      <c r="AP63" s="1797">
        <v>0</v>
      </c>
      <c r="AQ63" s="1797">
        <v>0</v>
      </c>
      <c r="AR63" s="1797">
        <v>0</v>
      </c>
      <c r="AS63" s="1797">
        <v>0</v>
      </c>
      <c r="AT63" s="1808">
        <v>-22.552029150658942</v>
      </c>
      <c r="AU63" s="1197"/>
      <c r="AV63" s="1799">
        <v>0</v>
      </c>
      <c r="AW63" s="1799">
        <v>0</v>
      </c>
      <c r="AX63" s="1799">
        <v>0</v>
      </c>
      <c r="AY63" s="1799">
        <v>0</v>
      </c>
      <c r="AZ63" s="1799">
        <v>0.13974194909716242</v>
      </c>
      <c r="BA63" s="1799">
        <v>0</v>
      </c>
      <c r="BB63" s="1799">
        <v>0</v>
      </c>
      <c r="BC63" s="1799">
        <v>0</v>
      </c>
      <c r="BD63" s="1799">
        <v>0</v>
      </c>
      <c r="BE63" s="1799">
        <v>0</v>
      </c>
      <c r="BF63" s="1799">
        <v>0</v>
      </c>
      <c r="BG63" s="1799">
        <v>0</v>
      </c>
      <c r="BH63" s="1799">
        <v>0</v>
      </c>
      <c r="BI63" s="1799">
        <v>0</v>
      </c>
      <c r="BJ63" s="1799">
        <v>0</v>
      </c>
      <c r="BK63" s="1799">
        <v>0</v>
      </c>
      <c r="BL63" s="1799">
        <v>0</v>
      </c>
      <c r="BM63" s="1799">
        <v>0</v>
      </c>
      <c r="BN63" s="1799">
        <v>0</v>
      </c>
      <c r="BO63" s="1799">
        <v>0.13974194909716242</v>
      </c>
      <c r="BP63" s="1197"/>
      <c r="BQ63" s="1800">
        <v>0</v>
      </c>
      <c r="BR63" s="1800">
        <v>22.412287201561774</v>
      </c>
      <c r="BS63" s="1800">
        <v>22.412287201561774</v>
      </c>
      <c r="BT63" s="1197"/>
      <c r="BU63" s="1801">
        <v>0</v>
      </c>
      <c r="BV63" s="1801"/>
      <c r="BW63" s="1815"/>
      <c r="BX63" s="1817">
        <v>0</v>
      </c>
      <c r="BY63" s="1817">
        <v>0</v>
      </c>
      <c r="BZ63" s="1817">
        <v>0</v>
      </c>
      <c r="CA63" s="1817">
        <v>0</v>
      </c>
      <c r="CB63" s="1817">
        <v>0</v>
      </c>
      <c r="CC63" s="1817">
        <v>0</v>
      </c>
      <c r="CD63" s="1817">
        <v>0</v>
      </c>
      <c r="CE63" s="1817">
        <v>0</v>
      </c>
      <c r="CF63" s="1817">
        <v>0</v>
      </c>
      <c r="CG63" s="1817">
        <v>0</v>
      </c>
      <c r="CH63" s="1817">
        <v>0</v>
      </c>
      <c r="CI63" s="1817">
        <v>0</v>
      </c>
      <c r="CJ63" s="1817">
        <v>0</v>
      </c>
      <c r="CK63" s="1817">
        <v>0</v>
      </c>
      <c r="CL63" s="1817">
        <v>0</v>
      </c>
      <c r="CM63" s="1817">
        <v>0</v>
      </c>
      <c r="CN63" s="1817">
        <v>0</v>
      </c>
      <c r="CO63" s="1817">
        <v>0</v>
      </c>
      <c r="CP63" s="1817">
        <v>0</v>
      </c>
      <c r="CQ63" s="1817">
        <v>0</v>
      </c>
      <c r="CR63" s="1817">
        <v>0</v>
      </c>
      <c r="CS63" s="1817">
        <v>0</v>
      </c>
      <c r="CT63" s="1817">
        <v>0</v>
      </c>
      <c r="CU63" s="1817">
        <v>0</v>
      </c>
      <c r="CV63" s="1817">
        <v>0</v>
      </c>
      <c r="CW63" s="1817">
        <v>0</v>
      </c>
      <c r="CX63" s="1817">
        <v>0</v>
      </c>
      <c r="CY63" s="1817">
        <v>0</v>
      </c>
      <c r="CZ63" s="1817">
        <v>0</v>
      </c>
      <c r="DA63" s="1817">
        <v>0</v>
      </c>
      <c r="DB63" s="1817">
        <v>0</v>
      </c>
      <c r="DC63" s="1817">
        <v>0</v>
      </c>
      <c r="DD63" s="1817">
        <v>0</v>
      </c>
      <c r="DE63" s="1817">
        <v>0</v>
      </c>
      <c r="DF63" s="1817">
        <v>0</v>
      </c>
      <c r="DG63" s="1817">
        <v>0</v>
      </c>
      <c r="DH63" s="1817">
        <v>0</v>
      </c>
      <c r="DI63" s="1817">
        <v>0</v>
      </c>
      <c r="DJ63" s="1817">
        <v>0</v>
      </c>
      <c r="DK63" s="1817">
        <v>0</v>
      </c>
      <c r="DL63" s="1817">
        <v>0</v>
      </c>
      <c r="DM63" s="1817">
        <v>0</v>
      </c>
      <c r="DN63" s="1817">
        <v>0</v>
      </c>
      <c r="DO63" s="1817">
        <v>0</v>
      </c>
      <c r="DP63" s="1197"/>
      <c r="DQ63" s="1226">
        <v>0</v>
      </c>
    </row>
    <row r="64" spans="1:121" s="1199" customFormat="1" ht="12.75" customHeight="1" outlineLevel="1">
      <c r="C64" s="1652"/>
      <c r="G64" s="1779"/>
      <c r="H64" s="1779"/>
      <c r="I64" s="1779"/>
      <c r="J64" s="1779"/>
      <c r="K64" s="1779"/>
      <c r="L64" s="1838"/>
      <c r="M64" s="1779"/>
      <c r="N64" s="1779"/>
      <c r="O64" s="1779"/>
      <c r="P64" s="1779"/>
      <c r="Q64" s="1779"/>
      <c r="R64" s="1779"/>
      <c r="S64" s="1779"/>
      <c r="T64" s="1779"/>
      <c r="U64" s="1197"/>
      <c r="V64" s="1797"/>
      <c r="W64" s="1797"/>
      <c r="X64" s="1798"/>
      <c r="Y64" s="1798"/>
      <c r="Z64" s="1797"/>
      <c r="AA64" s="1797"/>
      <c r="AB64" s="1797"/>
      <c r="AC64" s="1797"/>
      <c r="AD64" s="1797"/>
      <c r="AE64" s="1797"/>
      <c r="AF64" s="1797"/>
      <c r="AG64" s="1797"/>
      <c r="AH64" s="1797"/>
      <c r="AI64" s="1797"/>
      <c r="AJ64" s="1797"/>
      <c r="AK64" s="1797"/>
      <c r="AL64" s="1797"/>
      <c r="AM64" s="1797"/>
      <c r="AN64" s="1797"/>
      <c r="AO64" s="1797"/>
      <c r="AP64" s="1797"/>
      <c r="AQ64" s="1797"/>
      <c r="AR64" s="1797"/>
      <c r="AS64" s="1797"/>
      <c r="AT64" s="1808">
        <v>0</v>
      </c>
      <c r="AU64" s="1197"/>
      <c r="AV64" s="1799"/>
      <c r="AW64" s="1799"/>
      <c r="AX64" s="1799"/>
      <c r="AY64" s="1799"/>
      <c r="AZ64" s="1799"/>
      <c r="BA64" s="1799"/>
      <c r="BB64" s="1799"/>
      <c r="BC64" s="1799"/>
      <c r="BD64" s="1799"/>
      <c r="BE64" s="1799"/>
      <c r="BF64" s="1799"/>
      <c r="BG64" s="1799"/>
      <c r="BH64" s="1799"/>
      <c r="BI64" s="1799"/>
      <c r="BJ64" s="1799"/>
      <c r="BK64" s="1799"/>
      <c r="BL64" s="1799"/>
      <c r="BM64" s="1799"/>
      <c r="BN64" s="1799"/>
      <c r="BO64" s="1799"/>
      <c r="BP64" s="1197"/>
      <c r="BQ64" s="1800"/>
      <c r="BR64" s="1800"/>
      <c r="BS64" s="1800"/>
      <c r="BT64" s="1197"/>
      <c r="BU64" s="1801">
        <v>0</v>
      </c>
      <c r="BV64" s="1801"/>
      <c r="BW64" s="1815"/>
      <c r="BX64" s="1817"/>
      <c r="BY64" s="1817"/>
      <c r="BZ64" s="1817"/>
      <c r="CA64" s="1817"/>
      <c r="CB64" s="1817"/>
      <c r="CC64" s="1817"/>
      <c r="CD64" s="1817"/>
      <c r="CE64" s="1817"/>
      <c r="CF64" s="1817"/>
      <c r="CG64" s="1817"/>
      <c r="CH64" s="1817"/>
      <c r="CI64" s="1817"/>
      <c r="CJ64" s="1817"/>
      <c r="CK64" s="1817"/>
      <c r="CL64" s="1817"/>
      <c r="CM64" s="1817"/>
      <c r="CN64" s="1817"/>
      <c r="CO64" s="1817"/>
      <c r="CP64" s="1817"/>
      <c r="CQ64" s="1817"/>
      <c r="CR64" s="1817"/>
      <c r="CS64" s="1817"/>
      <c r="CT64" s="1817"/>
      <c r="CU64" s="1817"/>
      <c r="CV64" s="1817"/>
      <c r="CW64" s="1817"/>
      <c r="CX64" s="1817"/>
      <c r="CY64" s="1817"/>
      <c r="CZ64" s="1817"/>
      <c r="DA64" s="1817"/>
      <c r="DB64" s="1817"/>
      <c r="DC64" s="1817"/>
      <c r="DD64" s="1817"/>
      <c r="DE64" s="1817"/>
      <c r="DF64" s="1817"/>
      <c r="DG64" s="1817"/>
      <c r="DH64" s="1817"/>
      <c r="DI64" s="1817"/>
      <c r="DJ64" s="1817"/>
      <c r="DK64" s="1817"/>
      <c r="DL64" s="1817"/>
      <c r="DM64" s="1817"/>
      <c r="DN64" s="1817"/>
      <c r="DO64" s="1817"/>
      <c r="DP64" s="1197"/>
      <c r="DQ64" s="1226">
        <v>0</v>
      </c>
    </row>
    <row r="65" spans="2:121" s="1843" customFormat="1" ht="12.75" customHeight="1" outlineLevel="1">
      <c r="C65" s="1844" t="s">
        <v>4793</v>
      </c>
      <c r="D65" s="1845" t="s">
        <v>4794</v>
      </c>
      <c r="E65" s="1845"/>
      <c r="G65" s="1909"/>
      <c r="H65" s="1909"/>
      <c r="I65" s="1909"/>
      <c r="J65" s="1909"/>
      <c r="K65" s="1909"/>
      <c r="L65" s="1910"/>
      <c r="M65" s="1909"/>
      <c r="N65" s="1909"/>
      <c r="O65" s="1909"/>
      <c r="P65" s="1909"/>
      <c r="Q65" s="1909"/>
      <c r="R65" s="1909"/>
      <c r="S65" s="1909"/>
      <c r="T65" s="1909"/>
      <c r="U65" s="1848"/>
      <c r="V65" s="1911"/>
      <c r="W65" s="1911"/>
      <c r="X65" s="1912"/>
      <c r="Y65" s="1912"/>
      <c r="Z65" s="1911">
        <v>-407.68486316276756</v>
      </c>
      <c r="AA65" s="1911">
        <v>-204.88592210780408</v>
      </c>
      <c r="AB65" s="1911">
        <v>-29.885244918685888</v>
      </c>
      <c r="AC65" s="1911">
        <v>-24.5</v>
      </c>
      <c r="AD65" s="1911">
        <v>-11.033041321889998</v>
      </c>
      <c r="AE65" s="1911"/>
      <c r="AF65" s="1911"/>
      <c r="AG65" s="1911"/>
      <c r="AH65" s="1911"/>
      <c r="AI65" s="1911"/>
      <c r="AJ65" s="1911"/>
      <c r="AK65" s="1911">
        <v>0</v>
      </c>
      <c r="AL65" s="1911">
        <v>0</v>
      </c>
      <c r="AM65" s="1911">
        <v>0</v>
      </c>
      <c r="AN65" s="1911">
        <v>0</v>
      </c>
      <c r="AO65" s="1911">
        <v>0</v>
      </c>
      <c r="AP65" s="1911">
        <v>0</v>
      </c>
      <c r="AQ65" s="1911"/>
      <c r="AR65" s="1911"/>
      <c r="AS65" s="1911"/>
      <c r="AT65" s="1808">
        <v>-677.98907151114747</v>
      </c>
      <c r="AU65" s="1848"/>
      <c r="AV65" s="1913"/>
      <c r="AW65" s="1913"/>
      <c r="AX65" s="1913"/>
      <c r="AY65" s="1913"/>
      <c r="AZ65" s="1913"/>
      <c r="BA65" s="1913"/>
      <c r="BB65" s="1913"/>
      <c r="BC65" s="1913"/>
      <c r="BD65" s="1913"/>
      <c r="BE65" s="1913"/>
      <c r="BF65" s="1913"/>
      <c r="BG65" s="1913"/>
      <c r="BH65" s="1913"/>
      <c r="BI65" s="1913"/>
      <c r="BJ65" s="1913"/>
      <c r="BK65" s="1913"/>
      <c r="BL65" s="1913"/>
      <c r="BM65" s="1913"/>
      <c r="BN65" s="1913"/>
      <c r="BO65" s="1913"/>
      <c r="BP65" s="1848"/>
      <c r="BQ65" s="1914"/>
      <c r="BR65" s="1914"/>
      <c r="BS65" s="1914"/>
      <c r="BT65" s="1848"/>
      <c r="BU65" s="1847"/>
      <c r="BV65" s="1847"/>
      <c r="BW65" s="1915"/>
      <c r="BX65" s="1916"/>
      <c r="BY65" s="1916"/>
      <c r="BZ65" s="1916"/>
      <c r="CA65" s="1916"/>
      <c r="CB65" s="1916"/>
      <c r="CC65" s="1916"/>
      <c r="CD65" s="1916"/>
      <c r="CE65" s="1916"/>
      <c r="CF65" s="1916"/>
      <c r="CG65" s="1916"/>
      <c r="CH65" s="1916"/>
      <c r="CI65" s="1916"/>
      <c r="CJ65" s="1916"/>
      <c r="CK65" s="1916"/>
      <c r="CL65" s="1916"/>
      <c r="CM65" s="1916"/>
      <c r="CN65" s="1916"/>
      <c r="CO65" s="1916"/>
      <c r="CP65" s="1916"/>
      <c r="CQ65" s="1916"/>
      <c r="CR65" s="1916"/>
      <c r="CS65" s="1916"/>
      <c r="CT65" s="1916"/>
      <c r="CU65" s="1916"/>
      <c r="CV65" s="1916"/>
      <c r="CW65" s="1916"/>
      <c r="CX65" s="1916"/>
      <c r="CY65" s="1916"/>
      <c r="CZ65" s="1916"/>
      <c r="DA65" s="1916"/>
      <c r="DB65" s="1916"/>
      <c r="DC65" s="1916"/>
      <c r="DD65" s="1916"/>
      <c r="DE65" s="1916"/>
      <c r="DF65" s="1916"/>
      <c r="DG65" s="1916"/>
      <c r="DH65" s="1916"/>
      <c r="DI65" s="1916"/>
      <c r="DJ65" s="1916"/>
      <c r="DK65" s="1916"/>
      <c r="DL65" s="1916"/>
      <c r="DM65" s="1916"/>
      <c r="DN65" s="1916"/>
      <c r="DO65" s="1916"/>
      <c r="DP65" s="1848"/>
      <c r="DQ65" s="1915">
        <v>0</v>
      </c>
    </row>
    <row r="66" spans="2:121" s="1856" customFormat="1" ht="12.75" customHeight="1" outlineLevel="1">
      <c r="C66" s="1878" t="s">
        <v>4795</v>
      </c>
      <c r="D66" s="1879" t="s">
        <v>4796</v>
      </c>
      <c r="E66" s="1879"/>
      <c r="G66" s="1909"/>
      <c r="H66" s="1909"/>
      <c r="I66" s="1909"/>
      <c r="J66" s="1909"/>
      <c r="K66" s="1909"/>
      <c r="L66" s="1910"/>
      <c r="M66" s="1909"/>
      <c r="N66" s="1909"/>
      <c r="O66" s="1909"/>
      <c r="P66" s="1909"/>
      <c r="Q66" s="1909"/>
      <c r="R66" s="1909"/>
      <c r="S66" s="1909"/>
      <c r="T66" s="1909"/>
      <c r="U66" s="1848"/>
      <c r="V66" s="1911">
        <v>-94.745513120245718</v>
      </c>
      <c r="W66" s="1911">
        <v>94.745513120245718</v>
      </c>
      <c r="X66" s="1912">
        <v>0</v>
      </c>
      <c r="Y66" s="1912">
        <v>0</v>
      </c>
      <c r="Z66" s="1911">
        <v>-407.68486316276756</v>
      </c>
      <c r="AA66" s="1911">
        <v>-204.88592210780408</v>
      </c>
      <c r="AB66" s="1911">
        <v>-29.885244918685888</v>
      </c>
      <c r="AC66" s="1911">
        <v>-24.5</v>
      </c>
      <c r="AD66" s="1911">
        <v>-11.033041321889998</v>
      </c>
      <c r="AE66" s="1911"/>
      <c r="AF66" s="1911"/>
      <c r="AG66" s="1911"/>
      <c r="AH66" s="1911"/>
      <c r="AI66" s="1911"/>
      <c r="AJ66" s="1911"/>
      <c r="AK66" s="1911"/>
      <c r="AL66" s="1911"/>
      <c r="AM66" s="1911"/>
      <c r="AN66" s="1911"/>
      <c r="AO66" s="1911"/>
      <c r="AP66" s="1911"/>
      <c r="AQ66" s="1911"/>
      <c r="AR66" s="1911"/>
      <c r="AS66" s="1911"/>
      <c r="AT66" s="1808">
        <v>-677.98907151114747</v>
      </c>
      <c r="AU66" s="1848"/>
      <c r="AV66" s="1913"/>
      <c r="AW66" s="1913"/>
      <c r="AX66" s="1913"/>
      <c r="AY66" s="1913"/>
      <c r="AZ66" s="1913"/>
      <c r="BA66" s="1913"/>
      <c r="BB66" s="1913"/>
      <c r="BC66" s="1913"/>
      <c r="BD66" s="1913"/>
      <c r="BE66" s="1913"/>
      <c r="BF66" s="1913"/>
      <c r="BG66" s="1913"/>
      <c r="BH66" s="1913"/>
      <c r="BI66" s="1913"/>
      <c r="BJ66" s="1913"/>
      <c r="BK66" s="1913"/>
      <c r="BL66" s="1913"/>
      <c r="BM66" s="1913"/>
      <c r="BN66" s="1913"/>
      <c r="BO66" s="1913"/>
      <c r="BP66" s="1848"/>
      <c r="BQ66" s="1914"/>
      <c r="BR66" s="1914"/>
      <c r="BS66" s="1914"/>
      <c r="BT66" s="1907"/>
      <c r="BU66" s="1858"/>
      <c r="BV66" s="1858"/>
      <c r="BW66" s="1907"/>
      <c r="BX66" s="1908"/>
      <c r="BY66" s="1908"/>
      <c r="BZ66" s="1908"/>
      <c r="CA66" s="1908"/>
      <c r="CB66" s="1908"/>
      <c r="CC66" s="1908"/>
      <c r="CD66" s="1908"/>
      <c r="CE66" s="1908"/>
      <c r="CF66" s="1908"/>
      <c r="CG66" s="1908"/>
      <c r="CH66" s="1908"/>
      <c r="CI66" s="1908"/>
      <c r="CJ66" s="1908"/>
      <c r="CK66" s="1908"/>
      <c r="CL66" s="1908"/>
      <c r="CM66" s="1908"/>
      <c r="CN66" s="1908"/>
      <c r="CO66" s="1908"/>
      <c r="CP66" s="1908"/>
      <c r="CQ66" s="1908"/>
      <c r="CR66" s="1908"/>
      <c r="CS66" s="1908"/>
      <c r="CT66" s="1908"/>
      <c r="CU66" s="1908"/>
      <c r="CV66" s="1908"/>
      <c r="CW66" s="1908"/>
      <c r="CX66" s="1908"/>
      <c r="CY66" s="1908"/>
      <c r="CZ66" s="1908"/>
      <c r="DA66" s="1908"/>
      <c r="DB66" s="1908"/>
      <c r="DC66" s="1908"/>
      <c r="DD66" s="1908"/>
      <c r="DE66" s="1908"/>
      <c r="DF66" s="1908"/>
      <c r="DG66" s="1908"/>
      <c r="DH66" s="1908"/>
      <c r="DI66" s="1908"/>
      <c r="DJ66" s="1908"/>
      <c r="DK66" s="1908"/>
      <c r="DL66" s="1908"/>
      <c r="DM66" s="1908"/>
      <c r="DN66" s="1908"/>
      <c r="DO66" s="1908"/>
      <c r="DP66" s="1907"/>
      <c r="DQ66" s="1226">
        <v>0</v>
      </c>
    </row>
    <row r="67" spans="2:121" s="1803" customFormat="1" ht="12.75" customHeight="1" outlineLevel="1">
      <c r="B67" s="1917"/>
      <c r="C67" s="1851" t="s">
        <v>4797</v>
      </c>
      <c r="D67" s="1805" t="s">
        <v>4820</v>
      </c>
      <c r="E67" s="1852"/>
      <c r="F67" s="1199"/>
      <c r="G67" s="1918">
        <v>0</v>
      </c>
      <c r="H67" s="1918"/>
      <c r="I67" s="1918">
        <v>0</v>
      </c>
      <c r="J67" s="1918">
        <v>0</v>
      </c>
      <c r="K67" s="1918">
        <v>0</v>
      </c>
      <c r="L67" s="1919">
        <v>0</v>
      </c>
      <c r="M67" s="1918">
        <v>0</v>
      </c>
      <c r="N67" s="1918">
        <v>0</v>
      </c>
      <c r="O67" s="1918">
        <v>0</v>
      </c>
      <c r="P67" s="1918">
        <v>0</v>
      </c>
      <c r="Q67" s="1918">
        <v>0</v>
      </c>
      <c r="R67" s="1918">
        <v>0</v>
      </c>
      <c r="S67" s="1918">
        <v>0</v>
      </c>
      <c r="T67" s="1918">
        <v>0</v>
      </c>
      <c r="U67" s="1197"/>
      <c r="V67" s="1880">
        <v>0.92737114166106838</v>
      </c>
      <c r="W67" s="1880">
        <v>0</v>
      </c>
      <c r="X67" s="1885">
        <v>0</v>
      </c>
      <c r="Y67" s="1885">
        <v>0</v>
      </c>
      <c r="Z67" s="1880">
        <v>407.68486316276756</v>
      </c>
      <c r="AA67" s="1880">
        <v>215.91896342969409</v>
      </c>
      <c r="AB67" s="1880">
        <v>54.385244918685885</v>
      </c>
      <c r="AC67" s="1880">
        <v>0</v>
      </c>
      <c r="AD67" s="1880">
        <v>0</v>
      </c>
      <c r="AE67" s="1880">
        <v>-409.76165205747333</v>
      </c>
      <c r="AF67" s="1880">
        <v>-232.6896010458733</v>
      </c>
      <c r="AG67" s="1880">
        <v>-54.934590826955443</v>
      </c>
      <c r="AH67" s="1880">
        <v>0</v>
      </c>
      <c r="AI67" s="1880">
        <v>0</v>
      </c>
      <c r="AJ67" s="1880">
        <v>0</v>
      </c>
      <c r="AK67" s="1880">
        <v>0</v>
      </c>
      <c r="AL67" s="1880">
        <v>0</v>
      </c>
      <c r="AM67" s="1880">
        <v>0</v>
      </c>
      <c r="AN67" s="1880">
        <v>0</v>
      </c>
      <c r="AO67" s="1880">
        <v>0</v>
      </c>
      <c r="AP67" s="1880">
        <v>0</v>
      </c>
      <c r="AQ67" s="1880">
        <v>0</v>
      </c>
      <c r="AR67" s="1880">
        <v>0</v>
      </c>
      <c r="AS67" s="1880">
        <v>0</v>
      </c>
      <c r="AT67" s="1808">
        <v>-18.469401277493418</v>
      </c>
      <c r="AU67" s="1197"/>
      <c r="AV67" s="1811">
        <v>0</v>
      </c>
      <c r="AW67" s="1811">
        <v>0</v>
      </c>
      <c r="AX67" s="1811">
        <v>0</v>
      </c>
      <c r="AY67" s="1811">
        <v>0</v>
      </c>
      <c r="AZ67" s="1811">
        <v>0</v>
      </c>
      <c r="BA67" s="1811">
        <v>0</v>
      </c>
      <c r="BB67" s="1811">
        <v>0</v>
      </c>
      <c r="BC67" s="1811">
        <v>0</v>
      </c>
      <c r="BD67" s="1811">
        <v>0</v>
      </c>
      <c r="BE67" s="1811">
        <v>0</v>
      </c>
      <c r="BF67" s="1811">
        <v>0</v>
      </c>
      <c r="BG67" s="1811">
        <v>0</v>
      </c>
      <c r="BH67" s="1811">
        <v>0</v>
      </c>
      <c r="BI67" s="1811">
        <v>0</v>
      </c>
      <c r="BJ67" s="1811">
        <v>0</v>
      </c>
      <c r="BK67" s="1811">
        <v>0</v>
      </c>
      <c r="BL67" s="1811">
        <v>0</v>
      </c>
      <c r="BM67" s="1811">
        <v>0</v>
      </c>
      <c r="BN67" s="1811">
        <v>0</v>
      </c>
      <c r="BO67" s="1811">
        <v>0</v>
      </c>
      <c r="BP67" s="1197"/>
      <c r="BQ67" s="1920">
        <v>0</v>
      </c>
      <c r="BR67" s="1920">
        <v>19.396772419154445</v>
      </c>
      <c r="BS67" s="1920">
        <v>19.396772419154445</v>
      </c>
      <c r="BT67" s="1197"/>
      <c r="BU67" s="1801">
        <v>0.92737114166102685</v>
      </c>
      <c r="BV67" s="1814"/>
      <c r="BW67" s="1863"/>
      <c r="BX67" s="1816">
        <v>48.787038921112348</v>
      </c>
      <c r="BY67" s="1817">
        <v>3.7334186936455386E-3</v>
      </c>
      <c r="BZ67" s="1817">
        <v>3.5763227068921646E-4</v>
      </c>
      <c r="CA67" s="1817">
        <v>0</v>
      </c>
      <c r="CB67" s="1817">
        <v>0</v>
      </c>
      <c r="CC67" s="1817">
        <v>0</v>
      </c>
      <c r="CD67" s="1817">
        <v>0</v>
      </c>
      <c r="CE67" s="1817">
        <v>0</v>
      </c>
      <c r="CF67" s="1817">
        <v>0</v>
      </c>
      <c r="CG67" s="1817">
        <v>0</v>
      </c>
      <c r="CH67" s="1817">
        <v>0</v>
      </c>
      <c r="CI67" s="1817">
        <v>0</v>
      </c>
      <c r="CJ67" s="1817">
        <v>0</v>
      </c>
      <c r="CK67" s="1817">
        <v>0</v>
      </c>
      <c r="CL67" s="1817">
        <v>0</v>
      </c>
      <c r="CM67" s="1817">
        <v>0</v>
      </c>
      <c r="CN67" s="1817">
        <v>0</v>
      </c>
      <c r="CO67" s="1817">
        <v>0</v>
      </c>
      <c r="CP67" s="1817">
        <v>0</v>
      </c>
      <c r="CQ67" s="1817">
        <v>0</v>
      </c>
      <c r="CR67" s="1817">
        <v>0</v>
      </c>
      <c r="CS67" s="1817">
        <v>0</v>
      </c>
      <c r="CT67" s="1817">
        <v>0</v>
      </c>
      <c r="CU67" s="1817">
        <v>0</v>
      </c>
      <c r="CV67" s="1817">
        <v>0</v>
      </c>
      <c r="CW67" s="1817">
        <v>0</v>
      </c>
      <c r="CX67" s="1817">
        <v>0</v>
      </c>
      <c r="CY67" s="1817">
        <v>0</v>
      </c>
      <c r="CZ67" s="1817">
        <v>0</v>
      </c>
      <c r="DA67" s="1817">
        <v>0</v>
      </c>
      <c r="DB67" s="1817">
        <v>0</v>
      </c>
      <c r="DC67" s="1817">
        <v>0</v>
      </c>
      <c r="DD67" s="1817">
        <v>0</v>
      </c>
      <c r="DE67" s="1817">
        <v>0</v>
      </c>
      <c r="DF67" s="1817">
        <v>0</v>
      </c>
      <c r="DG67" s="1817">
        <v>0</v>
      </c>
      <c r="DH67" s="1817">
        <v>0</v>
      </c>
      <c r="DI67" s="1817">
        <v>0</v>
      </c>
      <c r="DJ67" s="1817">
        <v>0</v>
      </c>
      <c r="DK67" s="1817">
        <v>0</v>
      </c>
      <c r="DL67" s="1817">
        <v>0</v>
      </c>
      <c r="DM67" s="1817">
        <v>0</v>
      </c>
      <c r="DN67" s="1817">
        <v>0</v>
      </c>
      <c r="DO67" s="1817">
        <v>0</v>
      </c>
      <c r="DP67" s="1863"/>
      <c r="DQ67" s="1226">
        <v>48.791129972076689</v>
      </c>
    </row>
    <row r="68" spans="2:121" s="1803" customFormat="1" ht="12.75" customHeight="1" outlineLevel="1">
      <c r="B68" s="1917" t="s">
        <v>1285</v>
      </c>
      <c r="C68" s="1851" t="s">
        <v>4798</v>
      </c>
      <c r="D68" s="1805" t="s">
        <v>4821</v>
      </c>
      <c r="E68" s="1805"/>
      <c r="F68" s="1199"/>
      <c r="G68" s="1921"/>
      <c r="H68" s="1921"/>
      <c r="I68" s="1921"/>
      <c r="J68" s="1921"/>
      <c r="K68" s="1921"/>
      <c r="L68" s="1922"/>
      <c r="M68" s="1921"/>
      <c r="N68" s="1921"/>
      <c r="O68" s="1921"/>
      <c r="P68" s="1921"/>
      <c r="Q68" s="1921"/>
      <c r="R68" s="1921"/>
      <c r="S68" s="1921"/>
      <c r="T68" s="1921">
        <v>0</v>
      </c>
      <c r="U68" s="1197"/>
      <c r="V68" s="1923"/>
      <c r="W68" s="1923">
        <v>0</v>
      </c>
      <c r="X68" s="1924"/>
      <c r="Y68" s="1924">
        <v>0</v>
      </c>
      <c r="Z68" s="1923"/>
      <c r="AA68" s="1923"/>
      <c r="AB68" s="1923"/>
      <c r="AC68" s="1923"/>
      <c r="AD68" s="1923"/>
      <c r="AE68" s="1923">
        <v>104.61888638881067</v>
      </c>
      <c r="AF68" s="1923">
        <v>203.01548606998944</v>
      </c>
      <c r="AG68" s="1923">
        <v>30.487391013090225</v>
      </c>
      <c r="AH68" s="1923"/>
      <c r="AI68" s="1923"/>
      <c r="AJ68" s="1923"/>
      <c r="AK68" s="1923"/>
      <c r="AL68" s="1923"/>
      <c r="AM68" s="1923"/>
      <c r="AN68" s="1923"/>
      <c r="AO68" s="1923"/>
      <c r="AP68" s="1923"/>
      <c r="AQ68" s="1923"/>
      <c r="AR68" s="1923"/>
      <c r="AS68" s="1923"/>
      <c r="AT68" s="1808">
        <v>338.12176347189035</v>
      </c>
      <c r="AU68" s="1197"/>
      <c r="AV68" s="1822"/>
      <c r="AW68" s="1822"/>
      <c r="AX68" s="1822"/>
      <c r="AY68" s="1822"/>
      <c r="AZ68" s="1822">
        <v>0</v>
      </c>
      <c r="BA68" s="1822">
        <v>0</v>
      </c>
      <c r="BB68" s="1822">
        <v>-104.61888638881067</v>
      </c>
      <c r="BC68" s="1822">
        <v>-203.01548606998944</v>
      </c>
      <c r="BD68" s="1822">
        <v>-30.487391013090225</v>
      </c>
      <c r="BE68" s="1822"/>
      <c r="BF68" s="1822"/>
      <c r="BG68" s="1822"/>
      <c r="BH68" s="1822"/>
      <c r="BI68" s="1822"/>
      <c r="BJ68" s="1822"/>
      <c r="BK68" s="1822"/>
      <c r="BL68" s="1822"/>
      <c r="BM68" s="1822"/>
      <c r="BN68" s="1822"/>
      <c r="BO68" s="1822">
        <v>-338.12176347189035</v>
      </c>
      <c r="BP68" s="1197"/>
      <c r="BQ68" s="1925"/>
      <c r="BR68" s="1925"/>
      <c r="BS68" s="1925">
        <v>0</v>
      </c>
      <c r="BT68" s="1197"/>
      <c r="BU68" s="1801">
        <v>0</v>
      </c>
      <c r="BV68" s="1814"/>
      <c r="BW68" s="1863"/>
      <c r="BX68" s="1825">
        <v>0</v>
      </c>
      <c r="BY68" s="1826">
        <v>0</v>
      </c>
      <c r="BZ68" s="1826">
        <v>0</v>
      </c>
      <c r="CA68" s="1826">
        <v>0</v>
      </c>
      <c r="CB68" s="1826">
        <v>0</v>
      </c>
      <c r="CC68" s="1826">
        <v>0</v>
      </c>
      <c r="CD68" s="1826">
        <v>0</v>
      </c>
      <c r="CE68" s="1826">
        <v>0</v>
      </c>
      <c r="CF68" s="1826">
        <v>0</v>
      </c>
      <c r="CG68" s="1826">
        <v>0</v>
      </c>
      <c r="CH68" s="1826">
        <v>0</v>
      </c>
      <c r="CI68" s="1826">
        <v>0</v>
      </c>
      <c r="CJ68" s="1826">
        <v>0</v>
      </c>
      <c r="CK68" s="1826">
        <v>0</v>
      </c>
      <c r="CL68" s="1826">
        <v>0</v>
      </c>
      <c r="CM68" s="1826">
        <v>0</v>
      </c>
      <c r="CN68" s="1826">
        <v>0</v>
      </c>
      <c r="CO68" s="1826">
        <v>0</v>
      </c>
      <c r="CP68" s="1826">
        <v>0</v>
      </c>
      <c r="CQ68" s="1826">
        <v>0</v>
      </c>
      <c r="CR68" s="1826">
        <v>0</v>
      </c>
      <c r="CS68" s="1826">
        <v>0</v>
      </c>
      <c r="CT68" s="1826">
        <v>0</v>
      </c>
      <c r="CU68" s="1826">
        <v>0</v>
      </c>
      <c r="CV68" s="1826">
        <v>0</v>
      </c>
      <c r="CW68" s="1826">
        <v>0</v>
      </c>
      <c r="CX68" s="1826">
        <v>0</v>
      </c>
      <c r="CY68" s="1826">
        <v>0</v>
      </c>
      <c r="CZ68" s="1826">
        <v>0</v>
      </c>
      <c r="DA68" s="1826">
        <v>0</v>
      </c>
      <c r="DB68" s="1826">
        <v>0</v>
      </c>
      <c r="DC68" s="1826">
        <v>0</v>
      </c>
      <c r="DD68" s="1826">
        <v>0</v>
      </c>
      <c r="DE68" s="1826">
        <v>0</v>
      </c>
      <c r="DF68" s="1826">
        <v>0</v>
      </c>
      <c r="DG68" s="1826">
        <v>0</v>
      </c>
      <c r="DH68" s="1826">
        <v>0</v>
      </c>
      <c r="DI68" s="1826">
        <v>0</v>
      </c>
      <c r="DJ68" s="1826">
        <v>0</v>
      </c>
      <c r="DK68" s="1826">
        <v>0</v>
      </c>
      <c r="DL68" s="1826">
        <v>0</v>
      </c>
      <c r="DM68" s="1826">
        <v>0</v>
      </c>
      <c r="DN68" s="1826">
        <v>0</v>
      </c>
      <c r="DO68" s="1826">
        <v>0</v>
      </c>
      <c r="DP68" s="1863"/>
      <c r="DQ68" s="1226">
        <v>0</v>
      </c>
    </row>
    <row r="69" spans="2:121" s="1199" customFormat="1" ht="16">
      <c r="B69" s="1789" t="s">
        <v>1285</v>
      </c>
      <c r="C69" s="1768" t="s">
        <v>4126</v>
      </c>
      <c r="D69" s="1205" t="s">
        <v>4127</v>
      </c>
      <c r="G69" s="1779">
        <v>0</v>
      </c>
      <c r="H69" s="1779"/>
      <c r="I69" s="1779">
        <v>0</v>
      </c>
      <c r="J69" s="1779">
        <v>0</v>
      </c>
      <c r="K69" s="1779">
        <v>0</v>
      </c>
      <c r="L69" s="1779">
        <v>0</v>
      </c>
      <c r="M69" s="1779">
        <v>0</v>
      </c>
      <c r="N69" s="1779">
        <v>0</v>
      </c>
      <c r="O69" s="1779">
        <v>0</v>
      </c>
      <c r="P69" s="1779">
        <v>0</v>
      </c>
      <c r="Q69" s="1779">
        <v>0</v>
      </c>
      <c r="R69" s="1779">
        <v>0</v>
      </c>
      <c r="S69" s="1779">
        <v>0</v>
      </c>
      <c r="T69" s="1779">
        <v>0</v>
      </c>
      <c r="U69" s="1197"/>
      <c r="V69" s="1797">
        <v>0.92737114166106838</v>
      </c>
      <c r="W69" s="1797">
        <v>0</v>
      </c>
      <c r="X69" s="1798">
        <v>0</v>
      </c>
      <c r="Y69" s="1798">
        <v>0</v>
      </c>
      <c r="Z69" s="1797">
        <v>407.68486316276756</v>
      </c>
      <c r="AA69" s="1797">
        <v>215.91896342969409</v>
      </c>
      <c r="AB69" s="1797">
        <v>54.385244918685885</v>
      </c>
      <c r="AC69" s="1797">
        <v>0</v>
      </c>
      <c r="AD69" s="1797">
        <v>0</v>
      </c>
      <c r="AE69" s="1797">
        <v>-305.14276566866266</v>
      </c>
      <c r="AF69" s="1797">
        <v>-29.674114975883867</v>
      </c>
      <c r="AG69" s="1797">
        <v>-24.447199813865218</v>
      </c>
      <c r="AH69" s="1797">
        <v>0</v>
      </c>
      <c r="AI69" s="1797">
        <v>0</v>
      </c>
      <c r="AJ69" s="1797">
        <v>0</v>
      </c>
      <c r="AK69" s="1797">
        <v>0</v>
      </c>
      <c r="AL69" s="1797">
        <v>0</v>
      </c>
      <c r="AM69" s="1797">
        <v>0</v>
      </c>
      <c r="AN69" s="1797">
        <v>0</v>
      </c>
      <c r="AO69" s="1797">
        <v>0</v>
      </c>
      <c r="AP69" s="1797">
        <v>0</v>
      </c>
      <c r="AQ69" s="1797">
        <v>0</v>
      </c>
      <c r="AR69" s="1797">
        <v>0</v>
      </c>
      <c r="AS69" s="1797">
        <v>0</v>
      </c>
      <c r="AT69" s="1808">
        <v>319.65236219439691</v>
      </c>
      <c r="AU69" s="1197"/>
      <c r="AV69" s="1799">
        <v>0</v>
      </c>
      <c r="AW69" s="1799">
        <v>0</v>
      </c>
      <c r="AX69" s="1799">
        <v>0</v>
      </c>
      <c r="AY69" s="1799">
        <v>0</v>
      </c>
      <c r="AZ69" s="1799">
        <v>0</v>
      </c>
      <c r="BA69" s="1799">
        <v>0</v>
      </c>
      <c r="BB69" s="1799">
        <v>-104.61888638881067</v>
      </c>
      <c r="BC69" s="1799">
        <v>-203.01548606998944</v>
      </c>
      <c r="BD69" s="1799">
        <v>-30.487391013090225</v>
      </c>
      <c r="BE69" s="1799">
        <v>0</v>
      </c>
      <c r="BF69" s="1799">
        <v>0</v>
      </c>
      <c r="BG69" s="1799">
        <v>0</v>
      </c>
      <c r="BH69" s="1799">
        <v>0</v>
      </c>
      <c r="BI69" s="1799">
        <v>0</v>
      </c>
      <c r="BJ69" s="1799">
        <v>0</v>
      </c>
      <c r="BK69" s="1799">
        <v>0</v>
      </c>
      <c r="BL69" s="1799">
        <v>0</v>
      </c>
      <c r="BM69" s="1799">
        <v>0</v>
      </c>
      <c r="BN69" s="1799">
        <v>0</v>
      </c>
      <c r="BO69" s="1799">
        <v>-338.12176347189035</v>
      </c>
      <c r="BP69" s="1197"/>
      <c r="BQ69" s="1800">
        <v>0</v>
      </c>
      <c r="BR69" s="1800">
        <v>19.396772419154445</v>
      </c>
      <c r="BS69" s="1800">
        <v>19.396772419154445</v>
      </c>
      <c r="BT69" s="1197"/>
      <c r="BU69" s="1801">
        <v>0.92737114166101264</v>
      </c>
      <c r="BV69" s="1801"/>
      <c r="BW69" s="1815"/>
      <c r="BX69" s="1817">
        <v>48.787038921112348</v>
      </c>
      <c r="BY69" s="1817">
        <v>3.7334186936455386E-3</v>
      </c>
      <c r="BZ69" s="1817">
        <v>3.5763227068921646E-4</v>
      </c>
      <c r="CA69" s="1817">
        <v>0</v>
      </c>
      <c r="CB69" s="1817">
        <v>0</v>
      </c>
      <c r="CC69" s="1817">
        <v>0</v>
      </c>
      <c r="CD69" s="1817">
        <v>0</v>
      </c>
      <c r="CE69" s="1817">
        <v>0</v>
      </c>
      <c r="CF69" s="1817">
        <v>0</v>
      </c>
      <c r="CG69" s="1817">
        <v>0</v>
      </c>
      <c r="CH69" s="1817">
        <v>0</v>
      </c>
      <c r="CI69" s="1817">
        <v>0</v>
      </c>
      <c r="CJ69" s="1817">
        <v>0</v>
      </c>
      <c r="CK69" s="1817">
        <v>0</v>
      </c>
      <c r="CL69" s="1817">
        <v>0</v>
      </c>
      <c r="CM69" s="1817">
        <v>0</v>
      </c>
      <c r="CN69" s="1817">
        <v>0</v>
      </c>
      <c r="CO69" s="1817">
        <v>0</v>
      </c>
      <c r="CP69" s="1817">
        <v>0</v>
      </c>
      <c r="CQ69" s="1817">
        <v>0</v>
      </c>
      <c r="CR69" s="1817">
        <v>0</v>
      </c>
      <c r="CS69" s="1817">
        <v>0</v>
      </c>
      <c r="CT69" s="1817">
        <v>0</v>
      </c>
      <c r="CU69" s="1817">
        <v>0</v>
      </c>
      <c r="CV69" s="1817">
        <v>0</v>
      </c>
      <c r="CW69" s="1817">
        <v>0</v>
      </c>
      <c r="CX69" s="1817">
        <v>0</v>
      </c>
      <c r="CY69" s="1817">
        <v>0</v>
      </c>
      <c r="CZ69" s="1817">
        <v>0</v>
      </c>
      <c r="DA69" s="1817">
        <v>0</v>
      </c>
      <c r="DB69" s="1817">
        <v>0</v>
      </c>
      <c r="DC69" s="1817">
        <v>0</v>
      </c>
      <c r="DD69" s="1817">
        <v>0</v>
      </c>
      <c r="DE69" s="1817">
        <v>0</v>
      </c>
      <c r="DF69" s="1817">
        <v>0</v>
      </c>
      <c r="DG69" s="1817">
        <v>0</v>
      </c>
      <c r="DH69" s="1817">
        <v>0</v>
      </c>
      <c r="DI69" s="1817">
        <v>0</v>
      </c>
      <c r="DJ69" s="1817">
        <v>0</v>
      </c>
      <c r="DK69" s="1817">
        <v>0</v>
      </c>
      <c r="DL69" s="1817">
        <v>0</v>
      </c>
      <c r="DM69" s="1817">
        <v>0</v>
      </c>
      <c r="DN69" s="1817">
        <v>0</v>
      </c>
      <c r="DO69" s="1817">
        <v>0</v>
      </c>
      <c r="DP69" s="1197"/>
      <c r="DQ69" s="1226">
        <v>48.791129972076689</v>
      </c>
    </row>
    <row r="70" spans="2:121" s="1199" customFormat="1" ht="16">
      <c r="B70" s="1789"/>
      <c r="C70" s="1827" t="s">
        <v>4799</v>
      </c>
      <c r="D70" s="1828" t="s">
        <v>4800</v>
      </c>
      <c r="E70" s="1829"/>
      <c r="G70" s="1830">
        <v>0</v>
      </c>
      <c r="H70" s="1830"/>
      <c r="I70" s="1830">
        <v>0</v>
      </c>
      <c r="J70" s="1830">
        <v>0</v>
      </c>
      <c r="K70" s="1830">
        <v>0</v>
      </c>
      <c r="L70" s="1830">
        <v>0</v>
      </c>
      <c r="M70" s="1830">
        <v>0</v>
      </c>
      <c r="N70" s="1830">
        <v>0</v>
      </c>
      <c r="O70" s="1830">
        <v>0</v>
      </c>
      <c r="P70" s="1830">
        <v>0</v>
      </c>
      <c r="Q70" s="1830">
        <v>0</v>
      </c>
      <c r="R70" s="1830">
        <v>0</v>
      </c>
      <c r="S70" s="1830">
        <v>0</v>
      </c>
      <c r="T70" s="1830">
        <v>0</v>
      </c>
      <c r="U70" s="1197"/>
      <c r="V70" s="1831">
        <v>0.92737114166106838</v>
      </c>
      <c r="W70" s="1831">
        <v>-22.552029150658942</v>
      </c>
      <c r="X70" s="1926">
        <v>0</v>
      </c>
      <c r="Y70" s="1926">
        <v>0</v>
      </c>
      <c r="Z70" s="1831">
        <v>407.68486316276756</v>
      </c>
      <c r="AA70" s="1831">
        <v>215.91896342969409</v>
      </c>
      <c r="AB70" s="1831">
        <v>54.385244918685885</v>
      </c>
      <c r="AC70" s="1831">
        <v>0</v>
      </c>
      <c r="AD70" s="1831">
        <v>0</v>
      </c>
      <c r="AE70" s="1831">
        <v>-305.14276566866266</v>
      </c>
      <c r="AF70" s="1831">
        <v>-29.674114975883867</v>
      </c>
      <c r="AG70" s="1831">
        <v>-24.447199813865218</v>
      </c>
      <c r="AH70" s="1831">
        <v>0</v>
      </c>
      <c r="AI70" s="1831">
        <v>0</v>
      </c>
      <c r="AJ70" s="1831">
        <v>0</v>
      </c>
      <c r="AK70" s="1831">
        <v>0</v>
      </c>
      <c r="AL70" s="1831">
        <v>0</v>
      </c>
      <c r="AM70" s="1831">
        <v>0</v>
      </c>
      <c r="AN70" s="1831">
        <v>0</v>
      </c>
      <c r="AO70" s="1831">
        <v>0</v>
      </c>
      <c r="AP70" s="1831">
        <v>0</v>
      </c>
      <c r="AQ70" s="1831">
        <v>0</v>
      </c>
      <c r="AR70" s="1831">
        <v>0</v>
      </c>
      <c r="AS70" s="1831">
        <v>0</v>
      </c>
      <c r="AT70" s="1808">
        <v>297.10033304373792</v>
      </c>
      <c r="AU70" s="1197"/>
      <c r="AV70" s="1832">
        <v>0</v>
      </c>
      <c r="AW70" s="1832">
        <v>0</v>
      </c>
      <c r="AX70" s="1832">
        <v>0</v>
      </c>
      <c r="AY70" s="1832">
        <v>0</v>
      </c>
      <c r="AZ70" s="1832">
        <v>0.13974194909716242</v>
      </c>
      <c r="BA70" s="1832">
        <v>0</v>
      </c>
      <c r="BB70" s="1832">
        <v>-104.61888638881067</v>
      </c>
      <c r="BC70" s="1927">
        <v>-203.01548606998944</v>
      </c>
      <c r="BD70" s="1832">
        <v>-30.487391013090225</v>
      </c>
      <c r="BE70" s="1832">
        <v>0</v>
      </c>
      <c r="BF70" s="1832">
        <v>0</v>
      </c>
      <c r="BG70" s="1832">
        <v>0</v>
      </c>
      <c r="BH70" s="1832">
        <v>0</v>
      </c>
      <c r="BI70" s="1832">
        <v>0</v>
      </c>
      <c r="BJ70" s="1832">
        <v>0</v>
      </c>
      <c r="BK70" s="1832">
        <v>0</v>
      </c>
      <c r="BL70" s="1832">
        <v>0</v>
      </c>
      <c r="BM70" s="1832">
        <v>0</v>
      </c>
      <c r="BN70" s="1832">
        <v>0</v>
      </c>
      <c r="BO70" s="1832">
        <v>-337.98202152279316</v>
      </c>
      <c r="BP70" s="1197"/>
      <c r="BQ70" s="1833">
        <v>0</v>
      </c>
      <c r="BR70" s="1833">
        <v>41.809059620716219</v>
      </c>
      <c r="BS70" s="1833">
        <v>41.809059620716219</v>
      </c>
      <c r="BT70" s="1197"/>
      <c r="BU70" s="1834">
        <v>0.92737114166097712</v>
      </c>
      <c r="BV70" s="1834"/>
      <c r="BW70" s="1197"/>
      <c r="BX70" s="1836">
        <v>48.787038921112348</v>
      </c>
      <c r="BY70" s="1836">
        <v>3.7334186936455386E-3</v>
      </c>
      <c r="BZ70" s="1836">
        <v>3.5763227068921646E-4</v>
      </c>
      <c r="CA70" s="1836">
        <v>0</v>
      </c>
      <c r="CB70" s="1836">
        <v>0</v>
      </c>
      <c r="CC70" s="1836">
        <v>0</v>
      </c>
      <c r="CD70" s="1836">
        <v>0</v>
      </c>
      <c r="CE70" s="1836">
        <v>0</v>
      </c>
      <c r="CF70" s="1836">
        <v>0</v>
      </c>
      <c r="CG70" s="1836">
        <v>0</v>
      </c>
      <c r="CH70" s="1836">
        <v>0</v>
      </c>
      <c r="CI70" s="1836">
        <v>0</v>
      </c>
      <c r="CJ70" s="1836">
        <v>0</v>
      </c>
      <c r="CK70" s="1836">
        <v>0</v>
      </c>
      <c r="CL70" s="1836">
        <v>0</v>
      </c>
      <c r="CM70" s="1836">
        <v>0</v>
      </c>
      <c r="CN70" s="1836">
        <v>0</v>
      </c>
      <c r="CO70" s="1836">
        <v>0</v>
      </c>
      <c r="CP70" s="1836">
        <v>0</v>
      </c>
      <c r="CQ70" s="1836">
        <v>0</v>
      </c>
      <c r="CR70" s="1836">
        <v>0</v>
      </c>
      <c r="CS70" s="1836">
        <v>0</v>
      </c>
      <c r="CT70" s="1836">
        <v>0</v>
      </c>
      <c r="CU70" s="1836">
        <v>0</v>
      </c>
      <c r="CV70" s="1836">
        <v>0</v>
      </c>
      <c r="CW70" s="1836">
        <v>0</v>
      </c>
      <c r="CX70" s="1836">
        <v>0</v>
      </c>
      <c r="CY70" s="1836">
        <v>0</v>
      </c>
      <c r="CZ70" s="1836">
        <v>0</v>
      </c>
      <c r="DA70" s="1836">
        <v>0</v>
      </c>
      <c r="DB70" s="1836">
        <v>0</v>
      </c>
      <c r="DC70" s="1836">
        <v>0</v>
      </c>
      <c r="DD70" s="1836">
        <v>0</v>
      </c>
      <c r="DE70" s="1836">
        <v>0</v>
      </c>
      <c r="DF70" s="1836">
        <v>0</v>
      </c>
      <c r="DG70" s="1836">
        <v>0</v>
      </c>
      <c r="DH70" s="1836">
        <v>0</v>
      </c>
      <c r="DI70" s="1836">
        <v>0</v>
      </c>
      <c r="DJ70" s="1836">
        <v>0</v>
      </c>
      <c r="DK70" s="1836">
        <v>0</v>
      </c>
      <c r="DL70" s="1836">
        <v>0</v>
      </c>
      <c r="DM70" s="1836">
        <v>0</v>
      </c>
      <c r="DN70" s="1836">
        <v>0</v>
      </c>
      <c r="DO70" s="1836">
        <v>0</v>
      </c>
      <c r="DP70" s="1197"/>
      <c r="DQ70" s="1837">
        <v>48.791129972076689</v>
      </c>
    </row>
    <row r="71" spans="2:121" s="1199" customFormat="1" ht="15">
      <c r="C71" s="1197"/>
      <c r="G71" s="1779"/>
      <c r="H71" s="1779"/>
      <c r="I71" s="1779"/>
      <c r="J71" s="1779"/>
      <c r="K71" s="1779"/>
      <c r="L71" s="1838"/>
      <c r="M71" s="1779"/>
      <c r="N71" s="1779"/>
      <c r="O71" s="1779"/>
      <c r="P71" s="1779"/>
      <c r="Q71" s="1779"/>
      <c r="R71" s="1779"/>
      <c r="S71" s="1779"/>
      <c r="T71" s="1779"/>
      <c r="U71" s="1197"/>
      <c r="V71" s="1797"/>
      <c r="W71" s="1797"/>
      <c r="X71" s="1798"/>
      <c r="Y71" s="1798"/>
      <c r="Z71" s="1797"/>
      <c r="AA71" s="1797"/>
      <c r="AB71" s="1797"/>
      <c r="AC71" s="1797"/>
      <c r="AD71" s="1797"/>
      <c r="AE71" s="1797"/>
      <c r="AF71" s="1797"/>
      <c r="AG71" s="1797"/>
      <c r="AH71" s="1797"/>
      <c r="AI71" s="1797"/>
      <c r="AJ71" s="1797"/>
      <c r="AK71" s="1797"/>
      <c r="AL71" s="1797"/>
      <c r="AM71" s="1797"/>
      <c r="AN71" s="1797"/>
      <c r="AO71" s="1797"/>
      <c r="AP71" s="1797"/>
      <c r="AQ71" s="1797"/>
      <c r="AR71" s="1797"/>
      <c r="AS71" s="1797"/>
      <c r="AT71" s="1797"/>
      <c r="AU71" s="1197"/>
      <c r="AV71" s="1799"/>
      <c r="AW71" s="1799"/>
      <c r="AX71" s="1799"/>
      <c r="AY71" s="1799"/>
      <c r="AZ71" s="1799"/>
      <c r="BA71" s="1799"/>
      <c r="BB71" s="1799"/>
      <c r="BC71" s="1799"/>
      <c r="BD71" s="1799"/>
      <c r="BE71" s="1799"/>
      <c r="BF71" s="1799"/>
      <c r="BG71" s="1799"/>
      <c r="BH71" s="1799"/>
      <c r="BI71" s="1799"/>
      <c r="BJ71" s="1799"/>
      <c r="BK71" s="1799"/>
      <c r="BL71" s="1799"/>
      <c r="BM71" s="1799"/>
      <c r="BN71" s="1799"/>
      <c r="BO71" s="1799"/>
      <c r="BP71" s="1197"/>
      <c r="BQ71" s="1800"/>
      <c r="BR71" s="1800"/>
      <c r="BS71" s="1800"/>
      <c r="BT71" s="1197"/>
      <c r="BU71" s="1801">
        <v>0</v>
      </c>
      <c r="BV71" s="1801"/>
      <c r="BW71" s="1197"/>
      <c r="BX71" s="1817"/>
      <c r="BY71" s="1817"/>
      <c r="BZ71" s="1817"/>
      <c r="CA71" s="1817"/>
      <c r="CB71" s="1817"/>
      <c r="CC71" s="1817"/>
      <c r="CD71" s="1817"/>
      <c r="CE71" s="1817"/>
      <c r="CF71" s="1817"/>
      <c r="CG71" s="1817"/>
      <c r="CH71" s="1817"/>
      <c r="CI71" s="1817"/>
      <c r="CJ71" s="1817"/>
      <c r="CK71" s="1817"/>
      <c r="CL71" s="1817"/>
      <c r="CM71" s="1817"/>
      <c r="CN71" s="1817"/>
      <c r="CO71" s="1817"/>
      <c r="CP71" s="1817"/>
      <c r="CQ71" s="1817"/>
      <c r="CR71" s="1817"/>
      <c r="CS71" s="1817"/>
      <c r="CT71" s="1817"/>
      <c r="CU71" s="1817"/>
      <c r="CV71" s="1817"/>
      <c r="CW71" s="1817"/>
      <c r="CX71" s="1817"/>
      <c r="CY71" s="1817"/>
      <c r="CZ71" s="1817"/>
      <c r="DA71" s="1817"/>
      <c r="DB71" s="1817"/>
      <c r="DC71" s="1817"/>
      <c r="DD71" s="1817"/>
      <c r="DE71" s="1817"/>
      <c r="DF71" s="1817"/>
      <c r="DG71" s="1817"/>
      <c r="DH71" s="1817"/>
      <c r="DI71" s="1817"/>
      <c r="DJ71" s="1817"/>
      <c r="DK71" s="1817"/>
      <c r="DL71" s="1817"/>
      <c r="DM71" s="1817"/>
      <c r="DN71" s="1817"/>
      <c r="DO71" s="1817"/>
      <c r="DP71" s="1197"/>
      <c r="DQ71" s="1226"/>
    </row>
    <row r="72" spans="2:121" s="1199" customFormat="1" ht="16" thickBot="1">
      <c r="C72" s="1197"/>
      <c r="G72" s="1779"/>
      <c r="H72" s="1779"/>
      <c r="I72" s="1779"/>
      <c r="J72" s="1779"/>
      <c r="K72" s="1779"/>
      <c r="L72" s="1838"/>
      <c r="M72" s="1779"/>
      <c r="N72" s="1779"/>
      <c r="O72" s="1779"/>
      <c r="P72" s="1779"/>
      <c r="Q72" s="1779"/>
      <c r="R72" s="1779"/>
      <c r="S72" s="1779"/>
      <c r="T72" s="1779"/>
      <c r="U72" s="1197"/>
      <c r="V72" s="1797"/>
      <c r="W72" s="1797"/>
      <c r="X72" s="1798"/>
      <c r="Y72" s="1798"/>
      <c r="Z72" s="1797"/>
      <c r="AA72" s="1797"/>
      <c r="AB72" s="1797"/>
      <c r="AC72" s="1797"/>
      <c r="AD72" s="1797"/>
      <c r="AE72" s="1797"/>
      <c r="AF72" s="1797"/>
      <c r="AG72" s="1797"/>
      <c r="AH72" s="1797"/>
      <c r="AI72" s="1797"/>
      <c r="AJ72" s="1797"/>
      <c r="AK72" s="1797"/>
      <c r="AL72" s="1797"/>
      <c r="AM72" s="1797"/>
      <c r="AN72" s="1797"/>
      <c r="AO72" s="1797"/>
      <c r="AP72" s="1797"/>
      <c r="AQ72" s="1797"/>
      <c r="AR72" s="1797"/>
      <c r="AS72" s="1797"/>
      <c r="AT72" s="1797"/>
      <c r="AU72" s="1197"/>
      <c r="AV72" s="1799"/>
      <c r="AW72" s="1799"/>
      <c r="AX72" s="1799"/>
      <c r="AY72" s="1799"/>
      <c r="AZ72" s="1799"/>
      <c r="BA72" s="1799"/>
      <c r="BB72" s="1799"/>
      <c r="BC72" s="1799"/>
      <c r="BD72" s="1799"/>
      <c r="BE72" s="1799"/>
      <c r="BF72" s="1799"/>
      <c r="BG72" s="1799"/>
      <c r="BH72" s="1799"/>
      <c r="BI72" s="1799"/>
      <c r="BJ72" s="1799"/>
      <c r="BK72" s="1799"/>
      <c r="BL72" s="1799"/>
      <c r="BM72" s="1799"/>
      <c r="BN72" s="1799"/>
      <c r="BO72" s="1799"/>
      <c r="BP72" s="1197"/>
      <c r="BQ72" s="1800"/>
      <c r="BR72" s="1800"/>
      <c r="BS72" s="1800"/>
      <c r="BT72" s="1197"/>
      <c r="BU72" s="1801">
        <v>0</v>
      </c>
      <c r="BV72" s="1801"/>
      <c r="BW72" s="1197"/>
      <c r="BX72" s="1817"/>
      <c r="BY72" s="1817"/>
      <c r="BZ72" s="1817"/>
      <c r="CA72" s="1817"/>
      <c r="CB72" s="1817"/>
      <c r="CC72" s="1817"/>
      <c r="CD72" s="1817"/>
      <c r="CE72" s="1817"/>
      <c r="CF72" s="1817"/>
      <c r="CG72" s="1817"/>
      <c r="CH72" s="1817"/>
      <c r="CI72" s="1817"/>
      <c r="CJ72" s="1817"/>
      <c r="CK72" s="1817"/>
      <c r="CL72" s="1817"/>
      <c r="CM72" s="1817"/>
      <c r="CN72" s="1817"/>
      <c r="CO72" s="1817"/>
      <c r="CP72" s="1817"/>
      <c r="CQ72" s="1817"/>
      <c r="CR72" s="1817"/>
      <c r="CS72" s="1817"/>
      <c r="CT72" s="1817"/>
      <c r="CU72" s="1817"/>
      <c r="CV72" s="1817"/>
      <c r="CW72" s="1817"/>
      <c r="CX72" s="1817"/>
      <c r="CY72" s="1817"/>
      <c r="CZ72" s="1817"/>
      <c r="DA72" s="1817"/>
      <c r="DB72" s="1817"/>
      <c r="DC72" s="1817"/>
      <c r="DD72" s="1817"/>
      <c r="DE72" s="1817"/>
      <c r="DF72" s="1817"/>
      <c r="DG72" s="1817"/>
      <c r="DH72" s="1817"/>
      <c r="DI72" s="1817"/>
      <c r="DJ72" s="1817"/>
      <c r="DK72" s="1817"/>
      <c r="DL72" s="1817"/>
      <c r="DM72" s="1817"/>
      <c r="DN72" s="1817"/>
      <c r="DO72" s="1817"/>
      <c r="DP72" s="1197"/>
      <c r="DQ72" s="1226"/>
    </row>
    <row r="73" spans="2:121" s="1199" customFormat="1" ht="24" customHeight="1" thickBot="1">
      <c r="C73" s="1928" t="s">
        <v>4042</v>
      </c>
      <c r="D73" s="1928"/>
      <c r="E73" s="1928"/>
      <c r="G73" s="1929">
        <v>0</v>
      </c>
      <c r="H73" s="1929">
        <v>0</v>
      </c>
      <c r="I73" s="1929">
        <v>27.571778248325508</v>
      </c>
      <c r="J73" s="1929">
        <v>8.5969089718730327</v>
      </c>
      <c r="K73" s="1929">
        <v>262.41250218921147</v>
      </c>
      <c r="L73" s="1929">
        <v>113.19617684401635</v>
      </c>
      <c r="M73" s="1929">
        <v>3.2132653197737691</v>
      </c>
      <c r="N73" s="1929">
        <v>3.5223235991217856</v>
      </c>
      <c r="O73" s="1929">
        <v>8.0936709333162521E-2</v>
      </c>
      <c r="P73" s="1929">
        <v>34.48923167691634</v>
      </c>
      <c r="Q73" s="1929">
        <v>8.9319236036295013</v>
      </c>
      <c r="R73" s="1929">
        <v>95.303403558183888</v>
      </c>
      <c r="S73" s="1929">
        <v>35.533041321889996</v>
      </c>
      <c r="T73" s="1929">
        <v>600.00084856118633</v>
      </c>
      <c r="U73" s="1197"/>
      <c r="V73" s="1930">
        <v>-93.818141978584649</v>
      </c>
      <c r="W73" s="1930">
        <v>94.745513120245718</v>
      </c>
      <c r="X73" s="1931">
        <v>0</v>
      </c>
      <c r="Y73" s="1931">
        <v>0</v>
      </c>
      <c r="Z73" s="1930">
        <v>0</v>
      </c>
      <c r="AA73" s="1930">
        <v>11.033041321890011</v>
      </c>
      <c r="AB73" s="1930">
        <v>24.499999999999996</v>
      </c>
      <c r="AC73" s="1930">
        <v>-24.5</v>
      </c>
      <c r="AD73" s="1930">
        <v>-11.033041321889998</v>
      </c>
      <c r="AE73" s="1930">
        <v>0</v>
      </c>
      <c r="AF73" s="1930">
        <v>0</v>
      </c>
      <c r="AG73" s="1930">
        <v>0</v>
      </c>
      <c r="AH73" s="1930">
        <v>0</v>
      </c>
      <c r="AI73" s="1930">
        <v>-0.17526182848850436</v>
      </c>
      <c r="AJ73" s="1930">
        <v>0</v>
      </c>
      <c r="AK73" s="1930">
        <v>0</v>
      </c>
      <c r="AL73" s="1930">
        <v>0</v>
      </c>
      <c r="AM73" s="1930">
        <v>0</v>
      </c>
      <c r="AN73" s="1930">
        <v>0</v>
      </c>
      <c r="AO73" s="1930">
        <v>0</v>
      </c>
      <c r="AP73" s="1930">
        <v>0</v>
      </c>
      <c r="AQ73" s="1930">
        <v>0</v>
      </c>
      <c r="AR73" s="1930">
        <v>0</v>
      </c>
      <c r="AS73" s="1930">
        <v>0</v>
      </c>
      <c r="AT73" s="1930">
        <v>0.75210931317257756</v>
      </c>
      <c r="AU73" s="1197"/>
      <c r="AV73" s="1932">
        <v>-305.14276566866266</v>
      </c>
      <c r="AW73" s="1932">
        <v>-29.674114975883853</v>
      </c>
      <c r="AX73" s="1932">
        <v>-24.447199813865218</v>
      </c>
      <c r="AY73" s="1932">
        <v>0</v>
      </c>
      <c r="AZ73" s="1932">
        <v>0.13974194909716242</v>
      </c>
      <c r="BA73" s="1932">
        <v>0</v>
      </c>
      <c r="BB73" s="1932">
        <v>-104.61888638881067</v>
      </c>
      <c r="BC73" s="1933">
        <v>-203.01548606998944</v>
      </c>
      <c r="BD73" s="1932">
        <v>-30.487391013090225</v>
      </c>
      <c r="BE73" s="1932">
        <v>-13.044604533325936</v>
      </c>
      <c r="BF73" s="1932">
        <v>-7.7194886551634117</v>
      </c>
      <c r="BG73" s="1932">
        <v>-5.9047082558899397</v>
      </c>
      <c r="BH73" s="1932">
        <v>0</v>
      </c>
      <c r="BI73" s="1932">
        <v>0</v>
      </c>
      <c r="BJ73" s="1932">
        <v>0</v>
      </c>
      <c r="BK73" s="1932">
        <v>-13.943388638073946</v>
      </c>
      <c r="BL73" s="1932">
        <v>0</v>
      </c>
      <c r="BM73" s="1932">
        <v>-23.872883689690454</v>
      </c>
      <c r="BN73" s="1932">
        <v>-67.733789514681931</v>
      </c>
      <c r="BO73" s="1933">
        <v>-829.46496526803048</v>
      </c>
      <c r="BP73" s="1197"/>
      <c r="BQ73" s="1934">
        <v>180.79472103513743</v>
      </c>
      <c r="BR73" s="1934">
        <v>48.844657500195169</v>
      </c>
      <c r="BS73" s="1934">
        <v>229.63937853533258</v>
      </c>
      <c r="BT73" s="1197"/>
      <c r="BU73" s="1795">
        <v>0.92737114166101264</v>
      </c>
      <c r="BV73" s="1795"/>
      <c r="BW73" s="1197"/>
      <c r="BX73" s="1935">
        <v>2513.1779195406516</v>
      </c>
      <c r="BY73" s="1936">
        <v>2.5568226733867347</v>
      </c>
      <c r="BZ73" s="1936">
        <v>19.969263398092995</v>
      </c>
      <c r="CA73" s="1936">
        <v>0</v>
      </c>
      <c r="CB73" s="1936">
        <v>0</v>
      </c>
      <c r="CC73" s="1936">
        <v>25.207342295608466</v>
      </c>
      <c r="CD73" s="1936">
        <v>0</v>
      </c>
      <c r="CE73" s="1936">
        <v>0</v>
      </c>
      <c r="CF73" s="1936">
        <v>130.19600911978685</v>
      </c>
      <c r="CG73" s="1936">
        <v>0</v>
      </c>
      <c r="CH73" s="1936">
        <v>0</v>
      </c>
      <c r="CI73" s="1936">
        <v>0</v>
      </c>
      <c r="CJ73" s="1936">
        <v>0</v>
      </c>
      <c r="CK73" s="1936">
        <v>0</v>
      </c>
      <c r="CL73" s="1936">
        <v>0</v>
      </c>
      <c r="CM73" s="1936">
        <v>0</v>
      </c>
      <c r="CN73" s="1936">
        <v>0</v>
      </c>
      <c r="CO73" s="1936">
        <v>0</v>
      </c>
      <c r="CP73" s="1936">
        <v>0</v>
      </c>
      <c r="CQ73" s="1936">
        <v>0</v>
      </c>
      <c r="CR73" s="1936">
        <v>0</v>
      </c>
      <c r="CS73" s="1936">
        <v>0</v>
      </c>
      <c r="CT73" s="1936">
        <v>0</v>
      </c>
      <c r="CU73" s="1936">
        <v>0</v>
      </c>
      <c r="CV73" s="1936">
        <v>0</v>
      </c>
      <c r="CW73" s="1936">
        <v>0</v>
      </c>
      <c r="CX73" s="1936">
        <v>0</v>
      </c>
      <c r="CY73" s="1936">
        <v>0</v>
      </c>
      <c r="CZ73" s="1936">
        <v>0</v>
      </c>
      <c r="DA73" s="1936">
        <v>0</v>
      </c>
      <c r="DB73" s="1936">
        <v>0</v>
      </c>
      <c r="DC73" s="1936">
        <v>0</v>
      </c>
      <c r="DD73" s="1936">
        <v>0</v>
      </c>
      <c r="DE73" s="1936">
        <v>0</v>
      </c>
      <c r="DF73" s="1936">
        <v>0</v>
      </c>
      <c r="DG73" s="1936">
        <v>0</v>
      </c>
      <c r="DH73" s="1936">
        <v>0</v>
      </c>
      <c r="DI73" s="1936">
        <v>0</v>
      </c>
      <c r="DJ73" s="1936">
        <v>0</v>
      </c>
      <c r="DK73" s="1936">
        <v>0</v>
      </c>
      <c r="DL73" s="1936">
        <v>0</v>
      </c>
      <c r="DM73" s="1936">
        <v>0</v>
      </c>
      <c r="DN73" s="1936">
        <v>0</v>
      </c>
      <c r="DO73" s="1936">
        <v>0</v>
      </c>
      <c r="DP73" s="1197"/>
      <c r="DQ73" s="1837">
        <v>2691.1073570275271</v>
      </c>
    </row>
    <row r="74" spans="2:121" s="1199" customFormat="1">
      <c r="C74" s="1197"/>
      <c r="G74" s="1937"/>
      <c r="H74" s="1937"/>
      <c r="I74" s="1937"/>
      <c r="J74" s="1937"/>
      <c r="K74" s="1937"/>
      <c r="L74" s="1938"/>
      <c r="M74" s="1937"/>
      <c r="N74" s="1937"/>
      <c r="O74" s="1937"/>
      <c r="P74" s="1937"/>
      <c r="Q74" s="1937"/>
      <c r="R74" s="1937"/>
      <c r="S74" s="1937"/>
      <c r="T74" s="1937"/>
      <c r="U74" s="1197"/>
      <c r="V74" s="1939"/>
      <c r="W74" s="1939"/>
      <c r="X74" s="1940"/>
      <c r="Y74" s="1940"/>
      <c r="Z74" s="1939"/>
      <c r="AA74" s="1939"/>
      <c r="AB74" s="1939"/>
      <c r="AC74" s="1939"/>
      <c r="AD74" s="1939"/>
      <c r="AE74" s="1939"/>
      <c r="AF74" s="1939"/>
      <c r="AG74" s="1939"/>
      <c r="AH74" s="1939"/>
      <c r="AI74" s="1939"/>
      <c r="AJ74" s="1939"/>
      <c r="AK74" s="1939"/>
      <c r="AL74" s="1939"/>
      <c r="AM74" s="1939"/>
      <c r="AN74" s="1939"/>
      <c r="AO74" s="1939"/>
      <c r="AP74" s="1939"/>
      <c r="AQ74" s="1939"/>
      <c r="AR74" s="1939"/>
      <c r="AS74" s="1939"/>
      <c r="AT74" s="1939"/>
      <c r="AU74" s="1197"/>
      <c r="AV74" s="1941"/>
      <c r="AW74" s="1941"/>
      <c r="AX74" s="1941"/>
      <c r="AY74" s="1941"/>
      <c r="AZ74" s="1941"/>
      <c r="BA74" s="1941"/>
      <c r="BB74" s="1941"/>
      <c r="BC74" s="1941"/>
      <c r="BD74" s="1941"/>
      <c r="BE74" s="1941"/>
      <c r="BF74" s="1941"/>
      <c r="BG74" s="1941"/>
      <c r="BH74" s="1941"/>
      <c r="BI74" s="1941"/>
      <c r="BJ74" s="1941"/>
      <c r="BK74" s="1941"/>
      <c r="BL74" s="1941"/>
      <c r="BM74" s="1941"/>
      <c r="BN74" s="1941"/>
      <c r="BO74" s="1941"/>
      <c r="BP74" s="1197"/>
      <c r="BQ74" s="1942"/>
      <c r="BR74" s="1942"/>
      <c r="BS74" s="1942"/>
      <c r="BT74" s="1197"/>
      <c r="BU74" s="1801"/>
      <c r="BV74" s="1801"/>
      <c r="BW74" s="1197"/>
      <c r="BX74" s="1943"/>
      <c r="BY74" s="1943"/>
      <c r="BZ74" s="1943"/>
      <c r="CA74" s="1943"/>
      <c r="CB74" s="1943"/>
      <c r="CC74" s="1943"/>
      <c r="CD74" s="1943"/>
      <c r="CE74" s="1943"/>
      <c r="CF74" s="1943"/>
      <c r="CG74" s="1943"/>
      <c r="CH74" s="1943"/>
      <c r="CI74" s="1943"/>
      <c r="CJ74" s="1943"/>
      <c r="CK74" s="1943"/>
      <c r="CL74" s="1943"/>
      <c r="CM74" s="1943"/>
      <c r="CN74" s="1943"/>
      <c r="CO74" s="1943"/>
      <c r="CP74" s="1943"/>
      <c r="CQ74" s="1943"/>
      <c r="CR74" s="1943"/>
      <c r="CS74" s="1943"/>
      <c r="CT74" s="1943"/>
      <c r="CU74" s="1943"/>
      <c r="CV74" s="1943"/>
      <c r="CW74" s="1943"/>
      <c r="CX74" s="1943"/>
      <c r="CY74" s="1943"/>
      <c r="CZ74" s="1943"/>
      <c r="DA74" s="1943"/>
      <c r="DB74" s="1943"/>
      <c r="DC74" s="1943"/>
      <c r="DD74" s="1943"/>
      <c r="DE74" s="1943"/>
      <c r="DF74" s="1943"/>
      <c r="DG74" s="1943"/>
      <c r="DH74" s="1943"/>
      <c r="DI74" s="1943"/>
      <c r="DJ74" s="1943"/>
      <c r="DK74" s="1943"/>
      <c r="DL74" s="1943"/>
      <c r="DM74" s="1943"/>
      <c r="DN74" s="1943"/>
      <c r="DO74" s="1943"/>
      <c r="DP74" s="1197"/>
      <c r="DQ74" s="1197"/>
    </row>
    <row r="75" spans="2:121">
      <c r="G75" s="1801"/>
      <c r="H75" s="1801"/>
      <c r="I75" s="1801"/>
      <c r="J75" s="1801"/>
      <c r="K75" s="1801"/>
      <c r="L75" s="1944"/>
      <c r="M75" s="1801"/>
      <c r="N75" s="1801"/>
      <c r="O75" s="1801"/>
      <c r="P75" s="1801"/>
      <c r="Q75" s="1801"/>
      <c r="R75" s="1801"/>
      <c r="S75" s="1801"/>
      <c r="T75" s="1801"/>
      <c r="V75" s="1801"/>
      <c r="W75" s="1801"/>
      <c r="X75" s="1886"/>
      <c r="Y75" s="1886"/>
      <c r="Z75" s="1801"/>
      <c r="AA75" s="1801"/>
      <c r="AB75" s="1801"/>
      <c r="AC75" s="1801"/>
      <c r="AD75" s="1801"/>
      <c r="AE75" s="1801"/>
      <c r="AF75" s="1801"/>
      <c r="AG75" s="1801"/>
      <c r="AH75" s="1801"/>
      <c r="AI75" s="1801"/>
      <c r="AJ75" s="1801"/>
      <c r="AK75" s="1801"/>
      <c r="AL75" s="1801"/>
      <c r="AM75" s="1801"/>
      <c r="AN75" s="1801"/>
      <c r="AO75" s="1801"/>
      <c r="AP75" s="1801"/>
      <c r="AQ75" s="1801"/>
      <c r="AR75" s="1801"/>
      <c r="AS75" s="1801"/>
      <c r="AT75" s="1801"/>
      <c r="AV75" s="1801"/>
      <c r="AW75" s="1801"/>
      <c r="AX75" s="1801"/>
      <c r="AY75" s="1801"/>
      <c r="AZ75" s="1801"/>
      <c r="BA75" s="1801"/>
      <c r="BB75" s="1801"/>
      <c r="BC75" s="1801"/>
      <c r="BD75" s="1801"/>
      <c r="BE75" s="1801"/>
      <c r="BF75" s="1801"/>
      <c r="BG75" s="1801"/>
      <c r="BH75" s="1801"/>
      <c r="BI75" s="1801"/>
      <c r="BJ75" s="1801"/>
      <c r="BK75" s="1801"/>
      <c r="BL75" s="1801"/>
      <c r="BM75" s="1801"/>
      <c r="BN75" s="1801"/>
      <c r="BO75" s="1801"/>
      <c r="BQ75" s="1801"/>
      <c r="BR75" s="1801"/>
      <c r="BS75" s="1801"/>
      <c r="BU75" s="1801"/>
      <c r="BV75" s="1801"/>
    </row>
    <row r="76" spans="2:121">
      <c r="G76" s="1801"/>
      <c r="H76" s="1801"/>
      <c r="I76" s="1801"/>
      <c r="J76" s="1801"/>
      <c r="K76" s="1801"/>
      <c r="L76" s="1944"/>
      <c r="M76" s="1801"/>
      <c r="N76" s="1801"/>
      <c r="O76" s="1801"/>
      <c r="P76" s="1801"/>
      <c r="Q76" s="1801"/>
      <c r="R76" s="1801"/>
      <c r="S76" s="1801"/>
      <c r="T76" s="1801"/>
      <c r="V76" s="1801"/>
      <c r="W76" s="1801"/>
      <c r="X76" s="1886"/>
      <c r="Y76" s="1886"/>
      <c r="Z76" s="1801"/>
      <c r="AA76" s="1801"/>
      <c r="AB76" s="1801"/>
      <c r="AC76" s="1801"/>
      <c r="AD76" s="1801"/>
      <c r="AE76" s="1801"/>
      <c r="AF76" s="1801"/>
      <c r="AG76" s="1801"/>
      <c r="AH76" s="1801"/>
      <c r="AI76" s="1801"/>
      <c r="AJ76" s="1801"/>
      <c r="AK76" s="1801"/>
      <c r="AL76" s="1801"/>
      <c r="AM76" s="1801"/>
      <c r="AN76" s="1801"/>
      <c r="AO76" s="1801"/>
      <c r="AP76" s="1801"/>
      <c r="AQ76" s="1801"/>
      <c r="AR76" s="1801"/>
      <c r="AS76" s="1801"/>
      <c r="AT76" s="1801"/>
      <c r="AV76" s="1801"/>
      <c r="AW76" s="1801"/>
      <c r="AX76" s="1801"/>
      <c r="AY76" s="1801"/>
      <c r="AZ76" s="1801"/>
      <c r="BA76" s="1801"/>
      <c r="BB76" s="1801"/>
      <c r="BC76" s="1801"/>
      <c r="BD76" s="1801"/>
      <c r="BE76" s="1801"/>
      <c r="BF76" s="1801"/>
      <c r="BG76" s="1801"/>
      <c r="BH76" s="1801"/>
      <c r="BI76" s="1801"/>
      <c r="BJ76" s="1801"/>
      <c r="BK76" s="1801"/>
      <c r="BL76" s="1801"/>
      <c r="BM76" s="1801"/>
      <c r="BN76" s="1801"/>
      <c r="BO76" s="1801"/>
      <c r="BQ76" s="1801"/>
      <c r="BR76" s="1801"/>
      <c r="BS76" s="1801"/>
      <c r="BU76" s="1801"/>
      <c r="BV76" s="1801"/>
      <c r="DO76" s="1748" t="s">
        <v>4801</v>
      </c>
      <c r="DQ76" s="1945">
        <v>1023.0978282182041</v>
      </c>
    </row>
    <row r="77" spans="2:121">
      <c r="B77" s="1196" t="s">
        <v>1285</v>
      </c>
      <c r="C77" s="1946" t="s">
        <v>4802</v>
      </c>
      <c r="G77" s="1801"/>
      <c r="H77" s="1801"/>
      <c r="I77" s="1801"/>
      <c r="J77" s="1801"/>
      <c r="K77" s="1801"/>
      <c r="L77" s="1944"/>
      <c r="M77" s="1801"/>
      <c r="N77" s="1801"/>
      <c r="O77" s="1801"/>
      <c r="P77" s="1801"/>
      <c r="Q77" s="1801"/>
      <c r="R77" s="1801"/>
      <c r="S77" s="1801"/>
      <c r="T77" s="1801"/>
      <c r="V77" s="1801"/>
      <c r="W77" s="1801"/>
      <c r="X77" s="1886"/>
      <c r="Y77" s="1886"/>
      <c r="Z77" s="1801"/>
      <c r="AA77" s="1801"/>
      <c r="AB77" s="1801"/>
      <c r="AC77" s="1801"/>
      <c r="AD77" s="1801"/>
      <c r="AE77" s="1801"/>
      <c r="AF77" s="1801"/>
      <c r="AG77" s="1801"/>
      <c r="AH77" s="1801"/>
      <c r="AI77" s="1801"/>
      <c r="AJ77" s="1801"/>
      <c r="AK77" s="1801"/>
      <c r="AL77" s="1801"/>
      <c r="AM77" s="1801"/>
      <c r="AN77" s="1801"/>
      <c r="AO77" s="1801"/>
      <c r="AP77" s="1801"/>
      <c r="AQ77" s="1801"/>
      <c r="AR77" s="1801"/>
      <c r="AS77" s="1801"/>
      <c r="AT77" s="1801"/>
      <c r="AV77" s="1801"/>
      <c r="AW77" s="1801"/>
      <c r="AX77" s="1801"/>
      <c r="AY77" s="1801"/>
      <c r="AZ77" s="1801"/>
      <c r="BA77" s="1801"/>
      <c r="BB77" s="1801"/>
      <c r="BC77" s="1801"/>
      <c r="BD77" s="1801"/>
      <c r="BE77" s="1801"/>
      <c r="BF77" s="1801"/>
      <c r="BG77" s="1801"/>
      <c r="BH77" s="1801"/>
      <c r="BI77" s="1801"/>
      <c r="BJ77" s="1801"/>
      <c r="BK77" s="1801"/>
      <c r="BL77" s="1801"/>
      <c r="BM77" s="1801"/>
      <c r="BN77" s="1801"/>
      <c r="BO77" s="1801"/>
      <c r="BQ77" s="1801"/>
      <c r="BR77" s="1801"/>
      <c r="BS77" s="1801"/>
      <c r="BU77" s="1801"/>
      <c r="BV77" s="1801"/>
      <c r="DO77" s="1748" t="s">
        <v>4803</v>
      </c>
      <c r="DQ77" s="1945">
        <v>94.745513120245718</v>
      </c>
    </row>
    <row r="78" spans="2:121" ht="16">
      <c r="B78" s="1947"/>
      <c r="G78" s="1801"/>
      <c r="H78" s="1801"/>
      <c r="I78" s="1801"/>
      <c r="J78" s="1801"/>
      <c r="K78" s="1801"/>
      <c r="L78" s="1944"/>
      <c r="M78" s="1801"/>
      <c r="N78" s="1801"/>
      <c r="O78" s="1801"/>
      <c r="P78" s="1801"/>
      <c r="Q78" s="1801"/>
      <c r="R78" s="1801"/>
      <c r="S78" s="1801"/>
      <c r="T78" s="1801"/>
      <c r="V78" s="1801"/>
      <c r="W78" s="1801"/>
      <c r="X78" s="1886"/>
      <c r="Y78" s="1886"/>
      <c r="Z78" s="1801"/>
      <c r="AA78" s="1801"/>
      <c r="AB78" s="1801"/>
      <c r="AC78" s="1801"/>
      <c r="AD78" s="1801"/>
      <c r="AE78" s="1801"/>
      <c r="AF78" s="1801"/>
      <c r="AG78" s="1801"/>
      <c r="AH78" s="1801"/>
      <c r="AI78" s="1801"/>
      <c r="AJ78" s="1801"/>
      <c r="AK78" s="1801"/>
      <c r="AL78" s="1801"/>
      <c r="AM78" s="1801"/>
      <c r="AN78" s="1801"/>
      <c r="AO78" s="1801"/>
      <c r="AP78" s="1801"/>
      <c r="AQ78" s="1801"/>
      <c r="AR78" s="1801"/>
      <c r="AS78" s="1801"/>
      <c r="AT78" s="1801"/>
      <c r="AV78" s="1801"/>
      <c r="AW78" s="1801"/>
      <c r="AX78" s="1801"/>
      <c r="AY78" s="1801"/>
      <c r="AZ78" s="1801"/>
      <c r="BA78" s="1801"/>
      <c r="BB78" s="1801"/>
      <c r="BC78" s="1801"/>
      <c r="BD78" s="1801"/>
      <c r="BE78" s="1801"/>
      <c r="BF78" s="1801"/>
      <c r="BG78" s="1801"/>
      <c r="BH78" s="1801"/>
      <c r="BI78" s="1801"/>
      <c r="BJ78" s="1801"/>
      <c r="BK78" s="1801"/>
      <c r="BL78" s="1801"/>
      <c r="BM78" s="1801"/>
      <c r="BN78" s="1801"/>
      <c r="BO78" s="1801"/>
      <c r="BQ78" s="1801"/>
      <c r="BR78" s="1801"/>
      <c r="BS78" s="1801"/>
      <c r="BU78" s="1801"/>
      <c r="BV78" s="1801"/>
      <c r="DO78" s="1748" t="s">
        <v>4804</v>
      </c>
      <c r="DQ78" s="1748">
        <v>10.798377617309914</v>
      </c>
    </row>
    <row r="79" spans="2:121">
      <c r="G79" s="1801"/>
      <c r="H79" s="1801"/>
      <c r="I79" s="1801"/>
      <c r="J79" s="1801"/>
      <c r="K79" s="1801"/>
      <c r="L79" s="1944"/>
      <c r="M79" s="1801"/>
      <c r="N79" s="1801"/>
      <c r="O79" s="1801"/>
      <c r="P79" s="1801"/>
      <c r="Q79" s="1801"/>
      <c r="R79" s="1801"/>
      <c r="S79" s="1801"/>
      <c r="T79" s="1801"/>
      <c r="V79" s="1801"/>
      <c r="W79" s="1801"/>
      <c r="X79" s="1886"/>
      <c r="Y79" s="1886"/>
      <c r="Z79" s="1801"/>
      <c r="AA79" s="1801"/>
      <c r="AB79" s="1801"/>
      <c r="AC79" s="1801"/>
      <c r="AD79" s="1801"/>
      <c r="AE79" s="1801"/>
      <c r="AF79" s="1801"/>
      <c r="AG79" s="1801"/>
      <c r="AH79" s="1801"/>
      <c r="AI79" s="1801"/>
      <c r="AJ79" s="1801"/>
      <c r="AK79" s="1801"/>
      <c r="AL79" s="1801"/>
      <c r="AM79" s="1801"/>
      <c r="AN79" s="1801"/>
      <c r="AO79" s="1801"/>
      <c r="AP79" s="1801"/>
      <c r="AQ79" s="1801"/>
      <c r="AR79" s="1801"/>
      <c r="AS79" s="1801"/>
      <c r="AT79" s="1801"/>
      <c r="AV79" s="1801"/>
      <c r="AW79" s="1801"/>
      <c r="AX79" s="1801"/>
      <c r="AY79" s="1801"/>
      <c r="AZ79" s="1801"/>
      <c r="BA79" s="1801"/>
      <c r="BB79" s="1801"/>
      <c r="BC79" s="1801"/>
      <c r="BD79" s="1801"/>
      <c r="BE79" s="1801"/>
      <c r="BF79" s="1801"/>
      <c r="BG79" s="1801"/>
      <c r="BH79" s="1801"/>
      <c r="BI79" s="1801"/>
      <c r="BJ79" s="1801"/>
      <c r="BK79" s="1801"/>
      <c r="BL79" s="1801"/>
      <c r="BM79" s="1801"/>
      <c r="BN79" s="1801"/>
      <c r="BO79" s="1801"/>
      <c r="BQ79" s="1801"/>
      <c r="BR79" s="1801"/>
      <c r="BS79" s="1801"/>
      <c r="BU79" s="1801"/>
      <c r="BV79" s="1801"/>
    </row>
    <row r="80" spans="2:121" ht="16">
      <c r="B80" s="1947"/>
      <c r="G80" s="1801"/>
      <c r="H80" s="1801"/>
      <c r="I80" s="1801"/>
      <c r="J80" s="1801"/>
      <c r="K80" s="1801"/>
      <c r="L80" s="1944"/>
      <c r="M80" s="1801"/>
      <c r="N80" s="1801"/>
      <c r="O80" s="1801"/>
      <c r="P80" s="1801"/>
      <c r="Q80" s="1801"/>
      <c r="R80" s="1801"/>
      <c r="S80" s="1801"/>
      <c r="T80" s="1801"/>
      <c r="V80" s="1801"/>
      <c r="W80" s="1801"/>
      <c r="X80" s="1886"/>
      <c r="Y80" s="1886"/>
      <c r="Z80" s="1801"/>
      <c r="AA80" s="1801"/>
      <c r="AB80" s="1801"/>
      <c r="AC80" s="1801"/>
      <c r="AD80" s="1801"/>
      <c r="AE80" s="1801"/>
      <c r="AF80" s="1801"/>
      <c r="AG80" s="1801"/>
      <c r="AH80" s="1801"/>
      <c r="AI80" s="1801"/>
      <c r="AJ80" s="1801"/>
      <c r="AK80" s="1801"/>
      <c r="AL80" s="1801"/>
      <c r="AM80" s="1801"/>
      <c r="AN80" s="1801"/>
      <c r="AO80" s="1801"/>
      <c r="AP80" s="1801"/>
      <c r="AQ80" s="1801"/>
      <c r="AR80" s="1801"/>
      <c r="AS80" s="1801"/>
      <c r="AT80" s="1801"/>
      <c r="AV80" s="1801"/>
      <c r="AW80" s="1801"/>
      <c r="AX80" s="1801"/>
      <c r="AY80" s="1801"/>
      <c r="AZ80" s="1801"/>
      <c r="BA80" s="1801"/>
      <c r="BB80" s="1801"/>
      <c r="BC80" s="1801"/>
      <c r="BD80" s="1801"/>
      <c r="BE80" s="1801"/>
      <c r="BF80" s="1801"/>
      <c r="BG80" s="1801"/>
      <c r="BH80" s="1801"/>
      <c r="BI80" s="1801"/>
      <c r="BJ80" s="1801"/>
      <c r="BK80" s="1801"/>
      <c r="BL80" s="1801"/>
      <c r="BM80" s="1801"/>
      <c r="BN80" s="1801"/>
      <c r="BO80" s="1801"/>
      <c r="BQ80" s="1801"/>
      <c r="BR80" s="1801"/>
      <c r="BS80" s="1801"/>
      <c r="BU80" s="1801"/>
      <c r="BV80" s="1801"/>
    </row>
    <row r="81" spans="2:74" ht="16">
      <c r="B81" s="1947"/>
      <c r="G81" s="1801"/>
      <c r="H81" s="1801"/>
      <c r="I81" s="1801"/>
      <c r="J81" s="1801"/>
      <c r="K81" s="1801"/>
      <c r="L81" s="1944"/>
      <c r="M81" s="1801"/>
      <c r="N81" s="1801"/>
      <c r="O81" s="1801"/>
      <c r="P81" s="1801"/>
      <c r="Q81" s="1801"/>
      <c r="R81" s="1801"/>
      <c r="S81" s="1801"/>
      <c r="T81" s="1801"/>
      <c r="V81" s="1801"/>
      <c r="W81" s="1801"/>
      <c r="X81" s="1886"/>
      <c r="Y81" s="1886"/>
      <c r="Z81" s="1801"/>
      <c r="AA81" s="1801"/>
      <c r="AB81" s="1801"/>
      <c r="AC81" s="1801"/>
      <c r="AD81" s="1801"/>
      <c r="AE81" s="1801"/>
      <c r="AF81" s="1801"/>
      <c r="AG81" s="1801"/>
      <c r="AH81" s="1801"/>
      <c r="AI81" s="1801"/>
      <c r="AJ81" s="1801"/>
      <c r="AK81" s="1801"/>
      <c r="AL81" s="1801"/>
      <c r="AM81" s="1801"/>
      <c r="AN81" s="1801"/>
      <c r="AO81" s="1801"/>
      <c r="AP81" s="1801"/>
      <c r="AQ81" s="1801"/>
      <c r="AR81" s="1801"/>
      <c r="AS81" s="1801"/>
      <c r="AT81" s="1801"/>
      <c r="AV81" s="1801"/>
      <c r="AW81" s="1801"/>
      <c r="AX81" s="1801"/>
      <c r="AY81" s="1801"/>
      <c r="AZ81" s="1801"/>
      <c r="BA81" s="1801"/>
      <c r="BB81" s="1801"/>
      <c r="BC81" s="1801"/>
      <c r="BD81" s="1801"/>
      <c r="BE81" s="1801"/>
      <c r="BF81" s="1801"/>
      <c r="BG81" s="1801"/>
      <c r="BH81" s="1801"/>
      <c r="BI81" s="1801"/>
      <c r="BJ81" s="1801"/>
      <c r="BK81" s="1801"/>
      <c r="BL81" s="1801"/>
      <c r="BM81" s="1801"/>
      <c r="BN81" s="1801"/>
      <c r="BO81" s="1801"/>
      <c r="BQ81" s="1801"/>
      <c r="BR81" s="1801"/>
      <c r="BS81" s="1801"/>
      <c r="BU81" s="1801"/>
      <c r="BV81" s="1801"/>
    </row>
    <row r="82" spans="2:74" ht="16">
      <c r="B82" s="1947"/>
      <c r="G82" s="1801"/>
      <c r="H82" s="1801"/>
      <c r="I82" s="1801"/>
      <c r="J82" s="1801"/>
      <c r="K82" s="1801"/>
      <c r="L82" s="1944"/>
      <c r="M82" s="1801"/>
      <c r="N82" s="1801"/>
      <c r="O82" s="1801"/>
      <c r="P82" s="1801"/>
      <c r="Q82" s="1801"/>
      <c r="R82" s="1801"/>
      <c r="S82" s="1801"/>
      <c r="T82" s="1801"/>
      <c r="V82" s="1801"/>
      <c r="W82" s="1801"/>
      <c r="X82" s="1886"/>
      <c r="Y82" s="1886"/>
      <c r="Z82" s="1801"/>
      <c r="AA82" s="1801"/>
      <c r="AB82" s="1801"/>
      <c r="AC82" s="1801"/>
      <c r="AD82" s="1801"/>
      <c r="AE82" s="1801"/>
      <c r="AF82" s="1801"/>
      <c r="AG82" s="1801"/>
      <c r="AH82" s="1801"/>
      <c r="AI82" s="1801"/>
      <c r="AJ82" s="1801"/>
      <c r="AK82" s="1801"/>
      <c r="AL82" s="1801"/>
      <c r="AM82" s="1801"/>
      <c r="AN82" s="1801"/>
      <c r="AO82" s="1801"/>
      <c r="AP82" s="1801"/>
      <c r="AQ82" s="1801"/>
      <c r="AR82" s="1801"/>
      <c r="AS82" s="1801"/>
      <c r="AT82" s="1801"/>
      <c r="AV82" s="1801"/>
      <c r="AW82" s="1801"/>
      <c r="AX82" s="1801"/>
      <c r="AY82" s="1801"/>
      <c r="AZ82" s="1801"/>
      <c r="BA82" s="1801"/>
      <c r="BB82" s="1801"/>
      <c r="BC82" s="1801"/>
      <c r="BD82" s="1801"/>
      <c r="BE82" s="1801"/>
      <c r="BF82" s="1801"/>
      <c r="BG82" s="1801"/>
      <c r="BH82" s="1801"/>
      <c r="BI82" s="1801"/>
      <c r="BJ82" s="1801"/>
      <c r="BK82" s="1801"/>
      <c r="BL82" s="1801"/>
      <c r="BM82" s="1801"/>
      <c r="BN82" s="1801"/>
      <c r="BO82" s="1801"/>
      <c r="BQ82" s="1801"/>
      <c r="BR82" s="1801"/>
      <c r="BS82" s="1801"/>
      <c r="BU82" s="1801"/>
      <c r="BV82" s="1801"/>
    </row>
    <row r="83" spans="2:74" ht="16">
      <c r="B83" s="1947"/>
      <c r="G83" s="1801"/>
      <c r="H83" s="1801"/>
      <c r="I83" s="1801"/>
      <c r="J83" s="1801"/>
      <c r="K83" s="1801"/>
      <c r="L83" s="1944"/>
      <c r="M83" s="1801"/>
      <c r="N83" s="1801"/>
      <c r="O83" s="1801"/>
      <c r="P83" s="1801"/>
      <c r="Q83" s="1801"/>
      <c r="R83" s="1801"/>
      <c r="S83" s="1801"/>
      <c r="T83" s="1801"/>
      <c r="V83" s="1801"/>
      <c r="W83" s="1801"/>
      <c r="X83" s="1886"/>
      <c r="Y83" s="1886"/>
      <c r="Z83" s="1801"/>
      <c r="AA83" s="1801"/>
      <c r="AB83" s="1801"/>
      <c r="AC83" s="1801"/>
      <c r="AD83" s="1801"/>
      <c r="AE83" s="1801"/>
      <c r="AF83" s="1801"/>
      <c r="AG83" s="1801"/>
      <c r="AH83" s="1801"/>
      <c r="AI83" s="1801"/>
      <c r="AJ83" s="1801"/>
      <c r="AK83" s="1801"/>
      <c r="AL83" s="1801"/>
      <c r="AM83" s="1801"/>
      <c r="AN83" s="1801"/>
      <c r="AO83" s="1801"/>
      <c r="AP83" s="1801"/>
      <c r="AQ83" s="1801"/>
      <c r="AR83" s="1801"/>
      <c r="AS83" s="1801"/>
      <c r="AT83" s="1801"/>
      <c r="AV83" s="1801"/>
      <c r="AW83" s="1801"/>
      <c r="AX83" s="1801"/>
      <c r="AY83" s="1801"/>
      <c r="AZ83" s="1801"/>
      <c r="BA83" s="1801"/>
      <c r="BB83" s="1801"/>
      <c r="BC83" s="1801"/>
      <c r="BD83" s="1801"/>
      <c r="BE83" s="1801"/>
      <c r="BF83" s="1801"/>
      <c r="BG83" s="1801"/>
      <c r="BH83" s="1801"/>
      <c r="BI83" s="1801"/>
      <c r="BJ83" s="1801"/>
      <c r="BK83" s="1801"/>
      <c r="BL83" s="1801"/>
      <c r="BM83" s="1801"/>
      <c r="BN83" s="1801"/>
      <c r="BO83" s="1801"/>
      <c r="BQ83" s="1801"/>
      <c r="BR83" s="1801"/>
      <c r="BS83" s="1801"/>
      <c r="BU83" s="1801"/>
      <c r="BV83" s="1801"/>
    </row>
    <row r="84" spans="2:74" ht="16">
      <c r="B84" s="1947"/>
      <c r="G84" s="1801"/>
      <c r="H84" s="1801"/>
      <c r="I84" s="1801"/>
      <c r="J84" s="1801"/>
      <c r="K84" s="1801"/>
      <c r="L84" s="1944"/>
      <c r="M84" s="1801"/>
      <c r="N84" s="1801"/>
      <c r="O84" s="1801"/>
      <c r="P84" s="1801"/>
      <c r="Q84" s="1801"/>
      <c r="R84" s="1801"/>
      <c r="S84" s="1801"/>
      <c r="T84" s="1801"/>
      <c r="V84" s="1801"/>
      <c r="W84" s="1801"/>
      <c r="X84" s="1886"/>
      <c r="Y84" s="1886"/>
      <c r="Z84" s="1801"/>
      <c r="AA84" s="1801"/>
      <c r="AB84" s="1801"/>
      <c r="AC84" s="1801"/>
      <c r="AD84" s="1801"/>
      <c r="AE84" s="1801"/>
      <c r="AF84" s="1801"/>
      <c r="AG84" s="1801"/>
      <c r="AH84" s="1801"/>
      <c r="AI84" s="1801"/>
      <c r="AJ84" s="1801"/>
      <c r="AK84" s="1801"/>
      <c r="AL84" s="1801"/>
      <c r="AM84" s="1801"/>
      <c r="AN84" s="1801"/>
      <c r="AO84" s="1801"/>
      <c r="AP84" s="1801"/>
      <c r="AQ84" s="1801"/>
      <c r="AR84" s="1801"/>
      <c r="AS84" s="1801"/>
      <c r="AT84" s="1801"/>
      <c r="AV84" s="1801"/>
      <c r="AW84" s="1801"/>
      <c r="AX84" s="1801"/>
      <c r="AY84" s="1801"/>
      <c r="AZ84" s="1801"/>
      <c r="BA84" s="1801"/>
      <c r="BB84" s="1801"/>
      <c r="BC84" s="1801"/>
      <c r="BD84" s="1801"/>
      <c r="BE84" s="1801"/>
      <c r="BF84" s="1801"/>
      <c r="BG84" s="1801"/>
      <c r="BH84" s="1801"/>
      <c r="BI84" s="1801"/>
      <c r="BJ84" s="1801"/>
      <c r="BK84" s="1801"/>
      <c r="BL84" s="1801"/>
      <c r="BM84" s="1801"/>
      <c r="BN84" s="1801"/>
      <c r="BO84" s="1801"/>
      <c r="BQ84" s="1801"/>
      <c r="BR84" s="1801"/>
      <c r="BS84" s="1801"/>
      <c r="BU84" s="1801"/>
      <c r="BV84" s="1801"/>
    </row>
    <row r="85" spans="2:74" ht="16">
      <c r="B85" s="1947"/>
      <c r="G85" s="1801"/>
      <c r="H85" s="1801"/>
      <c r="I85" s="1801"/>
      <c r="J85" s="1801"/>
      <c r="K85" s="1801"/>
      <c r="L85" s="1944"/>
      <c r="M85" s="1801"/>
      <c r="N85" s="1801"/>
      <c r="O85" s="1801"/>
      <c r="P85" s="1801"/>
      <c r="Q85" s="1801"/>
      <c r="R85" s="1801"/>
      <c r="S85" s="1801"/>
      <c r="T85" s="1801"/>
      <c r="V85" s="1801"/>
      <c r="W85" s="1801"/>
      <c r="X85" s="1886"/>
      <c r="Y85" s="1886"/>
      <c r="Z85" s="1801"/>
      <c r="AA85" s="1801"/>
      <c r="AB85" s="1801"/>
      <c r="AC85" s="1801"/>
      <c r="AD85" s="1801"/>
      <c r="AE85" s="1801"/>
      <c r="AF85" s="1801"/>
      <c r="AG85" s="1801"/>
      <c r="AH85" s="1801"/>
      <c r="AI85" s="1801"/>
      <c r="AJ85" s="1801"/>
      <c r="AK85" s="1801"/>
      <c r="AL85" s="1801"/>
      <c r="AM85" s="1801"/>
      <c r="AN85" s="1801"/>
      <c r="AO85" s="1801"/>
      <c r="AP85" s="1801"/>
      <c r="AQ85" s="1801"/>
      <c r="AR85" s="1801"/>
      <c r="AS85" s="1801"/>
      <c r="AT85" s="1801"/>
      <c r="AV85" s="1801"/>
      <c r="AW85" s="1801"/>
      <c r="AX85" s="1801"/>
      <c r="AY85" s="1801"/>
      <c r="AZ85" s="1801"/>
      <c r="BA85" s="1801"/>
      <c r="BB85" s="1801"/>
      <c r="BC85" s="1801"/>
      <c r="BD85" s="1801"/>
      <c r="BE85" s="1801"/>
      <c r="BF85" s="1801"/>
      <c r="BG85" s="1801"/>
      <c r="BH85" s="1801"/>
      <c r="BI85" s="1801"/>
      <c r="BJ85" s="1801"/>
      <c r="BK85" s="1801"/>
      <c r="BL85" s="1801"/>
      <c r="BM85" s="1801"/>
      <c r="BN85" s="1801"/>
      <c r="BO85" s="1801"/>
      <c r="BQ85" s="1801"/>
      <c r="BR85" s="1801"/>
      <c r="BS85" s="1801"/>
      <c r="BU85" s="1801"/>
      <c r="BV85" s="1801"/>
    </row>
    <row r="86" spans="2:74">
      <c r="G86" s="1801"/>
      <c r="H86" s="1801"/>
      <c r="I86" s="1801"/>
      <c r="J86" s="1801"/>
      <c r="K86" s="1801"/>
      <c r="L86" s="1944"/>
      <c r="M86" s="1801"/>
      <c r="N86" s="1801"/>
      <c r="O86" s="1801"/>
      <c r="P86" s="1801"/>
      <c r="Q86" s="1801"/>
      <c r="R86" s="1801"/>
      <c r="S86" s="1801"/>
      <c r="T86" s="1801"/>
      <c r="V86" s="1801"/>
      <c r="W86" s="1801"/>
      <c r="X86" s="1886"/>
      <c r="Y86" s="1886"/>
      <c r="Z86" s="1801"/>
      <c r="AA86" s="1801"/>
      <c r="AB86" s="1801"/>
      <c r="AC86" s="1801"/>
      <c r="AD86" s="1801"/>
      <c r="AE86" s="1801"/>
      <c r="AF86" s="1801"/>
      <c r="AG86" s="1801"/>
      <c r="AH86" s="1801"/>
      <c r="AI86" s="1801"/>
      <c r="AJ86" s="1801"/>
      <c r="AK86" s="1801"/>
      <c r="AL86" s="1801"/>
      <c r="AM86" s="1801"/>
      <c r="AN86" s="1801"/>
      <c r="AO86" s="1801"/>
      <c r="AP86" s="1801"/>
      <c r="AQ86" s="1801"/>
      <c r="AR86" s="1801"/>
      <c r="AS86" s="1801"/>
      <c r="AT86" s="1801"/>
      <c r="AV86" s="1801"/>
      <c r="AW86" s="1801"/>
      <c r="AX86" s="1801"/>
      <c r="AY86" s="1801"/>
      <c r="AZ86" s="1801"/>
      <c r="BA86" s="1801"/>
      <c r="BB86" s="1801"/>
      <c r="BC86" s="1801"/>
      <c r="BD86" s="1801"/>
      <c r="BE86" s="1801"/>
      <c r="BF86" s="1801"/>
      <c r="BG86" s="1801"/>
      <c r="BH86" s="1801"/>
      <c r="BI86" s="1801"/>
      <c r="BJ86" s="1801"/>
      <c r="BK86" s="1801"/>
      <c r="BL86" s="1801"/>
      <c r="BM86" s="1801"/>
      <c r="BN86" s="1801"/>
      <c r="BO86" s="1801"/>
      <c r="BQ86" s="1801"/>
      <c r="BR86" s="1801"/>
      <c r="BS86" s="1801"/>
      <c r="BU86" s="1801"/>
      <c r="BV86" s="1801"/>
    </row>
    <row r="87" spans="2:74" ht="24" customHeight="1">
      <c r="G87" s="1801"/>
      <c r="H87" s="1801"/>
      <c r="I87" s="1801"/>
      <c r="J87" s="1801"/>
      <c r="K87" s="1801"/>
      <c r="L87" s="1944"/>
      <c r="M87" s="1801"/>
      <c r="N87" s="1801"/>
      <c r="O87" s="1801"/>
      <c r="P87" s="1801"/>
      <c r="Q87" s="1801"/>
      <c r="R87" s="1801"/>
      <c r="S87" s="1801"/>
      <c r="T87" s="1801"/>
      <c r="V87" s="1801"/>
      <c r="W87" s="1801"/>
      <c r="X87" s="1886"/>
      <c r="Y87" s="1886"/>
      <c r="Z87" s="1801"/>
      <c r="AA87" s="1801"/>
      <c r="AB87" s="1801"/>
      <c r="AC87" s="1801"/>
      <c r="AD87" s="1801"/>
      <c r="AE87" s="1801"/>
      <c r="AF87" s="1801"/>
      <c r="AG87" s="1801"/>
      <c r="AH87" s="1801"/>
      <c r="AI87" s="1801"/>
      <c r="AJ87" s="1801"/>
      <c r="AK87" s="1801"/>
      <c r="AL87" s="1801"/>
      <c r="AM87" s="1801"/>
      <c r="AN87" s="1801"/>
      <c r="AO87" s="1801"/>
      <c r="AP87" s="1801"/>
      <c r="AQ87" s="1801"/>
      <c r="AR87" s="1801"/>
      <c r="AS87" s="1801"/>
      <c r="AT87" s="1801"/>
      <c r="AV87" s="1801"/>
      <c r="AW87" s="1801"/>
      <c r="AX87" s="1801"/>
      <c r="AY87" s="1801"/>
      <c r="AZ87" s="1801"/>
      <c r="BA87" s="1801"/>
      <c r="BB87" s="1801"/>
      <c r="BC87" s="1801"/>
      <c r="BD87" s="1801"/>
      <c r="BE87" s="1801"/>
      <c r="BF87" s="1801"/>
      <c r="BG87" s="1801"/>
      <c r="BH87" s="1801"/>
      <c r="BI87" s="1801"/>
      <c r="BJ87" s="1801"/>
      <c r="BK87" s="1801"/>
      <c r="BL87" s="1801"/>
      <c r="BM87" s="1801"/>
      <c r="BN87" s="1801"/>
      <c r="BO87" s="1801"/>
      <c r="BQ87" s="1801"/>
      <c r="BR87" s="1801"/>
      <c r="BS87" s="1801"/>
      <c r="BU87" s="1801"/>
      <c r="BV87" s="1801"/>
    </row>
    <row r="88" spans="2:74">
      <c r="G88" s="1801"/>
      <c r="H88" s="1801"/>
      <c r="I88" s="1801"/>
      <c r="J88" s="1801"/>
      <c r="K88" s="1801"/>
      <c r="L88" s="1944"/>
      <c r="M88" s="1801"/>
      <c r="N88" s="1801"/>
      <c r="O88" s="1801"/>
      <c r="P88" s="1801"/>
      <c r="Q88" s="1801"/>
      <c r="R88" s="1801"/>
      <c r="S88" s="1801"/>
      <c r="T88" s="1801"/>
      <c r="V88" s="1801"/>
      <c r="W88" s="1801"/>
      <c r="X88" s="1886"/>
      <c r="Y88" s="1886"/>
      <c r="Z88" s="1801"/>
      <c r="AA88" s="1801"/>
      <c r="AB88" s="1801"/>
      <c r="AC88" s="1801"/>
      <c r="AD88" s="1801"/>
      <c r="AE88" s="1801"/>
      <c r="AF88" s="1801"/>
      <c r="AG88" s="1801"/>
      <c r="AH88" s="1801"/>
      <c r="AI88" s="1801"/>
      <c r="AJ88" s="1801"/>
      <c r="AK88" s="1801"/>
      <c r="AL88" s="1801"/>
      <c r="AM88" s="1801"/>
      <c r="AN88" s="1801"/>
      <c r="AO88" s="1801"/>
      <c r="AP88" s="1801"/>
      <c r="AQ88" s="1801"/>
      <c r="AR88" s="1801"/>
      <c r="AS88" s="1801"/>
      <c r="AT88" s="1801"/>
      <c r="AV88" s="1801"/>
      <c r="AW88" s="1801"/>
      <c r="AX88" s="1801"/>
      <c r="AY88" s="1801"/>
      <c r="AZ88" s="1801"/>
      <c r="BA88" s="1801"/>
      <c r="BB88" s="1801"/>
      <c r="BC88" s="1801"/>
      <c r="BD88" s="1801"/>
      <c r="BE88" s="1801"/>
      <c r="BF88" s="1801"/>
      <c r="BG88" s="1801"/>
      <c r="BH88" s="1801"/>
      <c r="BI88" s="1801"/>
      <c r="BJ88" s="1801"/>
      <c r="BK88" s="1801"/>
      <c r="BL88" s="1801"/>
      <c r="BM88" s="1801"/>
      <c r="BN88" s="1801"/>
      <c r="BO88" s="1801"/>
      <c r="BQ88" s="1801"/>
      <c r="BR88" s="1801"/>
      <c r="BS88" s="1801"/>
      <c r="BU88" s="1801"/>
      <c r="BV88" s="1801"/>
    </row>
    <row r="89" spans="2:74">
      <c r="G89" s="1801"/>
      <c r="H89" s="1801"/>
      <c r="I89" s="1801"/>
      <c r="J89" s="1801"/>
      <c r="K89" s="1801"/>
      <c r="L89" s="1944"/>
      <c r="M89" s="1801"/>
      <c r="N89" s="1801"/>
      <c r="O89" s="1801"/>
      <c r="P89" s="1801"/>
      <c r="Q89" s="1801"/>
      <c r="R89" s="1801"/>
      <c r="S89" s="1801"/>
      <c r="T89" s="1801"/>
      <c r="V89" s="1801"/>
      <c r="W89" s="1801"/>
      <c r="X89" s="1886"/>
      <c r="Y89" s="1886"/>
      <c r="Z89" s="1801"/>
      <c r="AA89" s="1801"/>
      <c r="AB89" s="1801"/>
      <c r="AC89" s="1801"/>
      <c r="AD89" s="1801"/>
      <c r="AE89" s="1801"/>
      <c r="AF89" s="1801"/>
      <c r="AG89" s="1801"/>
      <c r="AH89" s="1801"/>
      <c r="AI89" s="1801"/>
      <c r="AJ89" s="1801"/>
      <c r="AK89" s="1801"/>
      <c r="AL89" s="1801"/>
      <c r="AM89" s="1801"/>
      <c r="AN89" s="1801"/>
      <c r="AO89" s="1801"/>
      <c r="AP89" s="1801"/>
      <c r="AQ89" s="1801"/>
      <c r="AR89" s="1801"/>
      <c r="AS89" s="1801"/>
      <c r="AT89" s="1801"/>
      <c r="AV89" s="1801"/>
      <c r="AW89" s="1801"/>
      <c r="AX89" s="1801"/>
      <c r="AY89" s="1801"/>
      <c r="AZ89" s="1801"/>
      <c r="BA89" s="1801"/>
      <c r="BB89" s="1801"/>
      <c r="BC89" s="1801"/>
      <c r="BD89" s="1801"/>
      <c r="BE89" s="1801"/>
      <c r="BF89" s="1801"/>
      <c r="BG89" s="1801"/>
      <c r="BH89" s="1801"/>
      <c r="BI89" s="1801"/>
      <c r="BJ89" s="1801"/>
      <c r="BK89" s="1801"/>
      <c r="BL89" s="1801"/>
      <c r="BM89" s="1801"/>
      <c r="BN89" s="1801"/>
      <c r="BO89" s="1801"/>
      <c r="BQ89" s="1801"/>
      <c r="BR89" s="1801"/>
      <c r="BS89" s="1801"/>
      <c r="BU89" s="1801"/>
      <c r="BV89" s="1801"/>
    </row>
    <row r="90" spans="2:74">
      <c r="G90" s="1801"/>
      <c r="H90" s="1801"/>
      <c r="I90" s="1801"/>
      <c r="J90" s="1801"/>
      <c r="K90" s="1801"/>
      <c r="L90" s="1944"/>
      <c r="M90" s="1801"/>
      <c r="N90" s="1801"/>
      <c r="O90" s="1801"/>
      <c r="P90" s="1801"/>
      <c r="Q90" s="1801"/>
      <c r="R90" s="1801"/>
      <c r="S90" s="1801"/>
      <c r="T90" s="1801"/>
      <c r="V90" s="1801"/>
      <c r="W90" s="1801"/>
      <c r="X90" s="1886"/>
      <c r="Y90" s="1886"/>
      <c r="Z90" s="1801"/>
      <c r="AA90" s="1801"/>
      <c r="AB90" s="1801"/>
      <c r="AC90" s="1801"/>
      <c r="AD90" s="1801"/>
      <c r="AE90" s="1801"/>
      <c r="AF90" s="1801"/>
      <c r="AG90" s="1801"/>
      <c r="AH90" s="1801"/>
      <c r="AI90" s="1801"/>
      <c r="AJ90" s="1801"/>
      <c r="AK90" s="1801"/>
      <c r="AL90" s="1801"/>
      <c r="AM90" s="1801"/>
      <c r="AN90" s="1801"/>
      <c r="AO90" s="1801"/>
      <c r="AP90" s="1801"/>
      <c r="AQ90" s="1801"/>
      <c r="AR90" s="1801"/>
      <c r="AS90" s="1801"/>
      <c r="AT90" s="1801"/>
      <c r="AV90" s="1801"/>
      <c r="AW90" s="1801"/>
      <c r="AX90" s="1801"/>
      <c r="AY90" s="1801"/>
      <c r="AZ90" s="1801"/>
      <c r="BA90" s="1801"/>
      <c r="BB90" s="1801"/>
      <c r="BC90" s="1801"/>
      <c r="BD90" s="1801"/>
      <c r="BE90" s="1801"/>
      <c r="BF90" s="1801"/>
      <c r="BG90" s="1801"/>
      <c r="BH90" s="1801"/>
      <c r="BI90" s="1801"/>
      <c r="BJ90" s="1801"/>
      <c r="BK90" s="1801"/>
      <c r="BL90" s="1801"/>
      <c r="BM90" s="1801"/>
      <c r="BN90" s="1801"/>
      <c r="BO90" s="1801"/>
      <c r="BQ90" s="1801"/>
      <c r="BR90" s="1801"/>
      <c r="BS90" s="1801"/>
      <c r="BU90" s="1801"/>
      <c r="BV90" s="1801"/>
    </row>
    <row r="91" spans="2:74">
      <c r="G91" s="1801"/>
      <c r="H91" s="1801"/>
      <c r="I91" s="1801"/>
      <c r="J91" s="1801"/>
      <c r="K91" s="1801"/>
      <c r="L91" s="1944"/>
      <c r="M91" s="1801"/>
      <c r="N91" s="1801"/>
      <c r="O91" s="1801"/>
      <c r="P91" s="1801"/>
      <c r="Q91" s="1801"/>
      <c r="R91" s="1801"/>
      <c r="S91" s="1801"/>
      <c r="T91" s="1801"/>
      <c r="V91" s="1801"/>
      <c r="W91" s="1801"/>
      <c r="X91" s="1886"/>
      <c r="Y91" s="1886"/>
      <c r="Z91" s="1801"/>
      <c r="AA91" s="1801"/>
      <c r="AB91" s="1801"/>
      <c r="AC91" s="1801"/>
      <c r="AD91" s="1801"/>
      <c r="AE91" s="1801"/>
      <c r="AF91" s="1801"/>
      <c r="AG91" s="1801"/>
      <c r="AH91" s="1801"/>
      <c r="AI91" s="1801"/>
      <c r="AJ91" s="1801"/>
      <c r="AK91" s="1801"/>
      <c r="AL91" s="1801"/>
      <c r="AM91" s="1801"/>
      <c r="AN91" s="1801"/>
      <c r="AO91" s="1801"/>
      <c r="AP91" s="1801"/>
      <c r="AQ91" s="1801"/>
      <c r="AR91" s="1801"/>
      <c r="AS91" s="1801"/>
      <c r="AT91" s="1801"/>
      <c r="AV91" s="1801"/>
      <c r="AW91" s="1801"/>
      <c r="AX91" s="1801"/>
      <c r="AY91" s="1801"/>
      <c r="AZ91" s="1801"/>
      <c r="BA91" s="1801"/>
      <c r="BB91" s="1801"/>
      <c r="BC91" s="1801"/>
      <c r="BD91" s="1801"/>
      <c r="BE91" s="1801"/>
      <c r="BF91" s="1801"/>
      <c r="BG91" s="1801"/>
      <c r="BH91" s="1801"/>
      <c r="BI91" s="1801"/>
      <c r="BJ91" s="1801"/>
      <c r="BK91" s="1801"/>
      <c r="BL91" s="1801"/>
      <c r="BM91" s="1801"/>
      <c r="BN91" s="1801"/>
      <c r="BO91" s="1801"/>
      <c r="BQ91" s="1801"/>
      <c r="BR91" s="1801"/>
      <c r="BS91" s="1801"/>
      <c r="BU91" s="1801"/>
      <c r="BV91" s="1801"/>
    </row>
    <row r="92" spans="2:74">
      <c r="G92" s="1801"/>
      <c r="H92" s="1801"/>
      <c r="I92" s="1801"/>
      <c r="J92" s="1801"/>
      <c r="K92" s="1801"/>
      <c r="L92" s="1944"/>
      <c r="M92" s="1801"/>
      <c r="N92" s="1801"/>
      <c r="O92" s="1801"/>
      <c r="P92" s="1801"/>
      <c r="Q92" s="1801"/>
      <c r="R92" s="1801"/>
      <c r="S92" s="1801"/>
      <c r="T92" s="1801"/>
      <c r="V92" s="1801"/>
      <c r="W92" s="1801"/>
      <c r="X92" s="1886"/>
      <c r="Y92" s="1886"/>
      <c r="Z92" s="1801"/>
      <c r="AA92" s="1801"/>
      <c r="AB92" s="1801"/>
      <c r="AC92" s="1801"/>
      <c r="AD92" s="1801"/>
      <c r="AE92" s="1801"/>
      <c r="AF92" s="1801"/>
      <c r="AG92" s="1801"/>
      <c r="AH92" s="1801"/>
      <c r="AI92" s="1801"/>
      <c r="AJ92" s="1801"/>
      <c r="AK92" s="1801"/>
      <c r="AL92" s="1801"/>
      <c r="AM92" s="1801"/>
      <c r="AN92" s="1801"/>
      <c r="AO92" s="1801"/>
      <c r="AP92" s="1801"/>
      <c r="AQ92" s="1801"/>
      <c r="AR92" s="1801"/>
      <c r="AS92" s="1801"/>
      <c r="AT92" s="1801"/>
      <c r="AV92" s="1801"/>
      <c r="AW92" s="1801"/>
      <c r="AX92" s="1801"/>
      <c r="AY92" s="1801"/>
      <c r="AZ92" s="1801"/>
      <c r="BA92" s="1801"/>
      <c r="BB92" s="1801"/>
      <c r="BC92" s="1801"/>
      <c r="BD92" s="1801"/>
      <c r="BE92" s="1801"/>
      <c r="BF92" s="1801"/>
      <c r="BG92" s="1801"/>
      <c r="BH92" s="1801"/>
      <c r="BI92" s="1801"/>
      <c r="BJ92" s="1801"/>
      <c r="BK92" s="1801"/>
      <c r="BL92" s="1801"/>
      <c r="BM92" s="1801"/>
      <c r="BN92" s="1801"/>
      <c r="BO92" s="1801"/>
      <c r="BQ92" s="1801"/>
      <c r="BR92" s="1801"/>
      <c r="BS92" s="1801"/>
      <c r="BU92" s="1801"/>
      <c r="BV92" s="1801"/>
    </row>
    <row r="93" spans="2:74">
      <c r="G93" s="1801"/>
      <c r="H93" s="1801"/>
      <c r="I93" s="1801"/>
      <c r="J93" s="1801"/>
      <c r="K93" s="1801"/>
      <c r="L93" s="1944"/>
      <c r="M93" s="1801"/>
      <c r="N93" s="1801"/>
      <c r="O93" s="1801"/>
      <c r="P93" s="1801"/>
      <c r="Q93" s="1801"/>
      <c r="R93" s="1801"/>
      <c r="S93" s="1801"/>
      <c r="T93" s="1801"/>
      <c r="V93" s="1801"/>
      <c r="W93" s="1801"/>
      <c r="X93" s="1886"/>
      <c r="Y93" s="1886"/>
      <c r="Z93" s="1801"/>
      <c r="AA93" s="1801"/>
      <c r="AB93" s="1801"/>
      <c r="AC93" s="1801"/>
      <c r="AD93" s="1801"/>
      <c r="AE93" s="1801"/>
      <c r="AF93" s="1801"/>
      <c r="AG93" s="1801"/>
      <c r="AH93" s="1801"/>
      <c r="AI93" s="1801"/>
      <c r="AJ93" s="1801"/>
      <c r="AK93" s="1801"/>
      <c r="AL93" s="1801"/>
      <c r="AM93" s="1801"/>
      <c r="AN93" s="1801"/>
      <c r="AO93" s="1801"/>
      <c r="AP93" s="1801"/>
      <c r="AQ93" s="1801"/>
      <c r="AR93" s="1801"/>
      <c r="AS93" s="1801"/>
      <c r="AT93" s="1801"/>
      <c r="AV93" s="1801"/>
      <c r="AW93" s="1801"/>
      <c r="AX93" s="1801"/>
      <c r="AY93" s="1801"/>
      <c r="AZ93" s="1801"/>
      <c r="BA93" s="1801"/>
      <c r="BB93" s="1801"/>
      <c r="BC93" s="1801"/>
      <c r="BD93" s="1801"/>
      <c r="BE93" s="1801"/>
      <c r="BF93" s="1801"/>
      <c r="BG93" s="1801"/>
      <c r="BH93" s="1801"/>
      <c r="BI93" s="1801"/>
      <c r="BJ93" s="1801"/>
      <c r="BK93" s="1801"/>
      <c r="BL93" s="1801"/>
      <c r="BM93" s="1801"/>
      <c r="BN93" s="1801"/>
      <c r="BO93" s="1801"/>
      <c r="BQ93" s="1801"/>
      <c r="BR93" s="1801"/>
      <c r="BS93" s="1801"/>
      <c r="BU93" s="1801"/>
      <c r="BV93" s="1801"/>
    </row>
    <row r="94" spans="2:74">
      <c r="G94" s="1801"/>
      <c r="H94" s="1801"/>
      <c r="I94" s="1801"/>
      <c r="J94" s="1801"/>
      <c r="K94" s="1801"/>
      <c r="L94" s="1944"/>
      <c r="M94" s="1801"/>
      <c r="N94" s="1801"/>
      <c r="O94" s="1801"/>
      <c r="P94" s="1801"/>
      <c r="Q94" s="1801"/>
      <c r="R94" s="1801"/>
      <c r="S94" s="1801"/>
      <c r="T94" s="1801"/>
      <c r="V94" s="1801"/>
      <c r="W94" s="1801"/>
      <c r="X94" s="1886"/>
      <c r="Y94" s="1886"/>
      <c r="Z94" s="1801"/>
      <c r="AA94" s="1801"/>
      <c r="AB94" s="1801"/>
      <c r="AC94" s="1801"/>
      <c r="AD94" s="1801"/>
      <c r="AE94" s="1801"/>
      <c r="AF94" s="1801"/>
      <c r="AG94" s="1801"/>
      <c r="AH94" s="1801"/>
      <c r="AI94" s="1801"/>
      <c r="AJ94" s="1801"/>
      <c r="AK94" s="1801"/>
      <c r="AL94" s="1801"/>
      <c r="AM94" s="1801"/>
      <c r="AN94" s="1801"/>
      <c r="AO94" s="1801"/>
      <c r="AP94" s="1801"/>
      <c r="AQ94" s="1801"/>
      <c r="AR94" s="1801"/>
      <c r="AS94" s="1801"/>
      <c r="AT94" s="1801"/>
      <c r="AV94" s="1801"/>
      <c r="AW94" s="1801"/>
      <c r="AX94" s="1801"/>
      <c r="AY94" s="1801"/>
      <c r="AZ94" s="1801"/>
      <c r="BA94" s="1801"/>
      <c r="BB94" s="1801"/>
      <c r="BC94" s="1801"/>
      <c r="BD94" s="1801"/>
      <c r="BE94" s="1801"/>
      <c r="BF94" s="1801"/>
      <c r="BG94" s="1801"/>
      <c r="BH94" s="1801"/>
      <c r="BI94" s="1801"/>
      <c r="BJ94" s="1801"/>
      <c r="BK94" s="1801"/>
      <c r="BL94" s="1801"/>
      <c r="BM94" s="1801"/>
      <c r="BN94" s="1801"/>
      <c r="BO94" s="1801"/>
      <c r="BQ94" s="1801"/>
      <c r="BR94" s="1801"/>
      <c r="BS94" s="1801"/>
      <c r="BU94" s="1801"/>
      <c r="BV94" s="1801"/>
    </row>
    <row r="95" spans="2:74">
      <c r="G95" s="1801"/>
      <c r="H95" s="1801"/>
      <c r="I95" s="1801"/>
      <c r="J95" s="1801"/>
      <c r="K95" s="1801"/>
      <c r="L95" s="1944"/>
      <c r="M95" s="1801"/>
      <c r="N95" s="1801"/>
      <c r="O95" s="1801"/>
      <c r="P95" s="1801"/>
      <c r="Q95" s="1801"/>
      <c r="R95" s="1801"/>
      <c r="S95" s="1801"/>
      <c r="T95" s="1801"/>
      <c r="V95" s="1801"/>
      <c r="W95" s="1801"/>
      <c r="X95" s="1886"/>
      <c r="Y95" s="1886"/>
      <c r="Z95" s="1801"/>
      <c r="AA95" s="1801"/>
      <c r="AB95" s="1801"/>
      <c r="AC95" s="1801"/>
      <c r="AD95" s="1801"/>
      <c r="AE95" s="1801"/>
      <c r="AF95" s="1801"/>
      <c r="AG95" s="1801"/>
      <c r="AH95" s="1801"/>
      <c r="AI95" s="1801"/>
      <c r="AJ95" s="1801"/>
      <c r="AK95" s="1801"/>
      <c r="AL95" s="1801"/>
      <c r="AM95" s="1801"/>
      <c r="AN95" s="1801"/>
      <c r="AO95" s="1801"/>
      <c r="AP95" s="1801"/>
      <c r="AQ95" s="1801"/>
      <c r="AR95" s="1801"/>
      <c r="AS95" s="1801"/>
      <c r="AT95" s="1801"/>
      <c r="AV95" s="1801"/>
      <c r="AW95" s="1801"/>
      <c r="AX95" s="1801"/>
      <c r="AY95" s="1801"/>
      <c r="AZ95" s="1801"/>
      <c r="BA95" s="1801"/>
      <c r="BB95" s="1801"/>
      <c r="BC95" s="1801"/>
      <c r="BD95" s="1801"/>
      <c r="BE95" s="1801"/>
      <c r="BF95" s="1801"/>
      <c r="BG95" s="1801"/>
      <c r="BH95" s="1801"/>
      <c r="BI95" s="1801"/>
      <c r="BJ95" s="1801"/>
      <c r="BK95" s="1801"/>
      <c r="BL95" s="1801"/>
      <c r="BM95" s="1801"/>
      <c r="BN95" s="1801"/>
      <c r="BO95" s="1801"/>
      <c r="BQ95" s="1801"/>
      <c r="BR95" s="1801"/>
      <c r="BS95" s="1801"/>
      <c r="BU95" s="1801"/>
      <c r="BV95" s="1801"/>
    </row>
    <row r="96" spans="2:74">
      <c r="G96" s="1801"/>
      <c r="H96" s="1801"/>
      <c r="I96" s="1801"/>
      <c r="J96" s="1801"/>
      <c r="K96" s="1801"/>
      <c r="L96" s="1944"/>
      <c r="M96" s="1801"/>
      <c r="N96" s="1801"/>
      <c r="O96" s="1801"/>
      <c r="P96" s="1801"/>
      <c r="Q96" s="1801"/>
      <c r="R96" s="1801"/>
      <c r="S96" s="1801"/>
      <c r="T96" s="1801"/>
      <c r="V96" s="1801"/>
      <c r="W96" s="1801"/>
      <c r="X96" s="1886"/>
      <c r="Y96" s="1886"/>
      <c r="Z96" s="1801"/>
      <c r="AA96" s="1801"/>
      <c r="AB96" s="1801"/>
      <c r="AC96" s="1801"/>
      <c r="AD96" s="1801"/>
      <c r="AE96" s="1801"/>
      <c r="AF96" s="1801"/>
      <c r="AG96" s="1801"/>
      <c r="AH96" s="1801"/>
      <c r="AI96" s="1801"/>
      <c r="AJ96" s="1801"/>
      <c r="AK96" s="1801"/>
      <c r="AL96" s="1801"/>
      <c r="AM96" s="1801"/>
      <c r="AN96" s="1801"/>
      <c r="AO96" s="1801"/>
      <c r="AP96" s="1801"/>
      <c r="AQ96" s="1801"/>
      <c r="AR96" s="1801"/>
      <c r="AS96" s="1801"/>
      <c r="AT96" s="1801"/>
      <c r="AV96" s="1801"/>
      <c r="AW96" s="1801"/>
      <c r="AX96" s="1801"/>
      <c r="AY96" s="1801"/>
      <c r="AZ96" s="1801"/>
      <c r="BA96" s="1801"/>
      <c r="BB96" s="1801"/>
      <c r="BC96" s="1801"/>
      <c r="BD96" s="1801"/>
      <c r="BE96" s="1801"/>
      <c r="BF96" s="1801"/>
      <c r="BG96" s="1801"/>
      <c r="BH96" s="1801"/>
      <c r="BI96" s="1801"/>
      <c r="BJ96" s="1801"/>
      <c r="BK96" s="1801"/>
      <c r="BL96" s="1801"/>
      <c r="BM96" s="1801"/>
      <c r="BN96" s="1801"/>
      <c r="BO96" s="1801"/>
      <c r="BQ96" s="1801"/>
      <c r="BR96" s="1801"/>
      <c r="BS96" s="1801"/>
      <c r="BU96" s="1801"/>
      <c r="BV96" s="1801"/>
    </row>
    <row r="97" spans="7:74">
      <c r="G97" s="1801"/>
      <c r="H97" s="1801"/>
      <c r="I97" s="1801"/>
      <c r="J97" s="1801"/>
      <c r="K97" s="1801"/>
      <c r="L97" s="1944"/>
      <c r="M97" s="1801"/>
      <c r="N97" s="1801"/>
      <c r="O97" s="1801"/>
      <c r="P97" s="1801"/>
      <c r="Q97" s="1801"/>
      <c r="R97" s="1801"/>
      <c r="S97" s="1801"/>
      <c r="T97" s="1801"/>
      <c r="V97" s="1801"/>
      <c r="W97" s="1801"/>
      <c r="X97" s="1886"/>
      <c r="Y97" s="1886"/>
      <c r="Z97" s="1801"/>
      <c r="AA97" s="1801"/>
      <c r="AB97" s="1801"/>
      <c r="AC97" s="1801"/>
      <c r="AD97" s="1801"/>
      <c r="AE97" s="1801"/>
      <c r="AF97" s="1801"/>
      <c r="AG97" s="1801"/>
      <c r="AH97" s="1801"/>
      <c r="AI97" s="1801"/>
      <c r="AJ97" s="1801"/>
      <c r="AK97" s="1801"/>
      <c r="AL97" s="1801"/>
      <c r="AM97" s="1801"/>
      <c r="AN97" s="1801"/>
      <c r="AO97" s="1801"/>
      <c r="AP97" s="1801"/>
      <c r="AQ97" s="1801"/>
      <c r="AR97" s="1801"/>
      <c r="AS97" s="1801"/>
      <c r="AT97" s="1801"/>
      <c r="AV97" s="1801"/>
      <c r="AW97" s="1801"/>
      <c r="AX97" s="1801"/>
      <c r="AY97" s="1801"/>
      <c r="AZ97" s="1801"/>
      <c r="BA97" s="1801"/>
      <c r="BB97" s="1801"/>
      <c r="BC97" s="1801"/>
      <c r="BD97" s="1801"/>
      <c r="BE97" s="1801"/>
      <c r="BF97" s="1801"/>
      <c r="BG97" s="1801"/>
      <c r="BH97" s="1801"/>
      <c r="BI97" s="1801"/>
      <c r="BJ97" s="1801"/>
      <c r="BK97" s="1801"/>
      <c r="BL97" s="1801"/>
      <c r="BM97" s="1801"/>
      <c r="BN97" s="1801"/>
      <c r="BO97" s="1801"/>
      <c r="BQ97" s="1801"/>
      <c r="BR97" s="1801"/>
      <c r="BS97" s="1801"/>
      <c r="BU97" s="1801"/>
      <c r="BV97" s="1801"/>
    </row>
    <row r="98" spans="7:74">
      <c r="G98" s="1801"/>
      <c r="H98" s="1801"/>
      <c r="I98" s="1801"/>
      <c r="J98" s="1801"/>
      <c r="K98" s="1801"/>
      <c r="L98" s="1944"/>
      <c r="M98" s="1801"/>
      <c r="N98" s="1801"/>
      <c r="O98" s="1801"/>
      <c r="P98" s="1801"/>
      <c r="Q98" s="1801"/>
      <c r="R98" s="1801"/>
      <c r="S98" s="1801"/>
      <c r="T98" s="1801"/>
      <c r="V98" s="1801"/>
      <c r="W98" s="1801"/>
      <c r="X98" s="1886"/>
      <c r="Y98" s="1886"/>
      <c r="Z98" s="1801"/>
      <c r="AA98" s="1801"/>
      <c r="AB98" s="1801"/>
      <c r="AC98" s="1801"/>
      <c r="AD98" s="1801"/>
      <c r="AE98" s="1801"/>
      <c r="AF98" s="1801"/>
      <c r="AG98" s="1801"/>
      <c r="AH98" s="1801"/>
      <c r="AI98" s="1801"/>
      <c r="AJ98" s="1801"/>
      <c r="AK98" s="1801"/>
      <c r="AL98" s="1801"/>
      <c r="AM98" s="1801"/>
      <c r="AN98" s="1801"/>
      <c r="AO98" s="1801"/>
      <c r="AP98" s="1801"/>
      <c r="AQ98" s="1801"/>
      <c r="AR98" s="1801"/>
      <c r="AS98" s="1801"/>
      <c r="AT98" s="1801"/>
      <c r="AV98" s="1801"/>
      <c r="AW98" s="1801"/>
      <c r="AX98" s="1801"/>
      <c r="AY98" s="1801"/>
      <c r="AZ98" s="1801"/>
      <c r="BA98" s="1801"/>
      <c r="BB98" s="1801"/>
      <c r="BC98" s="1801"/>
      <c r="BD98" s="1801"/>
      <c r="BE98" s="1801"/>
      <c r="BF98" s="1801"/>
      <c r="BG98" s="1801"/>
      <c r="BH98" s="1801"/>
      <c r="BI98" s="1801"/>
      <c r="BJ98" s="1801"/>
      <c r="BK98" s="1801"/>
      <c r="BL98" s="1801"/>
      <c r="BM98" s="1801"/>
      <c r="BN98" s="1801"/>
      <c r="BO98" s="1801"/>
      <c r="BQ98" s="1801"/>
      <c r="BR98" s="1801"/>
      <c r="BS98" s="1801"/>
      <c r="BU98" s="1801"/>
      <c r="BV98" s="1801"/>
    </row>
    <row r="99" spans="7:74">
      <c r="G99" s="1801"/>
      <c r="H99" s="1801"/>
      <c r="I99" s="1801"/>
      <c r="J99" s="1801"/>
      <c r="K99" s="1801"/>
      <c r="L99" s="1944"/>
      <c r="M99" s="1801"/>
      <c r="N99" s="1801"/>
      <c r="O99" s="1801"/>
      <c r="P99" s="1801"/>
      <c r="Q99" s="1801"/>
      <c r="R99" s="1801"/>
      <c r="S99" s="1801"/>
      <c r="T99" s="1801"/>
      <c r="V99" s="1801"/>
      <c r="W99" s="1801"/>
      <c r="X99" s="1886"/>
      <c r="Y99" s="1886"/>
      <c r="Z99" s="1801"/>
      <c r="AA99" s="1801"/>
      <c r="AB99" s="1801"/>
      <c r="AC99" s="1801"/>
      <c r="AD99" s="1801"/>
      <c r="AE99" s="1801"/>
      <c r="AF99" s="1801"/>
      <c r="AG99" s="1801"/>
      <c r="AH99" s="1801"/>
      <c r="AI99" s="1801"/>
      <c r="AJ99" s="1801"/>
      <c r="AK99" s="1801"/>
      <c r="AL99" s="1801"/>
      <c r="AM99" s="1801"/>
      <c r="AN99" s="1801"/>
      <c r="AO99" s="1801"/>
      <c r="AP99" s="1801"/>
      <c r="AQ99" s="1801"/>
      <c r="AR99" s="1801"/>
      <c r="AS99" s="1801"/>
      <c r="AT99" s="1801"/>
      <c r="AV99" s="1801"/>
      <c r="AW99" s="1801"/>
      <c r="AX99" s="1801"/>
      <c r="AY99" s="1801"/>
      <c r="AZ99" s="1801"/>
      <c r="BA99" s="1801"/>
      <c r="BB99" s="1801"/>
      <c r="BC99" s="1801"/>
      <c r="BD99" s="1801"/>
      <c r="BE99" s="1801"/>
      <c r="BF99" s="1801"/>
      <c r="BG99" s="1801"/>
      <c r="BH99" s="1801"/>
      <c r="BI99" s="1801"/>
      <c r="BJ99" s="1801"/>
      <c r="BK99" s="1801"/>
      <c r="BL99" s="1801"/>
      <c r="BM99" s="1801"/>
      <c r="BN99" s="1801"/>
      <c r="BO99" s="1801"/>
      <c r="BQ99" s="1801"/>
      <c r="BR99" s="1801"/>
      <c r="BS99" s="1801"/>
      <c r="BU99" s="1801"/>
      <c r="BV99" s="1801"/>
    </row>
    <row r="100" spans="7:74">
      <c r="G100" s="1801"/>
      <c r="H100" s="1801"/>
      <c r="I100" s="1801"/>
      <c r="J100" s="1801"/>
      <c r="K100" s="1801"/>
      <c r="L100" s="1944"/>
      <c r="M100" s="1801"/>
      <c r="N100" s="1801"/>
      <c r="O100" s="1801"/>
      <c r="P100" s="1801"/>
      <c r="Q100" s="1801"/>
      <c r="R100" s="1801"/>
      <c r="S100" s="1801"/>
      <c r="T100" s="1801"/>
      <c r="V100" s="1801"/>
      <c r="W100" s="1801"/>
      <c r="X100" s="1886"/>
      <c r="Y100" s="1886"/>
      <c r="Z100" s="1801"/>
      <c r="AA100" s="1801"/>
      <c r="AB100" s="1801"/>
      <c r="AC100" s="1801"/>
      <c r="AD100" s="1801"/>
      <c r="AE100" s="1801"/>
      <c r="AF100" s="1801"/>
      <c r="AG100" s="1801"/>
      <c r="AH100" s="1801"/>
      <c r="AI100" s="1801"/>
      <c r="AJ100" s="1801"/>
      <c r="AK100" s="1801"/>
      <c r="AL100" s="1801"/>
      <c r="AM100" s="1801"/>
      <c r="AN100" s="1801"/>
      <c r="AO100" s="1801"/>
      <c r="AP100" s="1801"/>
      <c r="AQ100" s="1801"/>
      <c r="AR100" s="1801"/>
      <c r="AS100" s="1801"/>
      <c r="AT100" s="1801"/>
      <c r="AV100" s="1801"/>
      <c r="AW100" s="1801"/>
      <c r="AX100" s="1801"/>
      <c r="AY100" s="1801"/>
      <c r="AZ100" s="1801"/>
      <c r="BA100" s="1801"/>
      <c r="BB100" s="1801"/>
      <c r="BC100" s="1801"/>
      <c r="BD100" s="1801"/>
      <c r="BE100" s="1801"/>
      <c r="BF100" s="1801"/>
      <c r="BG100" s="1801"/>
      <c r="BH100" s="1801"/>
      <c r="BI100" s="1801"/>
      <c r="BJ100" s="1801"/>
      <c r="BK100" s="1801"/>
      <c r="BL100" s="1801"/>
      <c r="BM100" s="1801"/>
      <c r="BN100" s="1801"/>
      <c r="BO100" s="1801"/>
      <c r="BQ100" s="1801"/>
      <c r="BR100" s="1801"/>
      <c r="BS100" s="1801"/>
      <c r="BU100" s="1801"/>
      <c r="BV100" s="1801"/>
    </row>
    <row r="101" spans="7:74">
      <c r="G101" s="1801"/>
      <c r="H101" s="1801"/>
      <c r="I101" s="1801"/>
      <c r="J101" s="1801"/>
      <c r="K101" s="1801"/>
      <c r="L101" s="1944"/>
      <c r="M101" s="1801"/>
      <c r="N101" s="1801"/>
      <c r="O101" s="1801"/>
      <c r="P101" s="1801"/>
      <c r="Q101" s="1801"/>
      <c r="R101" s="1801"/>
      <c r="S101" s="1801"/>
      <c r="T101" s="1801"/>
      <c r="V101" s="1801"/>
      <c r="W101" s="1801"/>
      <c r="X101" s="1886"/>
      <c r="Y101" s="1886"/>
      <c r="Z101" s="1801"/>
      <c r="AA101" s="1801"/>
      <c r="AB101" s="1801"/>
      <c r="AC101" s="1801"/>
      <c r="AD101" s="1801"/>
      <c r="AE101" s="1801"/>
      <c r="AF101" s="1801"/>
      <c r="AG101" s="1801"/>
      <c r="AH101" s="1801"/>
      <c r="AI101" s="1801"/>
      <c r="AJ101" s="1801"/>
      <c r="AK101" s="1801"/>
      <c r="AL101" s="1801"/>
      <c r="AM101" s="1801"/>
      <c r="AN101" s="1801"/>
      <c r="AO101" s="1801"/>
      <c r="AP101" s="1801"/>
      <c r="AQ101" s="1801"/>
      <c r="AR101" s="1801"/>
      <c r="AS101" s="1801"/>
      <c r="AT101" s="1801"/>
      <c r="AV101" s="1801"/>
      <c r="AW101" s="1801"/>
      <c r="AX101" s="1801"/>
      <c r="AY101" s="1801"/>
      <c r="AZ101" s="1801"/>
      <c r="BA101" s="1801"/>
      <c r="BB101" s="1801"/>
      <c r="BC101" s="1801"/>
      <c r="BD101" s="1801"/>
      <c r="BE101" s="1801"/>
      <c r="BF101" s="1801"/>
      <c r="BG101" s="1801"/>
      <c r="BH101" s="1801"/>
      <c r="BI101" s="1801"/>
      <c r="BJ101" s="1801"/>
      <c r="BK101" s="1801"/>
      <c r="BL101" s="1801"/>
      <c r="BM101" s="1801"/>
      <c r="BN101" s="1801"/>
      <c r="BO101" s="1801"/>
      <c r="BQ101" s="1801"/>
      <c r="BR101" s="1801"/>
      <c r="BS101" s="1801"/>
      <c r="BU101" s="1801"/>
      <c r="BV101" s="1801"/>
    </row>
    <row r="102" spans="7:74">
      <c r="G102" s="1801"/>
      <c r="H102" s="1801"/>
      <c r="I102" s="1801"/>
      <c r="J102" s="1801"/>
      <c r="K102" s="1801"/>
      <c r="L102" s="1944"/>
      <c r="M102" s="1801"/>
      <c r="N102" s="1801"/>
      <c r="O102" s="1801"/>
      <c r="P102" s="1801"/>
      <c r="Q102" s="1801"/>
      <c r="R102" s="1801"/>
      <c r="S102" s="1801"/>
      <c r="T102" s="1801"/>
      <c r="V102" s="1801"/>
      <c r="W102" s="1801"/>
      <c r="X102" s="1886"/>
      <c r="Y102" s="1886"/>
      <c r="Z102" s="1801"/>
      <c r="AA102" s="1801"/>
      <c r="AB102" s="1801"/>
      <c r="AC102" s="1801"/>
      <c r="AD102" s="1801"/>
      <c r="AE102" s="1801"/>
      <c r="AF102" s="1801"/>
      <c r="AG102" s="1801"/>
      <c r="AH102" s="1801"/>
      <c r="AI102" s="1801"/>
      <c r="AJ102" s="1801"/>
      <c r="AK102" s="1801"/>
      <c r="AL102" s="1801"/>
      <c r="AM102" s="1801"/>
      <c r="AN102" s="1801"/>
      <c r="AO102" s="1801"/>
      <c r="AP102" s="1801"/>
      <c r="AQ102" s="1801"/>
      <c r="AR102" s="1801"/>
      <c r="AS102" s="1801"/>
      <c r="AT102" s="1801"/>
      <c r="AV102" s="1801"/>
      <c r="AW102" s="1801"/>
      <c r="AX102" s="1801"/>
      <c r="AY102" s="1801"/>
      <c r="AZ102" s="1801"/>
      <c r="BA102" s="1801"/>
      <c r="BB102" s="1801"/>
      <c r="BC102" s="1801"/>
      <c r="BD102" s="1801"/>
      <c r="BE102" s="1801"/>
      <c r="BF102" s="1801"/>
      <c r="BG102" s="1801"/>
      <c r="BH102" s="1801"/>
      <c r="BI102" s="1801"/>
      <c r="BJ102" s="1801"/>
      <c r="BK102" s="1801"/>
      <c r="BL102" s="1801"/>
      <c r="BM102" s="1801"/>
      <c r="BN102" s="1801"/>
      <c r="BO102" s="1801"/>
      <c r="BQ102" s="1801"/>
      <c r="BR102" s="1801"/>
      <c r="BS102" s="1801"/>
      <c r="BU102" s="1801"/>
      <c r="BV102" s="1801"/>
    </row>
    <row r="103" spans="7:74">
      <c r="G103" s="1801"/>
      <c r="H103" s="1801"/>
      <c r="I103" s="1801"/>
      <c r="J103" s="1801"/>
      <c r="K103" s="1801"/>
      <c r="L103" s="1944"/>
      <c r="M103" s="1801"/>
      <c r="N103" s="1801"/>
      <c r="O103" s="1801"/>
      <c r="P103" s="1801"/>
      <c r="Q103" s="1801"/>
      <c r="R103" s="1801"/>
      <c r="S103" s="1801"/>
      <c r="T103" s="1801"/>
      <c r="V103" s="1801"/>
      <c r="W103" s="1801"/>
      <c r="X103" s="1886"/>
      <c r="Y103" s="1886"/>
      <c r="Z103" s="1801"/>
      <c r="AA103" s="1801"/>
      <c r="AB103" s="1801"/>
      <c r="AC103" s="1801"/>
      <c r="AD103" s="1801"/>
      <c r="AE103" s="1801"/>
      <c r="AF103" s="1801"/>
      <c r="AG103" s="1801"/>
      <c r="AH103" s="1801"/>
      <c r="AI103" s="1801"/>
      <c r="AJ103" s="1801"/>
      <c r="AK103" s="1801"/>
      <c r="AL103" s="1801"/>
      <c r="AM103" s="1801"/>
      <c r="AN103" s="1801"/>
      <c r="AO103" s="1801"/>
      <c r="AP103" s="1801"/>
      <c r="AQ103" s="1801"/>
      <c r="AR103" s="1801"/>
      <c r="AS103" s="1801"/>
      <c r="AT103" s="1801"/>
      <c r="AV103" s="1801"/>
      <c r="AW103" s="1801"/>
      <c r="AX103" s="1801"/>
      <c r="AY103" s="1801"/>
      <c r="AZ103" s="1801"/>
      <c r="BA103" s="1801"/>
      <c r="BB103" s="1801"/>
      <c r="BC103" s="1801"/>
      <c r="BD103" s="1801"/>
      <c r="BE103" s="1801"/>
      <c r="BF103" s="1801"/>
      <c r="BG103" s="1801"/>
      <c r="BH103" s="1801"/>
      <c r="BI103" s="1801"/>
      <c r="BJ103" s="1801"/>
      <c r="BK103" s="1801"/>
      <c r="BL103" s="1801"/>
      <c r="BM103" s="1801"/>
      <c r="BN103" s="1801"/>
      <c r="BO103" s="1801"/>
      <c r="BQ103" s="1801"/>
      <c r="BR103" s="1801"/>
      <c r="BS103" s="1801"/>
      <c r="BU103" s="1801"/>
      <c r="BV103" s="1801"/>
    </row>
    <row r="104" spans="7:74">
      <c r="G104" s="1801"/>
      <c r="H104" s="1801"/>
      <c r="I104" s="1801"/>
      <c r="J104" s="1801"/>
      <c r="K104" s="1801"/>
      <c r="L104" s="1944"/>
      <c r="M104" s="1801"/>
      <c r="N104" s="1801"/>
      <c r="O104" s="1801"/>
      <c r="P104" s="1801"/>
      <c r="Q104" s="1801"/>
      <c r="R104" s="1801"/>
      <c r="S104" s="1801"/>
      <c r="T104" s="1801"/>
      <c r="V104" s="1801"/>
      <c r="W104" s="1801"/>
      <c r="X104" s="1886"/>
      <c r="Y104" s="1886"/>
      <c r="Z104" s="1801"/>
      <c r="AA104" s="1801"/>
      <c r="AB104" s="1801"/>
      <c r="AC104" s="1801"/>
      <c r="AD104" s="1801"/>
      <c r="AE104" s="1801"/>
      <c r="AF104" s="1801"/>
      <c r="AG104" s="1801"/>
      <c r="AH104" s="1801"/>
      <c r="AI104" s="1801"/>
      <c r="AJ104" s="1801"/>
      <c r="AK104" s="1801"/>
      <c r="AL104" s="1801"/>
      <c r="AM104" s="1801"/>
      <c r="AN104" s="1801"/>
      <c r="AO104" s="1801"/>
      <c r="AP104" s="1801"/>
      <c r="AQ104" s="1801"/>
      <c r="AR104" s="1801"/>
      <c r="AS104" s="1801"/>
      <c r="AT104" s="1801"/>
      <c r="AV104" s="1801"/>
      <c r="AW104" s="1801"/>
      <c r="AX104" s="1801"/>
      <c r="AY104" s="1801"/>
      <c r="AZ104" s="1801"/>
      <c r="BA104" s="1801"/>
      <c r="BB104" s="1801"/>
      <c r="BC104" s="1801"/>
      <c r="BD104" s="1801"/>
      <c r="BE104" s="1801"/>
      <c r="BF104" s="1801"/>
      <c r="BG104" s="1801"/>
      <c r="BH104" s="1801"/>
      <c r="BI104" s="1801"/>
      <c r="BJ104" s="1801"/>
      <c r="BK104" s="1801"/>
      <c r="BL104" s="1801"/>
      <c r="BM104" s="1801"/>
      <c r="BN104" s="1801"/>
      <c r="BO104" s="1801"/>
      <c r="BQ104" s="1801"/>
      <c r="BR104" s="1801"/>
      <c r="BS104" s="1801"/>
      <c r="BU104" s="1801"/>
      <c r="BV104" s="1801"/>
    </row>
    <row r="105" spans="7:74">
      <c r="G105" s="1801"/>
      <c r="H105" s="1801"/>
      <c r="I105" s="1801"/>
      <c r="J105" s="1801"/>
      <c r="K105" s="1801"/>
      <c r="L105" s="1944"/>
      <c r="M105" s="1801"/>
      <c r="N105" s="1801"/>
      <c r="O105" s="1801"/>
      <c r="P105" s="1801"/>
      <c r="Q105" s="1801"/>
      <c r="R105" s="1801"/>
      <c r="S105" s="1801"/>
      <c r="T105" s="1801"/>
      <c r="V105" s="1801"/>
      <c r="W105" s="1801"/>
      <c r="X105" s="1886"/>
      <c r="Y105" s="1886"/>
      <c r="Z105" s="1801"/>
      <c r="AA105" s="1801"/>
      <c r="AB105" s="1801"/>
      <c r="AC105" s="1801"/>
      <c r="AD105" s="1801"/>
      <c r="AE105" s="1801"/>
      <c r="AF105" s="1801"/>
      <c r="AG105" s="1801"/>
      <c r="AH105" s="1801"/>
      <c r="AI105" s="1801"/>
      <c r="AJ105" s="1801"/>
      <c r="AK105" s="1801"/>
      <c r="AL105" s="1801"/>
      <c r="AM105" s="1801"/>
      <c r="AN105" s="1801"/>
      <c r="AO105" s="1801"/>
      <c r="AP105" s="1801"/>
      <c r="AQ105" s="1801"/>
      <c r="AR105" s="1801"/>
      <c r="AS105" s="1801"/>
      <c r="AT105" s="1801"/>
      <c r="AV105" s="1801"/>
      <c r="AW105" s="1801"/>
      <c r="AX105" s="1801"/>
      <c r="AY105" s="1801"/>
      <c r="AZ105" s="1801"/>
      <c r="BA105" s="1801"/>
      <c r="BB105" s="1801"/>
      <c r="BC105" s="1801"/>
      <c r="BD105" s="1801"/>
      <c r="BE105" s="1801"/>
      <c r="BF105" s="1801"/>
      <c r="BG105" s="1801"/>
      <c r="BH105" s="1801"/>
      <c r="BI105" s="1801"/>
      <c r="BJ105" s="1801"/>
      <c r="BK105" s="1801"/>
      <c r="BL105" s="1801"/>
      <c r="BM105" s="1801"/>
      <c r="BN105" s="1801"/>
      <c r="BO105" s="1801"/>
      <c r="BQ105" s="1801"/>
      <c r="BR105" s="1801"/>
      <c r="BS105" s="1801"/>
      <c r="BU105" s="1801"/>
      <c r="BV105" s="1801"/>
    </row>
    <row r="106" spans="7:74">
      <c r="G106" s="1801"/>
      <c r="H106" s="1801"/>
      <c r="I106" s="1801"/>
      <c r="J106" s="1801"/>
      <c r="K106" s="1801"/>
      <c r="L106" s="1944"/>
      <c r="M106" s="1801"/>
      <c r="N106" s="1801"/>
      <c r="O106" s="1801"/>
      <c r="P106" s="1801"/>
      <c r="Q106" s="1801"/>
      <c r="R106" s="1801"/>
      <c r="S106" s="1801"/>
      <c r="T106" s="1801"/>
      <c r="V106" s="1801"/>
      <c r="W106" s="1801"/>
      <c r="X106" s="1886"/>
      <c r="Y106" s="1886"/>
      <c r="Z106" s="1801"/>
      <c r="AA106" s="1801"/>
      <c r="AB106" s="1801"/>
      <c r="AC106" s="1801"/>
      <c r="AD106" s="1801"/>
      <c r="AE106" s="1801"/>
      <c r="AF106" s="1801"/>
      <c r="AG106" s="1801"/>
      <c r="AH106" s="1801"/>
      <c r="AI106" s="1801"/>
      <c r="AJ106" s="1801"/>
      <c r="AK106" s="1801"/>
      <c r="AL106" s="1801"/>
      <c r="AM106" s="1801"/>
      <c r="AN106" s="1801"/>
      <c r="AO106" s="1801"/>
      <c r="AP106" s="1801"/>
      <c r="AQ106" s="1801"/>
      <c r="AR106" s="1801"/>
      <c r="AS106" s="1801"/>
      <c r="AT106" s="1801"/>
      <c r="AV106" s="1801"/>
      <c r="AW106" s="1801"/>
      <c r="AX106" s="1801"/>
      <c r="AY106" s="1801"/>
      <c r="AZ106" s="1801"/>
      <c r="BA106" s="1801"/>
      <c r="BB106" s="1801"/>
      <c r="BC106" s="1801"/>
      <c r="BD106" s="1801"/>
      <c r="BE106" s="1801"/>
      <c r="BF106" s="1801"/>
      <c r="BG106" s="1801"/>
      <c r="BH106" s="1801"/>
      <c r="BI106" s="1801"/>
      <c r="BJ106" s="1801"/>
      <c r="BK106" s="1801"/>
      <c r="BL106" s="1801"/>
      <c r="BM106" s="1801"/>
      <c r="BN106" s="1801"/>
      <c r="BO106" s="1801"/>
      <c r="BQ106" s="1801"/>
      <c r="BR106" s="1801"/>
      <c r="BS106" s="1801"/>
      <c r="BU106" s="1801"/>
      <c r="BV106" s="1801"/>
    </row>
    <row r="107" spans="7:74">
      <c r="G107" s="1801"/>
      <c r="H107" s="1801"/>
      <c r="I107" s="1801"/>
      <c r="J107" s="1801"/>
      <c r="K107" s="1801"/>
      <c r="L107" s="1944"/>
      <c r="M107" s="1801"/>
      <c r="N107" s="1801"/>
      <c r="O107" s="1801"/>
      <c r="P107" s="1801"/>
      <c r="Q107" s="1801"/>
      <c r="R107" s="1801"/>
      <c r="S107" s="1801"/>
      <c r="T107" s="1801"/>
      <c r="V107" s="1801"/>
      <c r="W107" s="1801"/>
      <c r="X107" s="1886"/>
      <c r="Y107" s="1886"/>
      <c r="Z107" s="1801"/>
      <c r="AA107" s="1801"/>
      <c r="AB107" s="1801"/>
      <c r="AC107" s="1801"/>
      <c r="AD107" s="1801"/>
      <c r="AE107" s="1801"/>
      <c r="AF107" s="1801"/>
      <c r="AG107" s="1801"/>
      <c r="AH107" s="1801"/>
      <c r="AI107" s="1801"/>
      <c r="AJ107" s="1801"/>
      <c r="AK107" s="1801"/>
      <c r="AL107" s="1801"/>
      <c r="AM107" s="1801"/>
      <c r="AN107" s="1801"/>
      <c r="AO107" s="1801"/>
      <c r="AP107" s="1801"/>
      <c r="AQ107" s="1801"/>
      <c r="AR107" s="1801"/>
      <c r="AS107" s="1801"/>
      <c r="AT107" s="1801"/>
      <c r="AV107" s="1801"/>
      <c r="AW107" s="1801"/>
      <c r="AX107" s="1801"/>
      <c r="AY107" s="1801"/>
      <c r="AZ107" s="1801"/>
      <c r="BA107" s="1801"/>
      <c r="BB107" s="1801"/>
      <c r="BC107" s="1801"/>
      <c r="BD107" s="1801"/>
      <c r="BE107" s="1801"/>
      <c r="BF107" s="1801"/>
      <c r="BG107" s="1801"/>
      <c r="BH107" s="1801"/>
      <c r="BI107" s="1801"/>
      <c r="BJ107" s="1801"/>
      <c r="BK107" s="1801"/>
      <c r="BL107" s="1801"/>
      <c r="BM107" s="1801"/>
      <c r="BN107" s="1801"/>
      <c r="BO107" s="1801"/>
      <c r="BQ107" s="1801"/>
      <c r="BR107" s="1801"/>
      <c r="BS107" s="1801"/>
      <c r="BU107" s="1801"/>
      <c r="BV107" s="1801"/>
    </row>
    <row r="108" spans="7:74">
      <c r="G108" s="1801"/>
      <c r="H108" s="1801"/>
      <c r="I108" s="1801"/>
      <c r="J108" s="1801"/>
      <c r="K108" s="1801"/>
      <c r="L108" s="1944"/>
      <c r="M108" s="1801"/>
      <c r="N108" s="1801"/>
      <c r="O108" s="1801"/>
      <c r="P108" s="1801"/>
      <c r="Q108" s="1801"/>
      <c r="R108" s="1801"/>
      <c r="S108" s="1801"/>
      <c r="T108" s="1801"/>
      <c r="V108" s="1801"/>
      <c r="W108" s="1801"/>
      <c r="X108" s="1886"/>
      <c r="Y108" s="1886"/>
      <c r="Z108" s="1801"/>
      <c r="AA108" s="1801"/>
      <c r="AB108" s="1801"/>
      <c r="AC108" s="1801"/>
      <c r="AD108" s="1801"/>
      <c r="AE108" s="1801"/>
      <c r="AF108" s="1801"/>
      <c r="AG108" s="1801"/>
      <c r="AH108" s="1801"/>
      <c r="AI108" s="1801"/>
      <c r="AJ108" s="1801"/>
      <c r="AK108" s="1801"/>
      <c r="AL108" s="1801"/>
      <c r="AM108" s="1801"/>
      <c r="AN108" s="1801"/>
      <c r="AO108" s="1801"/>
      <c r="AP108" s="1801"/>
      <c r="AQ108" s="1801"/>
      <c r="AR108" s="1801"/>
      <c r="AS108" s="1801"/>
      <c r="AT108" s="1801"/>
      <c r="AV108" s="1801"/>
      <c r="AW108" s="1801"/>
      <c r="AX108" s="1801"/>
      <c r="AY108" s="1801"/>
      <c r="AZ108" s="1801"/>
      <c r="BA108" s="1801"/>
      <c r="BB108" s="1801"/>
      <c r="BC108" s="1801"/>
      <c r="BD108" s="1801"/>
      <c r="BE108" s="1801"/>
      <c r="BF108" s="1801"/>
      <c r="BG108" s="1801"/>
      <c r="BH108" s="1801"/>
      <c r="BI108" s="1801"/>
      <c r="BJ108" s="1801"/>
      <c r="BK108" s="1801"/>
      <c r="BL108" s="1801"/>
      <c r="BM108" s="1801"/>
      <c r="BN108" s="1801"/>
      <c r="BO108" s="1801"/>
      <c r="BQ108" s="1801"/>
      <c r="BR108" s="1801"/>
      <c r="BS108" s="1801"/>
      <c r="BU108" s="1801"/>
      <c r="BV108" s="1801"/>
    </row>
    <row r="109" spans="7:74">
      <c r="G109" s="1801"/>
      <c r="H109" s="1801"/>
      <c r="I109" s="1801"/>
      <c r="J109" s="1801"/>
      <c r="K109" s="1801"/>
      <c r="L109" s="1944"/>
      <c r="M109" s="1801"/>
      <c r="N109" s="1801"/>
      <c r="O109" s="1801"/>
      <c r="P109" s="1801"/>
      <c r="Q109" s="1801"/>
      <c r="R109" s="1801"/>
      <c r="S109" s="1801"/>
      <c r="T109" s="1801"/>
      <c r="V109" s="1801"/>
      <c r="W109" s="1801"/>
      <c r="X109" s="1886"/>
      <c r="Y109" s="1886"/>
      <c r="Z109" s="1801"/>
      <c r="AA109" s="1801"/>
      <c r="AB109" s="1801"/>
      <c r="AC109" s="1801"/>
      <c r="AD109" s="1801"/>
      <c r="AE109" s="1801"/>
      <c r="AF109" s="1801"/>
      <c r="AG109" s="1801"/>
      <c r="AH109" s="1801"/>
      <c r="AI109" s="1801"/>
      <c r="AJ109" s="1801"/>
      <c r="AK109" s="1801"/>
      <c r="AL109" s="1801"/>
      <c r="AM109" s="1801"/>
      <c r="AN109" s="1801"/>
      <c r="AO109" s="1801"/>
      <c r="AP109" s="1801"/>
      <c r="AQ109" s="1801"/>
      <c r="AR109" s="1801"/>
      <c r="AS109" s="1801"/>
      <c r="AT109" s="1801"/>
      <c r="AV109" s="1801"/>
      <c r="AW109" s="1801"/>
      <c r="AX109" s="1801"/>
      <c r="AY109" s="1801"/>
      <c r="AZ109" s="1801"/>
      <c r="BA109" s="1801"/>
      <c r="BB109" s="1801"/>
      <c r="BC109" s="1801"/>
      <c r="BD109" s="1801"/>
      <c r="BE109" s="1801"/>
      <c r="BF109" s="1801"/>
      <c r="BG109" s="1801"/>
      <c r="BH109" s="1801"/>
      <c r="BI109" s="1801"/>
      <c r="BJ109" s="1801"/>
      <c r="BK109" s="1801"/>
      <c r="BL109" s="1801"/>
      <c r="BM109" s="1801"/>
      <c r="BN109" s="1801"/>
      <c r="BO109" s="1801"/>
      <c r="BQ109" s="1801"/>
      <c r="BR109" s="1801"/>
      <c r="BS109" s="1801"/>
      <c r="BU109" s="1801"/>
      <c r="BV109" s="1801"/>
    </row>
    <row r="110" spans="7:74">
      <c r="G110" s="1801"/>
      <c r="H110" s="1801"/>
      <c r="I110" s="1801"/>
      <c r="J110" s="1801"/>
      <c r="K110" s="1801"/>
      <c r="L110" s="1944"/>
      <c r="M110" s="1801"/>
      <c r="N110" s="1801"/>
      <c r="O110" s="1801"/>
      <c r="P110" s="1801"/>
      <c r="Q110" s="1801"/>
      <c r="R110" s="1801"/>
      <c r="S110" s="1801"/>
      <c r="T110" s="1801"/>
      <c r="V110" s="1801"/>
      <c r="W110" s="1801"/>
      <c r="X110" s="1886"/>
      <c r="Y110" s="1886"/>
      <c r="Z110" s="1801"/>
      <c r="AA110" s="1801"/>
      <c r="AB110" s="1801"/>
      <c r="AC110" s="1801"/>
      <c r="AD110" s="1801"/>
      <c r="AE110" s="1801"/>
      <c r="AF110" s="1801"/>
      <c r="AG110" s="1801"/>
      <c r="AH110" s="1801"/>
      <c r="AI110" s="1801"/>
      <c r="AJ110" s="1801"/>
      <c r="AK110" s="1801"/>
      <c r="AL110" s="1801"/>
      <c r="AM110" s="1801"/>
      <c r="AN110" s="1801"/>
      <c r="AO110" s="1801"/>
      <c r="AP110" s="1801"/>
      <c r="AQ110" s="1801"/>
      <c r="AR110" s="1801"/>
      <c r="AS110" s="1801"/>
      <c r="AT110" s="1801"/>
      <c r="AV110" s="1801"/>
      <c r="AW110" s="1801"/>
      <c r="AX110" s="1801"/>
      <c r="AY110" s="1801"/>
      <c r="AZ110" s="1801"/>
      <c r="BA110" s="1801"/>
      <c r="BB110" s="1801"/>
      <c r="BC110" s="1801"/>
      <c r="BD110" s="1801"/>
      <c r="BE110" s="1801"/>
      <c r="BF110" s="1801"/>
      <c r="BG110" s="1801"/>
      <c r="BH110" s="1801"/>
      <c r="BI110" s="1801"/>
      <c r="BJ110" s="1801"/>
      <c r="BK110" s="1801"/>
      <c r="BL110" s="1801"/>
      <c r="BM110" s="1801"/>
      <c r="BN110" s="1801"/>
      <c r="BO110" s="1801"/>
      <c r="BQ110" s="1801"/>
      <c r="BR110" s="1801"/>
      <c r="BS110" s="1801"/>
      <c r="BU110" s="1801"/>
      <c r="BV110" s="1801"/>
    </row>
    <row r="111" spans="7:74">
      <c r="G111" s="1801"/>
      <c r="H111" s="1801"/>
      <c r="I111" s="1801"/>
      <c r="J111" s="1801"/>
      <c r="K111" s="1801"/>
      <c r="L111" s="1944"/>
      <c r="M111" s="1801"/>
      <c r="N111" s="1801"/>
      <c r="O111" s="1801"/>
      <c r="P111" s="1801"/>
      <c r="Q111" s="1801"/>
      <c r="R111" s="1801"/>
      <c r="S111" s="1801"/>
      <c r="T111" s="1801"/>
      <c r="V111" s="1801"/>
      <c r="W111" s="1801"/>
      <c r="X111" s="1886"/>
      <c r="Y111" s="1886"/>
      <c r="Z111" s="1801"/>
      <c r="AA111" s="1801"/>
      <c r="AB111" s="1801"/>
      <c r="AC111" s="1801"/>
      <c r="AD111" s="1801"/>
      <c r="AE111" s="1801"/>
      <c r="AF111" s="1801"/>
      <c r="AG111" s="1801"/>
      <c r="AH111" s="1801"/>
      <c r="AI111" s="1801"/>
      <c r="AJ111" s="1801"/>
      <c r="AK111" s="1801"/>
      <c r="AL111" s="1801"/>
      <c r="AM111" s="1801"/>
      <c r="AN111" s="1801"/>
      <c r="AO111" s="1801"/>
      <c r="AP111" s="1801"/>
      <c r="AQ111" s="1801"/>
      <c r="AR111" s="1801"/>
      <c r="AS111" s="1801"/>
      <c r="AT111" s="1801"/>
      <c r="AV111" s="1801"/>
      <c r="AW111" s="1801"/>
      <c r="AX111" s="1801"/>
      <c r="AY111" s="1801"/>
      <c r="AZ111" s="1801"/>
      <c r="BA111" s="1801"/>
      <c r="BB111" s="1801"/>
      <c r="BC111" s="1801"/>
      <c r="BD111" s="1801"/>
      <c r="BE111" s="1801"/>
      <c r="BF111" s="1801"/>
      <c r="BG111" s="1801"/>
      <c r="BH111" s="1801"/>
      <c r="BI111" s="1801"/>
      <c r="BJ111" s="1801"/>
      <c r="BK111" s="1801"/>
      <c r="BL111" s="1801"/>
      <c r="BM111" s="1801"/>
      <c r="BN111" s="1801"/>
      <c r="BO111" s="1801"/>
      <c r="BQ111" s="1801"/>
      <c r="BR111" s="1801"/>
      <c r="BS111" s="1801"/>
      <c r="BU111" s="1801"/>
      <c r="BV111" s="1801"/>
    </row>
    <row r="112" spans="7:74">
      <c r="G112" s="1801"/>
      <c r="H112" s="1801"/>
      <c r="I112" s="1801"/>
      <c r="J112" s="1801"/>
      <c r="K112" s="1801"/>
      <c r="L112" s="1944"/>
      <c r="M112" s="1801"/>
      <c r="N112" s="1801"/>
      <c r="O112" s="1801"/>
      <c r="P112" s="1801"/>
      <c r="Q112" s="1801"/>
      <c r="R112" s="1801"/>
      <c r="S112" s="1801"/>
      <c r="T112" s="1801"/>
      <c r="V112" s="1801"/>
      <c r="W112" s="1801"/>
      <c r="X112" s="1886"/>
      <c r="Y112" s="1886"/>
      <c r="Z112" s="1801"/>
      <c r="AA112" s="1801"/>
      <c r="AB112" s="1801"/>
      <c r="AC112" s="1801"/>
      <c r="AD112" s="1801"/>
      <c r="AE112" s="1801"/>
      <c r="AF112" s="1801"/>
      <c r="AG112" s="1801"/>
      <c r="AH112" s="1801"/>
      <c r="AI112" s="1801"/>
      <c r="AJ112" s="1801"/>
      <c r="AK112" s="1801"/>
      <c r="AL112" s="1801"/>
      <c r="AM112" s="1801"/>
      <c r="AN112" s="1801"/>
      <c r="AO112" s="1801"/>
      <c r="AP112" s="1801"/>
      <c r="AQ112" s="1801"/>
      <c r="AR112" s="1801"/>
      <c r="AS112" s="1801"/>
      <c r="AT112" s="1801"/>
      <c r="AV112" s="1801"/>
      <c r="AW112" s="1801"/>
      <c r="AX112" s="1801"/>
      <c r="AY112" s="1801"/>
      <c r="AZ112" s="1801"/>
      <c r="BA112" s="1801"/>
      <c r="BB112" s="1801"/>
      <c r="BC112" s="1801"/>
      <c r="BD112" s="1801"/>
      <c r="BE112" s="1801"/>
      <c r="BF112" s="1801"/>
      <c r="BG112" s="1801"/>
      <c r="BH112" s="1801"/>
      <c r="BI112" s="1801"/>
      <c r="BJ112" s="1801"/>
      <c r="BK112" s="1801"/>
      <c r="BL112" s="1801"/>
      <c r="BM112" s="1801"/>
      <c r="BN112" s="1801"/>
      <c r="BO112" s="1801"/>
      <c r="BQ112" s="1801"/>
      <c r="BR112" s="1801"/>
      <c r="BS112" s="1801"/>
      <c r="BU112" s="1801"/>
      <c r="BV112" s="1801"/>
    </row>
  </sheetData>
  <mergeCells count="16">
    <mergeCell ref="DL4:DO4"/>
    <mergeCell ref="G3:T3"/>
    <mergeCell ref="V3:AT3"/>
    <mergeCell ref="AV3:BO3"/>
    <mergeCell ref="BQ3:BS3"/>
    <mergeCell ref="BX3:DO3"/>
    <mergeCell ref="BX4:CA4"/>
    <mergeCell ref="CB4:CE4"/>
    <mergeCell ref="CF4:CI4"/>
    <mergeCell ref="CJ4:CM4"/>
    <mergeCell ref="CN4:CQ4"/>
    <mergeCell ref="CR4:CU4"/>
    <mergeCell ref="CV4:CY4"/>
    <mergeCell ref="CZ4:DC4"/>
    <mergeCell ref="DD4:DG4"/>
    <mergeCell ref="DH4:DK4"/>
  </mergeCells>
  <pageMargins left="0.25" right="0.25" top="0.75" bottom="0.75" header="0.3" footer="0.3"/>
  <pageSetup orientation="portrait"/>
  <headerFooter>
    <oddFooter>&amp;L&amp;"+,Regular"Pathways to 2050 -- Energy Flow Model&amp;R&amp;"+,Regular"&amp;F  |  This version printed &amp;D</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F2424-E80A-4FCA-B0D5-E2790A0E002F}">
  <sheetPr codeName="Sheet48">
    <outlinePr summaryBelow="0"/>
    <pageSetUpPr autoPageBreaks="0"/>
  </sheetPr>
  <dimension ref="A3:DM1226"/>
  <sheetViews>
    <sheetView showGridLines="0" topLeftCell="A546" zoomScale="89" zoomScaleNormal="89" workbookViewId="0">
      <selection activeCell="A574" sqref="A574:XFD574"/>
    </sheetView>
  </sheetViews>
  <sheetFormatPr baseColWidth="10" defaultColWidth="8.5" defaultRowHeight="14"/>
  <cols>
    <col min="1" max="1" width="7.5" style="1241" customWidth="1"/>
    <col min="2" max="2" width="8.5" style="1241" customWidth="1"/>
    <col min="3" max="3" width="20.5" style="1241" customWidth="1"/>
    <col min="4" max="4" width="39.5" style="1241" customWidth="1"/>
    <col min="5" max="5" width="24.5" style="1241" customWidth="1"/>
    <col min="6" max="6" width="17.5" style="1241" customWidth="1"/>
    <col min="7" max="14" width="17.5" style="1242" customWidth="1"/>
    <col min="15" max="15" width="17.5" style="1241" customWidth="1"/>
    <col min="16" max="16384" width="8.5" style="1241"/>
  </cols>
  <sheetData>
    <row r="3" spans="1:15" ht="20.25" customHeight="1">
      <c r="A3" s="1240" t="s">
        <v>419</v>
      </c>
      <c r="B3" s="1195" t="s">
        <v>413</v>
      </c>
      <c r="C3" s="1195"/>
    </row>
    <row r="4" spans="1:15" s="1243" customFormat="1" ht="19.5" customHeight="1">
      <c r="A4" s="1198" t="s">
        <v>419</v>
      </c>
      <c r="B4" s="1198" t="s">
        <v>413</v>
      </c>
      <c r="C4" s="1198"/>
      <c r="E4" s="1244"/>
      <c r="G4" s="1242"/>
      <c r="H4" s="1242"/>
      <c r="I4" s="1242"/>
      <c r="J4" s="1242"/>
      <c r="K4" s="1242"/>
      <c r="L4" s="1242"/>
      <c r="M4" s="1242"/>
      <c r="N4" s="1242"/>
    </row>
    <row r="6" spans="1:15" ht="24" collapsed="1">
      <c r="A6" s="1245"/>
      <c r="B6" s="1246" t="s">
        <v>4190</v>
      </c>
      <c r="C6" s="1247"/>
      <c r="D6" s="1247"/>
      <c r="E6" s="1247"/>
      <c r="F6" s="1247"/>
      <c r="G6" s="1248"/>
      <c r="H6" s="1248"/>
      <c r="I6" s="1248"/>
      <c r="J6" s="1248"/>
      <c r="K6" s="1248"/>
      <c r="L6" s="1248"/>
      <c r="M6" s="1248"/>
      <c r="N6" s="1248"/>
      <c r="O6" s="1247"/>
    </row>
    <row r="7" spans="1:15">
      <c r="B7" s="1249"/>
      <c r="C7" s="1249"/>
      <c r="D7" s="1249"/>
      <c r="E7" s="1249"/>
      <c r="F7" s="1249"/>
      <c r="G7" s="1250"/>
      <c r="H7" s="1250"/>
      <c r="I7" s="1250"/>
      <c r="J7" s="1250"/>
      <c r="K7" s="1250"/>
      <c r="L7" s="1250"/>
      <c r="M7" s="1250"/>
      <c r="N7" s="1250"/>
      <c r="O7" s="1249"/>
    </row>
    <row r="8" spans="1:15" ht="5.25" customHeight="1">
      <c r="B8" s="1249"/>
      <c r="C8" s="1249"/>
      <c r="D8" s="1249"/>
      <c r="E8" s="1251"/>
      <c r="F8" s="1249"/>
      <c r="G8" s="1250"/>
      <c r="H8" s="1250"/>
      <c r="I8" s="1250"/>
      <c r="J8" s="1250"/>
      <c r="K8" s="1250"/>
      <c r="L8" s="1250"/>
      <c r="M8" s="1250"/>
      <c r="N8" s="1250"/>
      <c r="O8" s="1249"/>
    </row>
    <row r="9" spans="1:15" ht="16">
      <c r="B9" s="1252"/>
      <c r="C9" s="1249"/>
      <c r="D9" s="1253" t="s">
        <v>4157</v>
      </c>
      <c r="E9" s="1254" t="s">
        <v>4158</v>
      </c>
      <c r="F9" s="1249"/>
      <c r="G9" s="1250"/>
      <c r="H9" s="1250"/>
      <c r="I9" s="1250"/>
      <c r="J9" s="1250"/>
      <c r="K9" s="1250"/>
      <c r="L9" s="1250"/>
      <c r="M9" s="1250"/>
      <c r="N9" s="1250"/>
      <c r="O9" s="1249"/>
    </row>
    <row r="10" spans="1:15" ht="16">
      <c r="B10" s="1252"/>
      <c r="C10" s="1249"/>
      <c r="D10" s="1227" t="s">
        <v>4191</v>
      </c>
      <c r="E10" s="1255">
        <v>2</v>
      </c>
      <c r="F10" s="1249"/>
      <c r="G10" s="1250"/>
      <c r="H10" s="1250"/>
      <c r="I10" s="1250"/>
      <c r="J10" s="1250"/>
      <c r="K10" s="1250"/>
      <c r="L10" s="1250"/>
      <c r="M10" s="1250"/>
      <c r="N10" s="1250"/>
      <c r="O10" s="1249"/>
    </row>
    <row r="11" spans="1:15" ht="16">
      <c r="B11" s="1252"/>
      <c r="C11" s="1249"/>
      <c r="D11" s="1227" t="s">
        <v>4192</v>
      </c>
      <c r="E11" s="1255">
        <v>2</v>
      </c>
      <c r="F11" s="1249"/>
      <c r="G11" s="1250"/>
      <c r="H11" s="1250"/>
      <c r="I11" s="1250"/>
      <c r="J11" s="1250"/>
      <c r="K11" s="1250"/>
      <c r="L11" s="1250"/>
      <c r="M11" s="1250"/>
      <c r="N11" s="1250"/>
      <c r="O11" s="1249"/>
    </row>
    <row r="12" spans="1:15">
      <c r="B12" s="1249"/>
      <c r="C12" s="1249"/>
      <c r="D12" s="1249" t="s">
        <v>4193</v>
      </c>
      <c r="E12" s="1255">
        <v>2</v>
      </c>
      <c r="F12" s="1249"/>
      <c r="G12" s="1250"/>
      <c r="H12" s="1250"/>
      <c r="I12" s="1250"/>
      <c r="J12" s="1250"/>
      <c r="K12" s="1250"/>
      <c r="L12" s="1250"/>
      <c r="M12" s="1250"/>
      <c r="N12" s="1250"/>
      <c r="O12" s="1249"/>
    </row>
    <row r="13" spans="1:15">
      <c r="B13" s="1249"/>
      <c r="C13" s="1249"/>
      <c r="D13" s="1256" t="s">
        <v>4194</v>
      </c>
      <c r="E13" s="1257">
        <v>2</v>
      </c>
      <c r="F13" s="1249"/>
      <c r="G13" s="1250"/>
      <c r="H13" s="1250"/>
      <c r="I13" s="1250"/>
      <c r="J13" s="1250"/>
      <c r="K13" s="1250"/>
      <c r="L13" s="1250"/>
      <c r="M13" s="1250"/>
      <c r="N13" s="1250"/>
      <c r="O13" s="1249"/>
    </row>
    <row r="14" spans="1:15">
      <c r="B14" s="1249"/>
      <c r="C14" s="1249"/>
      <c r="D14" s="1258"/>
      <c r="E14" s="1259"/>
      <c r="F14" s="1249"/>
      <c r="G14" s="1250"/>
      <c r="H14" s="1250"/>
      <c r="I14" s="1250"/>
      <c r="J14" s="1250"/>
      <c r="K14" s="1250"/>
      <c r="L14" s="1250"/>
      <c r="M14" s="1250"/>
      <c r="N14" s="1250"/>
      <c r="O14" s="1249"/>
    </row>
    <row r="16" spans="1:15" s="1243" customFormat="1" ht="24" collapsed="1">
      <c r="A16" s="1260"/>
      <c r="B16" s="1213" t="s">
        <v>4159</v>
      </c>
      <c r="C16" s="1261"/>
      <c r="D16" s="1261"/>
      <c r="E16" s="1261"/>
      <c r="F16" s="1261"/>
      <c r="G16" s="1262"/>
      <c r="H16" s="1262"/>
      <c r="I16" s="1262"/>
      <c r="J16" s="1262"/>
      <c r="K16" s="1262"/>
      <c r="L16" s="1262"/>
      <c r="M16" s="1262"/>
      <c r="N16" s="1262"/>
      <c r="O16" s="1261"/>
    </row>
    <row r="17" spans="2:15">
      <c r="B17" s="1263"/>
      <c r="C17" s="1263"/>
      <c r="D17" s="1263"/>
      <c r="E17" s="1263"/>
      <c r="F17" s="1264"/>
      <c r="G17" s="1220"/>
      <c r="H17" s="1220"/>
      <c r="I17" s="1220"/>
      <c r="J17" s="1220"/>
      <c r="K17" s="1220"/>
      <c r="L17" s="1220"/>
      <c r="M17" s="1220"/>
      <c r="N17" s="1220"/>
      <c r="O17" s="1264"/>
    </row>
    <row r="18" spans="2:15" ht="20.25" customHeight="1">
      <c r="B18" s="1263"/>
      <c r="C18" s="1265" t="s">
        <v>4195</v>
      </c>
      <c r="D18" s="1263"/>
      <c r="E18" s="1263"/>
      <c r="F18" s="1264"/>
      <c r="G18" s="1220"/>
      <c r="H18" s="1220"/>
      <c r="I18" s="1220"/>
      <c r="J18" s="1220"/>
      <c r="K18" s="1220"/>
      <c r="L18" s="1220"/>
      <c r="M18" s="1220"/>
      <c r="N18" s="1220"/>
      <c r="O18" s="1264"/>
    </row>
    <row r="19" spans="2:15" ht="20.25" customHeight="1">
      <c r="B19" s="1263"/>
      <c r="C19" s="1265"/>
      <c r="D19" s="1263"/>
      <c r="E19" s="1263"/>
      <c r="F19" s="1263"/>
      <c r="G19" s="1220"/>
      <c r="H19" s="1220"/>
      <c r="I19" s="1220"/>
      <c r="J19" s="1220"/>
      <c r="K19" s="1220"/>
      <c r="L19" s="1220"/>
      <c r="M19" s="1220"/>
      <c r="N19" s="1220"/>
      <c r="O19" s="1264"/>
    </row>
    <row r="20" spans="2:15">
      <c r="B20" s="1263"/>
      <c r="C20" s="1266" t="s">
        <v>4196</v>
      </c>
      <c r="D20" s="1263"/>
      <c r="E20" s="1267"/>
      <c r="F20" s="1264"/>
      <c r="G20" s="1220"/>
      <c r="H20" s="1220"/>
      <c r="I20" s="1220"/>
      <c r="J20" s="1220"/>
      <c r="K20" s="1220"/>
      <c r="L20" s="1220"/>
      <c r="M20" s="1220"/>
      <c r="N20" s="1220"/>
      <c r="O20" s="1263" t="s">
        <v>4685</v>
      </c>
    </row>
    <row r="21" spans="2:15" ht="5" customHeight="1">
      <c r="B21" s="1263"/>
      <c r="C21" s="1263"/>
      <c r="D21" s="1263"/>
      <c r="E21" s="1263"/>
      <c r="F21" s="1264"/>
      <c r="G21" s="1220"/>
      <c r="H21" s="1220"/>
      <c r="I21" s="1220"/>
      <c r="J21" s="1220"/>
      <c r="K21" s="1220"/>
      <c r="L21" s="1220"/>
      <c r="M21" s="1220"/>
      <c r="N21" s="1220"/>
      <c r="O21" s="1263"/>
    </row>
    <row r="22" spans="2:15">
      <c r="B22" s="1263"/>
      <c r="C22" s="1201" t="s">
        <v>4158</v>
      </c>
      <c r="D22" s="1201" t="s">
        <v>4160</v>
      </c>
      <c r="E22" s="1217" t="s">
        <v>48</v>
      </c>
      <c r="F22" s="1217"/>
      <c r="G22" s="1202">
        <v>2015</v>
      </c>
      <c r="H22" s="1202">
        <v>2020</v>
      </c>
      <c r="I22" s="1202">
        <v>2022</v>
      </c>
      <c r="J22" s="1202">
        <v>2027</v>
      </c>
      <c r="K22" s="1202">
        <v>2032</v>
      </c>
      <c r="L22" s="1202">
        <v>2037</v>
      </c>
      <c r="M22" s="1202">
        <v>2042</v>
      </c>
      <c r="N22" s="1202">
        <v>2047</v>
      </c>
      <c r="O22" s="1202">
        <v>2030</v>
      </c>
    </row>
    <row r="23" spans="2:15">
      <c r="B23" s="1263"/>
      <c r="C23" s="1216">
        <v>1</v>
      </c>
      <c r="D23" s="1211" t="s">
        <v>4197</v>
      </c>
      <c r="E23" s="1268"/>
      <c r="F23" s="1269">
        <v>-2.8E-3</v>
      </c>
      <c r="G23" s="1223">
        <v>6.0499999999999998E-2</v>
      </c>
      <c r="H23" s="1223">
        <v>6.0999999999999999E-2</v>
      </c>
      <c r="I23" s="1223">
        <v>6.0658878239999992E-2</v>
      </c>
      <c r="J23" s="1223">
        <v>5.9814396303488775E-2</v>
      </c>
      <c r="K23" s="1223">
        <v>5.8981671091826178E-2</v>
      </c>
      <c r="L23" s="1223">
        <v>5.8160538930014327E-2</v>
      </c>
      <c r="M23" s="1223">
        <v>5.7350838421709072E-2</v>
      </c>
      <c r="N23" s="1223">
        <v>5.6552410417496979E-2</v>
      </c>
      <c r="O23" s="1223">
        <v>5.9313360896094895E-2</v>
      </c>
    </row>
    <row r="24" spans="2:15">
      <c r="B24" s="1263"/>
      <c r="C24" s="1216">
        <v>2</v>
      </c>
      <c r="D24" s="1211" t="s">
        <v>4198</v>
      </c>
      <c r="E24" s="1270"/>
      <c r="F24" s="1269">
        <v>-5.1999999999999998E-3</v>
      </c>
      <c r="G24" s="1223">
        <v>6.0499999999999998E-2</v>
      </c>
      <c r="H24" s="1223">
        <v>6.0999999999999999E-2</v>
      </c>
      <c r="I24" s="1223">
        <v>6.036724944E-2</v>
      </c>
      <c r="J24" s="1223">
        <v>5.8813939598088047E-2</v>
      </c>
      <c r="K24" s="1223">
        <v>5.7300597975489753E-2</v>
      </c>
      <c r="L24" s="1223">
        <v>5.5826196149856913E-2</v>
      </c>
      <c r="M24" s="1223">
        <v>5.4389732161179281E-2</v>
      </c>
      <c r="N24" s="1223">
        <v>5.2990229830882037E-2</v>
      </c>
      <c r="O24" s="1223">
        <v>5.7901204857427654E-2</v>
      </c>
    </row>
    <row r="25" spans="2:15">
      <c r="B25" s="1263"/>
      <c r="C25" s="1216">
        <v>3</v>
      </c>
      <c r="D25" s="1211" t="s">
        <v>4199</v>
      </c>
      <c r="E25" s="1268"/>
      <c r="F25" s="1269">
        <v>-8.0000000000000002E-3</v>
      </c>
      <c r="G25" s="1223">
        <v>6.0499999999999998E-2</v>
      </c>
      <c r="H25" s="1223">
        <v>6.0999999999999999E-2</v>
      </c>
      <c r="I25" s="1223">
        <v>6.0027903999999993E-2</v>
      </c>
      <c r="J25" s="1223">
        <v>5.7664899583095987E-2</v>
      </c>
      <c r="K25" s="1223">
        <v>5.5394915070307034E-2</v>
      </c>
      <c r="L25" s="1223">
        <v>5.3214288723847265E-2</v>
      </c>
      <c r="M25" s="1223">
        <v>5.111950295060326E-2</v>
      </c>
      <c r="N25" s="1223">
        <v>4.9107178627864741E-2</v>
      </c>
      <c r="O25" s="1223">
        <v>5.6291984129393041E-2</v>
      </c>
    </row>
    <row r="26" spans="2:15">
      <c r="B26" s="1263"/>
      <c r="C26" s="1216">
        <v>4</v>
      </c>
      <c r="D26" s="1211" t="s">
        <v>4200</v>
      </c>
      <c r="E26" s="1268"/>
      <c r="F26" s="1269">
        <v>-0.01</v>
      </c>
      <c r="G26" s="1223">
        <v>6.0499999999999998E-2</v>
      </c>
      <c r="H26" s="1223">
        <v>6.0999999999999999E-2</v>
      </c>
      <c r="I26" s="1223">
        <v>5.9786099999999995E-2</v>
      </c>
      <c r="J26" s="1223">
        <v>5.6855986222326384E-2</v>
      </c>
      <c r="K26" s="1223">
        <v>5.4069477174683876E-2</v>
      </c>
      <c r="L26" s="1223">
        <v>5.1419534796419523E-2</v>
      </c>
      <c r="M26" s="1223">
        <v>4.8899465961881786E-2</v>
      </c>
      <c r="N26" s="1223">
        <v>4.6502905575173309E-2</v>
      </c>
      <c r="O26" s="1223">
        <v>5.5167306575537062E-2</v>
      </c>
    </row>
    <row r="27" spans="2:15">
      <c r="B27" s="1263"/>
      <c r="C27" s="1216"/>
      <c r="D27" s="1271" t="s">
        <v>4161</v>
      </c>
      <c r="E27" s="1272"/>
      <c r="F27" s="1273">
        <v>-0.01</v>
      </c>
      <c r="G27" s="1274">
        <v>6.0499999999999998E-2</v>
      </c>
      <c r="H27" s="1274">
        <v>6.0999999999999999E-2</v>
      </c>
      <c r="I27" s="1274">
        <v>5.9786099999999995E-2</v>
      </c>
      <c r="J27" s="1274">
        <v>5.6855986222326384E-2</v>
      </c>
      <c r="K27" s="1274">
        <v>5.4069477174683876E-2</v>
      </c>
      <c r="L27" s="1274">
        <v>5.1419534796419523E-2</v>
      </c>
      <c r="M27" s="1274">
        <v>4.8899465961881786E-2</v>
      </c>
      <c r="N27" s="1274">
        <v>4.6502905575173309E-2</v>
      </c>
      <c r="O27" s="1275">
        <v>5.5167306575537062E-2</v>
      </c>
    </row>
    <row r="28" spans="2:15" s="1281" customFormat="1">
      <c r="B28" s="1276"/>
      <c r="C28" s="1277"/>
      <c r="D28" s="1277" t="s">
        <v>4162</v>
      </c>
      <c r="E28" s="1278"/>
      <c r="F28" s="1279"/>
      <c r="G28" s="1280">
        <v>6.0499999999999998E-2</v>
      </c>
      <c r="H28" s="1280">
        <v>6.0999999999999999E-2</v>
      </c>
      <c r="I28" s="1280">
        <v>6.036724944E-2</v>
      </c>
      <c r="J28" s="1280">
        <v>5.8813939598088047E-2</v>
      </c>
      <c r="K28" s="1280">
        <v>5.7300597975489753E-2</v>
      </c>
      <c r="L28" s="1280">
        <v>5.5826196149856913E-2</v>
      </c>
      <c r="M28" s="1280">
        <v>5.4389732161179281E-2</v>
      </c>
      <c r="N28" s="1280">
        <v>5.2990229830882037E-2</v>
      </c>
      <c r="O28" s="1280">
        <v>5.7901204857427654E-2</v>
      </c>
    </row>
    <row r="29" spans="2:15">
      <c r="B29" s="1263"/>
      <c r="C29" s="1263"/>
      <c r="D29" s="1263"/>
      <c r="E29" s="1263"/>
      <c r="F29" s="1282"/>
      <c r="G29" s="1219"/>
      <c r="H29" s="1220"/>
      <c r="I29" s="1219"/>
      <c r="J29" s="1219"/>
      <c r="K29" s="1219"/>
      <c r="L29" s="1219"/>
      <c r="M29" s="1219"/>
      <c r="N29" s="1219"/>
      <c r="O29" s="1282"/>
    </row>
    <row r="30" spans="2:15">
      <c r="B30" s="1263"/>
      <c r="C30" s="1266" t="s">
        <v>4201</v>
      </c>
      <c r="D30" s="1263"/>
      <c r="E30" s="1267"/>
      <c r="F30" s="1282"/>
      <c r="G30" s="1219"/>
      <c r="H30" s="1219"/>
      <c r="I30" s="1219"/>
      <c r="J30" s="1219"/>
      <c r="K30" s="1219"/>
      <c r="L30" s="1219"/>
      <c r="M30" s="1219"/>
      <c r="N30" s="1219"/>
      <c r="O30" s="1283"/>
    </row>
    <row r="31" spans="2:15" ht="3.5" customHeight="1">
      <c r="B31" s="1263"/>
      <c r="C31" s="1263"/>
      <c r="D31" s="1263"/>
      <c r="E31" s="1263"/>
      <c r="F31" s="1282"/>
      <c r="G31" s="1219"/>
      <c r="H31" s="1219"/>
      <c r="I31" s="1219"/>
      <c r="J31" s="1219"/>
      <c r="K31" s="1219"/>
      <c r="L31" s="1219"/>
      <c r="M31" s="1219"/>
      <c r="N31" s="1219"/>
      <c r="O31" s="1264" t="s">
        <v>4685</v>
      </c>
    </row>
    <row r="32" spans="2:15">
      <c r="B32" s="1263"/>
      <c r="C32" s="1201" t="s">
        <v>4158</v>
      </c>
      <c r="D32" s="1201" t="s">
        <v>4160</v>
      </c>
      <c r="E32" s="1217" t="s">
        <v>48</v>
      </c>
      <c r="F32" s="1203"/>
      <c r="G32" s="1202">
        <v>2015</v>
      </c>
      <c r="H32" s="1202">
        <v>2020</v>
      </c>
      <c r="I32" s="1202">
        <v>2022</v>
      </c>
      <c r="J32" s="1202">
        <v>2027</v>
      </c>
      <c r="K32" s="1202">
        <v>2032</v>
      </c>
      <c r="L32" s="1202">
        <v>2037</v>
      </c>
      <c r="M32" s="1202">
        <v>2042</v>
      </c>
      <c r="N32" s="1202">
        <v>2047</v>
      </c>
      <c r="O32" s="1202">
        <v>2030</v>
      </c>
    </row>
    <row r="33" spans="2:15">
      <c r="B33" s="1263"/>
      <c r="C33" s="1211">
        <v>1</v>
      </c>
      <c r="D33" s="1211" t="s">
        <v>4197</v>
      </c>
      <c r="E33" s="1268"/>
      <c r="F33" s="1269">
        <v>-1E-3</v>
      </c>
      <c r="G33" s="1218">
        <v>0.60729999999999995</v>
      </c>
      <c r="H33" s="1223">
        <v>0.59199999999999997</v>
      </c>
      <c r="I33" s="1218">
        <v>0.59081659200000003</v>
      </c>
      <c r="J33" s="1218">
        <v>0.58786841130070755</v>
      </c>
      <c r="K33" s="1218">
        <v>0.58493494205257168</v>
      </c>
      <c r="L33" s="1218">
        <v>0.58201611084530402</v>
      </c>
      <c r="M33" s="1218">
        <v>0.57911184463493448</v>
      </c>
      <c r="N33" s="1218">
        <v>0.57622207074198262</v>
      </c>
      <c r="O33" s="1218">
        <v>0.58610656908417103</v>
      </c>
    </row>
    <row r="34" spans="2:15">
      <c r="B34" s="1263"/>
      <c r="C34" s="1211">
        <v>2</v>
      </c>
      <c r="D34" s="1211" t="s">
        <v>4198</v>
      </c>
      <c r="E34" s="1268"/>
      <c r="F34" s="1269">
        <v>-4.8999999999999998E-3</v>
      </c>
      <c r="G34" s="1218">
        <v>0.60729999999999995</v>
      </c>
      <c r="H34" s="1218">
        <v>0.59199999999999997</v>
      </c>
      <c r="I34" s="1218">
        <v>0.5862126139199999</v>
      </c>
      <c r="J34" s="1218">
        <v>0.57199046654232755</v>
      </c>
      <c r="K34" s="1218">
        <v>0.55811336372908305</v>
      </c>
      <c r="L34" s="1218">
        <v>0.54457293432869025</v>
      </c>
      <c r="M34" s="1218">
        <v>0.53136101028269711</v>
      </c>
      <c r="N34" s="1218">
        <v>0.51846962169851907</v>
      </c>
      <c r="O34" s="1218">
        <v>0.56362333986335389</v>
      </c>
    </row>
    <row r="35" spans="2:15">
      <c r="B35" s="1263"/>
      <c r="C35" s="1211">
        <v>3</v>
      </c>
      <c r="D35" s="1211" t="s">
        <v>4199</v>
      </c>
      <c r="E35" s="1268"/>
      <c r="F35" s="1269">
        <v>-5.5979999999999997E-3</v>
      </c>
      <c r="G35" s="1218">
        <v>0.60729999999999995</v>
      </c>
      <c r="H35" s="1218">
        <v>0.59199999999999997</v>
      </c>
      <c r="I35" s="1218">
        <v>0.58539051986156798</v>
      </c>
      <c r="J35" s="1218">
        <v>0.5691878625064547</v>
      </c>
      <c r="K35" s="1218">
        <v>0.55343366835062491</v>
      </c>
      <c r="L35" s="1218">
        <v>0.53811552466222168</v>
      </c>
      <c r="M35" s="1218">
        <v>0.52322136227361526</v>
      </c>
      <c r="N35" s="1218">
        <v>0.50873944607210297</v>
      </c>
      <c r="O35" s="1218">
        <v>0.55968233264359635</v>
      </c>
    </row>
    <row r="36" spans="2:15">
      <c r="B36" s="1263"/>
      <c r="C36" s="1211">
        <v>4</v>
      </c>
      <c r="D36" s="1211" t="s">
        <v>4200</v>
      </c>
      <c r="E36" s="1268"/>
      <c r="F36" s="1269">
        <v>-6.2389999999999998E-3</v>
      </c>
      <c r="G36" s="1218">
        <v>0.60729999999999995</v>
      </c>
      <c r="H36" s="1218">
        <v>0.59199999999999997</v>
      </c>
      <c r="I36" s="1218">
        <v>0.58463606767163201</v>
      </c>
      <c r="J36" s="1218">
        <v>0.5666245004498589</v>
      </c>
      <c r="K36" s="1218">
        <v>0.54916783664873259</v>
      </c>
      <c r="L36" s="1218">
        <v>0.53224898070946836</v>
      </c>
      <c r="M36" s="1218">
        <v>0.51585136375615848</v>
      </c>
      <c r="N36" s="1218">
        <v>0.4999589273696371</v>
      </c>
      <c r="O36" s="1218">
        <v>0.55608501984973358</v>
      </c>
    </row>
    <row r="37" spans="2:15">
      <c r="B37" s="1263"/>
      <c r="C37" s="1211"/>
      <c r="D37" s="1271" t="s">
        <v>4161</v>
      </c>
      <c r="E37" s="1272"/>
      <c r="F37" s="1273">
        <v>-3.0000000000000001E-3</v>
      </c>
      <c r="G37" s="1284">
        <v>0.60729999999999995</v>
      </c>
      <c r="H37" s="1284">
        <v>0.59199999999999997</v>
      </c>
      <c r="I37" s="1284">
        <v>0.58845332799999994</v>
      </c>
      <c r="J37" s="1284">
        <v>0.57967933023530205</v>
      </c>
      <c r="K37" s="1284">
        <v>0.57103615514270378</v>
      </c>
      <c r="L37" s="1284">
        <v>0.56252185212089512</v>
      </c>
      <c r="M37" s="1284">
        <v>0.55413449965255723</v>
      </c>
      <c r="N37" s="1284">
        <v>0.54587220487071253</v>
      </c>
      <c r="O37" s="1284">
        <v>0.57447785195375878</v>
      </c>
    </row>
    <row r="38" spans="2:15" s="1281" customFormat="1">
      <c r="B38" s="1276"/>
      <c r="C38" s="1277"/>
      <c r="D38" s="1277" t="s">
        <v>4162</v>
      </c>
      <c r="E38" s="1278"/>
      <c r="F38" s="1285"/>
      <c r="G38" s="1286">
        <v>0.60729999999999995</v>
      </c>
      <c r="H38" s="1286">
        <v>0.59199999999999997</v>
      </c>
      <c r="I38" s="1286">
        <v>0.5862126139199999</v>
      </c>
      <c r="J38" s="1286">
        <v>0.57199046654232755</v>
      </c>
      <c r="K38" s="1286">
        <v>0.55811336372908305</v>
      </c>
      <c r="L38" s="1286">
        <v>0.54457293432869025</v>
      </c>
      <c r="M38" s="1286">
        <v>0.53136101028269711</v>
      </c>
      <c r="N38" s="1286">
        <v>0.51846962169851907</v>
      </c>
      <c r="O38" s="1286">
        <v>0.56362333986335389</v>
      </c>
    </row>
    <row r="39" spans="2:15">
      <c r="B39" s="1263"/>
      <c r="C39" s="1263"/>
      <c r="D39" s="1263"/>
      <c r="E39" s="1263"/>
      <c r="F39" s="1282"/>
      <c r="G39" s="1219"/>
      <c r="H39" s="1220"/>
      <c r="I39" s="1219"/>
      <c r="J39" s="1219"/>
      <c r="K39" s="1219"/>
      <c r="L39" s="1219"/>
      <c r="M39" s="1219"/>
      <c r="N39" s="1219"/>
      <c r="O39" s="1282"/>
    </row>
    <row r="40" spans="2:15">
      <c r="B40" s="1263"/>
      <c r="C40" s="1266" t="s">
        <v>4202</v>
      </c>
      <c r="D40" s="1263"/>
      <c r="E40" s="1267"/>
      <c r="F40" s="1282"/>
      <c r="G40" s="1219"/>
      <c r="H40" s="1219"/>
      <c r="I40" s="1219"/>
      <c r="J40" s="1219"/>
      <c r="K40" s="1219"/>
      <c r="L40" s="1219"/>
      <c r="M40" s="1219"/>
      <c r="N40" s="1219"/>
      <c r="O40" s="1283"/>
    </row>
    <row r="41" spans="2:15" ht="3.5" customHeight="1">
      <c r="B41" s="1263"/>
      <c r="C41" s="1263"/>
      <c r="D41" s="1263"/>
      <c r="E41" s="1263"/>
      <c r="F41" s="1282"/>
      <c r="G41" s="1219"/>
      <c r="H41" s="1219"/>
      <c r="I41" s="1219"/>
      <c r="J41" s="1219"/>
      <c r="K41" s="1219"/>
      <c r="L41" s="1219"/>
      <c r="M41" s="1219"/>
      <c r="N41" s="1219"/>
      <c r="O41" s="1264" t="s">
        <v>4685</v>
      </c>
    </row>
    <row r="42" spans="2:15">
      <c r="B42" s="1263"/>
      <c r="C42" s="1201" t="s">
        <v>4158</v>
      </c>
      <c r="D42" s="1201" t="s">
        <v>4160</v>
      </c>
      <c r="E42" s="1217" t="s">
        <v>48</v>
      </c>
      <c r="F42" s="1203"/>
      <c r="G42" s="1202">
        <v>2015</v>
      </c>
      <c r="H42" s="1202">
        <v>2020</v>
      </c>
      <c r="I42" s="1202">
        <v>2022</v>
      </c>
      <c r="J42" s="1202">
        <v>2027</v>
      </c>
      <c r="K42" s="1202">
        <v>2032</v>
      </c>
      <c r="L42" s="1202">
        <v>2037</v>
      </c>
      <c r="M42" s="1202">
        <v>2042</v>
      </c>
      <c r="N42" s="1202">
        <v>2047</v>
      </c>
      <c r="O42" s="1202">
        <v>2030</v>
      </c>
    </row>
    <row r="43" spans="2:15">
      <c r="B43" s="1263"/>
      <c r="C43" s="1211">
        <v>1</v>
      </c>
      <c r="D43" s="1211" t="s">
        <v>4197</v>
      </c>
      <c r="E43" s="1268"/>
      <c r="F43" s="1269">
        <v>-1.5E-3</v>
      </c>
      <c r="G43" s="1219">
        <v>3.7593000000000001</v>
      </c>
      <c r="H43" s="1223">
        <v>3.8769999999999998</v>
      </c>
      <c r="I43" s="1219">
        <v>3.86537772325</v>
      </c>
      <c r="J43" s="1219">
        <v>3.836474230965714</v>
      </c>
      <c r="K43" s="1219">
        <v>3.8077868655197453</v>
      </c>
      <c r="L43" s="1219">
        <v>3.7793140108163716</v>
      </c>
      <c r="M43" s="1219">
        <v>3.7510540628442808</v>
      </c>
      <c r="N43" s="1219">
        <v>3.7230054295862085</v>
      </c>
      <c r="O43" s="1219">
        <v>3.8192359801793274</v>
      </c>
    </row>
    <row r="44" spans="2:15">
      <c r="B44" s="1263"/>
      <c r="C44" s="1211">
        <v>2</v>
      </c>
      <c r="D44" s="1211" t="s">
        <v>4198</v>
      </c>
      <c r="E44" s="1268"/>
      <c r="F44" s="1269">
        <v>-5.1000000000000004E-3</v>
      </c>
      <c r="G44" s="1219">
        <v>3.7593000000000001</v>
      </c>
      <c r="H44" s="1219">
        <v>3.8769999999999998</v>
      </c>
      <c r="I44" s="1219">
        <v>3.8375554407700001</v>
      </c>
      <c r="J44" s="1219">
        <v>3.7406908476125178</v>
      </c>
      <c r="K44" s="1219">
        <v>3.6462712352644031</v>
      </c>
      <c r="L44" s="1219">
        <v>3.5542348894194959</v>
      </c>
      <c r="M44" s="1219">
        <v>3.4645216535162078</v>
      </c>
      <c r="N44" s="1219">
        <v>3.3770728894181445</v>
      </c>
      <c r="O44" s="1219">
        <v>3.6837496675445043</v>
      </c>
    </row>
    <row r="45" spans="2:15">
      <c r="B45" s="1263"/>
      <c r="C45" s="1211">
        <v>3</v>
      </c>
      <c r="D45" s="1211" t="s">
        <v>4199</v>
      </c>
      <c r="E45" s="1268"/>
      <c r="F45" s="1269">
        <v>-8.5000000000000006E-3</v>
      </c>
      <c r="G45" s="1219">
        <v>3.7593000000000001</v>
      </c>
      <c r="H45" s="1219">
        <v>3.8769999999999998</v>
      </c>
      <c r="I45" s="1219">
        <v>3.8113711132500003</v>
      </c>
      <c r="J45" s="1219">
        <v>3.6521182492922146</v>
      </c>
      <c r="K45" s="1219">
        <v>3.4995195457205925</v>
      </c>
      <c r="L45" s="1219">
        <v>3.3532969676581192</v>
      </c>
      <c r="M45" s="1219">
        <v>3.213184097530092</v>
      </c>
      <c r="N45" s="1219">
        <v>3.0789256496512283</v>
      </c>
      <c r="O45" s="1219">
        <v>3.5597785877086778</v>
      </c>
    </row>
    <row r="46" spans="2:15">
      <c r="B46" s="1263"/>
      <c r="C46" s="1211">
        <v>4</v>
      </c>
      <c r="D46" s="1211" t="s">
        <v>4200</v>
      </c>
      <c r="E46" s="1268"/>
      <c r="F46" s="1269">
        <v>-9.7000000000000003E-3</v>
      </c>
      <c r="G46" s="1219">
        <v>3.7593000000000001</v>
      </c>
      <c r="H46" s="1219">
        <v>3.8769999999999998</v>
      </c>
      <c r="I46" s="1219">
        <v>3.8021509869299996</v>
      </c>
      <c r="J46" s="1219">
        <v>3.6212895746963629</v>
      </c>
      <c r="K46" s="1219">
        <v>3.4490314111363292</v>
      </c>
      <c r="L46" s="1219">
        <v>3.2849672553464595</v>
      </c>
      <c r="M46" s="1219">
        <v>3.1287073332693165</v>
      </c>
      <c r="N46" s="1219">
        <v>2.9798804116909801</v>
      </c>
      <c r="O46" s="1219">
        <v>3.5169289244277282</v>
      </c>
    </row>
    <row r="47" spans="2:15">
      <c r="B47" s="1263"/>
      <c r="C47" s="1211"/>
      <c r="D47" s="1271" t="s">
        <v>4161</v>
      </c>
      <c r="E47" s="1272"/>
      <c r="F47" s="1273">
        <v>-5.0000000000000001E-3</v>
      </c>
      <c r="G47" s="1287">
        <v>3.7593000000000001</v>
      </c>
      <c r="H47" s="1288">
        <v>3.8769999999999998</v>
      </c>
      <c r="I47" s="1287">
        <v>3.8383269250000001</v>
      </c>
      <c r="J47" s="1287">
        <v>3.7433235476803706</v>
      </c>
      <c r="K47" s="1287">
        <v>3.6506716224070352</v>
      </c>
      <c r="L47" s="1287">
        <v>3.5603129478098738</v>
      </c>
      <c r="M47" s="1287">
        <v>3.4721907630752469</v>
      </c>
      <c r="N47" s="1287">
        <v>3.386249712290426</v>
      </c>
      <c r="O47" s="1289">
        <v>3.6874539758157976</v>
      </c>
    </row>
    <row r="48" spans="2:15" s="1281" customFormat="1">
      <c r="B48" s="1276"/>
      <c r="C48" s="1277"/>
      <c r="D48" s="1277" t="s">
        <v>4162</v>
      </c>
      <c r="E48" s="1278"/>
      <c r="F48" s="1285"/>
      <c r="G48" s="1286">
        <v>3.7593000000000001</v>
      </c>
      <c r="H48" s="1286">
        <v>3.8769999999999998</v>
      </c>
      <c r="I48" s="1286">
        <v>3.8375554407700001</v>
      </c>
      <c r="J48" s="1286">
        <v>3.7406908476125178</v>
      </c>
      <c r="K48" s="1286">
        <v>3.6462712352644031</v>
      </c>
      <c r="L48" s="1286">
        <v>3.5542348894194959</v>
      </c>
      <c r="M48" s="1286">
        <v>3.4645216535162078</v>
      </c>
      <c r="N48" s="1286">
        <v>3.3770728894181445</v>
      </c>
      <c r="O48" s="1286">
        <v>3.6837496675445043</v>
      </c>
    </row>
    <row r="49" spans="2:15">
      <c r="B49" s="1263"/>
      <c r="C49" s="1263"/>
      <c r="D49" s="1263"/>
      <c r="E49" s="1263"/>
      <c r="F49" s="1282"/>
      <c r="G49" s="1219"/>
      <c r="H49" s="1220"/>
      <c r="I49" s="1219"/>
      <c r="J49" s="1219"/>
      <c r="K49" s="1219">
        <v>1</v>
      </c>
      <c r="L49" s="1219"/>
      <c r="M49" s="1219"/>
      <c r="N49" s="1219"/>
      <c r="O49" s="1282"/>
    </row>
    <row r="50" spans="2:15">
      <c r="B50" s="1263"/>
      <c r="C50" s="1266" t="s">
        <v>4203</v>
      </c>
      <c r="D50" s="1263"/>
      <c r="E50" s="1267"/>
      <c r="F50" s="1282"/>
      <c r="G50" s="1219"/>
      <c r="H50" s="1219"/>
      <c r="I50" s="1219"/>
      <c r="J50" s="1219"/>
      <c r="K50" s="1219"/>
      <c r="L50" s="1219"/>
      <c r="M50" s="1219"/>
      <c r="N50" s="1219"/>
      <c r="O50" s="1283"/>
    </row>
    <row r="51" spans="2:15" ht="2.25" customHeight="1">
      <c r="B51" s="1263"/>
      <c r="C51" s="1263"/>
      <c r="D51" s="1263"/>
      <c r="E51" s="1263"/>
      <c r="F51" s="1282"/>
      <c r="G51" s="1219"/>
      <c r="H51" s="1219"/>
      <c r="I51" s="1219"/>
      <c r="J51" s="1219"/>
      <c r="K51" s="1219"/>
      <c r="L51" s="1219"/>
      <c r="M51" s="1219"/>
      <c r="N51" s="1219"/>
      <c r="O51" s="1264" t="s">
        <v>4685</v>
      </c>
    </row>
    <row r="52" spans="2:15">
      <c r="B52" s="1263"/>
      <c r="C52" s="1201" t="s">
        <v>4158</v>
      </c>
      <c r="D52" s="1201" t="s">
        <v>4160</v>
      </c>
      <c r="E52" s="1217" t="s">
        <v>48</v>
      </c>
      <c r="F52" s="1203"/>
      <c r="G52" s="1202">
        <v>2015</v>
      </c>
      <c r="H52" s="1202">
        <v>2020</v>
      </c>
      <c r="I52" s="1202">
        <v>2022</v>
      </c>
      <c r="J52" s="1202">
        <v>2027</v>
      </c>
      <c r="K52" s="1202">
        <v>2032</v>
      </c>
      <c r="L52" s="1202">
        <v>2037</v>
      </c>
      <c r="M52" s="1202">
        <v>2042</v>
      </c>
      <c r="N52" s="1202">
        <v>2047</v>
      </c>
      <c r="O52" s="1202">
        <v>2030</v>
      </c>
    </row>
    <row r="53" spans="2:15">
      <c r="B53" s="1263"/>
      <c r="C53" s="1211">
        <v>1</v>
      </c>
      <c r="D53" s="1211" t="s">
        <v>4197</v>
      </c>
      <c r="E53" s="1268"/>
      <c r="F53" s="1269">
        <v>-1.3818518801016477E-3</v>
      </c>
      <c r="G53" s="1218">
        <v>0.57299999999999995</v>
      </c>
      <c r="H53" s="1223">
        <v>0.59589999999999999</v>
      </c>
      <c r="I53" s="1218">
        <v>0.59425424680905603</v>
      </c>
      <c r="J53" s="1218">
        <v>0.59015972177015674</v>
      </c>
      <c r="K53" s="1218">
        <v>0.58609340878928529</v>
      </c>
      <c r="L53" s="1218">
        <v>0.58205511347998373</v>
      </c>
      <c r="M53" s="1218">
        <v>0.57804464279515433</v>
      </c>
      <c r="N53" s="1218">
        <v>0.57406180501783033</v>
      </c>
      <c r="O53" s="1218">
        <v>0.58771656100550518</v>
      </c>
    </row>
    <row r="54" spans="2:15">
      <c r="B54" s="1263"/>
      <c r="C54" s="1211">
        <v>2</v>
      </c>
      <c r="D54" s="1211" t="s">
        <v>4198</v>
      </c>
      <c r="E54" s="1268"/>
      <c r="F54" s="1269">
        <v>-1.490939946487424E-2</v>
      </c>
      <c r="G54" s="1218">
        <v>0.57299999999999995</v>
      </c>
      <c r="H54" s="1218">
        <v>0.59589999999999999</v>
      </c>
      <c r="I54" s="1218">
        <v>0.57826344044341593</v>
      </c>
      <c r="J54" s="1218">
        <v>0.53642203776898323</v>
      </c>
      <c r="K54" s="1218">
        <v>0.49760815309987638</v>
      </c>
      <c r="L54" s="1218">
        <v>0.46160272434241029</v>
      </c>
      <c r="M54" s="1218">
        <v>0.42820254007688635</v>
      </c>
      <c r="N54" s="1218">
        <v>0.39721909265051386</v>
      </c>
      <c r="O54" s="1218">
        <v>0.51278479269732036</v>
      </c>
    </row>
    <row r="55" spans="2:15">
      <c r="B55" s="1263"/>
      <c r="C55" s="1211">
        <v>3</v>
      </c>
      <c r="D55" s="1211" t="s">
        <v>4199</v>
      </c>
      <c r="E55" s="1268"/>
      <c r="F55" s="1269">
        <v>-1.699578621742448E-2</v>
      </c>
      <c r="G55" s="1218">
        <v>0.57299999999999995</v>
      </c>
      <c r="H55" s="1218">
        <v>0.59589999999999999</v>
      </c>
      <c r="I55" s="1218">
        <v>0.57581655172289103</v>
      </c>
      <c r="J55" s="1218">
        <v>0.52851953220074366</v>
      </c>
      <c r="K55" s="1218">
        <v>0.48510744451840732</v>
      </c>
      <c r="L55" s="1218">
        <v>0.44526118409905097</v>
      </c>
      <c r="M55" s="1218">
        <v>0.40868785730985852</v>
      </c>
      <c r="N55" s="1218">
        <v>0.37511862852021571</v>
      </c>
      <c r="O55" s="1218">
        <v>0.50202712187341769</v>
      </c>
    </row>
    <row r="56" spans="2:15">
      <c r="B56" s="1263"/>
      <c r="C56" s="1211">
        <v>4</v>
      </c>
      <c r="D56" s="1211" t="s">
        <v>4200</v>
      </c>
      <c r="E56" s="1268"/>
      <c r="F56" s="1269">
        <v>-1.9522021501152564E-2</v>
      </c>
      <c r="G56" s="1218">
        <v>0.57299999999999995</v>
      </c>
      <c r="H56" s="1218">
        <v>0.59589999999999999</v>
      </c>
      <c r="I56" s="1218">
        <v>0.57286075782079493</v>
      </c>
      <c r="J56" s="1218">
        <v>0.51908477684207111</v>
      </c>
      <c r="K56" s="1218">
        <v>0.47035689191591146</v>
      </c>
      <c r="L56" s="1218">
        <v>0.42620322468078503</v>
      </c>
      <c r="M56" s="1218">
        <v>0.38619438101222564</v>
      </c>
      <c r="N56" s="1218">
        <v>0.3499412751677855</v>
      </c>
      <c r="O56" s="1218">
        <v>0.48927364645977711</v>
      </c>
    </row>
    <row r="57" spans="2:15">
      <c r="B57" s="1263"/>
      <c r="C57" s="1211"/>
      <c r="D57" s="1290" t="s">
        <v>4161</v>
      </c>
      <c r="E57" s="1272"/>
      <c r="F57" s="1273">
        <v>-7.0000000000000001E-3</v>
      </c>
      <c r="G57" s="1284">
        <v>0.57299999999999995</v>
      </c>
      <c r="H57" s="1284">
        <v>0.59589999999999999</v>
      </c>
      <c r="I57" s="1284">
        <v>0.5875865991</v>
      </c>
      <c r="J57" s="1284">
        <v>0.56730697718712553</v>
      </c>
      <c r="K57" s="1284">
        <v>0.5477272743424515</v>
      </c>
      <c r="L57" s="1284">
        <v>0.52882333396660275</v>
      </c>
      <c r="M57" s="1284">
        <v>0.51057183318701593</v>
      </c>
      <c r="N57" s="1284">
        <v>0.40289999999999998</v>
      </c>
      <c r="O57" s="1284">
        <v>0.55547673020554922</v>
      </c>
    </row>
    <row r="58" spans="2:15" s="1281" customFormat="1">
      <c r="B58" s="1276"/>
      <c r="C58" s="1277"/>
      <c r="D58" s="1277" t="s">
        <v>4162</v>
      </c>
      <c r="E58" s="1278"/>
      <c r="F58" s="1285"/>
      <c r="G58" s="1286">
        <v>0.57299999999999995</v>
      </c>
      <c r="H58" s="1286">
        <v>0.59589999999999999</v>
      </c>
      <c r="I58" s="1286">
        <v>0.57826344044341593</v>
      </c>
      <c r="J58" s="1286">
        <v>0.53642203776898323</v>
      </c>
      <c r="K58" s="1286">
        <v>0.49760815309987638</v>
      </c>
      <c r="L58" s="1286">
        <v>0.46160272434241029</v>
      </c>
      <c r="M58" s="1286">
        <v>0.42820254007688635</v>
      </c>
      <c r="N58" s="1286">
        <v>0.39721909265051386</v>
      </c>
      <c r="O58" s="1286">
        <v>0.51278479269732036</v>
      </c>
    </row>
    <row r="59" spans="2:15">
      <c r="B59" s="1263"/>
      <c r="C59" s="1263"/>
      <c r="D59" s="1263"/>
      <c r="E59" s="1263"/>
      <c r="F59" s="1282"/>
      <c r="G59" s="1219"/>
      <c r="H59" s="1220"/>
      <c r="I59" s="1219"/>
      <c r="J59" s="1219"/>
      <c r="K59" s="1219"/>
      <c r="L59" s="1219"/>
      <c r="M59" s="1219"/>
      <c r="N59" s="1219"/>
      <c r="O59" s="1282"/>
    </row>
    <row r="60" spans="2:15">
      <c r="B60" s="1263"/>
      <c r="C60" s="1266" t="s">
        <v>4204</v>
      </c>
      <c r="D60" s="1263"/>
      <c r="E60" s="1267"/>
      <c r="F60" s="1282"/>
      <c r="G60" s="1219"/>
      <c r="H60" s="1219"/>
      <c r="I60" s="1219"/>
      <c r="J60" s="1219"/>
      <c r="K60" s="1219"/>
      <c r="L60" s="1219"/>
      <c r="M60" s="1219"/>
      <c r="N60" s="1219"/>
      <c r="O60" s="1283"/>
    </row>
    <row r="61" spans="2:15" ht="3.5" customHeight="1">
      <c r="B61" s="1263"/>
      <c r="C61" s="1263"/>
      <c r="D61" s="1263"/>
      <c r="E61" s="1263"/>
      <c r="F61" s="1282"/>
      <c r="G61" s="1219"/>
      <c r="H61" s="1219"/>
      <c r="I61" s="1219"/>
      <c r="J61" s="1219"/>
      <c r="K61" s="1219"/>
      <c r="L61" s="1219"/>
      <c r="M61" s="1219"/>
      <c r="N61" s="1219"/>
      <c r="O61" s="1264" t="s">
        <v>4685</v>
      </c>
    </row>
    <row r="62" spans="2:15">
      <c r="B62" s="1263"/>
      <c r="C62" s="1201" t="s">
        <v>4158</v>
      </c>
      <c r="D62" s="1201" t="s">
        <v>4160</v>
      </c>
      <c r="E62" s="1217" t="s">
        <v>48</v>
      </c>
      <c r="F62" s="1203"/>
      <c r="G62" s="1202">
        <v>2015</v>
      </c>
      <c r="H62" s="1202">
        <v>2020</v>
      </c>
      <c r="I62" s="1202">
        <v>2022</v>
      </c>
      <c r="J62" s="1202">
        <v>2027</v>
      </c>
      <c r="K62" s="1202">
        <v>2032</v>
      </c>
      <c r="L62" s="1202">
        <v>2037</v>
      </c>
      <c r="M62" s="1202">
        <v>2042</v>
      </c>
      <c r="N62" s="1202">
        <v>2047</v>
      </c>
      <c r="O62" s="1202">
        <v>2030</v>
      </c>
    </row>
    <row r="63" spans="2:15">
      <c r="B63" s="1263"/>
      <c r="C63" s="1211">
        <v>1</v>
      </c>
      <c r="D63" s="1211" t="s">
        <v>4197</v>
      </c>
      <c r="E63" s="1268"/>
      <c r="F63" s="1269">
        <v>-3.0000000000000001E-3</v>
      </c>
      <c r="G63" s="1218">
        <v>0.64490000000000003</v>
      </c>
      <c r="H63" s="1223">
        <v>0.54800000000000004</v>
      </c>
      <c r="I63" s="1218">
        <v>0.54471693200000004</v>
      </c>
      <c r="J63" s="1218">
        <v>0.53659505569078647</v>
      </c>
      <c r="K63" s="1218">
        <v>0.52859427874696241</v>
      </c>
      <c r="L63" s="1218">
        <v>0.52071279554434224</v>
      </c>
      <c r="M63" s="1218">
        <v>0.51294882738108338</v>
      </c>
      <c r="N63" s="1218">
        <v>0.50530062207626769</v>
      </c>
      <c r="O63" s="1218">
        <v>0.53178017376800657</v>
      </c>
    </row>
    <row r="64" spans="2:15">
      <c r="B64" s="1263"/>
      <c r="C64" s="1211">
        <v>2</v>
      </c>
      <c r="D64" s="1211" t="s">
        <v>4198</v>
      </c>
      <c r="E64" s="1268"/>
      <c r="F64" s="1269">
        <v>-6.1999999999999998E-3</v>
      </c>
      <c r="G64" s="1218">
        <v>0.64490000000000003</v>
      </c>
      <c r="H64" s="1218">
        <v>0.54800000000000004</v>
      </c>
      <c r="I64" s="1218">
        <v>0.54122586512000004</v>
      </c>
      <c r="J64" s="1218">
        <v>0.52465462462476165</v>
      </c>
      <c r="K64" s="1218">
        <v>0.50859076197165598</v>
      </c>
      <c r="L64" s="1218">
        <v>0.49301874227813985</v>
      </c>
      <c r="M64" s="1218">
        <v>0.47792350630832975</v>
      </c>
      <c r="N64" s="1218">
        <v>0.46329045590966311</v>
      </c>
      <c r="O64" s="1218">
        <v>0.51495642673816533</v>
      </c>
    </row>
    <row r="65" spans="2:15">
      <c r="B65" s="1263"/>
      <c r="C65" s="1211">
        <v>3</v>
      </c>
      <c r="D65" s="1211" t="s">
        <v>4199</v>
      </c>
      <c r="E65" s="1268"/>
      <c r="F65" s="1269">
        <v>-0.01</v>
      </c>
      <c r="G65" s="1218">
        <v>0.64490000000000003</v>
      </c>
      <c r="H65" s="1218">
        <v>0.54800000000000004</v>
      </c>
      <c r="I65" s="1218">
        <v>0.53709479999999998</v>
      </c>
      <c r="J65" s="1218">
        <v>0.51077181065303057</v>
      </c>
      <c r="K65" s="1218">
        <v>0.48573890970043881</v>
      </c>
      <c r="L65" s="1218">
        <v>0.46193286997439181</v>
      </c>
      <c r="M65" s="1218">
        <v>0.43929356306739703</v>
      </c>
      <c r="N65" s="1218">
        <v>0.4177638074622127</v>
      </c>
      <c r="O65" s="1218">
        <v>0.49560137710482477</v>
      </c>
    </row>
    <row r="66" spans="2:15">
      <c r="B66" s="1263"/>
      <c r="C66" s="1211">
        <v>4</v>
      </c>
      <c r="D66" s="1211" t="s">
        <v>4200</v>
      </c>
      <c r="E66" s="1268">
        <v>-0.01</v>
      </c>
      <c r="F66" s="1269">
        <v>-1.9599999999999999E-2</v>
      </c>
      <c r="G66" s="1218">
        <v>0.64490000000000003</v>
      </c>
      <c r="H66" s="1218">
        <v>0.54800000000000004</v>
      </c>
      <c r="I66" s="1218">
        <v>0.52672891968000013</v>
      </c>
      <c r="J66" s="1218">
        <v>0.4770936942723728</v>
      </c>
      <c r="K66" s="1218">
        <v>0.44064005570523979</v>
      </c>
      <c r="L66" s="1218">
        <v>0.41904430856306474</v>
      </c>
      <c r="M66" s="1218">
        <v>0.39850696791069989</v>
      </c>
      <c r="N66" s="1218">
        <v>0.37897616129889417</v>
      </c>
      <c r="O66" s="1218">
        <v>0.44958683369578595</v>
      </c>
    </row>
    <row r="67" spans="2:15">
      <c r="B67" s="1263"/>
      <c r="C67" s="1211"/>
      <c r="D67" s="1290" t="s">
        <v>4161</v>
      </c>
      <c r="E67" s="1272"/>
      <c r="F67" s="1273">
        <v>-0.01</v>
      </c>
      <c r="G67" s="1284">
        <v>0.64490000000000003</v>
      </c>
      <c r="H67" s="1284">
        <v>0.624</v>
      </c>
      <c r="I67" s="1284">
        <v>0.61158239999999997</v>
      </c>
      <c r="J67" s="1284">
        <v>0.58160877709396175</v>
      </c>
      <c r="K67" s="1284">
        <v>0.55310415995086459</v>
      </c>
      <c r="L67" s="1284">
        <v>0.52599655267157019</v>
      </c>
      <c r="M67" s="1284">
        <v>0.50021748787236453</v>
      </c>
      <c r="N67" s="1284">
        <v>0.47570185375259255</v>
      </c>
      <c r="O67" s="1284">
        <v>0.56433441480549384</v>
      </c>
    </row>
    <row r="68" spans="2:15" s="1281" customFormat="1">
      <c r="B68" s="1276"/>
      <c r="C68" s="1277"/>
      <c r="D68" s="1277" t="s">
        <v>4162</v>
      </c>
      <c r="E68" s="1278"/>
      <c r="F68" s="1291"/>
      <c r="G68" s="1286">
        <v>0.64490000000000003</v>
      </c>
      <c r="H68" s="1286">
        <v>0.54800000000000004</v>
      </c>
      <c r="I68" s="1286">
        <v>0.54122586512000004</v>
      </c>
      <c r="J68" s="1286">
        <v>0.52465462462476165</v>
      </c>
      <c r="K68" s="1286">
        <v>0.50859076197165598</v>
      </c>
      <c r="L68" s="1286">
        <v>0.49301874227813985</v>
      </c>
      <c r="M68" s="1286">
        <v>0.47792350630832975</v>
      </c>
      <c r="N68" s="1286">
        <v>0.46329045590966311</v>
      </c>
      <c r="O68" s="1286">
        <v>0.51495642673816533</v>
      </c>
    </row>
    <row r="69" spans="2:15">
      <c r="B69" s="1263"/>
      <c r="C69" s="1263"/>
      <c r="D69" s="1263"/>
      <c r="E69" s="1263"/>
      <c r="F69" s="1282"/>
      <c r="G69" s="1219"/>
      <c r="H69" s="1220"/>
      <c r="I69" s="1219"/>
      <c r="J69" s="1219"/>
      <c r="K69" s="1219"/>
      <c r="L69" s="1219"/>
      <c r="M69" s="1219"/>
      <c r="N69" s="1219"/>
      <c r="O69" s="1292"/>
    </row>
    <row r="70" spans="2:15">
      <c r="B70" s="1263"/>
      <c r="C70" s="1266" t="s">
        <v>4205</v>
      </c>
      <c r="D70" s="1263"/>
      <c r="E70" s="1267"/>
      <c r="F70" s="1282"/>
      <c r="G70" s="1219"/>
      <c r="H70" s="1219"/>
      <c r="I70" s="1219"/>
      <c r="J70" s="1219"/>
      <c r="K70" s="1219"/>
      <c r="L70" s="1219"/>
      <c r="M70" s="1219"/>
      <c r="N70" s="1219"/>
      <c r="O70" s="1263" t="s">
        <v>4685</v>
      </c>
    </row>
    <row r="71" spans="2:15" ht="5" customHeight="1">
      <c r="B71" s="1263"/>
      <c r="C71" s="1263"/>
      <c r="D71" s="1263"/>
      <c r="E71" s="1263"/>
      <c r="F71" s="1282"/>
      <c r="G71" s="1219"/>
      <c r="H71" s="1219"/>
      <c r="I71" s="1219"/>
      <c r="J71" s="1219"/>
      <c r="K71" s="1219"/>
      <c r="L71" s="1219"/>
      <c r="M71" s="1219"/>
      <c r="N71" s="1219"/>
      <c r="O71" s="1263"/>
    </row>
    <row r="72" spans="2:15">
      <c r="B72" s="1263"/>
      <c r="C72" s="1201" t="s">
        <v>4158</v>
      </c>
      <c r="D72" s="1201" t="s">
        <v>4160</v>
      </c>
      <c r="E72" s="1217" t="s">
        <v>48</v>
      </c>
      <c r="F72" s="1203"/>
      <c r="G72" s="1202">
        <v>2015</v>
      </c>
      <c r="H72" s="1202">
        <v>2020</v>
      </c>
      <c r="I72" s="1202">
        <v>2022</v>
      </c>
      <c r="J72" s="1202">
        <v>2027</v>
      </c>
      <c r="K72" s="1202">
        <v>2032</v>
      </c>
      <c r="L72" s="1202">
        <v>2037</v>
      </c>
      <c r="M72" s="1202">
        <v>2042</v>
      </c>
      <c r="N72" s="1202">
        <v>2047</v>
      </c>
      <c r="O72" s="1202">
        <v>2030</v>
      </c>
    </row>
    <row r="73" spans="2:15">
      <c r="B73" s="1263"/>
      <c r="C73" s="1211">
        <v>1</v>
      </c>
      <c r="D73" s="1211" t="s">
        <v>4197</v>
      </c>
      <c r="E73" s="1268"/>
      <c r="F73" s="1269">
        <v>-5.0000000000000001E-3</v>
      </c>
      <c r="G73" s="1219">
        <v>0.92</v>
      </c>
      <c r="H73" s="1219">
        <v>0.88200000000000001</v>
      </c>
      <c r="I73" s="1219">
        <v>0.87320205000000006</v>
      </c>
      <c r="J73" s="1219">
        <v>0.85158921048596525</v>
      </c>
      <c r="K73" s="1219">
        <v>0.83051131569847958</v>
      </c>
      <c r="L73" s="1219">
        <v>0.80995512508855017</v>
      </c>
      <c r="M73" s="1219">
        <v>0.78990772582728086</v>
      </c>
      <c r="N73" s="1219">
        <v>0.77035652469439153</v>
      </c>
      <c r="O73" s="1219">
        <v>0.83887913507081091</v>
      </c>
    </row>
    <row r="74" spans="2:15">
      <c r="B74" s="1263"/>
      <c r="C74" s="1211">
        <v>2</v>
      </c>
      <c r="D74" s="1211" t="s">
        <v>4198</v>
      </c>
      <c r="E74" s="1268"/>
      <c r="F74" s="1269">
        <v>-1.1299999999999999E-2</v>
      </c>
      <c r="G74" s="1219">
        <v>0.92</v>
      </c>
      <c r="H74" s="1219">
        <v>0.88200000000000001</v>
      </c>
      <c r="I74" s="1219">
        <v>0.86217942258000002</v>
      </c>
      <c r="J74" s="1219">
        <v>0.81455483187708844</v>
      </c>
      <c r="K74" s="1219">
        <v>0.7695609020090558</v>
      </c>
      <c r="L74" s="1219">
        <v>0.72705232198580183</v>
      </c>
      <c r="M74" s="1219">
        <v>0.68689180742543199</v>
      </c>
      <c r="N74" s="1219">
        <v>0.64894965718490705</v>
      </c>
      <c r="O74" s="1219">
        <v>0.78725227927717911</v>
      </c>
    </row>
    <row r="75" spans="2:15">
      <c r="B75" s="1263"/>
      <c r="C75" s="1211">
        <v>3</v>
      </c>
      <c r="D75" s="1211" t="s">
        <v>4199</v>
      </c>
      <c r="E75" s="1268"/>
      <c r="F75" s="1269">
        <v>-0.02</v>
      </c>
      <c r="G75" s="1219">
        <v>0.92</v>
      </c>
      <c r="H75" s="1219">
        <v>0.88200000000000001</v>
      </c>
      <c r="I75" s="1219">
        <v>0.84707279999999996</v>
      </c>
      <c r="J75" s="1219">
        <v>0.76568672032360685</v>
      </c>
      <c r="K75" s="1219">
        <v>0.69212015033409335</v>
      </c>
      <c r="L75" s="1219">
        <v>0.62562179777132942</v>
      </c>
      <c r="M75" s="1219">
        <v>0.56551255393690847</v>
      </c>
      <c r="N75" s="1219">
        <v>0.5111785583550531</v>
      </c>
      <c r="O75" s="1219">
        <v>0.72065821567481614</v>
      </c>
    </row>
    <row r="76" spans="2:15">
      <c r="B76" s="1263"/>
      <c r="C76" s="1211">
        <v>4</v>
      </c>
      <c r="D76" s="1211" t="s">
        <v>4200</v>
      </c>
      <c r="E76" s="1268"/>
      <c r="F76" s="1269">
        <v>-2.9399999999999999E-2</v>
      </c>
      <c r="G76" s="1219">
        <v>0.92</v>
      </c>
      <c r="H76" s="1219">
        <v>0.88200000000000001</v>
      </c>
      <c r="I76" s="1219">
        <v>0.83090076552000003</v>
      </c>
      <c r="J76" s="1219">
        <v>0.71573226246851485</v>
      </c>
      <c r="K76" s="1219">
        <v>0.62852651900529044</v>
      </c>
      <c r="L76" s="1219">
        <v>0.56813819186919234</v>
      </c>
      <c r="M76" s="1219">
        <v>0.51355192708691155</v>
      </c>
      <c r="N76" s="1219">
        <v>0.46421026713057656</v>
      </c>
      <c r="O76" s="1219">
        <v>0.65444243961400506</v>
      </c>
    </row>
    <row r="77" spans="2:15">
      <c r="B77" s="1263"/>
      <c r="C77" s="1211"/>
      <c r="D77" s="1290" t="s">
        <v>4161</v>
      </c>
      <c r="E77" s="1272"/>
      <c r="F77" s="1273">
        <v>-0.01</v>
      </c>
      <c r="G77" s="1288">
        <v>0.92</v>
      </c>
      <c r="H77" s="1288">
        <v>0.88200000000000001</v>
      </c>
      <c r="I77" s="1288">
        <v>0.8644482</v>
      </c>
      <c r="J77" s="1288">
        <v>0.82208163685396507</v>
      </c>
      <c r="K77" s="1288">
        <v>0.78179145685362594</v>
      </c>
      <c r="L77" s="1288">
        <v>0.74347589656462332</v>
      </c>
      <c r="M77" s="1288">
        <v>0.70703817997343832</v>
      </c>
      <c r="N77" s="1288">
        <v>0.67238627405414519</v>
      </c>
      <c r="O77" s="1288">
        <v>0.79766499015776537</v>
      </c>
    </row>
    <row r="78" spans="2:15" s="1281" customFormat="1">
      <c r="B78" s="1276"/>
      <c r="C78" s="1277"/>
      <c r="D78" s="1277" t="s">
        <v>4162</v>
      </c>
      <c r="E78" s="1278"/>
      <c r="F78" s="1291"/>
      <c r="G78" s="1286">
        <v>0.92</v>
      </c>
      <c r="H78" s="1286">
        <v>0.88200000000000001</v>
      </c>
      <c r="I78" s="1286">
        <v>0.86217942258000002</v>
      </c>
      <c r="J78" s="1286">
        <v>0.81455483187708844</v>
      </c>
      <c r="K78" s="1286">
        <v>0.7695609020090558</v>
      </c>
      <c r="L78" s="1286">
        <v>0.72705232198580183</v>
      </c>
      <c r="M78" s="1286">
        <v>0.68689180742543199</v>
      </c>
      <c r="N78" s="1286">
        <v>0.64894965718490705</v>
      </c>
      <c r="O78" s="1286">
        <v>0.78725227927717911</v>
      </c>
    </row>
    <row r="79" spans="2:15">
      <c r="B79" s="1263"/>
      <c r="C79" s="1263"/>
      <c r="D79" s="1263"/>
      <c r="E79" s="1263"/>
      <c r="F79" s="1282"/>
      <c r="G79" s="1219"/>
      <c r="H79" s="1220"/>
      <c r="I79" s="1219"/>
      <c r="J79" s="1219"/>
      <c r="K79" s="1219"/>
      <c r="L79" s="1219"/>
      <c r="M79" s="1219"/>
      <c r="N79" s="1219"/>
      <c r="O79" s="1292"/>
    </row>
    <row r="80" spans="2:15">
      <c r="B80" s="1263"/>
      <c r="C80" s="1266" t="s">
        <v>4206</v>
      </c>
      <c r="D80" s="1263"/>
      <c r="E80" s="1267"/>
      <c r="F80" s="1282"/>
      <c r="G80" s="1219"/>
      <c r="H80" s="1219"/>
      <c r="I80" s="1219"/>
      <c r="J80" s="1219"/>
      <c r="K80" s="1219"/>
      <c r="L80" s="1219"/>
      <c r="M80" s="1219"/>
      <c r="N80" s="1219"/>
      <c r="O80" s="1263" t="s">
        <v>4685</v>
      </c>
    </row>
    <row r="81" spans="2:15" ht="5" customHeight="1">
      <c r="B81" s="1263"/>
      <c r="C81" s="1263"/>
      <c r="D81" s="1263"/>
      <c r="E81" s="1263"/>
      <c r="F81" s="1282"/>
      <c r="G81" s="1219"/>
      <c r="H81" s="1219"/>
      <c r="I81" s="1219"/>
      <c r="J81" s="1219"/>
      <c r="K81" s="1219"/>
      <c r="L81" s="1219"/>
      <c r="M81" s="1219"/>
      <c r="N81" s="1219"/>
      <c r="O81" s="1263"/>
    </row>
    <row r="82" spans="2:15">
      <c r="B82" s="1263"/>
      <c r="C82" s="1201" t="s">
        <v>4158</v>
      </c>
      <c r="D82" s="1201" t="s">
        <v>4160</v>
      </c>
      <c r="E82" s="1217" t="s">
        <v>48</v>
      </c>
      <c r="F82" s="1203"/>
      <c r="G82" s="1202">
        <v>2015</v>
      </c>
      <c r="H82" s="1202">
        <v>2020</v>
      </c>
      <c r="I82" s="1202">
        <v>2022</v>
      </c>
      <c r="J82" s="1202">
        <v>2027</v>
      </c>
      <c r="K82" s="1202">
        <v>2032</v>
      </c>
      <c r="L82" s="1202">
        <v>2037</v>
      </c>
      <c r="M82" s="1202">
        <v>2042</v>
      </c>
      <c r="N82" s="1202">
        <v>2047</v>
      </c>
      <c r="O82" s="1202">
        <v>2030</v>
      </c>
    </row>
    <row r="83" spans="2:15">
      <c r="B83" s="1263"/>
      <c r="C83" s="1211">
        <v>1</v>
      </c>
      <c r="D83" s="1211" t="s">
        <v>4197</v>
      </c>
      <c r="E83" s="1268"/>
      <c r="F83" s="1269">
        <v>0</v>
      </c>
      <c r="G83" s="1219" t="s">
        <v>3878</v>
      </c>
      <c r="H83" s="1223">
        <v>0.64800000000000002</v>
      </c>
      <c r="I83" s="1219">
        <v>0.64800000000000002</v>
      </c>
      <c r="J83" s="1219">
        <v>0.64800000000000002</v>
      </c>
      <c r="K83" s="1219">
        <v>0.64800000000000002</v>
      </c>
      <c r="L83" s="1219">
        <v>0.64800000000000002</v>
      </c>
      <c r="M83" s="1219">
        <v>0.64800000000000002</v>
      </c>
      <c r="N83" s="1219">
        <v>0.64800000000000002</v>
      </c>
      <c r="O83" s="1219">
        <v>0.64800000000000002</v>
      </c>
    </row>
    <row r="84" spans="2:15">
      <c r="B84" s="1263"/>
      <c r="C84" s="1211">
        <v>2</v>
      </c>
      <c r="D84" s="1211" t="s">
        <v>4198</v>
      </c>
      <c r="E84" s="1268"/>
      <c r="F84" s="1269">
        <v>-4.0000000000000001E-3</v>
      </c>
      <c r="G84" s="1219" t="s">
        <v>3878</v>
      </c>
      <c r="H84" s="1219">
        <v>0.64800000000000002</v>
      </c>
      <c r="I84" s="1219">
        <v>0.64282636800000004</v>
      </c>
      <c r="J84" s="1219">
        <v>0.63007228227216394</v>
      </c>
      <c r="K84" s="1219">
        <v>0.61757124575147093</v>
      </c>
      <c r="L84" s="1219">
        <v>0.60531823778002336</v>
      </c>
      <c r="M84" s="1219">
        <v>0.59330833731298305</v>
      </c>
      <c r="N84" s="1219">
        <v>0.58153672094218456</v>
      </c>
      <c r="O84" s="1219">
        <v>0.62254161802982111</v>
      </c>
    </row>
    <row r="85" spans="2:15">
      <c r="B85" s="1263"/>
      <c r="C85" s="1211">
        <v>3</v>
      </c>
      <c r="D85" s="1211" t="s">
        <v>4199</v>
      </c>
      <c r="E85" s="1268"/>
      <c r="F85" s="1269">
        <v>-1.4999999999999999E-2</v>
      </c>
      <c r="G85" s="1219" t="s">
        <v>3878</v>
      </c>
      <c r="H85" s="1219">
        <v>0.64800000000000002</v>
      </c>
      <c r="I85" s="1219">
        <v>0.62870579999999998</v>
      </c>
      <c r="J85" s="1219">
        <v>0.58294639289298222</v>
      </c>
      <c r="K85" s="1219">
        <v>0.54051751548488836</v>
      </c>
      <c r="L85" s="1219">
        <v>0.5011767601752557</v>
      </c>
      <c r="M85" s="1219">
        <v>0.4646993626366363</v>
      </c>
      <c r="N85" s="1219">
        <v>0.43087691767547709</v>
      </c>
      <c r="O85" s="1219">
        <v>0.55710532658392475</v>
      </c>
    </row>
    <row r="86" spans="2:15">
      <c r="B86" s="1263"/>
      <c r="C86" s="1211">
        <v>4</v>
      </c>
      <c r="D86" s="1211" t="s">
        <v>4200</v>
      </c>
      <c r="E86" s="1268">
        <v>-1.4999999999999999E-2</v>
      </c>
      <c r="F86" s="1269">
        <v>-2.6800000000000001E-2</v>
      </c>
      <c r="G86" s="1219" t="s">
        <v>3878</v>
      </c>
      <c r="H86" s="1219">
        <v>0.64800000000000002</v>
      </c>
      <c r="I86" s="1219">
        <v>0.61373261951999991</v>
      </c>
      <c r="J86" s="1219">
        <v>0.53578395985210914</v>
      </c>
      <c r="K86" s="1219">
        <v>0.47914666475133699</v>
      </c>
      <c r="L86" s="1219">
        <v>0.44427269461088942</v>
      </c>
      <c r="M86" s="1219">
        <v>0.41193697399366036</v>
      </c>
      <c r="N86" s="1219">
        <v>0.38195476022148112</v>
      </c>
      <c r="O86" s="1219">
        <v>0.49385108067854055</v>
      </c>
    </row>
    <row r="87" spans="2:15">
      <c r="B87" s="1263"/>
      <c r="C87" s="1211"/>
      <c r="D87" s="1290" t="s">
        <v>4161</v>
      </c>
      <c r="E87" s="1272"/>
      <c r="F87" s="1273">
        <v>-8.0000000000000002E-3</v>
      </c>
      <c r="G87" s="1288" t="s">
        <v>3878</v>
      </c>
      <c r="H87" s="1288">
        <v>0.64800000000000002</v>
      </c>
      <c r="I87" s="1288">
        <v>0.63767347200000002</v>
      </c>
      <c r="J87" s="1288">
        <v>0.61257139229256063</v>
      </c>
      <c r="K87" s="1288">
        <v>0.58845745845178621</v>
      </c>
      <c r="L87" s="1288">
        <v>0.5652927720172628</v>
      </c>
      <c r="M87" s="1288">
        <v>0.54303996577034286</v>
      </c>
      <c r="N87" s="1288">
        <v>0.52166314345666154</v>
      </c>
      <c r="O87" s="1288">
        <v>0.59798697894830644</v>
      </c>
    </row>
    <row r="88" spans="2:15" s="1281" customFormat="1">
      <c r="B88" s="1276"/>
      <c r="C88" s="1277"/>
      <c r="D88" s="1277" t="s">
        <v>4162</v>
      </c>
      <c r="E88" s="1278"/>
      <c r="F88" s="1291"/>
      <c r="G88" s="1286" t="s">
        <v>3878</v>
      </c>
      <c r="H88" s="1286">
        <v>0.64800000000000002</v>
      </c>
      <c r="I88" s="1286">
        <v>0.64282636800000004</v>
      </c>
      <c r="J88" s="1286">
        <v>0.63007228227216394</v>
      </c>
      <c r="K88" s="1286">
        <v>0.61757124575147093</v>
      </c>
      <c r="L88" s="1286">
        <v>0.60531823778002336</v>
      </c>
      <c r="M88" s="1286">
        <v>0.59330833731298305</v>
      </c>
      <c r="N88" s="1286">
        <v>0.58153672094218456</v>
      </c>
      <c r="O88" s="1286">
        <v>0.62254161802982111</v>
      </c>
    </row>
    <row r="89" spans="2:15">
      <c r="B89" s="1263"/>
      <c r="C89" s="1263"/>
      <c r="D89" s="1263"/>
      <c r="E89" s="1263"/>
      <c r="F89" s="1282"/>
      <c r="G89" s="1219"/>
      <c r="H89" s="1220"/>
      <c r="I89" s="1219"/>
      <c r="J89" s="1219"/>
      <c r="K89" s="1219"/>
      <c r="L89" s="1219"/>
      <c r="M89" s="1219"/>
      <c r="N89" s="1219"/>
      <c r="O89" s="1292"/>
    </row>
    <row r="90" spans="2:15">
      <c r="B90" s="1263"/>
      <c r="C90" s="1266" t="s">
        <v>4207</v>
      </c>
      <c r="D90" s="1263"/>
      <c r="E90" s="1267"/>
      <c r="F90" s="1282"/>
      <c r="G90" s="1219"/>
      <c r="H90" s="1219"/>
      <c r="I90" s="1219"/>
      <c r="J90" s="1219"/>
      <c r="K90" s="1219"/>
      <c r="L90" s="1219"/>
      <c r="M90" s="1219"/>
      <c r="N90" s="1219"/>
      <c r="O90" s="1263" t="s">
        <v>4686</v>
      </c>
    </row>
    <row r="91" spans="2:15" ht="5" customHeight="1">
      <c r="B91" s="1263"/>
      <c r="C91" s="1263"/>
      <c r="D91" s="1263"/>
      <c r="E91" s="1263"/>
      <c r="F91" s="1282"/>
      <c r="G91" s="1219"/>
      <c r="H91" s="1219"/>
      <c r="I91" s="1219"/>
      <c r="J91" s="1219"/>
      <c r="K91" s="1219"/>
      <c r="L91" s="1219"/>
      <c r="M91" s="1219"/>
      <c r="N91" s="1219"/>
      <c r="O91" s="1263"/>
    </row>
    <row r="92" spans="2:15">
      <c r="B92" s="1263"/>
      <c r="C92" s="1201" t="s">
        <v>4158</v>
      </c>
      <c r="D92" s="1201" t="s">
        <v>4160</v>
      </c>
      <c r="E92" s="1217" t="s">
        <v>48</v>
      </c>
      <c r="F92" s="1203"/>
      <c r="G92" s="1202">
        <v>2015</v>
      </c>
      <c r="H92" s="1202">
        <v>2020</v>
      </c>
      <c r="I92" s="1202">
        <v>2022</v>
      </c>
      <c r="J92" s="1202">
        <v>2027</v>
      </c>
      <c r="K92" s="1202">
        <v>2032</v>
      </c>
      <c r="L92" s="1202">
        <v>2037</v>
      </c>
      <c r="M92" s="1202">
        <v>2042</v>
      </c>
      <c r="N92" s="1202">
        <v>2047</v>
      </c>
      <c r="O92" s="1202">
        <v>2030</v>
      </c>
    </row>
    <row r="93" spans="2:15">
      <c r="B93" s="1263"/>
      <c r="C93" s="1211">
        <v>1</v>
      </c>
      <c r="D93" s="1211" t="s">
        <v>4197</v>
      </c>
      <c r="E93" s="1268"/>
      <c r="F93" s="1293">
        <v>0.01</v>
      </c>
      <c r="G93" s="1294" t="s">
        <v>3878</v>
      </c>
      <c r="H93" s="1222">
        <v>9.5102999999999993E-3</v>
      </c>
      <c r="I93" s="1222">
        <v>9.321045029999999E-3</v>
      </c>
      <c r="J93" s="1222">
        <v>8.8642210781998462E-3</v>
      </c>
      <c r="K93" s="1222">
        <v>8.4297860454819028E-3</v>
      </c>
      <c r="L93" s="1222">
        <v>8.0166426520391562E-3</v>
      </c>
      <c r="M93" s="1222">
        <v>7.623747395693185E-3</v>
      </c>
      <c r="N93" s="1222">
        <v>7.250107916255257E-3</v>
      </c>
      <c r="O93" s="1222">
        <v>8.6009448479562305E-3</v>
      </c>
    </row>
    <row r="94" spans="2:15">
      <c r="B94" s="1263"/>
      <c r="C94" s="1211">
        <v>2</v>
      </c>
      <c r="D94" s="1211" t="s">
        <v>4198</v>
      </c>
      <c r="E94" s="1268"/>
      <c r="F94" s="1293">
        <v>0.02</v>
      </c>
      <c r="G94" s="1294" t="s">
        <v>3878</v>
      </c>
      <c r="H94" s="1222">
        <v>9.5102999999999993E-3</v>
      </c>
      <c r="I94" s="1222">
        <v>9.1336921199999983E-3</v>
      </c>
      <c r="J94" s="1222">
        <v>8.2561342588362788E-3</v>
      </c>
      <c r="K94" s="1222">
        <v>7.4628914577350653E-3</v>
      </c>
      <c r="L94" s="1222">
        <v>6.7458627929077933E-3</v>
      </c>
      <c r="M94" s="1222">
        <v>6.0977256708686844E-3</v>
      </c>
      <c r="N94" s="1222">
        <v>5.5118610470794348E-3</v>
      </c>
      <c r="O94" s="1222">
        <v>7.7706075153426337E-3</v>
      </c>
    </row>
    <row r="95" spans="2:15">
      <c r="B95" s="1263"/>
      <c r="C95" s="1211">
        <v>3</v>
      </c>
      <c r="D95" s="1211" t="s">
        <v>4199</v>
      </c>
      <c r="E95" s="1268"/>
      <c r="F95" s="1295">
        <v>2.5600000000000001E-2</v>
      </c>
      <c r="G95" s="1294" t="s">
        <v>3878</v>
      </c>
      <c r="H95" s="1222">
        <v>9.5102999999999993E-3</v>
      </c>
      <c r="I95" s="1222">
        <v>9.0296053102079995E-3</v>
      </c>
      <c r="J95" s="1222">
        <v>7.9314966271237068E-3</v>
      </c>
      <c r="K95" s="1222">
        <v>6.9669311763778108E-3</v>
      </c>
      <c r="L95" s="1222">
        <v>6.1196684936354892E-3</v>
      </c>
      <c r="M95" s="1222">
        <v>5.3754431504899301E-3</v>
      </c>
      <c r="N95" s="1222">
        <v>4.7217245663226E-3</v>
      </c>
      <c r="O95" s="1222">
        <v>7.3378185746171467E-3</v>
      </c>
    </row>
    <row r="96" spans="2:15">
      <c r="B96" s="1263"/>
      <c r="C96" s="1211">
        <v>4</v>
      </c>
      <c r="D96" s="1211" t="s">
        <v>4200</v>
      </c>
      <c r="E96" s="1268"/>
      <c r="F96" s="1293">
        <v>0.03</v>
      </c>
      <c r="G96" s="1294" t="s">
        <v>3878</v>
      </c>
      <c r="H96" s="1222">
        <v>9.5102999999999993E-3</v>
      </c>
      <c r="I96" s="1222">
        <v>8.9482412699999989E-3</v>
      </c>
      <c r="J96" s="1222">
        <v>7.6841592487219791E-3</v>
      </c>
      <c r="K96" s="1222">
        <v>6.5986490057749116E-3</v>
      </c>
      <c r="L96" s="1222">
        <v>5.6664844249103927E-3</v>
      </c>
      <c r="M96" s="1222">
        <v>4.8660029817696503E-3</v>
      </c>
      <c r="N96" s="1222">
        <v>4.1786023296032553E-3</v>
      </c>
      <c r="O96" s="1222">
        <v>7.0131246740088348E-3</v>
      </c>
    </row>
    <row r="97" spans="1:117">
      <c r="B97" s="1263"/>
      <c r="C97" s="1211"/>
      <c r="D97" s="1290" t="s">
        <v>4161</v>
      </c>
      <c r="E97" s="1272"/>
      <c r="F97" s="1296"/>
      <c r="G97" s="1287"/>
      <c r="H97" s="1297">
        <v>9.5102999999999993E-3</v>
      </c>
      <c r="I97" s="1297">
        <v>9.1336921199999983E-3</v>
      </c>
      <c r="J97" s="1297">
        <v>8.2561342588362788E-3</v>
      </c>
      <c r="K97" s="1297">
        <v>7.4628914577350653E-3</v>
      </c>
      <c r="L97" s="1297">
        <v>6.7458627929077933E-3</v>
      </c>
      <c r="M97" s="1297">
        <v>6.0977256708686844E-3</v>
      </c>
      <c r="N97" s="1297">
        <v>5.5118610470794348E-3</v>
      </c>
      <c r="O97" s="1297">
        <v>7.7706075153426337E-3</v>
      </c>
    </row>
    <row r="98" spans="1:117" s="1281" customFormat="1">
      <c r="B98" s="1276"/>
      <c r="C98" s="1277"/>
      <c r="D98" s="1277" t="s">
        <v>4162</v>
      </c>
      <c r="E98" s="1278"/>
      <c r="F98" s="1285"/>
      <c r="G98" s="1298"/>
      <c r="H98" s="1298">
        <v>9.5102999999999993E-3</v>
      </c>
      <c r="I98" s="1298">
        <v>9.1336921199999983E-3</v>
      </c>
      <c r="J98" s="1298">
        <v>8.2561342588362788E-3</v>
      </c>
      <c r="K98" s="1298">
        <v>7.4628914577350653E-3</v>
      </c>
      <c r="L98" s="1298">
        <v>6.7458627929077933E-3</v>
      </c>
      <c r="M98" s="1298">
        <v>6.0977256708686844E-3</v>
      </c>
      <c r="N98" s="1298">
        <v>5.5118610470794348E-3</v>
      </c>
      <c r="O98" s="1298">
        <v>7.7706075153426337E-3</v>
      </c>
    </row>
    <row r="99" spans="1:117">
      <c r="B99" s="1263"/>
      <c r="C99" s="1263"/>
      <c r="D99" s="1263"/>
      <c r="E99" s="1263"/>
      <c r="F99" s="1264"/>
      <c r="G99" s="1220"/>
      <c r="H99" s="1220"/>
      <c r="I99" s="1220"/>
      <c r="J99" s="1220"/>
      <c r="K99" s="1220"/>
      <c r="L99" s="1220"/>
      <c r="M99" s="1220"/>
      <c r="N99" s="1220"/>
      <c r="O99" s="1264"/>
    </row>
    <row r="100" spans="1:117" ht="9.75" customHeight="1">
      <c r="B100" s="1263"/>
      <c r="C100" s="1263"/>
      <c r="D100" s="1263"/>
      <c r="E100" s="1263"/>
      <c r="F100" s="1264"/>
      <c r="G100" s="1220"/>
      <c r="H100" s="1220"/>
      <c r="I100" s="1220"/>
      <c r="J100" s="1220"/>
      <c r="K100" s="1220"/>
      <c r="L100" s="1220"/>
      <c r="M100" s="1220"/>
      <c r="N100" s="1220"/>
      <c r="O100" s="1263"/>
    </row>
    <row r="101" spans="1:117">
      <c r="B101" s="1263"/>
      <c r="C101" s="1263"/>
      <c r="D101" s="1263"/>
      <c r="E101" s="1263"/>
      <c r="F101" s="1264"/>
      <c r="G101" s="1220"/>
      <c r="H101" s="1220"/>
      <c r="I101" s="1220"/>
      <c r="J101" s="1220"/>
      <c r="K101" s="1220"/>
      <c r="L101" s="1220"/>
      <c r="M101" s="1220"/>
      <c r="N101" s="1220"/>
      <c r="O101" s="1263"/>
    </row>
    <row r="102" spans="1:117">
      <c r="B102" s="1263"/>
      <c r="C102" s="1263"/>
      <c r="D102" s="1263"/>
      <c r="E102" s="1263"/>
      <c r="F102" s="1264"/>
      <c r="G102" s="1220"/>
      <c r="H102" s="1220"/>
      <c r="I102" s="1220"/>
      <c r="J102" s="1220"/>
      <c r="K102" s="1220"/>
      <c r="L102" s="1220"/>
      <c r="M102" s="1220"/>
      <c r="N102" s="1220"/>
      <c r="O102" s="1263"/>
    </row>
    <row r="103" spans="1:117">
      <c r="F103" s="1299"/>
    </row>
    <row r="104" spans="1:117" s="1243" customFormat="1" ht="24" collapsed="1">
      <c r="A104" s="1260"/>
      <c r="B104" s="1213" t="s">
        <v>4208</v>
      </c>
      <c r="C104" s="1261"/>
      <c r="D104" s="1261"/>
      <c r="E104" s="1261"/>
      <c r="F104" s="1300"/>
      <c r="G104" s="1262"/>
      <c r="H104" s="1262"/>
      <c r="I104" s="1262"/>
      <c r="J104" s="1262"/>
      <c r="K104" s="1262"/>
      <c r="L104" s="1262"/>
      <c r="M104" s="1262"/>
      <c r="N104" s="1262"/>
      <c r="O104" s="1261"/>
    </row>
    <row r="105" spans="1:117">
      <c r="B105" s="1263"/>
      <c r="C105" s="1263"/>
      <c r="D105" s="1263"/>
      <c r="E105" s="1263"/>
      <c r="F105" s="1301"/>
      <c r="G105" s="1220"/>
      <c r="H105" s="1220"/>
      <c r="I105" s="1220"/>
      <c r="J105" s="1220"/>
      <c r="K105" s="1220"/>
      <c r="L105" s="1220"/>
      <c r="M105" s="1220"/>
      <c r="N105" s="1220"/>
      <c r="O105" s="1263"/>
    </row>
    <row r="106" spans="1:117" s="1302" customFormat="1">
      <c r="A106" s="1241"/>
      <c r="B106" s="1263"/>
      <c r="C106" s="1266" t="s">
        <v>4209</v>
      </c>
      <c r="D106" s="1263"/>
      <c r="E106" s="1263"/>
      <c r="F106" s="1264"/>
      <c r="G106" s="1208" t="s">
        <v>4210</v>
      </c>
      <c r="H106" s="1220"/>
      <c r="I106" s="1220"/>
      <c r="J106" s="1220"/>
      <c r="K106" s="1220"/>
      <c r="L106" s="1220"/>
      <c r="M106" s="1220"/>
      <c r="N106" s="1220"/>
      <c r="O106" s="1263"/>
      <c r="P106" s="1241"/>
      <c r="Q106" s="1241"/>
      <c r="R106" s="1241"/>
      <c r="S106" s="1241"/>
      <c r="T106" s="1241"/>
      <c r="U106" s="1241"/>
      <c r="V106" s="1241"/>
      <c r="W106" s="1241"/>
      <c r="X106" s="1241"/>
      <c r="Y106" s="1241"/>
      <c r="Z106" s="1241"/>
      <c r="AA106" s="1241"/>
      <c r="AB106" s="1241"/>
      <c r="AC106" s="1241"/>
      <c r="AD106" s="1241"/>
      <c r="AE106" s="1241"/>
      <c r="AF106" s="1241"/>
      <c r="AG106" s="1241"/>
      <c r="AH106" s="1241"/>
      <c r="AI106" s="1241"/>
      <c r="AJ106" s="1241"/>
      <c r="AK106" s="1241"/>
      <c r="AL106" s="1241"/>
      <c r="AM106" s="1241"/>
      <c r="AN106" s="1241"/>
      <c r="AO106" s="1241"/>
      <c r="AP106" s="1241"/>
      <c r="AQ106" s="1241"/>
      <c r="AR106" s="1241"/>
      <c r="AS106" s="1241"/>
      <c r="AT106" s="1241"/>
      <c r="AU106" s="1241"/>
      <c r="AV106" s="1241"/>
      <c r="AW106" s="1241"/>
      <c r="AX106" s="1241"/>
      <c r="AY106" s="1241"/>
      <c r="AZ106" s="1241"/>
      <c r="BA106" s="1241"/>
      <c r="BB106" s="1241"/>
      <c r="BC106" s="1241"/>
      <c r="BD106" s="1241"/>
      <c r="BE106" s="1241"/>
      <c r="BF106" s="1241"/>
      <c r="BG106" s="1241"/>
      <c r="BH106" s="1241"/>
      <c r="BI106" s="1241"/>
      <c r="BJ106" s="1241"/>
      <c r="BK106" s="1241"/>
      <c r="BL106" s="1241"/>
      <c r="BM106" s="1241"/>
      <c r="BN106" s="1241"/>
      <c r="BO106" s="1241"/>
      <c r="BP106" s="1241"/>
      <c r="BQ106" s="1241"/>
      <c r="BR106" s="1241"/>
      <c r="BS106" s="1241"/>
      <c r="BT106" s="1241"/>
      <c r="BU106" s="1241"/>
      <c r="BV106" s="1241"/>
      <c r="BW106" s="1241"/>
      <c r="BX106" s="1241"/>
      <c r="BY106" s="1241"/>
      <c r="BZ106" s="1241"/>
      <c r="CA106" s="1241"/>
      <c r="CB106" s="1241"/>
      <c r="CC106" s="1241"/>
      <c r="CD106" s="1241"/>
      <c r="CE106" s="1241"/>
      <c r="CF106" s="1241"/>
      <c r="CG106" s="1241"/>
      <c r="CH106" s="1241"/>
      <c r="CI106" s="1241"/>
      <c r="CJ106" s="1241"/>
      <c r="CK106" s="1241"/>
      <c r="CL106" s="1241"/>
      <c r="CM106" s="1241"/>
      <c r="CN106" s="1241"/>
      <c r="CO106" s="1241"/>
      <c r="CP106" s="1241"/>
      <c r="CQ106" s="1241"/>
      <c r="CR106" s="1241"/>
      <c r="CS106" s="1241"/>
      <c r="CT106" s="1241"/>
      <c r="CU106" s="1241"/>
      <c r="CV106" s="1241"/>
      <c r="CW106" s="1241"/>
      <c r="CX106" s="1241"/>
      <c r="CY106" s="1241"/>
      <c r="CZ106" s="1241"/>
      <c r="DA106" s="1241"/>
      <c r="DB106" s="1241"/>
      <c r="DC106" s="1241"/>
      <c r="DD106" s="1241"/>
      <c r="DE106" s="1241"/>
      <c r="DF106" s="1241"/>
      <c r="DG106" s="1241"/>
      <c r="DH106" s="1241"/>
      <c r="DI106" s="1241"/>
      <c r="DJ106" s="1241"/>
      <c r="DK106" s="1241"/>
      <c r="DL106" s="1241"/>
      <c r="DM106" s="1241"/>
    </row>
    <row r="107" spans="1:117" s="1302" customFormat="1" ht="5" customHeight="1">
      <c r="A107" s="1241"/>
      <c r="B107" s="1263"/>
      <c r="C107" s="1263"/>
      <c r="D107" s="1263"/>
      <c r="E107" s="1263"/>
      <c r="F107" s="1264"/>
      <c r="G107" s="1208"/>
      <c r="H107" s="1220"/>
      <c r="I107" s="1220"/>
      <c r="J107" s="1220"/>
      <c r="K107" s="1220"/>
      <c r="L107" s="1220"/>
      <c r="M107" s="1220"/>
      <c r="N107" s="1220"/>
      <c r="O107" s="1263"/>
      <c r="P107" s="1241"/>
      <c r="Q107" s="1241"/>
      <c r="R107" s="1241"/>
      <c r="S107" s="1241"/>
      <c r="T107" s="1241"/>
      <c r="U107" s="1241"/>
      <c r="V107" s="1241"/>
      <c r="W107" s="1241"/>
      <c r="X107" s="1241"/>
      <c r="Y107" s="1241"/>
      <c r="Z107" s="1241"/>
      <c r="AA107" s="1241"/>
      <c r="AB107" s="1241"/>
      <c r="AC107" s="1241"/>
      <c r="AD107" s="1241"/>
      <c r="AE107" s="1241"/>
      <c r="AF107" s="1241"/>
      <c r="AG107" s="1241"/>
      <c r="AH107" s="1241"/>
      <c r="AI107" s="1241"/>
      <c r="AJ107" s="1241"/>
      <c r="AK107" s="1241"/>
      <c r="AL107" s="1241"/>
      <c r="AM107" s="1241"/>
      <c r="AN107" s="1241"/>
      <c r="AO107" s="1241"/>
      <c r="AP107" s="1241"/>
      <c r="AQ107" s="1241"/>
      <c r="AR107" s="1241"/>
      <c r="AS107" s="1241"/>
      <c r="AT107" s="1241"/>
      <c r="AU107" s="1241"/>
      <c r="AV107" s="1241"/>
      <c r="AW107" s="1241"/>
      <c r="AX107" s="1241"/>
      <c r="AY107" s="1241"/>
      <c r="AZ107" s="1241"/>
      <c r="BA107" s="1241"/>
      <c r="BB107" s="1241"/>
      <c r="BC107" s="1241"/>
      <c r="BD107" s="1241"/>
      <c r="BE107" s="1241"/>
      <c r="BF107" s="1241"/>
      <c r="BG107" s="1241"/>
      <c r="BH107" s="1241"/>
      <c r="BI107" s="1241"/>
      <c r="BJ107" s="1241"/>
      <c r="BK107" s="1241"/>
      <c r="BL107" s="1241"/>
      <c r="BM107" s="1241"/>
      <c r="BN107" s="1241"/>
      <c r="BO107" s="1241"/>
      <c r="BP107" s="1241"/>
      <c r="BQ107" s="1241"/>
      <c r="BR107" s="1241"/>
      <c r="BS107" s="1241"/>
      <c r="BT107" s="1241"/>
      <c r="BU107" s="1241"/>
      <c r="BV107" s="1241"/>
      <c r="BW107" s="1241"/>
      <c r="BX107" s="1241"/>
      <c r="BY107" s="1241"/>
      <c r="BZ107" s="1241"/>
      <c r="CA107" s="1241"/>
      <c r="CB107" s="1241"/>
      <c r="CC107" s="1241"/>
      <c r="CD107" s="1241"/>
      <c r="CE107" s="1241"/>
      <c r="CF107" s="1241"/>
      <c r="CG107" s="1241"/>
      <c r="CH107" s="1241"/>
      <c r="CI107" s="1241"/>
      <c r="CJ107" s="1241"/>
      <c r="CK107" s="1241"/>
      <c r="CL107" s="1241"/>
      <c r="CM107" s="1241"/>
      <c r="CN107" s="1241"/>
      <c r="CO107" s="1241"/>
      <c r="CP107" s="1241"/>
      <c r="CQ107" s="1241"/>
      <c r="CR107" s="1241"/>
      <c r="CS107" s="1241"/>
      <c r="CT107" s="1241"/>
      <c r="CU107" s="1241"/>
      <c r="CV107" s="1241"/>
      <c r="CW107" s="1241"/>
      <c r="CX107" s="1241"/>
      <c r="CY107" s="1241"/>
      <c r="CZ107" s="1241"/>
      <c r="DA107" s="1241"/>
      <c r="DB107" s="1241"/>
      <c r="DC107" s="1241"/>
      <c r="DD107" s="1241"/>
      <c r="DE107" s="1241"/>
      <c r="DF107" s="1241"/>
      <c r="DG107" s="1241"/>
      <c r="DH107" s="1241"/>
      <c r="DI107" s="1241"/>
      <c r="DJ107" s="1241"/>
      <c r="DK107" s="1241"/>
      <c r="DL107" s="1241"/>
      <c r="DM107" s="1241"/>
    </row>
    <row r="108" spans="1:117" s="1302" customFormat="1">
      <c r="A108" s="1241"/>
      <c r="B108" s="1263"/>
      <c r="C108" s="1206" t="s">
        <v>4166</v>
      </c>
      <c r="D108" s="1206" t="s">
        <v>413</v>
      </c>
      <c r="E108" s="1206" t="s">
        <v>48</v>
      </c>
      <c r="F108" s="1303" t="s">
        <v>3850</v>
      </c>
      <c r="G108" s="1207">
        <v>2015</v>
      </c>
      <c r="H108" s="1207">
        <v>2016</v>
      </c>
      <c r="I108" s="1207">
        <v>2017</v>
      </c>
      <c r="J108" s="1207">
        <v>2018</v>
      </c>
      <c r="K108" s="1207">
        <v>2019</v>
      </c>
      <c r="L108" s="1207">
        <v>2020</v>
      </c>
      <c r="M108" s="1220"/>
      <c r="N108" s="1220"/>
      <c r="O108" s="1263"/>
      <c r="P108" s="1241"/>
      <c r="Q108" s="1241"/>
      <c r="R108" s="1241"/>
      <c r="S108" s="1241"/>
      <c r="T108" s="1241"/>
      <c r="U108" s="1241"/>
      <c r="V108" s="1241"/>
      <c r="W108" s="1241"/>
      <c r="X108" s="1241"/>
      <c r="Y108" s="1241"/>
      <c r="Z108" s="1241"/>
      <c r="AA108" s="1241"/>
      <c r="AB108" s="1241"/>
      <c r="AC108" s="1241"/>
      <c r="AD108" s="1241"/>
      <c r="AE108" s="1241"/>
      <c r="AF108" s="1241"/>
      <c r="AG108" s="1241"/>
      <c r="AH108" s="1241"/>
      <c r="AI108" s="1241"/>
      <c r="AJ108" s="1241"/>
      <c r="AK108" s="1241"/>
      <c r="AL108" s="1241"/>
      <c r="AM108" s="1241"/>
      <c r="AN108" s="1241"/>
      <c r="AO108" s="1241"/>
      <c r="AP108" s="1241"/>
      <c r="AQ108" s="1241"/>
      <c r="AR108" s="1241"/>
      <c r="AS108" s="1241"/>
      <c r="AT108" s="1241"/>
      <c r="AU108" s="1241"/>
      <c r="AV108" s="1241"/>
      <c r="AW108" s="1241"/>
      <c r="AX108" s="1241"/>
      <c r="AY108" s="1241"/>
      <c r="AZ108" s="1241"/>
      <c r="BA108" s="1241"/>
      <c r="BB108" s="1241"/>
      <c r="BC108" s="1241"/>
      <c r="BD108" s="1241"/>
      <c r="BE108" s="1241"/>
      <c r="BF108" s="1241"/>
      <c r="BG108" s="1241"/>
      <c r="BH108" s="1241"/>
      <c r="BI108" s="1241"/>
      <c r="BJ108" s="1241"/>
      <c r="BK108" s="1241"/>
      <c r="BL108" s="1241"/>
      <c r="BM108" s="1241"/>
      <c r="BN108" s="1241"/>
      <c r="BO108" s="1241"/>
      <c r="BP108" s="1241"/>
      <c r="BQ108" s="1241"/>
      <c r="BR108" s="1241"/>
      <c r="BS108" s="1241"/>
      <c r="BT108" s="1241"/>
      <c r="BU108" s="1241"/>
      <c r="BV108" s="1241"/>
      <c r="BW108" s="1241"/>
      <c r="BX108" s="1241"/>
      <c r="BY108" s="1241"/>
      <c r="BZ108" s="1241"/>
      <c r="CA108" s="1241"/>
      <c r="CB108" s="1241"/>
      <c r="CC108" s="1241"/>
      <c r="CD108" s="1241"/>
      <c r="CE108" s="1241"/>
      <c r="CF108" s="1241"/>
      <c r="CG108" s="1241"/>
      <c r="CH108" s="1241"/>
      <c r="CI108" s="1241"/>
      <c r="CJ108" s="1241"/>
      <c r="CK108" s="1241"/>
      <c r="CL108" s="1241"/>
      <c r="CM108" s="1241"/>
      <c r="CN108" s="1241"/>
      <c r="CO108" s="1241"/>
      <c r="CP108" s="1241"/>
      <c r="CQ108" s="1241"/>
      <c r="CR108" s="1241"/>
      <c r="CS108" s="1241"/>
      <c r="CT108" s="1241"/>
      <c r="CU108" s="1241"/>
      <c r="CV108" s="1241"/>
      <c r="CW108" s="1241"/>
      <c r="CX108" s="1241"/>
      <c r="CY108" s="1241"/>
      <c r="CZ108" s="1241"/>
      <c r="DA108" s="1241"/>
      <c r="DB108" s="1241"/>
      <c r="DC108" s="1241"/>
      <c r="DD108" s="1241"/>
      <c r="DE108" s="1241"/>
      <c r="DF108" s="1241"/>
      <c r="DG108" s="1241"/>
      <c r="DH108" s="1241"/>
      <c r="DI108" s="1241"/>
      <c r="DJ108" s="1241"/>
      <c r="DK108" s="1241"/>
      <c r="DL108" s="1241"/>
      <c r="DM108" s="1241"/>
    </row>
    <row r="109" spans="1:117" s="1302" customFormat="1" ht="15">
      <c r="A109" s="1241"/>
      <c r="B109" s="1263"/>
      <c r="C109" s="1211"/>
      <c r="D109" s="1304" t="s">
        <v>418</v>
      </c>
      <c r="E109" s="1305" t="s">
        <v>3925</v>
      </c>
      <c r="F109" s="1306">
        <v>4.4556947567084171E-2</v>
      </c>
      <c r="G109" s="1307">
        <v>271</v>
      </c>
      <c r="H109" s="1308">
        <v>283</v>
      </c>
      <c r="I109" s="1308">
        <v>280</v>
      </c>
      <c r="J109" s="1308">
        <v>298</v>
      </c>
      <c r="K109" s="1308">
        <v>337</v>
      </c>
      <c r="L109" s="1308">
        <v>337</v>
      </c>
      <c r="M109" s="1220"/>
      <c r="N109" s="1220"/>
      <c r="O109" s="1263"/>
      <c r="P109" s="1241"/>
      <c r="Q109" s="1241"/>
      <c r="R109" s="1241"/>
      <c r="S109" s="1241"/>
      <c r="T109" s="1241"/>
      <c r="U109" s="1241"/>
      <c r="V109" s="1241"/>
      <c r="W109" s="1241"/>
      <c r="X109" s="1241"/>
      <c r="Y109" s="1241"/>
      <c r="Z109" s="1241"/>
      <c r="AA109" s="1241"/>
      <c r="AB109" s="1241"/>
      <c r="AC109" s="1241"/>
      <c r="AD109" s="1241"/>
      <c r="AE109" s="1241"/>
      <c r="AF109" s="1241"/>
      <c r="AG109" s="1241"/>
      <c r="AH109" s="1241"/>
      <c r="AI109" s="1241"/>
      <c r="AJ109" s="1241"/>
      <c r="AK109" s="1241"/>
      <c r="AL109" s="1241"/>
      <c r="AM109" s="1241"/>
      <c r="AN109" s="1241"/>
      <c r="AO109" s="1241"/>
      <c r="AP109" s="1241"/>
      <c r="AQ109" s="1241"/>
      <c r="AR109" s="1241"/>
      <c r="AS109" s="1241"/>
      <c r="AT109" s="1241"/>
      <c r="AU109" s="1241"/>
      <c r="AV109" s="1241"/>
      <c r="AW109" s="1241"/>
      <c r="AX109" s="1241"/>
      <c r="AY109" s="1241"/>
      <c r="AZ109" s="1241"/>
      <c r="BA109" s="1241"/>
      <c r="BB109" s="1241"/>
      <c r="BC109" s="1241"/>
      <c r="BD109" s="1241"/>
      <c r="BE109" s="1241"/>
      <c r="BF109" s="1241"/>
      <c r="BG109" s="1241"/>
      <c r="BH109" s="1241"/>
      <c r="BI109" s="1241"/>
      <c r="BJ109" s="1241"/>
      <c r="BK109" s="1241"/>
      <c r="BL109" s="1241"/>
      <c r="BM109" s="1241"/>
      <c r="BN109" s="1241"/>
      <c r="BO109" s="1241"/>
      <c r="BP109" s="1241"/>
      <c r="BQ109" s="1241"/>
      <c r="BR109" s="1241"/>
      <c r="BS109" s="1241"/>
      <c r="BT109" s="1241"/>
      <c r="BU109" s="1241"/>
      <c r="BV109" s="1241"/>
      <c r="BW109" s="1241"/>
      <c r="BX109" s="1241"/>
      <c r="BY109" s="1241"/>
      <c r="BZ109" s="1241"/>
      <c r="CA109" s="1241"/>
      <c r="CB109" s="1241"/>
      <c r="CC109" s="1241"/>
      <c r="CD109" s="1241"/>
      <c r="CE109" s="1241"/>
      <c r="CF109" s="1241"/>
      <c r="CG109" s="1241"/>
      <c r="CH109" s="1241"/>
      <c r="CI109" s="1241"/>
      <c r="CJ109" s="1241"/>
      <c r="CK109" s="1241"/>
      <c r="CL109" s="1241"/>
      <c r="CM109" s="1241"/>
      <c r="CN109" s="1241"/>
      <c r="CO109" s="1241"/>
      <c r="CP109" s="1241"/>
      <c r="CQ109" s="1241"/>
      <c r="CR109" s="1241"/>
      <c r="CS109" s="1241"/>
      <c r="CT109" s="1241"/>
      <c r="CU109" s="1241"/>
      <c r="CV109" s="1241"/>
      <c r="CW109" s="1241"/>
      <c r="CX109" s="1241"/>
      <c r="CY109" s="1241"/>
      <c r="CZ109" s="1241"/>
      <c r="DA109" s="1241"/>
      <c r="DB109" s="1241"/>
      <c r="DC109" s="1241"/>
      <c r="DD109" s="1241"/>
      <c r="DE109" s="1241"/>
      <c r="DF109" s="1241"/>
      <c r="DG109" s="1241"/>
      <c r="DH109" s="1241"/>
      <c r="DI109" s="1241"/>
      <c r="DJ109" s="1241"/>
      <c r="DK109" s="1241"/>
      <c r="DL109" s="1241"/>
      <c r="DM109" s="1241"/>
    </row>
    <row r="110" spans="1:117" s="1302" customFormat="1" ht="15">
      <c r="A110" s="1241"/>
      <c r="B110" s="1263"/>
      <c r="C110" s="1211"/>
      <c r="D110" s="1304" t="s">
        <v>421</v>
      </c>
      <c r="E110" s="1305" t="s">
        <v>3925</v>
      </c>
      <c r="F110" s="1306">
        <v>1.8274049748473464E-2</v>
      </c>
      <c r="G110" s="1307">
        <v>30.6</v>
      </c>
      <c r="H110" s="1308">
        <v>30.6</v>
      </c>
      <c r="I110" s="1308">
        <v>29.6</v>
      </c>
      <c r="J110" s="1308">
        <v>29.8</v>
      </c>
      <c r="K110" s="1308">
        <v>31.3</v>
      </c>
      <c r="L110" s="1308">
        <v>33.5</v>
      </c>
      <c r="M110" s="1220"/>
      <c r="N110" s="1220"/>
      <c r="O110" s="1263"/>
      <c r="P110" s="1241"/>
      <c r="Q110" s="1241"/>
      <c r="R110" s="1241"/>
      <c r="S110" s="1241"/>
      <c r="T110" s="1241"/>
      <c r="U110" s="1241"/>
      <c r="V110" s="1241"/>
      <c r="W110" s="1241"/>
      <c r="X110" s="1241"/>
      <c r="Y110" s="1241"/>
      <c r="Z110" s="1241"/>
      <c r="AA110" s="1241"/>
      <c r="AB110" s="1241"/>
      <c r="AC110" s="1241"/>
      <c r="AD110" s="1241"/>
      <c r="AE110" s="1241"/>
      <c r="AF110" s="1241"/>
      <c r="AG110" s="1241"/>
      <c r="AH110" s="1241"/>
      <c r="AI110" s="1241"/>
      <c r="AJ110" s="1241"/>
      <c r="AK110" s="1241"/>
      <c r="AL110" s="1241"/>
      <c r="AM110" s="1241"/>
      <c r="AN110" s="1241"/>
      <c r="AO110" s="1241"/>
      <c r="AP110" s="1241"/>
      <c r="AQ110" s="1241"/>
      <c r="AR110" s="1241"/>
      <c r="AS110" s="1241"/>
      <c r="AT110" s="1241"/>
      <c r="AU110" s="1241"/>
      <c r="AV110" s="1241"/>
      <c r="AW110" s="1241"/>
      <c r="AX110" s="1241"/>
      <c r="AY110" s="1241"/>
      <c r="AZ110" s="1241"/>
      <c r="BA110" s="1241"/>
      <c r="BB110" s="1241"/>
      <c r="BC110" s="1241"/>
      <c r="BD110" s="1241"/>
      <c r="BE110" s="1241"/>
      <c r="BF110" s="1241"/>
      <c r="BG110" s="1241"/>
      <c r="BH110" s="1241"/>
      <c r="BI110" s="1241"/>
      <c r="BJ110" s="1241"/>
      <c r="BK110" s="1241"/>
      <c r="BL110" s="1241"/>
      <c r="BM110" s="1241"/>
      <c r="BN110" s="1241"/>
      <c r="BO110" s="1241"/>
      <c r="BP110" s="1241"/>
      <c r="BQ110" s="1241"/>
      <c r="BR110" s="1241"/>
      <c r="BS110" s="1241"/>
      <c r="BT110" s="1241"/>
      <c r="BU110" s="1241"/>
      <c r="BV110" s="1241"/>
      <c r="BW110" s="1241"/>
      <c r="BX110" s="1241"/>
      <c r="BY110" s="1241"/>
      <c r="BZ110" s="1241"/>
      <c r="CA110" s="1241"/>
      <c r="CB110" s="1241"/>
      <c r="CC110" s="1241"/>
      <c r="CD110" s="1241"/>
      <c r="CE110" s="1241"/>
      <c r="CF110" s="1241"/>
      <c r="CG110" s="1241"/>
      <c r="CH110" s="1241"/>
      <c r="CI110" s="1241"/>
      <c r="CJ110" s="1241"/>
      <c r="CK110" s="1241"/>
      <c r="CL110" s="1241"/>
      <c r="CM110" s="1241"/>
      <c r="CN110" s="1241"/>
      <c r="CO110" s="1241"/>
      <c r="CP110" s="1241"/>
      <c r="CQ110" s="1241"/>
      <c r="CR110" s="1241"/>
      <c r="CS110" s="1241"/>
      <c r="CT110" s="1241"/>
      <c r="CU110" s="1241"/>
      <c r="CV110" s="1241"/>
      <c r="CW110" s="1241"/>
      <c r="CX110" s="1241"/>
      <c r="CY110" s="1241"/>
      <c r="CZ110" s="1241"/>
      <c r="DA110" s="1241"/>
      <c r="DB110" s="1241"/>
      <c r="DC110" s="1241"/>
      <c r="DD110" s="1241"/>
      <c r="DE110" s="1241"/>
      <c r="DF110" s="1241"/>
      <c r="DG110" s="1241"/>
      <c r="DH110" s="1241"/>
      <c r="DI110" s="1241"/>
      <c r="DJ110" s="1241"/>
      <c r="DK110" s="1241"/>
      <c r="DL110" s="1241"/>
      <c r="DM110" s="1241"/>
    </row>
    <row r="111" spans="1:117" s="1302" customFormat="1" ht="15">
      <c r="A111" s="1241"/>
      <c r="B111" s="1263"/>
      <c r="C111" s="1211"/>
      <c r="D111" s="1304" t="s">
        <v>4211</v>
      </c>
      <c r="E111" s="1305" t="s">
        <v>3925</v>
      </c>
      <c r="F111" s="1306">
        <v>9.2653961428786902E-2</v>
      </c>
      <c r="G111" s="1307">
        <v>2.35</v>
      </c>
      <c r="H111" s="1308">
        <v>2.34</v>
      </c>
      <c r="I111" s="1308">
        <v>2.89</v>
      </c>
      <c r="J111" s="1308">
        <v>3.4</v>
      </c>
      <c r="K111" s="1308">
        <v>3.68</v>
      </c>
      <c r="L111" s="1308">
        <v>3.66</v>
      </c>
      <c r="M111" s="1220"/>
      <c r="N111" s="1220"/>
      <c r="O111" s="1263"/>
      <c r="P111" s="1241"/>
      <c r="Q111" s="1241"/>
      <c r="R111" s="1241"/>
      <c r="S111" s="1241"/>
      <c r="T111" s="1241"/>
      <c r="U111" s="1241"/>
      <c r="V111" s="1241"/>
      <c r="W111" s="1241"/>
      <c r="X111" s="1241"/>
      <c r="Y111" s="1241"/>
      <c r="Z111" s="1241"/>
      <c r="AA111" s="1241"/>
      <c r="AB111" s="1241"/>
      <c r="AC111" s="1241"/>
      <c r="AD111" s="1241"/>
      <c r="AE111" s="1241"/>
      <c r="AF111" s="1241"/>
      <c r="AG111" s="1241"/>
      <c r="AH111" s="1241"/>
      <c r="AI111" s="1241"/>
      <c r="AJ111" s="1241"/>
      <c r="AK111" s="1241"/>
      <c r="AL111" s="1241"/>
      <c r="AM111" s="1241"/>
      <c r="AN111" s="1241"/>
      <c r="AO111" s="1241"/>
      <c r="AP111" s="1241"/>
      <c r="AQ111" s="1241"/>
      <c r="AR111" s="1241"/>
      <c r="AS111" s="1241"/>
      <c r="AT111" s="1241"/>
      <c r="AU111" s="1241"/>
      <c r="AV111" s="1241"/>
      <c r="AW111" s="1241"/>
      <c r="AX111" s="1241"/>
      <c r="AY111" s="1241"/>
      <c r="AZ111" s="1241"/>
      <c r="BA111" s="1241"/>
      <c r="BB111" s="1241"/>
      <c r="BC111" s="1241"/>
      <c r="BD111" s="1241"/>
      <c r="BE111" s="1241"/>
      <c r="BF111" s="1241"/>
      <c r="BG111" s="1241"/>
      <c r="BH111" s="1241"/>
      <c r="BI111" s="1241"/>
      <c r="BJ111" s="1241"/>
      <c r="BK111" s="1241"/>
      <c r="BL111" s="1241"/>
      <c r="BM111" s="1241"/>
      <c r="BN111" s="1241"/>
      <c r="BO111" s="1241"/>
      <c r="BP111" s="1241"/>
      <c r="BQ111" s="1241"/>
      <c r="BR111" s="1241"/>
      <c r="BS111" s="1241"/>
      <c r="BT111" s="1241"/>
      <c r="BU111" s="1241"/>
      <c r="BV111" s="1241"/>
      <c r="BW111" s="1241"/>
      <c r="BX111" s="1241"/>
      <c r="BY111" s="1241"/>
      <c r="BZ111" s="1241"/>
      <c r="CA111" s="1241"/>
      <c r="CB111" s="1241"/>
      <c r="CC111" s="1241"/>
      <c r="CD111" s="1241"/>
      <c r="CE111" s="1241"/>
      <c r="CF111" s="1241"/>
      <c r="CG111" s="1241"/>
      <c r="CH111" s="1241"/>
      <c r="CI111" s="1241"/>
      <c r="CJ111" s="1241"/>
      <c r="CK111" s="1241"/>
      <c r="CL111" s="1241"/>
      <c r="CM111" s="1241"/>
      <c r="CN111" s="1241"/>
      <c r="CO111" s="1241"/>
      <c r="CP111" s="1241"/>
      <c r="CQ111" s="1241"/>
      <c r="CR111" s="1241"/>
      <c r="CS111" s="1241"/>
      <c r="CT111" s="1241"/>
      <c r="CU111" s="1241"/>
      <c r="CV111" s="1241"/>
      <c r="CW111" s="1241"/>
      <c r="CX111" s="1241"/>
      <c r="CY111" s="1241"/>
      <c r="CZ111" s="1241"/>
      <c r="DA111" s="1241"/>
      <c r="DB111" s="1241"/>
      <c r="DC111" s="1241"/>
      <c r="DD111" s="1241"/>
      <c r="DE111" s="1241"/>
      <c r="DF111" s="1241"/>
      <c r="DG111" s="1241"/>
      <c r="DH111" s="1241"/>
      <c r="DI111" s="1241"/>
      <c r="DJ111" s="1241"/>
      <c r="DK111" s="1241"/>
      <c r="DL111" s="1241"/>
      <c r="DM111" s="1241"/>
    </row>
    <row r="112" spans="1:117" s="1302" customFormat="1" ht="15">
      <c r="A112" s="1241"/>
      <c r="B112" s="1263"/>
      <c r="C112" s="1211"/>
      <c r="D112" s="1304" t="s">
        <v>423</v>
      </c>
      <c r="E112" s="1305" t="s">
        <v>3925</v>
      </c>
      <c r="F112" s="1306">
        <v>5.7651596551569817E-2</v>
      </c>
      <c r="G112" s="1307">
        <v>88.98</v>
      </c>
      <c r="H112" s="1309">
        <v>95.477000000000004</v>
      </c>
      <c r="I112" s="1309">
        <v>101.455</v>
      </c>
      <c r="J112" s="1309">
        <v>109.25</v>
      </c>
      <c r="K112" s="1309">
        <v>111.343</v>
      </c>
      <c r="L112" s="1309">
        <v>99.57</v>
      </c>
      <c r="M112" s="1220"/>
      <c r="N112" s="1220"/>
      <c r="O112" s="1263"/>
      <c r="P112" s="1241"/>
      <c r="Q112" s="1241"/>
      <c r="R112" s="1241"/>
      <c r="S112" s="1241"/>
      <c r="T112" s="1241"/>
      <c r="U112" s="1241"/>
      <c r="V112" s="1241"/>
      <c r="W112" s="1241"/>
      <c r="X112" s="1241"/>
      <c r="Y112" s="1241"/>
      <c r="Z112" s="1241"/>
      <c r="AA112" s="1241"/>
      <c r="AB112" s="1241"/>
      <c r="AC112" s="1241"/>
      <c r="AD112" s="1241"/>
      <c r="AE112" s="1241"/>
      <c r="AF112" s="1241"/>
      <c r="AG112" s="1241"/>
      <c r="AH112" s="1241"/>
      <c r="AI112" s="1241"/>
      <c r="AJ112" s="1241"/>
      <c r="AK112" s="1241"/>
      <c r="AL112" s="1241"/>
      <c r="AM112" s="1241"/>
      <c r="AN112" s="1241"/>
      <c r="AO112" s="1241"/>
      <c r="AP112" s="1241"/>
      <c r="AQ112" s="1241"/>
      <c r="AR112" s="1241"/>
      <c r="AS112" s="1241"/>
      <c r="AT112" s="1241"/>
      <c r="AU112" s="1241"/>
      <c r="AV112" s="1241"/>
      <c r="AW112" s="1241"/>
      <c r="AX112" s="1241"/>
      <c r="AY112" s="1241"/>
      <c r="AZ112" s="1241"/>
      <c r="BA112" s="1241"/>
      <c r="BB112" s="1241"/>
      <c r="BC112" s="1241"/>
      <c r="BD112" s="1241"/>
      <c r="BE112" s="1241"/>
      <c r="BF112" s="1241"/>
      <c r="BG112" s="1241"/>
      <c r="BH112" s="1241"/>
      <c r="BI112" s="1241"/>
      <c r="BJ112" s="1241"/>
      <c r="BK112" s="1241"/>
      <c r="BL112" s="1241"/>
      <c r="BM112" s="1241"/>
      <c r="BN112" s="1241"/>
      <c r="BO112" s="1241"/>
      <c r="BP112" s="1241"/>
      <c r="BQ112" s="1241"/>
      <c r="BR112" s="1241"/>
      <c r="BS112" s="1241"/>
      <c r="BT112" s="1241"/>
      <c r="BU112" s="1241"/>
      <c r="BV112" s="1241"/>
      <c r="BW112" s="1241"/>
      <c r="BX112" s="1241"/>
      <c r="BY112" s="1241"/>
      <c r="BZ112" s="1241"/>
      <c r="CA112" s="1241"/>
      <c r="CB112" s="1241"/>
      <c r="CC112" s="1241"/>
      <c r="CD112" s="1241"/>
      <c r="CE112" s="1241"/>
      <c r="CF112" s="1241"/>
      <c r="CG112" s="1241"/>
      <c r="CH112" s="1241"/>
      <c r="CI112" s="1241"/>
      <c r="CJ112" s="1241"/>
      <c r="CK112" s="1241"/>
      <c r="CL112" s="1241"/>
      <c r="CM112" s="1241"/>
      <c r="CN112" s="1241"/>
      <c r="CO112" s="1241"/>
      <c r="CP112" s="1241"/>
      <c r="CQ112" s="1241"/>
      <c r="CR112" s="1241"/>
      <c r="CS112" s="1241"/>
      <c r="CT112" s="1241"/>
      <c r="CU112" s="1241"/>
      <c r="CV112" s="1241"/>
      <c r="CW112" s="1241"/>
      <c r="CX112" s="1241"/>
      <c r="CY112" s="1241"/>
      <c r="CZ112" s="1241"/>
      <c r="DA112" s="1241"/>
      <c r="DB112" s="1241"/>
      <c r="DC112" s="1241"/>
      <c r="DD112" s="1241"/>
      <c r="DE112" s="1241"/>
      <c r="DF112" s="1241"/>
      <c r="DG112" s="1241"/>
      <c r="DH112" s="1241"/>
      <c r="DI112" s="1241"/>
      <c r="DJ112" s="1241"/>
      <c r="DK112" s="1241"/>
      <c r="DL112" s="1241"/>
      <c r="DM112" s="1241"/>
    </row>
    <row r="113" spans="1:117" s="1302" customFormat="1" ht="15">
      <c r="A113" s="1241"/>
      <c r="B113" s="1263"/>
      <c r="C113" s="1211"/>
      <c r="D113" s="1310" t="s">
        <v>424</v>
      </c>
      <c r="E113" s="1305" t="s">
        <v>3925</v>
      </c>
      <c r="F113" s="1306">
        <v>3.728276788167495E-2</v>
      </c>
      <c r="G113" s="1307">
        <v>16.63</v>
      </c>
      <c r="H113" s="1308">
        <v>17</v>
      </c>
      <c r="I113" s="1308">
        <v>16.91</v>
      </c>
      <c r="J113" s="1308">
        <v>18.91</v>
      </c>
      <c r="K113" s="1308">
        <v>19.36</v>
      </c>
      <c r="L113" s="1308">
        <v>19.97</v>
      </c>
      <c r="M113" s="1220"/>
      <c r="N113" s="1220"/>
      <c r="O113" s="1263"/>
      <c r="P113" s="1241"/>
      <c r="Q113" s="1241"/>
      <c r="R113" s="1241"/>
      <c r="S113" s="1241"/>
      <c r="T113" s="1241"/>
      <c r="U113" s="1241"/>
      <c r="V113" s="1241"/>
      <c r="W113" s="1241"/>
      <c r="X113" s="1241"/>
      <c r="Y113" s="1241"/>
      <c r="Z113" s="1241"/>
      <c r="AA113" s="1241"/>
      <c r="AB113" s="1241"/>
      <c r="AC113" s="1241"/>
      <c r="AD113" s="1241"/>
      <c r="AE113" s="1241"/>
      <c r="AF113" s="1241"/>
      <c r="AG113" s="1241"/>
      <c r="AH113" s="1241"/>
      <c r="AI113" s="1241"/>
      <c r="AJ113" s="1241"/>
      <c r="AK113" s="1241"/>
      <c r="AL113" s="1241"/>
      <c r="AM113" s="1241"/>
      <c r="AN113" s="1241"/>
      <c r="AO113" s="1241"/>
      <c r="AP113" s="1241"/>
      <c r="AQ113" s="1241"/>
      <c r="AR113" s="1241"/>
      <c r="AS113" s="1241"/>
      <c r="AT113" s="1241"/>
      <c r="AU113" s="1241"/>
      <c r="AV113" s="1241"/>
      <c r="AW113" s="1241"/>
      <c r="AX113" s="1241"/>
      <c r="AY113" s="1241"/>
      <c r="AZ113" s="1241"/>
      <c r="BA113" s="1241"/>
      <c r="BB113" s="1241"/>
      <c r="BC113" s="1241"/>
      <c r="BD113" s="1241"/>
      <c r="BE113" s="1241"/>
      <c r="BF113" s="1241"/>
      <c r="BG113" s="1241"/>
      <c r="BH113" s="1241"/>
      <c r="BI113" s="1241"/>
      <c r="BJ113" s="1241"/>
      <c r="BK113" s="1241"/>
      <c r="BL113" s="1241"/>
      <c r="BM113" s="1241"/>
      <c r="BN113" s="1241"/>
      <c r="BO113" s="1241"/>
      <c r="BP113" s="1241"/>
      <c r="BQ113" s="1241"/>
      <c r="BR113" s="1241"/>
      <c r="BS113" s="1241"/>
      <c r="BT113" s="1241"/>
      <c r="BU113" s="1241"/>
      <c r="BV113" s="1241"/>
      <c r="BW113" s="1241"/>
      <c r="BX113" s="1241"/>
      <c r="BY113" s="1241"/>
      <c r="BZ113" s="1241"/>
      <c r="CA113" s="1241"/>
      <c r="CB113" s="1241"/>
      <c r="CC113" s="1241"/>
      <c r="CD113" s="1241"/>
      <c r="CE113" s="1241"/>
      <c r="CF113" s="1241"/>
      <c r="CG113" s="1241"/>
      <c r="CH113" s="1241"/>
      <c r="CI113" s="1241"/>
      <c r="CJ113" s="1241"/>
      <c r="CK113" s="1241"/>
      <c r="CL113" s="1241"/>
      <c r="CM113" s="1241"/>
      <c r="CN113" s="1241"/>
      <c r="CO113" s="1241"/>
      <c r="CP113" s="1241"/>
      <c r="CQ113" s="1241"/>
      <c r="CR113" s="1241"/>
      <c r="CS113" s="1241"/>
      <c r="CT113" s="1241"/>
      <c r="CU113" s="1241"/>
      <c r="CV113" s="1241"/>
      <c r="CW113" s="1241"/>
      <c r="CX113" s="1241"/>
      <c r="CY113" s="1241"/>
      <c r="CZ113" s="1241"/>
      <c r="DA113" s="1241"/>
      <c r="DB113" s="1241"/>
      <c r="DC113" s="1241"/>
      <c r="DD113" s="1241"/>
      <c r="DE113" s="1241"/>
      <c r="DF113" s="1241"/>
      <c r="DG113" s="1241"/>
      <c r="DH113" s="1241"/>
      <c r="DI113" s="1241"/>
      <c r="DJ113" s="1241"/>
      <c r="DK113" s="1241"/>
      <c r="DL113" s="1241"/>
      <c r="DM113" s="1241"/>
    </row>
    <row r="114" spans="1:117" s="1302" customFormat="1" ht="15">
      <c r="A114" s="1241"/>
      <c r="B114" s="1263"/>
      <c r="C114" s="1216"/>
      <c r="D114" s="1310" t="s">
        <v>425</v>
      </c>
      <c r="E114" s="1305" t="s">
        <v>3925</v>
      </c>
      <c r="F114" s="1306">
        <v>2.55203862340041E-2</v>
      </c>
      <c r="G114" s="1311">
        <v>0</v>
      </c>
      <c r="H114" s="1312">
        <v>13.738</v>
      </c>
      <c r="I114" s="1312">
        <v>13.593999999999999</v>
      </c>
      <c r="J114" s="1312">
        <v>14.035625</v>
      </c>
      <c r="K114" s="1312">
        <v>14.64875</v>
      </c>
      <c r="L114" s="1312">
        <v>15.195</v>
      </c>
      <c r="M114" s="1220"/>
      <c r="N114" s="1220"/>
      <c r="O114" s="1263"/>
      <c r="P114" s="1241"/>
      <c r="Q114" s="1241"/>
      <c r="R114" s="1241"/>
      <c r="S114" s="1241"/>
      <c r="T114" s="1241"/>
      <c r="U114" s="1241"/>
      <c r="V114" s="1241"/>
      <c r="W114" s="1241"/>
      <c r="X114" s="1241"/>
      <c r="Y114" s="1241"/>
      <c r="Z114" s="1241"/>
      <c r="AA114" s="1241"/>
      <c r="AB114" s="1241"/>
      <c r="AC114" s="1241"/>
      <c r="AD114" s="1241"/>
      <c r="AE114" s="1241"/>
      <c r="AF114" s="1241"/>
      <c r="AG114" s="1241"/>
      <c r="AH114" s="1241"/>
      <c r="AI114" s="1241"/>
      <c r="AJ114" s="1241"/>
      <c r="AK114" s="1241"/>
      <c r="AL114" s="1241"/>
      <c r="AM114" s="1241"/>
      <c r="AN114" s="1241"/>
      <c r="AO114" s="1241"/>
      <c r="AP114" s="1241"/>
      <c r="AQ114" s="1241"/>
      <c r="AR114" s="1241"/>
      <c r="AS114" s="1241"/>
      <c r="AT114" s="1241"/>
      <c r="AU114" s="1241"/>
      <c r="AV114" s="1241"/>
      <c r="AW114" s="1241"/>
      <c r="AX114" s="1241"/>
      <c r="AY114" s="1241"/>
      <c r="AZ114" s="1241"/>
      <c r="BA114" s="1241"/>
      <c r="BB114" s="1241"/>
      <c r="BC114" s="1241"/>
      <c r="BD114" s="1241"/>
      <c r="BE114" s="1241"/>
      <c r="BF114" s="1241"/>
      <c r="BG114" s="1241"/>
      <c r="BH114" s="1241"/>
      <c r="BI114" s="1241"/>
      <c r="BJ114" s="1241"/>
      <c r="BK114" s="1241"/>
      <c r="BL114" s="1241"/>
      <c r="BM114" s="1241"/>
      <c r="BN114" s="1241"/>
      <c r="BO114" s="1241"/>
      <c r="BP114" s="1241"/>
      <c r="BQ114" s="1241"/>
      <c r="BR114" s="1241"/>
      <c r="BS114" s="1241"/>
      <c r="BT114" s="1241"/>
      <c r="BU114" s="1241"/>
      <c r="BV114" s="1241"/>
      <c r="BW114" s="1241"/>
      <c r="BX114" s="1241"/>
      <c r="BY114" s="1241"/>
      <c r="BZ114" s="1241"/>
      <c r="CA114" s="1241"/>
      <c r="CB114" s="1241"/>
      <c r="CC114" s="1241"/>
      <c r="CD114" s="1241"/>
      <c r="CE114" s="1241"/>
      <c r="CF114" s="1241"/>
      <c r="CG114" s="1241"/>
      <c r="CH114" s="1241"/>
      <c r="CI114" s="1241"/>
      <c r="CJ114" s="1241"/>
      <c r="CK114" s="1241"/>
      <c r="CL114" s="1241"/>
      <c r="CM114" s="1241"/>
      <c r="CN114" s="1241"/>
      <c r="CO114" s="1241"/>
      <c r="CP114" s="1241"/>
      <c r="CQ114" s="1241"/>
      <c r="CR114" s="1241"/>
      <c r="CS114" s="1241"/>
      <c r="CT114" s="1241"/>
      <c r="CU114" s="1241"/>
      <c r="CV114" s="1241"/>
      <c r="CW114" s="1241"/>
      <c r="CX114" s="1241"/>
      <c r="CY114" s="1241"/>
      <c r="CZ114" s="1241"/>
      <c r="DA114" s="1241"/>
      <c r="DB114" s="1241"/>
      <c r="DC114" s="1241"/>
      <c r="DD114" s="1241"/>
      <c r="DE114" s="1241"/>
      <c r="DF114" s="1241"/>
      <c r="DG114" s="1241"/>
      <c r="DH114" s="1241"/>
      <c r="DI114" s="1241"/>
      <c r="DJ114" s="1241"/>
      <c r="DK114" s="1241"/>
      <c r="DL114" s="1241"/>
      <c r="DM114" s="1241"/>
    </row>
    <row r="115" spans="1:117" s="1302" customFormat="1" ht="15">
      <c r="A115" s="1241"/>
      <c r="B115" s="1263"/>
      <c r="C115" s="1263"/>
      <c r="D115" s="1313" t="s">
        <v>426</v>
      </c>
      <c r="E115" s="1305" t="s">
        <v>3925</v>
      </c>
      <c r="F115" s="1306">
        <v>5.1700858966102547E-2</v>
      </c>
      <c r="G115" s="1309">
        <v>2.5456570000000003</v>
      </c>
      <c r="H115" s="1309">
        <v>2.6094724999999999</v>
      </c>
      <c r="I115" s="1309">
        <v>2.7047615</v>
      </c>
      <c r="J115" s="1309">
        <v>2.8587885000000002</v>
      </c>
      <c r="K115" s="1309">
        <v>3.0522434999999999</v>
      </c>
      <c r="L115" s="1309">
        <v>3.2753749999999999</v>
      </c>
      <c r="M115" s="1220"/>
      <c r="N115" s="1220"/>
      <c r="O115" s="1263"/>
      <c r="P115" s="1241"/>
      <c r="Q115" s="1241"/>
      <c r="R115" s="1241"/>
      <c r="S115" s="1241"/>
      <c r="T115" s="1241"/>
      <c r="U115" s="1241"/>
      <c r="V115" s="1241"/>
      <c r="W115" s="1241"/>
      <c r="X115" s="1241"/>
      <c r="Y115" s="1241"/>
      <c r="Z115" s="1241"/>
      <c r="AA115" s="1241"/>
      <c r="AB115" s="1241"/>
      <c r="AC115" s="1241"/>
      <c r="AD115" s="1241"/>
      <c r="AE115" s="1241"/>
      <c r="AF115" s="1241"/>
      <c r="AG115" s="1241"/>
      <c r="AH115" s="1241"/>
      <c r="AI115" s="1241"/>
      <c r="AJ115" s="1241"/>
      <c r="AK115" s="1241"/>
      <c r="AL115" s="1241"/>
      <c r="AM115" s="1241"/>
      <c r="AN115" s="1241"/>
      <c r="AO115" s="1241"/>
      <c r="AP115" s="1241"/>
      <c r="AQ115" s="1241"/>
      <c r="AR115" s="1241"/>
      <c r="AS115" s="1241"/>
      <c r="AT115" s="1241"/>
      <c r="AU115" s="1241"/>
      <c r="AV115" s="1241"/>
      <c r="AW115" s="1241"/>
      <c r="AX115" s="1241"/>
      <c r="AY115" s="1241"/>
      <c r="AZ115" s="1241"/>
      <c r="BA115" s="1241"/>
      <c r="BB115" s="1241"/>
      <c r="BC115" s="1241"/>
      <c r="BD115" s="1241"/>
      <c r="BE115" s="1241"/>
      <c r="BF115" s="1241"/>
      <c r="BG115" s="1241"/>
      <c r="BH115" s="1241"/>
      <c r="BI115" s="1241"/>
      <c r="BJ115" s="1241"/>
      <c r="BK115" s="1241"/>
      <c r="BL115" s="1241"/>
      <c r="BM115" s="1241"/>
      <c r="BN115" s="1241"/>
      <c r="BO115" s="1241"/>
      <c r="BP115" s="1241"/>
      <c r="BQ115" s="1241"/>
      <c r="BR115" s="1241"/>
      <c r="BS115" s="1241"/>
      <c r="BT115" s="1241"/>
      <c r="BU115" s="1241"/>
      <c r="BV115" s="1241"/>
      <c r="BW115" s="1241"/>
      <c r="BX115" s="1241"/>
      <c r="BY115" s="1241"/>
      <c r="BZ115" s="1241"/>
      <c r="CA115" s="1241"/>
      <c r="CB115" s="1241"/>
      <c r="CC115" s="1241"/>
      <c r="CD115" s="1241"/>
      <c r="CE115" s="1241"/>
      <c r="CF115" s="1241"/>
      <c r="CG115" s="1241"/>
      <c r="CH115" s="1241"/>
      <c r="CI115" s="1241"/>
      <c r="CJ115" s="1241"/>
      <c r="CK115" s="1241"/>
      <c r="CL115" s="1241"/>
      <c r="CM115" s="1241"/>
      <c r="CN115" s="1241"/>
      <c r="CO115" s="1241"/>
      <c r="CP115" s="1241"/>
      <c r="CQ115" s="1241"/>
      <c r="CR115" s="1241"/>
      <c r="CS115" s="1241"/>
      <c r="CT115" s="1241"/>
      <c r="CU115" s="1241"/>
      <c r="CV115" s="1241"/>
      <c r="CW115" s="1241"/>
      <c r="CX115" s="1241"/>
      <c r="CY115" s="1241"/>
      <c r="CZ115" s="1241"/>
      <c r="DA115" s="1241"/>
      <c r="DB115" s="1241"/>
      <c r="DC115" s="1241"/>
      <c r="DD115" s="1241"/>
      <c r="DE115" s="1241"/>
      <c r="DF115" s="1241"/>
      <c r="DG115" s="1241"/>
      <c r="DH115" s="1241"/>
      <c r="DI115" s="1241"/>
      <c r="DJ115" s="1241"/>
      <c r="DK115" s="1241"/>
      <c r="DL115" s="1241"/>
      <c r="DM115" s="1241"/>
    </row>
    <row r="116" spans="1:117" s="1302" customFormat="1" ht="15">
      <c r="A116" s="1241"/>
      <c r="B116" s="1263"/>
      <c r="C116" s="1314"/>
      <c r="D116" s="1315" t="s">
        <v>3855</v>
      </c>
      <c r="E116" s="1221" t="s">
        <v>3846</v>
      </c>
      <c r="F116" s="1316">
        <v>8.0855578936824157E-2</v>
      </c>
      <c r="G116" s="1317">
        <v>9680.8252000000011</v>
      </c>
      <c r="H116" s="1318">
        <v>10982.7696</v>
      </c>
      <c r="I116" s="1318">
        <v>11606.7106</v>
      </c>
      <c r="J116" s="1318">
        <v>12224.057500000001</v>
      </c>
      <c r="K116" s="1319">
        <v>13187.0002</v>
      </c>
      <c r="L116" s="1319">
        <v>14012.3639</v>
      </c>
      <c r="M116" s="1220"/>
      <c r="N116" s="1220"/>
      <c r="O116" s="1263"/>
      <c r="P116" s="1241"/>
      <c r="Q116" s="1241"/>
      <c r="R116" s="1241"/>
      <c r="S116" s="1241"/>
      <c r="T116" s="1241"/>
      <c r="U116" s="1241"/>
      <c r="V116" s="1241"/>
      <c r="W116" s="1241"/>
      <c r="X116" s="1241"/>
      <c r="Y116" s="1241"/>
      <c r="Z116" s="1241"/>
      <c r="AA116" s="1241"/>
      <c r="AB116" s="1241"/>
      <c r="AC116" s="1241"/>
      <c r="AD116" s="1241"/>
      <c r="AE116" s="1241"/>
      <c r="AF116" s="1241"/>
      <c r="AG116" s="1241"/>
      <c r="AH116" s="1241"/>
      <c r="AI116" s="1241"/>
      <c r="AJ116" s="1241"/>
      <c r="AK116" s="1241"/>
      <c r="AL116" s="1241"/>
      <c r="AM116" s="1241"/>
      <c r="AN116" s="1241"/>
      <c r="AO116" s="1241"/>
      <c r="AP116" s="1241"/>
      <c r="AQ116" s="1241"/>
      <c r="AR116" s="1241"/>
      <c r="AS116" s="1241"/>
      <c r="AT116" s="1241"/>
      <c r="AU116" s="1241"/>
      <c r="AV116" s="1241"/>
      <c r="AW116" s="1241"/>
      <c r="AX116" s="1241"/>
      <c r="AY116" s="1241"/>
      <c r="AZ116" s="1241"/>
      <c r="BA116" s="1241"/>
      <c r="BB116" s="1241"/>
      <c r="BC116" s="1241"/>
      <c r="BD116" s="1241"/>
      <c r="BE116" s="1241"/>
      <c r="BF116" s="1241"/>
      <c r="BG116" s="1241"/>
      <c r="BH116" s="1241"/>
      <c r="BI116" s="1241"/>
      <c r="BJ116" s="1241"/>
      <c r="BK116" s="1241"/>
      <c r="BL116" s="1241"/>
      <c r="BM116" s="1241"/>
      <c r="BN116" s="1241"/>
      <c r="BO116" s="1241"/>
      <c r="BP116" s="1241"/>
      <c r="BQ116" s="1241"/>
      <c r="BR116" s="1241"/>
      <c r="BS116" s="1241"/>
      <c r="BT116" s="1241"/>
      <c r="BU116" s="1241"/>
      <c r="BV116" s="1241"/>
      <c r="BW116" s="1241"/>
      <c r="BX116" s="1241"/>
      <c r="BY116" s="1241"/>
      <c r="BZ116" s="1241"/>
      <c r="CA116" s="1241"/>
      <c r="CB116" s="1241"/>
      <c r="CC116" s="1241"/>
      <c r="CD116" s="1241"/>
      <c r="CE116" s="1241"/>
      <c r="CF116" s="1241"/>
      <c r="CG116" s="1241"/>
      <c r="CH116" s="1241"/>
      <c r="CI116" s="1241"/>
      <c r="CJ116" s="1241"/>
      <c r="CK116" s="1241"/>
      <c r="CL116" s="1241"/>
      <c r="CM116" s="1241"/>
      <c r="CN116" s="1241"/>
      <c r="CO116" s="1241"/>
      <c r="CP116" s="1241"/>
      <c r="CQ116" s="1241"/>
      <c r="CR116" s="1241"/>
      <c r="CS116" s="1241"/>
      <c r="CT116" s="1241"/>
      <c r="CU116" s="1241"/>
      <c r="CV116" s="1241"/>
      <c r="CW116" s="1241"/>
      <c r="CX116" s="1241"/>
      <c r="CY116" s="1241"/>
      <c r="CZ116" s="1241"/>
      <c r="DA116" s="1241"/>
      <c r="DB116" s="1241"/>
      <c r="DC116" s="1241"/>
      <c r="DD116" s="1241"/>
      <c r="DE116" s="1241"/>
      <c r="DF116" s="1241"/>
      <c r="DG116" s="1241"/>
      <c r="DH116" s="1241"/>
      <c r="DI116" s="1241"/>
      <c r="DJ116" s="1241"/>
      <c r="DK116" s="1241"/>
      <c r="DL116" s="1241"/>
      <c r="DM116" s="1241"/>
    </row>
    <row r="117" spans="1:117" s="1302" customFormat="1" ht="16">
      <c r="A117" s="1241"/>
      <c r="B117" s="1263"/>
      <c r="C117" s="1320"/>
      <c r="D117" s="1263"/>
      <c r="E117" s="1263"/>
      <c r="F117" s="1264"/>
      <c r="G117" s="900">
        <v>3.6337397266355875E-2</v>
      </c>
      <c r="H117" s="1220"/>
      <c r="I117" s="1220"/>
      <c r="J117" s="1220"/>
      <c r="K117" s="1321" t="s">
        <v>4212</v>
      </c>
      <c r="L117" s="1220"/>
      <c r="M117" s="1220"/>
      <c r="N117" s="1220"/>
      <c r="O117" s="1263"/>
      <c r="P117" s="1241"/>
      <c r="Q117" s="1241"/>
      <c r="R117" s="1241"/>
      <c r="S117" s="1241"/>
      <c r="T117" s="1241"/>
      <c r="U117" s="1241"/>
      <c r="V117" s="1241"/>
      <c r="W117" s="1241"/>
      <c r="X117" s="1241"/>
      <c r="Y117" s="1241"/>
      <c r="Z117" s="1241"/>
      <c r="AA117" s="1241"/>
      <c r="AB117" s="1241"/>
      <c r="AC117" s="1241"/>
      <c r="AD117" s="1241"/>
      <c r="AE117" s="1241"/>
      <c r="AF117" s="1241"/>
      <c r="AG117" s="1241"/>
      <c r="AH117" s="1241"/>
      <c r="AI117" s="1241"/>
      <c r="AJ117" s="1241"/>
      <c r="AK117" s="1241"/>
      <c r="AL117" s="1241"/>
      <c r="AM117" s="1241"/>
      <c r="AN117" s="1241"/>
      <c r="AO117" s="1241"/>
      <c r="AP117" s="1241"/>
      <c r="AQ117" s="1241"/>
      <c r="AR117" s="1241"/>
      <c r="AS117" s="1241"/>
      <c r="AT117" s="1241"/>
      <c r="AU117" s="1241"/>
      <c r="AV117" s="1241"/>
      <c r="AW117" s="1241"/>
      <c r="AX117" s="1241"/>
      <c r="AY117" s="1241"/>
      <c r="AZ117" s="1241"/>
      <c r="BA117" s="1241"/>
      <c r="BB117" s="1241"/>
      <c r="BC117" s="1241"/>
      <c r="BD117" s="1241"/>
      <c r="BE117" s="1241"/>
      <c r="BF117" s="1241"/>
      <c r="BG117" s="1241"/>
      <c r="BH117" s="1241"/>
      <c r="BI117" s="1241"/>
      <c r="BJ117" s="1241"/>
      <c r="BK117" s="1241"/>
      <c r="BL117" s="1241"/>
      <c r="BM117" s="1241"/>
      <c r="BN117" s="1241"/>
      <c r="BO117" s="1241"/>
      <c r="BP117" s="1241"/>
      <c r="BQ117" s="1241"/>
      <c r="BR117" s="1241"/>
      <c r="BS117" s="1241"/>
      <c r="BT117" s="1241"/>
      <c r="BU117" s="1241"/>
      <c r="BV117" s="1241"/>
      <c r="BW117" s="1241"/>
      <c r="BX117" s="1241"/>
      <c r="BY117" s="1241"/>
      <c r="BZ117" s="1241"/>
      <c r="CA117" s="1241"/>
      <c r="CB117" s="1241"/>
      <c r="CC117" s="1241"/>
      <c r="CD117" s="1241"/>
      <c r="CE117" s="1241"/>
      <c r="CF117" s="1241"/>
      <c r="CG117" s="1241"/>
      <c r="CH117" s="1241"/>
      <c r="CI117" s="1241"/>
      <c r="CJ117" s="1241"/>
      <c r="CK117" s="1241"/>
      <c r="CL117" s="1241"/>
      <c r="CM117" s="1241"/>
      <c r="CN117" s="1241"/>
      <c r="CO117" s="1241"/>
      <c r="CP117" s="1241"/>
      <c r="CQ117" s="1241"/>
      <c r="CR117" s="1241"/>
      <c r="CS117" s="1241"/>
      <c r="CT117" s="1241"/>
      <c r="CU117" s="1241"/>
      <c r="CV117" s="1241"/>
      <c r="CW117" s="1241"/>
      <c r="CX117" s="1241"/>
      <c r="CY117" s="1241"/>
      <c r="CZ117" s="1241"/>
      <c r="DA117" s="1241"/>
      <c r="DB117" s="1241"/>
      <c r="DC117" s="1241"/>
      <c r="DD117" s="1241"/>
      <c r="DE117" s="1241"/>
      <c r="DF117" s="1241"/>
      <c r="DG117" s="1241"/>
      <c r="DH117" s="1241"/>
      <c r="DI117" s="1241"/>
      <c r="DJ117" s="1241"/>
      <c r="DK117" s="1241"/>
      <c r="DL117" s="1241"/>
      <c r="DM117" s="1241"/>
    </row>
    <row r="118" spans="1:117" ht="16">
      <c r="B118" s="1263"/>
      <c r="C118" s="1320"/>
      <c r="D118" s="1263"/>
      <c r="E118" s="1263"/>
      <c r="F118" s="1264"/>
      <c r="G118" s="1220"/>
      <c r="H118" s="1220"/>
      <c r="I118" s="1220"/>
      <c r="J118" s="1220"/>
      <c r="K118" s="1220"/>
      <c r="L118" s="1220"/>
      <c r="M118" s="1220"/>
      <c r="N118" s="1220"/>
      <c r="O118" s="1264"/>
    </row>
    <row r="119" spans="1:117" s="1302" customFormat="1" ht="16">
      <c r="C119" s="1322"/>
      <c r="G119" s="1323"/>
      <c r="H119" s="1323"/>
      <c r="I119" s="1323"/>
      <c r="J119" s="1323"/>
      <c r="K119" s="1323"/>
      <c r="L119" s="1323"/>
      <c r="M119" s="1323"/>
      <c r="N119" s="1323"/>
      <c r="O119" s="1324"/>
    </row>
    <row r="120" spans="1:117" ht="16">
      <c r="B120" s="1213" t="s">
        <v>4164</v>
      </c>
      <c r="C120" s="1261"/>
      <c r="D120" s="1261"/>
      <c r="E120" s="1261"/>
      <c r="F120" s="1261"/>
      <c r="G120" s="1262"/>
      <c r="H120" s="1262"/>
      <c r="I120" s="1262"/>
      <c r="J120" s="1262"/>
      <c r="K120" s="1262"/>
      <c r="L120" s="1262"/>
      <c r="M120" s="1262"/>
      <c r="N120" s="1262"/>
      <c r="O120" s="1300"/>
    </row>
    <row r="121" spans="1:117" ht="16">
      <c r="B121" s="1263"/>
      <c r="C121" s="1320"/>
      <c r="D121" s="1263"/>
      <c r="E121" s="1263"/>
      <c r="F121" s="1263"/>
      <c r="G121" s="1220"/>
      <c r="H121" s="1220"/>
      <c r="I121" s="1220"/>
      <c r="J121" s="1220"/>
      <c r="K121" s="1220"/>
      <c r="L121" s="1220"/>
      <c r="M121" s="1220"/>
      <c r="N121" s="1220"/>
      <c r="O121" s="1263"/>
    </row>
    <row r="122" spans="1:117" ht="16">
      <c r="B122" s="1263"/>
      <c r="C122" s="1320" t="s">
        <v>3843</v>
      </c>
      <c r="D122" s="1263" t="s">
        <v>3844</v>
      </c>
      <c r="E122" s="1263"/>
      <c r="F122" s="1263"/>
      <c r="G122" s="1294">
        <v>0</v>
      </c>
      <c r="H122" s="1294">
        <v>1348.616</v>
      </c>
      <c r="I122" s="1294">
        <v>1374.6379999999999</v>
      </c>
      <c r="J122" s="1294">
        <v>1435.9190000000001</v>
      </c>
      <c r="K122" s="1294">
        <v>1490.1790000000001</v>
      </c>
      <c r="L122" s="1294">
        <v>1534.9639999999999</v>
      </c>
      <c r="M122" s="1294">
        <v>1568.6010000000001</v>
      </c>
      <c r="N122" s="1294">
        <v>1592.0419999999999</v>
      </c>
      <c r="O122" s="1294">
        <v>1469.441</v>
      </c>
    </row>
    <row r="123" spans="1:117" ht="16">
      <c r="B123" s="1263"/>
      <c r="C123" s="1320"/>
      <c r="D123" s="1263"/>
      <c r="E123" s="1263"/>
      <c r="F123" s="1263"/>
      <c r="G123" s="1294"/>
      <c r="H123" s="1294"/>
      <c r="I123" s="1294"/>
      <c r="J123" s="1294"/>
      <c r="K123" s="1294"/>
      <c r="L123" s="1294"/>
      <c r="M123" s="1294"/>
      <c r="N123" s="1294"/>
      <c r="O123" s="1294"/>
    </row>
    <row r="124" spans="1:117" ht="14" customHeight="1">
      <c r="B124" s="1263"/>
      <c r="C124" s="1266" t="s">
        <v>4213</v>
      </c>
      <c r="D124" s="1263"/>
      <c r="E124" s="1263"/>
      <c r="F124" s="1263"/>
      <c r="G124" s="1220"/>
      <c r="H124" s="1220"/>
      <c r="I124" s="1220"/>
      <c r="J124" s="1220"/>
      <c r="K124" s="1220"/>
      <c r="L124" s="1220"/>
      <c r="M124" s="1220"/>
      <c r="N124" s="1220"/>
      <c r="O124" s="1263" t="s">
        <v>4210</v>
      </c>
    </row>
    <row r="125" spans="1:117" ht="6" customHeight="1">
      <c r="A125" s="1325"/>
      <c r="B125" s="1266"/>
      <c r="C125" s="1263"/>
      <c r="D125" s="1263"/>
      <c r="E125" s="1263"/>
      <c r="F125" s="1263"/>
      <c r="G125" s="1220"/>
      <c r="H125" s="1220"/>
      <c r="I125" s="1220"/>
      <c r="J125" s="1220"/>
      <c r="K125" s="1220"/>
      <c r="L125" s="1220"/>
      <c r="M125" s="1220"/>
      <c r="N125" s="1220"/>
      <c r="O125" s="1263"/>
    </row>
    <row r="126" spans="1:117" ht="16.5" customHeight="1">
      <c r="A126" s="1325"/>
      <c r="B126" s="1326"/>
      <c r="C126" s="1206" t="s">
        <v>4166</v>
      </c>
      <c r="D126" s="1206" t="s">
        <v>413</v>
      </c>
      <c r="E126" s="1206" t="s">
        <v>48</v>
      </c>
      <c r="F126" s="1303"/>
      <c r="G126" s="1207">
        <v>2015</v>
      </c>
      <c r="H126" s="1207">
        <v>2020</v>
      </c>
      <c r="I126" s="1207">
        <v>2022</v>
      </c>
      <c r="J126" s="1207">
        <v>2027</v>
      </c>
      <c r="K126" s="1207">
        <v>2032</v>
      </c>
      <c r="L126" s="1207">
        <v>2037</v>
      </c>
      <c r="M126" s="1207">
        <v>2042</v>
      </c>
      <c r="N126" s="1207">
        <v>2047</v>
      </c>
      <c r="O126" s="1207">
        <v>2030</v>
      </c>
      <c r="P126" s="1302"/>
      <c r="Q126" s="1302"/>
      <c r="R126" s="1302"/>
      <c r="S126" s="1302"/>
      <c r="T126" s="1302"/>
      <c r="U126" s="1302"/>
      <c r="V126" s="1302"/>
      <c r="W126" s="1302"/>
      <c r="X126" s="1302"/>
      <c r="Y126" s="1302"/>
      <c r="Z126" s="1302"/>
      <c r="AA126" s="1302"/>
      <c r="AB126" s="1302"/>
      <c r="AC126" s="1302"/>
      <c r="AD126" s="1302"/>
      <c r="AE126" s="1302"/>
      <c r="AF126" s="1302"/>
      <c r="AG126" s="1302"/>
      <c r="AH126" s="1302"/>
      <c r="AI126" s="1302"/>
      <c r="AJ126" s="1302"/>
      <c r="AK126" s="1302"/>
      <c r="AL126" s="1302"/>
      <c r="AM126" s="1302"/>
      <c r="AN126" s="1302"/>
      <c r="AO126" s="1302"/>
      <c r="AP126" s="1302"/>
      <c r="AQ126" s="1302"/>
      <c r="AR126" s="1302"/>
      <c r="AS126" s="1302"/>
      <c r="AT126" s="1302"/>
      <c r="AU126" s="1302"/>
      <c r="AV126" s="1302"/>
      <c r="AW126" s="1302"/>
      <c r="AX126" s="1302"/>
      <c r="AY126" s="1302"/>
      <c r="AZ126" s="1302"/>
      <c r="BA126" s="1302"/>
      <c r="BB126" s="1302"/>
      <c r="BC126" s="1302"/>
      <c r="BD126" s="1302"/>
      <c r="BE126" s="1302"/>
      <c r="BF126" s="1302"/>
      <c r="BG126" s="1302"/>
      <c r="BH126" s="1302"/>
      <c r="BI126" s="1302"/>
      <c r="BJ126" s="1302"/>
      <c r="BK126" s="1302"/>
      <c r="BL126" s="1302"/>
      <c r="BM126" s="1302"/>
      <c r="BN126" s="1302"/>
      <c r="BO126" s="1302"/>
      <c r="BP126" s="1302"/>
      <c r="BQ126" s="1302"/>
      <c r="BR126" s="1302"/>
      <c r="BS126" s="1302"/>
      <c r="BT126" s="1302"/>
      <c r="BU126" s="1302"/>
      <c r="BV126" s="1302"/>
      <c r="BW126" s="1302"/>
      <c r="BX126" s="1302"/>
      <c r="BY126" s="1302"/>
      <c r="BZ126" s="1302"/>
      <c r="CA126" s="1302"/>
      <c r="CB126" s="1302"/>
      <c r="CC126" s="1302"/>
      <c r="CD126" s="1302"/>
      <c r="CE126" s="1302"/>
      <c r="CF126" s="1302"/>
      <c r="CG126" s="1302"/>
      <c r="CH126" s="1302"/>
      <c r="CI126" s="1302"/>
      <c r="CJ126" s="1302"/>
      <c r="CK126" s="1302"/>
      <c r="CL126" s="1302"/>
      <c r="CM126" s="1302"/>
    </row>
    <row r="127" spans="1:117" ht="16">
      <c r="A127" s="1325"/>
      <c r="B127" s="1326"/>
      <c r="C127" s="1211"/>
      <c r="D127" s="1327" t="s">
        <v>418</v>
      </c>
      <c r="E127" s="1305" t="s">
        <v>4214</v>
      </c>
      <c r="F127" s="1328"/>
      <c r="G127" s="1329">
        <v>271</v>
      </c>
      <c r="H127" s="1307">
        <v>238.4</v>
      </c>
      <c r="I127" s="1307">
        <v>262.01419126455221</v>
      </c>
      <c r="J127" s="1307">
        <v>331.7960583246894</v>
      </c>
      <c r="K127" s="1307">
        <v>401.00562148417242</v>
      </c>
      <c r="L127" s="1307">
        <v>451.88606055546165</v>
      </c>
      <c r="M127" s="1307">
        <v>509.22231705520903</v>
      </c>
      <c r="N127" s="1307">
        <v>573.83351871561001</v>
      </c>
      <c r="O127" s="1307">
        <v>382.29539547782514</v>
      </c>
      <c r="P127" s="1302"/>
      <c r="Q127" s="1302"/>
      <c r="R127" s="1302"/>
      <c r="S127" s="1302"/>
      <c r="T127" s="1302"/>
      <c r="U127" s="1302"/>
      <c r="V127" s="1302"/>
      <c r="W127" s="1302"/>
      <c r="X127" s="1302"/>
      <c r="Y127" s="1302"/>
      <c r="Z127" s="1302"/>
      <c r="AA127" s="1302"/>
      <c r="AB127" s="1302"/>
      <c r="AC127" s="1302"/>
      <c r="AD127" s="1302"/>
      <c r="AE127" s="1302"/>
      <c r="AF127" s="1302"/>
      <c r="AG127" s="1302"/>
      <c r="AH127" s="1302"/>
      <c r="AI127" s="1302"/>
      <c r="AJ127" s="1302"/>
      <c r="AK127" s="1302"/>
      <c r="AL127" s="1302"/>
      <c r="AM127" s="1302"/>
      <c r="AN127" s="1302"/>
      <c r="AO127" s="1302"/>
      <c r="AP127" s="1302"/>
      <c r="AQ127" s="1302"/>
      <c r="AR127" s="1302"/>
      <c r="AS127" s="1302"/>
      <c r="AT127" s="1302"/>
      <c r="AU127" s="1302"/>
      <c r="AV127" s="1302"/>
      <c r="AW127" s="1302"/>
      <c r="AX127" s="1302"/>
      <c r="AY127" s="1302"/>
      <c r="AZ127" s="1302"/>
      <c r="BA127" s="1302"/>
      <c r="BB127" s="1302"/>
      <c r="BC127" s="1302"/>
      <c r="BD127" s="1302"/>
      <c r="BE127" s="1302"/>
      <c r="BF127" s="1302"/>
      <c r="BG127" s="1302"/>
      <c r="BH127" s="1302"/>
      <c r="BI127" s="1302"/>
      <c r="BJ127" s="1302"/>
      <c r="BK127" s="1302"/>
      <c r="BL127" s="1302"/>
      <c r="BM127" s="1302"/>
      <c r="BN127" s="1302"/>
      <c r="BO127" s="1302"/>
      <c r="BP127" s="1302"/>
      <c r="BQ127" s="1302"/>
      <c r="BR127" s="1302"/>
      <c r="BS127" s="1302"/>
      <c r="BT127" s="1302"/>
      <c r="BU127" s="1302"/>
      <c r="BV127" s="1302"/>
      <c r="BW127" s="1302"/>
      <c r="BX127" s="1302"/>
      <c r="BY127" s="1302"/>
      <c r="BZ127" s="1302"/>
      <c r="CA127" s="1302"/>
      <c r="CB127" s="1302"/>
      <c r="CC127" s="1302"/>
      <c r="CD127" s="1302"/>
      <c r="CE127" s="1302"/>
      <c r="CF127" s="1302"/>
      <c r="CG127" s="1302"/>
      <c r="CH127" s="1302"/>
      <c r="CI127" s="1302"/>
      <c r="CJ127" s="1302"/>
      <c r="CK127" s="1302"/>
      <c r="CL127" s="1302"/>
      <c r="CM127" s="1302"/>
    </row>
    <row r="128" spans="1:117" ht="16">
      <c r="A128" s="1325"/>
      <c r="B128" s="1326"/>
      <c r="C128" s="1211"/>
      <c r="D128" s="1327" t="s">
        <v>421</v>
      </c>
      <c r="E128" s="1305" t="s">
        <v>4215</v>
      </c>
      <c r="F128" s="1328"/>
      <c r="G128" s="1329">
        <v>30.6</v>
      </c>
      <c r="H128" s="1307">
        <v>33.5</v>
      </c>
      <c r="I128" s="1307">
        <v>34.315604735000001</v>
      </c>
      <c r="J128" s="1307">
        <v>36.442551907058309</v>
      </c>
      <c r="K128" s="1307">
        <v>38.701331355064028</v>
      </c>
      <c r="L128" s="1307">
        <v>41.100114297000282</v>
      </c>
      <c r="M128" s="1307">
        <v>43.64757841865444</v>
      </c>
      <c r="N128" s="1307">
        <v>46.352939265466581</v>
      </c>
      <c r="O128" s="1307">
        <v>37.781487763562353</v>
      </c>
      <c r="P128" s="1302"/>
      <c r="Q128" s="1302"/>
      <c r="R128" s="1302"/>
      <c r="S128" s="1302"/>
      <c r="T128" s="1302"/>
      <c r="U128" s="1302"/>
      <c r="V128" s="1302"/>
      <c r="W128" s="1302"/>
      <c r="X128" s="1302"/>
      <c r="Y128" s="1302"/>
      <c r="Z128" s="1302"/>
      <c r="AA128" s="1302"/>
      <c r="AB128" s="1302"/>
      <c r="AC128" s="1302"/>
      <c r="AD128" s="1302"/>
      <c r="AE128" s="1302"/>
      <c r="AF128" s="1302"/>
      <c r="AG128" s="1302"/>
      <c r="AH128" s="1302"/>
      <c r="AI128" s="1302"/>
      <c r="AJ128" s="1302"/>
      <c r="AK128" s="1302"/>
      <c r="AL128" s="1302"/>
      <c r="AM128" s="1302"/>
      <c r="AN128" s="1302"/>
      <c r="AO128" s="1302"/>
      <c r="AP128" s="1302"/>
      <c r="AQ128" s="1302"/>
      <c r="AR128" s="1302"/>
      <c r="AS128" s="1302"/>
      <c r="AT128" s="1302"/>
      <c r="AU128" s="1302"/>
      <c r="AV128" s="1302"/>
      <c r="AW128" s="1302"/>
      <c r="AX128" s="1302"/>
      <c r="AY128" s="1302"/>
      <c r="AZ128" s="1302"/>
      <c r="BA128" s="1302"/>
      <c r="BB128" s="1302"/>
      <c r="BC128" s="1302"/>
      <c r="BD128" s="1302"/>
      <c r="BE128" s="1302"/>
      <c r="BF128" s="1302"/>
      <c r="BG128" s="1302"/>
      <c r="BH128" s="1302"/>
      <c r="BI128" s="1302"/>
      <c r="BJ128" s="1302"/>
      <c r="BK128" s="1302"/>
      <c r="BL128" s="1302"/>
      <c r="BM128" s="1302"/>
      <c r="BN128" s="1302"/>
      <c r="BO128" s="1302"/>
      <c r="BP128" s="1302"/>
      <c r="BQ128" s="1302"/>
      <c r="BR128" s="1302"/>
      <c r="BS128" s="1302"/>
      <c r="BT128" s="1302"/>
      <c r="BU128" s="1302"/>
      <c r="BV128" s="1302"/>
      <c r="BW128" s="1302"/>
      <c r="BX128" s="1302"/>
      <c r="BY128" s="1302"/>
      <c r="BZ128" s="1302"/>
      <c r="CA128" s="1302"/>
      <c r="CB128" s="1302"/>
      <c r="CC128" s="1302"/>
      <c r="CD128" s="1302"/>
      <c r="CE128" s="1302"/>
      <c r="CF128" s="1302"/>
      <c r="CG128" s="1302"/>
      <c r="CH128" s="1302"/>
      <c r="CI128" s="1302"/>
      <c r="CJ128" s="1302"/>
      <c r="CK128" s="1302"/>
      <c r="CL128" s="1302"/>
      <c r="CM128" s="1302"/>
    </row>
    <row r="129" spans="1:91" ht="16">
      <c r="A129" s="1325"/>
      <c r="B129" s="1326"/>
      <c r="C129" s="1211"/>
      <c r="D129" s="1327" t="s">
        <v>4211</v>
      </c>
      <c r="E129" s="1305" t="s">
        <v>4214</v>
      </c>
      <c r="F129" s="1328"/>
      <c r="G129" s="1329">
        <v>2.35</v>
      </c>
      <c r="H129" s="1307">
        <v>2.6522000000000001</v>
      </c>
      <c r="I129" s="1307">
        <v>3.4706197750971524</v>
      </c>
      <c r="J129" s="1307">
        <v>4.9400331107060627</v>
      </c>
      <c r="K129" s="1307">
        <v>6.9635991725397792</v>
      </c>
      <c r="L129" s="1307">
        <v>9.7773701054124551</v>
      </c>
      <c r="M129" s="1307">
        <v>13.723587720259033</v>
      </c>
      <c r="N129" s="1307">
        <v>19.276725579483674</v>
      </c>
      <c r="O129" s="1307">
        <v>6.0747629853565428</v>
      </c>
      <c r="P129" s="1302"/>
      <c r="Q129" s="1302"/>
      <c r="R129" s="1302"/>
      <c r="S129" s="1302"/>
      <c r="T129" s="1302"/>
      <c r="U129" s="1302"/>
      <c r="V129" s="1302"/>
      <c r="W129" s="1302"/>
      <c r="X129" s="1302"/>
      <c r="Y129" s="1302"/>
      <c r="Z129" s="1302"/>
      <c r="AA129" s="1302"/>
      <c r="AB129" s="1302"/>
      <c r="AC129" s="1302"/>
      <c r="AD129" s="1302"/>
      <c r="AE129" s="1302"/>
      <c r="AF129" s="1302"/>
      <c r="AG129" s="1302"/>
      <c r="AH129" s="1302"/>
      <c r="AI129" s="1302"/>
      <c r="AJ129" s="1302"/>
      <c r="AK129" s="1302"/>
      <c r="AL129" s="1302"/>
      <c r="AM129" s="1302"/>
      <c r="AN129" s="1302"/>
      <c r="AO129" s="1302"/>
      <c r="AP129" s="1302"/>
      <c r="AQ129" s="1302"/>
      <c r="AR129" s="1302"/>
      <c r="AS129" s="1302"/>
      <c r="AT129" s="1302"/>
      <c r="AU129" s="1302"/>
      <c r="AV129" s="1302"/>
      <c r="AW129" s="1302"/>
      <c r="AX129" s="1302"/>
      <c r="AY129" s="1302"/>
      <c r="AZ129" s="1302"/>
      <c r="BA129" s="1302"/>
      <c r="BB129" s="1302"/>
      <c r="BC129" s="1302"/>
      <c r="BD129" s="1302"/>
      <c r="BE129" s="1302"/>
      <c r="BF129" s="1302"/>
      <c r="BG129" s="1302"/>
      <c r="BH129" s="1302"/>
      <c r="BI129" s="1302"/>
      <c r="BJ129" s="1302"/>
      <c r="BK129" s="1302"/>
      <c r="BL129" s="1302"/>
      <c r="BM129" s="1302"/>
      <c r="BN129" s="1302"/>
      <c r="BO129" s="1302"/>
      <c r="BP129" s="1302"/>
      <c r="BQ129" s="1302"/>
      <c r="BR129" s="1302"/>
      <c r="BS129" s="1302"/>
      <c r="BT129" s="1302"/>
      <c r="BU129" s="1302"/>
      <c r="BV129" s="1302"/>
      <c r="BW129" s="1302"/>
      <c r="BX129" s="1302"/>
      <c r="BY129" s="1302"/>
      <c r="BZ129" s="1302"/>
      <c r="CA129" s="1302"/>
      <c r="CB129" s="1302"/>
      <c r="CC129" s="1302"/>
      <c r="CD129" s="1302"/>
      <c r="CE129" s="1302"/>
      <c r="CF129" s="1302"/>
      <c r="CG129" s="1302"/>
      <c r="CH129" s="1302"/>
      <c r="CI129" s="1302"/>
      <c r="CJ129" s="1302"/>
      <c r="CK129" s="1302"/>
      <c r="CL129" s="1302"/>
      <c r="CM129" s="1302"/>
    </row>
    <row r="130" spans="1:91" ht="16">
      <c r="A130" s="1325"/>
      <c r="B130" s="1326"/>
      <c r="C130" s="1211"/>
      <c r="D130" s="1327" t="s">
        <v>423</v>
      </c>
      <c r="E130" s="1305" t="s">
        <v>4216</v>
      </c>
      <c r="F130" s="1328"/>
      <c r="G130" s="1329">
        <v>88.98</v>
      </c>
      <c r="H130" s="1307">
        <v>64.2</v>
      </c>
      <c r="I130" s="1307">
        <v>75.056253858491218</v>
      </c>
      <c r="J130" s="1307">
        <v>110.92170218412703</v>
      </c>
      <c r="K130" s="1307">
        <v>159.0668341596573</v>
      </c>
      <c r="L130" s="1307">
        <v>202.24445972695193</v>
      </c>
      <c r="M130" s="1307">
        <v>250.22778437088579</v>
      </c>
      <c r="N130" s="1307">
        <v>297.19211278966009</v>
      </c>
      <c r="O130" s="1307">
        <v>140.21494636761142</v>
      </c>
      <c r="P130" s="1302"/>
      <c r="Q130" s="1302"/>
      <c r="R130" s="1302"/>
      <c r="S130" s="1302"/>
      <c r="T130" s="1302"/>
      <c r="U130" s="1302"/>
      <c r="V130" s="1302"/>
      <c r="W130" s="1302"/>
      <c r="X130" s="1302"/>
      <c r="Y130" s="1302"/>
      <c r="Z130" s="1302"/>
      <c r="AA130" s="1302"/>
      <c r="AB130" s="1302"/>
      <c r="AC130" s="1302"/>
      <c r="AD130" s="1302"/>
      <c r="AE130" s="1302"/>
      <c r="AF130" s="1302"/>
      <c r="AG130" s="1302"/>
      <c r="AH130" s="1302"/>
      <c r="AI130" s="1302"/>
      <c r="AJ130" s="1302"/>
      <c r="AK130" s="1302"/>
      <c r="AL130" s="1302"/>
      <c r="AM130" s="1302"/>
      <c r="AN130" s="1302"/>
      <c r="AO130" s="1302"/>
      <c r="AP130" s="1302"/>
      <c r="AQ130" s="1302"/>
      <c r="AR130" s="1302"/>
      <c r="AS130" s="1302"/>
      <c r="AT130" s="1302"/>
      <c r="AU130" s="1302"/>
      <c r="AV130" s="1302"/>
      <c r="AW130" s="1302"/>
      <c r="AX130" s="1302"/>
      <c r="AY130" s="1302"/>
      <c r="AZ130" s="1302"/>
      <c r="BA130" s="1302"/>
      <c r="BB130" s="1302"/>
      <c r="BC130" s="1302"/>
      <c r="BD130" s="1302"/>
      <c r="BE130" s="1302"/>
      <c r="BF130" s="1302"/>
      <c r="BG130" s="1302"/>
      <c r="BH130" s="1302"/>
      <c r="BI130" s="1302"/>
      <c r="BJ130" s="1302"/>
      <c r="BK130" s="1302"/>
      <c r="BL130" s="1302"/>
      <c r="BM130" s="1302"/>
      <c r="BN130" s="1302"/>
      <c r="BO130" s="1302"/>
      <c r="BP130" s="1302"/>
      <c r="BQ130" s="1302"/>
      <c r="BR130" s="1302"/>
      <c r="BS130" s="1302"/>
      <c r="BT130" s="1302"/>
      <c r="BU130" s="1302"/>
      <c r="BV130" s="1302"/>
      <c r="BW130" s="1302"/>
      <c r="BX130" s="1302"/>
      <c r="BY130" s="1302"/>
      <c r="BZ130" s="1302"/>
      <c r="CA130" s="1302"/>
      <c r="CB130" s="1302"/>
      <c r="CC130" s="1302"/>
      <c r="CD130" s="1302"/>
      <c r="CE130" s="1302"/>
      <c r="CF130" s="1302"/>
      <c r="CG130" s="1302"/>
      <c r="CH130" s="1302"/>
      <c r="CI130" s="1302"/>
      <c r="CJ130" s="1302"/>
      <c r="CK130" s="1302"/>
      <c r="CL130" s="1302"/>
      <c r="CM130" s="1302"/>
    </row>
    <row r="131" spans="1:91" ht="16">
      <c r="A131" s="1325"/>
      <c r="B131" s="1326"/>
      <c r="C131" s="1211"/>
      <c r="D131" s="1330" t="s">
        <v>424</v>
      </c>
      <c r="E131" s="1220" t="s">
        <v>3925</v>
      </c>
      <c r="F131" s="1328"/>
      <c r="G131" s="1329">
        <v>16.63</v>
      </c>
      <c r="H131" s="1307">
        <v>20.306000000000001</v>
      </c>
      <c r="I131" s="1307">
        <v>22.466600000000199</v>
      </c>
      <c r="J131" s="1307">
        <v>27.86810000000014</v>
      </c>
      <c r="K131" s="1307">
        <v>33.269600000000082</v>
      </c>
      <c r="L131" s="1307">
        <v>38.671100000000024</v>
      </c>
      <c r="M131" s="1307">
        <v>44.072599999999966</v>
      </c>
      <c r="N131" s="1307">
        <v>49.474099999999908</v>
      </c>
      <c r="O131" s="1307">
        <v>31.108999999999924</v>
      </c>
      <c r="P131" s="1302"/>
      <c r="Q131" s="1302"/>
      <c r="R131" s="1302"/>
      <c r="S131" s="1302"/>
      <c r="T131" s="1302"/>
      <c r="U131" s="1302"/>
      <c r="V131" s="1302"/>
      <c r="W131" s="1302"/>
      <c r="X131" s="1302"/>
      <c r="Y131" s="1302"/>
      <c r="Z131" s="1302"/>
      <c r="AA131" s="1302"/>
      <c r="AB131" s="1302"/>
      <c r="AC131" s="1302"/>
      <c r="AD131" s="1302"/>
      <c r="AE131" s="1302"/>
      <c r="AF131" s="1302"/>
      <c r="AG131" s="1302"/>
      <c r="AH131" s="1302"/>
      <c r="AI131" s="1302"/>
      <c r="AJ131" s="1302"/>
      <c r="AK131" s="1302"/>
      <c r="AL131" s="1302"/>
      <c r="AM131" s="1302"/>
      <c r="AN131" s="1302"/>
      <c r="AO131" s="1302"/>
      <c r="AP131" s="1302"/>
      <c r="AQ131" s="1302"/>
      <c r="AR131" s="1302"/>
      <c r="AS131" s="1302"/>
      <c r="AT131" s="1302"/>
      <c r="AU131" s="1302"/>
      <c r="AV131" s="1302"/>
      <c r="AW131" s="1302"/>
      <c r="AX131" s="1302"/>
      <c r="AY131" s="1302"/>
      <c r="AZ131" s="1302"/>
      <c r="BA131" s="1302"/>
      <c r="BB131" s="1302"/>
      <c r="BC131" s="1302"/>
      <c r="BD131" s="1302"/>
      <c r="BE131" s="1302"/>
      <c r="BF131" s="1302"/>
      <c r="BG131" s="1302"/>
      <c r="BH131" s="1302"/>
      <c r="BI131" s="1302"/>
      <c r="BJ131" s="1302"/>
      <c r="BK131" s="1302"/>
      <c r="BL131" s="1302"/>
      <c r="BM131" s="1302"/>
      <c r="BN131" s="1302"/>
      <c r="BO131" s="1302"/>
      <c r="BP131" s="1302"/>
      <c r="BQ131" s="1302"/>
      <c r="BR131" s="1302"/>
      <c r="BS131" s="1302"/>
      <c r="BT131" s="1302"/>
      <c r="BU131" s="1302"/>
      <c r="BV131" s="1302"/>
      <c r="BW131" s="1302"/>
      <c r="BX131" s="1302"/>
      <c r="BY131" s="1302"/>
      <c r="BZ131" s="1302"/>
      <c r="CA131" s="1302"/>
      <c r="CB131" s="1302"/>
      <c r="CC131" s="1302"/>
      <c r="CD131" s="1302"/>
      <c r="CE131" s="1302"/>
      <c r="CF131" s="1302"/>
      <c r="CG131" s="1302"/>
      <c r="CH131" s="1302"/>
      <c r="CI131" s="1302"/>
      <c r="CJ131" s="1302"/>
      <c r="CK131" s="1302"/>
      <c r="CL131" s="1302"/>
      <c r="CM131" s="1302"/>
    </row>
    <row r="132" spans="1:91" ht="16">
      <c r="A132" s="1325"/>
      <c r="B132" s="1326"/>
      <c r="C132" s="1216"/>
      <c r="D132" s="1330" t="s">
        <v>425</v>
      </c>
      <c r="E132" s="1305" t="s">
        <v>3925</v>
      </c>
      <c r="F132" s="1328"/>
      <c r="G132" s="1329">
        <v>0</v>
      </c>
      <c r="H132" s="1307">
        <v>15.2</v>
      </c>
      <c r="I132" s="1307">
        <v>15.863731712000002</v>
      </c>
      <c r="J132" s="1307">
        <v>17.652644602762074</v>
      </c>
      <c r="K132" s="1307">
        <v>19.643288674360623</v>
      </c>
      <c r="L132" s="1307">
        <v>21.858412641689377</v>
      </c>
      <c r="M132" s="1307">
        <v>24.323330534667594</v>
      </c>
      <c r="N132" s="1307">
        <v>27.066210982325387</v>
      </c>
      <c r="O132" s="1307">
        <v>18.821421924604561</v>
      </c>
      <c r="P132" s="1302"/>
      <c r="Q132" s="1302"/>
      <c r="R132" s="1302"/>
      <c r="S132" s="1302"/>
      <c r="T132" s="1302"/>
      <c r="U132" s="1302"/>
      <c r="V132" s="1302"/>
      <c r="W132" s="1302"/>
      <c r="X132" s="1302"/>
      <c r="Y132" s="1302"/>
      <c r="Z132" s="1302"/>
      <c r="AA132" s="1302"/>
      <c r="AB132" s="1302"/>
      <c r="AC132" s="1302"/>
      <c r="AD132" s="1302"/>
      <c r="AE132" s="1302"/>
      <c r="AF132" s="1302"/>
      <c r="AG132" s="1302"/>
      <c r="AH132" s="1302"/>
      <c r="AI132" s="1302"/>
      <c r="AJ132" s="1302"/>
      <c r="AK132" s="1302"/>
      <c r="AL132" s="1302"/>
      <c r="AM132" s="1302"/>
      <c r="AN132" s="1302"/>
      <c r="AO132" s="1302"/>
      <c r="AP132" s="1302"/>
      <c r="AQ132" s="1302"/>
      <c r="AR132" s="1302"/>
      <c r="AS132" s="1302"/>
      <c r="AT132" s="1302"/>
      <c r="AU132" s="1302"/>
      <c r="AV132" s="1302"/>
      <c r="AW132" s="1302"/>
      <c r="AX132" s="1302"/>
      <c r="AY132" s="1302"/>
      <c r="AZ132" s="1302"/>
      <c r="BA132" s="1302"/>
      <c r="BB132" s="1302"/>
      <c r="BC132" s="1302"/>
      <c r="BD132" s="1302"/>
      <c r="BE132" s="1302"/>
      <c r="BF132" s="1302"/>
      <c r="BG132" s="1302"/>
      <c r="BH132" s="1302"/>
      <c r="BI132" s="1302"/>
      <c r="BJ132" s="1302"/>
      <c r="BK132" s="1302"/>
      <c r="BL132" s="1302"/>
      <c r="BM132" s="1302"/>
      <c r="BN132" s="1302"/>
      <c r="BO132" s="1302"/>
      <c r="BP132" s="1302"/>
      <c r="BQ132" s="1302"/>
      <c r="BR132" s="1302"/>
      <c r="BS132" s="1302"/>
      <c r="BT132" s="1302"/>
      <c r="BU132" s="1302"/>
      <c r="BV132" s="1302"/>
      <c r="BW132" s="1302"/>
      <c r="BX132" s="1302"/>
      <c r="BY132" s="1302"/>
      <c r="BZ132" s="1302"/>
      <c r="CA132" s="1302"/>
      <c r="CB132" s="1302"/>
      <c r="CC132" s="1302"/>
      <c r="CD132" s="1302"/>
      <c r="CE132" s="1302"/>
      <c r="CF132" s="1302"/>
      <c r="CG132" s="1302"/>
      <c r="CH132" s="1302"/>
      <c r="CI132" s="1302"/>
      <c r="CJ132" s="1302"/>
      <c r="CK132" s="1302"/>
      <c r="CL132" s="1302"/>
      <c r="CM132" s="1302"/>
    </row>
    <row r="133" spans="1:91" ht="16">
      <c r="B133" s="1263"/>
      <c r="C133" s="1263"/>
      <c r="D133" s="1331" t="s">
        <v>426</v>
      </c>
      <c r="E133" s="1332" t="s">
        <v>3925</v>
      </c>
      <c r="F133" s="1328"/>
      <c r="G133" s="1329">
        <v>2.5456570000000003</v>
      </c>
      <c r="H133" s="1307">
        <v>3.2749999999999999</v>
      </c>
      <c r="I133" s="1307">
        <v>2.6647499999999997</v>
      </c>
      <c r="J133" s="1307">
        <v>3.2579301027729843</v>
      </c>
      <c r="K133" s="1307">
        <v>4.089895882534039</v>
      </c>
      <c r="L133" s="1307">
        <v>5.2567709268210798</v>
      </c>
      <c r="M133" s="1307">
        <v>6.8933735396965092</v>
      </c>
      <c r="N133" s="1307">
        <v>9.1887933668530852</v>
      </c>
      <c r="O133" s="1307">
        <v>3.7230332452913255</v>
      </c>
      <c r="P133" s="1302"/>
      <c r="Q133" s="1302"/>
      <c r="R133" s="1302"/>
      <c r="S133" s="1302"/>
      <c r="T133" s="1302"/>
      <c r="U133" s="1302"/>
      <c r="V133" s="1302"/>
      <c r="W133" s="1302"/>
      <c r="X133" s="1302"/>
      <c r="Y133" s="1302"/>
      <c r="Z133" s="1302"/>
      <c r="AA133" s="1302"/>
      <c r="AB133" s="1302"/>
      <c r="AC133" s="1302"/>
      <c r="AD133" s="1302"/>
      <c r="AE133" s="1302"/>
      <c r="AF133" s="1302"/>
      <c r="AG133" s="1302"/>
      <c r="AH133" s="1302"/>
      <c r="AI133" s="1302"/>
      <c r="AJ133" s="1302"/>
      <c r="AK133" s="1302"/>
      <c r="AL133" s="1302"/>
      <c r="AM133" s="1302"/>
      <c r="AN133" s="1302"/>
      <c r="AO133" s="1302"/>
      <c r="AP133" s="1302"/>
      <c r="AQ133" s="1302"/>
      <c r="AR133" s="1302"/>
      <c r="AS133" s="1302"/>
      <c r="AT133" s="1302"/>
      <c r="AU133" s="1302"/>
      <c r="AV133" s="1302"/>
      <c r="AW133" s="1302"/>
      <c r="AX133" s="1302"/>
      <c r="AY133" s="1302"/>
      <c r="AZ133" s="1302"/>
      <c r="BA133" s="1302"/>
      <c r="BB133" s="1302"/>
      <c r="BC133" s="1302"/>
      <c r="BD133" s="1302"/>
      <c r="BE133" s="1302"/>
      <c r="BF133" s="1302"/>
      <c r="BG133" s="1302"/>
      <c r="BH133" s="1302"/>
      <c r="BI133" s="1302"/>
      <c r="BJ133" s="1302"/>
      <c r="BK133" s="1302"/>
      <c r="BL133" s="1302"/>
      <c r="BM133" s="1302"/>
      <c r="BN133" s="1302"/>
      <c r="BO133" s="1302"/>
      <c r="BP133" s="1302"/>
      <c r="BQ133" s="1302"/>
      <c r="BR133" s="1302"/>
      <c r="BS133" s="1302"/>
      <c r="BT133" s="1302"/>
      <c r="BU133" s="1302"/>
      <c r="BV133" s="1302"/>
      <c r="BW133" s="1302"/>
      <c r="BX133" s="1302"/>
      <c r="BY133" s="1302"/>
      <c r="BZ133" s="1302"/>
      <c r="CA133" s="1302"/>
      <c r="CB133" s="1302"/>
      <c r="CC133" s="1302"/>
      <c r="CD133" s="1302"/>
      <c r="CE133" s="1302"/>
      <c r="CF133" s="1302"/>
      <c r="CG133" s="1302"/>
      <c r="CH133" s="1302"/>
      <c r="CI133" s="1302"/>
      <c r="CJ133" s="1302"/>
      <c r="CK133" s="1302"/>
      <c r="CL133" s="1302"/>
      <c r="CM133" s="1302"/>
    </row>
    <row r="134" spans="1:91" ht="16">
      <c r="B134" s="1263"/>
      <c r="C134" s="1314"/>
      <c r="D134" s="1333" t="s">
        <v>3855</v>
      </c>
      <c r="E134" s="1221" t="s">
        <v>3846</v>
      </c>
      <c r="F134" s="1334"/>
      <c r="G134" s="1335">
        <v>9680.8252000000011</v>
      </c>
      <c r="H134" s="1335">
        <v>14012.36</v>
      </c>
      <c r="I134" s="1335">
        <v>15937.970039010001</v>
      </c>
      <c r="J134" s="1335">
        <v>21990.611445006558</v>
      </c>
      <c r="K134" s="1335">
        <v>30341.818345850756</v>
      </c>
      <c r="L134" s="1335">
        <v>41864.499440357926</v>
      </c>
      <c r="M134" s="1335">
        <v>57763.061310773483</v>
      </c>
      <c r="N134" s="1335">
        <v>79699.298847358921</v>
      </c>
      <c r="O134" s="1335">
        <v>26675.949363440672</v>
      </c>
      <c r="P134" s="1302"/>
      <c r="Q134" s="1302"/>
      <c r="R134" s="1302"/>
      <c r="S134" s="1302"/>
      <c r="T134" s="1302"/>
      <c r="U134" s="1302"/>
      <c r="V134" s="1302"/>
      <c r="W134" s="1302"/>
      <c r="X134" s="1302"/>
      <c r="Y134" s="1302"/>
      <c r="Z134" s="1302"/>
      <c r="AA134" s="1302"/>
      <c r="AB134" s="1302"/>
      <c r="AC134" s="1302"/>
      <c r="AD134" s="1302"/>
      <c r="AE134" s="1302"/>
      <c r="AF134" s="1302"/>
      <c r="AG134" s="1302"/>
      <c r="AH134" s="1302"/>
      <c r="AI134" s="1302"/>
      <c r="AJ134" s="1302"/>
      <c r="AK134" s="1302"/>
      <c r="AL134" s="1302"/>
      <c r="AM134" s="1302"/>
      <c r="AN134" s="1302"/>
      <c r="AO134" s="1302"/>
      <c r="AP134" s="1302"/>
      <c r="AQ134" s="1302"/>
      <c r="AR134" s="1302"/>
      <c r="AS134" s="1302"/>
      <c r="AT134" s="1302"/>
      <c r="AU134" s="1302"/>
      <c r="AV134" s="1302"/>
      <c r="AW134" s="1302"/>
      <c r="AX134" s="1302"/>
      <c r="AY134" s="1302"/>
      <c r="AZ134" s="1302"/>
      <c r="BA134" s="1302"/>
      <c r="BB134" s="1302"/>
      <c r="BC134" s="1302"/>
      <c r="BD134" s="1302"/>
      <c r="BE134" s="1302"/>
      <c r="BF134" s="1302"/>
      <c r="BG134" s="1302"/>
      <c r="BH134" s="1302"/>
      <c r="BI134" s="1302"/>
      <c r="BJ134" s="1302"/>
      <c r="BK134" s="1302"/>
      <c r="BL134" s="1302"/>
      <c r="BM134" s="1302"/>
      <c r="BN134" s="1302"/>
      <c r="BO134" s="1302"/>
      <c r="BP134" s="1302"/>
      <c r="BQ134" s="1302"/>
      <c r="BR134" s="1302"/>
      <c r="BS134" s="1302"/>
      <c r="BT134" s="1302"/>
      <c r="BU134" s="1302"/>
      <c r="BV134" s="1302"/>
      <c r="BW134" s="1302"/>
      <c r="BX134" s="1302"/>
      <c r="BY134" s="1302"/>
      <c r="BZ134" s="1302"/>
      <c r="CA134" s="1302"/>
      <c r="CB134" s="1302"/>
      <c r="CC134" s="1302"/>
      <c r="CD134" s="1302"/>
      <c r="CE134" s="1302"/>
      <c r="CF134" s="1302"/>
      <c r="CG134" s="1302"/>
      <c r="CH134" s="1302"/>
      <c r="CI134" s="1302"/>
      <c r="CJ134" s="1302"/>
      <c r="CK134" s="1302"/>
      <c r="CL134" s="1302"/>
      <c r="CM134" s="1302"/>
    </row>
    <row r="135" spans="1:91" ht="15.75" customHeight="1">
      <c r="B135" s="1263"/>
      <c r="C135" s="1263"/>
      <c r="D135" s="1263"/>
      <c r="E135" s="1263"/>
      <c r="F135" s="1263"/>
      <c r="G135" s="1220"/>
      <c r="H135" s="1220"/>
      <c r="I135" s="1220"/>
      <c r="J135" s="1220"/>
      <c r="K135" s="1220"/>
      <c r="L135" s="1220"/>
      <c r="M135" s="1220"/>
      <c r="N135" s="1220"/>
      <c r="O135" s="1263"/>
      <c r="P135" s="1302"/>
      <c r="Q135" s="1302"/>
      <c r="R135" s="1302"/>
      <c r="S135" s="1302"/>
      <c r="T135" s="1302"/>
      <c r="U135" s="1302"/>
      <c r="V135" s="1302"/>
      <c r="W135" s="1302"/>
      <c r="X135" s="1302"/>
      <c r="Y135" s="1302"/>
      <c r="Z135" s="1302"/>
      <c r="AA135" s="1302"/>
      <c r="AB135" s="1302"/>
      <c r="AC135" s="1302"/>
      <c r="AD135" s="1302"/>
      <c r="AE135" s="1302"/>
      <c r="AF135" s="1302"/>
      <c r="AG135" s="1302"/>
      <c r="AH135" s="1302"/>
      <c r="AI135" s="1302"/>
      <c r="AJ135" s="1302"/>
      <c r="AK135" s="1302"/>
      <c r="AL135" s="1302"/>
      <c r="AM135" s="1302"/>
      <c r="AN135" s="1302"/>
      <c r="AO135" s="1302"/>
      <c r="AP135" s="1302"/>
      <c r="AQ135" s="1302"/>
      <c r="AR135" s="1302"/>
      <c r="AS135" s="1302"/>
      <c r="AT135" s="1302"/>
      <c r="AU135" s="1302"/>
      <c r="AV135" s="1302"/>
      <c r="AW135" s="1302"/>
      <c r="AX135" s="1302"/>
      <c r="AY135" s="1302"/>
      <c r="AZ135" s="1302"/>
      <c r="BA135" s="1302"/>
      <c r="BB135" s="1302"/>
      <c r="BC135" s="1302"/>
      <c r="BD135" s="1302"/>
      <c r="BE135" s="1302"/>
      <c r="BF135" s="1302"/>
      <c r="BG135" s="1302"/>
      <c r="BH135" s="1302"/>
      <c r="BI135" s="1302"/>
      <c r="BJ135" s="1302"/>
      <c r="BK135" s="1302"/>
      <c r="BL135" s="1302"/>
      <c r="BM135" s="1302"/>
      <c r="BN135" s="1302"/>
      <c r="BO135" s="1302"/>
      <c r="BP135" s="1302"/>
      <c r="BQ135" s="1302"/>
      <c r="BR135" s="1302"/>
      <c r="BS135" s="1302"/>
      <c r="BT135" s="1302"/>
      <c r="BU135" s="1302"/>
      <c r="BV135" s="1302"/>
      <c r="BW135" s="1302"/>
      <c r="BX135" s="1302"/>
      <c r="BY135" s="1302"/>
      <c r="BZ135" s="1302"/>
      <c r="CA135" s="1302"/>
      <c r="CB135" s="1302"/>
      <c r="CC135" s="1302"/>
      <c r="CD135" s="1302"/>
      <c r="CE135" s="1302"/>
      <c r="CF135" s="1302"/>
      <c r="CG135" s="1302"/>
      <c r="CH135" s="1302"/>
      <c r="CI135" s="1302"/>
      <c r="CJ135" s="1302"/>
      <c r="CK135" s="1302"/>
      <c r="CL135" s="1302"/>
      <c r="CM135" s="1302"/>
    </row>
    <row r="136" spans="1:91">
      <c r="B136" s="1263"/>
      <c r="C136" s="1263"/>
      <c r="D136" s="1263" t="s">
        <v>418</v>
      </c>
      <c r="E136" s="1263" t="s">
        <v>3925</v>
      </c>
      <c r="F136" s="1263"/>
      <c r="G136" s="1220"/>
      <c r="H136" s="1336">
        <v>321.5100544</v>
      </c>
      <c r="I136" s="1336">
        <v>360.17466385152153</v>
      </c>
      <c r="J136" s="1336">
        <v>476.43226427352971</v>
      </c>
      <c r="K136" s="1336">
        <v>597.57015601766261</v>
      </c>
      <c r="L136" s="1336">
        <v>693.62883505445359</v>
      </c>
      <c r="M136" s="1336">
        <v>798.76663575511793</v>
      </c>
      <c r="N136" s="1336">
        <v>913.56706280303706</v>
      </c>
      <c r="O136" s="1336">
        <v>561.76052822633085</v>
      </c>
      <c r="P136" s="1302"/>
      <c r="Q136" s="1302"/>
      <c r="R136" s="1302"/>
      <c r="S136" s="1302"/>
      <c r="T136" s="1302"/>
      <c r="U136" s="1302"/>
      <c r="V136" s="1302"/>
      <c r="W136" s="1302"/>
      <c r="X136" s="1302"/>
      <c r="Y136" s="1302"/>
      <c r="Z136" s="1302"/>
      <c r="AA136" s="1302"/>
      <c r="AB136" s="1302"/>
      <c r="AC136" s="1302"/>
      <c r="AD136" s="1302"/>
      <c r="AE136" s="1302"/>
      <c r="AF136" s="1302"/>
      <c r="AG136" s="1302"/>
      <c r="AH136" s="1302"/>
      <c r="AI136" s="1302"/>
      <c r="AJ136" s="1302"/>
      <c r="AK136" s="1302"/>
      <c r="AL136" s="1302"/>
      <c r="AM136" s="1302"/>
      <c r="AN136" s="1302"/>
      <c r="AO136" s="1302"/>
      <c r="AP136" s="1302"/>
      <c r="AQ136" s="1302"/>
      <c r="AR136" s="1302"/>
      <c r="AS136" s="1302"/>
      <c r="AT136" s="1302"/>
      <c r="AU136" s="1302"/>
      <c r="AV136" s="1302"/>
      <c r="AW136" s="1302"/>
      <c r="AX136" s="1302"/>
      <c r="AY136" s="1302"/>
      <c r="AZ136" s="1302"/>
      <c r="BA136" s="1302"/>
      <c r="BB136" s="1302"/>
      <c r="BC136" s="1302"/>
      <c r="BD136" s="1302"/>
      <c r="BE136" s="1302"/>
      <c r="BF136" s="1302"/>
      <c r="BG136" s="1302"/>
      <c r="BH136" s="1302"/>
      <c r="BI136" s="1302"/>
      <c r="BJ136" s="1302"/>
      <c r="BK136" s="1302"/>
      <c r="BL136" s="1302"/>
      <c r="BM136" s="1302"/>
      <c r="BN136" s="1302"/>
      <c r="BO136" s="1302"/>
      <c r="BP136" s="1302"/>
      <c r="BQ136" s="1302"/>
      <c r="BR136" s="1302"/>
      <c r="BS136" s="1302"/>
      <c r="BT136" s="1302"/>
      <c r="BU136" s="1302"/>
      <c r="BV136" s="1302"/>
      <c r="BW136" s="1302"/>
      <c r="BX136" s="1302"/>
      <c r="BY136" s="1302"/>
      <c r="BZ136" s="1302"/>
      <c r="CA136" s="1302"/>
      <c r="CB136" s="1302"/>
      <c r="CC136" s="1302"/>
      <c r="CD136" s="1302"/>
      <c r="CE136" s="1302"/>
      <c r="CF136" s="1302"/>
      <c r="CG136" s="1302"/>
      <c r="CH136" s="1302"/>
      <c r="CI136" s="1302"/>
      <c r="CJ136" s="1302"/>
      <c r="CK136" s="1302"/>
      <c r="CL136" s="1302"/>
      <c r="CM136" s="1302"/>
    </row>
    <row r="137" spans="1:91">
      <c r="B137" s="1263"/>
      <c r="C137" s="1263"/>
      <c r="D137" s="1263" t="s">
        <v>422</v>
      </c>
      <c r="E137" s="1263" t="s">
        <v>3925</v>
      </c>
      <c r="F137" s="1263"/>
      <c r="G137" s="1220"/>
      <c r="H137" s="1219">
        <v>3.5767993552000004</v>
      </c>
      <c r="I137" s="1219">
        <v>4.7708458263999995</v>
      </c>
      <c r="J137" s="1219">
        <v>7.0934874042919391</v>
      </c>
      <c r="K137" s="1219">
        <v>10.377009251336156</v>
      </c>
      <c r="L137" s="1219">
        <v>15.007911126484323</v>
      </c>
      <c r="M137" s="1219">
        <v>21.526833421586041</v>
      </c>
      <c r="N137" s="1219">
        <v>30.689356745012343</v>
      </c>
      <c r="O137" s="1219">
        <v>8.9265057959653049</v>
      </c>
      <c r="P137" s="1302"/>
      <c r="Q137" s="1302"/>
      <c r="R137" s="1302"/>
      <c r="S137" s="1302"/>
      <c r="T137" s="1302"/>
      <c r="U137" s="1302"/>
      <c r="V137" s="1302"/>
      <c r="W137" s="1302"/>
      <c r="X137" s="1302"/>
      <c r="Y137" s="1302"/>
      <c r="Z137" s="1302"/>
      <c r="AA137" s="1302"/>
      <c r="AB137" s="1302"/>
      <c r="AC137" s="1302"/>
      <c r="AD137" s="1302"/>
      <c r="AE137" s="1302"/>
      <c r="AF137" s="1302"/>
      <c r="AG137" s="1302"/>
      <c r="AH137" s="1302"/>
      <c r="AI137" s="1302"/>
      <c r="AJ137" s="1302"/>
      <c r="AK137" s="1302"/>
      <c r="AL137" s="1302"/>
      <c r="AM137" s="1302"/>
      <c r="AN137" s="1302"/>
      <c r="AO137" s="1302"/>
      <c r="AP137" s="1302"/>
      <c r="AQ137" s="1302"/>
      <c r="AR137" s="1302"/>
      <c r="AS137" s="1302"/>
      <c r="AT137" s="1302"/>
      <c r="AU137" s="1302"/>
      <c r="AV137" s="1302"/>
      <c r="AW137" s="1302"/>
      <c r="AX137" s="1302"/>
      <c r="AY137" s="1302"/>
      <c r="AZ137" s="1302"/>
      <c r="BA137" s="1302"/>
      <c r="BB137" s="1302"/>
      <c r="BC137" s="1302"/>
      <c r="BD137" s="1302"/>
      <c r="BE137" s="1302"/>
      <c r="BF137" s="1302"/>
      <c r="BG137" s="1302"/>
      <c r="BH137" s="1302"/>
      <c r="BI137" s="1302"/>
      <c r="BJ137" s="1302"/>
      <c r="BK137" s="1302"/>
      <c r="BL137" s="1302"/>
      <c r="BM137" s="1302"/>
      <c r="BN137" s="1302"/>
      <c r="BO137" s="1302"/>
      <c r="BP137" s="1302"/>
      <c r="BQ137" s="1302"/>
      <c r="BR137" s="1302"/>
      <c r="BS137" s="1302"/>
      <c r="BT137" s="1302"/>
      <c r="BU137" s="1302"/>
      <c r="BV137" s="1302"/>
      <c r="BW137" s="1302"/>
      <c r="BX137" s="1302"/>
      <c r="BY137" s="1302"/>
      <c r="BZ137" s="1302"/>
      <c r="CA137" s="1302"/>
      <c r="CB137" s="1302"/>
      <c r="CC137" s="1302"/>
      <c r="CD137" s="1302"/>
      <c r="CE137" s="1302"/>
      <c r="CF137" s="1302"/>
      <c r="CG137" s="1302"/>
      <c r="CH137" s="1302"/>
      <c r="CI137" s="1302"/>
      <c r="CJ137" s="1302"/>
      <c r="CK137" s="1302"/>
      <c r="CL137" s="1302"/>
      <c r="CM137" s="1302"/>
    </row>
    <row r="138" spans="1:91">
      <c r="B138" s="1263"/>
      <c r="C138" s="1263"/>
      <c r="D138" s="1263" t="s">
        <v>4217</v>
      </c>
      <c r="E138" s="1263" t="s">
        <v>4218</v>
      </c>
      <c r="F138" s="1263">
        <v>0.88929999999999998</v>
      </c>
      <c r="G138" s="1220"/>
      <c r="H138" s="1294">
        <v>97.358762172495219</v>
      </c>
      <c r="I138" s="1294">
        <v>116.01841750987141</v>
      </c>
      <c r="J138" s="1294">
        <v>179.10106789444453</v>
      </c>
      <c r="K138" s="1294">
        <v>266.54453599595632</v>
      </c>
      <c r="L138" s="1294">
        <v>349.08126040742275</v>
      </c>
      <c r="M138" s="1294">
        <v>441.36686471601917</v>
      </c>
      <c r="N138" s="1294">
        <v>532.03904827378392</v>
      </c>
      <c r="O138" s="1294">
        <v>231.68513550586897</v>
      </c>
      <c r="P138" s="1302"/>
      <c r="Q138" s="1302"/>
      <c r="R138" s="1302"/>
      <c r="S138" s="1302"/>
      <c r="T138" s="1302"/>
      <c r="U138" s="1302"/>
      <c r="V138" s="1302"/>
      <c r="W138" s="1302"/>
      <c r="X138" s="1302"/>
      <c r="Y138" s="1302"/>
      <c r="Z138" s="1302"/>
      <c r="AA138" s="1302"/>
      <c r="AB138" s="1302"/>
      <c r="AC138" s="1302"/>
      <c r="AD138" s="1302"/>
      <c r="AE138" s="1302"/>
      <c r="AF138" s="1302"/>
      <c r="AG138" s="1302"/>
      <c r="AH138" s="1302"/>
      <c r="AI138" s="1302"/>
      <c r="AJ138" s="1302"/>
      <c r="AK138" s="1302"/>
      <c r="AL138" s="1302"/>
      <c r="AM138" s="1302"/>
      <c r="AN138" s="1302"/>
      <c r="AO138" s="1302"/>
      <c r="AP138" s="1302"/>
      <c r="AQ138" s="1302"/>
      <c r="AR138" s="1302"/>
      <c r="AS138" s="1302"/>
      <c r="AT138" s="1302"/>
      <c r="AU138" s="1302"/>
      <c r="AV138" s="1302"/>
      <c r="AW138" s="1302"/>
      <c r="AX138" s="1302"/>
      <c r="AY138" s="1302"/>
      <c r="AZ138" s="1302"/>
      <c r="BA138" s="1302"/>
      <c r="BB138" s="1302"/>
      <c r="BC138" s="1302"/>
      <c r="BD138" s="1302"/>
      <c r="BE138" s="1302"/>
      <c r="BF138" s="1302"/>
      <c r="BG138" s="1302"/>
      <c r="BH138" s="1302"/>
      <c r="BI138" s="1302"/>
      <c r="BJ138" s="1302"/>
      <c r="BK138" s="1302"/>
      <c r="BL138" s="1302"/>
      <c r="BM138" s="1302"/>
      <c r="BN138" s="1302"/>
      <c r="BO138" s="1302"/>
      <c r="BP138" s="1302"/>
      <c r="BQ138" s="1302"/>
      <c r="BR138" s="1302"/>
      <c r="BS138" s="1302"/>
      <c r="BT138" s="1302"/>
      <c r="BU138" s="1302"/>
      <c r="BV138" s="1302"/>
      <c r="BW138" s="1302"/>
      <c r="BX138" s="1302"/>
      <c r="BY138" s="1302"/>
      <c r="BZ138" s="1302"/>
      <c r="CA138" s="1302"/>
      <c r="CB138" s="1302"/>
      <c r="CC138" s="1302"/>
      <c r="CD138" s="1302"/>
      <c r="CE138" s="1302"/>
      <c r="CF138" s="1302"/>
      <c r="CG138" s="1302"/>
      <c r="CH138" s="1302"/>
      <c r="CI138" s="1302"/>
      <c r="CJ138" s="1302"/>
      <c r="CK138" s="1302"/>
      <c r="CL138" s="1302"/>
      <c r="CM138" s="1302"/>
    </row>
    <row r="139" spans="1:91">
      <c r="B139" s="1263"/>
      <c r="C139" s="1263"/>
      <c r="D139" s="1263"/>
      <c r="E139" s="1263"/>
      <c r="F139" s="1263"/>
      <c r="G139" s="1220"/>
      <c r="H139" s="1294"/>
      <c r="I139" s="1294"/>
      <c r="J139" s="1294"/>
      <c r="K139" s="1294"/>
      <c r="L139" s="1294"/>
      <c r="M139" s="1294"/>
      <c r="N139" s="1294"/>
      <c r="O139" s="1294"/>
      <c r="P139" s="1302"/>
      <c r="Q139" s="1302"/>
      <c r="R139" s="1302"/>
      <c r="S139" s="1302"/>
      <c r="T139" s="1302"/>
      <c r="U139" s="1302"/>
      <c r="V139" s="1302"/>
      <c r="W139" s="1302"/>
      <c r="X139" s="1302"/>
      <c r="Y139" s="1302"/>
      <c r="Z139" s="1302"/>
      <c r="AA139" s="1302"/>
      <c r="AB139" s="1302"/>
      <c r="AC139" s="1302"/>
      <c r="AD139" s="1302"/>
      <c r="AE139" s="1302"/>
      <c r="AF139" s="1302"/>
      <c r="AG139" s="1302"/>
      <c r="AH139" s="1302"/>
      <c r="AI139" s="1302"/>
      <c r="AJ139" s="1302"/>
      <c r="AK139" s="1302"/>
      <c r="AL139" s="1302"/>
      <c r="AM139" s="1302"/>
      <c r="AN139" s="1302"/>
      <c r="AO139" s="1302"/>
      <c r="AP139" s="1302"/>
      <c r="AQ139" s="1302"/>
      <c r="AR139" s="1302"/>
      <c r="AS139" s="1302"/>
      <c r="AT139" s="1302"/>
      <c r="AU139" s="1302"/>
      <c r="AV139" s="1302"/>
      <c r="AW139" s="1302"/>
      <c r="AX139" s="1302"/>
      <c r="AY139" s="1302"/>
      <c r="AZ139" s="1302"/>
      <c r="BA139" s="1302"/>
      <c r="BB139" s="1302"/>
      <c r="BC139" s="1302"/>
      <c r="BD139" s="1302"/>
      <c r="BE139" s="1302"/>
      <c r="BF139" s="1302"/>
      <c r="BG139" s="1302"/>
      <c r="BH139" s="1302"/>
      <c r="BI139" s="1302"/>
      <c r="BJ139" s="1302"/>
      <c r="BK139" s="1302"/>
      <c r="BL139" s="1302"/>
      <c r="BM139" s="1302"/>
      <c r="BN139" s="1302"/>
      <c r="BO139" s="1302"/>
      <c r="BP139" s="1302"/>
      <c r="BQ139" s="1302"/>
      <c r="BR139" s="1302"/>
      <c r="BS139" s="1302"/>
      <c r="BT139" s="1302"/>
      <c r="BU139" s="1302"/>
      <c r="BV139" s="1302"/>
      <c r="BW139" s="1302"/>
      <c r="BX139" s="1302"/>
      <c r="BY139" s="1302"/>
      <c r="BZ139" s="1302"/>
      <c r="CA139" s="1302"/>
      <c r="CB139" s="1302"/>
      <c r="CC139" s="1302"/>
      <c r="CD139" s="1302"/>
      <c r="CE139" s="1302"/>
      <c r="CF139" s="1302"/>
      <c r="CG139" s="1302"/>
      <c r="CH139" s="1302"/>
      <c r="CI139" s="1302"/>
      <c r="CJ139" s="1302"/>
      <c r="CK139" s="1302"/>
      <c r="CL139" s="1302"/>
      <c r="CM139" s="1302"/>
    </row>
    <row r="140" spans="1:91">
      <c r="B140" s="1263"/>
      <c r="C140" s="1263"/>
      <c r="D140" s="1266" t="s">
        <v>4219</v>
      </c>
      <c r="E140" s="1263"/>
      <c r="F140" s="1263"/>
      <c r="G140" s="1220"/>
      <c r="H140" s="1294"/>
      <c r="I140" s="1294"/>
      <c r="J140" s="1294"/>
      <c r="K140" s="1294"/>
      <c r="L140" s="1294"/>
      <c r="M140" s="1294"/>
      <c r="N140" s="1294"/>
      <c r="O140" s="1294"/>
      <c r="P140" s="1302"/>
      <c r="Q140" s="1302"/>
      <c r="R140" s="1302"/>
      <c r="S140" s="1302"/>
      <c r="T140" s="1302"/>
      <c r="U140" s="1302"/>
      <c r="V140" s="1302"/>
      <c r="W140" s="1302"/>
      <c r="X140" s="1302"/>
      <c r="Y140" s="1302"/>
      <c r="Z140" s="1302"/>
      <c r="AA140" s="1302"/>
      <c r="AB140" s="1302"/>
      <c r="AC140" s="1302"/>
      <c r="AD140" s="1302"/>
      <c r="AE140" s="1302"/>
      <c r="AF140" s="1302"/>
      <c r="AG140" s="1302"/>
      <c r="AH140" s="1302"/>
      <c r="AI140" s="1302"/>
      <c r="AJ140" s="1302"/>
      <c r="AK140" s="1302"/>
      <c r="AL140" s="1302"/>
      <c r="AM140" s="1302"/>
      <c r="AN140" s="1302"/>
      <c r="AO140" s="1302"/>
      <c r="AP140" s="1302"/>
      <c r="AQ140" s="1302"/>
      <c r="AR140" s="1302"/>
      <c r="AS140" s="1302"/>
      <c r="AT140" s="1302"/>
      <c r="AU140" s="1302"/>
      <c r="AV140" s="1302"/>
      <c r="AW140" s="1302"/>
      <c r="AX140" s="1302"/>
      <c r="AY140" s="1302"/>
      <c r="AZ140" s="1302"/>
      <c r="BA140" s="1302"/>
      <c r="BB140" s="1302"/>
      <c r="BC140" s="1302"/>
      <c r="BD140" s="1302"/>
      <c r="BE140" s="1302"/>
      <c r="BF140" s="1302"/>
      <c r="BG140" s="1302"/>
      <c r="BH140" s="1302"/>
      <c r="BI140" s="1302"/>
      <c r="BJ140" s="1302"/>
      <c r="BK140" s="1302"/>
      <c r="BL140" s="1302"/>
      <c r="BM140" s="1302"/>
      <c r="BN140" s="1302"/>
      <c r="BO140" s="1302"/>
      <c r="BP140" s="1302"/>
      <c r="BQ140" s="1302"/>
      <c r="BR140" s="1302"/>
      <c r="BS140" s="1302"/>
      <c r="BT140" s="1302"/>
      <c r="BU140" s="1302"/>
      <c r="BV140" s="1302"/>
      <c r="BW140" s="1302"/>
      <c r="BX140" s="1302"/>
      <c r="BY140" s="1302"/>
      <c r="BZ140" s="1302"/>
      <c r="CA140" s="1302"/>
      <c r="CB140" s="1302"/>
      <c r="CC140" s="1302"/>
      <c r="CD140" s="1302"/>
      <c r="CE140" s="1302"/>
      <c r="CF140" s="1302"/>
      <c r="CG140" s="1302"/>
      <c r="CH140" s="1302"/>
      <c r="CI140" s="1302"/>
      <c r="CJ140" s="1302"/>
      <c r="CK140" s="1302"/>
      <c r="CL140" s="1302"/>
      <c r="CM140" s="1302"/>
    </row>
    <row r="141" spans="1:91">
      <c r="B141" s="1263"/>
      <c r="C141" s="1263"/>
      <c r="D141" s="1263" t="s">
        <v>4220</v>
      </c>
      <c r="E141" s="1263"/>
      <c r="F141" s="1263"/>
      <c r="G141" s="1220"/>
      <c r="H141" s="898">
        <v>0.72985074626865676</v>
      </c>
      <c r="I141" s="898">
        <v>0.74986180210060815</v>
      </c>
      <c r="J141" s="898">
        <v>0.79988944168048648</v>
      </c>
      <c r="K141" s="898">
        <v>0.84991708126036491</v>
      </c>
      <c r="L141" s="898">
        <v>0.89994472084024324</v>
      </c>
      <c r="M141" s="898">
        <v>0.94997236042012156</v>
      </c>
      <c r="N141" s="900">
        <v>1</v>
      </c>
      <c r="O141" s="898">
        <v>0.82990602542841352</v>
      </c>
      <c r="P141" s="1302"/>
      <c r="Q141" s="1302"/>
      <c r="R141" s="1302"/>
      <c r="S141" s="1302"/>
      <c r="T141" s="1302"/>
      <c r="U141" s="1302"/>
      <c r="V141" s="1302"/>
      <c r="W141" s="1302"/>
      <c r="X141" s="1302"/>
      <c r="Y141" s="1302"/>
      <c r="Z141" s="1302"/>
      <c r="AA141" s="1302"/>
      <c r="AB141" s="1302"/>
      <c r="AC141" s="1302"/>
      <c r="AD141" s="1302"/>
      <c r="AE141" s="1302"/>
      <c r="AF141" s="1302"/>
      <c r="AG141" s="1302"/>
      <c r="AH141" s="1302"/>
      <c r="AI141" s="1302"/>
      <c r="AJ141" s="1302"/>
      <c r="AK141" s="1302"/>
      <c r="AL141" s="1302"/>
      <c r="AM141" s="1302"/>
      <c r="AN141" s="1302"/>
      <c r="AO141" s="1302"/>
      <c r="AP141" s="1302"/>
      <c r="AQ141" s="1302"/>
      <c r="AR141" s="1302"/>
      <c r="AS141" s="1302"/>
      <c r="AT141" s="1302"/>
      <c r="AU141" s="1302"/>
      <c r="AV141" s="1302"/>
      <c r="AW141" s="1302"/>
      <c r="AX141" s="1302"/>
      <c r="AY141" s="1302"/>
      <c r="AZ141" s="1302"/>
      <c r="BA141" s="1302"/>
      <c r="BB141" s="1302"/>
      <c r="BC141" s="1302"/>
      <c r="BD141" s="1302"/>
      <c r="BE141" s="1302"/>
      <c r="BF141" s="1302"/>
      <c r="BG141" s="1302"/>
      <c r="BH141" s="1302"/>
      <c r="BI141" s="1302"/>
      <c r="BJ141" s="1302"/>
      <c r="BK141" s="1302"/>
      <c r="BL141" s="1302"/>
      <c r="BM141" s="1302"/>
      <c r="BN141" s="1302"/>
      <c r="BO141" s="1302"/>
      <c r="BP141" s="1302"/>
      <c r="BQ141" s="1302"/>
      <c r="BR141" s="1302"/>
      <c r="BS141" s="1302"/>
      <c r="BT141" s="1302"/>
      <c r="BU141" s="1302"/>
      <c r="BV141" s="1302"/>
      <c r="BW141" s="1302"/>
      <c r="BX141" s="1302"/>
      <c r="BY141" s="1302"/>
      <c r="BZ141" s="1302"/>
      <c r="CA141" s="1302"/>
      <c r="CB141" s="1302"/>
      <c r="CC141" s="1302"/>
      <c r="CD141" s="1302"/>
      <c r="CE141" s="1302"/>
      <c r="CF141" s="1302"/>
      <c r="CG141" s="1302"/>
      <c r="CH141" s="1302"/>
      <c r="CI141" s="1302"/>
      <c r="CJ141" s="1302"/>
      <c r="CK141" s="1302"/>
      <c r="CL141" s="1302"/>
      <c r="CM141" s="1302"/>
    </row>
    <row r="142" spans="1:91">
      <c r="B142" s="1263"/>
      <c r="C142" s="1263"/>
      <c r="D142" s="1263" t="s">
        <v>4154</v>
      </c>
      <c r="E142" s="1263"/>
      <c r="F142" s="1263"/>
      <c r="G142" s="1220"/>
      <c r="H142" s="898">
        <v>0.72985074626865676</v>
      </c>
      <c r="I142" s="898">
        <v>0.74986180210060815</v>
      </c>
      <c r="J142" s="898">
        <v>0.79988944168048648</v>
      </c>
      <c r="K142" s="898">
        <v>0.84991708126036491</v>
      </c>
      <c r="L142" s="898">
        <v>0.89994472084024324</v>
      </c>
      <c r="M142" s="898">
        <v>0.94997236042012156</v>
      </c>
      <c r="N142" s="900">
        <v>1</v>
      </c>
      <c r="O142" s="898">
        <v>0.82990602542841352</v>
      </c>
      <c r="P142" s="1302"/>
      <c r="Q142" s="1302"/>
      <c r="R142" s="1302"/>
      <c r="S142" s="1302"/>
      <c r="T142" s="1302"/>
      <c r="U142" s="1302"/>
      <c r="V142" s="1302"/>
      <c r="W142" s="1302"/>
      <c r="X142" s="1302"/>
      <c r="Y142" s="1302"/>
      <c r="Z142" s="1302"/>
      <c r="AA142" s="1302"/>
      <c r="AB142" s="1302"/>
      <c r="AC142" s="1302"/>
      <c r="AD142" s="1302"/>
      <c r="AE142" s="1302"/>
      <c r="AF142" s="1302"/>
      <c r="AG142" s="1302"/>
      <c r="AH142" s="1302"/>
      <c r="AI142" s="1302"/>
      <c r="AJ142" s="1302"/>
      <c r="AK142" s="1302"/>
      <c r="AL142" s="1302"/>
      <c r="AM142" s="1302"/>
      <c r="AN142" s="1302"/>
      <c r="AO142" s="1302"/>
      <c r="AP142" s="1302"/>
      <c r="AQ142" s="1302"/>
      <c r="AR142" s="1302"/>
      <c r="AS142" s="1302"/>
      <c r="AT142" s="1302"/>
      <c r="AU142" s="1302"/>
      <c r="AV142" s="1302"/>
      <c r="AW142" s="1302"/>
      <c r="AX142" s="1302"/>
      <c r="AY142" s="1302"/>
      <c r="AZ142" s="1302"/>
      <c r="BA142" s="1302"/>
      <c r="BB142" s="1302"/>
      <c r="BC142" s="1302"/>
      <c r="BD142" s="1302"/>
      <c r="BE142" s="1302"/>
      <c r="BF142" s="1302"/>
      <c r="BG142" s="1302"/>
      <c r="BH142" s="1302"/>
      <c r="BI142" s="1302"/>
      <c r="BJ142" s="1302"/>
      <c r="BK142" s="1302"/>
      <c r="BL142" s="1302"/>
      <c r="BM142" s="1302"/>
      <c r="BN142" s="1302"/>
      <c r="BO142" s="1302"/>
      <c r="BP142" s="1302"/>
      <c r="BQ142" s="1302"/>
      <c r="BR142" s="1302"/>
      <c r="BS142" s="1302"/>
      <c r="BT142" s="1302"/>
      <c r="BU142" s="1302"/>
      <c r="BV142" s="1302"/>
      <c r="BW142" s="1302"/>
      <c r="BX142" s="1302"/>
      <c r="BY142" s="1302"/>
      <c r="BZ142" s="1302"/>
      <c r="CA142" s="1302"/>
      <c r="CB142" s="1302"/>
      <c r="CC142" s="1302"/>
      <c r="CD142" s="1302"/>
      <c r="CE142" s="1302"/>
      <c r="CF142" s="1302"/>
      <c r="CG142" s="1302"/>
      <c r="CH142" s="1302"/>
      <c r="CI142" s="1302"/>
      <c r="CJ142" s="1302"/>
      <c r="CK142" s="1302"/>
      <c r="CL142" s="1302"/>
      <c r="CM142" s="1302"/>
    </row>
    <row r="143" spans="1:91">
      <c r="B143" s="1263"/>
      <c r="C143" s="1263"/>
      <c r="D143" s="1263" t="s">
        <v>4221</v>
      </c>
      <c r="E143" s="1263"/>
      <c r="F143" s="1263"/>
      <c r="G143" s="1220"/>
      <c r="H143" s="898">
        <v>0.72985074626865676</v>
      </c>
      <c r="I143" s="898">
        <v>0.74245439469320074</v>
      </c>
      <c r="J143" s="898">
        <v>0.77396351575456057</v>
      </c>
      <c r="K143" s="898">
        <v>0.80547263681592041</v>
      </c>
      <c r="L143" s="898">
        <v>0.83698175787728024</v>
      </c>
      <c r="M143" s="898">
        <v>0.86849087893864019</v>
      </c>
      <c r="N143" s="900">
        <v>0.9</v>
      </c>
      <c r="O143" s="898">
        <v>0.79286898839137643</v>
      </c>
      <c r="P143" s="1302"/>
      <c r="Q143" s="1302"/>
      <c r="R143" s="1302"/>
      <c r="S143" s="1302"/>
      <c r="T143" s="1302"/>
      <c r="U143" s="1302"/>
      <c r="V143" s="1302"/>
      <c r="W143" s="1302"/>
      <c r="X143" s="1302"/>
      <c r="Y143" s="1302"/>
      <c r="Z143" s="1302"/>
      <c r="AA143" s="1302"/>
      <c r="AB143" s="1302"/>
      <c r="AC143" s="1302"/>
      <c r="AD143" s="1302"/>
      <c r="AE143" s="1302"/>
      <c r="AF143" s="1302"/>
      <c r="AG143" s="1302"/>
      <c r="AH143" s="1302"/>
      <c r="AI143" s="1302"/>
      <c r="AJ143" s="1302"/>
      <c r="AK143" s="1302"/>
      <c r="AL143" s="1302"/>
      <c r="AM143" s="1302"/>
      <c r="AN143" s="1302"/>
      <c r="AO143" s="1302"/>
      <c r="AP143" s="1302"/>
      <c r="AQ143" s="1302"/>
      <c r="AR143" s="1302"/>
      <c r="AS143" s="1302"/>
      <c r="AT143" s="1302"/>
      <c r="AU143" s="1302"/>
      <c r="AV143" s="1302"/>
      <c r="AW143" s="1302"/>
      <c r="AX143" s="1302"/>
      <c r="AY143" s="1302"/>
      <c r="AZ143" s="1302"/>
      <c r="BA143" s="1302"/>
      <c r="BB143" s="1302"/>
      <c r="BC143" s="1302"/>
      <c r="BD143" s="1302"/>
      <c r="BE143" s="1302"/>
      <c r="BF143" s="1302"/>
      <c r="BG143" s="1302"/>
      <c r="BH143" s="1302"/>
      <c r="BI143" s="1302"/>
      <c r="BJ143" s="1302"/>
      <c r="BK143" s="1302"/>
      <c r="BL143" s="1302"/>
      <c r="BM143" s="1302"/>
      <c r="BN143" s="1302"/>
      <c r="BO143" s="1302"/>
      <c r="BP143" s="1302"/>
      <c r="BQ143" s="1302"/>
      <c r="BR143" s="1302"/>
      <c r="BS143" s="1302"/>
      <c r="BT143" s="1302"/>
      <c r="BU143" s="1302"/>
      <c r="BV143" s="1302"/>
      <c r="BW143" s="1302"/>
      <c r="BX143" s="1302"/>
      <c r="BY143" s="1302"/>
      <c r="BZ143" s="1302"/>
      <c r="CA143" s="1302"/>
      <c r="CB143" s="1302"/>
      <c r="CC143" s="1302"/>
      <c r="CD143" s="1302"/>
      <c r="CE143" s="1302"/>
      <c r="CF143" s="1302"/>
      <c r="CG143" s="1302"/>
      <c r="CH143" s="1302"/>
      <c r="CI143" s="1302"/>
      <c r="CJ143" s="1302"/>
      <c r="CK143" s="1302"/>
      <c r="CL143" s="1302"/>
      <c r="CM143" s="1302"/>
    </row>
    <row r="144" spans="1:91">
      <c r="B144" s="1263"/>
      <c r="C144" s="1263"/>
      <c r="D144" s="1263" t="s">
        <v>4156</v>
      </c>
      <c r="E144" s="1263"/>
      <c r="F144" s="1263"/>
      <c r="G144" s="1220"/>
      <c r="H144" s="898">
        <v>0.72985074626865676</v>
      </c>
      <c r="I144" s="898">
        <v>0.73504698728579332</v>
      </c>
      <c r="J144" s="898">
        <v>0.74803758982863466</v>
      </c>
      <c r="K144" s="898">
        <v>0.76102819237147601</v>
      </c>
      <c r="L144" s="898">
        <v>0.77401879491431735</v>
      </c>
      <c r="M144" s="898">
        <v>0.7870093974571587</v>
      </c>
      <c r="N144" s="900">
        <v>0.8</v>
      </c>
      <c r="O144" s="898">
        <v>0.75583195135433945</v>
      </c>
      <c r="P144" s="1302"/>
      <c r="Q144" s="1302"/>
      <c r="R144" s="1302"/>
      <c r="S144" s="1302"/>
      <c r="T144" s="1302"/>
      <c r="U144" s="1302"/>
      <c r="V144" s="1302"/>
      <c r="W144" s="1302"/>
      <c r="X144" s="1302"/>
      <c r="Y144" s="1302"/>
      <c r="Z144" s="1302"/>
      <c r="AA144" s="1302"/>
      <c r="AB144" s="1302"/>
      <c r="AC144" s="1302"/>
      <c r="AD144" s="1302"/>
      <c r="AE144" s="1302"/>
      <c r="AF144" s="1302"/>
      <c r="AG144" s="1302"/>
      <c r="AH144" s="1302"/>
      <c r="AI144" s="1302"/>
      <c r="AJ144" s="1302"/>
      <c r="AK144" s="1302"/>
      <c r="AL144" s="1302"/>
      <c r="AM144" s="1302"/>
      <c r="AN144" s="1302"/>
      <c r="AO144" s="1302"/>
      <c r="AP144" s="1302"/>
      <c r="AQ144" s="1302"/>
      <c r="AR144" s="1302"/>
      <c r="AS144" s="1302"/>
      <c r="AT144" s="1302"/>
      <c r="AU144" s="1302"/>
      <c r="AV144" s="1302"/>
      <c r="AW144" s="1302"/>
      <c r="AX144" s="1302"/>
      <c r="AY144" s="1302"/>
      <c r="AZ144" s="1302"/>
      <c r="BA144" s="1302"/>
      <c r="BB144" s="1302"/>
      <c r="BC144" s="1302"/>
      <c r="BD144" s="1302"/>
      <c r="BE144" s="1302"/>
      <c r="BF144" s="1302"/>
      <c r="BG144" s="1302"/>
      <c r="BH144" s="1302"/>
      <c r="BI144" s="1302"/>
      <c r="BJ144" s="1302"/>
      <c r="BK144" s="1302"/>
      <c r="BL144" s="1302"/>
      <c r="BM144" s="1302"/>
      <c r="BN144" s="1302"/>
      <c r="BO144" s="1302"/>
      <c r="BP144" s="1302"/>
      <c r="BQ144" s="1302"/>
      <c r="BR144" s="1302"/>
      <c r="BS144" s="1302"/>
      <c r="BT144" s="1302"/>
      <c r="BU144" s="1302"/>
      <c r="BV144" s="1302"/>
      <c r="BW144" s="1302"/>
      <c r="BX144" s="1302"/>
      <c r="BY144" s="1302"/>
      <c r="BZ144" s="1302"/>
      <c r="CA144" s="1302"/>
      <c r="CB144" s="1302"/>
      <c r="CC144" s="1302"/>
      <c r="CD144" s="1302"/>
      <c r="CE144" s="1302"/>
      <c r="CF144" s="1302"/>
      <c r="CG144" s="1302"/>
      <c r="CH144" s="1302"/>
      <c r="CI144" s="1302"/>
      <c r="CJ144" s="1302"/>
      <c r="CK144" s="1302"/>
      <c r="CL144" s="1302"/>
      <c r="CM144" s="1302"/>
    </row>
    <row r="145" spans="2:91">
      <c r="B145" s="1263"/>
      <c r="C145" s="1263"/>
      <c r="D145" s="1337" t="s">
        <v>4162</v>
      </c>
      <c r="E145" s="1337"/>
      <c r="F145" s="1337"/>
      <c r="G145" s="1338"/>
      <c r="H145" s="1339">
        <v>0.72985074626865676</v>
      </c>
      <c r="I145" s="1339">
        <v>0.74245439469320074</v>
      </c>
      <c r="J145" s="1339">
        <v>0.77396351575456057</v>
      </c>
      <c r="K145" s="1339">
        <v>0.80547263681592041</v>
      </c>
      <c r="L145" s="1339">
        <v>0.83698175787728024</v>
      </c>
      <c r="M145" s="1339">
        <v>0.86849087893864019</v>
      </c>
      <c r="N145" s="1339">
        <v>0.9</v>
      </c>
      <c r="O145" s="1339">
        <v>0.79286898839137643</v>
      </c>
      <c r="P145" s="1302"/>
      <c r="Q145" s="1302"/>
      <c r="R145" s="1302"/>
      <c r="S145" s="1302"/>
      <c r="T145" s="1302"/>
      <c r="U145" s="1302"/>
      <c r="V145" s="1302"/>
      <c r="W145" s="1302"/>
      <c r="X145" s="1302"/>
      <c r="Y145" s="1302"/>
      <c r="Z145" s="1302"/>
      <c r="AA145" s="1302"/>
      <c r="AB145" s="1302"/>
      <c r="AC145" s="1302"/>
      <c r="AD145" s="1302"/>
      <c r="AE145" s="1302"/>
      <c r="AF145" s="1302"/>
      <c r="AG145" s="1302"/>
      <c r="AH145" s="1302"/>
      <c r="AI145" s="1302"/>
      <c r="AJ145" s="1302"/>
      <c r="AK145" s="1302"/>
      <c r="AL145" s="1302"/>
      <c r="AM145" s="1302"/>
      <c r="AN145" s="1302"/>
      <c r="AO145" s="1302"/>
      <c r="AP145" s="1302"/>
      <c r="AQ145" s="1302"/>
      <c r="AR145" s="1302"/>
      <c r="AS145" s="1302"/>
      <c r="AT145" s="1302"/>
      <c r="AU145" s="1302"/>
      <c r="AV145" s="1302"/>
      <c r="AW145" s="1302"/>
      <c r="AX145" s="1302"/>
      <c r="AY145" s="1302"/>
      <c r="AZ145" s="1302"/>
      <c r="BA145" s="1302"/>
      <c r="BB145" s="1302"/>
      <c r="BC145" s="1302"/>
      <c r="BD145" s="1302"/>
      <c r="BE145" s="1302"/>
      <c r="BF145" s="1302"/>
      <c r="BG145" s="1302"/>
      <c r="BH145" s="1302"/>
      <c r="BI145" s="1302"/>
      <c r="BJ145" s="1302"/>
      <c r="BK145" s="1302"/>
      <c r="BL145" s="1302"/>
      <c r="BM145" s="1302"/>
      <c r="BN145" s="1302"/>
      <c r="BO145" s="1302"/>
      <c r="BP145" s="1302"/>
      <c r="BQ145" s="1302"/>
      <c r="BR145" s="1302"/>
      <c r="BS145" s="1302"/>
      <c r="BT145" s="1302"/>
      <c r="BU145" s="1302"/>
      <c r="BV145" s="1302"/>
      <c r="BW145" s="1302"/>
      <c r="BX145" s="1302"/>
      <c r="BY145" s="1302"/>
      <c r="BZ145" s="1302"/>
      <c r="CA145" s="1302"/>
      <c r="CB145" s="1302"/>
      <c r="CC145" s="1302"/>
      <c r="CD145" s="1302"/>
      <c r="CE145" s="1302"/>
      <c r="CF145" s="1302"/>
      <c r="CG145" s="1302"/>
      <c r="CH145" s="1302"/>
      <c r="CI145" s="1302"/>
      <c r="CJ145" s="1302"/>
      <c r="CK145" s="1302"/>
      <c r="CL145" s="1302"/>
      <c r="CM145" s="1302"/>
    </row>
    <row r="146" spans="2:91">
      <c r="B146" s="1263"/>
      <c r="C146" s="1263"/>
      <c r="D146" s="1263"/>
      <c r="E146" s="1263"/>
      <c r="F146" s="1263"/>
      <c r="G146" s="1220"/>
      <c r="H146" s="1294"/>
      <c r="I146" s="1294"/>
      <c r="J146" s="1294"/>
      <c r="K146" s="1294"/>
      <c r="L146" s="1294"/>
      <c r="M146" s="1294"/>
      <c r="N146" s="1294"/>
      <c r="O146" s="1294"/>
      <c r="P146" s="1302"/>
      <c r="Q146" s="1302"/>
      <c r="R146" s="1302"/>
      <c r="S146" s="1302"/>
      <c r="T146" s="1302"/>
      <c r="U146" s="1302"/>
      <c r="V146" s="1302"/>
      <c r="W146" s="1302"/>
      <c r="X146" s="1302"/>
      <c r="Y146" s="1302"/>
      <c r="Z146" s="1302"/>
      <c r="AA146" s="1302"/>
      <c r="AB146" s="1302"/>
      <c r="AC146" s="1302"/>
      <c r="AD146" s="1302"/>
      <c r="AE146" s="1302"/>
      <c r="AF146" s="1302"/>
      <c r="AG146" s="1302"/>
      <c r="AH146" s="1302"/>
      <c r="AI146" s="1302"/>
      <c r="AJ146" s="1302"/>
      <c r="AK146" s="1302"/>
      <c r="AL146" s="1302"/>
      <c r="AM146" s="1302"/>
      <c r="AN146" s="1302"/>
      <c r="AO146" s="1302"/>
      <c r="AP146" s="1302"/>
      <c r="AQ146" s="1302"/>
      <c r="AR146" s="1302"/>
      <c r="AS146" s="1302"/>
      <c r="AT146" s="1302"/>
      <c r="AU146" s="1302"/>
      <c r="AV146" s="1302"/>
      <c r="AW146" s="1302"/>
      <c r="AX146" s="1302"/>
      <c r="AY146" s="1302"/>
      <c r="AZ146" s="1302"/>
      <c r="BA146" s="1302"/>
      <c r="BB146" s="1302"/>
      <c r="BC146" s="1302"/>
      <c r="BD146" s="1302"/>
      <c r="BE146" s="1302"/>
      <c r="BF146" s="1302"/>
      <c r="BG146" s="1302"/>
      <c r="BH146" s="1302"/>
      <c r="BI146" s="1302"/>
      <c r="BJ146" s="1302"/>
      <c r="BK146" s="1302"/>
      <c r="BL146" s="1302"/>
      <c r="BM146" s="1302"/>
      <c r="BN146" s="1302"/>
      <c r="BO146" s="1302"/>
      <c r="BP146" s="1302"/>
      <c r="BQ146" s="1302"/>
      <c r="BR146" s="1302"/>
      <c r="BS146" s="1302"/>
      <c r="BT146" s="1302"/>
      <c r="BU146" s="1302"/>
      <c r="BV146" s="1302"/>
      <c r="BW146" s="1302"/>
      <c r="BX146" s="1302"/>
      <c r="BY146" s="1302"/>
      <c r="BZ146" s="1302"/>
      <c r="CA146" s="1302"/>
      <c r="CB146" s="1302"/>
      <c r="CC146" s="1302"/>
      <c r="CD146" s="1302"/>
      <c r="CE146" s="1302"/>
      <c r="CF146" s="1302"/>
      <c r="CG146" s="1302"/>
      <c r="CH146" s="1302"/>
      <c r="CI146" s="1302"/>
      <c r="CJ146" s="1302"/>
      <c r="CK146" s="1302"/>
      <c r="CL146" s="1302"/>
      <c r="CM146" s="1302"/>
    </row>
    <row r="147" spans="2:91">
      <c r="B147" s="1263"/>
      <c r="C147" s="1263"/>
      <c r="D147" s="1263"/>
      <c r="E147" s="1263"/>
      <c r="F147" s="1263"/>
      <c r="G147" s="1220"/>
      <c r="H147" s="1294"/>
      <c r="I147" s="1294"/>
      <c r="J147" s="1294"/>
      <c r="K147" s="1294"/>
      <c r="L147" s="1294"/>
      <c r="M147" s="1294"/>
      <c r="N147" s="1294"/>
      <c r="O147" s="1294"/>
      <c r="R147" s="1302"/>
      <c r="S147" s="1302"/>
      <c r="T147" s="1302"/>
      <c r="U147" s="1302"/>
      <c r="V147" s="1302"/>
      <c r="W147" s="1302"/>
      <c r="X147" s="1302"/>
      <c r="Y147" s="1302"/>
      <c r="Z147" s="1302"/>
      <c r="AA147" s="1302"/>
      <c r="AB147" s="1302"/>
      <c r="AC147" s="1302"/>
      <c r="AD147" s="1302"/>
      <c r="AE147" s="1302"/>
      <c r="AF147" s="1302"/>
      <c r="AG147" s="1302"/>
      <c r="AH147" s="1302"/>
      <c r="AI147" s="1302"/>
      <c r="AJ147" s="1302"/>
      <c r="AK147" s="1302"/>
      <c r="AL147" s="1302"/>
      <c r="AM147" s="1302"/>
      <c r="AN147" s="1302"/>
      <c r="AO147" s="1302"/>
      <c r="AP147" s="1302"/>
      <c r="AQ147" s="1302"/>
      <c r="AR147" s="1302"/>
      <c r="AS147" s="1302"/>
      <c r="AT147" s="1302"/>
      <c r="AU147" s="1302"/>
      <c r="AV147" s="1302"/>
      <c r="AW147" s="1302"/>
      <c r="AX147" s="1302"/>
      <c r="AY147" s="1302"/>
      <c r="AZ147" s="1302"/>
      <c r="BA147" s="1302"/>
      <c r="BB147" s="1302"/>
      <c r="BC147" s="1302"/>
      <c r="BD147" s="1302"/>
      <c r="BE147" s="1302"/>
      <c r="BF147" s="1302"/>
      <c r="BG147" s="1302"/>
      <c r="BH147" s="1302"/>
      <c r="BI147" s="1302"/>
      <c r="BJ147" s="1302"/>
      <c r="BK147" s="1302"/>
      <c r="BL147" s="1302"/>
      <c r="BM147" s="1302"/>
      <c r="BN147" s="1302"/>
      <c r="BO147" s="1302"/>
      <c r="BP147" s="1302"/>
      <c r="BQ147" s="1302"/>
      <c r="BR147" s="1302"/>
      <c r="BS147" s="1302"/>
      <c r="BT147" s="1302"/>
      <c r="BU147" s="1302"/>
      <c r="BV147" s="1302"/>
      <c r="BW147" s="1302"/>
      <c r="BX147" s="1302"/>
      <c r="BY147" s="1302"/>
      <c r="BZ147" s="1302"/>
      <c r="CA147" s="1302"/>
      <c r="CB147" s="1302"/>
      <c r="CC147" s="1302"/>
      <c r="CD147" s="1302"/>
      <c r="CE147" s="1302"/>
      <c r="CF147" s="1302"/>
      <c r="CG147" s="1302"/>
      <c r="CH147" s="1302"/>
      <c r="CI147" s="1302"/>
      <c r="CJ147" s="1302"/>
      <c r="CK147" s="1302"/>
      <c r="CL147" s="1302"/>
      <c r="CM147" s="1302"/>
    </row>
    <row r="148" spans="2:91">
      <c r="B148" s="1263"/>
      <c r="C148" s="1263"/>
      <c r="D148" s="1263" t="s">
        <v>4222</v>
      </c>
      <c r="E148" s="1263"/>
      <c r="F148" s="1263"/>
      <c r="G148" s="1220"/>
      <c r="H148" s="1294"/>
      <c r="I148" s="1294"/>
      <c r="J148" s="1294"/>
      <c r="K148" s="1294"/>
      <c r="L148" s="1294"/>
      <c r="M148" s="1294"/>
      <c r="N148" s="1294"/>
      <c r="O148" s="1294"/>
      <c r="P148" s="1340"/>
      <c r="R148" s="1302"/>
      <c r="S148" s="1302"/>
      <c r="T148" s="1302"/>
      <c r="U148" s="1302"/>
      <c r="V148" s="1302"/>
      <c r="W148" s="1302"/>
      <c r="X148" s="1302"/>
      <c r="Y148" s="1302"/>
      <c r="Z148" s="1302"/>
      <c r="AA148" s="1302"/>
      <c r="AB148" s="1302"/>
      <c r="AC148" s="1302"/>
      <c r="AD148" s="1302"/>
      <c r="AE148" s="1302"/>
      <c r="AF148" s="1302"/>
      <c r="AG148" s="1302"/>
      <c r="AH148" s="1302"/>
      <c r="AI148" s="1302"/>
      <c r="AJ148" s="1302"/>
      <c r="AK148" s="1302"/>
      <c r="AL148" s="1302"/>
      <c r="AM148" s="1302"/>
      <c r="AN148" s="1302"/>
      <c r="AO148" s="1302"/>
      <c r="AP148" s="1302"/>
      <c r="AQ148" s="1302"/>
      <c r="AR148" s="1302"/>
      <c r="AS148" s="1302"/>
      <c r="AT148" s="1302"/>
      <c r="AU148" s="1302"/>
      <c r="AV148" s="1302"/>
      <c r="AW148" s="1302"/>
      <c r="AX148" s="1302"/>
      <c r="AY148" s="1302"/>
      <c r="AZ148" s="1302"/>
      <c r="BA148" s="1302"/>
      <c r="BB148" s="1302"/>
      <c r="BC148" s="1302"/>
      <c r="BD148" s="1302"/>
      <c r="BE148" s="1302"/>
      <c r="BF148" s="1302"/>
      <c r="BG148" s="1302"/>
      <c r="BH148" s="1302"/>
      <c r="BI148" s="1302"/>
      <c r="BJ148" s="1302"/>
      <c r="BK148" s="1302"/>
      <c r="BL148" s="1302"/>
      <c r="BM148" s="1302"/>
      <c r="BN148" s="1302"/>
      <c r="BO148" s="1302"/>
      <c r="BP148" s="1302"/>
      <c r="BQ148" s="1302"/>
      <c r="BR148" s="1302"/>
      <c r="BS148" s="1302"/>
      <c r="BT148" s="1302"/>
      <c r="BU148" s="1302"/>
      <c r="BV148" s="1302"/>
      <c r="BW148" s="1302"/>
      <c r="BX148" s="1302"/>
      <c r="BY148" s="1302"/>
      <c r="BZ148" s="1302"/>
      <c r="CA148" s="1302"/>
      <c r="CB148" s="1302"/>
      <c r="CC148" s="1302"/>
      <c r="CD148" s="1302"/>
      <c r="CE148" s="1302"/>
      <c r="CF148" s="1302"/>
      <c r="CG148" s="1302"/>
      <c r="CH148" s="1302"/>
      <c r="CI148" s="1302"/>
      <c r="CJ148" s="1302"/>
      <c r="CK148" s="1302"/>
      <c r="CL148" s="1302"/>
      <c r="CM148" s="1302"/>
    </row>
    <row r="149" spans="2:91">
      <c r="B149" s="1263"/>
      <c r="C149" s="1263"/>
      <c r="D149" s="1263"/>
      <c r="E149" s="1263"/>
      <c r="F149" s="1341"/>
      <c r="G149" s="1338"/>
      <c r="H149" s="1202">
        <v>2020</v>
      </c>
      <c r="I149" s="1202">
        <v>2022</v>
      </c>
      <c r="J149" s="1202">
        <v>2027</v>
      </c>
      <c r="K149" s="1202">
        <v>2032</v>
      </c>
      <c r="L149" s="1202">
        <v>2037</v>
      </c>
      <c r="M149" s="1202">
        <v>2042</v>
      </c>
      <c r="N149" s="1202">
        <v>2047</v>
      </c>
      <c r="O149" s="1225">
        <v>2030</v>
      </c>
      <c r="P149" s="1342"/>
      <c r="Q149" s="1302"/>
      <c r="R149" s="1302"/>
      <c r="S149" s="1302"/>
      <c r="T149" s="1302"/>
      <c r="U149" s="1343"/>
      <c r="V149" s="1343"/>
      <c r="W149" s="1343"/>
      <c r="X149" s="1343"/>
      <c r="Y149" s="1343"/>
      <c r="Z149" s="1343"/>
      <c r="AA149" s="1343"/>
      <c r="AB149" s="1302"/>
      <c r="AC149" s="1302"/>
      <c r="AD149" s="1302"/>
      <c r="AE149" s="1302"/>
      <c r="AF149" s="1302"/>
      <c r="AG149" s="1302"/>
      <c r="AH149" s="1302"/>
      <c r="AI149" s="1302"/>
      <c r="AJ149" s="1302"/>
      <c r="AK149" s="1302"/>
      <c r="AL149" s="1302"/>
      <c r="AM149" s="1302"/>
      <c r="AN149" s="1302"/>
      <c r="AO149" s="1302"/>
      <c r="AP149" s="1302"/>
      <c r="AQ149" s="1302"/>
      <c r="AR149" s="1302"/>
      <c r="AS149" s="1302"/>
      <c r="AT149" s="1302"/>
      <c r="AU149" s="1302"/>
      <c r="AV149" s="1302"/>
      <c r="AW149" s="1302"/>
      <c r="AX149" s="1302"/>
      <c r="AY149" s="1302"/>
      <c r="AZ149" s="1302"/>
      <c r="BA149" s="1302"/>
      <c r="BB149" s="1302"/>
      <c r="BC149" s="1302"/>
      <c r="BD149" s="1302"/>
      <c r="BE149" s="1302"/>
      <c r="BF149" s="1302"/>
      <c r="BG149" s="1302"/>
      <c r="BH149" s="1302"/>
      <c r="BI149" s="1302"/>
      <c r="BJ149" s="1302"/>
      <c r="BK149" s="1302"/>
      <c r="BL149" s="1302"/>
      <c r="BM149" s="1302"/>
      <c r="BN149" s="1302"/>
      <c r="BO149" s="1302"/>
      <c r="BP149" s="1302"/>
      <c r="BQ149" s="1302"/>
      <c r="BR149" s="1302"/>
      <c r="BS149" s="1302"/>
      <c r="BT149" s="1302"/>
      <c r="BU149" s="1302"/>
      <c r="BV149" s="1302"/>
      <c r="BW149" s="1302"/>
      <c r="BX149" s="1302"/>
      <c r="BY149" s="1302"/>
      <c r="BZ149" s="1302"/>
      <c r="CA149" s="1302"/>
      <c r="CB149" s="1302"/>
      <c r="CC149" s="1302"/>
      <c r="CD149" s="1302"/>
      <c r="CE149" s="1302"/>
      <c r="CF149" s="1302"/>
      <c r="CG149" s="1302"/>
      <c r="CH149" s="1302"/>
      <c r="CI149" s="1302"/>
      <c r="CJ149" s="1302"/>
      <c r="CK149" s="1302"/>
      <c r="CL149" s="1302"/>
      <c r="CM149" s="1302"/>
    </row>
    <row r="150" spans="2:91" ht="15">
      <c r="B150" s="1263"/>
      <c r="C150" s="1263"/>
      <c r="D150" s="1263"/>
      <c r="E150" s="1263"/>
      <c r="F150" s="1344" t="s">
        <v>418</v>
      </c>
      <c r="G150" s="1220" t="s">
        <v>3925</v>
      </c>
      <c r="H150" s="1345">
        <v>337</v>
      </c>
      <c r="I150" s="1345">
        <v>371.54250000000002</v>
      </c>
      <c r="J150" s="1345">
        <v>474.19284243515631</v>
      </c>
      <c r="K150" s="1345">
        <v>605.20358186945759</v>
      </c>
      <c r="L150" s="1345">
        <v>772.41017309894812</v>
      </c>
      <c r="M150" s="1345">
        <v>985.81286261362095</v>
      </c>
      <c r="N150" s="1345">
        <v>1258.1747806291103</v>
      </c>
      <c r="O150" s="1346">
        <v>548.93748922399777</v>
      </c>
      <c r="P150" s="1302"/>
      <c r="Q150" s="1302"/>
      <c r="R150" s="1302"/>
      <c r="S150" s="1302"/>
      <c r="T150" s="1302"/>
      <c r="U150" s="1302"/>
      <c r="V150" s="1302"/>
      <c r="W150" s="1302"/>
      <c r="X150" s="1302"/>
      <c r="Y150" s="1302"/>
      <c r="Z150" s="1302"/>
      <c r="AA150" s="1302"/>
      <c r="AB150" s="1302"/>
      <c r="AC150" s="1302"/>
      <c r="AD150" s="1302"/>
      <c r="AE150" s="1302"/>
      <c r="AF150" s="1302"/>
      <c r="AG150" s="1302"/>
      <c r="AH150" s="1302"/>
      <c r="AI150" s="1302"/>
      <c r="AJ150" s="1302"/>
      <c r="AK150" s="1302"/>
      <c r="AL150" s="1302"/>
      <c r="AM150" s="1302"/>
      <c r="AN150" s="1302"/>
      <c r="AO150" s="1302"/>
      <c r="AP150" s="1302"/>
      <c r="AQ150" s="1302"/>
      <c r="AR150" s="1302"/>
      <c r="AS150" s="1302"/>
      <c r="AT150" s="1302"/>
      <c r="AU150" s="1302"/>
      <c r="AV150" s="1302"/>
      <c r="AW150" s="1302"/>
      <c r="AX150" s="1302"/>
      <c r="AY150" s="1302"/>
      <c r="AZ150" s="1302"/>
      <c r="BA150" s="1302"/>
      <c r="BB150" s="1302"/>
      <c r="BC150" s="1302"/>
      <c r="BD150" s="1302"/>
      <c r="BE150" s="1302"/>
      <c r="BF150" s="1302"/>
      <c r="BG150" s="1302"/>
      <c r="BH150" s="1302"/>
      <c r="BI150" s="1302"/>
      <c r="BJ150" s="1302"/>
      <c r="BK150" s="1302"/>
      <c r="BL150" s="1302"/>
      <c r="BM150" s="1302"/>
      <c r="BN150" s="1302"/>
      <c r="BO150" s="1302"/>
      <c r="BP150" s="1302"/>
      <c r="BQ150" s="1302"/>
      <c r="BR150" s="1302"/>
      <c r="BS150" s="1302"/>
      <c r="BT150" s="1302"/>
      <c r="BU150" s="1302"/>
      <c r="BV150" s="1302"/>
      <c r="BW150" s="1302"/>
      <c r="BX150" s="1302"/>
      <c r="BY150" s="1302"/>
      <c r="BZ150" s="1302"/>
      <c r="CA150" s="1302"/>
      <c r="CB150" s="1302"/>
      <c r="CC150" s="1302"/>
      <c r="CD150" s="1302"/>
      <c r="CE150" s="1302"/>
      <c r="CF150" s="1302"/>
      <c r="CG150" s="1302"/>
      <c r="CH150" s="1302"/>
      <c r="CI150" s="1302"/>
      <c r="CJ150" s="1302"/>
      <c r="CK150" s="1302"/>
      <c r="CL150" s="1302"/>
      <c r="CM150" s="1302"/>
    </row>
    <row r="151" spans="2:91" ht="15">
      <c r="B151" s="1263"/>
      <c r="C151" s="1263"/>
      <c r="D151" s="1263"/>
      <c r="E151" s="1263"/>
      <c r="F151" s="1344" t="s">
        <v>421</v>
      </c>
      <c r="G151" s="1220" t="s">
        <v>3925</v>
      </c>
      <c r="H151" s="1345">
        <v>33.5</v>
      </c>
      <c r="I151" s="1345">
        <v>34.512537499999993</v>
      </c>
      <c r="J151" s="1345">
        <v>37.179804582209599</v>
      </c>
      <c r="K151" s="1345">
        <v>40.053208743961363</v>
      </c>
      <c r="L151" s="1345">
        <v>43.148681084111324</v>
      </c>
      <c r="M151" s="1345">
        <v>46.483383920621407</v>
      </c>
      <c r="N151" s="1345">
        <v>50.075805944101582</v>
      </c>
      <c r="O151" s="1346">
        <v>38.878117638342474</v>
      </c>
      <c r="P151" s="1302"/>
      <c r="Q151" s="1302"/>
      <c r="R151" s="1302"/>
      <c r="S151" s="1302"/>
      <c r="AA151" s="1302"/>
      <c r="AB151" s="1302"/>
      <c r="AC151" s="1302"/>
      <c r="AD151" s="1302"/>
      <c r="AE151" s="1302"/>
      <c r="AF151" s="1302"/>
      <c r="AG151" s="1302"/>
      <c r="AH151" s="1302"/>
      <c r="AI151" s="1302"/>
      <c r="AJ151" s="1302"/>
      <c r="AK151" s="1302"/>
      <c r="AL151" s="1302"/>
      <c r="AM151" s="1302"/>
      <c r="AN151" s="1302"/>
      <c r="AO151" s="1302"/>
      <c r="AP151" s="1302"/>
      <c r="AQ151" s="1302"/>
      <c r="AR151" s="1302"/>
      <c r="AS151" s="1302"/>
      <c r="AT151" s="1302"/>
      <c r="AU151" s="1302"/>
      <c r="AV151" s="1302"/>
      <c r="AW151" s="1302"/>
      <c r="AX151" s="1302"/>
      <c r="AY151" s="1302"/>
      <c r="AZ151" s="1302"/>
      <c r="BA151" s="1302"/>
      <c r="BB151" s="1302"/>
      <c r="BC151" s="1302"/>
      <c r="BD151" s="1302"/>
      <c r="BE151" s="1302"/>
      <c r="BF151" s="1302"/>
      <c r="BG151" s="1302"/>
      <c r="BH151" s="1302"/>
      <c r="BI151" s="1302"/>
      <c r="BJ151" s="1302"/>
      <c r="BK151" s="1302"/>
      <c r="BL151" s="1302"/>
      <c r="BM151" s="1302"/>
      <c r="BN151" s="1302"/>
      <c r="BO151" s="1302"/>
      <c r="BP151" s="1302"/>
      <c r="BQ151" s="1302"/>
      <c r="BR151" s="1302"/>
      <c r="BS151" s="1302"/>
      <c r="BT151" s="1302"/>
      <c r="BU151" s="1302"/>
      <c r="BV151" s="1302"/>
      <c r="BW151" s="1302"/>
      <c r="BX151" s="1302"/>
      <c r="BY151" s="1302"/>
      <c r="BZ151" s="1302"/>
      <c r="CA151" s="1302"/>
      <c r="CB151" s="1302"/>
      <c r="CC151" s="1302"/>
      <c r="CD151" s="1302"/>
      <c r="CE151" s="1302"/>
      <c r="CF151" s="1302"/>
      <c r="CG151" s="1302"/>
      <c r="CH151" s="1302"/>
      <c r="CI151" s="1302"/>
      <c r="CJ151" s="1302"/>
      <c r="CK151" s="1302"/>
      <c r="CL151" s="1302"/>
      <c r="CM151" s="1302"/>
    </row>
    <row r="152" spans="2:91" ht="15">
      <c r="B152" s="1263"/>
      <c r="C152" s="1263"/>
      <c r="D152" s="1263"/>
      <c r="E152" s="1263"/>
      <c r="F152" s="1344" t="s">
        <v>4211</v>
      </c>
      <c r="G152" s="1220" t="s">
        <v>3925</v>
      </c>
      <c r="H152" s="1345">
        <v>3.66</v>
      </c>
      <c r="I152" s="1345">
        <v>3.8828939999999998</v>
      </c>
      <c r="J152" s="1345">
        <v>4.5013383474550244</v>
      </c>
      <c r="K152" s="1345">
        <v>5.2182848458570144</v>
      </c>
      <c r="L152" s="1345">
        <v>6.0494223341146078</v>
      </c>
      <c r="M152" s="1345">
        <v>7.012938476430457</v>
      </c>
      <c r="N152" s="1345">
        <v>8.1299177603867694</v>
      </c>
      <c r="O152" s="1346">
        <v>4.9187339483994856</v>
      </c>
      <c r="P152" s="1302"/>
      <c r="Q152" s="1302"/>
      <c r="R152" s="1302"/>
      <c r="S152" s="1302"/>
      <c r="AA152" s="1302"/>
      <c r="AB152" s="1302"/>
      <c r="AC152" s="1302"/>
      <c r="AD152" s="1302"/>
      <c r="AE152" s="1302"/>
      <c r="AF152" s="1302"/>
      <c r="AG152" s="1302"/>
      <c r="AH152" s="1302"/>
      <c r="AI152" s="1302"/>
      <c r="AJ152" s="1302"/>
      <c r="AK152" s="1302"/>
      <c r="AL152" s="1302"/>
      <c r="AM152" s="1302"/>
      <c r="AN152" s="1302"/>
      <c r="AO152" s="1302"/>
      <c r="AP152" s="1302"/>
      <c r="AQ152" s="1302"/>
      <c r="AR152" s="1302"/>
      <c r="AS152" s="1302"/>
      <c r="AT152" s="1302"/>
      <c r="AU152" s="1302"/>
      <c r="AV152" s="1302"/>
      <c r="AW152" s="1302"/>
      <c r="AX152" s="1302"/>
      <c r="AY152" s="1302"/>
      <c r="AZ152" s="1302"/>
      <c r="BA152" s="1302"/>
      <c r="BB152" s="1302"/>
      <c r="BC152" s="1302"/>
      <c r="BD152" s="1302"/>
      <c r="BE152" s="1302"/>
      <c r="BF152" s="1302"/>
      <c r="BG152" s="1302"/>
      <c r="BH152" s="1302"/>
      <c r="BI152" s="1302"/>
      <c r="BJ152" s="1302"/>
      <c r="BK152" s="1302"/>
      <c r="BL152" s="1302"/>
      <c r="BM152" s="1302"/>
      <c r="BN152" s="1302"/>
      <c r="BO152" s="1302"/>
      <c r="BP152" s="1302"/>
      <c r="BQ152" s="1302"/>
      <c r="BR152" s="1302"/>
      <c r="BS152" s="1302"/>
      <c r="BT152" s="1302"/>
      <c r="BU152" s="1302"/>
      <c r="BV152" s="1302"/>
      <c r="BW152" s="1302"/>
      <c r="BX152" s="1302"/>
      <c r="BY152" s="1302"/>
      <c r="BZ152" s="1302"/>
      <c r="CA152" s="1302"/>
      <c r="CB152" s="1302"/>
      <c r="CC152" s="1302"/>
      <c r="CD152" s="1302"/>
      <c r="CE152" s="1302"/>
      <c r="CF152" s="1302"/>
      <c r="CG152" s="1302"/>
      <c r="CH152" s="1302"/>
      <c r="CI152" s="1302"/>
      <c r="CJ152" s="1302"/>
      <c r="CK152" s="1302"/>
      <c r="CL152" s="1302"/>
      <c r="CM152" s="1302"/>
    </row>
    <row r="153" spans="2:91" ht="15">
      <c r="B153" s="1263"/>
      <c r="C153" s="1263"/>
      <c r="D153" s="1263"/>
      <c r="E153" s="1263"/>
      <c r="F153" s="1344" t="s">
        <v>423</v>
      </c>
      <c r="G153" s="1220" t="s">
        <v>3925</v>
      </c>
      <c r="H153" s="1345">
        <v>99.57</v>
      </c>
      <c r="I153" s="1345">
        <v>111.87685200000001</v>
      </c>
      <c r="J153" s="1345">
        <v>149.71646488776977</v>
      </c>
      <c r="K153" s="1345">
        <v>200.35440270066587</v>
      </c>
      <c r="L153" s="1345">
        <v>268.11938627880164</v>
      </c>
      <c r="M153" s="1345">
        <v>358.80422056870697</v>
      </c>
      <c r="N153" s="1345">
        <v>480.16098531587579</v>
      </c>
      <c r="O153" s="1346">
        <v>178.31470514477201</v>
      </c>
      <c r="P153" s="1302"/>
      <c r="Q153" s="1302"/>
      <c r="R153" s="1302"/>
      <c r="S153" s="1302"/>
      <c r="T153" s="1302"/>
      <c r="U153" s="1302"/>
      <c r="V153" s="1302"/>
      <c r="W153" s="1302"/>
      <c r="X153" s="1302"/>
      <c r="Y153" s="1302"/>
      <c r="Z153" s="1302"/>
      <c r="AA153" s="1302"/>
      <c r="AB153" s="1302"/>
      <c r="AC153" s="1302"/>
      <c r="AD153" s="1302"/>
      <c r="AE153" s="1302"/>
      <c r="AF153" s="1302"/>
      <c r="AG153" s="1302"/>
      <c r="AH153" s="1302"/>
      <c r="AI153" s="1302"/>
      <c r="AJ153" s="1302"/>
      <c r="AK153" s="1302"/>
      <c r="AL153" s="1302"/>
      <c r="AM153" s="1302"/>
      <c r="AN153" s="1302"/>
      <c r="AO153" s="1302"/>
      <c r="AP153" s="1302"/>
      <c r="AQ153" s="1302"/>
      <c r="AR153" s="1302"/>
      <c r="AS153" s="1302"/>
      <c r="AT153" s="1302"/>
      <c r="AU153" s="1302"/>
      <c r="AV153" s="1302"/>
      <c r="AW153" s="1302"/>
      <c r="AX153" s="1302"/>
      <c r="AY153" s="1302"/>
      <c r="AZ153" s="1302"/>
      <c r="BA153" s="1302"/>
      <c r="BB153" s="1302"/>
      <c r="BC153" s="1302"/>
      <c r="BD153" s="1302"/>
      <c r="BE153" s="1302"/>
      <c r="BF153" s="1302"/>
      <c r="BG153" s="1302"/>
      <c r="BH153" s="1302"/>
      <c r="BI153" s="1302"/>
      <c r="BJ153" s="1302"/>
      <c r="BK153" s="1302"/>
      <c r="BL153" s="1302"/>
      <c r="BM153" s="1302"/>
      <c r="BN153" s="1302"/>
      <c r="BO153" s="1302"/>
      <c r="BP153" s="1302"/>
      <c r="BQ153" s="1302"/>
      <c r="BR153" s="1302"/>
      <c r="BS153" s="1302"/>
      <c r="BT153" s="1302"/>
      <c r="BU153" s="1302"/>
      <c r="BV153" s="1302"/>
      <c r="BW153" s="1302"/>
      <c r="BX153" s="1302"/>
      <c r="BY153" s="1302"/>
      <c r="BZ153" s="1302"/>
      <c r="CA153" s="1302"/>
      <c r="CB153" s="1302"/>
      <c r="CC153" s="1302"/>
      <c r="CD153" s="1302"/>
      <c r="CE153" s="1302"/>
      <c r="CF153" s="1302"/>
      <c r="CG153" s="1302"/>
      <c r="CH153" s="1302"/>
      <c r="CI153" s="1302"/>
      <c r="CJ153" s="1302"/>
      <c r="CK153" s="1302"/>
      <c r="CL153" s="1302"/>
      <c r="CM153" s="1302"/>
    </row>
    <row r="154" spans="2:91" ht="15">
      <c r="B154" s="1263"/>
      <c r="C154" s="1263"/>
      <c r="D154" s="1263"/>
      <c r="E154" s="1263"/>
      <c r="F154" s="1347" t="s">
        <v>424</v>
      </c>
      <c r="G154" s="1220" t="s">
        <v>3925</v>
      </c>
      <c r="H154" s="1345">
        <v>19.97</v>
      </c>
      <c r="I154" s="1345">
        <v>20.776788</v>
      </c>
      <c r="J154" s="1345">
        <v>22.939252782956117</v>
      </c>
      <c r="K154" s="1345">
        <v>25.326788637414026</v>
      </c>
      <c r="L154" s="1345">
        <v>27.962821141272713</v>
      </c>
      <c r="M154" s="1345">
        <v>30.873214025394315</v>
      </c>
      <c r="N154" s="1345">
        <v>34.086522938522855</v>
      </c>
      <c r="O154" s="1346">
        <v>24.343318567295299</v>
      </c>
      <c r="P154" s="1302"/>
      <c r="Q154" s="1302"/>
      <c r="R154" s="1302"/>
      <c r="S154" s="1302"/>
      <c r="T154" s="1302"/>
      <c r="U154" s="1302"/>
      <c r="V154" s="1302"/>
      <c r="W154" s="1302"/>
      <c r="X154" s="1302"/>
      <c r="Y154" s="1302"/>
      <c r="Z154" s="1302"/>
      <c r="AA154" s="1302"/>
      <c r="AB154" s="1302"/>
      <c r="AC154" s="1302"/>
      <c r="AD154" s="1302"/>
      <c r="AE154" s="1302"/>
      <c r="AF154" s="1302"/>
      <c r="AG154" s="1302"/>
      <c r="AH154" s="1302"/>
      <c r="AI154" s="1302"/>
      <c r="AJ154" s="1302"/>
      <c r="AK154" s="1302"/>
      <c r="AL154" s="1302"/>
      <c r="AM154" s="1302"/>
      <c r="AN154" s="1302"/>
      <c r="AO154" s="1302"/>
      <c r="AP154" s="1302"/>
      <c r="AQ154" s="1302"/>
      <c r="AR154" s="1302"/>
      <c r="AS154" s="1302"/>
      <c r="AT154" s="1302"/>
      <c r="AU154" s="1302"/>
      <c r="AV154" s="1302"/>
      <c r="AW154" s="1302"/>
      <c r="AX154" s="1302"/>
      <c r="AY154" s="1302"/>
      <c r="AZ154" s="1302"/>
      <c r="BA154" s="1302"/>
      <c r="BB154" s="1302"/>
      <c r="BC154" s="1302"/>
      <c r="BD154" s="1302"/>
      <c r="BE154" s="1302"/>
      <c r="BF154" s="1302"/>
      <c r="BG154" s="1302"/>
      <c r="BH154" s="1302"/>
      <c r="BI154" s="1302"/>
      <c r="BJ154" s="1302"/>
      <c r="BK154" s="1302"/>
      <c r="BL154" s="1302"/>
      <c r="BM154" s="1302"/>
      <c r="BN154" s="1302"/>
      <c r="BO154" s="1302"/>
      <c r="BP154" s="1302"/>
      <c r="BQ154" s="1302"/>
      <c r="BR154" s="1302"/>
      <c r="BS154" s="1302"/>
      <c r="BT154" s="1302"/>
      <c r="BU154" s="1302"/>
      <c r="BV154" s="1302"/>
      <c r="BW154" s="1302"/>
      <c r="BX154" s="1302"/>
      <c r="BY154" s="1302"/>
      <c r="BZ154" s="1302"/>
      <c r="CA154" s="1302"/>
      <c r="CB154" s="1302"/>
      <c r="CC154" s="1302"/>
      <c r="CD154" s="1302"/>
      <c r="CE154" s="1302"/>
      <c r="CF154" s="1302"/>
      <c r="CG154" s="1302"/>
      <c r="CH154" s="1302"/>
      <c r="CI154" s="1302"/>
      <c r="CJ154" s="1302"/>
      <c r="CK154" s="1302"/>
      <c r="CL154" s="1302"/>
      <c r="CM154" s="1302"/>
    </row>
    <row r="155" spans="2:91" ht="15">
      <c r="B155" s="1263"/>
      <c r="C155" s="1263"/>
      <c r="D155" s="1263"/>
      <c r="E155" s="1263"/>
      <c r="F155" s="1347" t="s">
        <v>425</v>
      </c>
      <c r="G155" s="1220" t="s">
        <v>3925</v>
      </c>
      <c r="H155" s="1345">
        <v>15.195</v>
      </c>
      <c r="I155" s="1345">
        <v>16.120375499999998</v>
      </c>
      <c r="J155" s="1345">
        <v>18.687933385130901</v>
      </c>
      <c r="K155" s="1345">
        <v>21.664436675627684</v>
      </c>
      <c r="L155" s="1345">
        <v>25.115019772369251</v>
      </c>
      <c r="M155" s="1345">
        <v>29.115191297639559</v>
      </c>
      <c r="N155" s="1345">
        <v>33.752486439638517</v>
      </c>
      <c r="O155" s="1346">
        <v>20.420809384133932</v>
      </c>
      <c r="P155" s="1302"/>
      <c r="Q155" s="1302"/>
      <c r="R155" s="1302"/>
      <c r="S155" s="1302"/>
      <c r="T155" s="1302"/>
      <c r="U155" s="1302"/>
      <c r="V155" s="1302"/>
      <c r="W155" s="1302"/>
      <c r="X155" s="1302"/>
      <c r="Y155" s="1302"/>
      <c r="Z155" s="1302"/>
      <c r="AA155" s="1302"/>
      <c r="AB155" s="1302"/>
      <c r="AC155" s="1302"/>
      <c r="AD155" s="1302"/>
      <c r="AE155" s="1302"/>
      <c r="AF155" s="1302"/>
      <c r="AG155" s="1302"/>
      <c r="AH155" s="1302"/>
      <c r="AI155" s="1302"/>
      <c r="AJ155" s="1302"/>
      <c r="AK155" s="1302"/>
      <c r="AL155" s="1302"/>
      <c r="AM155" s="1302"/>
      <c r="AN155" s="1302"/>
      <c r="AO155" s="1302"/>
      <c r="AP155" s="1302"/>
      <c r="AQ155" s="1302"/>
      <c r="AR155" s="1302"/>
      <c r="AS155" s="1302"/>
      <c r="AT155" s="1302"/>
      <c r="AU155" s="1302"/>
      <c r="AV155" s="1302"/>
      <c r="AW155" s="1302"/>
      <c r="AX155" s="1302"/>
      <c r="AY155" s="1302"/>
      <c r="AZ155" s="1302"/>
      <c r="BA155" s="1302"/>
      <c r="BB155" s="1302"/>
      <c r="BC155" s="1302"/>
      <c r="BD155" s="1302"/>
      <c r="BE155" s="1302"/>
      <c r="BF155" s="1302"/>
      <c r="BG155" s="1302"/>
      <c r="BH155" s="1302"/>
      <c r="BI155" s="1302"/>
      <c r="BJ155" s="1302"/>
      <c r="BK155" s="1302"/>
      <c r="BL155" s="1302"/>
      <c r="BM155" s="1302"/>
      <c r="BN155" s="1302"/>
      <c r="BO155" s="1302"/>
      <c r="BP155" s="1302"/>
      <c r="BQ155" s="1302"/>
      <c r="BR155" s="1302"/>
      <c r="BS155" s="1302"/>
      <c r="BT155" s="1302"/>
      <c r="BU155" s="1302"/>
      <c r="BV155" s="1302"/>
      <c r="BW155" s="1302"/>
      <c r="BX155" s="1302"/>
      <c r="BY155" s="1302"/>
      <c r="BZ155" s="1302"/>
      <c r="CA155" s="1302"/>
      <c r="CB155" s="1302"/>
      <c r="CC155" s="1302"/>
      <c r="CD155" s="1302"/>
      <c r="CE155" s="1302"/>
      <c r="CF155" s="1302"/>
      <c r="CG155" s="1302"/>
      <c r="CH155" s="1302"/>
      <c r="CI155" s="1302"/>
      <c r="CJ155" s="1302"/>
      <c r="CK155" s="1302"/>
      <c r="CL155" s="1302"/>
      <c r="CM155" s="1302"/>
    </row>
    <row r="156" spans="2:91" ht="16">
      <c r="B156" s="1263"/>
      <c r="C156" s="1263"/>
      <c r="D156" s="1263"/>
      <c r="E156" s="1263"/>
      <c r="F156" s="1348" t="s">
        <v>426</v>
      </c>
      <c r="G156" s="1220" t="s">
        <v>3925</v>
      </c>
      <c r="H156" s="1345">
        <v>3.2753749999999999</v>
      </c>
      <c r="I156" s="1345">
        <v>3.4411908593749998</v>
      </c>
      <c r="J156" s="1345">
        <v>3.8933916004210216</v>
      </c>
      <c r="K156" s="1345">
        <v>4.4050152327157166</v>
      </c>
      <c r="L156" s="1345">
        <v>4.9838704122028687</v>
      </c>
      <c r="M156" s="1345">
        <v>5.6387919163489091</v>
      </c>
      <c r="N156" s="1345">
        <v>6.3797754849384196</v>
      </c>
      <c r="O156" s="1346">
        <v>4.192756913947143</v>
      </c>
      <c r="P156" s="1302"/>
      <c r="Q156" s="1302"/>
      <c r="R156" s="1302"/>
      <c r="S156" s="1302"/>
      <c r="T156" s="1302"/>
      <c r="U156" s="1302"/>
      <c r="V156" s="1302"/>
      <c r="W156" s="1302"/>
      <c r="X156" s="1302"/>
      <c r="Y156" s="1302"/>
      <c r="Z156" s="1302"/>
      <c r="AA156" s="1302"/>
      <c r="AB156" s="1302"/>
      <c r="AC156" s="1302"/>
      <c r="AD156" s="1302"/>
      <c r="AE156" s="1302"/>
      <c r="AF156" s="1302"/>
      <c r="AG156" s="1302"/>
      <c r="AH156" s="1302"/>
      <c r="AI156" s="1302"/>
      <c r="AJ156" s="1302"/>
      <c r="AK156" s="1302"/>
      <c r="AL156" s="1302"/>
      <c r="AM156" s="1302"/>
      <c r="AN156" s="1302"/>
      <c r="AO156" s="1302"/>
      <c r="AP156" s="1302"/>
      <c r="AQ156" s="1302"/>
      <c r="AR156" s="1302"/>
      <c r="AS156" s="1302"/>
      <c r="AT156" s="1302"/>
      <c r="AU156" s="1302"/>
      <c r="AV156" s="1302"/>
      <c r="AW156" s="1302"/>
      <c r="AX156" s="1302"/>
      <c r="AY156" s="1302"/>
      <c r="AZ156" s="1302"/>
      <c r="BA156" s="1302"/>
      <c r="BB156" s="1302"/>
      <c r="BC156" s="1302"/>
      <c r="BD156" s="1302"/>
      <c r="BE156" s="1302"/>
      <c r="BF156" s="1302"/>
      <c r="BG156" s="1302"/>
      <c r="BH156" s="1302"/>
      <c r="BI156" s="1302"/>
      <c r="BJ156" s="1302"/>
      <c r="BK156" s="1302"/>
      <c r="BL156" s="1302"/>
      <c r="BM156" s="1302"/>
      <c r="BN156" s="1302"/>
      <c r="BO156" s="1302"/>
      <c r="BP156" s="1302"/>
      <c r="BQ156" s="1302"/>
      <c r="BR156" s="1302"/>
      <c r="BS156" s="1302"/>
      <c r="BT156" s="1302"/>
      <c r="BU156" s="1302"/>
      <c r="BV156" s="1302"/>
      <c r="BW156" s="1302"/>
      <c r="BX156" s="1302"/>
      <c r="BY156" s="1302"/>
      <c r="BZ156" s="1302"/>
      <c r="CA156" s="1302"/>
      <c r="CB156" s="1302"/>
      <c r="CC156" s="1302"/>
      <c r="CD156" s="1302"/>
      <c r="CE156" s="1302"/>
      <c r="CF156" s="1302"/>
      <c r="CG156" s="1302"/>
      <c r="CH156" s="1302"/>
      <c r="CI156" s="1302"/>
      <c r="CJ156" s="1302"/>
      <c r="CK156" s="1302"/>
      <c r="CL156" s="1302"/>
      <c r="CM156" s="1302"/>
    </row>
    <row r="157" spans="2:91" ht="16">
      <c r="B157" s="1263"/>
      <c r="C157" s="1263"/>
      <c r="D157" s="1263"/>
      <c r="E157" s="1263"/>
      <c r="F157" s="1349" t="s">
        <v>3855</v>
      </c>
      <c r="G157" s="1221" t="s">
        <v>4177</v>
      </c>
      <c r="H157" s="1350">
        <v>14012.3639</v>
      </c>
      <c r="I157" s="1350">
        <v>16042.75542911</v>
      </c>
      <c r="J157" s="1350">
        <v>22500.794392295054</v>
      </c>
      <c r="K157" s="1350">
        <v>31558.528117038284</v>
      </c>
      <c r="L157" s="1350">
        <v>44262.468228896658</v>
      </c>
      <c r="M157" s="1350">
        <v>62080.401419492773</v>
      </c>
      <c r="N157" s="1350">
        <v>87070.974453460338</v>
      </c>
      <c r="O157" s="1351">
        <v>27564.44066472031</v>
      </c>
      <c r="P157" s="1302"/>
      <c r="Q157" s="1302"/>
      <c r="R157" s="1302"/>
      <c r="S157" s="1302"/>
      <c r="T157" s="1302"/>
      <c r="U157" s="1302"/>
      <c r="V157" s="1302"/>
      <c r="W157" s="1302"/>
      <c r="X157" s="1302"/>
      <c r="Y157" s="1302"/>
      <c r="Z157" s="1302"/>
      <c r="AA157" s="1302"/>
      <c r="AB157" s="1302"/>
      <c r="AC157" s="1302"/>
      <c r="AD157" s="1302"/>
      <c r="AE157" s="1302"/>
      <c r="AF157" s="1302"/>
      <c r="AG157" s="1302"/>
      <c r="AH157" s="1302"/>
      <c r="AI157" s="1302"/>
      <c r="AJ157" s="1302"/>
      <c r="AK157" s="1302"/>
      <c r="AL157" s="1302"/>
      <c r="AM157" s="1302"/>
      <c r="AN157" s="1302"/>
      <c r="AO157" s="1302"/>
      <c r="AP157" s="1302"/>
      <c r="AQ157" s="1302"/>
      <c r="AR157" s="1302"/>
      <c r="AS157" s="1302"/>
      <c r="AT157" s="1302"/>
      <c r="AU157" s="1302"/>
      <c r="AV157" s="1302"/>
      <c r="AW157" s="1302"/>
      <c r="AX157" s="1302"/>
      <c r="AY157" s="1302"/>
      <c r="AZ157" s="1302"/>
      <c r="BA157" s="1302"/>
      <c r="BB157" s="1302"/>
      <c r="BC157" s="1302"/>
      <c r="BD157" s="1302"/>
      <c r="BE157" s="1302"/>
      <c r="BF157" s="1302"/>
      <c r="BG157" s="1302"/>
      <c r="BH157" s="1302"/>
      <c r="BI157" s="1302"/>
      <c r="BJ157" s="1302"/>
      <c r="BK157" s="1302"/>
      <c r="BL157" s="1302"/>
      <c r="BM157" s="1302"/>
      <c r="BN157" s="1302"/>
      <c r="BO157" s="1302"/>
      <c r="BP157" s="1302"/>
      <c r="BQ157" s="1302"/>
      <c r="BR157" s="1302"/>
      <c r="BS157" s="1302"/>
      <c r="BT157" s="1302"/>
      <c r="BU157" s="1302"/>
      <c r="BV157" s="1302"/>
      <c r="BW157" s="1302"/>
      <c r="BX157" s="1302"/>
      <c r="BY157" s="1302"/>
      <c r="BZ157" s="1302"/>
      <c r="CA157" s="1302"/>
      <c r="CB157" s="1302"/>
      <c r="CC157" s="1302"/>
      <c r="CD157" s="1302"/>
      <c r="CE157" s="1302"/>
      <c r="CF157" s="1302"/>
      <c r="CG157" s="1302"/>
      <c r="CH157" s="1302"/>
      <c r="CI157" s="1302"/>
      <c r="CJ157" s="1302"/>
      <c r="CK157" s="1302"/>
      <c r="CL157" s="1302"/>
      <c r="CM157" s="1302"/>
    </row>
    <row r="158" spans="2:91">
      <c r="B158" s="1263"/>
      <c r="C158" s="1263"/>
      <c r="D158" s="1263"/>
      <c r="E158" s="1263"/>
      <c r="F158" s="1263"/>
      <c r="G158" s="1220"/>
      <c r="H158" s="1294"/>
      <c r="I158" s="1294"/>
      <c r="J158" s="1294"/>
      <c r="K158" s="1294"/>
      <c r="L158" s="1294"/>
      <c r="M158" s="1294"/>
      <c r="N158" s="1294"/>
      <c r="O158" s="1294"/>
      <c r="P158" s="1302"/>
      <c r="Q158" s="1302"/>
      <c r="R158" s="1302"/>
      <c r="S158" s="1302"/>
      <c r="T158" s="1302"/>
      <c r="U158" s="1302"/>
      <c r="V158" s="1302"/>
      <c r="W158" s="1302"/>
      <c r="X158" s="1302"/>
      <c r="Y158" s="1302"/>
      <c r="Z158" s="1302"/>
      <c r="AA158" s="1302"/>
      <c r="AB158" s="1302"/>
      <c r="AC158" s="1302"/>
      <c r="AD158" s="1302"/>
      <c r="AE158" s="1302"/>
      <c r="AF158" s="1302"/>
      <c r="AG158" s="1302"/>
      <c r="AH158" s="1302"/>
      <c r="AI158" s="1302"/>
      <c r="AJ158" s="1302"/>
      <c r="AK158" s="1302"/>
      <c r="AL158" s="1302"/>
      <c r="AM158" s="1302"/>
      <c r="AN158" s="1302"/>
      <c r="AO158" s="1302"/>
      <c r="AP158" s="1302"/>
      <c r="AQ158" s="1302"/>
      <c r="AR158" s="1302"/>
      <c r="AS158" s="1302"/>
      <c r="AT158" s="1302"/>
      <c r="AU158" s="1302"/>
      <c r="AV158" s="1302"/>
      <c r="AW158" s="1302"/>
      <c r="AX158" s="1302"/>
      <c r="AY158" s="1302"/>
      <c r="AZ158" s="1302"/>
      <c r="BA158" s="1302"/>
      <c r="BB158" s="1302"/>
      <c r="BC158" s="1302"/>
      <c r="BD158" s="1302"/>
      <c r="BE158" s="1302"/>
      <c r="BF158" s="1302"/>
      <c r="BG158" s="1302"/>
      <c r="BH158" s="1302"/>
      <c r="BI158" s="1302"/>
      <c r="BJ158" s="1302"/>
      <c r="BK158" s="1302"/>
      <c r="BL158" s="1302"/>
      <c r="BM158" s="1302"/>
      <c r="BN158" s="1302"/>
      <c r="BO158" s="1302"/>
      <c r="BP158" s="1302"/>
      <c r="BQ158" s="1302"/>
      <c r="BR158" s="1302"/>
      <c r="BS158" s="1302"/>
      <c r="BT158" s="1302"/>
      <c r="BU158" s="1302"/>
      <c r="BV158" s="1302"/>
      <c r="BW158" s="1302"/>
      <c r="BX158" s="1302"/>
      <c r="BY158" s="1302"/>
      <c r="BZ158" s="1302"/>
      <c r="CA158" s="1302"/>
      <c r="CB158" s="1302"/>
      <c r="CC158" s="1302"/>
      <c r="CD158" s="1302"/>
      <c r="CE158" s="1302"/>
      <c r="CF158" s="1302"/>
      <c r="CG158" s="1302"/>
      <c r="CH158" s="1302"/>
      <c r="CI158" s="1302"/>
      <c r="CJ158" s="1302"/>
      <c r="CK158" s="1302"/>
      <c r="CL158" s="1302"/>
      <c r="CM158" s="1302"/>
    </row>
    <row r="159" spans="2:91">
      <c r="B159" s="1263"/>
      <c r="C159" s="1263"/>
      <c r="D159" s="1263" t="s">
        <v>4223</v>
      </c>
      <c r="E159" s="1263"/>
      <c r="F159" s="1263"/>
      <c r="G159" s="1220"/>
      <c r="H159" s="1294"/>
      <c r="I159" s="1294"/>
      <c r="J159" s="1294"/>
      <c r="K159" s="1294"/>
      <c r="L159" s="1294"/>
      <c r="M159" s="1294"/>
      <c r="N159" s="1294"/>
      <c r="O159" s="1294"/>
      <c r="P159" s="1302"/>
      <c r="Q159" s="1302"/>
      <c r="R159" s="1302"/>
      <c r="S159" s="1302"/>
      <c r="T159" s="1302"/>
      <c r="U159" s="1302"/>
      <c r="V159" s="1302"/>
      <c r="W159" s="1302"/>
      <c r="X159" s="1302"/>
      <c r="Y159" s="1302"/>
      <c r="Z159" s="1302"/>
      <c r="AA159" s="1302"/>
      <c r="AB159" s="1302"/>
      <c r="AC159" s="1302"/>
      <c r="AD159" s="1302"/>
      <c r="AE159" s="1302"/>
      <c r="AF159" s="1302"/>
      <c r="AG159" s="1302"/>
      <c r="AH159" s="1302"/>
      <c r="AI159" s="1302"/>
      <c r="AJ159" s="1302"/>
      <c r="AK159" s="1302"/>
      <c r="AL159" s="1302"/>
      <c r="AM159" s="1302"/>
      <c r="AN159" s="1302"/>
      <c r="AO159" s="1302"/>
      <c r="AP159" s="1302"/>
      <c r="AQ159" s="1302"/>
      <c r="AR159" s="1302"/>
      <c r="AS159" s="1302"/>
      <c r="AT159" s="1302"/>
      <c r="AU159" s="1302"/>
      <c r="AV159" s="1302"/>
      <c r="AW159" s="1302"/>
      <c r="AX159" s="1302"/>
      <c r="AY159" s="1302"/>
      <c r="AZ159" s="1302"/>
      <c r="BA159" s="1302"/>
      <c r="BB159" s="1302"/>
      <c r="BC159" s="1302"/>
      <c r="BD159" s="1302"/>
      <c r="BE159" s="1302"/>
      <c r="BF159" s="1302"/>
      <c r="BG159" s="1302"/>
      <c r="BH159" s="1302"/>
      <c r="BI159" s="1302"/>
      <c r="BJ159" s="1302"/>
      <c r="BK159" s="1302"/>
      <c r="BL159" s="1302"/>
      <c r="BM159" s="1302"/>
      <c r="BN159" s="1302"/>
      <c r="BO159" s="1302"/>
      <c r="BP159" s="1302"/>
      <c r="BQ159" s="1302"/>
      <c r="BR159" s="1302"/>
      <c r="BS159" s="1302"/>
      <c r="BT159" s="1302"/>
      <c r="BU159" s="1302"/>
      <c r="BV159" s="1302"/>
      <c r="BW159" s="1302"/>
      <c r="BX159" s="1302"/>
      <c r="BY159" s="1302"/>
      <c r="BZ159" s="1302"/>
      <c r="CA159" s="1302"/>
      <c r="CB159" s="1302"/>
      <c r="CC159" s="1302"/>
      <c r="CD159" s="1302"/>
      <c r="CE159" s="1302"/>
      <c r="CF159" s="1302"/>
      <c r="CG159" s="1302"/>
      <c r="CH159" s="1302"/>
      <c r="CI159" s="1302"/>
      <c r="CJ159" s="1302"/>
      <c r="CK159" s="1302"/>
      <c r="CL159" s="1302"/>
      <c r="CM159" s="1302"/>
    </row>
    <row r="160" spans="2:91">
      <c r="B160" s="1263"/>
      <c r="C160" s="1263"/>
      <c r="D160" s="1263"/>
      <c r="E160" s="1263"/>
      <c r="F160" s="1341"/>
      <c r="G160" s="1338"/>
      <c r="H160" s="1202">
        <v>2020</v>
      </c>
      <c r="I160" s="1202">
        <v>2022</v>
      </c>
      <c r="J160" s="1202">
        <v>2027</v>
      </c>
      <c r="K160" s="1202">
        <v>2032</v>
      </c>
      <c r="L160" s="1202">
        <v>2037</v>
      </c>
      <c r="M160" s="1202">
        <v>2042</v>
      </c>
      <c r="N160" s="1202">
        <v>2047</v>
      </c>
      <c r="O160" s="1225">
        <v>2030</v>
      </c>
      <c r="P160" s="1302"/>
      <c r="Q160" s="1302"/>
      <c r="R160" s="1302"/>
      <c r="S160" s="1302"/>
      <c r="T160" s="1302"/>
      <c r="U160" s="1302"/>
      <c r="V160" s="1302"/>
      <c r="W160" s="1302"/>
      <c r="X160" s="1302"/>
      <c r="Y160" s="1302"/>
      <c r="Z160" s="1302"/>
      <c r="AA160" s="1302"/>
      <c r="AB160" s="1302"/>
      <c r="AC160" s="1302"/>
      <c r="AD160" s="1302"/>
      <c r="AE160" s="1302"/>
      <c r="AF160" s="1302"/>
      <c r="AG160" s="1302"/>
      <c r="AH160" s="1302"/>
      <c r="AI160" s="1302"/>
      <c r="AJ160" s="1302"/>
      <c r="AK160" s="1302"/>
      <c r="AL160" s="1302"/>
      <c r="AM160" s="1302"/>
      <c r="AN160" s="1302"/>
      <c r="AO160" s="1302"/>
      <c r="AP160" s="1302"/>
      <c r="AQ160" s="1302"/>
      <c r="AR160" s="1302"/>
      <c r="AS160" s="1302"/>
      <c r="AT160" s="1302"/>
      <c r="AU160" s="1302"/>
      <c r="AV160" s="1302"/>
      <c r="AW160" s="1302"/>
      <c r="AX160" s="1302"/>
      <c r="AY160" s="1302"/>
      <c r="AZ160" s="1302"/>
      <c r="BA160" s="1302"/>
      <c r="BB160" s="1302"/>
      <c r="BC160" s="1302"/>
      <c r="BD160" s="1302"/>
      <c r="BE160" s="1302"/>
      <c r="BF160" s="1302"/>
      <c r="BG160" s="1302"/>
      <c r="BH160" s="1302"/>
      <c r="BI160" s="1302"/>
      <c r="BJ160" s="1302"/>
      <c r="BK160" s="1302"/>
      <c r="BL160" s="1302"/>
      <c r="BM160" s="1302"/>
      <c r="BN160" s="1302"/>
      <c r="BO160" s="1302"/>
      <c r="BP160" s="1302"/>
      <c r="BQ160" s="1302"/>
      <c r="BR160" s="1302"/>
      <c r="BS160" s="1302"/>
      <c r="BT160" s="1302"/>
      <c r="BU160" s="1302"/>
      <c r="BV160" s="1302"/>
      <c r="BW160" s="1302"/>
      <c r="BX160" s="1302"/>
      <c r="BY160" s="1302"/>
      <c r="BZ160" s="1302"/>
      <c r="CA160" s="1302"/>
      <c r="CB160" s="1302"/>
      <c r="CC160" s="1302"/>
      <c r="CD160" s="1302"/>
      <c r="CE160" s="1302"/>
      <c r="CF160" s="1302"/>
      <c r="CG160" s="1302"/>
      <c r="CH160" s="1302"/>
      <c r="CI160" s="1302"/>
      <c r="CJ160" s="1302"/>
      <c r="CK160" s="1302"/>
      <c r="CL160" s="1302"/>
      <c r="CM160" s="1302"/>
    </row>
    <row r="161" spans="1:117" ht="15">
      <c r="B161" s="1263"/>
      <c r="C161" s="1263"/>
      <c r="D161" s="1263"/>
      <c r="E161" s="1263"/>
      <c r="F161" s="1344" t="s">
        <v>418</v>
      </c>
      <c r="G161" s="1220" t="s">
        <v>3925</v>
      </c>
      <c r="H161" s="1294">
        <v>321.5100544</v>
      </c>
      <c r="I161" s="1294">
        <v>360.17466385152153</v>
      </c>
      <c r="J161" s="1294">
        <v>476.43226427352971</v>
      </c>
      <c r="K161" s="1294">
        <v>597.57015601766261</v>
      </c>
      <c r="L161" s="1294">
        <v>693.62883505445359</v>
      </c>
      <c r="M161" s="1294">
        <v>798.76663575511793</v>
      </c>
      <c r="N161" s="1294">
        <v>913.56706280303706</v>
      </c>
      <c r="O161" s="1352">
        <v>561.76052822633085</v>
      </c>
      <c r="P161" s="1302"/>
      <c r="Q161" s="1302"/>
      <c r="R161" s="1302"/>
      <c r="S161" s="1302"/>
      <c r="T161" s="1302"/>
      <c r="U161" s="1302"/>
      <c r="V161" s="1302"/>
      <c r="W161" s="1302"/>
      <c r="X161" s="1302"/>
      <c r="Y161" s="1302"/>
      <c r="Z161" s="1302"/>
      <c r="AA161" s="1302"/>
      <c r="AB161" s="1302"/>
      <c r="AC161" s="1302"/>
      <c r="AD161" s="1302"/>
      <c r="AE161" s="1302"/>
      <c r="AF161" s="1302"/>
      <c r="AG161" s="1302"/>
      <c r="AH161" s="1302"/>
      <c r="AI161" s="1302"/>
      <c r="AJ161" s="1302"/>
      <c r="AK161" s="1302"/>
      <c r="AL161" s="1302"/>
      <c r="AM161" s="1302"/>
      <c r="AN161" s="1302"/>
      <c r="AO161" s="1302"/>
      <c r="AP161" s="1302"/>
      <c r="AQ161" s="1302"/>
      <c r="AR161" s="1302"/>
      <c r="AS161" s="1302"/>
      <c r="AT161" s="1302"/>
      <c r="AU161" s="1302"/>
      <c r="AV161" s="1302"/>
      <c r="AW161" s="1302"/>
      <c r="AX161" s="1302"/>
      <c r="AY161" s="1302"/>
      <c r="AZ161" s="1302"/>
      <c r="BA161" s="1302"/>
      <c r="BB161" s="1302"/>
      <c r="BC161" s="1302"/>
      <c r="BD161" s="1302"/>
      <c r="BE161" s="1302"/>
      <c r="BF161" s="1302"/>
      <c r="BG161" s="1302"/>
      <c r="BH161" s="1302"/>
      <c r="BI161" s="1302"/>
      <c r="BJ161" s="1302"/>
      <c r="BK161" s="1302"/>
      <c r="BL161" s="1302"/>
      <c r="BM161" s="1302"/>
      <c r="BN161" s="1302"/>
      <c r="BO161" s="1302"/>
      <c r="BP161" s="1302"/>
      <c r="BQ161" s="1302"/>
      <c r="BR161" s="1302"/>
      <c r="BS161" s="1302"/>
      <c r="BT161" s="1302"/>
      <c r="BU161" s="1302"/>
      <c r="BV161" s="1302"/>
      <c r="BW161" s="1302"/>
      <c r="BX161" s="1302"/>
      <c r="BY161" s="1302"/>
      <c r="BZ161" s="1302"/>
      <c r="CA161" s="1302"/>
      <c r="CB161" s="1302"/>
      <c r="CC161" s="1302"/>
      <c r="CD161" s="1302"/>
      <c r="CE161" s="1302"/>
      <c r="CF161" s="1302"/>
      <c r="CG161" s="1302"/>
      <c r="CH161" s="1302"/>
      <c r="CI161" s="1302"/>
      <c r="CJ161" s="1302"/>
      <c r="CK161" s="1302"/>
      <c r="CL161" s="1302"/>
      <c r="CM161" s="1302"/>
    </row>
    <row r="162" spans="1:117" ht="15">
      <c r="B162" s="1263"/>
      <c r="C162" s="1263"/>
      <c r="D162" s="1263"/>
      <c r="E162" s="1263"/>
      <c r="F162" s="1344" t="s">
        <v>421</v>
      </c>
      <c r="G162" s="1220" t="s">
        <v>3925</v>
      </c>
      <c r="H162" s="1294">
        <v>24.450000000000003</v>
      </c>
      <c r="I162" s="1294">
        <v>25.47777154205556</v>
      </c>
      <c r="J162" s="1294">
        <v>28.205205597054913</v>
      </c>
      <c r="K162" s="1294">
        <v>31.172863414850081</v>
      </c>
      <c r="L162" s="1294">
        <v>34.400045913260435</v>
      </c>
      <c r="M162" s="1294">
        <v>37.907523744360418</v>
      </c>
      <c r="N162" s="1294">
        <v>41.717645338919922</v>
      </c>
      <c r="O162" s="1352">
        <v>29.95576998301685</v>
      </c>
      <c r="P162" s="1302"/>
      <c r="Q162" s="1302"/>
      <c r="R162" s="1302"/>
      <c r="S162" s="1302"/>
      <c r="T162" s="1302"/>
      <c r="U162" s="1302"/>
      <c r="V162" s="1302"/>
      <c r="W162" s="1302"/>
      <c r="X162" s="1302"/>
      <c r="Y162" s="1302"/>
      <c r="Z162" s="1302"/>
      <c r="AA162" s="1302"/>
      <c r="AB162" s="1302"/>
      <c r="AC162" s="1302"/>
      <c r="AD162" s="1302"/>
      <c r="AE162" s="1302"/>
      <c r="AF162" s="1302"/>
      <c r="AG162" s="1302"/>
      <c r="AH162" s="1302"/>
      <c r="AI162" s="1302"/>
      <c r="AJ162" s="1302"/>
      <c r="AK162" s="1302"/>
      <c r="AL162" s="1302"/>
      <c r="AM162" s="1302"/>
      <c r="AN162" s="1302"/>
      <c r="AO162" s="1302"/>
      <c r="AP162" s="1302"/>
      <c r="AQ162" s="1302"/>
      <c r="AR162" s="1302"/>
      <c r="AS162" s="1302"/>
      <c r="AT162" s="1302"/>
      <c r="AU162" s="1302"/>
      <c r="AV162" s="1302"/>
      <c r="AW162" s="1302"/>
      <c r="AX162" s="1302"/>
      <c r="AY162" s="1302"/>
      <c r="AZ162" s="1302"/>
      <c r="BA162" s="1302"/>
      <c r="BB162" s="1302"/>
      <c r="BC162" s="1302"/>
      <c r="BD162" s="1302"/>
      <c r="BE162" s="1302"/>
      <c r="BF162" s="1302"/>
      <c r="BG162" s="1302"/>
      <c r="BH162" s="1302"/>
      <c r="BI162" s="1302"/>
      <c r="BJ162" s="1302"/>
      <c r="BK162" s="1302"/>
      <c r="BL162" s="1302"/>
      <c r="BM162" s="1302"/>
      <c r="BN162" s="1302"/>
      <c r="BO162" s="1302"/>
      <c r="BP162" s="1302"/>
      <c r="BQ162" s="1302"/>
      <c r="BR162" s="1302"/>
      <c r="BS162" s="1302"/>
      <c r="BT162" s="1302"/>
      <c r="BU162" s="1302"/>
      <c r="BV162" s="1302"/>
      <c r="BW162" s="1302"/>
      <c r="BX162" s="1302"/>
      <c r="BY162" s="1302"/>
      <c r="BZ162" s="1302"/>
      <c r="CA162" s="1302"/>
      <c r="CB162" s="1302"/>
      <c r="CC162" s="1302"/>
      <c r="CD162" s="1302"/>
      <c r="CE162" s="1302"/>
      <c r="CF162" s="1302"/>
      <c r="CG162" s="1302"/>
      <c r="CH162" s="1302"/>
      <c r="CI162" s="1302"/>
      <c r="CJ162" s="1302"/>
      <c r="CK162" s="1302"/>
      <c r="CL162" s="1302"/>
      <c r="CM162" s="1302"/>
    </row>
    <row r="163" spans="1:117" ht="15">
      <c r="B163" s="1263"/>
      <c r="C163" s="1263"/>
      <c r="D163" s="1263"/>
      <c r="E163" s="1263"/>
      <c r="F163" s="1344" t="s">
        <v>4211</v>
      </c>
      <c r="G163" s="1220" t="s">
        <v>3925</v>
      </c>
      <c r="H163" s="1294">
        <v>3.5767993552000004</v>
      </c>
      <c r="I163" s="1294">
        <v>4.7708458263999995</v>
      </c>
      <c r="J163" s="1294">
        <v>7.0934874042919391</v>
      </c>
      <c r="K163" s="1294">
        <v>10.377009251336156</v>
      </c>
      <c r="L163" s="1294">
        <v>15.007911126484323</v>
      </c>
      <c r="M163" s="1294">
        <v>21.526833421586041</v>
      </c>
      <c r="N163" s="1294">
        <v>30.689356745012343</v>
      </c>
      <c r="O163" s="1352">
        <v>8.9265057959653049</v>
      </c>
      <c r="P163" s="1302"/>
      <c r="Q163" s="1302"/>
      <c r="R163" s="1302"/>
      <c r="S163" s="1302"/>
      <c r="T163" s="1302"/>
      <c r="U163" s="1302"/>
      <c r="V163" s="1302"/>
      <c r="W163" s="1302"/>
      <c r="X163" s="1302"/>
      <c r="Y163" s="1302"/>
      <c r="Z163" s="1302"/>
      <c r="AA163" s="1302"/>
      <c r="AB163" s="1302"/>
      <c r="AC163" s="1302"/>
      <c r="AD163" s="1302"/>
      <c r="AE163" s="1302"/>
      <c r="AF163" s="1302"/>
      <c r="AG163" s="1302"/>
      <c r="AH163" s="1302"/>
      <c r="AI163" s="1302"/>
      <c r="AJ163" s="1302"/>
      <c r="AK163" s="1302"/>
      <c r="AL163" s="1302"/>
      <c r="AM163" s="1302"/>
      <c r="AN163" s="1302"/>
      <c r="AO163" s="1302"/>
      <c r="AP163" s="1302"/>
      <c r="AQ163" s="1302"/>
      <c r="AR163" s="1302"/>
      <c r="AS163" s="1302"/>
      <c r="AT163" s="1302"/>
      <c r="AU163" s="1302"/>
      <c r="AV163" s="1302"/>
      <c r="AW163" s="1302"/>
      <c r="AX163" s="1302"/>
      <c r="AY163" s="1302"/>
      <c r="AZ163" s="1302"/>
      <c r="BA163" s="1302"/>
      <c r="BB163" s="1302"/>
      <c r="BC163" s="1302"/>
      <c r="BD163" s="1302"/>
      <c r="BE163" s="1302"/>
      <c r="BF163" s="1302"/>
      <c r="BG163" s="1302"/>
      <c r="BH163" s="1302"/>
      <c r="BI163" s="1302"/>
      <c r="BJ163" s="1302"/>
      <c r="BK163" s="1302"/>
      <c r="BL163" s="1302"/>
      <c r="BM163" s="1302"/>
      <c r="BN163" s="1302"/>
      <c r="BO163" s="1302"/>
      <c r="BP163" s="1302"/>
      <c r="BQ163" s="1302"/>
      <c r="BR163" s="1302"/>
      <c r="BS163" s="1302"/>
      <c r="BT163" s="1302"/>
      <c r="BU163" s="1302"/>
      <c r="BV163" s="1302"/>
      <c r="BW163" s="1302"/>
      <c r="BX163" s="1302"/>
      <c r="BY163" s="1302"/>
      <c r="BZ163" s="1302"/>
      <c r="CA163" s="1302"/>
      <c r="CB163" s="1302"/>
      <c r="CC163" s="1302"/>
      <c r="CD163" s="1302"/>
      <c r="CE163" s="1302"/>
      <c r="CF163" s="1302"/>
      <c r="CG163" s="1302"/>
      <c r="CH163" s="1302"/>
      <c r="CI163" s="1302"/>
      <c r="CJ163" s="1302"/>
      <c r="CK163" s="1302"/>
      <c r="CL163" s="1302"/>
      <c r="CM163" s="1302"/>
    </row>
    <row r="164" spans="1:117" ht="15">
      <c r="B164" s="1263"/>
      <c r="C164" s="1263"/>
      <c r="D164" s="1263"/>
      <c r="E164" s="1263"/>
      <c r="F164" s="1344" t="s">
        <v>423</v>
      </c>
      <c r="G164" s="1220" t="s">
        <v>3925</v>
      </c>
      <c r="H164" s="1294">
        <v>97.358762172495219</v>
      </c>
      <c r="I164" s="1294">
        <v>116.01841750987141</v>
      </c>
      <c r="J164" s="1294">
        <v>179.10106789444453</v>
      </c>
      <c r="K164" s="1294">
        <v>266.54453599595632</v>
      </c>
      <c r="L164" s="1294">
        <v>349.08126040742275</v>
      </c>
      <c r="M164" s="1294">
        <v>441.36686471601917</v>
      </c>
      <c r="N164" s="1294">
        <v>532.03904827378392</v>
      </c>
      <c r="O164" s="1352">
        <v>231.68513550586897</v>
      </c>
      <c r="P164" s="1302"/>
      <c r="Q164" s="1302"/>
      <c r="R164" s="1302"/>
      <c r="S164" s="1302"/>
      <c r="T164" s="1302"/>
      <c r="U164" s="1302"/>
      <c r="V164" s="1302"/>
      <c r="W164" s="1302"/>
      <c r="X164" s="1302"/>
      <c r="Y164" s="1302"/>
      <c r="Z164" s="1302"/>
      <c r="AA164" s="1302"/>
      <c r="AB164" s="1302"/>
      <c r="AC164" s="1302"/>
      <c r="AD164" s="1302"/>
      <c r="AE164" s="1302"/>
      <c r="AF164" s="1302"/>
      <c r="AG164" s="1302"/>
      <c r="AH164" s="1302"/>
      <c r="AI164" s="1302"/>
      <c r="AJ164" s="1302"/>
      <c r="AK164" s="1302"/>
      <c r="AL164" s="1302"/>
      <c r="AM164" s="1302"/>
      <c r="AN164" s="1302"/>
      <c r="AO164" s="1302"/>
      <c r="AP164" s="1302"/>
      <c r="AQ164" s="1302"/>
      <c r="AR164" s="1302"/>
      <c r="AS164" s="1302"/>
      <c r="AT164" s="1302"/>
      <c r="AU164" s="1302"/>
      <c r="AV164" s="1302"/>
      <c r="AW164" s="1302"/>
      <c r="AX164" s="1302"/>
      <c r="AY164" s="1302"/>
      <c r="AZ164" s="1302"/>
      <c r="BA164" s="1302"/>
      <c r="BB164" s="1302"/>
      <c r="BC164" s="1302"/>
      <c r="BD164" s="1302"/>
      <c r="BE164" s="1302"/>
      <c r="BF164" s="1302"/>
      <c r="BG164" s="1302"/>
      <c r="BH164" s="1302"/>
      <c r="BI164" s="1302"/>
      <c r="BJ164" s="1302"/>
      <c r="BK164" s="1302"/>
      <c r="BL164" s="1302"/>
      <c r="BM164" s="1302"/>
      <c r="BN164" s="1302"/>
      <c r="BO164" s="1302"/>
      <c r="BP164" s="1302"/>
      <c r="BQ164" s="1302"/>
      <c r="BR164" s="1302"/>
      <c r="BS164" s="1302"/>
      <c r="BT164" s="1302"/>
      <c r="BU164" s="1302"/>
      <c r="BV164" s="1302"/>
      <c r="BW164" s="1302"/>
      <c r="BX164" s="1302"/>
      <c r="BY164" s="1302"/>
      <c r="BZ164" s="1302"/>
      <c r="CA164" s="1302"/>
      <c r="CB164" s="1302"/>
      <c r="CC164" s="1302"/>
      <c r="CD164" s="1302"/>
      <c r="CE164" s="1302"/>
      <c r="CF164" s="1302"/>
      <c r="CG164" s="1302"/>
      <c r="CH164" s="1302"/>
      <c r="CI164" s="1302"/>
      <c r="CJ164" s="1302"/>
      <c r="CK164" s="1302"/>
      <c r="CL164" s="1302"/>
      <c r="CM164" s="1302"/>
    </row>
    <row r="165" spans="1:117" ht="15">
      <c r="B165" s="1263"/>
      <c r="C165" s="1263"/>
      <c r="D165" s="1263"/>
      <c r="E165" s="1263"/>
      <c r="F165" s="1347" t="s">
        <v>424</v>
      </c>
      <c r="G165" s="1220" t="s">
        <v>3925</v>
      </c>
      <c r="H165" s="1294">
        <v>20.306000000000001</v>
      </c>
      <c r="I165" s="1294">
        <v>22.466600000000199</v>
      </c>
      <c r="J165" s="1294">
        <v>27.86810000000014</v>
      </c>
      <c r="K165" s="1294">
        <v>33.269600000000082</v>
      </c>
      <c r="L165" s="1294">
        <v>38.671100000000024</v>
      </c>
      <c r="M165" s="1294">
        <v>44.072599999999966</v>
      </c>
      <c r="N165" s="1294">
        <v>49.474099999999908</v>
      </c>
      <c r="O165" s="1352">
        <v>31.108999999999924</v>
      </c>
      <c r="P165" s="1302"/>
      <c r="Q165" s="1302"/>
      <c r="R165" s="1302"/>
      <c r="S165" s="1302"/>
      <c r="T165" s="1302"/>
      <c r="U165" s="1302"/>
      <c r="V165" s="1302"/>
      <c r="W165" s="1302"/>
      <c r="X165" s="1302"/>
      <c r="Y165" s="1302"/>
      <c r="Z165" s="1302"/>
      <c r="AA165" s="1302"/>
      <c r="AB165" s="1302"/>
      <c r="AC165" s="1302"/>
      <c r="AD165" s="1302"/>
      <c r="AE165" s="1302"/>
      <c r="AF165" s="1302"/>
      <c r="AG165" s="1302"/>
      <c r="AH165" s="1302"/>
      <c r="AI165" s="1302"/>
      <c r="AJ165" s="1302"/>
      <c r="AK165" s="1302"/>
      <c r="AL165" s="1302"/>
      <c r="AM165" s="1302"/>
      <c r="AN165" s="1302"/>
      <c r="AO165" s="1302"/>
      <c r="AP165" s="1302"/>
      <c r="AQ165" s="1302"/>
      <c r="AR165" s="1302"/>
      <c r="AS165" s="1302"/>
      <c r="AT165" s="1302"/>
      <c r="AU165" s="1302"/>
      <c r="AV165" s="1302"/>
      <c r="AW165" s="1302"/>
      <c r="AX165" s="1302"/>
      <c r="AY165" s="1302"/>
      <c r="AZ165" s="1302"/>
      <c r="BA165" s="1302"/>
      <c r="BB165" s="1302"/>
      <c r="BC165" s="1302"/>
      <c r="BD165" s="1302"/>
      <c r="BE165" s="1302"/>
      <c r="BF165" s="1302"/>
      <c r="BG165" s="1302"/>
      <c r="BH165" s="1302"/>
      <c r="BI165" s="1302"/>
      <c r="BJ165" s="1302"/>
      <c r="BK165" s="1302"/>
      <c r="BL165" s="1302"/>
      <c r="BM165" s="1302"/>
      <c r="BN165" s="1302"/>
      <c r="BO165" s="1302"/>
      <c r="BP165" s="1302"/>
      <c r="BQ165" s="1302"/>
      <c r="BR165" s="1302"/>
      <c r="BS165" s="1302"/>
      <c r="BT165" s="1302"/>
      <c r="BU165" s="1302"/>
      <c r="BV165" s="1302"/>
      <c r="BW165" s="1302"/>
      <c r="BX165" s="1302"/>
      <c r="BY165" s="1302"/>
      <c r="BZ165" s="1302"/>
      <c r="CA165" s="1302"/>
      <c r="CB165" s="1302"/>
      <c r="CC165" s="1302"/>
      <c r="CD165" s="1302"/>
      <c r="CE165" s="1302"/>
      <c r="CF165" s="1302"/>
      <c r="CG165" s="1302"/>
      <c r="CH165" s="1302"/>
      <c r="CI165" s="1302"/>
      <c r="CJ165" s="1302"/>
      <c r="CK165" s="1302"/>
      <c r="CL165" s="1302"/>
      <c r="CM165" s="1302"/>
    </row>
    <row r="166" spans="1:117" ht="15">
      <c r="B166" s="1263"/>
      <c r="C166" s="1263"/>
      <c r="D166" s="1263"/>
      <c r="E166" s="1263"/>
      <c r="F166" s="1347" t="s">
        <v>425</v>
      </c>
      <c r="G166" s="1220" t="s">
        <v>3925</v>
      </c>
      <c r="H166" s="1294">
        <v>15.2</v>
      </c>
      <c r="I166" s="1294">
        <v>15.863731712000002</v>
      </c>
      <c r="J166" s="1294">
        <v>17.652644602762074</v>
      </c>
      <c r="K166" s="1294">
        <v>19.643288674360623</v>
      </c>
      <c r="L166" s="1294">
        <v>21.858412641689377</v>
      </c>
      <c r="M166" s="1294">
        <v>24.323330534667594</v>
      </c>
      <c r="N166" s="1294">
        <v>27.066210982325387</v>
      </c>
      <c r="O166" s="1352">
        <v>18.821421924604561</v>
      </c>
      <c r="P166" s="1302"/>
      <c r="Q166" s="1302"/>
      <c r="R166" s="1302"/>
      <c r="S166" s="1302"/>
      <c r="T166" s="1302"/>
      <c r="U166" s="1302"/>
      <c r="V166" s="1302"/>
      <c r="W166" s="1302"/>
      <c r="X166" s="1302"/>
      <c r="Y166" s="1302"/>
      <c r="Z166" s="1302"/>
      <c r="AA166" s="1302"/>
      <c r="AB166" s="1302"/>
      <c r="AC166" s="1302"/>
      <c r="AD166" s="1302"/>
      <c r="AE166" s="1302"/>
      <c r="AF166" s="1302"/>
      <c r="AG166" s="1302"/>
      <c r="AH166" s="1302"/>
      <c r="AI166" s="1302"/>
      <c r="AJ166" s="1302"/>
      <c r="AK166" s="1302"/>
      <c r="AL166" s="1302"/>
      <c r="AM166" s="1302"/>
      <c r="AN166" s="1302"/>
      <c r="AO166" s="1302"/>
      <c r="AP166" s="1302"/>
      <c r="AQ166" s="1302"/>
      <c r="AR166" s="1302"/>
      <c r="AS166" s="1302"/>
      <c r="AT166" s="1302"/>
      <c r="AU166" s="1302"/>
      <c r="AV166" s="1302"/>
      <c r="AW166" s="1302"/>
      <c r="AX166" s="1302"/>
      <c r="AY166" s="1302"/>
      <c r="AZ166" s="1302"/>
      <c r="BA166" s="1302"/>
      <c r="BB166" s="1302"/>
      <c r="BC166" s="1302"/>
      <c r="BD166" s="1302"/>
      <c r="BE166" s="1302"/>
      <c r="BF166" s="1302"/>
      <c r="BG166" s="1302"/>
      <c r="BH166" s="1302"/>
      <c r="BI166" s="1302"/>
      <c r="BJ166" s="1302"/>
      <c r="BK166" s="1302"/>
      <c r="BL166" s="1302"/>
      <c r="BM166" s="1302"/>
      <c r="BN166" s="1302"/>
      <c r="BO166" s="1302"/>
      <c r="BP166" s="1302"/>
      <c r="BQ166" s="1302"/>
      <c r="BR166" s="1302"/>
      <c r="BS166" s="1302"/>
      <c r="BT166" s="1302"/>
      <c r="BU166" s="1302"/>
      <c r="BV166" s="1302"/>
      <c r="BW166" s="1302"/>
      <c r="BX166" s="1302"/>
      <c r="BY166" s="1302"/>
      <c r="BZ166" s="1302"/>
      <c r="CA166" s="1302"/>
      <c r="CB166" s="1302"/>
      <c r="CC166" s="1302"/>
      <c r="CD166" s="1302"/>
      <c r="CE166" s="1302"/>
      <c r="CF166" s="1302"/>
      <c r="CG166" s="1302"/>
      <c r="CH166" s="1302"/>
      <c r="CI166" s="1302"/>
      <c r="CJ166" s="1302"/>
      <c r="CK166" s="1302"/>
      <c r="CL166" s="1302"/>
      <c r="CM166" s="1302"/>
    </row>
    <row r="167" spans="1:117" ht="16">
      <c r="B167" s="1263"/>
      <c r="C167" s="1263"/>
      <c r="D167" s="1263"/>
      <c r="E167" s="1263"/>
      <c r="F167" s="1348" t="s">
        <v>426</v>
      </c>
      <c r="G167" s="1220" t="s">
        <v>3925</v>
      </c>
      <c r="H167" s="1294">
        <v>3.2749999999999999</v>
      </c>
      <c r="I167" s="1294">
        <v>2.6647499999999997</v>
      </c>
      <c r="J167" s="1294">
        <v>3.2579301027729843</v>
      </c>
      <c r="K167" s="1294">
        <v>4.089895882534039</v>
      </c>
      <c r="L167" s="1294">
        <v>5.2567709268210798</v>
      </c>
      <c r="M167" s="1294">
        <v>6.8933735396965092</v>
      </c>
      <c r="N167" s="1294">
        <v>9.1887933668530852</v>
      </c>
      <c r="O167" s="1352">
        <v>3.7230332452913255</v>
      </c>
      <c r="P167" s="1302"/>
      <c r="Q167" s="1302"/>
      <c r="R167" s="1302"/>
      <c r="S167" s="1302"/>
      <c r="T167" s="1302"/>
      <c r="U167" s="1302"/>
      <c r="V167" s="1302"/>
      <c r="W167" s="1302"/>
      <c r="X167" s="1302"/>
      <c r="Y167" s="1302"/>
      <c r="Z167" s="1302"/>
      <c r="AA167" s="1302"/>
      <c r="AB167" s="1302"/>
      <c r="AC167" s="1302"/>
      <c r="AD167" s="1302"/>
      <c r="AE167" s="1302"/>
      <c r="AF167" s="1302"/>
      <c r="AG167" s="1302"/>
      <c r="AH167" s="1302"/>
      <c r="AI167" s="1302"/>
      <c r="AJ167" s="1302"/>
      <c r="AK167" s="1302"/>
      <c r="AL167" s="1302"/>
      <c r="AM167" s="1302"/>
      <c r="AN167" s="1302"/>
      <c r="AO167" s="1302"/>
      <c r="AP167" s="1302"/>
      <c r="AQ167" s="1302"/>
      <c r="AR167" s="1302"/>
      <c r="AS167" s="1302"/>
      <c r="AT167" s="1302"/>
      <c r="AU167" s="1302"/>
      <c r="AV167" s="1302"/>
      <c r="AW167" s="1302"/>
      <c r="AX167" s="1302"/>
      <c r="AY167" s="1302"/>
      <c r="AZ167" s="1302"/>
      <c r="BA167" s="1302"/>
      <c r="BB167" s="1302"/>
      <c r="BC167" s="1302"/>
      <c r="BD167" s="1302"/>
      <c r="BE167" s="1302"/>
      <c r="BF167" s="1302"/>
      <c r="BG167" s="1302"/>
      <c r="BH167" s="1302"/>
      <c r="BI167" s="1302"/>
      <c r="BJ167" s="1302"/>
      <c r="BK167" s="1302"/>
      <c r="BL167" s="1302"/>
      <c r="BM167" s="1302"/>
      <c r="BN167" s="1302"/>
      <c r="BO167" s="1302"/>
      <c r="BP167" s="1302"/>
      <c r="BQ167" s="1302"/>
      <c r="BR167" s="1302"/>
      <c r="BS167" s="1302"/>
      <c r="BT167" s="1302"/>
      <c r="BU167" s="1302"/>
      <c r="BV167" s="1302"/>
      <c r="BW167" s="1302"/>
      <c r="BX167" s="1302"/>
      <c r="BY167" s="1302"/>
      <c r="BZ167" s="1302"/>
      <c r="CA167" s="1302"/>
      <c r="CB167" s="1302"/>
      <c r="CC167" s="1302"/>
      <c r="CD167" s="1302"/>
      <c r="CE167" s="1302"/>
      <c r="CF167" s="1302"/>
      <c r="CG167" s="1302"/>
      <c r="CH167" s="1302"/>
      <c r="CI167" s="1302"/>
      <c r="CJ167" s="1302"/>
      <c r="CK167" s="1302"/>
      <c r="CL167" s="1302"/>
      <c r="CM167" s="1302"/>
    </row>
    <row r="168" spans="1:117" ht="16">
      <c r="B168" s="1263"/>
      <c r="C168" s="1263"/>
      <c r="D168" s="1263"/>
      <c r="E168" s="1263"/>
      <c r="F168" s="1349" t="s">
        <v>3855</v>
      </c>
      <c r="G168" s="1221" t="s">
        <v>3846</v>
      </c>
      <c r="H168" s="1353">
        <v>14012.36</v>
      </c>
      <c r="I168" s="1353">
        <v>15937.970039010001</v>
      </c>
      <c r="J168" s="1353">
        <v>21990.611445006558</v>
      </c>
      <c r="K168" s="1353">
        <v>30341.818345850756</v>
      </c>
      <c r="L168" s="1353">
        <v>41864.499440357926</v>
      </c>
      <c r="M168" s="1353">
        <v>57763.061310773483</v>
      </c>
      <c r="N168" s="1353">
        <v>79699.298847358921</v>
      </c>
      <c r="O168" s="1354">
        <v>26675.949363440672</v>
      </c>
      <c r="P168" s="1302"/>
      <c r="Q168" s="1302"/>
      <c r="R168" s="1302"/>
      <c r="S168" s="1302"/>
      <c r="T168" s="1302"/>
      <c r="U168" s="1302"/>
      <c r="V168" s="1302"/>
      <c r="W168" s="1302"/>
      <c r="X168" s="1302"/>
      <c r="Y168" s="1302"/>
      <c r="Z168" s="1302"/>
      <c r="AA168" s="1302"/>
      <c r="AB168" s="1302"/>
      <c r="AC168" s="1302"/>
      <c r="AD168" s="1302"/>
      <c r="AE168" s="1302"/>
      <c r="AF168" s="1302"/>
      <c r="AG168" s="1302"/>
      <c r="AH168" s="1302"/>
      <c r="AI168" s="1302"/>
      <c r="AJ168" s="1302"/>
      <c r="AK168" s="1302"/>
      <c r="AL168" s="1302"/>
      <c r="AM168" s="1302"/>
      <c r="AN168" s="1302"/>
      <c r="AO168" s="1302"/>
      <c r="AP168" s="1302"/>
      <c r="AQ168" s="1302"/>
      <c r="AR168" s="1302"/>
      <c r="AS168" s="1302"/>
      <c r="AT168" s="1302"/>
      <c r="AU168" s="1302"/>
      <c r="AV168" s="1302"/>
      <c r="AW168" s="1302"/>
      <c r="AX168" s="1302"/>
      <c r="AY168" s="1302"/>
      <c r="AZ168" s="1302"/>
      <c r="BA168" s="1302"/>
      <c r="BB168" s="1302"/>
      <c r="BC168" s="1302"/>
      <c r="BD168" s="1302"/>
      <c r="BE168" s="1302"/>
      <c r="BF168" s="1302"/>
      <c r="BG168" s="1302"/>
      <c r="BH168" s="1302"/>
      <c r="BI168" s="1302"/>
      <c r="BJ168" s="1302"/>
      <c r="BK168" s="1302"/>
      <c r="BL168" s="1302"/>
      <c r="BM168" s="1302"/>
      <c r="BN168" s="1302"/>
      <c r="BO168" s="1302"/>
      <c r="BP168" s="1302"/>
      <c r="BQ168" s="1302"/>
      <c r="BR168" s="1302"/>
      <c r="BS168" s="1302"/>
      <c r="BT168" s="1302"/>
      <c r="BU168" s="1302"/>
      <c r="BV168" s="1302"/>
      <c r="BW168" s="1302"/>
      <c r="BX168" s="1302"/>
      <c r="BY168" s="1302"/>
      <c r="BZ168" s="1302"/>
      <c r="CA168" s="1302"/>
      <c r="CB168" s="1302"/>
      <c r="CC168" s="1302"/>
      <c r="CD168" s="1302"/>
      <c r="CE168" s="1302"/>
      <c r="CF168" s="1302"/>
      <c r="CG168" s="1302"/>
      <c r="CH168" s="1302"/>
      <c r="CI168" s="1302"/>
      <c r="CJ168" s="1302"/>
      <c r="CK168" s="1302"/>
      <c r="CL168" s="1302"/>
      <c r="CM168" s="1302"/>
    </row>
    <row r="169" spans="1:117" ht="13.5" customHeight="1">
      <c r="B169" s="1263"/>
      <c r="C169" s="1263"/>
      <c r="D169" s="1263"/>
      <c r="E169" s="1263"/>
      <c r="F169" s="1263"/>
      <c r="G169" s="1220"/>
      <c r="H169" s="1220"/>
      <c r="I169" s="1220"/>
      <c r="J169" s="1220"/>
      <c r="K169" s="1220"/>
      <c r="L169" s="1220"/>
      <c r="M169" s="1220"/>
      <c r="N169" s="1220"/>
      <c r="O169" s="1263"/>
      <c r="P169" s="1302"/>
      <c r="Q169" s="1302"/>
      <c r="R169" s="1302"/>
      <c r="S169" s="1302"/>
      <c r="T169" s="1302"/>
      <c r="U169" s="1302"/>
      <c r="V169" s="1302"/>
      <c r="W169" s="1302"/>
      <c r="X169" s="1302"/>
      <c r="Y169" s="1302"/>
      <c r="Z169" s="1302"/>
      <c r="AA169" s="1302"/>
      <c r="AB169" s="1302"/>
      <c r="AC169" s="1302"/>
      <c r="AD169" s="1302"/>
      <c r="AE169" s="1302"/>
      <c r="AF169" s="1302"/>
      <c r="AG169" s="1302"/>
      <c r="AH169" s="1302"/>
      <c r="AI169" s="1302"/>
      <c r="AJ169" s="1302"/>
      <c r="AK169" s="1302"/>
      <c r="AL169" s="1302"/>
      <c r="AM169" s="1302"/>
      <c r="AN169" s="1302"/>
      <c r="AO169" s="1302"/>
      <c r="AP169" s="1302"/>
      <c r="AQ169" s="1302"/>
      <c r="AR169" s="1302"/>
      <c r="AS169" s="1302"/>
      <c r="AT169" s="1302"/>
      <c r="AU169" s="1302"/>
      <c r="AV169" s="1302"/>
      <c r="AW169" s="1302"/>
      <c r="AX169" s="1302"/>
      <c r="AY169" s="1302"/>
      <c r="AZ169" s="1302"/>
      <c r="BA169" s="1302"/>
      <c r="BB169" s="1302"/>
      <c r="BC169" s="1302"/>
      <c r="BD169" s="1302"/>
      <c r="BE169" s="1302"/>
      <c r="BF169" s="1302"/>
      <c r="BG169" s="1302"/>
      <c r="BH169" s="1302"/>
      <c r="BI169" s="1302"/>
      <c r="BJ169" s="1302"/>
      <c r="BK169" s="1302"/>
      <c r="BL169" s="1302"/>
      <c r="BM169" s="1302"/>
      <c r="BN169" s="1302"/>
      <c r="BO169" s="1302"/>
      <c r="BP169" s="1302"/>
      <c r="BQ169" s="1302"/>
      <c r="BR169" s="1302"/>
      <c r="BS169" s="1302"/>
      <c r="BT169" s="1302"/>
      <c r="BU169" s="1302"/>
      <c r="BV169" s="1302"/>
      <c r="BW169" s="1302"/>
      <c r="BX169" s="1302"/>
      <c r="BY169" s="1302"/>
      <c r="BZ169" s="1302"/>
      <c r="CA169" s="1302"/>
      <c r="CB169" s="1302"/>
      <c r="CC169" s="1302"/>
      <c r="CD169" s="1302"/>
      <c r="CE169" s="1302"/>
      <c r="CF169" s="1302"/>
      <c r="CG169" s="1302"/>
      <c r="CH169" s="1302"/>
      <c r="CI169" s="1302"/>
      <c r="CJ169" s="1302"/>
      <c r="CK169" s="1302"/>
      <c r="CL169" s="1302"/>
      <c r="CM169" s="1302"/>
    </row>
    <row r="170" spans="1:117" ht="18" customHeight="1">
      <c r="B170" s="1263"/>
      <c r="C170" s="1263"/>
      <c r="D170" s="1263"/>
      <c r="E170" s="1263"/>
      <c r="F170" s="1263"/>
      <c r="G170" s="1220"/>
      <c r="H170" s="1220"/>
      <c r="I170" s="1220"/>
      <c r="J170" s="1220"/>
      <c r="K170" s="1220"/>
      <c r="L170" s="1220"/>
      <c r="M170" s="1220"/>
      <c r="N170" s="1220"/>
      <c r="O170" s="1263"/>
      <c r="P170" s="1302"/>
      <c r="Q170" s="1302"/>
      <c r="R170" s="1302"/>
      <c r="S170" s="1302"/>
      <c r="T170" s="1302"/>
      <c r="U170" s="1302"/>
      <c r="V170" s="1302"/>
      <c r="W170" s="1302"/>
      <c r="X170" s="1302"/>
      <c r="Y170" s="1302"/>
      <c r="Z170" s="1302"/>
      <c r="AA170" s="1302"/>
      <c r="AB170" s="1302"/>
      <c r="AC170" s="1302"/>
      <c r="AD170" s="1302"/>
      <c r="AE170" s="1302"/>
      <c r="AF170" s="1302"/>
      <c r="AG170" s="1302"/>
      <c r="AH170" s="1302"/>
      <c r="AI170" s="1302"/>
      <c r="AJ170" s="1302"/>
      <c r="AK170" s="1302"/>
      <c r="AL170" s="1302"/>
      <c r="AM170" s="1302"/>
      <c r="AN170" s="1302"/>
      <c r="AO170" s="1302"/>
      <c r="AP170" s="1302"/>
      <c r="AQ170" s="1302"/>
      <c r="AR170" s="1302"/>
      <c r="AS170" s="1302"/>
      <c r="AT170" s="1302"/>
      <c r="AU170" s="1302"/>
      <c r="AV170" s="1302"/>
      <c r="AW170" s="1302"/>
      <c r="AX170" s="1302"/>
      <c r="AY170" s="1302"/>
      <c r="AZ170" s="1302"/>
      <c r="BA170" s="1302"/>
      <c r="BB170" s="1302"/>
      <c r="BC170" s="1302"/>
      <c r="BD170" s="1302"/>
      <c r="BE170" s="1302"/>
      <c r="BF170" s="1302"/>
      <c r="BG170" s="1302"/>
      <c r="BH170" s="1302"/>
      <c r="BI170" s="1302"/>
      <c r="BJ170" s="1302"/>
      <c r="BK170" s="1302"/>
      <c r="BL170" s="1302"/>
      <c r="BM170" s="1302"/>
      <c r="BN170" s="1302"/>
      <c r="BO170" s="1302"/>
      <c r="BP170" s="1302"/>
      <c r="BQ170" s="1302"/>
      <c r="BR170" s="1302"/>
      <c r="BS170" s="1302"/>
      <c r="BT170" s="1302"/>
      <c r="BU170" s="1302"/>
      <c r="BV170" s="1302"/>
      <c r="BW170" s="1302"/>
      <c r="BX170" s="1302"/>
      <c r="BY170" s="1302"/>
      <c r="BZ170" s="1302"/>
      <c r="CA170" s="1302"/>
      <c r="CB170" s="1302"/>
      <c r="CC170" s="1302"/>
      <c r="CD170" s="1302"/>
      <c r="CE170" s="1302"/>
      <c r="CF170" s="1302"/>
      <c r="CG170" s="1302"/>
      <c r="CH170" s="1302"/>
      <c r="CI170" s="1302"/>
      <c r="CJ170" s="1302"/>
      <c r="CK170" s="1302"/>
      <c r="CL170" s="1302"/>
      <c r="CM170" s="1302"/>
    </row>
    <row r="171" spans="1:117" ht="16">
      <c r="B171" s="1326"/>
      <c r="C171" s="1210"/>
      <c r="D171" s="1210"/>
      <c r="E171" s="1210"/>
      <c r="F171" s="1355"/>
      <c r="G171" s="1356"/>
      <c r="H171" s="1356"/>
      <c r="I171" s="1356"/>
      <c r="J171" s="1356"/>
      <c r="K171" s="1356"/>
      <c r="L171" s="1356"/>
      <c r="M171" s="1356"/>
      <c r="N171" s="1356"/>
      <c r="O171" s="1355"/>
      <c r="P171" s="1302"/>
      <c r="Q171" s="1302"/>
      <c r="R171" s="1302"/>
      <c r="S171" s="1302"/>
      <c r="T171" s="1302"/>
      <c r="U171" s="1302"/>
      <c r="V171" s="1302"/>
      <c r="W171" s="1302"/>
      <c r="X171" s="1302"/>
      <c r="Y171" s="1302"/>
      <c r="Z171" s="1302"/>
      <c r="AA171" s="1302"/>
      <c r="AB171" s="1302"/>
      <c r="AC171" s="1302"/>
      <c r="AD171" s="1302"/>
      <c r="AE171" s="1302"/>
      <c r="AF171" s="1302"/>
      <c r="AG171" s="1302"/>
      <c r="AH171" s="1302"/>
      <c r="AI171" s="1302"/>
      <c r="AJ171" s="1302"/>
      <c r="AK171" s="1302"/>
      <c r="AL171" s="1302"/>
      <c r="AM171" s="1302"/>
      <c r="AN171" s="1302"/>
      <c r="AO171" s="1302"/>
      <c r="AP171" s="1302"/>
      <c r="AQ171" s="1302"/>
      <c r="AR171" s="1302"/>
      <c r="AS171" s="1302"/>
      <c r="AT171" s="1302"/>
      <c r="AU171" s="1302"/>
      <c r="AV171" s="1302"/>
      <c r="AW171" s="1302"/>
      <c r="AX171" s="1302"/>
      <c r="AY171" s="1302"/>
      <c r="AZ171" s="1302"/>
      <c r="BA171" s="1302"/>
      <c r="BB171" s="1302"/>
      <c r="BC171" s="1302"/>
      <c r="BD171" s="1302"/>
      <c r="BE171" s="1302"/>
      <c r="BF171" s="1302"/>
      <c r="BG171" s="1302"/>
      <c r="BH171" s="1302"/>
      <c r="BI171" s="1302"/>
      <c r="BJ171" s="1302"/>
      <c r="BK171" s="1302"/>
      <c r="BL171" s="1302"/>
      <c r="BM171" s="1302"/>
      <c r="BN171" s="1302"/>
      <c r="BO171" s="1302"/>
      <c r="BP171" s="1302"/>
      <c r="BQ171" s="1302"/>
      <c r="BR171" s="1302"/>
      <c r="BS171" s="1302"/>
      <c r="BT171" s="1302"/>
      <c r="BU171" s="1302"/>
      <c r="BV171" s="1302"/>
      <c r="BW171" s="1302"/>
      <c r="BX171" s="1302"/>
      <c r="BY171" s="1302"/>
      <c r="BZ171" s="1302"/>
      <c r="CA171" s="1302"/>
      <c r="CB171" s="1302"/>
      <c r="CC171" s="1302"/>
      <c r="CD171" s="1302"/>
      <c r="CE171" s="1302"/>
      <c r="CF171" s="1302"/>
      <c r="CG171" s="1302"/>
      <c r="CH171" s="1302"/>
      <c r="CI171" s="1302"/>
      <c r="CJ171" s="1302"/>
      <c r="CK171" s="1302"/>
      <c r="CL171" s="1302"/>
      <c r="CM171" s="1302"/>
    </row>
    <row r="172" spans="1:117" s="1357" customFormat="1" ht="16">
      <c r="A172" s="1302"/>
      <c r="B172" s="1326"/>
      <c r="C172" s="1210"/>
      <c r="D172" s="1210"/>
      <c r="E172" s="1210"/>
      <c r="F172" s="1355"/>
      <c r="G172" s="1356"/>
      <c r="H172" s="1356"/>
      <c r="I172" s="1356"/>
      <c r="J172" s="1356"/>
      <c r="K172" s="1356"/>
      <c r="L172" s="1356"/>
      <c r="M172" s="1356"/>
      <c r="N172" s="1356"/>
      <c r="O172" s="1355"/>
      <c r="P172" s="1302"/>
      <c r="Q172" s="1302"/>
      <c r="R172" s="1302"/>
      <c r="S172" s="1302"/>
      <c r="T172" s="1302"/>
      <c r="U172" s="1302"/>
      <c r="V172" s="1302"/>
      <c r="W172" s="1302"/>
      <c r="X172" s="1302"/>
      <c r="Y172" s="1302"/>
      <c r="Z172" s="1302"/>
      <c r="AA172" s="1302"/>
      <c r="AB172" s="1302"/>
      <c r="AC172" s="1302"/>
      <c r="AD172" s="1302"/>
      <c r="AE172" s="1302"/>
      <c r="AF172" s="1302"/>
      <c r="AG172" s="1302"/>
      <c r="AH172" s="1302"/>
      <c r="AI172" s="1302"/>
      <c r="AJ172" s="1302"/>
      <c r="AK172" s="1302"/>
      <c r="AL172" s="1302"/>
      <c r="AM172" s="1302"/>
      <c r="AN172" s="1302"/>
      <c r="AO172" s="1302"/>
      <c r="AP172" s="1302"/>
      <c r="AQ172" s="1302"/>
      <c r="AR172" s="1302"/>
      <c r="AS172" s="1302"/>
      <c r="AT172" s="1302"/>
      <c r="AU172" s="1302"/>
      <c r="AV172" s="1302"/>
      <c r="AW172" s="1302"/>
      <c r="AX172" s="1302"/>
      <c r="AY172" s="1302"/>
      <c r="AZ172" s="1302"/>
      <c r="BA172" s="1302"/>
      <c r="BB172" s="1302"/>
      <c r="BC172" s="1302"/>
      <c r="BD172" s="1302"/>
      <c r="BE172" s="1302"/>
      <c r="BF172" s="1302"/>
      <c r="BG172" s="1302"/>
      <c r="BH172" s="1302"/>
      <c r="BI172" s="1302"/>
      <c r="BJ172" s="1302"/>
      <c r="BK172" s="1302"/>
      <c r="BL172" s="1302"/>
      <c r="BM172" s="1302"/>
      <c r="BN172" s="1302"/>
      <c r="BO172" s="1302"/>
      <c r="BP172" s="1302"/>
      <c r="BQ172" s="1302"/>
      <c r="BR172" s="1302"/>
      <c r="BS172" s="1302"/>
      <c r="BT172" s="1302"/>
      <c r="BU172" s="1302"/>
      <c r="BV172" s="1302"/>
      <c r="BW172" s="1302"/>
      <c r="BX172" s="1302"/>
      <c r="BY172" s="1302"/>
      <c r="BZ172" s="1302"/>
      <c r="CA172" s="1302"/>
      <c r="CB172" s="1302"/>
      <c r="CC172" s="1302"/>
      <c r="CD172" s="1302"/>
      <c r="CE172" s="1302"/>
      <c r="CF172" s="1302"/>
      <c r="CG172" s="1302"/>
      <c r="CH172" s="1302"/>
      <c r="CI172" s="1302"/>
      <c r="CJ172" s="1302"/>
      <c r="CK172" s="1302"/>
      <c r="CL172" s="1302"/>
      <c r="CM172" s="1302"/>
      <c r="CN172" s="1263"/>
      <c r="CO172" s="1263"/>
      <c r="CP172" s="1263"/>
      <c r="CQ172" s="1263"/>
      <c r="CR172" s="1263"/>
      <c r="CS172" s="1263"/>
      <c r="CT172" s="1263"/>
      <c r="CU172" s="1263"/>
      <c r="CV172" s="1263"/>
      <c r="CW172" s="1263"/>
      <c r="CX172" s="1263"/>
      <c r="CY172" s="1263"/>
      <c r="CZ172" s="1263"/>
      <c r="DA172" s="1263"/>
      <c r="DB172" s="1263"/>
      <c r="DC172" s="1263"/>
      <c r="DD172" s="1263"/>
      <c r="DE172" s="1263"/>
      <c r="DF172" s="1263"/>
      <c r="DG172" s="1263"/>
      <c r="DH172" s="1263"/>
      <c r="DI172" s="1263"/>
      <c r="DJ172" s="1263"/>
      <c r="DK172" s="1263"/>
      <c r="DL172" s="1263"/>
      <c r="DM172" s="1263"/>
    </row>
    <row r="173" spans="1:117" ht="16">
      <c r="B173" s="1326"/>
      <c r="C173" s="1358" t="s">
        <v>4687</v>
      </c>
      <c r="D173" s="1359"/>
      <c r="E173" s="1360" t="s">
        <v>48</v>
      </c>
      <c r="F173" s="1361"/>
      <c r="G173" s="1207"/>
      <c r="H173" s="1207">
        <v>2020</v>
      </c>
      <c r="I173" s="1207">
        <v>2022</v>
      </c>
      <c r="J173" s="1207">
        <v>2027</v>
      </c>
      <c r="K173" s="1207">
        <v>2032</v>
      </c>
      <c r="L173" s="1207">
        <v>2037</v>
      </c>
      <c r="M173" s="1207">
        <v>2042</v>
      </c>
      <c r="N173" s="1207">
        <v>2047</v>
      </c>
      <c r="O173" s="1207">
        <v>2030</v>
      </c>
    </row>
    <row r="174" spans="1:117" ht="16">
      <c r="B174" s="1326"/>
      <c r="C174" s="1209"/>
      <c r="D174" s="1211" t="s">
        <v>4224</v>
      </c>
      <c r="E174" s="1362" t="s">
        <v>4225</v>
      </c>
      <c r="F174" s="1363"/>
      <c r="G174" s="1219"/>
      <c r="H174" s="1219">
        <v>14.5</v>
      </c>
      <c r="I174" s="1294">
        <v>16.2</v>
      </c>
      <c r="J174" s="1294">
        <v>16.161642366628996</v>
      </c>
      <c r="K174" s="1294">
        <v>17.428762438109633</v>
      </c>
      <c r="L174" s="1294">
        <v>18.766466464128086</v>
      </c>
      <c r="M174" s="1294">
        <v>20.178205083092966</v>
      </c>
      <c r="N174" s="1294">
        <v>21.667586294204291</v>
      </c>
      <c r="O174" s="1219">
        <v>16.913632435685916</v>
      </c>
    </row>
    <row r="175" spans="1:117" ht="16">
      <c r="B175" s="1326"/>
      <c r="C175" s="1209"/>
      <c r="D175" s="1211" t="s">
        <v>4226</v>
      </c>
      <c r="E175" s="1362"/>
      <c r="F175" s="1363"/>
      <c r="G175" s="1219"/>
      <c r="H175" s="1219">
        <v>0.5</v>
      </c>
      <c r="I175" s="1364">
        <v>1.02</v>
      </c>
      <c r="J175" s="1364">
        <v>0.77831287712880026</v>
      </c>
      <c r="K175" s="1364">
        <v>1.0630698361103639</v>
      </c>
      <c r="L175" s="1364">
        <v>1.277627647855105</v>
      </c>
      <c r="M175" s="1364">
        <v>1.4822174863961037</v>
      </c>
      <c r="N175" s="1364">
        <v>1.6392217493590855</v>
      </c>
      <c r="O175" s="1365">
        <v>0.95631674395744015</v>
      </c>
    </row>
    <row r="176" spans="1:117" ht="16">
      <c r="B176" s="1326"/>
      <c r="C176" s="1209"/>
      <c r="D176" s="1211" t="s">
        <v>4227</v>
      </c>
      <c r="E176" s="1362"/>
      <c r="F176" s="1363"/>
      <c r="G176" s="1219"/>
      <c r="H176" s="1219">
        <v>3.2068830610490111</v>
      </c>
      <c r="I176" s="1364">
        <v>2.5</v>
      </c>
      <c r="J176" s="1364">
        <v>3.6357839406261871</v>
      </c>
      <c r="K176" s="1364">
        <v>5.1803256242378364</v>
      </c>
      <c r="L176" s="1364">
        <v>7.266308528223913</v>
      </c>
      <c r="M176" s="1364">
        <v>10.067036279520407</v>
      </c>
      <c r="N176" s="1364">
        <v>13.80840719183678</v>
      </c>
      <c r="O176" s="1364">
        <v>4.5057652413098683</v>
      </c>
    </row>
    <row r="177" spans="1:117" ht="16">
      <c r="B177" s="1326"/>
      <c r="C177" s="1209"/>
      <c r="D177" s="1211" t="s">
        <v>4228</v>
      </c>
      <c r="E177" s="1362"/>
      <c r="F177" s="1363"/>
      <c r="G177" s="1219"/>
      <c r="H177" s="1294">
        <v>6.9996139999999993</v>
      </c>
      <c r="I177" s="1364">
        <v>4.78</v>
      </c>
      <c r="J177" s="1364">
        <v>8.449669172003226</v>
      </c>
      <c r="K177" s="1364">
        <v>9.4205039696576502</v>
      </c>
      <c r="L177" s="1364">
        <v>10.006858106465417</v>
      </c>
      <c r="M177" s="1364">
        <v>10.313156962004546</v>
      </c>
      <c r="N177" s="1364">
        <v>10.27405041607186</v>
      </c>
      <c r="O177" s="1364">
        <v>9.047770489244737</v>
      </c>
    </row>
    <row r="178" spans="1:117" ht="16">
      <c r="B178" s="1326"/>
      <c r="C178" s="1209"/>
      <c r="D178" s="1211" t="s">
        <v>4229</v>
      </c>
      <c r="E178" s="1362"/>
      <c r="F178" s="1363"/>
      <c r="G178" s="1219"/>
      <c r="H178" s="1294">
        <v>4.6100000000000003</v>
      </c>
      <c r="I178" s="1364">
        <v>9.36</v>
      </c>
      <c r="J178" s="1364">
        <v>13.612375073704444</v>
      </c>
      <c r="K178" s="1364">
        <v>19.395139137146458</v>
      </c>
      <c r="L178" s="1364">
        <v>27.205059129670332</v>
      </c>
      <c r="M178" s="1364">
        <v>37.690983830524402</v>
      </c>
      <c r="N178" s="1364">
        <v>51.698676526236902</v>
      </c>
      <c r="O178" s="1364">
        <v>16.869585063464147</v>
      </c>
    </row>
    <row r="179" spans="1:117" ht="16">
      <c r="B179" s="1326"/>
      <c r="C179" s="1209"/>
      <c r="D179" s="1211" t="s">
        <v>4230</v>
      </c>
      <c r="E179" s="1362" t="s">
        <v>4231</v>
      </c>
      <c r="F179" s="1363"/>
      <c r="G179" s="899"/>
      <c r="H179" s="1219">
        <v>10.1</v>
      </c>
      <c r="I179" s="1364">
        <v>11.033041321889998</v>
      </c>
      <c r="J179" s="1364">
        <v>13.760363992924042</v>
      </c>
      <c r="K179" s="1364">
        <v>17.161869668890585</v>
      </c>
      <c r="L179" s="1364">
        <v>21.404213630064003</v>
      </c>
      <c r="M179" s="1364">
        <v>26.695247660101455</v>
      </c>
      <c r="N179" s="1364">
        <v>33.294203653116</v>
      </c>
      <c r="O179" s="1365">
        <v>15.710526100531453</v>
      </c>
    </row>
    <row r="180" spans="1:117" ht="16">
      <c r="B180" s="1326"/>
      <c r="C180" s="1290"/>
      <c r="D180" s="1201" t="s">
        <v>4232</v>
      </c>
      <c r="E180" s="1272"/>
      <c r="F180" s="1366"/>
      <c r="G180" s="1367"/>
      <c r="H180" s="1368">
        <v>35.306497061049015</v>
      </c>
      <c r="I180" s="1368">
        <v>35.533041321889996</v>
      </c>
      <c r="J180" s="1368">
        <v>42.785772349311252</v>
      </c>
      <c r="K180" s="1368">
        <v>50.254531537006073</v>
      </c>
      <c r="L180" s="1368">
        <v>58.721474376736538</v>
      </c>
      <c r="M180" s="1368">
        <v>68.735863471115479</v>
      </c>
      <c r="N180" s="1368">
        <v>80.683469304588016</v>
      </c>
      <c r="O180" s="1368">
        <v>47.134011010729409</v>
      </c>
    </row>
    <row r="181" spans="1:117" s="1302" customFormat="1">
      <c r="A181" s="1241"/>
      <c r="B181" s="1263"/>
      <c r="C181" s="1263"/>
      <c r="D181" s="1263"/>
      <c r="E181" s="1263"/>
      <c r="F181" s="1263"/>
      <c r="G181" s="1220"/>
      <c r="H181" s="1220"/>
      <c r="I181" s="1220"/>
      <c r="J181" s="1220"/>
      <c r="K181" s="1220"/>
      <c r="L181" s="1220"/>
      <c r="M181" s="1220"/>
      <c r="N181" s="1220"/>
      <c r="O181" s="1264"/>
      <c r="P181" s="1241"/>
      <c r="Q181" s="1241"/>
      <c r="R181" s="1241"/>
      <c r="S181" s="1241"/>
      <c r="T181" s="1241"/>
      <c r="U181" s="1241"/>
      <c r="V181" s="1241"/>
      <c r="W181" s="1241"/>
      <c r="X181" s="1241"/>
      <c r="Y181" s="1241"/>
      <c r="Z181" s="1241"/>
      <c r="AA181" s="1241"/>
      <c r="AB181" s="1241"/>
      <c r="AC181" s="1241"/>
      <c r="AD181" s="1241"/>
      <c r="AE181" s="1241"/>
      <c r="AF181" s="1241"/>
      <c r="AG181" s="1241"/>
      <c r="AH181" s="1241"/>
      <c r="AI181" s="1241"/>
      <c r="AJ181" s="1241"/>
      <c r="AK181" s="1241"/>
      <c r="AL181" s="1241"/>
      <c r="AM181" s="1241"/>
      <c r="AN181" s="1241"/>
      <c r="AO181" s="1241"/>
      <c r="AP181" s="1241"/>
      <c r="AQ181" s="1241"/>
      <c r="AR181" s="1241"/>
      <c r="AS181" s="1241"/>
      <c r="AT181" s="1241"/>
      <c r="AU181" s="1241"/>
      <c r="AV181" s="1241"/>
      <c r="AW181" s="1241"/>
      <c r="AX181" s="1241"/>
      <c r="AY181" s="1241"/>
      <c r="AZ181" s="1241"/>
      <c r="BA181" s="1241"/>
      <c r="BB181" s="1241"/>
      <c r="BC181" s="1241"/>
      <c r="BD181" s="1241"/>
      <c r="BE181" s="1241"/>
      <c r="BF181" s="1241"/>
      <c r="BG181" s="1241"/>
      <c r="BH181" s="1241"/>
      <c r="BI181" s="1241"/>
      <c r="BJ181" s="1241"/>
      <c r="BK181" s="1241"/>
      <c r="BL181" s="1241"/>
      <c r="BM181" s="1241"/>
      <c r="BN181" s="1241"/>
      <c r="BO181" s="1241"/>
      <c r="BP181" s="1241"/>
      <c r="BQ181" s="1241"/>
      <c r="BR181" s="1241"/>
      <c r="BS181" s="1241"/>
      <c r="BT181" s="1241"/>
      <c r="BU181" s="1241"/>
      <c r="BV181" s="1241"/>
      <c r="BW181" s="1241"/>
      <c r="BX181" s="1241"/>
      <c r="BY181" s="1241"/>
      <c r="BZ181" s="1241"/>
      <c r="CA181" s="1241"/>
      <c r="CB181" s="1241"/>
      <c r="CC181" s="1241"/>
      <c r="CD181" s="1241"/>
      <c r="CE181" s="1241"/>
      <c r="CF181" s="1241"/>
      <c r="CG181" s="1241"/>
      <c r="CH181" s="1241"/>
      <c r="CI181" s="1241"/>
      <c r="CJ181" s="1241"/>
      <c r="CK181" s="1241"/>
      <c r="CL181" s="1241"/>
      <c r="CM181" s="1241"/>
      <c r="CN181" s="1241"/>
      <c r="CO181" s="1241"/>
      <c r="CP181" s="1241"/>
      <c r="CQ181" s="1241"/>
      <c r="CR181" s="1241"/>
      <c r="CS181" s="1241"/>
      <c r="CT181" s="1241"/>
      <c r="CU181" s="1241"/>
      <c r="CV181" s="1241"/>
      <c r="CW181" s="1241"/>
      <c r="CX181" s="1241"/>
      <c r="CY181" s="1241"/>
      <c r="CZ181" s="1241"/>
      <c r="DA181" s="1241"/>
      <c r="DB181" s="1241"/>
      <c r="DC181" s="1241"/>
      <c r="DD181" s="1241"/>
      <c r="DE181" s="1241"/>
      <c r="DF181" s="1241"/>
      <c r="DG181" s="1241"/>
      <c r="DH181" s="1241"/>
      <c r="DI181" s="1241"/>
      <c r="DJ181" s="1241"/>
      <c r="DK181" s="1241"/>
      <c r="DL181" s="1241"/>
      <c r="DM181" s="1241"/>
    </row>
    <row r="182" spans="1:117" s="1302" customFormat="1">
      <c r="A182" s="1241"/>
      <c r="B182" s="1263"/>
      <c r="C182" s="1209"/>
      <c r="D182" s="1211"/>
      <c r="E182" s="1362"/>
      <c r="F182" s="1369"/>
      <c r="G182" s="899"/>
      <c r="H182" s="1370"/>
      <c r="I182" s="899"/>
      <c r="J182" s="1370"/>
      <c r="K182" s="899"/>
      <c r="L182" s="1370"/>
      <c r="M182" s="899"/>
      <c r="N182" s="1370"/>
      <c r="O182" s="1371"/>
      <c r="P182" s="1241"/>
      <c r="Q182" s="1241"/>
      <c r="R182" s="1241"/>
      <c r="S182" s="1241"/>
      <c r="T182" s="1241"/>
      <c r="U182" s="1241"/>
      <c r="V182" s="1241"/>
      <c r="W182" s="1241"/>
      <c r="X182" s="1241"/>
      <c r="Y182" s="1241"/>
      <c r="Z182" s="1241"/>
      <c r="AA182" s="1241"/>
      <c r="AB182" s="1241"/>
      <c r="AC182" s="1241"/>
      <c r="AD182" s="1241"/>
      <c r="AE182" s="1241"/>
      <c r="AF182" s="1241"/>
      <c r="AG182" s="1241"/>
      <c r="AH182" s="1241"/>
      <c r="AI182" s="1241"/>
      <c r="AJ182" s="1241"/>
      <c r="AK182" s="1241"/>
      <c r="AL182" s="1241"/>
      <c r="AM182" s="1241"/>
      <c r="AN182" s="1241"/>
      <c r="AO182" s="1241"/>
      <c r="AP182" s="1241"/>
      <c r="AQ182" s="1241"/>
      <c r="AR182" s="1241"/>
      <c r="AS182" s="1241"/>
      <c r="AT182" s="1241"/>
      <c r="AU182" s="1241"/>
      <c r="AV182" s="1241"/>
      <c r="AW182" s="1241"/>
      <c r="AX182" s="1241"/>
      <c r="AY182" s="1241"/>
      <c r="AZ182" s="1241"/>
      <c r="BA182" s="1241"/>
      <c r="BB182" s="1241"/>
      <c r="BC182" s="1241"/>
      <c r="BD182" s="1241"/>
      <c r="BE182" s="1241"/>
      <c r="BF182" s="1241"/>
      <c r="BG182" s="1241"/>
      <c r="BH182" s="1241"/>
      <c r="BI182" s="1241"/>
      <c r="BJ182" s="1241"/>
      <c r="BK182" s="1241"/>
      <c r="BL182" s="1241"/>
      <c r="BM182" s="1241"/>
      <c r="BN182" s="1241"/>
      <c r="BO182" s="1241"/>
      <c r="BP182" s="1241"/>
      <c r="BQ182" s="1241"/>
      <c r="BR182" s="1241"/>
      <c r="BS182" s="1241"/>
      <c r="BT182" s="1241"/>
      <c r="BU182" s="1241"/>
      <c r="BV182" s="1241"/>
      <c r="BW182" s="1241"/>
      <c r="BX182" s="1241"/>
      <c r="BY182" s="1241"/>
      <c r="BZ182" s="1241"/>
      <c r="CA182" s="1241"/>
      <c r="CB182" s="1241"/>
      <c r="CC182" s="1241"/>
      <c r="CD182" s="1241"/>
      <c r="CE182" s="1241"/>
      <c r="CF182" s="1241"/>
      <c r="CG182" s="1241"/>
      <c r="CH182" s="1241"/>
      <c r="CI182" s="1241"/>
      <c r="CJ182" s="1241"/>
      <c r="CK182" s="1241"/>
      <c r="CL182" s="1241"/>
      <c r="CM182" s="1241"/>
      <c r="CN182" s="1241"/>
      <c r="CO182" s="1241"/>
      <c r="CP182" s="1241"/>
      <c r="CQ182" s="1241"/>
      <c r="CR182" s="1241"/>
      <c r="CS182" s="1241"/>
      <c r="CT182" s="1241"/>
      <c r="CU182" s="1241"/>
      <c r="CV182" s="1241"/>
      <c r="CW182" s="1241"/>
      <c r="CX182" s="1241"/>
      <c r="CY182" s="1241"/>
      <c r="CZ182" s="1241"/>
      <c r="DA182" s="1241"/>
      <c r="DB182" s="1241"/>
      <c r="DC182" s="1241"/>
      <c r="DD182" s="1241"/>
      <c r="DE182" s="1241"/>
      <c r="DF182" s="1241"/>
      <c r="DG182" s="1241"/>
      <c r="DH182" s="1241"/>
      <c r="DI182" s="1241"/>
      <c r="DJ182" s="1241"/>
      <c r="DK182" s="1241"/>
      <c r="DL182" s="1241"/>
      <c r="DM182" s="1241"/>
    </row>
    <row r="183" spans="1:117" s="1302" customFormat="1">
      <c r="A183" s="1241"/>
      <c r="B183" s="1263"/>
      <c r="C183" s="1209"/>
      <c r="D183" s="1211"/>
      <c r="E183" s="1362"/>
      <c r="F183" s="1369"/>
      <c r="G183" s="899"/>
      <c r="H183" s="1370"/>
      <c r="I183" s="899"/>
      <c r="J183" s="1370"/>
      <c r="K183" s="899"/>
      <c r="L183" s="1370"/>
      <c r="M183" s="899"/>
      <c r="N183" s="1370"/>
      <c r="O183" s="1371"/>
      <c r="P183" s="1241"/>
      <c r="Q183" s="1241"/>
      <c r="R183" s="1241"/>
      <c r="S183" s="1241"/>
      <c r="T183" s="1241"/>
      <c r="U183" s="1241"/>
      <c r="V183" s="1241"/>
      <c r="W183" s="1241"/>
      <c r="X183" s="1241"/>
      <c r="Y183" s="1241"/>
      <c r="Z183" s="1241"/>
      <c r="AA183" s="1241"/>
      <c r="AB183" s="1241"/>
      <c r="AC183" s="1241"/>
      <c r="AD183" s="1241"/>
      <c r="AE183" s="1241"/>
      <c r="AF183" s="1241"/>
      <c r="AG183" s="1241"/>
      <c r="AH183" s="1241"/>
      <c r="AI183" s="1241"/>
      <c r="AJ183" s="1241"/>
      <c r="AK183" s="1241"/>
      <c r="AL183" s="1241"/>
      <c r="AM183" s="1241"/>
      <c r="AN183" s="1241"/>
      <c r="AO183" s="1241"/>
      <c r="AP183" s="1241"/>
      <c r="AQ183" s="1241"/>
      <c r="AR183" s="1241"/>
      <c r="AS183" s="1241"/>
      <c r="AT183" s="1241"/>
      <c r="AU183" s="1241"/>
      <c r="AV183" s="1241"/>
      <c r="AW183" s="1241"/>
      <c r="AX183" s="1241"/>
      <c r="AY183" s="1241"/>
      <c r="AZ183" s="1241"/>
      <c r="BA183" s="1241"/>
      <c r="BB183" s="1241"/>
      <c r="BC183" s="1241"/>
      <c r="BD183" s="1241"/>
      <c r="BE183" s="1241"/>
      <c r="BF183" s="1241"/>
      <c r="BG183" s="1241"/>
      <c r="BH183" s="1241"/>
      <c r="BI183" s="1241"/>
      <c r="BJ183" s="1241"/>
      <c r="BK183" s="1241"/>
      <c r="BL183" s="1241"/>
      <c r="BM183" s="1241"/>
      <c r="BN183" s="1241"/>
      <c r="BO183" s="1241"/>
      <c r="BP183" s="1241"/>
      <c r="BQ183" s="1241"/>
      <c r="BR183" s="1241"/>
      <c r="BS183" s="1241"/>
      <c r="BT183" s="1241"/>
      <c r="BU183" s="1241"/>
      <c r="BV183" s="1241"/>
      <c r="BW183" s="1241"/>
      <c r="BX183" s="1241"/>
      <c r="BY183" s="1241"/>
      <c r="BZ183" s="1241"/>
      <c r="CA183" s="1241"/>
      <c r="CB183" s="1241"/>
      <c r="CC183" s="1241"/>
      <c r="CD183" s="1241"/>
      <c r="CE183" s="1241"/>
      <c r="CF183" s="1241"/>
      <c r="CG183" s="1241"/>
      <c r="CH183" s="1241"/>
      <c r="CI183" s="1241"/>
      <c r="CJ183" s="1241"/>
      <c r="CK183" s="1241"/>
      <c r="CL183" s="1241"/>
      <c r="CM183" s="1241"/>
      <c r="CN183" s="1241"/>
      <c r="CO183" s="1241"/>
      <c r="CP183" s="1241"/>
      <c r="CQ183" s="1241"/>
      <c r="CR183" s="1241"/>
      <c r="CS183" s="1241"/>
      <c r="CT183" s="1241"/>
      <c r="CU183" s="1241"/>
      <c r="CV183" s="1241"/>
      <c r="CW183" s="1241"/>
      <c r="CX183" s="1241"/>
      <c r="CY183" s="1241"/>
      <c r="CZ183" s="1241"/>
      <c r="DA183" s="1241"/>
      <c r="DB183" s="1241"/>
      <c r="DC183" s="1241"/>
      <c r="DD183" s="1241"/>
      <c r="DE183" s="1241"/>
      <c r="DF183" s="1241"/>
      <c r="DG183" s="1241"/>
      <c r="DH183" s="1241"/>
      <c r="DI183" s="1241"/>
      <c r="DJ183" s="1241"/>
      <c r="DK183" s="1241"/>
      <c r="DL183" s="1241"/>
      <c r="DM183" s="1241"/>
    </row>
    <row r="184" spans="1:117" s="1302" customFormat="1">
      <c r="A184" s="1241"/>
      <c r="B184" s="1263"/>
      <c r="C184" s="1209"/>
      <c r="D184" s="1211"/>
      <c r="E184" s="1362"/>
      <c r="F184" s="1369"/>
      <c r="G184" s="899"/>
      <c r="H184" s="1370"/>
      <c r="I184" s="899"/>
      <c r="J184" s="1370"/>
      <c r="K184" s="899"/>
      <c r="L184" s="1370"/>
      <c r="M184" s="899"/>
      <c r="N184" s="1370"/>
      <c r="O184" s="1371"/>
      <c r="P184" s="1241"/>
      <c r="Q184" s="1241"/>
      <c r="R184" s="1241"/>
      <c r="S184" s="1241"/>
      <c r="T184" s="1241"/>
      <c r="U184" s="1241"/>
      <c r="V184" s="1241"/>
      <c r="W184" s="1241"/>
      <c r="X184" s="1241"/>
      <c r="Y184" s="1241"/>
      <c r="Z184" s="1241"/>
      <c r="AA184" s="1241"/>
      <c r="AB184" s="1241"/>
      <c r="AC184" s="1241"/>
      <c r="AD184" s="1241"/>
      <c r="AE184" s="1241"/>
      <c r="AF184" s="1241"/>
      <c r="AG184" s="1241"/>
      <c r="AH184" s="1241"/>
      <c r="AI184" s="1241"/>
      <c r="AJ184" s="1241"/>
      <c r="AK184" s="1241"/>
      <c r="AL184" s="1241"/>
      <c r="AM184" s="1241"/>
      <c r="AN184" s="1241"/>
      <c r="AO184" s="1241"/>
      <c r="AP184" s="1241"/>
      <c r="AQ184" s="1241"/>
      <c r="AR184" s="1241"/>
      <c r="AS184" s="1241"/>
      <c r="AT184" s="1241"/>
      <c r="AU184" s="1241"/>
      <c r="AV184" s="1241"/>
      <c r="AW184" s="1241"/>
      <c r="AX184" s="1241"/>
      <c r="AY184" s="1241"/>
      <c r="AZ184" s="1241"/>
      <c r="BA184" s="1241"/>
      <c r="BB184" s="1241"/>
      <c r="BC184" s="1241"/>
      <c r="BD184" s="1241"/>
      <c r="BE184" s="1241"/>
      <c r="BF184" s="1241"/>
      <c r="BG184" s="1241"/>
      <c r="BH184" s="1241"/>
      <c r="BI184" s="1241"/>
      <c r="BJ184" s="1241"/>
      <c r="BK184" s="1241"/>
      <c r="BL184" s="1241"/>
      <c r="BM184" s="1241"/>
      <c r="BN184" s="1241"/>
      <c r="BO184" s="1241"/>
      <c r="BP184" s="1241"/>
      <c r="BQ184" s="1241"/>
      <c r="BR184" s="1241"/>
      <c r="BS184" s="1241"/>
      <c r="BT184" s="1241"/>
      <c r="BU184" s="1241"/>
      <c r="BV184" s="1241"/>
      <c r="BW184" s="1241"/>
      <c r="BX184" s="1241"/>
      <c r="BY184" s="1241"/>
      <c r="BZ184" s="1241"/>
      <c r="CA184" s="1241"/>
      <c r="CB184" s="1241"/>
      <c r="CC184" s="1241"/>
      <c r="CD184" s="1241"/>
      <c r="CE184" s="1241"/>
      <c r="CF184" s="1241"/>
      <c r="CG184" s="1241"/>
      <c r="CH184" s="1241"/>
      <c r="CI184" s="1241"/>
      <c r="CJ184" s="1241"/>
      <c r="CK184" s="1241"/>
      <c r="CL184" s="1241"/>
      <c r="CM184" s="1241"/>
      <c r="CN184" s="1241"/>
      <c r="CO184" s="1241"/>
      <c r="CP184" s="1241"/>
      <c r="CQ184" s="1241"/>
      <c r="CR184" s="1241"/>
      <c r="CS184" s="1241"/>
      <c r="CT184" s="1241"/>
      <c r="CU184" s="1241"/>
      <c r="CV184" s="1241"/>
      <c r="CW184" s="1241"/>
      <c r="CX184" s="1241"/>
      <c r="CY184" s="1241"/>
      <c r="CZ184" s="1241"/>
      <c r="DA184" s="1241"/>
      <c r="DB184" s="1241"/>
      <c r="DC184" s="1241"/>
      <c r="DD184" s="1241"/>
      <c r="DE184" s="1241"/>
      <c r="DF184" s="1241"/>
      <c r="DG184" s="1241"/>
      <c r="DH184" s="1241"/>
      <c r="DI184" s="1241"/>
      <c r="DJ184" s="1241"/>
      <c r="DK184" s="1241"/>
      <c r="DL184" s="1241"/>
      <c r="DM184" s="1241"/>
    </row>
    <row r="185" spans="1:117" s="1302" customFormat="1">
      <c r="A185" s="1241"/>
      <c r="B185" s="1263"/>
      <c r="C185" s="1209"/>
      <c r="D185" s="1211"/>
      <c r="E185" s="1362"/>
      <c r="F185" s="1369"/>
      <c r="G185" s="899"/>
      <c r="H185" s="1370"/>
      <c r="I185" s="899"/>
      <c r="J185" s="1370"/>
      <c r="K185" s="899"/>
      <c r="L185" s="1370"/>
      <c r="M185" s="899"/>
      <c r="N185" s="1370"/>
      <c r="O185" s="1371"/>
      <c r="P185" s="1241"/>
      <c r="Q185" s="1241"/>
      <c r="R185" s="1241"/>
      <c r="S185" s="1241"/>
      <c r="T185" s="1241"/>
      <c r="U185" s="1241"/>
      <c r="V185" s="1241"/>
      <c r="W185" s="1241"/>
      <c r="X185" s="1241"/>
      <c r="Y185" s="1241"/>
      <c r="Z185" s="1241"/>
      <c r="AA185" s="1241"/>
      <c r="AB185" s="1241"/>
      <c r="AC185" s="1241"/>
      <c r="AD185" s="1241"/>
      <c r="AE185" s="1241"/>
      <c r="AF185" s="1241"/>
      <c r="AG185" s="1241"/>
      <c r="AH185" s="1241"/>
      <c r="AI185" s="1241"/>
      <c r="AJ185" s="1241"/>
      <c r="AK185" s="1241"/>
      <c r="AL185" s="1241"/>
      <c r="AM185" s="1241"/>
      <c r="AN185" s="1241"/>
      <c r="AO185" s="1241"/>
      <c r="AP185" s="1241"/>
      <c r="AQ185" s="1241"/>
      <c r="AR185" s="1241"/>
      <c r="AS185" s="1241"/>
      <c r="AT185" s="1241"/>
      <c r="AU185" s="1241"/>
      <c r="AV185" s="1241"/>
      <c r="AW185" s="1241"/>
      <c r="AX185" s="1241"/>
      <c r="AY185" s="1241"/>
      <c r="AZ185" s="1241"/>
      <c r="BA185" s="1241"/>
      <c r="BB185" s="1241"/>
      <c r="BC185" s="1241"/>
      <c r="BD185" s="1241"/>
      <c r="BE185" s="1241"/>
      <c r="BF185" s="1241"/>
      <c r="BG185" s="1241"/>
      <c r="BH185" s="1241"/>
      <c r="BI185" s="1241"/>
      <c r="BJ185" s="1241"/>
      <c r="BK185" s="1241"/>
      <c r="BL185" s="1241"/>
      <c r="BM185" s="1241"/>
      <c r="BN185" s="1241"/>
      <c r="BO185" s="1241"/>
      <c r="BP185" s="1241"/>
      <c r="BQ185" s="1241"/>
      <c r="BR185" s="1241"/>
      <c r="BS185" s="1241"/>
      <c r="BT185" s="1241"/>
      <c r="BU185" s="1241"/>
      <c r="BV185" s="1241"/>
      <c r="BW185" s="1241"/>
      <c r="BX185" s="1241"/>
      <c r="BY185" s="1241"/>
      <c r="BZ185" s="1241"/>
      <c r="CA185" s="1241"/>
      <c r="CB185" s="1241"/>
      <c r="CC185" s="1241"/>
      <c r="CD185" s="1241"/>
      <c r="CE185" s="1241"/>
      <c r="CF185" s="1241"/>
      <c r="CG185" s="1241"/>
      <c r="CH185" s="1241"/>
      <c r="CI185" s="1241"/>
      <c r="CJ185" s="1241"/>
      <c r="CK185" s="1241"/>
      <c r="CL185" s="1241"/>
      <c r="CM185" s="1241"/>
      <c r="CN185" s="1241"/>
      <c r="CO185" s="1241"/>
      <c r="CP185" s="1241"/>
      <c r="CQ185" s="1241"/>
      <c r="CR185" s="1241"/>
      <c r="CS185" s="1241"/>
      <c r="CT185" s="1241"/>
      <c r="CU185" s="1241"/>
      <c r="CV185" s="1241"/>
      <c r="CW185" s="1241"/>
      <c r="CX185" s="1241"/>
      <c r="CY185" s="1241"/>
      <c r="CZ185" s="1241"/>
      <c r="DA185" s="1241"/>
      <c r="DB185" s="1241"/>
      <c r="DC185" s="1241"/>
      <c r="DD185" s="1241"/>
      <c r="DE185" s="1241"/>
      <c r="DF185" s="1241"/>
      <c r="DG185" s="1241"/>
      <c r="DH185" s="1241"/>
      <c r="DI185" s="1241"/>
      <c r="DJ185" s="1241"/>
      <c r="DK185" s="1241"/>
      <c r="DL185" s="1241"/>
      <c r="DM185" s="1241"/>
    </row>
    <row r="186" spans="1:117" s="1302" customFormat="1">
      <c r="A186" s="1241"/>
      <c r="B186" s="1263"/>
      <c r="C186" s="2208" t="s">
        <v>4233</v>
      </c>
      <c r="D186" s="2208"/>
      <c r="E186" s="1263"/>
      <c r="F186" s="1263"/>
      <c r="G186" s="1220"/>
      <c r="H186" s="1220"/>
      <c r="I186" s="1220"/>
      <c r="J186" s="1220"/>
      <c r="K186" s="1220"/>
      <c r="L186" s="1220"/>
      <c r="M186" s="1220"/>
      <c r="N186" s="1220"/>
      <c r="O186" s="1263"/>
      <c r="P186" s="1241"/>
      <c r="Q186" s="1241"/>
      <c r="R186" s="1241"/>
      <c r="S186" s="1241"/>
      <c r="T186" s="1241"/>
      <c r="U186" s="1241"/>
      <c r="V186" s="1241"/>
      <c r="W186" s="1241"/>
      <c r="X186" s="1241"/>
      <c r="Y186" s="1241"/>
      <c r="Z186" s="1241"/>
      <c r="AA186" s="1241"/>
      <c r="AB186" s="1241"/>
      <c r="AC186" s="1241"/>
      <c r="AD186" s="1241"/>
      <c r="AE186" s="1241"/>
      <c r="AF186" s="1241"/>
      <c r="AG186" s="1241"/>
      <c r="AH186" s="1241"/>
      <c r="AI186" s="1241"/>
      <c r="AJ186" s="1241"/>
      <c r="AK186" s="1241"/>
      <c r="AL186" s="1241"/>
      <c r="AM186" s="1241"/>
      <c r="AN186" s="1241"/>
      <c r="AO186" s="1241"/>
      <c r="AP186" s="1241"/>
      <c r="AQ186" s="1241"/>
      <c r="AR186" s="1241"/>
      <c r="AS186" s="1241"/>
      <c r="AT186" s="1241"/>
      <c r="AU186" s="1241"/>
      <c r="AV186" s="1241"/>
      <c r="AW186" s="1241"/>
      <c r="AX186" s="1241"/>
      <c r="AY186" s="1241"/>
      <c r="AZ186" s="1241"/>
      <c r="BA186" s="1241"/>
      <c r="BB186" s="1241"/>
      <c r="BC186" s="1241"/>
      <c r="BD186" s="1241"/>
      <c r="BE186" s="1241"/>
      <c r="BF186" s="1241"/>
      <c r="BG186" s="1241"/>
      <c r="BH186" s="1241"/>
      <c r="BI186" s="1241"/>
      <c r="BJ186" s="1241"/>
      <c r="BK186" s="1241"/>
      <c r="BL186" s="1241"/>
      <c r="BM186" s="1241"/>
      <c r="BN186" s="1241"/>
      <c r="BO186" s="1241"/>
      <c r="BP186" s="1241"/>
      <c r="BQ186" s="1241"/>
      <c r="BR186" s="1241"/>
      <c r="BS186" s="1241"/>
      <c r="BT186" s="1241"/>
      <c r="BU186" s="1241"/>
      <c r="BV186" s="1241"/>
      <c r="BW186" s="1241"/>
      <c r="BX186" s="1241"/>
      <c r="BY186" s="1241"/>
      <c r="BZ186" s="1241"/>
      <c r="CA186" s="1241"/>
      <c r="CB186" s="1241"/>
      <c r="CC186" s="1241"/>
      <c r="CD186" s="1241"/>
      <c r="CE186" s="1241"/>
      <c r="CF186" s="1241"/>
      <c r="CG186" s="1241"/>
      <c r="CH186" s="1241"/>
      <c r="CI186" s="1241"/>
      <c r="CJ186" s="1241"/>
      <c r="CK186" s="1241"/>
      <c r="CL186" s="1241"/>
      <c r="CM186" s="1241"/>
      <c r="CN186" s="1241"/>
      <c r="CO186" s="1241"/>
      <c r="CP186" s="1241"/>
      <c r="CQ186" s="1241"/>
      <c r="CR186" s="1241"/>
      <c r="CS186" s="1241"/>
      <c r="CT186" s="1241"/>
      <c r="CU186" s="1241"/>
      <c r="CV186" s="1241"/>
      <c r="CW186" s="1241"/>
      <c r="CX186" s="1241"/>
      <c r="CY186" s="1241"/>
      <c r="CZ186" s="1241"/>
      <c r="DA186" s="1241"/>
      <c r="DB186" s="1241"/>
      <c r="DC186" s="1241"/>
      <c r="DD186" s="1241"/>
      <c r="DE186" s="1241"/>
      <c r="DF186" s="1241"/>
      <c r="DG186" s="1241"/>
      <c r="DH186" s="1241"/>
      <c r="DI186" s="1241"/>
      <c r="DJ186" s="1241"/>
      <c r="DK186" s="1241"/>
      <c r="DL186" s="1241"/>
      <c r="DM186" s="1241"/>
    </row>
    <row r="187" spans="1:117" s="1302" customFormat="1">
      <c r="A187" s="1241"/>
      <c r="B187" s="1263"/>
      <c r="C187" s="1263"/>
      <c r="D187" s="1263"/>
      <c r="E187" s="1263"/>
      <c r="F187" s="1263"/>
      <c r="G187" s="1220"/>
      <c r="H187" s="1220"/>
      <c r="I187" s="1220"/>
      <c r="J187" s="1220"/>
      <c r="K187" s="1220"/>
      <c r="L187" s="1220"/>
      <c r="M187" s="1220"/>
      <c r="N187" s="1220"/>
      <c r="O187" s="1263"/>
      <c r="P187" s="1241"/>
      <c r="Q187" s="1241"/>
      <c r="R187" s="1241"/>
      <c r="S187" s="1241"/>
      <c r="T187" s="1241"/>
      <c r="U187" s="1241"/>
      <c r="V187" s="1241"/>
      <c r="W187" s="1241"/>
      <c r="X187" s="1241"/>
      <c r="Y187" s="1241"/>
      <c r="Z187" s="1241"/>
      <c r="AA187" s="1241"/>
      <c r="AB187" s="1241"/>
      <c r="AC187" s="1241"/>
      <c r="AD187" s="1241"/>
      <c r="AE187" s="1241"/>
      <c r="AF187" s="1241"/>
      <c r="AG187" s="1241"/>
      <c r="AH187" s="1241"/>
      <c r="AI187" s="1241"/>
      <c r="AJ187" s="1241"/>
      <c r="AK187" s="1241"/>
      <c r="AL187" s="1241"/>
      <c r="AM187" s="1241"/>
      <c r="AN187" s="1241"/>
      <c r="AO187" s="1241"/>
      <c r="AP187" s="1241"/>
      <c r="AQ187" s="1241"/>
      <c r="AR187" s="1241"/>
      <c r="AS187" s="1241"/>
      <c r="AT187" s="1241"/>
      <c r="AU187" s="1241"/>
      <c r="AV187" s="1241"/>
      <c r="AW187" s="1241"/>
      <c r="AX187" s="1241"/>
      <c r="AY187" s="1241"/>
      <c r="AZ187" s="1241"/>
      <c r="BA187" s="1241"/>
      <c r="BB187" s="1241"/>
      <c r="BC187" s="1241"/>
      <c r="BD187" s="1241"/>
      <c r="BE187" s="1241"/>
      <c r="BF187" s="1241"/>
      <c r="BG187" s="1241"/>
      <c r="BH187" s="1241"/>
      <c r="BI187" s="1241"/>
      <c r="BJ187" s="1241"/>
      <c r="BK187" s="1241"/>
      <c r="BL187" s="1241"/>
      <c r="BM187" s="1241"/>
      <c r="BN187" s="1241"/>
      <c r="BO187" s="1241"/>
      <c r="BP187" s="1241"/>
      <c r="BQ187" s="1241"/>
      <c r="BR187" s="1241"/>
      <c r="BS187" s="1241"/>
      <c r="BT187" s="1241"/>
      <c r="BU187" s="1241"/>
      <c r="BV187" s="1241"/>
      <c r="BW187" s="1241"/>
      <c r="BX187" s="1241"/>
      <c r="BY187" s="1241"/>
      <c r="BZ187" s="1241"/>
      <c r="CA187" s="1241"/>
      <c r="CB187" s="1241"/>
      <c r="CC187" s="1241"/>
      <c r="CD187" s="1241"/>
      <c r="CE187" s="1241"/>
      <c r="CF187" s="1241"/>
      <c r="CG187" s="1241"/>
      <c r="CH187" s="1241"/>
      <c r="CI187" s="1241"/>
      <c r="CJ187" s="1241"/>
      <c r="CK187" s="1241"/>
      <c r="CL187" s="1241"/>
      <c r="CM187" s="1241"/>
      <c r="CN187" s="1241"/>
      <c r="CO187" s="1241"/>
      <c r="CP187" s="1241"/>
      <c r="CQ187" s="1241"/>
      <c r="CR187" s="1241"/>
      <c r="CS187" s="1241"/>
      <c r="CT187" s="1241"/>
      <c r="CU187" s="1241"/>
      <c r="CV187" s="1241"/>
      <c r="CW187" s="1241"/>
      <c r="CX187" s="1241"/>
      <c r="CY187" s="1241"/>
      <c r="CZ187" s="1241"/>
      <c r="DA187" s="1241"/>
      <c r="DB187" s="1241"/>
      <c r="DC187" s="1241"/>
      <c r="DD187" s="1241"/>
      <c r="DE187" s="1241"/>
      <c r="DF187" s="1241"/>
      <c r="DG187" s="1241"/>
      <c r="DH187" s="1241"/>
      <c r="DI187" s="1241"/>
      <c r="DJ187" s="1241"/>
      <c r="DK187" s="1241"/>
      <c r="DL187" s="1241"/>
      <c r="DM187" s="1241"/>
    </row>
    <row r="188" spans="1:117" s="1302" customFormat="1">
      <c r="A188" s="1241"/>
      <c r="B188" s="1263"/>
      <c r="C188" s="1201" t="s">
        <v>4166</v>
      </c>
      <c r="D188" s="1201" t="s">
        <v>4234</v>
      </c>
      <c r="E188" s="1201" t="s">
        <v>4235</v>
      </c>
      <c r="F188" s="1203"/>
      <c r="G188" s="1202"/>
      <c r="H188" s="1202">
        <v>2020</v>
      </c>
      <c r="I188" s="1202">
        <v>2022</v>
      </c>
      <c r="J188" s="1202">
        <v>2027</v>
      </c>
      <c r="K188" s="1202">
        <v>2032</v>
      </c>
      <c r="L188" s="1202">
        <v>2037</v>
      </c>
      <c r="M188" s="1202">
        <v>2042</v>
      </c>
      <c r="N188" s="1202">
        <v>2047</v>
      </c>
      <c r="O188" s="1202">
        <v>2030</v>
      </c>
      <c r="P188" s="1241"/>
      <c r="Q188" s="1241"/>
      <c r="R188" s="1241"/>
      <c r="S188" s="1241"/>
      <c r="T188" s="1241"/>
      <c r="U188" s="1241"/>
      <c r="V188" s="1241"/>
      <c r="W188" s="1241"/>
      <c r="X188" s="1241"/>
      <c r="Y188" s="1241"/>
      <c r="Z188" s="1241"/>
      <c r="AA188" s="1241"/>
      <c r="AB188" s="1241"/>
      <c r="AC188" s="1241"/>
      <c r="AD188" s="1241"/>
      <c r="AE188" s="1241"/>
      <c r="AF188" s="1241"/>
      <c r="AG188" s="1241"/>
      <c r="AH188" s="1241"/>
      <c r="AI188" s="1241"/>
      <c r="AJ188" s="1241"/>
      <c r="AK188" s="1241"/>
      <c r="AL188" s="1241"/>
      <c r="AM188" s="1241"/>
      <c r="AN188" s="1241"/>
      <c r="AO188" s="1241"/>
      <c r="AP188" s="1241"/>
      <c r="AQ188" s="1241"/>
      <c r="AR188" s="1241"/>
      <c r="AS188" s="1241"/>
      <c r="AT188" s="1241"/>
      <c r="AU188" s="1241"/>
      <c r="AV188" s="1241"/>
      <c r="AW188" s="1241"/>
      <c r="AX188" s="1241"/>
      <c r="AY188" s="1241"/>
      <c r="AZ188" s="1241"/>
      <c r="BA188" s="1241"/>
      <c r="BB188" s="1241"/>
      <c r="BC188" s="1241"/>
      <c r="BD188" s="1241"/>
      <c r="BE188" s="1241"/>
      <c r="BF188" s="1241"/>
      <c r="BG188" s="1241"/>
      <c r="BH188" s="1241"/>
      <c r="BI188" s="1241"/>
      <c r="BJ188" s="1241"/>
      <c r="BK188" s="1241"/>
      <c r="BL188" s="1241"/>
      <c r="BM188" s="1241"/>
      <c r="BN188" s="1241"/>
      <c r="BO188" s="1241"/>
      <c r="BP188" s="1241"/>
      <c r="BQ188" s="1241"/>
      <c r="BR188" s="1241"/>
      <c r="BS188" s="1241"/>
      <c r="BT188" s="1241"/>
      <c r="BU188" s="1241"/>
      <c r="BV188" s="1241"/>
      <c r="BW188" s="1241"/>
      <c r="BX188" s="1241"/>
      <c r="BY188" s="1241"/>
      <c r="BZ188" s="1241"/>
      <c r="CA188" s="1241"/>
      <c r="CB188" s="1241"/>
      <c r="CC188" s="1241"/>
      <c r="CD188" s="1241"/>
      <c r="CE188" s="1241"/>
      <c r="CF188" s="1241"/>
      <c r="CG188" s="1241"/>
      <c r="CH188" s="1241"/>
      <c r="CI188" s="1241"/>
      <c r="CJ188" s="1241"/>
      <c r="CK188" s="1241"/>
      <c r="CL188" s="1241"/>
      <c r="CM188" s="1241"/>
      <c r="CN188" s="1241"/>
      <c r="CO188" s="1241"/>
      <c r="CP188" s="1241"/>
      <c r="CQ188" s="1241"/>
      <c r="CR188" s="1241"/>
      <c r="CS188" s="1241"/>
      <c r="CT188" s="1241"/>
      <c r="CU188" s="1241"/>
      <c r="CV188" s="1241"/>
      <c r="CW188" s="1241"/>
      <c r="CX188" s="1241"/>
      <c r="CY188" s="1241"/>
      <c r="CZ188" s="1241"/>
      <c r="DA188" s="1241"/>
      <c r="DB188" s="1241"/>
      <c r="DC188" s="1241"/>
      <c r="DD188" s="1241"/>
      <c r="DE188" s="1241"/>
      <c r="DF188" s="1241"/>
      <c r="DG188" s="1241"/>
      <c r="DH188" s="1241"/>
      <c r="DI188" s="1241"/>
      <c r="DJ188" s="1241"/>
      <c r="DK188" s="1241"/>
      <c r="DL188" s="1241"/>
      <c r="DM188" s="1241"/>
    </row>
    <row r="189" spans="1:117" s="1302" customFormat="1" ht="15">
      <c r="A189" s="1241"/>
      <c r="B189" s="1263"/>
      <c r="C189" s="1211"/>
      <c r="D189" s="1211" t="s">
        <v>4236</v>
      </c>
      <c r="E189" s="1268" t="s">
        <v>4237</v>
      </c>
      <c r="F189" s="1372"/>
      <c r="G189" s="1373">
        <v>0</v>
      </c>
      <c r="H189" s="1373">
        <v>0</v>
      </c>
      <c r="I189" s="1373">
        <v>0</v>
      </c>
      <c r="J189" s="1373">
        <v>0</v>
      </c>
      <c r="K189" s="1373">
        <v>0</v>
      </c>
      <c r="L189" s="1373">
        <v>0</v>
      </c>
      <c r="M189" s="1373">
        <v>0</v>
      </c>
      <c r="N189" s="1373">
        <v>0</v>
      </c>
      <c r="O189" s="1373">
        <v>0</v>
      </c>
      <c r="P189" s="1241"/>
      <c r="Q189" s="1241"/>
      <c r="R189" s="1241"/>
      <c r="S189" s="1241"/>
      <c r="T189" s="1241"/>
      <c r="U189" s="1241"/>
      <c r="V189" s="1241"/>
      <c r="W189" s="1241"/>
      <c r="X189" s="1241"/>
      <c r="Y189" s="1241"/>
      <c r="Z189" s="1241"/>
      <c r="AA189" s="1241"/>
      <c r="AB189" s="1241"/>
      <c r="AC189" s="1241"/>
      <c r="AD189" s="1241"/>
      <c r="AE189" s="1241"/>
      <c r="AF189" s="1241"/>
      <c r="AG189" s="1241"/>
      <c r="AH189" s="1241"/>
      <c r="AI189" s="1241"/>
      <c r="AJ189" s="1241"/>
      <c r="AK189" s="1241"/>
      <c r="AL189" s="1241"/>
      <c r="AM189" s="1241"/>
      <c r="AN189" s="1241"/>
      <c r="AO189" s="1241"/>
      <c r="AP189" s="1241"/>
      <c r="AQ189" s="1241"/>
      <c r="AR189" s="1241"/>
      <c r="AS189" s="1241"/>
      <c r="AT189" s="1241"/>
      <c r="AU189" s="1241"/>
      <c r="AV189" s="1241"/>
      <c r="AW189" s="1241"/>
      <c r="AX189" s="1241"/>
      <c r="AY189" s="1241"/>
      <c r="AZ189" s="1241"/>
      <c r="BA189" s="1241"/>
      <c r="BB189" s="1241"/>
      <c r="BC189" s="1241"/>
      <c r="BD189" s="1241"/>
      <c r="BE189" s="1241"/>
      <c r="BF189" s="1241"/>
      <c r="BG189" s="1241"/>
      <c r="BH189" s="1241"/>
      <c r="BI189" s="1241"/>
      <c r="BJ189" s="1241"/>
      <c r="BK189" s="1241"/>
      <c r="BL189" s="1241"/>
      <c r="BM189" s="1241"/>
      <c r="BN189" s="1241"/>
      <c r="BO189" s="1241"/>
      <c r="BP189" s="1241"/>
      <c r="BQ189" s="1241"/>
      <c r="BR189" s="1241"/>
      <c r="BS189" s="1241"/>
      <c r="BT189" s="1241"/>
      <c r="BU189" s="1241"/>
      <c r="BV189" s="1241"/>
      <c r="BW189" s="1241"/>
      <c r="BX189" s="1241"/>
      <c r="BY189" s="1241"/>
      <c r="BZ189" s="1241"/>
      <c r="CA189" s="1241"/>
      <c r="CB189" s="1241"/>
      <c r="CC189" s="1241"/>
      <c r="CD189" s="1241"/>
      <c r="CE189" s="1241"/>
      <c r="CF189" s="1241"/>
      <c r="CG189" s="1241"/>
      <c r="CH189" s="1241"/>
      <c r="CI189" s="1241"/>
      <c r="CJ189" s="1241"/>
      <c r="CK189" s="1241"/>
      <c r="CL189" s="1241"/>
      <c r="CM189" s="1241"/>
      <c r="CN189" s="1241"/>
      <c r="CO189" s="1241"/>
      <c r="CP189" s="1241"/>
      <c r="CQ189" s="1241"/>
      <c r="CR189" s="1241"/>
      <c r="CS189" s="1241"/>
      <c r="CT189" s="1241"/>
      <c r="CU189" s="1241"/>
      <c r="CV189" s="1241"/>
      <c r="CW189" s="1241"/>
      <c r="CX189" s="1241"/>
      <c r="CY189" s="1241"/>
      <c r="CZ189" s="1241"/>
      <c r="DA189" s="1241"/>
      <c r="DB189" s="1241"/>
      <c r="DC189" s="1241"/>
      <c r="DD189" s="1241"/>
      <c r="DE189" s="1241"/>
      <c r="DF189" s="1241"/>
      <c r="DG189" s="1241"/>
      <c r="DH189" s="1241"/>
      <c r="DI189" s="1241"/>
      <c r="DJ189" s="1241"/>
      <c r="DK189" s="1241"/>
      <c r="DL189" s="1241"/>
      <c r="DM189" s="1241"/>
    </row>
    <row r="190" spans="1:117" s="1302" customFormat="1" ht="15">
      <c r="A190" s="1241"/>
      <c r="B190" s="1263"/>
      <c r="C190" s="1211"/>
      <c r="D190" s="1211" t="s">
        <v>4236</v>
      </c>
      <c r="E190" s="1268" t="s">
        <v>4198</v>
      </c>
      <c r="F190" s="1372"/>
      <c r="G190" s="1373">
        <v>2E-3</v>
      </c>
      <c r="H190" s="1374">
        <v>0</v>
      </c>
      <c r="I190" s="1373">
        <v>0.05</v>
      </c>
      <c r="J190" s="1375">
        <v>6.0000000000000005E-2</v>
      </c>
      <c r="K190" s="1375">
        <v>7.0000000000000007E-2</v>
      </c>
      <c r="L190" s="1375">
        <v>0.08</v>
      </c>
      <c r="M190" s="1375">
        <v>0.09</v>
      </c>
      <c r="N190" s="1373">
        <v>0.1</v>
      </c>
      <c r="O190" s="1375">
        <v>6.6000000000000003E-2</v>
      </c>
      <c r="P190" s="1241"/>
      <c r="Q190" s="1241"/>
      <c r="R190" s="1241"/>
      <c r="S190" s="1241"/>
      <c r="T190" s="1241"/>
      <c r="U190" s="1241"/>
      <c r="V190" s="1241"/>
      <c r="W190" s="1241"/>
      <c r="X190" s="1241"/>
      <c r="Y190" s="1241"/>
      <c r="Z190" s="1241"/>
      <c r="AA190" s="1241"/>
      <c r="AB190" s="1241"/>
      <c r="AC190" s="1241"/>
      <c r="AD190" s="1241"/>
      <c r="AE190" s="1241"/>
      <c r="AF190" s="1241"/>
      <c r="AG190" s="1241"/>
      <c r="AH190" s="1241"/>
      <c r="AI190" s="1241"/>
      <c r="AJ190" s="1241"/>
      <c r="AK190" s="1241"/>
      <c r="AL190" s="1241"/>
      <c r="AM190" s="1241"/>
      <c r="AN190" s="1241"/>
      <c r="AO190" s="1241"/>
      <c r="AP190" s="1241"/>
      <c r="AQ190" s="1241"/>
      <c r="AR190" s="1241"/>
      <c r="AS190" s="1241"/>
      <c r="AT190" s="1241"/>
      <c r="AU190" s="1241"/>
      <c r="AV190" s="1241"/>
      <c r="AW190" s="1241"/>
      <c r="AX190" s="1241"/>
      <c r="AY190" s="1241"/>
      <c r="AZ190" s="1241"/>
      <c r="BA190" s="1241"/>
      <c r="BB190" s="1241"/>
      <c r="BC190" s="1241"/>
      <c r="BD190" s="1241"/>
      <c r="BE190" s="1241"/>
      <c r="BF190" s="1241"/>
      <c r="BG190" s="1241"/>
      <c r="BH190" s="1241"/>
      <c r="BI190" s="1241"/>
      <c r="BJ190" s="1241"/>
      <c r="BK190" s="1241"/>
      <c r="BL190" s="1241"/>
      <c r="BM190" s="1241"/>
      <c r="BN190" s="1241"/>
      <c r="BO190" s="1241"/>
      <c r="BP190" s="1241"/>
      <c r="BQ190" s="1241"/>
      <c r="BR190" s="1241"/>
      <c r="BS190" s="1241"/>
      <c r="BT190" s="1241"/>
      <c r="BU190" s="1241"/>
      <c r="BV190" s="1241"/>
      <c r="BW190" s="1241"/>
      <c r="BX190" s="1241"/>
      <c r="BY190" s="1241"/>
      <c r="BZ190" s="1241"/>
      <c r="CA190" s="1241"/>
      <c r="CB190" s="1241"/>
      <c r="CC190" s="1241"/>
      <c r="CD190" s="1241"/>
      <c r="CE190" s="1241"/>
      <c r="CF190" s="1241"/>
      <c r="CG190" s="1241"/>
      <c r="CH190" s="1241"/>
      <c r="CI190" s="1241"/>
      <c r="CJ190" s="1241"/>
      <c r="CK190" s="1241"/>
      <c r="CL190" s="1241"/>
      <c r="CM190" s="1241"/>
      <c r="CN190" s="1241"/>
      <c r="CO190" s="1241"/>
      <c r="CP190" s="1241"/>
      <c r="CQ190" s="1241"/>
      <c r="CR190" s="1241"/>
      <c r="CS190" s="1241"/>
      <c r="CT190" s="1241"/>
      <c r="CU190" s="1241"/>
      <c r="CV190" s="1241"/>
      <c r="CW190" s="1241"/>
      <c r="CX190" s="1241"/>
      <c r="CY190" s="1241"/>
      <c r="CZ190" s="1241"/>
      <c r="DA190" s="1241"/>
      <c r="DB190" s="1241"/>
      <c r="DC190" s="1241"/>
      <c r="DD190" s="1241"/>
      <c r="DE190" s="1241"/>
      <c r="DF190" s="1241"/>
      <c r="DG190" s="1241"/>
      <c r="DH190" s="1241"/>
      <c r="DI190" s="1241"/>
      <c r="DJ190" s="1241"/>
      <c r="DK190" s="1241"/>
      <c r="DL190" s="1241"/>
      <c r="DM190" s="1241"/>
    </row>
    <row r="191" spans="1:117" s="1302" customFormat="1" ht="15">
      <c r="A191" s="1241"/>
      <c r="B191" s="1263"/>
      <c r="C191" s="1211"/>
      <c r="D191" s="1211" t="s">
        <v>4236</v>
      </c>
      <c r="E191" s="1268" t="s">
        <v>4199</v>
      </c>
      <c r="F191" s="1372"/>
      <c r="G191" s="1373">
        <v>8.0000000000000002E-3</v>
      </c>
      <c r="H191" s="1374">
        <v>0</v>
      </c>
      <c r="I191" s="1374">
        <v>0.05</v>
      </c>
      <c r="J191" s="1375">
        <v>0.09</v>
      </c>
      <c r="K191" s="1375">
        <v>0.13</v>
      </c>
      <c r="L191" s="1375">
        <v>0.16999999999999998</v>
      </c>
      <c r="M191" s="1375">
        <v>0.21000000000000002</v>
      </c>
      <c r="N191" s="1373">
        <v>0.25</v>
      </c>
      <c r="O191" s="1375">
        <v>0.114</v>
      </c>
      <c r="P191" s="1241"/>
      <c r="Q191" s="1241"/>
      <c r="R191" s="1241"/>
      <c r="S191" s="1241"/>
      <c r="T191" s="1241"/>
      <c r="U191" s="1241"/>
      <c r="V191" s="1241"/>
      <c r="W191" s="1241"/>
      <c r="X191" s="1241"/>
      <c r="Y191" s="1241"/>
      <c r="Z191" s="1241"/>
      <c r="AA191" s="1241"/>
      <c r="AB191" s="1241"/>
      <c r="AC191" s="1241"/>
      <c r="AD191" s="1241"/>
      <c r="AE191" s="1241"/>
      <c r="AF191" s="1241"/>
      <c r="AG191" s="1241"/>
      <c r="AH191" s="1241"/>
      <c r="AI191" s="1241"/>
      <c r="AJ191" s="1241"/>
      <c r="AK191" s="1241"/>
      <c r="AL191" s="1241"/>
      <c r="AM191" s="1241"/>
      <c r="AN191" s="1241"/>
      <c r="AO191" s="1241"/>
      <c r="AP191" s="1241"/>
      <c r="AQ191" s="1241"/>
      <c r="AR191" s="1241"/>
      <c r="AS191" s="1241"/>
      <c r="AT191" s="1241"/>
      <c r="AU191" s="1241"/>
      <c r="AV191" s="1241"/>
      <c r="AW191" s="1241"/>
      <c r="AX191" s="1241"/>
      <c r="AY191" s="1241"/>
      <c r="AZ191" s="1241"/>
      <c r="BA191" s="1241"/>
      <c r="BB191" s="1241"/>
      <c r="BC191" s="1241"/>
      <c r="BD191" s="1241"/>
      <c r="BE191" s="1241"/>
      <c r="BF191" s="1241"/>
      <c r="BG191" s="1241"/>
      <c r="BH191" s="1241"/>
      <c r="BI191" s="1241"/>
      <c r="BJ191" s="1241"/>
      <c r="BK191" s="1241"/>
      <c r="BL191" s="1241"/>
      <c r="BM191" s="1241"/>
      <c r="BN191" s="1241"/>
      <c r="BO191" s="1241"/>
      <c r="BP191" s="1241"/>
      <c r="BQ191" s="1241"/>
      <c r="BR191" s="1241"/>
      <c r="BS191" s="1241"/>
      <c r="BT191" s="1241"/>
      <c r="BU191" s="1241"/>
      <c r="BV191" s="1241"/>
      <c r="BW191" s="1241"/>
      <c r="BX191" s="1241"/>
      <c r="BY191" s="1241"/>
      <c r="BZ191" s="1241"/>
      <c r="CA191" s="1241"/>
      <c r="CB191" s="1241"/>
      <c r="CC191" s="1241"/>
      <c r="CD191" s="1241"/>
      <c r="CE191" s="1241"/>
      <c r="CF191" s="1241"/>
      <c r="CG191" s="1241"/>
      <c r="CH191" s="1241"/>
      <c r="CI191" s="1241"/>
      <c r="CJ191" s="1241"/>
      <c r="CK191" s="1241"/>
      <c r="CL191" s="1241"/>
      <c r="CM191" s="1241"/>
      <c r="CN191" s="1241"/>
      <c r="CO191" s="1241"/>
      <c r="CP191" s="1241"/>
      <c r="CQ191" s="1241"/>
      <c r="CR191" s="1241"/>
      <c r="CS191" s="1241"/>
      <c r="CT191" s="1241"/>
      <c r="CU191" s="1241"/>
      <c r="CV191" s="1241"/>
      <c r="CW191" s="1241"/>
      <c r="CX191" s="1241"/>
      <c r="CY191" s="1241"/>
      <c r="CZ191" s="1241"/>
      <c r="DA191" s="1241"/>
      <c r="DB191" s="1241"/>
      <c r="DC191" s="1241"/>
      <c r="DD191" s="1241"/>
      <c r="DE191" s="1241"/>
      <c r="DF191" s="1241"/>
      <c r="DG191" s="1241"/>
      <c r="DH191" s="1241"/>
      <c r="DI191" s="1241"/>
      <c r="DJ191" s="1241"/>
      <c r="DK191" s="1241"/>
      <c r="DL191" s="1241"/>
      <c r="DM191" s="1241"/>
    </row>
    <row r="192" spans="1:117" s="1302" customFormat="1" ht="15">
      <c r="A192" s="1241"/>
      <c r="B192" s="1263"/>
      <c r="C192" s="1211"/>
      <c r="D192" s="1211" t="s">
        <v>4236</v>
      </c>
      <c r="E192" s="1268" t="s">
        <v>4200</v>
      </c>
      <c r="F192" s="1372"/>
      <c r="G192" s="1373">
        <v>0.01</v>
      </c>
      <c r="H192" s="1374">
        <v>0</v>
      </c>
      <c r="I192" s="1373">
        <v>0.05</v>
      </c>
      <c r="J192" s="1375">
        <v>0.1</v>
      </c>
      <c r="K192" s="1375">
        <v>0.15000000000000002</v>
      </c>
      <c r="L192" s="1375">
        <v>0.2</v>
      </c>
      <c r="M192" s="1375">
        <v>0.25</v>
      </c>
      <c r="N192" s="1373">
        <v>0.3</v>
      </c>
      <c r="O192" s="1375">
        <v>0.13</v>
      </c>
      <c r="P192" s="1241"/>
      <c r="Q192" s="1241"/>
      <c r="R192" s="1241"/>
      <c r="S192" s="1241"/>
      <c r="T192" s="1241"/>
      <c r="U192" s="1241"/>
      <c r="V192" s="1241"/>
      <c r="W192" s="1241"/>
      <c r="X192" s="1241"/>
      <c r="Y192" s="1241"/>
      <c r="Z192" s="1241"/>
      <c r="AA192" s="1241"/>
      <c r="AB192" s="1241"/>
      <c r="AC192" s="1241"/>
      <c r="AD192" s="1241"/>
      <c r="AE192" s="1241"/>
      <c r="AF192" s="1241"/>
      <c r="AG192" s="1241"/>
      <c r="AH192" s="1241"/>
      <c r="AI192" s="1241"/>
      <c r="AJ192" s="1241"/>
      <c r="AK192" s="1241"/>
      <c r="AL192" s="1241"/>
      <c r="AM192" s="1241"/>
      <c r="AN192" s="1241"/>
      <c r="AO192" s="1241"/>
      <c r="AP192" s="1241"/>
      <c r="AQ192" s="1241"/>
      <c r="AR192" s="1241"/>
      <c r="AS192" s="1241"/>
      <c r="AT192" s="1241"/>
      <c r="AU192" s="1241"/>
      <c r="AV192" s="1241"/>
      <c r="AW192" s="1241"/>
      <c r="AX192" s="1241"/>
      <c r="AY192" s="1241"/>
      <c r="AZ192" s="1241"/>
      <c r="BA192" s="1241"/>
      <c r="BB192" s="1241"/>
      <c r="BC192" s="1241"/>
      <c r="BD192" s="1241"/>
      <c r="BE192" s="1241"/>
      <c r="BF192" s="1241"/>
      <c r="BG192" s="1241"/>
      <c r="BH192" s="1241"/>
      <c r="BI192" s="1241"/>
      <c r="BJ192" s="1241"/>
      <c r="BK192" s="1241"/>
      <c r="BL192" s="1241"/>
      <c r="BM192" s="1241"/>
      <c r="BN192" s="1241"/>
      <c r="BO192" s="1241"/>
      <c r="BP192" s="1241"/>
      <c r="BQ192" s="1241"/>
      <c r="BR192" s="1241"/>
      <c r="BS192" s="1241"/>
      <c r="BT192" s="1241"/>
      <c r="BU192" s="1241"/>
      <c r="BV192" s="1241"/>
      <c r="BW192" s="1241"/>
      <c r="BX192" s="1241"/>
      <c r="BY192" s="1241"/>
      <c r="BZ192" s="1241"/>
      <c r="CA192" s="1241"/>
      <c r="CB192" s="1241"/>
      <c r="CC192" s="1241"/>
      <c r="CD192" s="1241"/>
      <c r="CE192" s="1241"/>
      <c r="CF192" s="1241"/>
      <c r="CG192" s="1241"/>
      <c r="CH192" s="1241"/>
      <c r="CI192" s="1241"/>
      <c r="CJ192" s="1241"/>
      <c r="CK192" s="1241"/>
      <c r="CL192" s="1241"/>
      <c r="CM192" s="1241"/>
      <c r="CN192" s="1241"/>
      <c r="CO192" s="1241"/>
      <c r="CP192" s="1241"/>
      <c r="CQ192" s="1241"/>
      <c r="CR192" s="1241"/>
      <c r="CS192" s="1241"/>
      <c r="CT192" s="1241"/>
      <c r="CU192" s="1241"/>
      <c r="CV192" s="1241"/>
      <c r="CW192" s="1241"/>
      <c r="CX192" s="1241"/>
      <c r="CY192" s="1241"/>
      <c r="CZ192" s="1241"/>
      <c r="DA192" s="1241"/>
      <c r="DB192" s="1241"/>
      <c r="DC192" s="1241"/>
      <c r="DD192" s="1241"/>
      <c r="DE192" s="1241"/>
      <c r="DF192" s="1241"/>
      <c r="DG192" s="1241"/>
      <c r="DH192" s="1241"/>
      <c r="DI192" s="1241"/>
      <c r="DJ192" s="1241"/>
      <c r="DK192" s="1241"/>
      <c r="DL192" s="1241"/>
      <c r="DM192" s="1241"/>
    </row>
    <row r="193" spans="1:117" s="1302" customFormat="1" ht="15">
      <c r="A193" s="1241"/>
      <c r="B193" s="1263"/>
      <c r="C193" s="1211"/>
      <c r="D193" s="1290" t="s">
        <v>4161</v>
      </c>
      <c r="E193" s="1272"/>
      <c r="F193" s="1376"/>
      <c r="G193" s="1377"/>
      <c r="H193" s="1377">
        <v>0</v>
      </c>
      <c r="I193" s="1377">
        <v>0</v>
      </c>
      <c r="J193" s="1377">
        <v>0</v>
      </c>
      <c r="K193" s="1377">
        <v>0</v>
      </c>
      <c r="L193" s="1377">
        <v>0</v>
      </c>
      <c r="M193" s="1377">
        <v>0</v>
      </c>
      <c r="N193" s="1377">
        <v>0</v>
      </c>
      <c r="O193" s="1377">
        <v>0</v>
      </c>
      <c r="P193" s="1241"/>
      <c r="Q193" s="1241"/>
      <c r="R193" s="1241"/>
      <c r="S193" s="1241"/>
      <c r="T193" s="1241"/>
      <c r="U193" s="1241"/>
      <c r="V193" s="1241"/>
      <c r="W193" s="1241"/>
      <c r="X193" s="1241"/>
      <c r="Y193" s="1241"/>
      <c r="Z193" s="1241"/>
      <c r="AA193" s="1241"/>
      <c r="AB193" s="1241"/>
      <c r="AC193" s="1241"/>
      <c r="AD193" s="1241"/>
      <c r="AE193" s="1241"/>
      <c r="AF193" s="1241"/>
      <c r="AG193" s="1241"/>
      <c r="AH193" s="1241"/>
      <c r="AI193" s="1241"/>
      <c r="AJ193" s="1241"/>
      <c r="AK193" s="1241"/>
      <c r="AL193" s="1241"/>
      <c r="AM193" s="1241"/>
      <c r="AN193" s="1241"/>
      <c r="AO193" s="1241"/>
      <c r="AP193" s="1241"/>
      <c r="AQ193" s="1241"/>
      <c r="AR193" s="1241"/>
      <c r="AS193" s="1241"/>
      <c r="AT193" s="1241"/>
      <c r="AU193" s="1241"/>
      <c r="AV193" s="1241"/>
      <c r="AW193" s="1241"/>
      <c r="AX193" s="1241"/>
      <c r="AY193" s="1241"/>
      <c r="AZ193" s="1241"/>
      <c r="BA193" s="1241"/>
      <c r="BB193" s="1241"/>
      <c r="BC193" s="1241"/>
      <c r="BD193" s="1241"/>
      <c r="BE193" s="1241"/>
      <c r="BF193" s="1241"/>
      <c r="BG193" s="1241"/>
      <c r="BH193" s="1241"/>
      <c r="BI193" s="1241"/>
      <c r="BJ193" s="1241"/>
      <c r="BK193" s="1241"/>
      <c r="BL193" s="1241"/>
      <c r="BM193" s="1241"/>
      <c r="BN193" s="1241"/>
      <c r="BO193" s="1241"/>
      <c r="BP193" s="1241"/>
      <c r="BQ193" s="1241"/>
      <c r="BR193" s="1241"/>
      <c r="BS193" s="1241"/>
      <c r="BT193" s="1241"/>
      <c r="BU193" s="1241"/>
      <c r="BV193" s="1241"/>
      <c r="BW193" s="1241"/>
      <c r="BX193" s="1241"/>
      <c r="BY193" s="1241"/>
      <c r="BZ193" s="1241"/>
      <c r="CA193" s="1241"/>
      <c r="CB193" s="1241"/>
      <c r="CC193" s="1241"/>
      <c r="CD193" s="1241"/>
      <c r="CE193" s="1241"/>
      <c r="CF193" s="1241"/>
      <c r="CG193" s="1241"/>
      <c r="CH193" s="1241"/>
      <c r="CI193" s="1241"/>
      <c r="CJ193" s="1241"/>
      <c r="CK193" s="1241"/>
      <c r="CL193" s="1241"/>
      <c r="CM193" s="1241"/>
      <c r="CN193" s="1241"/>
      <c r="CO193" s="1241"/>
      <c r="CP193" s="1241"/>
      <c r="CQ193" s="1241"/>
      <c r="CR193" s="1241"/>
      <c r="CS193" s="1241"/>
      <c r="CT193" s="1241"/>
      <c r="CU193" s="1241"/>
      <c r="CV193" s="1241"/>
      <c r="CW193" s="1241"/>
      <c r="CX193" s="1241"/>
      <c r="CY193" s="1241"/>
      <c r="CZ193" s="1241"/>
      <c r="DA193" s="1241"/>
      <c r="DB193" s="1241"/>
      <c r="DC193" s="1241"/>
      <c r="DD193" s="1241"/>
      <c r="DE193" s="1241"/>
      <c r="DF193" s="1241"/>
      <c r="DG193" s="1241"/>
      <c r="DH193" s="1241"/>
      <c r="DI193" s="1241"/>
      <c r="DJ193" s="1241"/>
      <c r="DK193" s="1241"/>
      <c r="DL193" s="1241"/>
      <c r="DM193" s="1241"/>
    </row>
    <row r="194" spans="1:117" s="1302" customFormat="1" ht="15">
      <c r="A194" s="1241"/>
      <c r="B194" s="1263"/>
      <c r="C194" s="1290"/>
      <c r="D194" s="1201" t="s">
        <v>4236</v>
      </c>
      <c r="E194" s="1272" t="s">
        <v>4238</v>
      </c>
      <c r="F194" s="1376"/>
      <c r="G194" s="1378"/>
      <c r="H194" s="1377">
        <v>0</v>
      </c>
      <c r="I194" s="1377">
        <v>0.05</v>
      </c>
      <c r="J194" s="1377">
        <v>6.0000000000000005E-2</v>
      </c>
      <c r="K194" s="1377">
        <v>7.0000000000000007E-2</v>
      </c>
      <c r="L194" s="1377">
        <v>0.08</v>
      </c>
      <c r="M194" s="1377">
        <v>0.09</v>
      </c>
      <c r="N194" s="1377">
        <v>0.1</v>
      </c>
      <c r="O194" s="1377">
        <v>6.6000000000000003E-2</v>
      </c>
      <c r="P194" s="1241"/>
      <c r="Q194" s="1241"/>
      <c r="R194" s="1241"/>
      <c r="S194" s="1241"/>
      <c r="T194" s="1241"/>
      <c r="U194" s="1241"/>
      <c r="V194" s="1241"/>
      <c r="W194" s="1241"/>
      <c r="X194" s="1241"/>
      <c r="Y194" s="1241"/>
      <c r="Z194" s="1241"/>
      <c r="AA194" s="1241"/>
      <c r="AB194" s="1241"/>
      <c r="AC194" s="1241"/>
      <c r="AD194" s="1241"/>
      <c r="AE194" s="1241"/>
      <c r="AF194" s="1241"/>
      <c r="AG194" s="1241"/>
      <c r="AH194" s="1241"/>
      <c r="AI194" s="1241"/>
      <c r="AJ194" s="1241"/>
      <c r="AK194" s="1241"/>
      <c r="AL194" s="1241"/>
      <c r="AM194" s="1241"/>
      <c r="AN194" s="1241"/>
      <c r="AO194" s="1241"/>
      <c r="AP194" s="1241"/>
      <c r="AQ194" s="1241"/>
      <c r="AR194" s="1241"/>
      <c r="AS194" s="1241"/>
      <c r="AT194" s="1241"/>
      <c r="AU194" s="1241"/>
      <c r="AV194" s="1241"/>
      <c r="AW194" s="1241"/>
      <c r="AX194" s="1241"/>
      <c r="AY194" s="1241"/>
      <c r="AZ194" s="1241"/>
      <c r="BA194" s="1241"/>
      <c r="BB194" s="1241"/>
      <c r="BC194" s="1241"/>
      <c r="BD194" s="1241"/>
      <c r="BE194" s="1241"/>
      <c r="BF194" s="1241"/>
      <c r="BG194" s="1241"/>
      <c r="BH194" s="1241"/>
      <c r="BI194" s="1241"/>
      <c r="BJ194" s="1241"/>
      <c r="BK194" s="1241"/>
      <c r="BL194" s="1241"/>
      <c r="BM194" s="1241"/>
      <c r="BN194" s="1241"/>
      <c r="BO194" s="1241"/>
      <c r="BP194" s="1241"/>
      <c r="BQ194" s="1241"/>
      <c r="BR194" s="1241"/>
      <c r="BS194" s="1241"/>
      <c r="BT194" s="1241"/>
      <c r="BU194" s="1241"/>
      <c r="BV194" s="1241"/>
      <c r="BW194" s="1241"/>
      <c r="BX194" s="1241"/>
      <c r="BY194" s="1241"/>
      <c r="BZ194" s="1241"/>
      <c r="CA194" s="1241"/>
      <c r="CB194" s="1241"/>
      <c r="CC194" s="1241"/>
      <c r="CD194" s="1241"/>
      <c r="CE194" s="1241"/>
      <c r="CF194" s="1241"/>
      <c r="CG194" s="1241"/>
      <c r="CH194" s="1241"/>
      <c r="CI194" s="1241"/>
      <c r="CJ194" s="1241"/>
      <c r="CK194" s="1241"/>
      <c r="CL194" s="1241"/>
      <c r="CM194" s="1241"/>
      <c r="CN194" s="1241"/>
      <c r="CO194" s="1241"/>
      <c r="CP194" s="1241"/>
      <c r="CQ194" s="1241"/>
      <c r="CR194" s="1241"/>
      <c r="CS194" s="1241"/>
      <c r="CT194" s="1241"/>
      <c r="CU194" s="1241"/>
      <c r="CV194" s="1241"/>
      <c r="CW194" s="1241"/>
      <c r="CX194" s="1241"/>
      <c r="CY194" s="1241"/>
      <c r="CZ194" s="1241"/>
      <c r="DA194" s="1241"/>
      <c r="DB194" s="1241"/>
      <c r="DC194" s="1241"/>
      <c r="DD194" s="1241"/>
      <c r="DE194" s="1241"/>
      <c r="DF194" s="1241"/>
      <c r="DG194" s="1241"/>
      <c r="DH194" s="1241"/>
      <c r="DI194" s="1241"/>
      <c r="DJ194" s="1241"/>
      <c r="DK194" s="1241"/>
      <c r="DL194" s="1241"/>
      <c r="DM194" s="1241"/>
    </row>
    <row r="195" spans="1:117" s="1302" customFormat="1">
      <c r="A195" s="1241"/>
      <c r="B195" s="1263"/>
      <c r="C195" s="1209"/>
      <c r="D195" s="1211"/>
      <c r="E195" s="1362"/>
      <c r="F195" s="1369"/>
      <c r="G195" s="1379"/>
      <c r="H195" s="1380"/>
      <c r="I195" s="899"/>
      <c r="J195" s="1370"/>
      <c r="K195" s="899"/>
      <c r="L195" s="1370"/>
      <c r="M195" s="899"/>
      <c r="N195" s="1370"/>
      <c r="O195" s="1371"/>
      <c r="P195" s="1241"/>
      <c r="Q195" s="1241"/>
      <c r="R195" s="1241"/>
      <c r="S195" s="1241"/>
      <c r="T195" s="1241"/>
      <c r="U195" s="1241"/>
      <c r="V195" s="1241"/>
      <c r="W195" s="1241"/>
      <c r="X195" s="1241"/>
      <c r="Y195" s="1241"/>
      <c r="Z195" s="1241"/>
      <c r="AA195" s="1241"/>
      <c r="AB195" s="1241"/>
      <c r="AC195" s="1241"/>
      <c r="AD195" s="1241"/>
      <c r="AE195" s="1241"/>
      <c r="AF195" s="1241"/>
      <c r="AG195" s="1241"/>
      <c r="AH195" s="1241"/>
      <c r="AI195" s="1241"/>
      <c r="AJ195" s="1241"/>
      <c r="AK195" s="1241"/>
      <c r="AL195" s="1241"/>
      <c r="AM195" s="1241"/>
      <c r="AN195" s="1241"/>
      <c r="AO195" s="1241"/>
      <c r="AP195" s="1241"/>
      <c r="AQ195" s="1241"/>
      <c r="AR195" s="1241"/>
      <c r="AS195" s="1241"/>
      <c r="AT195" s="1241"/>
      <c r="AU195" s="1241"/>
      <c r="AV195" s="1241"/>
      <c r="AW195" s="1241"/>
      <c r="AX195" s="1241"/>
      <c r="AY195" s="1241"/>
      <c r="AZ195" s="1241"/>
      <c r="BA195" s="1241"/>
      <c r="BB195" s="1241"/>
      <c r="BC195" s="1241"/>
      <c r="BD195" s="1241"/>
      <c r="BE195" s="1241"/>
      <c r="BF195" s="1241"/>
      <c r="BG195" s="1241"/>
      <c r="BH195" s="1241"/>
      <c r="BI195" s="1241"/>
      <c r="BJ195" s="1241"/>
      <c r="BK195" s="1241"/>
      <c r="BL195" s="1241"/>
      <c r="BM195" s="1241"/>
      <c r="BN195" s="1241"/>
      <c r="BO195" s="1241"/>
      <c r="BP195" s="1241"/>
      <c r="BQ195" s="1241"/>
      <c r="BR195" s="1241"/>
      <c r="BS195" s="1241"/>
      <c r="BT195" s="1241"/>
      <c r="BU195" s="1241"/>
      <c r="BV195" s="1241"/>
      <c r="BW195" s="1241"/>
      <c r="BX195" s="1241"/>
      <c r="BY195" s="1241"/>
      <c r="BZ195" s="1241"/>
      <c r="CA195" s="1241"/>
      <c r="CB195" s="1241"/>
      <c r="CC195" s="1241"/>
      <c r="CD195" s="1241"/>
      <c r="CE195" s="1241"/>
      <c r="CF195" s="1241"/>
      <c r="CG195" s="1241"/>
      <c r="CH195" s="1241"/>
      <c r="CI195" s="1241"/>
      <c r="CJ195" s="1241"/>
      <c r="CK195" s="1241"/>
      <c r="CL195" s="1241"/>
      <c r="CM195" s="1241"/>
      <c r="CN195" s="1241"/>
      <c r="CO195" s="1241"/>
      <c r="CP195" s="1241"/>
      <c r="CQ195" s="1241"/>
      <c r="CR195" s="1241"/>
      <c r="CS195" s="1241"/>
      <c r="CT195" s="1241"/>
      <c r="CU195" s="1241"/>
      <c r="CV195" s="1241"/>
      <c r="CW195" s="1241"/>
      <c r="CX195" s="1241"/>
      <c r="CY195" s="1241"/>
      <c r="CZ195" s="1241"/>
      <c r="DA195" s="1241"/>
      <c r="DB195" s="1241"/>
      <c r="DC195" s="1241"/>
      <c r="DD195" s="1241"/>
      <c r="DE195" s="1241"/>
      <c r="DF195" s="1241"/>
      <c r="DG195" s="1241"/>
      <c r="DH195" s="1241"/>
      <c r="DI195" s="1241"/>
      <c r="DJ195" s="1241"/>
      <c r="DK195" s="1241"/>
      <c r="DL195" s="1241"/>
      <c r="DM195" s="1241"/>
    </row>
    <row r="196" spans="1:117" s="1302" customFormat="1">
      <c r="A196" s="1241"/>
      <c r="B196" s="1263"/>
      <c r="C196" s="2208" t="s">
        <v>4239</v>
      </c>
      <c r="D196" s="2208"/>
      <c r="E196" s="1263"/>
      <c r="F196" s="1263"/>
      <c r="G196" s="1220"/>
      <c r="H196" s="1220"/>
      <c r="I196" s="1220"/>
      <c r="J196" s="1220"/>
      <c r="K196" s="1220"/>
      <c r="L196" s="1220"/>
      <c r="M196" s="1220"/>
      <c r="N196" s="1220"/>
      <c r="O196" s="1263"/>
      <c r="P196" s="1241"/>
      <c r="Q196" s="1241"/>
      <c r="R196" s="1241"/>
      <c r="S196" s="1241"/>
      <c r="T196" s="1241"/>
      <c r="U196" s="1241"/>
      <c r="V196" s="1241"/>
      <c r="W196" s="1241"/>
      <c r="X196" s="1241"/>
      <c r="Y196" s="1241"/>
      <c r="Z196" s="1241"/>
      <c r="AA196" s="1241"/>
      <c r="AB196" s="1241"/>
      <c r="AC196" s="1241"/>
      <c r="AD196" s="1241"/>
      <c r="AE196" s="1241"/>
      <c r="AF196" s="1241"/>
      <c r="AG196" s="1241"/>
      <c r="AH196" s="1241"/>
      <c r="AI196" s="1241"/>
      <c r="AJ196" s="1241"/>
      <c r="AK196" s="1241"/>
      <c r="AL196" s="1241"/>
      <c r="AM196" s="1241"/>
      <c r="AN196" s="1241"/>
      <c r="AO196" s="1241"/>
      <c r="AP196" s="1241"/>
      <c r="AQ196" s="1241"/>
      <c r="AR196" s="1241"/>
      <c r="AS196" s="1241"/>
      <c r="AT196" s="1241"/>
      <c r="AU196" s="1241"/>
      <c r="AV196" s="1241"/>
      <c r="AW196" s="1241"/>
      <c r="AX196" s="1241"/>
      <c r="AY196" s="1241"/>
      <c r="AZ196" s="1241"/>
      <c r="BA196" s="1241"/>
      <c r="BB196" s="1241"/>
      <c r="BC196" s="1241"/>
      <c r="BD196" s="1241"/>
      <c r="BE196" s="1241"/>
      <c r="BF196" s="1241"/>
      <c r="BG196" s="1241"/>
      <c r="BH196" s="1241"/>
      <c r="BI196" s="1241"/>
      <c r="BJ196" s="1241"/>
      <c r="BK196" s="1241"/>
      <c r="BL196" s="1241"/>
      <c r="BM196" s="1241"/>
      <c r="BN196" s="1241"/>
      <c r="BO196" s="1241"/>
      <c r="BP196" s="1241"/>
      <c r="BQ196" s="1241"/>
      <c r="BR196" s="1241"/>
      <c r="BS196" s="1241"/>
      <c r="BT196" s="1241"/>
      <c r="BU196" s="1241"/>
      <c r="BV196" s="1241"/>
      <c r="BW196" s="1241"/>
      <c r="BX196" s="1241"/>
      <c r="BY196" s="1241"/>
      <c r="BZ196" s="1241"/>
      <c r="CA196" s="1241"/>
      <c r="CB196" s="1241"/>
      <c r="CC196" s="1241"/>
      <c r="CD196" s="1241"/>
      <c r="CE196" s="1241"/>
      <c r="CF196" s="1241"/>
      <c r="CG196" s="1241"/>
      <c r="CH196" s="1241"/>
      <c r="CI196" s="1241"/>
      <c r="CJ196" s="1241"/>
      <c r="CK196" s="1241"/>
      <c r="CL196" s="1241"/>
      <c r="CM196" s="1241"/>
      <c r="CN196" s="1241"/>
      <c r="CO196" s="1241"/>
      <c r="CP196" s="1241"/>
      <c r="CQ196" s="1241"/>
      <c r="CR196" s="1241"/>
      <c r="CS196" s="1241"/>
      <c r="CT196" s="1241"/>
      <c r="CU196" s="1241"/>
      <c r="CV196" s="1241"/>
      <c r="CW196" s="1241"/>
      <c r="CX196" s="1241"/>
      <c r="CY196" s="1241"/>
      <c r="CZ196" s="1241"/>
      <c r="DA196" s="1241"/>
      <c r="DB196" s="1241"/>
      <c r="DC196" s="1241"/>
      <c r="DD196" s="1241"/>
      <c r="DE196" s="1241"/>
      <c r="DF196" s="1241"/>
      <c r="DG196" s="1241"/>
      <c r="DH196" s="1241"/>
      <c r="DI196" s="1241"/>
      <c r="DJ196" s="1241"/>
      <c r="DK196" s="1241"/>
      <c r="DL196" s="1241"/>
      <c r="DM196" s="1241"/>
    </row>
    <row r="197" spans="1:117" s="1302" customFormat="1">
      <c r="A197" s="1241"/>
      <c r="B197" s="1263"/>
      <c r="C197" s="1263"/>
      <c r="D197" s="1263"/>
      <c r="E197" s="1263"/>
      <c r="F197" s="1263"/>
      <c r="G197" s="1220"/>
      <c r="H197" s="1220"/>
      <c r="I197" s="1220"/>
      <c r="J197" s="1220"/>
      <c r="K197" s="1220"/>
      <c r="L197" s="1220"/>
      <c r="M197" s="1220"/>
      <c r="N197" s="1220"/>
      <c r="O197" s="1263"/>
      <c r="P197" s="1241"/>
      <c r="Q197" s="1241"/>
      <c r="R197" s="1241"/>
      <c r="S197" s="1241"/>
      <c r="T197" s="1241"/>
      <c r="U197" s="1241"/>
      <c r="V197" s="1241"/>
      <c r="W197" s="1241"/>
      <c r="X197" s="1241"/>
      <c r="Y197" s="1241"/>
      <c r="Z197" s="1241"/>
      <c r="AA197" s="1241"/>
      <c r="AB197" s="1241"/>
      <c r="AC197" s="1241"/>
      <c r="AD197" s="1241"/>
      <c r="AE197" s="1241"/>
      <c r="AF197" s="1241"/>
      <c r="AG197" s="1241"/>
      <c r="AH197" s="1241"/>
      <c r="AI197" s="1241"/>
      <c r="AJ197" s="1241"/>
      <c r="AK197" s="1241"/>
      <c r="AL197" s="1241"/>
      <c r="AM197" s="1241"/>
      <c r="AN197" s="1241"/>
      <c r="AO197" s="1241"/>
      <c r="AP197" s="1241"/>
      <c r="AQ197" s="1241"/>
      <c r="AR197" s="1241"/>
      <c r="AS197" s="1241"/>
      <c r="AT197" s="1241"/>
      <c r="AU197" s="1241"/>
      <c r="AV197" s="1241"/>
      <c r="AW197" s="1241"/>
      <c r="AX197" s="1241"/>
      <c r="AY197" s="1241"/>
      <c r="AZ197" s="1241"/>
      <c r="BA197" s="1241"/>
      <c r="BB197" s="1241"/>
      <c r="BC197" s="1241"/>
      <c r="BD197" s="1241"/>
      <c r="BE197" s="1241"/>
      <c r="BF197" s="1241"/>
      <c r="BG197" s="1241"/>
      <c r="BH197" s="1241"/>
      <c r="BI197" s="1241"/>
      <c r="BJ197" s="1241"/>
      <c r="BK197" s="1241"/>
      <c r="BL197" s="1241"/>
      <c r="BM197" s="1241"/>
      <c r="BN197" s="1241"/>
      <c r="BO197" s="1241"/>
      <c r="BP197" s="1241"/>
      <c r="BQ197" s="1241"/>
      <c r="BR197" s="1241"/>
      <c r="BS197" s="1241"/>
      <c r="BT197" s="1241"/>
      <c r="BU197" s="1241"/>
      <c r="BV197" s="1241"/>
      <c r="BW197" s="1241"/>
      <c r="BX197" s="1241"/>
      <c r="BY197" s="1241"/>
      <c r="BZ197" s="1241"/>
      <c r="CA197" s="1241"/>
      <c r="CB197" s="1241"/>
      <c r="CC197" s="1241"/>
      <c r="CD197" s="1241"/>
      <c r="CE197" s="1241"/>
      <c r="CF197" s="1241"/>
      <c r="CG197" s="1241"/>
      <c r="CH197" s="1241"/>
      <c r="CI197" s="1241"/>
      <c r="CJ197" s="1241"/>
      <c r="CK197" s="1241"/>
      <c r="CL197" s="1241"/>
      <c r="CM197" s="1241"/>
      <c r="CN197" s="1241"/>
      <c r="CO197" s="1241"/>
      <c r="CP197" s="1241"/>
      <c r="CQ197" s="1241"/>
      <c r="CR197" s="1241"/>
      <c r="CS197" s="1241"/>
      <c r="CT197" s="1241"/>
      <c r="CU197" s="1241"/>
      <c r="CV197" s="1241"/>
      <c r="CW197" s="1241"/>
      <c r="CX197" s="1241"/>
      <c r="CY197" s="1241"/>
      <c r="CZ197" s="1241"/>
      <c r="DA197" s="1241"/>
      <c r="DB197" s="1241"/>
      <c r="DC197" s="1241"/>
      <c r="DD197" s="1241"/>
      <c r="DE197" s="1241"/>
      <c r="DF197" s="1241"/>
      <c r="DG197" s="1241"/>
      <c r="DH197" s="1241"/>
      <c r="DI197" s="1241"/>
      <c r="DJ197" s="1241"/>
      <c r="DK197" s="1241"/>
      <c r="DL197" s="1241"/>
      <c r="DM197" s="1241"/>
    </row>
    <row r="198" spans="1:117">
      <c r="B198" s="1263"/>
      <c r="C198" s="1201" t="s">
        <v>4166</v>
      </c>
      <c r="D198" s="1201" t="s">
        <v>4234</v>
      </c>
      <c r="E198" s="1201" t="s">
        <v>4235</v>
      </c>
      <c r="F198" s="1203"/>
      <c r="G198" s="1202" t="s">
        <v>4176</v>
      </c>
      <c r="H198" s="1202">
        <v>2020</v>
      </c>
      <c r="I198" s="1202">
        <v>2022</v>
      </c>
      <c r="J198" s="1202">
        <v>2027</v>
      </c>
      <c r="K198" s="1202">
        <v>2032</v>
      </c>
      <c r="L198" s="1202">
        <v>2037</v>
      </c>
      <c r="M198" s="1202">
        <v>2042</v>
      </c>
      <c r="N198" s="1202">
        <v>2047</v>
      </c>
      <c r="O198" s="1202">
        <v>2030</v>
      </c>
    </row>
    <row r="199" spans="1:117" ht="15">
      <c r="B199" s="1263"/>
      <c r="C199" s="1211"/>
      <c r="D199" s="1211" t="s">
        <v>4236</v>
      </c>
      <c r="E199" s="1268" t="s">
        <v>4237</v>
      </c>
      <c r="F199" s="1372"/>
      <c r="G199" s="1375"/>
      <c r="H199" s="1375">
        <v>0</v>
      </c>
      <c r="I199" s="1375">
        <v>0</v>
      </c>
      <c r="J199" s="1375">
        <v>0</v>
      </c>
      <c r="K199" s="1375">
        <v>0</v>
      </c>
      <c r="L199" s="1375">
        <v>0</v>
      </c>
      <c r="M199" s="1375">
        <v>0</v>
      </c>
      <c r="N199" s="1375">
        <v>0</v>
      </c>
      <c r="O199" s="1375">
        <v>0</v>
      </c>
    </row>
    <row r="200" spans="1:117" ht="15">
      <c r="B200" s="1263"/>
      <c r="C200" s="1211"/>
      <c r="D200" s="1211" t="s">
        <v>4236</v>
      </c>
      <c r="E200" s="1268" t="s">
        <v>4198</v>
      </c>
      <c r="F200" s="1372"/>
      <c r="G200" s="1373">
        <v>2E-3</v>
      </c>
      <c r="H200" s="1375">
        <v>0</v>
      </c>
      <c r="I200" s="1375">
        <v>0.05</v>
      </c>
      <c r="J200" s="1375">
        <v>6.0000000000000005E-2</v>
      </c>
      <c r="K200" s="1375">
        <v>7.0000000000000007E-2</v>
      </c>
      <c r="L200" s="1375">
        <v>0.08</v>
      </c>
      <c r="M200" s="1375">
        <v>0.09</v>
      </c>
      <c r="N200" s="1375">
        <v>0.1</v>
      </c>
      <c r="O200" s="1375">
        <v>6.6000000000000003E-2</v>
      </c>
    </row>
    <row r="201" spans="1:117" ht="15">
      <c r="B201" s="1263"/>
      <c r="C201" s="1211"/>
      <c r="D201" s="1211" t="s">
        <v>4236</v>
      </c>
      <c r="E201" s="1268" t="s">
        <v>4199</v>
      </c>
      <c r="F201" s="1372"/>
      <c r="G201" s="1373">
        <v>8.0000000000000002E-3</v>
      </c>
      <c r="H201" s="1375">
        <v>0</v>
      </c>
      <c r="I201" s="1375">
        <v>0.05</v>
      </c>
      <c r="J201" s="1375">
        <v>0.09</v>
      </c>
      <c r="K201" s="1375">
        <v>0.13</v>
      </c>
      <c r="L201" s="1375">
        <v>0.16999999999999998</v>
      </c>
      <c r="M201" s="1375">
        <v>0.21000000000000002</v>
      </c>
      <c r="N201" s="1375">
        <v>0.25</v>
      </c>
      <c r="O201" s="1375">
        <v>0.114</v>
      </c>
    </row>
    <row r="202" spans="1:117" ht="15">
      <c r="B202" s="1263"/>
      <c r="C202" s="1211"/>
      <c r="D202" s="1211" t="s">
        <v>4236</v>
      </c>
      <c r="E202" s="1268" t="s">
        <v>4200</v>
      </c>
      <c r="F202" s="1372"/>
      <c r="G202" s="1373">
        <v>0.01</v>
      </c>
      <c r="H202" s="1375">
        <v>0</v>
      </c>
      <c r="I202" s="1375">
        <v>0.05</v>
      </c>
      <c r="J202" s="1375">
        <v>0.1</v>
      </c>
      <c r="K202" s="1375">
        <v>0.15000000000000002</v>
      </c>
      <c r="L202" s="1375">
        <v>0.2</v>
      </c>
      <c r="M202" s="1375">
        <v>0.25</v>
      </c>
      <c r="N202" s="1375">
        <v>0.3</v>
      </c>
      <c r="O202" s="1375">
        <v>0.13</v>
      </c>
    </row>
    <row r="203" spans="1:117" ht="15">
      <c r="B203" s="1263"/>
      <c r="C203" s="1211"/>
      <c r="D203" s="1290" t="s">
        <v>4161</v>
      </c>
      <c r="E203" s="1272"/>
      <c r="F203" s="1376"/>
      <c r="G203" s="1377"/>
      <c r="H203" s="1381">
        <v>0</v>
      </c>
      <c r="I203" s="1381">
        <v>0</v>
      </c>
      <c r="J203" s="1381">
        <v>0</v>
      </c>
      <c r="K203" s="1381">
        <v>0</v>
      </c>
      <c r="L203" s="1381">
        <v>0</v>
      </c>
      <c r="M203" s="1381">
        <v>0</v>
      </c>
      <c r="N203" s="1381">
        <v>0</v>
      </c>
      <c r="O203" s="1381">
        <v>0</v>
      </c>
    </row>
    <row r="204" spans="1:117" ht="15">
      <c r="B204" s="1263"/>
      <c r="C204" s="1382"/>
      <c r="D204" s="1383" t="s">
        <v>4236</v>
      </c>
      <c r="E204" s="1384" t="s">
        <v>4238</v>
      </c>
      <c r="F204" s="1385"/>
      <c r="G204" s="1386"/>
      <c r="H204" s="1387">
        <v>0</v>
      </c>
      <c r="I204" s="1387">
        <v>0.05</v>
      </c>
      <c r="J204" s="1387">
        <v>6.0000000000000005E-2</v>
      </c>
      <c r="K204" s="1387">
        <v>7.0000000000000007E-2</v>
      </c>
      <c r="L204" s="1387">
        <v>0.08</v>
      </c>
      <c r="M204" s="1387">
        <v>0.09</v>
      </c>
      <c r="N204" s="1387">
        <v>0.1</v>
      </c>
      <c r="O204" s="1387">
        <v>6.6000000000000003E-2</v>
      </c>
    </row>
    <row r="205" spans="1:117">
      <c r="B205" s="1263"/>
      <c r="C205" s="1209"/>
      <c r="D205" s="1211"/>
      <c r="E205" s="1362"/>
      <c r="F205" s="1369"/>
      <c r="G205" s="899"/>
      <c r="H205" s="1370"/>
      <c r="I205" s="899"/>
      <c r="J205" s="1370"/>
      <c r="K205" s="899"/>
      <c r="L205" s="1370"/>
      <c r="M205" s="899"/>
      <c r="N205" s="1370"/>
      <c r="O205" s="1371"/>
    </row>
    <row r="206" spans="1:117" s="1302" customFormat="1">
      <c r="C206" s="1388"/>
      <c r="D206" s="1389"/>
      <c r="E206" s="1390"/>
      <c r="F206" s="1391"/>
      <c r="G206" s="1392"/>
      <c r="H206" s="1393"/>
      <c r="I206" s="1392"/>
      <c r="J206" s="1393"/>
      <c r="K206" s="1392"/>
      <c r="L206" s="1393"/>
      <c r="M206" s="1392"/>
      <c r="N206" s="1393"/>
      <c r="O206" s="1394"/>
    </row>
    <row r="207" spans="1:117" ht="19.5" customHeight="1">
      <c r="B207" s="1213" t="s">
        <v>4164</v>
      </c>
      <c r="C207" s="1261"/>
      <c r="D207" s="1261"/>
      <c r="E207" s="1261"/>
      <c r="F207" s="1261"/>
      <c r="G207" s="1262"/>
      <c r="H207" s="1262"/>
      <c r="I207" s="1262"/>
      <c r="J207" s="1262"/>
      <c r="K207" s="1262"/>
      <c r="L207" s="1262"/>
      <c r="M207" s="1262"/>
      <c r="N207" s="1262"/>
      <c r="O207" s="1261"/>
    </row>
    <row r="208" spans="1:117" s="1400" customFormat="1" ht="16">
      <c r="A208" s="1325"/>
      <c r="B208" s="1395"/>
      <c r="C208" s="1212"/>
      <c r="D208" s="1211"/>
      <c r="E208" s="1268"/>
      <c r="F208" s="1396"/>
      <c r="G208" s="1397"/>
      <c r="H208" s="1397"/>
      <c r="I208" s="1397"/>
      <c r="J208" s="1397"/>
      <c r="K208" s="1398"/>
      <c r="L208" s="1398"/>
      <c r="M208" s="1398"/>
      <c r="N208" s="1398"/>
      <c r="O208" s="1399"/>
    </row>
    <row r="209" spans="1:117" s="1400" customFormat="1" ht="16">
      <c r="A209" s="1325"/>
      <c r="B209" s="1395"/>
      <c r="C209" s="1212"/>
      <c r="D209" s="1211"/>
      <c r="E209" s="1401"/>
      <c r="F209" s="1401"/>
      <c r="G209" s="1402"/>
      <c r="H209" s="1402"/>
      <c r="I209" s="1402"/>
      <c r="J209" s="1402"/>
      <c r="K209" s="1398"/>
      <c r="L209" s="1398"/>
      <c r="M209" s="1398"/>
      <c r="N209" s="1398"/>
      <c r="O209" s="1399"/>
    </row>
    <row r="210" spans="1:117" ht="15">
      <c r="B210" s="1403">
        <v>1</v>
      </c>
      <c r="C210" s="2209" t="s">
        <v>4240</v>
      </c>
      <c r="D210" s="2209"/>
      <c r="E210" s="1263"/>
      <c r="F210" s="1263"/>
      <c r="G210" s="1220"/>
      <c r="H210" s="1220"/>
      <c r="I210" s="1220"/>
      <c r="J210" s="1220"/>
      <c r="K210" s="1220"/>
      <c r="L210" s="1220"/>
      <c r="M210" s="1220"/>
      <c r="N210" s="1220"/>
      <c r="O210" s="1263"/>
    </row>
    <row r="211" spans="1:117" ht="5.25" customHeight="1">
      <c r="B211" s="1263"/>
      <c r="C211" s="1263"/>
      <c r="D211" s="1263"/>
      <c r="E211" s="1263"/>
      <c r="F211" s="1263"/>
      <c r="G211" s="1220"/>
      <c r="H211" s="1220"/>
      <c r="I211" s="1220"/>
      <c r="J211" s="1220"/>
      <c r="K211" s="1220"/>
      <c r="L211" s="1220"/>
      <c r="M211" s="1220"/>
      <c r="N211" s="1220"/>
      <c r="O211" s="1263"/>
    </row>
    <row r="212" spans="1:117">
      <c r="B212" s="1263"/>
      <c r="C212" s="1201" t="s">
        <v>4166</v>
      </c>
      <c r="D212" s="1201" t="s">
        <v>4234</v>
      </c>
      <c r="E212" s="1201" t="s">
        <v>48</v>
      </c>
      <c r="F212" s="1203"/>
      <c r="G212" s="1202"/>
      <c r="H212" s="1202">
        <v>2020</v>
      </c>
      <c r="I212" s="1202">
        <v>2022</v>
      </c>
      <c r="J212" s="1202">
        <v>2027</v>
      </c>
      <c r="K212" s="1202">
        <v>2032</v>
      </c>
      <c r="L212" s="1202">
        <v>2037</v>
      </c>
      <c r="M212" s="1202">
        <v>2042</v>
      </c>
      <c r="N212" s="1202">
        <v>2047</v>
      </c>
      <c r="O212" s="1202">
        <v>2030</v>
      </c>
    </row>
    <row r="213" spans="1:117" ht="15">
      <c r="B213" s="1263"/>
      <c r="C213" s="1211" t="s">
        <v>4032</v>
      </c>
      <c r="D213" s="1211" t="s">
        <v>4033</v>
      </c>
      <c r="E213" s="1268" t="s">
        <v>4241</v>
      </c>
      <c r="F213" s="1372"/>
      <c r="G213" s="1375"/>
      <c r="H213" s="1404">
        <v>0.02</v>
      </c>
      <c r="I213" s="1405">
        <v>2.5925925925925925E-2</v>
      </c>
      <c r="J213" s="1405">
        <v>2.5925925925925925E-2</v>
      </c>
      <c r="K213" s="1405">
        <v>2.5925925925925925E-2</v>
      </c>
      <c r="L213" s="1405">
        <v>2.5925925925925925E-2</v>
      </c>
      <c r="M213" s="1405">
        <v>2.5925925925925925E-2</v>
      </c>
      <c r="N213" s="1405">
        <v>2.5925925925925925E-2</v>
      </c>
      <c r="O213" s="1405">
        <v>2.5925925925925925E-2</v>
      </c>
    </row>
    <row r="214" spans="1:117" s="1302" customFormat="1" ht="15">
      <c r="A214" s="1241"/>
      <c r="B214" s="1263"/>
      <c r="C214" s="1211" t="s">
        <v>3997</v>
      </c>
      <c r="D214" s="1211" t="s">
        <v>3998</v>
      </c>
      <c r="E214" s="1268"/>
      <c r="F214" s="1372"/>
      <c r="G214" s="1375"/>
      <c r="H214" s="1405">
        <v>0.97</v>
      </c>
      <c r="I214" s="1375">
        <v>0.96259259259259256</v>
      </c>
      <c r="J214" s="1375">
        <v>0.96259259259259256</v>
      </c>
      <c r="K214" s="1375">
        <v>0.96259259259259256</v>
      </c>
      <c r="L214" s="1375">
        <v>0.96259259259259256</v>
      </c>
      <c r="M214" s="1375">
        <v>0.96259259259259256</v>
      </c>
      <c r="N214" s="1375">
        <v>0.96259259259259256</v>
      </c>
      <c r="O214" s="1375">
        <v>0.96259259259259256</v>
      </c>
      <c r="P214" s="1241"/>
      <c r="Q214" s="1241"/>
      <c r="R214" s="1241"/>
      <c r="S214" s="1241"/>
      <c r="T214" s="1241"/>
      <c r="U214" s="1241"/>
      <c r="V214" s="1241"/>
      <c r="W214" s="1241"/>
      <c r="X214" s="1241"/>
      <c r="Y214" s="1241"/>
      <c r="Z214" s="1241"/>
      <c r="AA214" s="1241"/>
      <c r="AB214" s="1241"/>
      <c r="AC214" s="1241"/>
      <c r="AD214" s="1241"/>
      <c r="AE214" s="1241"/>
      <c r="AF214" s="1241"/>
      <c r="AG214" s="1241"/>
      <c r="AH214" s="1241"/>
      <c r="AI214" s="1241"/>
      <c r="AJ214" s="1241"/>
      <c r="AK214" s="1241"/>
      <c r="AL214" s="1241"/>
      <c r="AM214" s="1241"/>
      <c r="AN214" s="1241"/>
      <c r="AO214" s="1241"/>
      <c r="AP214" s="1241"/>
      <c r="AQ214" s="1241"/>
      <c r="AR214" s="1241"/>
      <c r="AS214" s="1241"/>
      <c r="AT214" s="1241"/>
      <c r="AU214" s="1241"/>
      <c r="AV214" s="1241"/>
      <c r="AW214" s="1241"/>
      <c r="AX214" s="1241"/>
      <c r="AY214" s="1241"/>
      <c r="AZ214" s="1241"/>
      <c r="BA214" s="1241"/>
      <c r="BB214" s="1241"/>
      <c r="BC214" s="1241"/>
      <c r="BD214" s="1241"/>
      <c r="BE214" s="1241"/>
      <c r="BF214" s="1241"/>
      <c r="BG214" s="1241"/>
      <c r="BH214" s="1241"/>
      <c r="BI214" s="1241"/>
      <c r="BJ214" s="1241"/>
      <c r="BK214" s="1241"/>
      <c r="BL214" s="1241"/>
      <c r="BM214" s="1241"/>
      <c r="BN214" s="1241"/>
      <c r="BO214" s="1241"/>
      <c r="BP214" s="1241"/>
      <c r="BQ214" s="1241"/>
      <c r="BR214" s="1241"/>
      <c r="BS214" s="1241"/>
      <c r="BT214" s="1241"/>
      <c r="BU214" s="1241"/>
      <c r="BV214" s="1241"/>
      <c r="BW214" s="1241"/>
      <c r="BX214" s="1241"/>
      <c r="BY214" s="1241"/>
      <c r="BZ214" s="1241"/>
      <c r="CA214" s="1241"/>
      <c r="CB214" s="1241"/>
      <c r="CC214" s="1241"/>
      <c r="CD214" s="1241"/>
      <c r="CE214" s="1241"/>
      <c r="CF214" s="1241"/>
      <c r="CG214" s="1241"/>
      <c r="CH214" s="1241"/>
      <c r="CI214" s="1241"/>
      <c r="CJ214" s="1241"/>
      <c r="CK214" s="1241"/>
      <c r="CL214" s="1241"/>
      <c r="CM214" s="1241"/>
      <c r="CN214" s="1241"/>
      <c r="CO214" s="1241"/>
      <c r="CP214" s="1241"/>
      <c r="CQ214" s="1241"/>
      <c r="CR214" s="1241"/>
      <c r="CS214" s="1241"/>
      <c r="CT214" s="1241"/>
      <c r="CU214" s="1241"/>
      <c r="CV214" s="1241"/>
      <c r="CW214" s="1241"/>
      <c r="CX214" s="1241"/>
      <c r="CY214" s="1241"/>
      <c r="CZ214" s="1241"/>
      <c r="DA214" s="1241"/>
      <c r="DB214" s="1241"/>
      <c r="DC214" s="1241"/>
      <c r="DD214" s="1241"/>
      <c r="DE214" s="1241"/>
      <c r="DF214" s="1241"/>
      <c r="DG214" s="1241"/>
      <c r="DH214" s="1241"/>
      <c r="DI214" s="1241"/>
      <c r="DJ214" s="1241"/>
      <c r="DK214" s="1241"/>
      <c r="DL214" s="1241"/>
      <c r="DM214" s="1241"/>
    </row>
    <row r="215" spans="1:117" s="1302" customFormat="1" ht="15">
      <c r="A215" s="1241"/>
      <c r="B215" s="1263"/>
      <c r="C215" s="1211" t="s">
        <v>3999</v>
      </c>
      <c r="D215" s="1211" t="s">
        <v>4000</v>
      </c>
      <c r="E215" s="1268"/>
      <c r="F215" s="1372"/>
      <c r="G215" s="1375"/>
      <c r="H215" s="1404">
        <v>0.01</v>
      </c>
      <c r="I215" s="1405">
        <v>0.01</v>
      </c>
      <c r="J215" s="1405">
        <v>0.01</v>
      </c>
      <c r="K215" s="1405">
        <v>0.01</v>
      </c>
      <c r="L215" s="1405">
        <v>0.01</v>
      </c>
      <c r="M215" s="1405">
        <v>0.01</v>
      </c>
      <c r="N215" s="1405">
        <v>0.01</v>
      </c>
      <c r="O215" s="1405">
        <v>0.01</v>
      </c>
      <c r="P215" s="1241"/>
      <c r="Q215" s="1241"/>
      <c r="R215" s="1241"/>
      <c r="S215" s="1241"/>
      <c r="T215" s="1241"/>
      <c r="U215" s="1241"/>
      <c r="V215" s="1241"/>
      <c r="W215" s="1241"/>
      <c r="X215" s="1241"/>
      <c r="Y215" s="1241"/>
      <c r="Z215" s="1241"/>
      <c r="AA215" s="1241"/>
      <c r="AB215" s="1241"/>
      <c r="AC215" s="1241"/>
      <c r="AD215" s="1241"/>
      <c r="AE215" s="1241"/>
      <c r="AF215" s="1241"/>
      <c r="AG215" s="1241"/>
      <c r="AH215" s="1241"/>
      <c r="AI215" s="1241"/>
      <c r="AJ215" s="1241"/>
      <c r="AK215" s="1241"/>
      <c r="AL215" s="1241"/>
      <c r="AM215" s="1241"/>
      <c r="AN215" s="1241"/>
      <c r="AO215" s="1241"/>
      <c r="AP215" s="1241"/>
      <c r="AQ215" s="1241"/>
      <c r="AR215" s="1241"/>
      <c r="AS215" s="1241"/>
      <c r="AT215" s="1241"/>
      <c r="AU215" s="1241"/>
      <c r="AV215" s="1241"/>
      <c r="AW215" s="1241"/>
      <c r="AX215" s="1241"/>
      <c r="AY215" s="1241"/>
      <c r="AZ215" s="1241"/>
      <c r="BA215" s="1241"/>
      <c r="BB215" s="1241"/>
      <c r="BC215" s="1241"/>
      <c r="BD215" s="1241"/>
      <c r="BE215" s="1241"/>
      <c r="BF215" s="1241"/>
      <c r="BG215" s="1241"/>
      <c r="BH215" s="1241"/>
      <c r="BI215" s="1241"/>
      <c r="BJ215" s="1241"/>
      <c r="BK215" s="1241"/>
      <c r="BL215" s="1241"/>
      <c r="BM215" s="1241"/>
      <c r="BN215" s="1241"/>
      <c r="BO215" s="1241"/>
      <c r="BP215" s="1241"/>
      <c r="BQ215" s="1241"/>
      <c r="BR215" s="1241"/>
      <c r="BS215" s="1241"/>
      <c r="BT215" s="1241"/>
      <c r="BU215" s="1241"/>
      <c r="BV215" s="1241"/>
      <c r="BW215" s="1241"/>
      <c r="BX215" s="1241"/>
      <c r="BY215" s="1241"/>
      <c r="BZ215" s="1241"/>
      <c r="CA215" s="1241"/>
      <c r="CB215" s="1241"/>
      <c r="CC215" s="1241"/>
      <c r="CD215" s="1241"/>
      <c r="CE215" s="1241"/>
      <c r="CF215" s="1241"/>
      <c r="CG215" s="1241"/>
      <c r="CH215" s="1241"/>
      <c r="CI215" s="1241"/>
      <c r="CJ215" s="1241"/>
      <c r="CK215" s="1241"/>
      <c r="CL215" s="1241"/>
      <c r="CM215" s="1241"/>
      <c r="CN215" s="1241"/>
      <c r="CO215" s="1241"/>
      <c r="CP215" s="1241"/>
      <c r="CQ215" s="1241"/>
      <c r="CR215" s="1241"/>
      <c r="CS215" s="1241"/>
      <c r="CT215" s="1241"/>
      <c r="CU215" s="1241"/>
      <c r="CV215" s="1241"/>
      <c r="CW215" s="1241"/>
      <c r="CX215" s="1241"/>
      <c r="CY215" s="1241"/>
      <c r="CZ215" s="1241"/>
      <c r="DA215" s="1241"/>
      <c r="DB215" s="1241"/>
      <c r="DC215" s="1241"/>
      <c r="DD215" s="1241"/>
      <c r="DE215" s="1241"/>
      <c r="DF215" s="1241"/>
      <c r="DG215" s="1241"/>
      <c r="DH215" s="1241"/>
      <c r="DI215" s="1241"/>
      <c r="DJ215" s="1241"/>
      <c r="DK215" s="1241"/>
      <c r="DL215" s="1241"/>
      <c r="DM215" s="1241"/>
    </row>
    <row r="216" spans="1:117" s="1302" customFormat="1" ht="15">
      <c r="A216" s="1241"/>
      <c r="B216" s="1263"/>
      <c r="C216" s="1211" t="s">
        <v>4001</v>
      </c>
      <c r="D216" s="1211" t="s">
        <v>4002</v>
      </c>
      <c r="E216" s="1268"/>
      <c r="F216" s="1372"/>
      <c r="G216" s="1375"/>
      <c r="H216" s="1404">
        <v>0</v>
      </c>
      <c r="I216" s="1405">
        <v>1.4814814814814814E-3</v>
      </c>
      <c r="J216" s="1405">
        <v>1.4814814814814814E-3</v>
      </c>
      <c r="K216" s="1405">
        <v>1.4814814814814814E-3</v>
      </c>
      <c r="L216" s="1405">
        <v>1.4814814814814814E-3</v>
      </c>
      <c r="M216" s="1405">
        <v>1.4814814814814814E-3</v>
      </c>
      <c r="N216" s="1405">
        <v>1.4814814814814814E-3</v>
      </c>
      <c r="O216" s="1405">
        <v>1.4814814814814814E-3</v>
      </c>
      <c r="P216" s="1241"/>
      <c r="Q216" s="1241"/>
      <c r="R216" s="1241"/>
      <c r="S216" s="1241"/>
      <c r="T216" s="1241"/>
      <c r="U216" s="1241"/>
      <c r="V216" s="1241"/>
      <c r="W216" s="1241"/>
      <c r="X216" s="1241"/>
      <c r="Y216" s="1241"/>
      <c r="Z216" s="1241"/>
      <c r="AA216" s="1241"/>
      <c r="AB216" s="1241"/>
      <c r="AC216" s="1241"/>
      <c r="AD216" s="1241"/>
      <c r="AE216" s="1241"/>
      <c r="AF216" s="1241"/>
      <c r="AG216" s="1241"/>
      <c r="AH216" s="1241"/>
      <c r="AI216" s="1241"/>
      <c r="AJ216" s="1241"/>
      <c r="AK216" s="1241"/>
      <c r="AL216" s="1241"/>
      <c r="AM216" s="1241"/>
      <c r="AN216" s="1241"/>
      <c r="AO216" s="1241"/>
      <c r="AP216" s="1241"/>
      <c r="AQ216" s="1241"/>
      <c r="AR216" s="1241"/>
      <c r="AS216" s="1241"/>
      <c r="AT216" s="1241"/>
      <c r="AU216" s="1241"/>
      <c r="AV216" s="1241"/>
      <c r="AW216" s="1241"/>
      <c r="AX216" s="1241"/>
      <c r="AY216" s="1241"/>
      <c r="AZ216" s="1241"/>
      <c r="BA216" s="1241"/>
      <c r="BB216" s="1241"/>
      <c r="BC216" s="1241"/>
      <c r="BD216" s="1241"/>
      <c r="BE216" s="1241"/>
      <c r="BF216" s="1241"/>
      <c r="BG216" s="1241"/>
      <c r="BH216" s="1241"/>
      <c r="BI216" s="1241"/>
      <c r="BJ216" s="1241"/>
      <c r="BK216" s="1241"/>
      <c r="BL216" s="1241"/>
      <c r="BM216" s="1241"/>
      <c r="BN216" s="1241"/>
      <c r="BO216" s="1241"/>
      <c r="BP216" s="1241"/>
      <c r="BQ216" s="1241"/>
      <c r="BR216" s="1241"/>
      <c r="BS216" s="1241"/>
      <c r="BT216" s="1241"/>
      <c r="BU216" s="1241"/>
      <c r="BV216" s="1241"/>
      <c r="BW216" s="1241"/>
      <c r="BX216" s="1241"/>
      <c r="BY216" s="1241"/>
      <c r="BZ216" s="1241"/>
      <c r="CA216" s="1241"/>
      <c r="CB216" s="1241"/>
      <c r="CC216" s="1241"/>
      <c r="CD216" s="1241"/>
      <c r="CE216" s="1241"/>
      <c r="CF216" s="1241"/>
      <c r="CG216" s="1241"/>
      <c r="CH216" s="1241"/>
      <c r="CI216" s="1241"/>
      <c r="CJ216" s="1241"/>
      <c r="CK216" s="1241"/>
      <c r="CL216" s="1241"/>
      <c r="CM216" s="1241"/>
      <c r="CN216" s="1241"/>
      <c r="CO216" s="1241"/>
      <c r="CP216" s="1241"/>
      <c r="CQ216" s="1241"/>
      <c r="CR216" s="1241"/>
      <c r="CS216" s="1241"/>
      <c r="CT216" s="1241"/>
      <c r="CU216" s="1241"/>
      <c r="CV216" s="1241"/>
      <c r="CW216" s="1241"/>
      <c r="CX216" s="1241"/>
      <c r="CY216" s="1241"/>
      <c r="CZ216" s="1241"/>
      <c r="DA216" s="1241"/>
      <c r="DB216" s="1241"/>
      <c r="DC216" s="1241"/>
      <c r="DD216" s="1241"/>
      <c r="DE216" s="1241"/>
      <c r="DF216" s="1241"/>
      <c r="DG216" s="1241"/>
      <c r="DH216" s="1241"/>
      <c r="DI216" s="1241"/>
      <c r="DJ216" s="1241"/>
      <c r="DK216" s="1241"/>
      <c r="DL216" s="1241"/>
      <c r="DM216" s="1241"/>
    </row>
    <row r="217" spans="1:117" s="1302" customFormat="1" ht="15">
      <c r="A217" s="1241"/>
      <c r="B217" s="1263"/>
      <c r="C217" s="1211" t="s">
        <v>4011</v>
      </c>
      <c r="D217" s="1211" t="s">
        <v>4012</v>
      </c>
      <c r="E217" s="1268"/>
      <c r="F217" s="1372"/>
      <c r="G217" s="1375"/>
      <c r="H217" s="1404">
        <v>0</v>
      </c>
      <c r="I217" s="1375">
        <v>0</v>
      </c>
      <c r="J217" s="1375">
        <v>0</v>
      </c>
      <c r="K217" s="1375">
        <v>0</v>
      </c>
      <c r="L217" s="1375">
        <v>0</v>
      </c>
      <c r="M217" s="1375">
        <v>0</v>
      </c>
      <c r="N217" s="1375">
        <v>0</v>
      </c>
      <c r="O217" s="1375">
        <v>0</v>
      </c>
      <c r="P217" s="1241"/>
      <c r="Q217" s="1241"/>
      <c r="R217" s="1241"/>
      <c r="S217" s="1241"/>
      <c r="T217" s="1241"/>
      <c r="U217" s="1241"/>
      <c r="V217" s="1241"/>
      <c r="W217" s="1241"/>
      <c r="X217" s="1241"/>
      <c r="Y217" s="1241"/>
      <c r="Z217" s="1241"/>
      <c r="AA217" s="1241"/>
      <c r="AB217" s="1241"/>
      <c r="AC217" s="1241"/>
      <c r="AD217" s="1241"/>
      <c r="AE217" s="1241"/>
      <c r="AF217" s="1241"/>
      <c r="AG217" s="1241"/>
      <c r="AH217" s="1241"/>
      <c r="AI217" s="1241"/>
      <c r="AJ217" s="1241"/>
      <c r="AK217" s="1241"/>
      <c r="AL217" s="1241"/>
      <c r="AM217" s="1241"/>
      <c r="AN217" s="1241"/>
      <c r="AO217" s="1241"/>
      <c r="AP217" s="1241"/>
      <c r="AQ217" s="1241"/>
      <c r="AR217" s="1241"/>
      <c r="AS217" s="1241"/>
      <c r="AT217" s="1241"/>
      <c r="AU217" s="1241"/>
      <c r="AV217" s="1241"/>
      <c r="AW217" s="1241"/>
      <c r="AX217" s="1241"/>
      <c r="AY217" s="1241"/>
      <c r="AZ217" s="1241"/>
      <c r="BA217" s="1241"/>
      <c r="BB217" s="1241"/>
      <c r="BC217" s="1241"/>
      <c r="BD217" s="1241"/>
      <c r="BE217" s="1241"/>
      <c r="BF217" s="1241"/>
      <c r="BG217" s="1241"/>
      <c r="BH217" s="1241"/>
      <c r="BI217" s="1241"/>
      <c r="BJ217" s="1241"/>
      <c r="BK217" s="1241"/>
      <c r="BL217" s="1241"/>
      <c r="BM217" s="1241"/>
      <c r="BN217" s="1241"/>
      <c r="BO217" s="1241"/>
      <c r="BP217" s="1241"/>
      <c r="BQ217" s="1241"/>
      <c r="BR217" s="1241"/>
      <c r="BS217" s="1241"/>
      <c r="BT217" s="1241"/>
      <c r="BU217" s="1241"/>
      <c r="BV217" s="1241"/>
      <c r="BW217" s="1241"/>
      <c r="BX217" s="1241"/>
      <c r="BY217" s="1241"/>
      <c r="BZ217" s="1241"/>
      <c r="CA217" s="1241"/>
      <c r="CB217" s="1241"/>
      <c r="CC217" s="1241"/>
      <c r="CD217" s="1241"/>
      <c r="CE217" s="1241"/>
      <c r="CF217" s="1241"/>
      <c r="CG217" s="1241"/>
      <c r="CH217" s="1241"/>
      <c r="CI217" s="1241"/>
      <c r="CJ217" s="1241"/>
      <c r="CK217" s="1241"/>
      <c r="CL217" s="1241"/>
      <c r="CM217" s="1241"/>
      <c r="CN217" s="1241"/>
      <c r="CO217" s="1241"/>
      <c r="CP217" s="1241"/>
      <c r="CQ217" s="1241"/>
      <c r="CR217" s="1241"/>
      <c r="CS217" s="1241"/>
      <c r="CT217" s="1241"/>
      <c r="CU217" s="1241"/>
      <c r="CV217" s="1241"/>
      <c r="CW217" s="1241"/>
      <c r="CX217" s="1241"/>
      <c r="CY217" s="1241"/>
      <c r="CZ217" s="1241"/>
      <c r="DA217" s="1241"/>
      <c r="DB217" s="1241"/>
      <c r="DC217" s="1241"/>
      <c r="DD217" s="1241"/>
      <c r="DE217" s="1241"/>
      <c r="DF217" s="1241"/>
      <c r="DG217" s="1241"/>
      <c r="DH217" s="1241"/>
      <c r="DI217" s="1241"/>
      <c r="DJ217" s="1241"/>
      <c r="DK217" s="1241"/>
      <c r="DL217" s="1241"/>
      <c r="DM217" s="1241"/>
    </row>
    <row r="218" spans="1:117" s="1302" customFormat="1">
      <c r="A218" s="1241"/>
      <c r="B218" s="1263"/>
      <c r="C218" s="1406" t="s">
        <v>4025</v>
      </c>
      <c r="D218" s="1406" t="s">
        <v>4026</v>
      </c>
      <c r="E218" s="1406"/>
      <c r="F218" s="1407"/>
      <c r="G218" s="1408"/>
      <c r="H218" s="1409">
        <v>0</v>
      </c>
      <c r="I218" s="1408">
        <v>0</v>
      </c>
      <c r="J218" s="1408">
        <v>0</v>
      </c>
      <c r="K218" s="1408">
        <v>0</v>
      </c>
      <c r="L218" s="1408">
        <v>0</v>
      </c>
      <c r="M218" s="1408">
        <v>0</v>
      </c>
      <c r="N218" s="1408">
        <v>0</v>
      </c>
      <c r="O218" s="1408">
        <v>0</v>
      </c>
      <c r="P218" s="1241"/>
      <c r="Q218" s="1241"/>
      <c r="R218" s="1241"/>
      <c r="S218" s="1241"/>
      <c r="T218" s="1241"/>
      <c r="U218" s="1241"/>
      <c r="V218" s="1241"/>
      <c r="W218" s="1241"/>
      <c r="X218" s="1241"/>
      <c r="Y218" s="1241"/>
      <c r="Z218" s="1241"/>
      <c r="AA218" s="1241"/>
      <c r="AB218" s="1241"/>
      <c r="AC218" s="1241"/>
      <c r="AD218" s="1241"/>
      <c r="AE218" s="1241"/>
      <c r="AF218" s="1241"/>
      <c r="AG218" s="1241"/>
      <c r="AH218" s="1241"/>
      <c r="AI218" s="1241"/>
      <c r="AJ218" s="1241"/>
      <c r="AK218" s="1241"/>
      <c r="AL218" s="1241"/>
      <c r="AM218" s="1241"/>
      <c r="AN218" s="1241"/>
      <c r="AO218" s="1241"/>
      <c r="AP218" s="1241"/>
      <c r="AQ218" s="1241"/>
      <c r="AR218" s="1241"/>
      <c r="AS218" s="1241"/>
      <c r="AT218" s="1241"/>
      <c r="AU218" s="1241"/>
      <c r="AV218" s="1241"/>
      <c r="AW218" s="1241"/>
      <c r="AX218" s="1241"/>
      <c r="AY218" s="1241"/>
      <c r="AZ218" s="1241"/>
      <c r="BA218" s="1241"/>
      <c r="BB218" s="1241"/>
      <c r="BC218" s="1241"/>
      <c r="BD218" s="1241"/>
      <c r="BE218" s="1241"/>
      <c r="BF218" s="1241"/>
      <c r="BG218" s="1241"/>
      <c r="BH218" s="1241"/>
      <c r="BI218" s="1241"/>
      <c r="BJ218" s="1241"/>
      <c r="BK218" s="1241"/>
      <c r="BL218" s="1241"/>
      <c r="BM218" s="1241"/>
      <c r="BN218" s="1241"/>
      <c r="BO218" s="1241"/>
      <c r="BP218" s="1241"/>
      <c r="BQ218" s="1241"/>
      <c r="BR218" s="1241"/>
      <c r="BS218" s="1241"/>
      <c r="BT218" s="1241"/>
      <c r="BU218" s="1241"/>
      <c r="BV218" s="1241"/>
      <c r="BW218" s="1241"/>
      <c r="BX218" s="1241"/>
      <c r="BY218" s="1241"/>
      <c r="BZ218" s="1241"/>
      <c r="CA218" s="1241"/>
      <c r="CB218" s="1241"/>
      <c r="CC218" s="1241"/>
      <c r="CD218" s="1241"/>
      <c r="CE218" s="1241"/>
      <c r="CF218" s="1241"/>
      <c r="CG218" s="1241"/>
      <c r="CH218" s="1241"/>
      <c r="CI218" s="1241"/>
      <c r="CJ218" s="1241"/>
      <c r="CK218" s="1241"/>
      <c r="CL218" s="1241"/>
      <c r="CM218" s="1241"/>
      <c r="CN218" s="1241"/>
      <c r="CO218" s="1241"/>
      <c r="CP218" s="1241"/>
      <c r="CQ218" s="1241"/>
      <c r="CR218" s="1241"/>
      <c r="CS218" s="1241"/>
      <c r="CT218" s="1241"/>
      <c r="CU218" s="1241"/>
      <c r="CV218" s="1241"/>
      <c r="CW218" s="1241"/>
      <c r="CX218" s="1241"/>
      <c r="CY218" s="1241"/>
      <c r="CZ218" s="1241"/>
      <c r="DA218" s="1241"/>
      <c r="DB218" s="1241"/>
      <c r="DC218" s="1241"/>
      <c r="DD218" s="1241"/>
      <c r="DE218" s="1241"/>
      <c r="DF218" s="1241"/>
      <c r="DG218" s="1241"/>
      <c r="DH218" s="1241"/>
      <c r="DI218" s="1241"/>
      <c r="DJ218" s="1241"/>
      <c r="DK218" s="1241"/>
      <c r="DL218" s="1241"/>
      <c r="DM218" s="1241"/>
    </row>
    <row r="219" spans="1:117" s="1302" customFormat="1">
      <c r="A219" s="1241"/>
      <c r="B219" s="1263"/>
      <c r="C219" s="1204"/>
      <c r="D219" s="1410"/>
      <c r="E219" s="1410"/>
      <c r="F219" s="1411"/>
      <c r="G219" s="1412"/>
      <c r="H219" s="1412"/>
      <c r="I219" s="1412"/>
      <c r="J219" s="1412"/>
      <c r="K219" s="1412"/>
      <c r="L219" s="1412"/>
      <c r="M219" s="1412"/>
      <c r="N219" s="1412"/>
      <c r="O219" s="1411"/>
      <c r="P219" s="1241"/>
      <c r="Q219" s="1241"/>
      <c r="R219" s="1241"/>
      <c r="S219" s="1241"/>
      <c r="T219" s="1241"/>
      <c r="U219" s="1241"/>
      <c r="V219" s="1241"/>
      <c r="W219" s="1241"/>
      <c r="X219" s="1241"/>
      <c r="Y219" s="1241"/>
      <c r="Z219" s="1241"/>
      <c r="AA219" s="1241"/>
      <c r="AB219" s="1241"/>
      <c r="AC219" s="1241"/>
      <c r="AD219" s="1241"/>
      <c r="AE219" s="1241"/>
      <c r="AF219" s="1241"/>
      <c r="AG219" s="1241"/>
      <c r="AH219" s="1241"/>
      <c r="AI219" s="1241"/>
      <c r="AJ219" s="1241"/>
      <c r="AK219" s="1241"/>
      <c r="AL219" s="1241"/>
      <c r="AM219" s="1241"/>
      <c r="AN219" s="1241"/>
      <c r="AO219" s="1241"/>
      <c r="AP219" s="1241"/>
      <c r="AQ219" s="1241"/>
      <c r="AR219" s="1241"/>
      <c r="AS219" s="1241"/>
      <c r="AT219" s="1241"/>
      <c r="AU219" s="1241"/>
      <c r="AV219" s="1241"/>
      <c r="AW219" s="1241"/>
      <c r="AX219" s="1241"/>
      <c r="AY219" s="1241"/>
      <c r="AZ219" s="1241"/>
      <c r="BA219" s="1241"/>
      <c r="BB219" s="1241"/>
      <c r="BC219" s="1241"/>
      <c r="BD219" s="1241"/>
      <c r="BE219" s="1241"/>
      <c r="BF219" s="1241"/>
      <c r="BG219" s="1241"/>
      <c r="BH219" s="1241"/>
      <c r="BI219" s="1241"/>
      <c r="BJ219" s="1241"/>
      <c r="BK219" s="1241"/>
      <c r="BL219" s="1241"/>
      <c r="BM219" s="1241"/>
      <c r="BN219" s="1241"/>
      <c r="BO219" s="1241"/>
      <c r="BP219" s="1241"/>
      <c r="BQ219" s="1241"/>
      <c r="BR219" s="1241"/>
      <c r="BS219" s="1241"/>
      <c r="BT219" s="1241"/>
      <c r="BU219" s="1241"/>
      <c r="BV219" s="1241"/>
      <c r="BW219" s="1241"/>
      <c r="BX219" s="1241"/>
      <c r="BY219" s="1241"/>
      <c r="BZ219" s="1241"/>
      <c r="CA219" s="1241"/>
      <c r="CB219" s="1241"/>
      <c r="CC219" s="1241"/>
      <c r="CD219" s="1241"/>
      <c r="CE219" s="1241"/>
      <c r="CF219" s="1241"/>
      <c r="CG219" s="1241"/>
      <c r="CH219" s="1241"/>
      <c r="CI219" s="1241"/>
      <c r="CJ219" s="1241"/>
      <c r="CK219" s="1241"/>
      <c r="CL219" s="1241"/>
      <c r="CM219" s="1241"/>
      <c r="CN219" s="1241"/>
      <c r="CO219" s="1241"/>
      <c r="CP219" s="1241"/>
      <c r="CQ219" s="1241"/>
      <c r="CR219" s="1241"/>
      <c r="CS219" s="1241"/>
      <c r="CT219" s="1241"/>
      <c r="CU219" s="1241"/>
      <c r="CV219" s="1241"/>
      <c r="CW219" s="1241"/>
      <c r="CX219" s="1241"/>
      <c r="CY219" s="1241"/>
      <c r="CZ219" s="1241"/>
      <c r="DA219" s="1241"/>
      <c r="DB219" s="1241"/>
      <c r="DC219" s="1241"/>
      <c r="DD219" s="1241"/>
      <c r="DE219" s="1241"/>
      <c r="DF219" s="1241"/>
      <c r="DG219" s="1241"/>
      <c r="DH219" s="1241"/>
      <c r="DI219" s="1241"/>
      <c r="DJ219" s="1241"/>
      <c r="DK219" s="1241"/>
      <c r="DL219" s="1241"/>
      <c r="DM219" s="1241"/>
    </row>
    <row r="220" spans="1:117" s="1302" customFormat="1">
      <c r="A220" s="1241"/>
      <c r="B220" s="1263"/>
      <c r="C220" s="1201" t="s">
        <v>4166</v>
      </c>
      <c r="D220" s="1201" t="s">
        <v>4242</v>
      </c>
      <c r="E220" s="1201" t="s">
        <v>48</v>
      </c>
      <c r="F220" s="1203"/>
      <c r="G220" s="1202"/>
      <c r="H220" s="1202">
        <v>2020</v>
      </c>
      <c r="I220" s="1202">
        <v>2022</v>
      </c>
      <c r="J220" s="1202">
        <v>2027</v>
      </c>
      <c r="K220" s="1202">
        <v>2032</v>
      </c>
      <c r="L220" s="1202">
        <v>2037</v>
      </c>
      <c r="M220" s="1202">
        <v>2042</v>
      </c>
      <c r="N220" s="1202">
        <v>2047</v>
      </c>
      <c r="O220" s="1202">
        <v>2030</v>
      </c>
      <c r="P220" s="1241"/>
      <c r="Q220" s="1241"/>
      <c r="R220" s="1241"/>
      <c r="S220" s="1241"/>
      <c r="T220" s="1241"/>
      <c r="U220" s="1241"/>
      <c r="V220" s="1241"/>
      <c r="W220" s="1241"/>
      <c r="X220" s="1241"/>
      <c r="Y220" s="1241"/>
      <c r="Z220" s="1241"/>
      <c r="AA220" s="1241"/>
      <c r="AB220" s="1241"/>
      <c r="AC220" s="1241"/>
      <c r="AD220" s="1241"/>
      <c r="AE220" s="1241"/>
      <c r="AF220" s="1241"/>
      <c r="AG220" s="1241"/>
      <c r="AH220" s="1241"/>
      <c r="AI220" s="1241"/>
      <c r="AJ220" s="1241"/>
      <c r="AK220" s="1241"/>
      <c r="AL220" s="1241"/>
      <c r="AM220" s="1241"/>
      <c r="AN220" s="1241"/>
      <c r="AO220" s="1241"/>
      <c r="AP220" s="1241"/>
      <c r="AQ220" s="1241"/>
      <c r="AR220" s="1241"/>
      <c r="AS220" s="1241"/>
      <c r="AT220" s="1241"/>
      <c r="AU220" s="1241"/>
      <c r="AV220" s="1241"/>
      <c r="AW220" s="1241"/>
      <c r="AX220" s="1241"/>
      <c r="AY220" s="1241"/>
      <c r="AZ220" s="1241"/>
      <c r="BA220" s="1241"/>
      <c r="BB220" s="1241"/>
      <c r="BC220" s="1241"/>
      <c r="BD220" s="1241"/>
      <c r="BE220" s="1241"/>
      <c r="BF220" s="1241"/>
      <c r="BG220" s="1241"/>
      <c r="BH220" s="1241"/>
      <c r="BI220" s="1241"/>
      <c r="BJ220" s="1241"/>
      <c r="BK220" s="1241"/>
      <c r="BL220" s="1241"/>
      <c r="BM220" s="1241"/>
      <c r="BN220" s="1241"/>
      <c r="BO220" s="1241"/>
      <c r="BP220" s="1241"/>
      <c r="BQ220" s="1241"/>
      <c r="BR220" s="1241"/>
      <c r="BS220" s="1241"/>
      <c r="BT220" s="1241"/>
      <c r="BU220" s="1241"/>
      <c r="BV220" s="1241"/>
      <c r="BW220" s="1241"/>
      <c r="BX220" s="1241"/>
      <c r="BY220" s="1241"/>
      <c r="BZ220" s="1241"/>
      <c r="CA220" s="1241"/>
      <c r="CB220" s="1241"/>
      <c r="CC220" s="1241"/>
      <c r="CD220" s="1241"/>
      <c r="CE220" s="1241"/>
      <c r="CF220" s="1241"/>
      <c r="CG220" s="1241"/>
      <c r="CH220" s="1241"/>
      <c r="CI220" s="1241"/>
      <c r="CJ220" s="1241"/>
      <c r="CK220" s="1241"/>
      <c r="CL220" s="1241"/>
      <c r="CM220" s="1241"/>
      <c r="CN220" s="1241"/>
      <c r="CO220" s="1241"/>
      <c r="CP220" s="1241"/>
      <c r="CQ220" s="1241"/>
      <c r="CR220" s="1241"/>
      <c r="CS220" s="1241"/>
      <c r="CT220" s="1241"/>
      <c r="CU220" s="1241"/>
      <c r="CV220" s="1241"/>
      <c r="CW220" s="1241"/>
      <c r="CX220" s="1241"/>
      <c r="CY220" s="1241"/>
      <c r="CZ220" s="1241"/>
      <c r="DA220" s="1241"/>
      <c r="DB220" s="1241"/>
      <c r="DC220" s="1241"/>
      <c r="DD220" s="1241"/>
      <c r="DE220" s="1241"/>
      <c r="DF220" s="1241"/>
      <c r="DG220" s="1241"/>
      <c r="DH220" s="1241"/>
      <c r="DI220" s="1241"/>
      <c r="DJ220" s="1241"/>
      <c r="DK220" s="1241"/>
      <c r="DL220" s="1241"/>
      <c r="DM220" s="1241"/>
    </row>
    <row r="221" spans="1:117" s="1302" customFormat="1" ht="15">
      <c r="A221" s="1241"/>
      <c r="B221" s="1263"/>
      <c r="C221" s="1211" t="s">
        <v>4032</v>
      </c>
      <c r="D221" s="1211" t="s">
        <v>4033</v>
      </c>
      <c r="E221" s="1268" t="s">
        <v>4243</v>
      </c>
      <c r="F221" s="1372"/>
      <c r="G221" s="1375"/>
      <c r="H221" s="1405">
        <v>0.02</v>
      </c>
      <c r="I221" s="1405">
        <v>2.5925925925925925E-2</v>
      </c>
      <c r="J221" s="1405">
        <v>4.0740740740740744E-2</v>
      </c>
      <c r="K221" s="1405">
        <v>5.5555555555555552E-2</v>
      </c>
      <c r="L221" s="1405">
        <v>7.0370370370370375E-2</v>
      </c>
      <c r="M221" s="1405">
        <v>8.5185185185185183E-2</v>
      </c>
      <c r="N221" s="1405">
        <v>0.1</v>
      </c>
      <c r="O221" s="1405">
        <v>4.9629629629629635E-2</v>
      </c>
      <c r="P221" s="1241"/>
      <c r="Q221" s="1241"/>
      <c r="R221" s="1241"/>
      <c r="S221" s="1241"/>
      <c r="T221" s="1241"/>
      <c r="U221" s="1241"/>
      <c r="V221" s="1241"/>
      <c r="W221" s="1241"/>
      <c r="X221" s="1241"/>
      <c r="Y221" s="1241"/>
      <c r="Z221" s="1241"/>
      <c r="AA221" s="1241"/>
      <c r="AB221" s="1241"/>
      <c r="AC221" s="1241"/>
      <c r="AD221" s="1241"/>
      <c r="AE221" s="1241"/>
      <c r="AF221" s="1241"/>
      <c r="AG221" s="1241"/>
      <c r="AH221" s="1241"/>
      <c r="AI221" s="1241"/>
      <c r="AJ221" s="1241"/>
      <c r="AK221" s="1241"/>
      <c r="AL221" s="1241"/>
      <c r="AM221" s="1241"/>
      <c r="AN221" s="1241"/>
      <c r="AO221" s="1241"/>
      <c r="AP221" s="1241"/>
      <c r="AQ221" s="1241"/>
      <c r="AR221" s="1241"/>
      <c r="AS221" s="1241"/>
      <c r="AT221" s="1241"/>
      <c r="AU221" s="1241"/>
      <c r="AV221" s="1241"/>
      <c r="AW221" s="1241"/>
      <c r="AX221" s="1241"/>
      <c r="AY221" s="1241"/>
      <c r="AZ221" s="1241"/>
      <c r="BA221" s="1241"/>
      <c r="BB221" s="1241"/>
      <c r="BC221" s="1241"/>
      <c r="BD221" s="1241"/>
      <c r="BE221" s="1241"/>
      <c r="BF221" s="1241"/>
      <c r="BG221" s="1241"/>
      <c r="BH221" s="1241"/>
      <c r="BI221" s="1241"/>
      <c r="BJ221" s="1241"/>
      <c r="BK221" s="1241"/>
      <c r="BL221" s="1241"/>
      <c r="BM221" s="1241"/>
      <c r="BN221" s="1241"/>
      <c r="BO221" s="1241"/>
      <c r="BP221" s="1241"/>
      <c r="BQ221" s="1241"/>
      <c r="BR221" s="1241"/>
      <c r="BS221" s="1241"/>
      <c r="BT221" s="1241"/>
      <c r="BU221" s="1241"/>
      <c r="BV221" s="1241"/>
      <c r="BW221" s="1241"/>
      <c r="BX221" s="1241"/>
      <c r="BY221" s="1241"/>
      <c r="BZ221" s="1241"/>
      <c r="CA221" s="1241"/>
      <c r="CB221" s="1241"/>
      <c r="CC221" s="1241"/>
      <c r="CD221" s="1241"/>
      <c r="CE221" s="1241"/>
      <c r="CF221" s="1241"/>
      <c r="CG221" s="1241"/>
      <c r="CH221" s="1241"/>
      <c r="CI221" s="1241"/>
      <c r="CJ221" s="1241"/>
      <c r="CK221" s="1241"/>
      <c r="CL221" s="1241"/>
      <c r="CM221" s="1241"/>
      <c r="CN221" s="1241"/>
      <c r="CO221" s="1241"/>
      <c r="CP221" s="1241"/>
      <c r="CQ221" s="1241"/>
      <c r="CR221" s="1241"/>
      <c r="CS221" s="1241"/>
      <c r="CT221" s="1241"/>
      <c r="CU221" s="1241"/>
      <c r="CV221" s="1241"/>
      <c r="CW221" s="1241"/>
      <c r="CX221" s="1241"/>
      <c r="CY221" s="1241"/>
      <c r="CZ221" s="1241"/>
      <c r="DA221" s="1241"/>
      <c r="DB221" s="1241"/>
      <c r="DC221" s="1241"/>
      <c r="DD221" s="1241"/>
      <c r="DE221" s="1241"/>
      <c r="DF221" s="1241"/>
      <c r="DG221" s="1241"/>
      <c r="DH221" s="1241"/>
      <c r="DI221" s="1241"/>
      <c r="DJ221" s="1241"/>
      <c r="DK221" s="1241"/>
      <c r="DL221" s="1241"/>
      <c r="DM221" s="1241"/>
    </row>
    <row r="222" spans="1:117" s="1302" customFormat="1" ht="15">
      <c r="A222" s="1241"/>
      <c r="B222" s="1263"/>
      <c r="C222" s="1211" t="s">
        <v>3997</v>
      </c>
      <c r="D222" s="1211" t="s">
        <v>3998</v>
      </c>
      <c r="E222" s="1268"/>
      <c r="F222" s="1372"/>
      <c r="G222" s="1375"/>
      <c r="H222" s="1405">
        <v>0.97</v>
      </c>
      <c r="I222" s="1375">
        <v>0.96259259259259256</v>
      </c>
      <c r="J222" s="1375">
        <v>0.94407407407407407</v>
      </c>
      <c r="K222" s="1375">
        <v>0.92555555555555558</v>
      </c>
      <c r="L222" s="1375">
        <v>0.90703703703703698</v>
      </c>
      <c r="M222" s="1375">
        <v>0.8885185185185186</v>
      </c>
      <c r="N222" s="1375">
        <v>0.87</v>
      </c>
      <c r="O222" s="1375">
        <v>0.93296296296296288</v>
      </c>
      <c r="P222" s="1241"/>
      <c r="Q222" s="1241"/>
      <c r="R222" s="1241"/>
      <c r="S222" s="1241"/>
      <c r="T222" s="1241"/>
      <c r="U222" s="1241"/>
      <c r="V222" s="1241"/>
      <c r="W222" s="1241"/>
      <c r="X222" s="1241"/>
      <c r="Y222" s="1241"/>
      <c r="Z222" s="1241"/>
      <c r="AA222" s="1241"/>
      <c r="AB222" s="1241"/>
      <c r="AC222" s="1241"/>
      <c r="AD222" s="1241"/>
      <c r="AE222" s="1241"/>
      <c r="AF222" s="1241"/>
      <c r="AG222" s="1241"/>
      <c r="AH222" s="1241"/>
      <c r="AI222" s="1241"/>
      <c r="AJ222" s="1241"/>
      <c r="AK222" s="1241"/>
      <c r="AL222" s="1241"/>
      <c r="AM222" s="1241"/>
      <c r="AN222" s="1241"/>
      <c r="AO222" s="1241"/>
      <c r="AP222" s="1241"/>
      <c r="AQ222" s="1241"/>
      <c r="AR222" s="1241"/>
      <c r="AS222" s="1241"/>
      <c r="AT222" s="1241"/>
      <c r="AU222" s="1241"/>
      <c r="AV222" s="1241"/>
      <c r="AW222" s="1241"/>
      <c r="AX222" s="1241"/>
      <c r="AY222" s="1241"/>
      <c r="AZ222" s="1241"/>
      <c r="BA222" s="1241"/>
      <c r="BB222" s="1241"/>
      <c r="BC222" s="1241"/>
      <c r="BD222" s="1241"/>
      <c r="BE222" s="1241"/>
      <c r="BF222" s="1241"/>
      <c r="BG222" s="1241"/>
      <c r="BH222" s="1241"/>
      <c r="BI222" s="1241"/>
      <c r="BJ222" s="1241"/>
      <c r="BK222" s="1241"/>
      <c r="BL222" s="1241"/>
      <c r="BM222" s="1241"/>
      <c r="BN222" s="1241"/>
      <c r="BO222" s="1241"/>
      <c r="BP222" s="1241"/>
      <c r="BQ222" s="1241"/>
      <c r="BR222" s="1241"/>
      <c r="BS222" s="1241"/>
      <c r="BT222" s="1241"/>
      <c r="BU222" s="1241"/>
      <c r="BV222" s="1241"/>
      <c r="BW222" s="1241"/>
      <c r="BX222" s="1241"/>
      <c r="BY222" s="1241"/>
      <c r="BZ222" s="1241"/>
      <c r="CA222" s="1241"/>
      <c r="CB222" s="1241"/>
      <c r="CC222" s="1241"/>
      <c r="CD222" s="1241"/>
      <c r="CE222" s="1241"/>
      <c r="CF222" s="1241"/>
      <c r="CG222" s="1241"/>
      <c r="CH222" s="1241"/>
      <c r="CI222" s="1241"/>
      <c r="CJ222" s="1241"/>
      <c r="CK222" s="1241"/>
      <c r="CL222" s="1241"/>
      <c r="CM222" s="1241"/>
      <c r="CN222" s="1241"/>
      <c r="CO222" s="1241"/>
      <c r="CP222" s="1241"/>
      <c r="CQ222" s="1241"/>
      <c r="CR222" s="1241"/>
      <c r="CS222" s="1241"/>
      <c r="CT222" s="1241"/>
      <c r="CU222" s="1241"/>
      <c r="CV222" s="1241"/>
      <c r="CW222" s="1241"/>
      <c r="CX222" s="1241"/>
      <c r="CY222" s="1241"/>
      <c r="CZ222" s="1241"/>
      <c r="DA222" s="1241"/>
      <c r="DB222" s="1241"/>
      <c r="DC222" s="1241"/>
      <c r="DD222" s="1241"/>
      <c r="DE222" s="1241"/>
      <c r="DF222" s="1241"/>
      <c r="DG222" s="1241"/>
      <c r="DH222" s="1241"/>
      <c r="DI222" s="1241"/>
      <c r="DJ222" s="1241"/>
      <c r="DK222" s="1241"/>
      <c r="DL222" s="1241"/>
      <c r="DM222" s="1241"/>
    </row>
    <row r="223" spans="1:117" s="1302" customFormat="1" ht="15">
      <c r="A223" s="1241"/>
      <c r="B223" s="1263"/>
      <c r="C223" s="1211" t="s">
        <v>3999</v>
      </c>
      <c r="D223" s="1211" t="s">
        <v>4000</v>
      </c>
      <c r="E223" s="1268"/>
      <c r="F223" s="1372"/>
      <c r="G223" s="1375"/>
      <c r="H223" s="1405">
        <v>0.01</v>
      </c>
      <c r="I223" s="1405">
        <v>0.01</v>
      </c>
      <c r="J223" s="1405">
        <v>0.01</v>
      </c>
      <c r="K223" s="1405">
        <v>0.01</v>
      </c>
      <c r="L223" s="1405">
        <v>0.01</v>
      </c>
      <c r="M223" s="1405">
        <v>0.01</v>
      </c>
      <c r="N223" s="1405">
        <v>0.01</v>
      </c>
      <c r="O223" s="1405">
        <v>0.01</v>
      </c>
      <c r="P223" s="1241"/>
      <c r="Q223" s="1241"/>
      <c r="R223" s="1241"/>
      <c r="S223" s="1241"/>
      <c r="T223" s="1241"/>
      <c r="U223" s="1241"/>
      <c r="V223" s="1241"/>
      <c r="W223" s="1241"/>
      <c r="X223" s="1241"/>
      <c r="Y223" s="1241"/>
      <c r="Z223" s="1241"/>
      <c r="AA223" s="1241"/>
      <c r="AB223" s="1241"/>
      <c r="AC223" s="1241"/>
      <c r="AD223" s="1241"/>
      <c r="AE223" s="1241"/>
      <c r="AF223" s="1241"/>
      <c r="AG223" s="1241"/>
      <c r="AH223" s="1241"/>
      <c r="AI223" s="1241"/>
      <c r="AJ223" s="1241"/>
      <c r="AK223" s="1241"/>
      <c r="AL223" s="1241"/>
      <c r="AM223" s="1241"/>
      <c r="AN223" s="1241"/>
      <c r="AO223" s="1241"/>
      <c r="AP223" s="1241"/>
      <c r="AQ223" s="1241"/>
      <c r="AR223" s="1241"/>
      <c r="AS223" s="1241"/>
      <c r="AT223" s="1241"/>
      <c r="AU223" s="1241"/>
      <c r="AV223" s="1241"/>
      <c r="AW223" s="1241"/>
      <c r="AX223" s="1241"/>
      <c r="AY223" s="1241"/>
      <c r="AZ223" s="1241"/>
      <c r="BA223" s="1241"/>
      <c r="BB223" s="1241"/>
      <c r="BC223" s="1241"/>
      <c r="BD223" s="1241"/>
      <c r="BE223" s="1241"/>
      <c r="BF223" s="1241"/>
      <c r="BG223" s="1241"/>
      <c r="BH223" s="1241"/>
      <c r="BI223" s="1241"/>
      <c r="BJ223" s="1241"/>
      <c r="BK223" s="1241"/>
      <c r="BL223" s="1241"/>
      <c r="BM223" s="1241"/>
      <c r="BN223" s="1241"/>
      <c r="BO223" s="1241"/>
      <c r="BP223" s="1241"/>
      <c r="BQ223" s="1241"/>
      <c r="BR223" s="1241"/>
      <c r="BS223" s="1241"/>
      <c r="BT223" s="1241"/>
      <c r="BU223" s="1241"/>
      <c r="BV223" s="1241"/>
      <c r="BW223" s="1241"/>
      <c r="BX223" s="1241"/>
      <c r="BY223" s="1241"/>
      <c r="BZ223" s="1241"/>
      <c r="CA223" s="1241"/>
      <c r="CB223" s="1241"/>
      <c r="CC223" s="1241"/>
      <c r="CD223" s="1241"/>
      <c r="CE223" s="1241"/>
      <c r="CF223" s="1241"/>
      <c r="CG223" s="1241"/>
      <c r="CH223" s="1241"/>
      <c r="CI223" s="1241"/>
      <c r="CJ223" s="1241"/>
      <c r="CK223" s="1241"/>
      <c r="CL223" s="1241"/>
      <c r="CM223" s="1241"/>
      <c r="CN223" s="1241"/>
      <c r="CO223" s="1241"/>
      <c r="CP223" s="1241"/>
      <c r="CQ223" s="1241"/>
      <c r="CR223" s="1241"/>
      <c r="CS223" s="1241"/>
      <c r="CT223" s="1241"/>
      <c r="CU223" s="1241"/>
      <c r="CV223" s="1241"/>
      <c r="CW223" s="1241"/>
      <c r="CX223" s="1241"/>
      <c r="CY223" s="1241"/>
      <c r="CZ223" s="1241"/>
      <c r="DA223" s="1241"/>
      <c r="DB223" s="1241"/>
      <c r="DC223" s="1241"/>
      <c r="DD223" s="1241"/>
      <c r="DE223" s="1241"/>
      <c r="DF223" s="1241"/>
      <c r="DG223" s="1241"/>
      <c r="DH223" s="1241"/>
      <c r="DI223" s="1241"/>
      <c r="DJ223" s="1241"/>
      <c r="DK223" s="1241"/>
      <c r="DL223" s="1241"/>
      <c r="DM223" s="1241"/>
    </row>
    <row r="224" spans="1:117" s="1302" customFormat="1" ht="15">
      <c r="A224" s="1241"/>
      <c r="B224" s="1263"/>
      <c r="C224" s="1211" t="s">
        <v>4001</v>
      </c>
      <c r="D224" s="1211" t="s">
        <v>4002</v>
      </c>
      <c r="E224" s="1268"/>
      <c r="F224" s="1372"/>
      <c r="G224" s="1375"/>
      <c r="H224" s="1405">
        <v>0</v>
      </c>
      <c r="I224" s="1405">
        <v>1.4814814814814814E-3</v>
      </c>
      <c r="J224" s="1405">
        <v>5.1851851851851859E-3</v>
      </c>
      <c r="K224" s="1405">
        <v>8.8888888888888889E-3</v>
      </c>
      <c r="L224" s="1405">
        <v>1.2592592592592593E-2</v>
      </c>
      <c r="M224" s="1405">
        <v>1.6296296296296295E-2</v>
      </c>
      <c r="N224" s="1405">
        <v>0.02</v>
      </c>
      <c r="O224" s="1405">
        <v>7.4074074074074077E-3</v>
      </c>
      <c r="P224" s="1241"/>
      <c r="Q224" s="1241"/>
      <c r="R224" s="1241"/>
      <c r="S224" s="1241"/>
      <c r="T224" s="1241"/>
      <c r="U224" s="1241"/>
      <c r="V224" s="1241"/>
      <c r="W224" s="1241"/>
      <c r="X224" s="1241"/>
      <c r="Y224" s="1241"/>
      <c r="Z224" s="1241"/>
      <c r="AA224" s="1241"/>
      <c r="AB224" s="1241"/>
      <c r="AC224" s="1241"/>
      <c r="AD224" s="1241"/>
      <c r="AE224" s="1241"/>
      <c r="AF224" s="1241"/>
      <c r="AG224" s="1241"/>
      <c r="AH224" s="1241"/>
      <c r="AI224" s="1241"/>
      <c r="AJ224" s="1241"/>
      <c r="AK224" s="1241"/>
      <c r="AL224" s="1241"/>
      <c r="AM224" s="1241"/>
      <c r="AN224" s="1241"/>
      <c r="AO224" s="1241"/>
      <c r="AP224" s="1241"/>
      <c r="AQ224" s="1241"/>
      <c r="AR224" s="1241"/>
      <c r="AS224" s="1241"/>
      <c r="AT224" s="1241"/>
      <c r="AU224" s="1241"/>
      <c r="AV224" s="1241"/>
      <c r="AW224" s="1241"/>
      <c r="AX224" s="1241"/>
      <c r="AY224" s="1241"/>
      <c r="AZ224" s="1241"/>
      <c r="BA224" s="1241"/>
      <c r="BB224" s="1241"/>
      <c r="BC224" s="1241"/>
      <c r="BD224" s="1241"/>
      <c r="BE224" s="1241"/>
      <c r="BF224" s="1241"/>
      <c r="BG224" s="1241"/>
      <c r="BH224" s="1241"/>
      <c r="BI224" s="1241"/>
      <c r="BJ224" s="1241"/>
      <c r="BK224" s="1241"/>
      <c r="BL224" s="1241"/>
      <c r="BM224" s="1241"/>
      <c r="BN224" s="1241"/>
      <c r="BO224" s="1241"/>
      <c r="BP224" s="1241"/>
      <c r="BQ224" s="1241"/>
      <c r="BR224" s="1241"/>
      <c r="BS224" s="1241"/>
      <c r="BT224" s="1241"/>
      <c r="BU224" s="1241"/>
      <c r="BV224" s="1241"/>
      <c r="BW224" s="1241"/>
      <c r="BX224" s="1241"/>
      <c r="BY224" s="1241"/>
      <c r="BZ224" s="1241"/>
      <c r="CA224" s="1241"/>
      <c r="CB224" s="1241"/>
      <c r="CC224" s="1241"/>
      <c r="CD224" s="1241"/>
      <c r="CE224" s="1241"/>
      <c r="CF224" s="1241"/>
      <c r="CG224" s="1241"/>
      <c r="CH224" s="1241"/>
      <c r="CI224" s="1241"/>
      <c r="CJ224" s="1241"/>
      <c r="CK224" s="1241"/>
      <c r="CL224" s="1241"/>
      <c r="CM224" s="1241"/>
      <c r="CN224" s="1241"/>
      <c r="CO224" s="1241"/>
      <c r="CP224" s="1241"/>
      <c r="CQ224" s="1241"/>
      <c r="CR224" s="1241"/>
      <c r="CS224" s="1241"/>
      <c r="CT224" s="1241"/>
      <c r="CU224" s="1241"/>
      <c r="CV224" s="1241"/>
      <c r="CW224" s="1241"/>
      <c r="CX224" s="1241"/>
      <c r="CY224" s="1241"/>
      <c r="CZ224" s="1241"/>
      <c r="DA224" s="1241"/>
      <c r="DB224" s="1241"/>
      <c r="DC224" s="1241"/>
      <c r="DD224" s="1241"/>
      <c r="DE224" s="1241"/>
      <c r="DF224" s="1241"/>
      <c r="DG224" s="1241"/>
      <c r="DH224" s="1241"/>
      <c r="DI224" s="1241"/>
      <c r="DJ224" s="1241"/>
      <c r="DK224" s="1241"/>
      <c r="DL224" s="1241"/>
      <c r="DM224" s="1241"/>
    </row>
    <row r="225" spans="1:117" s="1302" customFormat="1" ht="15">
      <c r="A225" s="1241"/>
      <c r="B225" s="1263"/>
      <c r="C225" s="1211" t="s">
        <v>4011</v>
      </c>
      <c r="D225" s="1211" t="s">
        <v>4012</v>
      </c>
      <c r="E225" s="1268"/>
      <c r="F225" s="1372"/>
      <c r="G225" s="1375"/>
      <c r="H225" s="1405">
        <v>0</v>
      </c>
      <c r="I225" s="1375">
        <v>0</v>
      </c>
      <c r="J225" s="1375">
        <v>0</v>
      </c>
      <c r="K225" s="1375">
        <v>0</v>
      </c>
      <c r="L225" s="1375">
        <v>0</v>
      </c>
      <c r="M225" s="1375">
        <v>0</v>
      </c>
      <c r="N225" s="1375">
        <v>0</v>
      </c>
      <c r="O225" s="1375">
        <v>0</v>
      </c>
      <c r="P225" s="1241"/>
      <c r="Q225" s="1241"/>
      <c r="R225" s="1241"/>
      <c r="S225" s="1241"/>
      <c r="T225" s="1241"/>
      <c r="U225" s="1241"/>
      <c r="V225" s="1241"/>
      <c r="W225" s="1241"/>
      <c r="X225" s="1241"/>
      <c r="Y225" s="1241"/>
      <c r="Z225" s="1241"/>
      <c r="AA225" s="1241"/>
      <c r="AB225" s="1241"/>
      <c r="AC225" s="1241"/>
      <c r="AD225" s="1241"/>
      <c r="AE225" s="1241"/>
      <c r="AF225" s="1241"/>
      <c r="AG225" s="1241"/>
      <c r="AH225" s="1241"/>
      <c r="AI225" s="1241"/>
      <c r="AJ225" s="1241"/>
      <c r="AK225" s="1241"/>
      <c r="AL225" s="1241"/>
      <c r="AM225" s="1241"/>
      <c r="AN225" s="1241"/>
      <c r="AO225" s="1241"/>
      <c r="AP225" s="1241"/>
      <c r="AQ225" s="1241"/>
      <c r="AR225" s="1241"/>
      <c r="AS225" s="1241"/>
      <c r="AT225" s="1241"/>
      <c r="AU225" s="1241"/>
      <c r="AV225" s="1241"/>
      <c r="AW225" s="1241"/>
      <c r="AX225" s="1241"/>
      <c r="AY225" s="1241"/>
      <c r="AZ225" s="1241"/>
      <c r="BA225" s="1241"/>
      <c r="BB225" s="1241"/>
      <c r="BC225" s="1241"/>
      <c r="BD225" s="1241"/>
      <c r="BE225" s="1241"/>
      <c r="BF225" s="1241"/>
      <c r="BG225" s="1241"/>
      <c r="BH225" s="1241"/>
      <c r="BI225" s="1241"/>
      <c r="BJ225" s="1241"/>
      <c r="BK225" s="1241"/>
      <c r="BL225" s="1241"/>
      <c r="BM225" s="1241"/>
      <c r="BN225" s="1241"/>
      <c r="BO225" s="1241"/>
      <c r="BP225" s="1241"/>
      <c r="BQ225" s="1241"/>
      <c r="BR225" s="1241"/>
      <c r="BS225" s="1241"/>
      <c r="BT225" s="1241"/>
      <c r="BU225" s="1241"/>
      <c r="BV225" s="1241"/>
      <c r="BW225" s="1241"/>
      <c r="BX225" s="1241"/>
      <c r="BY225" s="1241"/>
      <c r="BZ225" s="1241"/>
      <c r="CA225" s="1241"/>
      <c r="CB225" s="1241"/>
      <c r="CC225" s="1241"/>
      <c r="CD225" s="1241"/>
      <c r="CE225" s="1241"/>
      <c r="CF225" s="1241"/>
      <c r="CG225" s="1241"/>
      <c r="CH225" s="1241"/>
      <c r="CI225" s="1241"/>
      <c r="CJ225" s="1241"/>
      <c r="CK225" s="1241"/>
      <c r="CL225" s="1241"/>
      <c r="CM225" s="1241"/>
      <c r="CN225" s="1241"/>
      <c r="CO225" s="1241"/>
      <c r="CP225" s="1241"/>
      <c r="CQ225" s="1241"/>
      <c r="CR225" s="1241"/>
      <c r="CS225" s="1241"/>
      <c r="CT225" s="1241"/>
      <c r="CU225" s="1241"/>
      <c r="CV225" s="1241"/>
      <c r="CW225" s="1241"/>
      <c r="CX225" s="1241"/>
      <c r="CY225" s="1241"/>
      <c r="CZ225" s="1241"/>
      <c r="DA225" s="1241"/>
      <c r="DB225" s="1241"/>
      <c r="DC225" s="1241"/>
      <c r="DD225" s="1241"/>
      <c r="DE225" s="1241"/>
      <c r="DF225" s="1241"/>
      <c r="DG225" s="1241"/>
      <c r="DH225" s="1241"/>
      <c r="DI225" s="1241"/>
      <c r="DJ225" s="1241"/>
      <c r="DK225" s="1241"/>
      <c r="DL225" s="1241"/>
      <c r="DM225" s="1241"/>
    </row>
    <row r="226" spans="1:117" s="1302" customFormat="1" ht="15">
      <c r="A226" s="1241"/>
      <c r="B226" s="1263"/>
      <c r="C226" s="1406" t="s">
        <v>4025</v>
      </c>
      <c r="D226" s="1406" t="s">
        <v>4026</v>
      </c>
      <c r="E226" s="1406"/>
      <c r="F226" s="1407"/>
      <c r="G226" s="1408"/>
      <c r="H226" s="1413">
        <v>0</v>
      </c>
      <c r="I226" s="1408">
        <v>0</v>
      </c>
      <c r="J226" s="1408">
        <v>0</v>
      </c>
      <c r="K226" s="1408">
        <v>0</v>
      </c>
      <c r="L226" s="1408">
        <v>0</v>
      </c>
      <c r="M226" s="1408">
        <v>0</v>
      </c>
      <c r="N226" s="1408">
        <v>0</v>
      </c>
      <c r="O226" s="1408">
        <v>0</v>
      </c>
      <c r="P226" s="1241"/>
      <c r="Q226" s="1241"/>
      <c r="R226" s="1241"/>
      <c r="S226" s="1241"/>
      <c r="T226" s="1241"/>
      <c r="U226" s="1241"/>
      <c r="V226" s="1241"/>
      <c r="W226" s="1241"/>
      <c r="X226" s="1241"/>
      <c r="Y226" s="1241"/>
      <c r="Z226" s="1241"/>
      <c r="AA226" s="1241"/>
      <c r="AB226" s="1241"/>
      <c r="AC226" s="1241"/>
      <c r="AD226" s="1241"/>
      <c r="AE226" s="1241"/>
      <c r="AF226" s="1241"/>
      <c r="AG226" s="1241"/>
      <c r="AH226" s="1241"/>
      <c r="AI226" s="1241"/>
      <c r="AJ226" s="1241"/>
      <c r="AK226" s="1241"/>
      <c r="AL226" s="1241"/>
      <c r="AM226" s="1241"/>
      <c r="AN226" s="1241"/>
      <c r="AO226" s="1241"/>
      <c r="AP226" s="1241"/>
      <c r="AQ226" s="1241"/>
      <c r="AR226" s="1241"/>
      <c r="AS226" s="1241"/>
      <c r="AT226" s="1241"/>
      <c r="AU226" s="1241"/>
      <c r="AV226" s="1241"/>
      <c r="AW226" s="1241"/>
      <c r="AX226" s="1241"/>
      <c r="AY226" s="1241"/>
      <c r="AZ226" s="1241"/>
      <c r="BA226" s="1241"/>
      <c r="BB226" s="1241"/>
      <c r="BC226" s="1241"/>
      <c r="BD226" s="1241"/>
      <c r="BE226" s="1241"/>
      <c r="BF226" s="1241"/>
      <c r="BG226" s="1241"/>
      <c r="BH226" s="1241"/>
      <c r="BI226" s="1241"/>
      <c r="BJ226" s="1241"/>
      <c r="BK226" s="1241"/>
      <c r="BL226" s="1241"/>
      <c r="BM226" s="1241"/>
      <c r="BN226" s="1241"/>
      <c r="BO226" s="1241"/>
      <c r="BP226" s="1241"/>
      <c r="BQ226" s="1241"/>
      <c r="BR226" s="1241"/>
      <c r="BS226" s="1241"/>
      <c r="BT226" s="1241"/>
      <c r="BU226" s="1241"/>
      <c r="BV226" s="1241"/>
      <c r="BW226" s="1241"/>
      <c r="BX226" s="1241"/>
      <c r="BY226" s="1241"/>
      <c r="BZ226" s="1241"/>
      <c r="CA226" s="1241"/>
      <c r="CB226" s="1241"/>
      <c r="CC226" s="1241"/>
      <c r="CD226" s="1241"/>
      <c r="CE226" s="1241"/>
      <c r="CF226" s="1241"/>
      <c r="CG226" s="1241"/>
      <c r="CH226" s="1241"/>
      <c r="CI226" s="1241"/>
      <c r="CJ226" s="1241"/>
      <c r="CK226" s="1241"/>
      <c r="CL226" s="1241"/>
      <c r="CM226" s="1241"/>
      <c r="CN226" s="1241"/>
      <c r="CO226" s="1241"/>
      <c r="CP226" s="1241"/>
      <c r="CQ226" s="1241"/>
      <c r="CR226" s="1241"/>
      <c r="CS226" s="1241"/>
      <c r="CT226" s="1241"/>
      <c r="CU226" s="1241"/>
      <c r="CV226" s="1241"/>
      <c r="CW226" s="1241"/>
      <c r="CX226" s="1241"/>
      <c r="CY226" s="1241"/>
      <c r="CZ226" s="1241"/>
      <c r="DA226" s="1241"/>
      <c r="DB226" s="1241"/>
      <c r="DC226" s="1241"/>
      <c r="DD226" s="1241"/>
      <c r="DE226" s="1241"/>
      <c r="DF226" s="1241"/>
      <c r="DG226" s="1241"/>
      <c r="DH226" s="1241"/>
      <c r="DI226" s="1241"/>
      <c r="DJ226" s="1241"/>
      <c r="DK226" s="1241"/>
      <c r="DL226" s="1241"/>
      <c r="DM226" s="1241"/>
    </row>
    <row r="227" spans="1:117" s="1302" customFormat="1">
      <c r="A227" s="1241"/>
      <c r="B227" s="1263"/>
      <c r="C227" s="1406"/>
      <c r="D227" s="1406"/>
      <c r="E227" s="1406"/>
      <c r="F227" s="1407"/>
      <c r="G227" s="1408"/>
      <c r="H227" s="1408"/>
      <c r="I227" s="1408"/>
      <c r="J227" s="1408"/>
      <c r="K227" s="1408"/>
      <c r="L227" s="1408"/>
      <c r="M227" s="1408"/>
      <c r="N227" s="1408"/>
      <c r="O227" s="1408"/>
      <c r="P227" s="1241"/>
      <c r="Q227" s="1241"/>
      <c r="R227" s="1241"/>
      <c r="S227" s="1241"/>
      <c r="T227" s="1241"/>
      <c r="U227" s="1241"/>
      <c r="V227" s="1241"/>
      <c r="W227" s="1241"/>
      <c r="X227" s="1241"/>
      <c r="Y227" s="1241"/>
      <c r="Z227" s="1241"/>
      <c r="AA227" s="1241"/>
      <c r="AB227" s="1241"/>
      <c r="AC227" s="1241"/>
      <c r="AD227" s="1241"/>
      <c r="AE227" s="1241"/>
      <c r="AF227" s="1241"/>
      <c r="AG227" s="1241"/>
      <c r="AH227" s="1241"/>
      <c r="AI227" s="1241"/>
      <c r="AJ227" s="1241"/>
      <c r="AK227" s="1241"/>
      <c r="AL227" s="1241"/>
      <c r="AM227" s="1241"/>
      <c r="AN227" s="1241"/>
      <c r="AO227" s="1241"/>
      <c r="AP227" s="1241"/>
      <c r="AQ227" s="1241"/>
      <c r="AR227" s="1241"/>
      <c r="AS227" s="1241"/>
      <c r="AT227" s="1241"/>
      <c r="AU227" s="1241"/>
      <c r="AV227" s="1241"/>
      <c r="AW227" s="1241"/>
      <c r="AX227" s="1241"/>
      <c r="AY227" s="1241"/>
      <c r="AZ227" s="1241"/>
      <c r="BA227" s="1241"/>
      <c r="BB227" s="1241"/>
      <c r="BC227" s="1241"/>
      <c r="BD227" s="1241"/>
      <c r="BE227" s="1241"/>
      <c r="BF227" s="1241"/>
      <c r="BG227" s="1241"/>
      <c r="BH227" s="1241"/>
      <c r="BI227" s="1241"/>
      <c r="BJ227" s="1241"/>
      <c r="BK227" s="1241"/>
      <c r="BL227" s="1241"/>
      <c r="BM227" s="1241"/>
      <c r="BN227" s="1241"/>
      <c r="BO227" s="1241"/>
      <c r="BP227" s="1241"/>
      <c r="BQ227" s="1241"/>
      <c r="BR227" s="1241"/>
      <c r="BS227" s="1241"/>
      <c r="BT227" s="1241"/>
      <c r="BU227" s="1241"/>
      <c r="BV227" s="1241"/>
      <c r="BW227" s="1241"/>
      <c r="BX227" s="1241"/>
      <c r="BY227" s="1241"/>
      <c r="BZ227" s="1241"/>
      <c r="CA227" s="1241"/>
      <c r="CB227" s="1241"/>
      <c r="CC227" s="1241"/>
      <c r="CD227" s="1241"/>
      <c r="CE227" s="1241"/>
      <c r="CF227" s="1241"/>
      <c r="CG227" s="1241"/>
      <c r="CH227" s="1241"/>
      <c r="CI227" s="1241"/>
      <c r="CJ227" s="1241"/>
      <c r="CK227" s="1241"/>
      <c r="CL227" s="1241"/>
      <c r="CM227" s="1241"/>
      <c r="CN227" s="1241"/>
      <c r="CO227" s="1241"/>
      <c r="CP227" s="1241"/>
      <c r="CQ227" s="1241"/>
      <c r="CR227" s="1241"/>
      <c r="CS227" s="1241"/>
      <c r="CT227" s="1241"/>
      <c r="CU227" s="1241"/>
      <c r="CV227" s="1241"/>
      <c r="CW227" s="1241"/>
      <c r="CX227" s="1241"/>
      <c r="CY227" s="1241"/>
      <c r="CZ227" s="1241"/>
      <c r="DA227" s="1241"/>
      <c r="DB227" s="1241"/>
      <c r="DC227" s="1241"/>
      <c r="DD227" s="1241"/>
      <c r="DE227" s="1241"/>
      <c r="DF227" s="1241"/>
      <c r="DG227" s="1241"/>
      <c r="DH227" s="1241"/>
      <c r="DI227" s="1241"/>
      <c r="DJ227" s="1241"/>
      <c r="DK227" s="1241"/>
      <c r="DL227" s="1241"/>
      <c r="DM227" s="1241"/>
    </row>
    <row r="228" spans="1:117" s="1302" customFormat="1">
      <c r="A228" s="1241"/>
      <c r="B228" s="1263"/>
      <c r="C228" s="1201" t="s">
        <v>4166</v>
      </c>
      <c r="D228" s="1201" t="s">
        <v>4244</v>
      </c>
      <c r="E228" s="1201" t="s">
        <v>48</v>
      </c>
      <c r="F228" s="1203"/>
      <c r="G228" s="1202"/>
      <c r="H228" s="1202">
        <v>2020</v>
      </c>
      <c r="I228" s="1202">
        <v>2022</v>
      </c>
      <c r="J228" s="1202">
        <v>2027</v>
      </c>
      <c r="K228" s="1202">
        <v>2032</v>
      </c>
      <c r="L228" s="1202">
        <v>2037</v>
      </c>
      <c r="M228" s="1202">
        <v>2042</v>
      </c>
      <c r="N228" s="1202">
        <v>2047</v>
      </c>
      <c r="O228" s="1202">
        <v>2030</v>
      </c>
      <c r="P228" s="1241"/>
      <c r="Q228" s="1241"/>
      <c r="R228" s="1241"/>
      <c r="S228" s="1241"/>
      <c r="T228" s="1241"/>
      <c r="U228" s="1241"/>
      <c r="V228" s="1241"/>
      <c r="W228" s="1241"/>
      <c r="X228" s="1241"/>
      <c r="Y228" s="1241"/>
      <c r="Z228" s="1241"/>
      <c r="AA228" s="1241"/>
      <c r="AB228" s="1241"/>
      <c r="AC228" s="1241"/>
      <c r="AD228" s="1241"/>
      <c r="AE228" s="1241"/>
      <c r="AF228" s="1241"/>
      <c r="AG228" s="1241"/>
      <c r="AH228" s="1241"/>
      <c r="AI228" s="1241"/>
      <c r="AJ228" s="1241"/>
      <c r="AK228" s="1241"/>
      <c r="AL228" s="1241"/>
      <c r="AM228" s="1241"/>
      <c r="AN228" s="1241"/>
      <c r="AO228" s="1241"/>
      <c r="AP228" s="1241"/>
      <c r="AQ228" s="1241"/>
      <c r="AR228" s="1241"/>
      <c r="AS228" s="1241"/>
      <c r="AT228" s="1241"/>
      <c r="AU228" s="1241"/>
      <c r="AV228" s="1241"/>
      <c r="AW228" s="1241"/>
      <c r="AX228" s="1241"/>
      <c r="AY228" s="1241"/>
      <c r="AZ228" s="1241"/>
      <c r="BA228" s="1241"/>
      <c r="BB228" s="1241"/>
      <c r="BC228" s="1241"/>
      <c r="BD228" s="1241"/>
      <c r="BE228" s="1241"/>
      <c r="BF228" s="1241"/>
      <c r="BG228" s="1241"/>
      <c r="BH228" s="1241"/>
      <c r="BI228" s="1241"/>
      <c r="BJ228" s="1241"/>
      <c r="BK228" s="1241"/>
      <c r="BL228" s="1241"/>
      <c r="BM228" s="1241"/>
      <c r="BN228" s="1241"/>
      <c r="BO228" s="1241"/>
      <c r="BP228" s="1241"/>
      <c r="BQ228" s="1241"/>
      <c r="BR228" s="1241"/>
      <c r="BS228" s="1241"/>
      <c r="BT228" s="1241"/>
      <c r="BU228" s="1241"/>
      <c r="BV228" s="1241"/>
      <c r="BW228" s="1241"/>
      <c r="BX228" s="1241"/>
      <c r="BY228" s="1241"/>
      <c r="BZ228" s="1241"/>
      <c r="CA228" s="1241"/>
      <c r="CB228" s="1241"/>
      <c r="CC228" s="1241"/>
      <c r="CD228" s="1241"/>
      <c r="CE228" s="1241"/>
      <c r="CF228" s="1241"/>
      <c r="CG228" s="1241"/>
      <c r="CH228" s="1241"/>
      <c r="CI228" s="1241"/>
      <c r="CJ228" s="1241"/>
      <c r="CK228" s="1241"/>
      <c r="CL228" s="1241"/>
      <c r="CM228" s="1241"/>
      <c r="CN228" s="1241"/>
      <c r="CO228" s="1241"/>
      <c r="CP228" s="1241"/>
      <c r="CQ228" s="1241"/>
      <c r="CR228" s="1241"/>
      <c r="CS228" s="1241"/>
      <c r="CT228" s="1241"/>
      <c r="CU228" s="1241"/>
      <c r="CV228" s="1241"/>
      <c r="CW228" s="1241"/>
      <c r="CX228" s="1241"/>
      <c r="CY228" s="1241"/>
      <c r="CZ228" s="1241"/>
      <c r="DA228" s="1241"/>
      <c r="DB228" s="1241"/>
      <c r="DC228" s="1241"/>
      <c r="DD228" s="1241"/>
      <c r="DE228" s="1241"/>
      <c r="DF228" s="1241"/>
      <c r="DG228" s="1241"/>
      <c r="DH228" s="1241"/>
      <c r="DI228" s="1241"/>
      <c r="DJ228" s="1241"/>
      <c r="DK228" s="1241"/>
      <c r="DL228" s="1241"/>
      <c r="DM228" s="1241"/>
    </row>
    <row r="229" spans="1:117" s="1302" customFormat="1" ht="15">
      <c r="A229" s="1241"/>
      <c r="B229" s="1263"/>
      <c r="C229" s="1211" t="s">
        <v>4032</v>
      </c>
      <c r="D229" s="1211" t="s">
        <v>4033</v>
      </c>
      <c r="E229" s="1268" t="s">
        <v>4245</v>
      </c>
      <c r="F229" s="1372"/>
      <c r="G229" s="1375"/>
      <c r="H229" s="1375">
        <v>0.02</v>
      </c>
      <c r="I229" s="1405">
        <v>2.5925925925925925E-2</v>
      </c>
      <c r="J229" s="1405">
        <v>6.0185185185185189E-2</v>
      </c>
      <c r="K229" s="1405">
        <v>8.8888888888888892E-2</v>
      </c>
      <c r="L229" s="1405">
        <v>0.11759259259259258</v>
      </c>
      <c r="M229" s="1405">
        <v>0.14629629629629629</v>
      </c>
      <c r="N229" s="1375">
        <v>0.17499999999999999</v>
      </c>
      <c r="O229" s="1405">
        <v>7.7407407407407411E-2</v>
      </c>
      <c r="P229" s="1241"/>
      <c r="Q229" s="1241"/>
      <c r="R229" s="1241"/>
      <c r="S229" s="1241"/>
      <c r="T229" s="1241"/>
      <c r="U229" s="1241"/>
      <c r="V229" s="1241"/>
      <c r="W229" s="1241"/>
      <c r="X229" s="1241"/>
      <c r="Y229" s="1241"/>
      <c r="Z229" s="1241"/>
      <c r="AA229" s="1241"/>
      <c r="AB229" s="1241"/>
      <c r="AC229" s="1241"/>
      <c r="AD229" s="1241"/>
      <c r="AE229" s="1241"/>
      <c r="AF229" s="1241"/>
      <c r="AG229" s="1241"/>
      <c r="AH229" s="1241"/>
      <c r="AI229" s="1241"/>
      <c r="AJ229" s="1241"/>
      <c r="AK229" s="1241"/>
      <c r="AL229" s="1241"/>
      <c r="AM229" s="1241"/>
      <c r="AN229" s="1241"/>
      <c r="AO229" s="1241"/>
      <c r="AP229" s="1241"/>
      <c r="AQ229" s="1241"/>
      <c r="AR229" s="1241"/>
      <c r="AS229" s="1241"/>
      <c r="AT229" s="1241"/>
      <c r="AU229" s="1241"/>
      <c r="AV229" s="1241"/>
      <c r="AW229" s="1241"/>
      <c r="AX229" s="1241"/>
      <c r="AY229" s="1241"/>
      <c r="AZ229" s="1241"/>
      <c r="BA229" s="1241"/>
      <c r="BB229" s="1241"/>
      <c r="BC229" s="1241"/>
      <c r="BD229" s="1241"/>
      <c r="BE229" s="1241"/>
      <c r="BF229" s="1241"/>
      <c r="BG229" s="1241"/>
      <c r="BH229" s="1241"/>
      <c r="BI229" s="1241"/>
      <c r="BJ229" s="1241"/>
      <c r="BK229" s="1241"/>
      <c r="BL229" s="1241"/>
      <c r="BM229" s="1241"/>
      <c r="BN229" s="1241"/>
      <c r="BO229" s="1241"/>
      <c r="BP229" s="1241"/>
      <c r="BQ229" s="1241"/>
      <c r="BR229" s="1241"/>
      <c r="BS229" s="1241"/>
      <c r="BT229" s="1241"/>
      <c r="BU229" s="1241"/>
      <c r="BV229" s="1241"/>
      <c r="BW229" s="1241"/>
      <c r="BX229" s="1241"/>
      <c r="BY229" s="1241"/>
      <c r="BZ229" s="1241"/>
      <c r="CA229" s="1241"/>
      <c r="CB229" s="1241"/>
      <c r="CC229" s="1241"/>
      <c r="CD229" s="1241"/>
      <c r="CE229" s="1241"/>
      <c r="CF229" s="1241"/>
      <c r="CG229" s="1241"/>
      <c r="CH229" s="1241"/>
      <c r="CI229" s="1241"/>
      <c r="CJ229" s="1241"/>
      <c r="CK229" s="1241"/>
      <c r="CL229" s="1241"/>
      <c r="CM229" s="1241"/>
      <c r="CN229" s="1241"/>
      <c r="CO229" s="1241"/>
      <c r="CP229" s="1241"/>
      <c r="CQ229" s="1241"/>
      <c r="CR229" s="1241"/>
      <c r="CS229" s="1241"/>
      <c r="CT229" s="1241"/>
      <c r="CU229" s="1241"/>
      <c r="CV229" s="1241"/>
      <c r="CW229" s="1241"/>
      <c r="CX229" s="1241"/>
      <c r="CY229" s="1241"/>
      <c r="CZ229" s="1241"/>
      <c r="DA229" s="1241"/>
      <c r="DB229" s="1241"/>
      <c r="DC229" s="1241"/>
      <c r="DD229" s="1241"/>
      <c r="DE229" s="1241"/>
      <c r="DF229" s="1241"/>
      <c r="DG229" s="1241"/>
      <c r="DH229" s="1241"/>
      <c r="DI229" s="1241"/>
      <c r="DJ229" s="1241"/>
      <c r="DK229" s="1241"/>
      <c r="DL229" s="1241"/>
      <c r="DM229" s="1241"/>
    </row>
    <row r="230" spans="1:117" s="1302" customFormat="1" ht="15">
      <c r="A230" s="1241"/>
      <c r="B230" s="1263"/>
      <c r="C230" s="1211" t="s">
        <v>3997</v>
      </c>
      <c r="D230" s="1211" t="s">
        <v>3998</v>
      </c>
      <c r="E230" s="1268"/>
      <c r="F230" s="1372"/>
      <c r="G230" s="1375"/>
      <c r="H230" s="1375">
        <v>0.97</v>
      </c>
      <c r="I230" s="1375">
        <v>0.96259259259259256</v>
      </c>
      <c r="J230" s="1375">
        <v>0.91685185185185181</v>
      </c>
      <c r="K230" s="1375">
        <v>0.87888888888888883</v>
      </c>
      <c r="L230" s="1375">
        <v>0.84092592592592597</v>
      </c>
      <c r="M230" s="1375">
        <v>0.80296296296296299</v>
      </c>
      <c r="N230" s="1375">
        <v>0.7649999999999999</v>
      </c>
      <c r="O230" s="1375">
        <v>0.89407407407407413</v>
      </c>
      <c r="P230" s="1241"/>
      <c r="Q230" s="1241"/>
      <c r="R230" s="1241"/>
      <c r="S230" s="1241"/>
      <c r="T230" s="1241"/>
      <c r="U230" s="1241"/>
      <c r="V230" s="1241"/>
      <c r="W230" s="1241"/>
      <c r="X230" s="1241"/>
      <c r="Y230" s="1241"/>
      <c r="Z230" s="1241"/>
      <c r="AA230" s="1241"/>
      <c r="AB230" s="1241"/>
      <c r="AC230" s="1241"/>
      <c r="AD230" s="1241"/>
      <c r="AE230" s="1241"/>
      <c r="AF230" s="1241"/>
      <c r="AG230" s="1241"/>
      <c r="AH230" s="1241"/>
      <c r="AI230" s="1241"/>
      <c r="AJ230" s="1241"/>
      <c r="AK230" s="1241"/>
      <c r="AL230" s="1241"/>
      <c r="AM230" s="1241"/>
      <c r="AN230" s="1241"/>
      <c r="AO230" s="1241"/>
      <c r="AP230" s="1241"/>
      <c r="AQ230" s="1241"/>
      <c r="AR230" s="1241"/>
      <c r="AS230" s="1241"/>
      <c r="AT230" s="1241"/>
      <c r="AU230" s="1241"/>
      <c r="AV230" s="1241"/>
      <c r="AW230" s="1241"/>
      <c r="AX230" s="1241"/>
      <c r="AY230" s="1241"/>
      <c r="AZ230" s="1241"/>
      <c r="BA230" s="1241"/>
      <c r="BB230" s="1241"/>
      <c r="BC230" s="1241"/>
      <c r="BD230" s="1241"/>
      <c r="BE230" s="1241"/>
      <c r="BF230" s="1241"/>
      <c r="BG230" s="1241"/>
      <c r="BH230" s="1241"/>
      <c r="BI230" s="1241"/>
      <c r="BJ230" s="1241"/>
      <c r="BK230" s="1241"/>
      <c r="BL230" s="1241"/>
      <c r="BM230" s="1241"/>
      <c r="BN230" s="1241"/>
      <c r="BO230" s="1241"/>
      <c r="BP230" s="1241"/>
      <c r="BQ230" s="1241"/>
      <c r="BR230" s="1241"/>
      <c r="BS230" s="1241"/>
      <c r="BT230" s="1241"/>
      <c r="BU230" s="1241"/>
      <c r="BV230" s="1241"/>
      <c r="BW230" s="1241"/>
      <c r="BX230" s="1241"/>
      <c r="BY230" s="1241"/>
      <c r="BZ230" s="1241"/>
      <c r="CA230" s="1241"/>
      <c r="CB230" s="1241"/>
      <c r="CC230" s="1241"/>
      <c r="CD230" s="1241"/>
      <c r="CE230" s="1241"/>
      <c r="CF230" s="1241"/>
      <c r="CG230" s="1241"/>
      <c r="CH230" s="1241"/>
      <c r="CI230" s="1241"/>
      <c r="CJ230" s="1241"/>
      <c r="CK230" s="1241"/>
      <c r="CL230" s="1241"/>
      <c r="CM230" s="1241"/>
      <c r="CN230" s="1241"/>
      <c r="CO230" s="1241"/>
      <c r="CP230" s="1241"/>
      <c r="CQ230" s="1241"/>
      <c r="CR230" s="1241"/>
      <c r="CS230" s="1241"/>
      <c r="CT230" s="1241"/>
      <c r="CU230" s="1241"/>
      <c r="CV230" s="1241"/>
      <c r="CW230" s="1241"/>
      <c r="CX230" s="1241"/>
      <c r="CY230" s="1241"/>
      <c r="CZ230" s="1241"/>
      <c r="DA230" s="1241"/>
      <c r="DB230" s="1241"/>
      <c r="DC230" s="1241"/>
      <c r="DD230" s="1241"/>
      <c r="DE230" s="1241"/>
      <c r="DF230" s="1241"/>
      <c r="DG230" s="1241"/>
      <c r="DH230" s="1241"/>
      <c r="DI230" s="1241"/>
      <c r="DJ230" s="1241"/>
      <c r="DK230" s="1241"/>
      <c r="DL230" s="1241"/>
      <c r="DM230" s="1241"/>
    </row>
    <row r="231" spans="1:117" s="1302" customFormat="1" ht="15">
      <c r="A231" s="1241"/>
      <c r="B231" s="1263"/>
      <c r="C231" s="1211" t="s">
        <v>3999</v>
      </c>
      <c r="D231" s="1211" t="s">
        <v>4000</v>
      </c>
      <c r="E231" s="1268"/>
      <c r="F231" s="1372"/>
      <c r="G231" s="1375"/>
      <c r="H231" s="1375">
        <v>0.01</v>
      </c>
      <c r="I231" s="1405">
        <v>0.01</v>
      </c>
      <c r="J231" s="1405">
        <v>0.01</v>
      </c>
      <c r="K231" s="1405">
        <v>0.01</v>
      </c>
      <c r="L231" s="1405">
        <v>0.01</v>
      </c>
      <c r="M231" s="1405">
        <v>0.01</v>
      </c>
      <c r="N231" s="1375">
        <v>0.01</v>
      </c>
      <c r="O231" s="1405">
        <v>0.01</v>
      </c>
      <c r="P231" s="1241"/>
      <c r="Q231" s="1241"/>
      <c r="R231" s="1241"/>
      <c r="S231" s="1241"/>
      <c r="T231" s="1241"/>
      <c r="U231" s="1241"/>
      <c r="V231" s="1241"/>
      <c r="W231" s="1241"/>
      <c r="X231" s="1241"/>
      <c r="Y231" s="1241"/>
      <c r="Z231" s="1241"/>
      <c r="AA231" s="1241"/>
      <c r="AB231" s="1241"/>
      <c r="AC231" s="1241"/>
      <c r="AD231" s="1241"/>
      <c r="AE231" s="1241"/>
      <c r="AF231" s="1241"/>
      <c r="AG231" s="1241"/>
      <c r="AH231" s="1241"/>
      <c r="AI231" s="1241"/>
      <c r="AJ231" s="1241"/>
      <c r="AK231" s="1241"/>
      <c r="AL231" s="1241"/>
      <c r="AM231" s="1241"/>
      <c r="AN231" s="1241"/>
      <c r="AO231" s="1241"/>
      <c r="AP231" s="1241"/>
      <c r="AQ231" s="1241"/>
      <c r="AR231" s="1241"/>
      <c r="AS231" s="1241"/>
      <c r="AT231" s="1241"/>
      <c r="AU231" s="1241"/>
      <c r="AV231" s="1241"/>
      <c r="AW231" s="1241"/>
      <c r="AX231" s="1241"/>
      <c r="AY231" s="1241"/>
      <c r="AZ231" s="1241"/>
      <c r="BA231" s="1241"/>
      <c r="BB231" s="1241"/>
      <c r="BC231" s="1241"/>
      <c r="BD231" s="1241"/>
      <c r="BE231" s="1241"/>
      <c r="BF231" s="1241"/>
      <c r="BG231" s="1241"/>
      <c r="BH231" s="1241"/>
      <c r="BI231" s="1241"/>
      <c r="BJ231" s="1241"/>
      <c r="BK231" s="1241"/>
      <c r="BL231" s="1241"/>
      <c r="BM231" s="1241"/>
      <c r="BN231" s="1241"/>
      <c r="BO231" s="1241"/>
      <c r="BP231" s="1241"/>
      <c r="BQ231" s="1241"/>
      <c r="BR231" s="1241"/>
      <c r="BS231" s="1241"/>
      <c r="BT231" s="1241"/>
      <c r="BU231" s="1241"/>
      <c r="BV231" s="1241"/>
      <c r="BW231" s="1241"/>
      <c r="BX231" s="1241"/>
      <c r="BY231" s="1241"/>
      <c r="BZ231" s="1241"/>
      <c r="CA231" s="1241"/>
      <c r="CB231" s="1241"/>
      <c r="CC231" s="1241"/>
      <c r="CD231" s="1241"/>
      <c r="CE231" s="1241"/>
      <c r="CF231" s="1241"/>
      <c r="CG231" s="1241"/>
      <c r="CH231" s="1241"/>
      <c r="CI231" s="1241"/>
      <c r="CJ231" s="1241"/>
      <c r="CK231" s="1241"/>
      <c r="CL231" s="1241"/>
      <c r="CM231" s="1241"/>
      <c r="CN231" s="1241"/>
      <c r="CO231" s="1241"/>
      <c r="CP231" s="1241"/>
      <c r="CQ231" s="1241"/>
      <c r="CR231" s="1241"/>
      <c r="CS231" s="1241"/>
      <c r="CT231" s="1241"/>
      <c r="CU231" s="1241"/>
      <c r="CV231" s="1241"/>
      <c r="CW231" s="1241"/>
      <c r="CX231" s="1241"/>
      <c r="CY231" s="1241"/>
      <c r="CZ231" s="1241"/>
      <c r="DA231" s="1241"/>
      <c r="DB231" s="1241"/>
      <c r="DC231" s="1241"/>
      <c r="DD231" s="1241"/>
      <c r="DE231" s="1241"/>
      <c r="DF231" s="1241"/>
      <c r="DG231" s="1241"/>
      <c r="DH231" s="1241"/>
      <c r="DI231" s="1241"/>
      <c r="DJ231" s="1241"/>
      <c r="DK231" s="1241"/>
      <c r="DL231" s="1241"/>
      <c r="DM231" s="1241"/>
    </row>
    <row r="232" spans="1:117" s="1302" customFormat="1" ht="15">
      <c r="A232" s="1241"/>
      <c r="B232" s="1263"/>
      <c r="C232" s="1211" t="s">
        <v>4001</v>
      </c>
      <c r="D232" s="1211" t="s">
        <v>4002</v>
      </c>
      <c r="E232" s="1268"/>
      <c r="F232" s="1372"/>
      <c r="G232" s="1375"/>
      <c r="H232" s="1375">
        <v>0</v>
      </c>
      <c r="I232" s="1405">
        <v>1.4814814814814814E-3</v>
      </c>
      <c r="J232" s="1405">
        <v>1.2962962962962964E-2</v>
      </c>
      <c r="K232" s="1405">
        <v>2.2222222222222227E-2</v>
      </c>
      <c r="L232" s="1405">
        <v>3.1481481481481485E-2</v>
      </c>
      <c r="M232" s="1405">
        <v>4.0740740740740744E-2</v>
      </c>
      <c r="N232" s="1375">
        <v>0.05</v>
      </c>
      <c r="O232" s="1405">
        <v>1.8518518518518517E-2</v>
      </c>
      <c r="P232" s="1241"/>
      <c r="Q232" s="1241"/>
      <c r="R232" s="1241"/>
      <c r="S232" s="1241"/>
      <c r="T232" s="1241"/>
      <c r="U232" s="1241"/>
      <c r="V232" s="1241"/>
      <c r="W232" s="1241"/>
      <c r="X232" s="1241"/>
      <c r="Y232" s="1241"/>
      <c r="Z232" s="1241"/>
      <c r="AA232" s="1241"/>
      <c r="AB232" s="1241"/>
      <c r="AC232" s="1241"/>
      <c r="AD232" s="1241"/>
      <c r="AE232" s="1241"/>
      <c r="AF232" s="1241"/>
      <c r="AG232" s="1241"/>
      <c r="AH232" s="1241"/>
      <c r="AI232" s="1241"/>
      <c r="AJ232" s="1241"/>
      <c r="AK232" s="1241"/>
      <c r="AL232" s="1241"/>
      <c r="AM232" s="1241"/>
      <c r="AN232" s="1241"/>
      <c r="AO232" s="1241"/>
      <c r="AP232" s="1241"/>
      <c r="AQ232" s="1241"/>
      <c r="AR232" s="1241"/>
      <c r="AS232" s="1241"/>
      <c r="AT232" s="1241"/>
      <c r="AU232" s="1241"/>
      <c r="AV232" s="1241"/>
      <c r="AW232" s="1241"/>
      <c r="AX232" s="1241"/>
      <c r="AY232" s="1241"/>
      <c r="AZ232" s="1241"/>
      <c r="BA232" s="1241"/>
      <c r="BB232" s="1241"/>
      <c r="BC232" s="1241"/>
      <c r="BD232" s="1241"/>
      <c r="BE232" s="1241"/>
      <c r="BF232" s="1241"/>
      <c r="BG232" s="1241"/>
      <c r="BH232" s="1241"/>
      <c r="BI232" s="1241"/>
      <c r="BJ232" s="1241"/>
      <c r="BK232" s="1241"/>
      <c r="BL232" s="1241"/>
      <c r="BM232" s="1241"/>
      <c r="BN232" s="1241"/>
      <c r="BO232" s="1241"/>
      <c r="BP232" s="1241"/>
      <c r="BQ232" s="1241"/>
      <c r="BR232" s="1241"/>
      <c r="BS232" s="1241"/>
      <c r="BT232" s="1241"/>
      <c r="BU232" s="1241"/>
      <c r="BV232" s="1241"/>
      <c r="BW232" s="1241"/>
      <c r="BX232" s="1241"/>
      <c r="BY232" s="1241"/>
      <c r="BZ232" s="1241"/>
      <c r="CA232" s="1241"/>
      <c r="CB232" s="1241"/>
      <c r="CC232" s="1241"/>
      <c r="CD232" s="1241"/>
      <c r="CE232" s="1241"/>
      <c r="CF232" s="1241"/>
      <c r="CG232" s="1241"/>
      <c r="CH232" s="1241"/>
      <c r="CI232" s="1241"/>
      <c r="CJ232" s="1241"/>
      <c r="CK232" s="1241"/>
      <c r="CL232" s="1241"/>
      <c r="CM232" s="1241"/>
      <c r="CN232" s="1241"/>
      <c r="CO232" s="1241"/>
      <c r="CP232" s="1241"/>
      <c r="CQ232" s="1241"/>
      <c r="CR232" s="1241"/>
      <c r="CS232" s="1241"/>
      <c r="CT232" s="1241"/>
      <c r="CU232" s="1241"/>
      <c r="CV232" s="1241"/>
      <c r="CW232" s="1241"/>
      <c r="CX232" s="1241"/>
      <c r="CY232" s="1241"/>
      <c r="CZ232" s="1241"/>
      <c r="DA232" s="1241"/>
      <c r="DB232" s="1241"/>
      <c r="DC232" s="1241"/>
      <c r="DD232" s="1241"/>
      <c r="DE232" s="1241"/>
      <c r="DF232" s="1241"/>
      <c r="DG232" s="1241"/>
      <c r="DH232" s="1241"/>
      <c r="DI232" s="1241"/>
      <c r="DJ232" s="1241"/>
      <c r="DK232" s="1241"/>
      <c r="DL232" s="1241"/>
      <c r="DM232" s="1241"/>
    </row>
    <row r="233" spans="1:117" s="1302" customFormat="1" ht="15">
      <c r="A233" s="1241"/>
      <c r="B233" s="1263"/>
      <c r="C233" s="1211" t="s">
        <v>4011</v>
      </c>
      <c r="D233" s="1211" t="s">
        <v>4012</v>
      </c>
      <c r="E233" s="1268"/>
      <c r="F233" s="1372"/>
      <c r="G233" s="1375"/>
      <c r="H233" s="1375">
        <v>0</v>
      </c>
      <c r="I233" s="1375">
        <v>0</v>
      </c>
      <c r="J233" s="1375">
        <v>0</v>
      </c>
      <c r="K233" s="1375">
        <v>0</v>
      </c>
      <c r="L233" s="1375">
        <v>0</v>
      </c>
      <c r="M233" s="1375">
        <v>0</v>
      </c>
      <c r="N233" s="1375">
        <v>0</v>
      </c>
      <c r="O233" s="1375">
        <v>0</v>
      </c>
      <c r="P233" s="1241"/>
      <c r="Q233" s="1241"/>
      <c r="R233" s="1241"/>
      <c r="S233" s="1241"/>
      <c r="T233" s="1241"/>
      <c r="U233" s="1241"/>
      <c r="V233" s="1241"/>
      <c r="W233" s="1241"/>
      <c r="X233" s="1241"/>
      <c r="Y233" s="1241"/>
      <c r="Z233" s="1241"/>
      <c r="AA233" s="1241"/>
      <c r="AB233" s="1241"/>
      <c r="AC233" s="1241"/>
      <c r="AD233" s="1241"/>
      <c r="AE233" s="1241"/>
      <c r="AF233" s="1241"/>
      <c r="AG233" s="1241"/>
      <c r="AH233" s="1241"/>
      <c r="AI233" s="1241"/>
      <c r="AJ233" s="1241"/>
      <c r="AK233" s="1241"/>
      <c r="AL233" s="1241"/>
      <c r="AM233" s="1241"/>
      <c r="AN233" s="1241"/>
      <c r="AO233" s="1241"/>
      <c r="AP233" s="1241"/>
      <c r="AQ233" s="1241"/>
      <c r="AR233" s="1241"/>
      <c r="AS233" s="1241"/>
      <c r="AT233" s="1241"/>
      <c r="AU233" s="1241"/>
      <c r="AV233" s="1241"/>
      <c r="AW233" s="1241"/>
      <c r="AX233" s="1241"/>
      <c r="AY233" s="1241"/>
      <c r="AZ233" s="1241"/>
      <c r="BA233" s="1241"/>
      <c r="BB233" s="1241"/>
      <c r="BC233" s="1241"/>
      <c r="BD233" s="1241"/>
      <c r="BE233" s="1241"/>
      <c r="BF233" s="1241"/>
      <c r="BG233" s="1241"/>
      <c r="BH233" s="1241"/>
      <c r="BI233" s="1241"/>
      <c r="BJ233" s="1241"/>
      <c r="BK233" s="1241"/>
      <c r="BL233" s="1241"/>
      <c r="BM233" s="1241"/>
      <c r="BN233" s="1241"/>
      <c r="BO233" s="1241"/>
      <c r="BP233" s="1241"/>
      <c r="BQ233" s="1241"/>
      <c r="BR233" s="1241"/>
      <c r="BS233" s="1241"/>
      <c r="BT233" s="1241"/>
      <c r="BU233" s="1241"/>
      <c r="BV233" s="1241"/>
      <c r="BW233" s="1241"/>
      <c r="BX233" s="1241"/>
      <c r="BY233" s="1241"/>
      <c r="BZ233" s="1241"/>
      <c r="CA233" s="1241"/>
      <c r="CB233" s="1241"/>
      <c r="CC233" s="1241"/>
      <c r="CD233" s="1241"/>
      <c r="CE233" s="1241"/>
      <c r="CF233" s="1241"/>
      <c r="CG233" s="1241"/>
      <c r="CH233" s="1241"/>
      <c r="CI233" s="1241"/>
      <c r="CJ233" s="1241"/>
      <c r="CK233" s="1241"/>
      <c r="CL233" s="1241"/>
      <c r="CM233" s="1241"/>
      <c r="CN233" s="1241"/>
      <c r="CO233" s="1241"/>
      <c r="CP233" s="1241"/>
      <c r="CQ233" s="1241"/>
      <c r="CR233" s="1241"/>
      <c r="CS233" s="1241"/>
      <c r="CT233" s="1241"/>
      <c r="CU233" s="1241"/>
      <c r="CV233" s="1241"/>
      <c r="CW233" s="1241"/>
      <c r="CX233" s="1241"/>
      <c r="CY233" s="1241"/>
      <c r="CZ233" s="1241"/>
      <c r="DA233" s="1241"/>
      <c r="DB233" s="1241"/>
      <c r="DC233" s="1241"/>
      <c r="DD233" s="1241"/>
      <c r="DE233" s="1241"/>
      <c r="DF233" s="1241"/>
      <c r="DG233" s="1241"/>
      <c r="DH233" s="1241"/>
      <c r="DI233" s="1241"/>
      <c r="DJ233" s="1241"/>
      <c r="DK233" s="1241"/>
      <c r="DL233" s="1241"/>
      <c r="DM233" s="1241"/>
    </row>
    <row r="234" spans="1:117" s="1302" customFormat="1" ht="15">
      <c r="A234" s="1241"/>
      <c r="B234" s="1263"/>
      <c r="C234" s="1406" t="s">
        <v>4025</v>
      </c>
      <c r="D234" s="1406" t="s">
        <v>4026</v>
      </c>
      <c r="E234" s="1406"/>
      <c r="F234" s="1407"/>
      <c r="G234" s="1408"/>
      <c r="H234" s="1414">
        <v>0</v>
      </c>
      <c r="I234" s="1408">
        <v>0</v>
      </c>
      <c r="J234" s="1408">
        <v>0</v>
      </c>
      <c r="K234" s="1408">
        <v>0</v>
      </c>
      <c r="L234" s="1408">
        <v>0</v>
      </c>
      <c r="M234" s="1408">
        <v>0</v>
      </c>
      <c r="N234" s="1408">
        <v>0</v>
      </c>
      <c r="O234" s="1408">
        <v>0</v>
      </c>
      <c r="P234" s="1241"/>
      <c r="Q234" s="1241"/>
      <c r="R234" s="1241"/>
      <c r="S234" s="1241"/>
      <c r="T234" s="1241"/>
      <c r="U234" s="1241"/>
      <c r="V234" s="1241"/>
      <c r="W234" s="1241"/>
      <c r="X234" s="1241"/>
      <c r="Y234" s="1241"/>
      <c r="Z234" s="1241"/>
      <c r="AA234" s="1241"/>
      <c r="AB234" s="1241"/>
      <c r="AC234" s="1241"/>
      <c r="AD234" s="1241"/>
      <c r="AE234" s="1241"/>
      <c r="AF234" s="1241"/>
      <c r="AG234" s="1241"/>
      <c r="AH234" s="1241"/>
      <c r="AI234" s="1241"/>
      <c r="AJ234" s="1241"/>
      <c r="AK234" s="1241"/>
      <c r="AL234" s="1241"/>
      <c r="AM234" s="1241"/>
      <c r="AN234" s="1241"/>
      <c r="AO234" s="1241"/>
      <c r="AP234" s="1241"/>
      <c r="AQ234" s="1241"/>
      <c r="AR234" s="1241"/>
      <c r="AS234" s="1241"/>
      <c r="AT234" s="1241"/>
      <c r="AU234" s="1241"/>
      <c r="AV234" s="1241"/>
      <c r="AW234" s="1241"/>
      <c r="AX234" s="1241"/>
      <c r="AY234" s="1241"/>
      <c r="AZ234" s="1241"/>
      <c r="BA234" s="1241"/>
      <c r="BB234" s="1241"/>
      <c r="BC234" s="1241"/>
      <c r="BD234" s="1241"/>
      <c r="BE234" s="1241"/>
      <c r="BF234" s="1241"/>
      <c r="BG234" s="1241"/>
      <c r="BH234" s="1241"/>
      <c r="BI234" s="1241"/>
      <c r="BJ234" s="1241"/>
      <c r="BK234" s="1241"/>
      <c r="BL234" s="1241"/>
      <c r="BM234" s="1241"/>
      <c r="BN234" s="1241"/>
      <c r="BO234" s="1241"/>
      <c r="BP234" s="1241"/>
      <c r="BQ234" s="1241"/>
      <c r="BR234" s="1241"/>
      <c r="BS234" s="1241"/>
      <c r="BT234" s="1241"/>
      <c r="BU234" s="1241"/>
      <c r="BV234" s="1241"/>
      <c r="BW234" s="1241"/>
      <c r="BX234" s="1241"/>
      <c r="BY234" s="1241"/>
      <c r="BZ234" s="1241"/>
      <c r="CA234" s="1241"/>
      <c r="CB234" s="1241"/>
      <c r="CC234" s="1241"/>
      <c r="CD234" s="1241"/>
      <c r="CE234" s="1241"/>
      <c r="CF234" s="1241"/>
      <c r="CG234" s="1241"/>
      <c r="CH234" s="1241"/>
      <c r="CI234" s="1241"/>
      <c r="CJ234" s="1241"/>
      <c r="CK234" s="1241"/>
      <c r="CL234" s="1241"/>
      <c r="CM234" s="1241"/>
      <c r="CN234" s="1241"/>
      <c r="CO234" s="1241"/>
      <c r="CP234" s="1241"/>
      <c r="CQ234" s="1241"/>
      <c r="CR234" s="1241"/>
      <c r="CS234" s="1241"/>
      <c r="CT234" s="1241"/>
      <c r="CU234" s="1241"/>
      <c r="CV234" s="1241"/>
      <c r="CW234" s="1241"/>
      <c r="CX234" s="1241"/>
      <c r="CY234" s="1241"/>
      <c r="CZ234" s="1241"/>
      <c r="DA234" s="1241"/>
      <c r="DB234" s="1241"/>
      <c r="DC234" s="1241"/>
      <c r="DD234" s="1241"/>
      <c r="DE234" s="1241"/>
      <c r="DF234" s="1241"/>
      <c r="DG234" s="1241"/>
      <c r="DH234" s="1241"/>
      <c r="DI234" s="1241"/>
      <c r="DJ234" s="1241"/>
      <c r="DK234" s="1241"/>
      <c r="DL234" s="1241"/>
      <c r="DM234" s="1241"/>
    </row>
    <row r="235" spans="1:117" s="1302" customFormat="1">
      <c r="A235" s="1241"/>
      <c r="B235" s="1263"/>
      <c r="C235" s="1204"/>
      <c r="D235" s="1410"/>
      <c r="E235" s="1410"/>
      <c r="F235" s="1411"/>
      <c r="G235" s="1412"/>
      <c r="H235" s="1412"/>
      <c r="I235" s="1412"/>
      <c r="J235" s="1412"/>
      <c r="K235" s="1412"/>
      <c r="L235" s="1412"/>
      <c r="M235" s="1412"/>
      <c r="N235" s="1412"/>
      <c r="O235" s="1411"/>
      <c r="P235" s="1241"/>
      <c r="Q235" s="1241"/>
      <c r="R235" s="1241"/>
      <c r="S235" s="1241"/>
      <c r="T235" s="1241"/>
      <c r="U235" s="1241"/>
      <c r="V235" s="1241"/>
      <c r="W235" s="1241"/>
      <c r="X235" s="1241"/>
      <c r="Y235" s="1241"/>
      <c r="Z235" s="1241"/>
      <c r="AA235" s="1241"/>
      <c r="AB235" s="1241"/>
      <c r="AC235" s="1241"/>
      <c r="AD235" s="1241"/>
      <c r="AE235" s="1241"/>
      <c r="AF235" s="1241"/>
      <c r="AG235" s="1241"/>
      <c r="AH235" s="1241"/>
      <c r="AI235" s="1241"/>
      <c r="AJ235" s="1241"/>
      <c r="AK235" s="1241"/>
      <c r="AL235" s="1241"/>
      <c r="AM235" s="1241"/>
      <c r="AN235" s="1241"/>
      <c r="AO235" s="1241"/>
      <c r="AP235" s="1241"/>
      <c r="AQ235" s="1241"/>
      <c r="AR235" s="1241"/>
      <c r="AS235" s="1241"/>
      <c r="AT235" s="1241"/>
      <c r="AU235" s="1241"/>
      <c r="AV235" s="1241"/>
      <c r="AW235" s="1241"/>
      <c r="AX235" s="1241"/>
      <c r="AY235" s="1241"/>
      <c r="AZ235" s="1241"/>
      <c r="BA235" s="1241"/>
      <c r="BB235" s="1241"/>
      <c r="BC235" s="1241"/>
      <c r="BD235" s="1241"/>
      <c r="BE235" s="1241"/>
      <c r="BF235" s="1241"/>
      <c r="BG235" s="1241"/>
      <c r="BH235" s="1241"/>
      <c r="BI235" s="1241"/>
      <c r="BJ235" s="1241"/>
      <c r="BK235" s="1241"/>
      <c r="BL235" s="1241"/>
      <c r="BM235" s="1241"/>
      <c r="BN235" s="1241"/>
      <c r="BO235" s="1241"/>
      <c r="BP235" s="1241"/>
      <c r="BQ235" s="1241"/>
      <c r="BR235" s="1241"/>
      <c r="BS235" s="1241"/>
      <c r="BT235" s="1241"/>
      <c r="BU235" s="1241"/>
      <c r="BV235" s="1241"/>
      <c r="BW235" s="1241"/>
      <c r="BX235" s="1241"/>
      <c r="BY235" s="1241"/>
      <c r="BZ235" s="1241"/>
      <c r="CA235" s="1241"/>
      <c r="CB235" s="1241"/>
      <c r="CC235" s="1241"/>
      <c r="CD235" s="1241"/>
      <c r="CE235" s="1241"/>
      <c r="CF235" s="1241"/>
      <c r="CG235" s="1241"/>
      <c r="CH235" s="1241"/>
      <c r="CI235" s="1241"/>
      <c r="CJ235" s="1241"/>
      <c r="CK235" s="1241"/>
      <c r="CL235" s="1241"/>
      <c r="CM235" s="1241"/>
      <c r="CN235" s="1241"/>
      <c r="CO235" s="1241"/>
      <c r="CP235" s="1241"/>
      <c r="CQ235" s="1241"/>
      <c r="CR235" s="1241"/>
      <c r="CS235" s="1241"/>
      <c r="CT235" s="1241"/>
      <c r="CU235" s="1241"/>
      <c r="CV235" s="1241"/>
      <c r="CW235" s="1241"/>
      <c r="CX235" s="1241"/>
      <c r="CY235" s="1241"/>
      <c r="CZ235" s="1241"/>
      <c r="DA235" s="1241"/>
      <c r="DB235" s="1241"/>
      <c r="DC235" s="1241"/>
      <c r="DD235" s="1241"/>
      <c r="DE235" s="1241"/>
      <c r="DF235" s="1241"/>
      <c r="DG235" s="1241"/>
      <c r="DH235" s="1241"/>
      <c r="DI235" s="1241"/>
      <c r="DJ235" s="1241"/>
      <c r="DK235" s="1241"/>
      <c r="DL235" s="1241"/>
      <c r="DM235" s="1241"/>
    </row>
    <row r="236" spans="1:117" s="1302" customFormat="1">
      <c r="A236" s="1241"/>
      <c r="B236" s="1263"/>
      <c r="C236" s="1201" t="s">
        <v>4166</v>
      </c>
      <c r="D236" s="1201" t="s">
        <v>4246</v>
      </c>
      <c r="E236" s="1201" t="s">
        <v>48</v>
      </c>
      <c r="F236" s="1203"/>
      <c r="G236" s="1202"/>
      <c r="H236" s="1202">
        <v>2020</v>
      </c>
      <c r="I236" s="1202">
        <v>2022</v>
      </c>
      <c r="J236" s="1202">
        <v>2027</v>
      </c>
      <c r="K236" s="1202">
        <v>2032</v>
      </c>
      <c r="L236" s="1202">
        <v>2037</v>
      </c>
      <c r="M236" s="1202">
        <v>2042</v>
      </c>
      <c r="N236" s="1202">
        <v>2047</v>
      </c>
      <c r="O236" s="1202">
        <v>2030</v>
      </c>
      <c r="P236" s="1241"/>
      <c r="Q236" s="1241"/>
      <c r="R236" s="1241"/>
      <c r="S236" s="1241"/>
      <c r="T236" s="1241"/>
      <c r="U236" s="1241"/>
      <c r="V236" s="1241"/>
      <c r="W236" s="1241"/>
      <c r="X236" s="1241"/>
      <c r="Y236" s="1241"/>
      <c r="Z236" s="1241"/>
      <c r="AA236" s="1241"/>
      <c r="AB236" s="1241"/>
      <c r="AC236" s="1241"/>
      <c r="AD236" s="1241"/>
      <c r="AE236" s="1241"/>
      <c r="AF236" s="1241"/>
      <c r="AG236" s="1241"/>
      <c r="AH236" s="1241"/>
      <c r="AI236" s="1241"/>
      <c r="AJ236" s="1241"/>
      <c r="AK236" s="1241"/>
      <c r="AL236" s="1241"/>
      <c r="AM236" s="1241"/>
      <c r="AN236" s="1241"/>
      <c r="AO236" s="1241"/>
      <c r="AP236" s="1241"/>
      <c r="AQ236" s="1241"/>
      <c r="AR236" s="1241"/>
      <c r="AS236" s="1241"/>
      <c r="AT236" s="1241"/>
      <c r="AU236" s="1241"/>
      <c r="AV236" s="1241"/>
      <c r="AW236" s="1241"/>
      <c r="AX236" s="1241"/>
      <c r="AY236" s="1241"/>
      <c r="AZ236" s="1241"/>
      <c r="BA236" s="1241"/>
      <c r="BB236" s="1241"/>
      <c r="BC236" s="1241"/>
      <c r="BD236" s="1241"/>
      <c r="BE236" s="1241"/>
      <c r="BF236" s="1241"/>
      <c r="BG236" s="1241"/>
      <c r="BH236" s="1241"/>
      <c r="BI236" s="1241"/>
      <c r="BJ236" s="1241"/>
      <c r="BK236" s="1241"/>
      <c r="BL236" s="1241"/>
      <c r="BM236" s="1241"/>
      <c r="BN236" s="1241"/>
      <c r="BO236" s="1241"/>
      <c r="BP236" s="1241"/>
      <c r="BQ236" s="1241"/>
      <c r="BR236" s="1241"/>
      <c r="BS236" s="1241"/>
      <c r="BT236" s="1241"/>
      <c r="BU236" s="1241"/>
      <c r="BV236" s="1241"/>
      <c r="BW236" s="1241"/>
      <c r="BX236" s="1241"/>
      <c r="BY236" s="1241"/>
      <c r="BZ236" s="1241"/>
      <c r="CA236" s="1241"/>
      <c r="CB236" s="1241"/>
      <c r="CC236" s="1241"/>
      <c r="CD236" s="1241"/>
      <c r="CE236" s="1241"/>
      <c r="CF236" s="1241"/>
      <c r="CG236" s="1241"/>
      <c r="CH236" s="1241"/>
      <c r="CI236" s="1241"/>
      <c r="CJ236" s="1241"/>
      <c r="CK236" s="1241"/>
      <c r="CL236" s="1241"/>
      <c r="CM236" s="1241"/>
      <c r="CN236" s="1241"/>
      <c r="CO236" s="1241"/>
      <c r="CP236" s="1241"/>
      <c r="CQ236" s="1241"/>
      <c r="CR236" s="1241"/>
      <c r="CS236" s="1241"/>
      <c r="CT236" s="1241"/>
      <c r="CU236" s="1241"/>
      <c r="CV236" s="1241"/>
      <c r="CW236" s="1241"/>
      <c r="CX236" s="1241"/>
      <c r="CY236" s="1241"/>
      <c r="CZ236" s="1241"/>
      <c r="DA236" s="1241"/>
      <c r="DB236" s="1241"/>
      <c r="DC236" s="1241"/>
      <c r="DD236" s="1241"/>
      <c r="DE236" s="1241"/>
      <c r="DF236" s="1241"/>
      <c r="DG236" s="1241"/>
      <c r="DH236" s="1241"/>
      <c r="DI236" s="1241"/>
      <c r="DJ236" s="1241"/>
      <c r="DK236" s="1241"/>
      <c r="DL236" s="1241"/>
      <c r="DM236" s="1241"/>
    </row>
    <row r="237" spans="1:117" s="1302" customFormat="1" ht="15">
      <c r="A237" s="1241"/>
      <c r="B237" s="1263"/>
      <c r="C237" s="1211" t="s">
        <v>4032</v>
      </c>
      <c r="D237" s="1211" t="s">
        <v>4033</v>
      </c>
      <c r="E237" s="1268" t="s">
        <v>4247</v>
      </c>
      <c r="F237" s="1372"/>
      <c r="G237" s="1375"/>
      <c r="H237" s="1375">
        <v>0.02</v>
      </c>
      <c r="I237" s="1405">
        <v>2.5925925925925925E-2</v>
      </c>
      <c r="J237" s="1405">
        <v>7.9629629629629634E-2</v>
      </c>
      <c r="K237" s="1405">
        <v>0.12222222222222223</v>
      </c>
      <c r="L237" s="1405">
        <v>0.1648148148148148</v>
      </c>
      <c r="M237" s="1405">
        <v>0.20740740740740743</v>
      </c>
      <c r="N237" s="1375">
        <v>0.25</v>
      </c>
      <c r="O237" s="1405">
        <v>0.1051851851851852</v>
      </c>
      <c r="P237" s="1241"/>
      <c r="Q237" s="1241"/>
      <c r="R237" s="1241"/>
      <c r="S237" s="1241"/>
      <c r="T237" s="1241"/>
      <c r="U237" s="1241"/>
      <c r="V237" s="1241"/>
      <c r="W237" s="1241"/>
      <c r="X237" s="1241"/>
      <c r="Y237" s="1241"/>
      <c r="Z237" s="1241"/>
      <c r="AA237" s="1241"/>
      <c r="AB237" s="1241"/>
      <c r="AC237" s="1241"/>
      <c r="AD237" s="1241"/>
      <c r="AE237" s="1241"/>
      <c r="AF237" s="1241"/>
      <c r="AG237" s="1241"/>
      <c r="AH237" s="1241"/>
      <c r="AI237" s="1241"/>
      <c r="AJ237" s="1241"/>
      <c r="AK237" s="1241"/>
      <c r="AL237" s="1241"/>
      <c r="AM237" s="1241"/>
      <c r="AN237" s="1241"/>
      <c r="AO237" s="1241"/>
      <c r="AP237" s="1241"/>
      <c r="AQ237" s="1241"/>
      <c r="AR237" s="1241"/>
      <c r="AS237" s="1241"/>
      <c r="AT237" s="1241"/>
      <c r="AU237" s="1241"/>
      <c r="AV237" s="1241"/>
      <c r="AW237" s="1241"/>
      <c r="AX237" s="1241"/>
      <c r="AY237" s="1241"/>
      <c r="AZ237" s="1241"/>
      <c r="BA237" s="1241"/>
      <c r="BB237" s="1241"/>
      <c r="BC237" s="1241"/>
      <c r="BD237" s="1241"/>
      <c r="BE237" s="1241"/>
      <c r="BF237" s="1241"/>
      <c r="BG237" s="1241"/>
      <c r="BH237" s="1241"/>
      <c r="BI237" s="1241"/>
      <c r="BJ237" s="1241"/>
      <c r="BK237" s="1241"/>
      <c r="BL237" s="1241"/>
      <c r="BM237" s="1241"/>
      <c r="BN237" s="1241"/>
      <c r="BO237" s="1241"/>
      <c r="BP237" s="1241"/>
      <c r="BQ237" s="1241"/>
      <c r="BR237" s="1241"/>
      <c r="BS237" s="1241"/>
      <c r="BT237" s="1241"/>
      <c r="BU237" s="1241"/>
      <c r="BV237" s="1241"/>
      <c r="BW237" s="1241"/>
      <c r="BX237" s="1241"/>
      <c r="BY237" s="1241"/>
      <c r="BZ237" s="1241"/>
      <c r="CA237" s="1241"/>
      <c r="CB237" s="1241"/>
      <c r="CC237" s="1241"/>
      <c r="CD237" s="1241"/>
      <c r="CE237" s="1241"/>
      <c r="CF237" s="1241"/>
      <c r="CG237" s="1241"/>
      <c r="CH237" s="1241"/>
      <c r="CI237" s="1241"/>
      <c r="CJ237" s="1241"/>
      <c r="CK237" s="1241"/>
      <c r="CL237" s="1241"/>
      <c r="CM237" s="1241"/>
      <c r="CN237" s="1241"/>
      <c r="CO237" s="1241"/>
      <c r="CP237" s="1241"/>
      <c r="CQ237" s="1241"/>
      <c r="CR237" s="1241"/>
      <c r="CS237" s="1241"/>
      <c r="CT237" s="1241"/>
      <c r="CU237" s="1241"/>
      <c r="CV237" s="1241"/>
      <c r="CW237" s="1241"/>
      <c r="CX237" s="1241"/>
      <c r="CY237" s="1241"/>
      <c r="CZ237" s="1241"/>
      <c r="DA237" s="1241"/>
      <c r="DB237" s="1241"/>
      <c r="DC237" s="1241"/>
      <c r="DD237" s="1241"/>
      <c r="DE237" s="1241"/>
      <c r="DF237" s="1241"/>
      <c r="DG237" s="1241"/>
      <c r="DH237" s="1241"/>
      <c r="DI237" s="1241"/>
      <c r="DJ237" s="1241"/>
      <c r="DK237" s="1241"/>
      <c r="DL237" s="1241"/>
      <c r="DM237" s="1241"/>
    </row>
    <row r="238" spans="1:117" s="1302" customFormat="1" ht="15">
      <c r="A238" s="1241"/>
      <c r="B238" s="1263"/>
      <c r="C238" s="1211" t="s">
        <v>3997</v>
      </c>
      <c r="D238" s="1211" t="s">
        <v>3998</v>
      </c>
      <c r="E238" s="1268"/>
      <c r="F238" s="1372"/>
      <c r="G238" s="1375"/>
      <c r="H238" s="1375">
        <v>0.97</v>
      </c>
      <c r="I238" s="1375">
        <v>0.96259259259259256</v>
      </c>
      <c r="J238" s="1375">
        <v>0.89740740740740743</v>
      </c>
      <c r="K238" s="1375">
        <v>0.8455555555555555</v>
      </c>
      <c r="L238" s="1375">
        <v>0.7937037037037038</v>
      </c>
      <c r="M238" s="1375">
        <v>0.74185185185185176</v>
      </c>
      <c r="N238" s="1375">
        <v>0.69</v>
      </c>
      <c r="O238" s="1375">
        <v>0.86629629629629634</v>
      </c>
      <c r="P238" s="1241"/>
      <c r="Q238" s="1241"/>
      <c r="R238" s="1241"/>
      <c r="S238" s="1241"/>
      <c r="T238" s="1241"/>
      <c r="U238" s="1241"/>
      <c r="V238" s="1241"/>
      <c r="W238" s="1241"/>
      <c r="X238" s="1241"/>
      <c r="Y238" s="1241"/>
      <c r="Z238" s="1241"/>
      <c r="AA238" s="1241"/>
      <c r="AB238" s="1241"/>
      <c r="AC238" s="1241"/>
      <c r="AD238" s="1241"/>
      <c r="AE238" s="1241"/>
      <c r="AF238" s="1241"/>
      <c r="AG238" s="1241"/>
      <c r="AH238" s="1241"/>
      <c r="AI238" s="1241"/>
      <c r="AJ238" s="1241"/>
      <c r="AK238" s="1241"/>
      <c r="AL238" s="1241"/>
      <c r="AM238" s="1241"/>
      <c r="AN238" s="1241"/>
      <c r="AO238" s="1241"/>
      <c r="AP238" s="1241"/>
      <c r="AQ238" s="1241"/>
      <c r="AR238" s="1241"/>
      <c r="AS238" s="1241"/>
      <c r="AT238" s="1241"/>
      <c r="AU238" s="1241"/>
      <c r="AV238" s="1241"/>
      <c r="AW238" s="1241"/>
      <c r="AX238" s="1241"/>
      <c r="AY238" s="1241"/>
      <c r="AZ238" s="1241"/>
      <c r="BA238" s="1241"/>
      <c r="BB238" s="1241"/>
      <c r="BC238" s="1241"/>
      <c r="BD238" s="1241"/>
      <c r="BE238" s="1241"/>
      <c r="BF238" s="1241"/>
      <c r="BG238" s="1241"/>
      <c r="BH238" s="1241"/>
      <c r="BI238" s="1241"/>
      <c r="BJ238" s="1241"/>
      <c r="BK238" s="1241"/>
      <c r="BL238" s="1241"/>
      <c r="BM238" s="1241"/>
      <c r="BN238" s="1241"/>
      <c r="BO238" s="1241"/>
      <c r="BP238" s="1241"/>
      <c r="BQ238" s="1241"/>
      <c r="BR238" s="1241"/>
      <c r="BS238" s="1241"/>
      <c r="BT238" s="1241"/>
      <c r="BU238" s="1241"/>
      <c r="BV238" s="1241"/>
      <c r="BW238" s="1241"/>
      <c r="BX238" s="1241"/>
      <c r="BY238" s="1241"/>
      <c r="BZ238" s="1241"/>
      <c r="CA238" s="1241"/>
      <c r="CB238" s="1241"/>
      <c r="CC238" s="1241"/>
      <c r="CD238" s="1241"/>
      <c r="CE238" s="1241"/>
      <c r="CF238" s="1241"/>
      <c r="CG238" s="1241"/>
      <c r="CH238" s="1241"/>
      <c r="CI238" s="1241"/>
      <c r="CJ238" s="1241"/>
      <c r="CK238" s="1241"/>
      <c r="CL238" s="1241"/>
      <c r="CM238" s="1241"/>
      <c r="CN238" s="1241"/>
      <c r="CO238" s="1241"/>
      <c r="CP238" s="1241"/>
      <c r="CQ238" s="1241"/>
      <c r="CR238" s="1241"/>
      <c r="CS238" s="1241"/>
      <c r="CT238" s="1241"/>
      <c r="CU238" s="1241"/>
      <c r="CV238" s="1241"/>
      <c r="CW238" s="1241"/>
      <c r="CX238" s="1241"/>
      <c r="CY238" s="1241"/>
      <c r="CZ238" s="1241"/>
      <c r="DA238" s="1241"/>
      <c r="DB238" s="1241"/>
      <c r="DC238" s="1241"/>
      <c r="DD238" s="1241"/>
      <c r="DE238" s="1241"/>
      <c r="DF238" s="1241"/>
      <c r="DG238" s="1241"/>
      <c r="DH238" s="1241"/>
      <c r="DI238" s="1241"/>
      <c r="DJ238" s="1241"/>
      <c r="DK238" s="1241"/>
      <c r="DL238" s="1241"/>
      <c r="DM238" s="1241"/>
    </row>
    <row r="239" spans="1:117" s="1302" customFormat="1" ht="15">
      <c r="A239" s="1241"/>
      <c r="B239" s="1263"/>
      <c r="C239" s="1211" t="s">
        <v>3999</v>
      </c>
      <c r="D239" s="1211" t="s">
        <v>4000</v>
      </c>
      <c r="E239" s="1268"/>
      <c r="F239" s="1372"/>
      <c r="G239" s="1375"/>
      <c r="H239" s="1375">
        <v>0.01</v>
      </c>
      <c r="I239" s="1405">
        <v>0.01</v>
      </c>
      <c r="J239" s="1405">
        <v>0.01</v>
      </c>
      <c r="K239" s="1405">
        <v>0.01</v>
      </c>
      <c r="L239" s="1405">
        <v>0.01</v>
      </c>
      <c r="M239" s="1405">
        <v>0.01</v>
      </c>
      <c r="N239" s="1375">
        <v>0.01</v>
      </c>
      <c r="O239" s="1405">
        <v>0.01</v>
      </c>
      <c r="P239" s="1241"/>
      <c r="Q239" s="1241"/>
      <c r="R239" s="1241"/>
      <c r="S239" s="1241"/>
      <c r="T239" s="1241"/>
      <c r="U239" s="1241"/>
      <c r="V239" s="1241"/>
      <c r="W239" s="1241"/>
      <c r="X239" s="1241"/>
      <c r="Y239" s="1241"/>
      <c r="Z239" s="1241"/>
      <c r="AA239" s="1241"/>
      <c r="AB239" s="1241"/>
      <c r="AC239" s="1241"/>
      <c r="AD239" s="1241"/>
      <c r="AE239" s="1241"/>
      <c r="AF239" s="1241"/>
      <c r="AG239" s="1241"/>
      <c r="AH239" s="1241"/>
      <c r="AI239" s="1241"/>
      <c r="AJ239" s="1241"/>
      <c r="AK239" s="1241"/>
      <c r="AL239" s="1241"/>
      <c r="AM239" s="1241"/>
      <c r="AN239" s="1241"/>
      <c r="AO239" s="1241"/>
      <c r="AP239" s="1241"/>
      <c r="AQ239" s="1241"/>
      <c r="AR239" s="1241"/>
      <c r="AS239" s="1241"/>
      <c r="AT239" s="1241"/>
      <c r="AU239" s="1241"/>
      <c r="AV239" s="1241"/>
      <c r="AW239" s="1241"/>
      <c r="AX239" s="1241"/>
      <c r="AY239" s="1241"/>
      <c r="AZ239" s="1241"/>
      <c r="BA239" s="1241"/>
      <c r="BB239" s="1241"/>
      <c r="BC239" s="1241"/>
      <c r="BD239" s="1241"/>
      <c r="BE239" s="1241"/>
      <c r="BF239" s="1241"/>
      <c r="BG239" s="1241"/>
      <c r="BH239" s="1241"/>
      <c r="BI239" s="1241"/>
      <c r="BJ239" s="1241"/>
      <c r="BK239" s="1241"/>
      <c r="BL239" s="1241"/>
      <c r="BM239" s="1241"/>
      <c r="BN239" s="1241"/>
      <c r="BO239" s="1241"/>
      <c r="BP239" s="1241"/>
      <c r="BQ239" s="1241"/>
      <c r="BR239" s="1241"/>
      <c r="BS239" s="1241"/>
      <c r="BT239" s="1241"/>
      <c r="BU239" s="1241"/>
      <c r="BV239" s="1241"/>
      <c r="BW239" s="1241"/>
      <c r="BX239" s="1241"/>
      <c r="BY239" s="1241"/>
      <c r="BZ239" s="1241"/>
      <c r="CA239" s="1241"/>
      <c r="CB239" s="1241"/>
      <c r="CC239" s="1241"/>
      <c r="CD239" s="1241"/>
      <c r="CE239" s="1241"/>
      <c r="CF239" s="1241"/>
      <c r="CG239" s="1241"/>
      <c r="CH239" s="1241"/>
      <c r="CI239" s="1241"/>
      <c r="CJ239" s="1241"/>
      <c r="CK239" s="1241"/>
      <c r="CL239" s="1241"/>
      <c r="CM239" s="1241"/>
      <c r="CN239" s="1241"/>
      <c r="CO239" s="1241"/>
      <c r="CP239" s="1241"/>
      <c r="CQ239" s="1241"/>
      <c r="CR239" s="1241"/>
      <c r="CS239" s="1241"/>
      <c r="CT239" s="1241"/>
      <c r="CU239" s="1241"/>
      <c r="CV239" s="1241"/>
      <c r="CW239" s="1241"/>
      <c r="CX239" s="1241"/>
      <c r="CY239" s="1241"/>
      <c r="CZ239" s="1241"/>
      <c r="DA239" s="1241"/>
      <c r="DB239" s="1241"/>
      <c r="DC239" s="1241"/>
      <c r="DD239" s="1241"/>
      <c r="DE239" s="1241"/>
      <c r="DF239" s="1241"/>
      <c r="DG239" s="1241"/>
      <c r="DH239" s="1241"/>
      <c r="DI239" s="1241"/>
      <c r="DJ239" s="1241"/>
      <c r="DK239" s="1241"/>
      <c r="DL239" s="1241"/>
      <c r="DM239" s="1241"/>
    </row>
    <row r="240" spans="1:117" s="1302" customFormat="1" ht="15">
      <c r="A240" s="1241"/>
      <c r="B240" s="1263"/>
      <c r="C240" s="1211" t="s">
        <v>4001</v>
      </c>
      <c r="D240" s="1211" t="s">
        <v>4002</v>
      </c>
      <c r="E240" s="1268"/>
      <c r="F240" s="1372"/>
      <c r="G240" s="1375"/>
      <c r="H240" s="1375">
        <v>0</v>
      </c>
      <c r="I240" s="1405">
        <v>1.4814814814814814E-3</v>
      </c>
      <c r="J240" s="1405">
        <v>1.2962962962962964E-2</v>
      </c>
      <c r="K240" s="1405">
        <v>2.2222222222222227E-2</v>
      </c>
      <c r="L240" s="1405">
        <v>3.1481481481481485E-2</v>
      </c>
      <c r="M240" s="1405">
        <v>4.0740740740740744E-2</v>
      </c>
      <c r="N240" s="1375">
        <v>0.05</v>
      </c>
      <c r="O240" s="1405">
        <v>1.8518518518518517E-2</v>
      </c>
      <c r="P240" s="1241"/>
      <c r="Q240" s="1241"/>
      <c r="R240" s="1241"/>
      <c r="S240" s="1241"/>
      <c r="T240" s="1241"/>
      <c r="U240" s="1241"/>
      <c r="V240" s="1241"/>
      <c r="W240" s="1241"/>
      <c r="X240" s="1241"/>
      <c r="Y240" s="1241"/>
      <c r="Z240" s="1241"/>
      <c r="AA240" s="1241"/>
      <c r="AB240" s="1241"/>
      <c r="AC240" s="1241"/>
      <c r="AD240" s="1241"/>
      <c r="AE240" s="1241"/>
      <c r="AF240" s="1241"/>
      <c r="AG240" s="1241"/>
      <c r="AH240" s="1241"/>
      <c r="AI240" s="1241"/>
      <c r="AJ240" s="1241"/>
      <c r="AK240" s="1241"/>
      <c r="AL240" s="1241"/>
      <c r="AM240" s="1241"/>
      <c r="AN240" s="1241"/>
      <c r="AO240" s="1241"/>
      <c r="AP240" s="1241"/>
      <c r="AQ240" s="1241"/>
      <c r="AR240" s="1241"/>
      <c r="AS240" s="1241"/>
      <c r="AT240" s="1241"/>
      <c r="AU240" s="1241"/>
      <c r="AV240" s="1241"/>
      <c r="AW240" s="1241"/>
      <c r="AX240" s="1241"/>
      <c r="AY240" s="1241"/>
      <c r="AZ240" s="1241"/>
      <c r="BA240" s="1241"/>
      <c r="BB240" s="1241"/>
      <c r="BC240" s="1241"/>
      <c r="BD240" s="1241"/>
      <c r="BE240" s="1241"/>
      <c r="BF240" s="1241"/>
      <c r="BG240" s="1241"/>
      <c r="BH240" s="1241"/>
      <c r="BI240" s="1241"/>
      <c r="BJ240" s="1241"/>
      <c r="BK240" s="1241"/>
      <c r="BL240" s="1241"/>
      <c r="BM240" s="1241"/>
      <c r="BN240" s="1241"/>
      <c r="BO240" s="1241"/>
      <c r="BP240" s="1241"/>
      <c r="BQ240" s="1241"/>
      <c r="BR240" s="1241"/>
      <c r="BS240" s="1241"/>
      <c r="BT240" s="1241"/>
      <c r="BU240" s="1241"/>
      <c r="BV240" s="1241"/>
      <c r="BW240" s="1241"/>
      <c r="BX240" s="1241"/>
      <c r="BY240" s="1241"/>
      <c r="BZ240" s="1241"/>
      <c r="CA240" s="1241"/>
      <c r="CB240" s="1241"/>
      <c r="CC240" s="1241"/>
      <c r="CD240" s="1241"/>
      <c r="CE240" s="1241"/>
      <c r="CF240" s="1241"/>
      <c r="CG240" s="1241"/>
      <c r="CH240" s="1241"/>
      <c r="CI240" s="1241"/>
      <c r="CJ240" s="1241"/>
      <c r="CK240" s="1241"/>
      <c r="CL240" s="1241"/>
      <c r="CM240" s="1241"/>
      <c r="CN240" s="1241"/>
      <c r="CO240" s="1241"/>
      <c r="CP240" s="1241"/>
      <c r="CQ240" s="1241"/>
      <c r="CR240" s="1241"/>
      <c r="CS240" s="1241"/>
      <c r="CT240" s="1241"/>
      <c r="CU240" s="1241"/>
      <c r="CV240" s="1241"/>
      <c r="CW240" s="1241"/>
      <c r="CX240" s="1241"/>
      <c r="CY240" s="1241"/>
      <c r="CZ240" s="1241"/>
      <c r="DA240" s="1241"/>
      <c r="DB240" s="1241"/>
      <c r="DC240" s="1241"/>
      <c r="DD240" s="1241"/>
      <c r="DE240" s="1241"/>
      <c r="DF240" s="1241"/>
      <c r="DG240" s="1241"/>
      <c r="DH240" s="1241"/>
      <c r="DI240" s="1241"/>
      <c r="DJ240" s="1241"/>
      <c r="DK240" s="1241"/>
      <c r="DL240" s="1241"/>
      <c r="DM240" s="1241"/>
    </row>
    <row r="241" spans="1:117" s="1302" customFormat="1" ht="15">
      <c r="A241" s="1241"/>
      <c r="B241" s="1263"/>
      <c r="C241" s="1211" t="s">
        <v>4011</v>
      </c>
      <c r="D241" s="1211" t="s">
        <v>4012</v>
      </c>
      <c r="E241" s="1268"/>
      <c r="F241" s="1372"/>
      <c r="G241" s="1375"/>
      <c r="H241" s="1375">
        <v>0</v>
      </c>
      <c r="I241" s="1375">
        <v>0</v>
      </c>
      <c r="J241" s="1375">
        <v>0</v>
      </c>
      <c r="K241" s="1375">
        <v>0</v>
      </c>
      <c r="L241" s="1375">
        <v>0</v>
      </c>
      <c r="M241" s="1375">
        <v>0</v>
      </c>
      <c r="N241" s="1375">
        <v>0</v>
      </c>
      <c r="O241" s="1375">
        <v>0</v>
      </c>
      <c r="P241" s="1241"/>
      <c r="Q241" s="1241"/>
      <c r="R241" s="1241"/>
      <c r="S241" s="1241"/>
      <c r="T241" s="1241"/>
      <c r="U241" s="1241"/>
      <c r="V241" s="1241"/>
      <c r="W241" s="1241"/>
      <c r="X241" s="1241"/>
      <c r="Y241" s="1241"/>
      <c r="Z241" s="1241"/>
      <c r="AA241" s="1241"/>
      <c r="AB241" s="1241"/>
      <c r="AC241" s="1241"/>
      <c r="AD241" s="1241"/>
      <c r="AE241" s="1241"/>
      <c r="AF241" s="1241"/>
      <c r="AG241" s="1241"/>
      <c r="AH241" s="1241"/>
      <c r="AI241" s="1241"/>
      <c r="AJ241" s="1241"/>
      <c r="AK241" s="1241"/>
      <c r="AL241" s="1241"/>
      <c r="AM241" s="1241"/>
      <c r="AN241" s="1241"/>
      <c r="AO241" s="1241"/>
      <c r="AP241" s="1241"/>
      <c r="AQ241" s="1241"/>
      <c r="AR241" s="1241"/>
      <c r="AS241" s="1241"/>
      <c r="AT241" s="1241"/>
      <c r="AU241" s="1241"/>
      <c r="AV241" s="1241"/>
      <c r="AW241" s="1241"/>
      <c r="AX241" s="1241"/>
      <c r="AY241" s="1241"/>
      <c r="AZ241" s="1241"/>
      <c r="BA241" s="1241"/>
      <c r="BB241" s="1241"/>
      <c r="BC241" s="1241"/>
      <c r="BD241" s="1241"/>
      <c r="BE241" s="1241"/>
      <c r="BF241" s="1241"/>
      <c r="BG241" s="1241"/>
      <c r="BH241" s="1241"/>
      <c r="BI241" s="1241"/>
      <c r="BJ241" s="1241"/>
      <c r="BK241" s="1241"/>
      <c r="BL241" s="1241"/>
      <c r="BM241" s="1241"/>
      <c r="BN241" s="1241"/>
      <c r="BO241" s="1241"/>
      <c r="BP241" s="1241"/>
      <c r="BQ241" s="1241"/>
      <c r="BR241" s="1241"/>
      <c r="BS241" s="1241"/>
      <c r="BT241" s="1241"/>
      <c r="BU241" s="1241"/>
      <c r="BV241" s="1241"/>
      <c r="BW241" s="1241"/>
      <c r="BX241" s="1241"/>
      <c r="BY241" s="1241"/>
      <c r="BZ241" s="1241"/>
      <c r="CA241" s="1241"/>
      <c r="CB241" s="1241"/>
      <c r="CC241" s="1241"/>
      <c r="CD241" s="1241"/>
      <c r="CE241" s="1241"/>
      <c r="CF241" s="1241"/>
      <c r="CG241" s="1241"/>
      <c r="CH241" s="1241"/>
      <c r="CI241" s="1241"/>
      <c r="CJ241" s="1241"/>
      <c r="CK241" s="1241"/>
      <c r="CL241" s="1241"/>
      <c r="CM241" s="1241"/>
      <c r="CN241" s="1241"/>
      <c r="CO241" s="1241"/>
      <c r="CP241" s="1241"/>
      <c r="CQ241" s="1241"/>
      <c r="CR241" s="1241"/>
      <c r="CS241" s="1241"/>
      <c r="CT241" s="1241"/>
      <c r="CU241" s="1241"/>
      <c r="CV241" s="1241"/>
      <c r="CW241" s="1241"/>
      <c r="CX241" s="1241"/>
      <c r="CY241" s="1241"/>
      <c r="CZ241" s="1241"/>
      <c r="DA241" s="1241"/>
      <c r="DB241" s="1241"/>
      <c r="DC241" s="1241"/>
      <c r="DD241" s="1241"/>
      <c r="DE241" s="1241"/>
      <c r="DF241" s="1241"/>
      <c r="DG241" s="1241"/>
      <c r="DH241" s="1241"/>
      <c r="DI241" s="1241"/>
      <c r="DJ241" s="1241"/>
      <c r="DK241" s="1241"/>
      <c r="DL241" s="1241"/>
      <c r="DM241" s="1241"/>
    </row>
    <row r="242" spans="1:117" s="1302" customFormat="1" ht="15">
      <c r="A242" s="1241"/>
      <c r="B242" s="1263"/>
      <c r="C242" s="1406" t="s">
        <v>4025</v>
      </c>
      <c r="D242" s="1406" t="s">
        <v>4026</v>
      </c>
      <c r="E242" s="1406"/>
      <c r="F242" s="1407"/>
      <c r="G242" s="1408"/>
      <c r="H242" s="1414">
        <v>0</v>
      </c>
      <c r="I242" s="1408">
        <v>0</v>
      </c>
      <c r="J242" s="1408">
        <v>0</v>
      </c>
      <c r="K242" s="1408">
        <v>0</v>
      </c>
      <c r="L242" s="1408">
        <v>0</v>
      </c>
      <c r="M242" s="1408">
        <v>0</v>
      </c>
      <c r="N242" s="1408">
        <v>0</v>
      </c>
      <c r="O242" s="1408">
        <v>0</v>
      </c>
      <c r="P242" s="1241"/>
      <c r="Q242" s="1241"/>
      <c r="R242" s="1241"/>
      <c r="S242" s="1241"/>
      <c r="T242" s="1241"/>
      <c r="U242" s="1241"/>
      <c r="V242" s="1241"/>
      <c r="W242" s="1241"/>
      <c r="X242" s="1241"/>
      <c r="Y242" s="1241"/>
      <c r="Z242" s="1241"/>
      <c r="AA242" s="1241"/>
      <c r="AB242" s="1241"/>
      <c r="AC242" s="1241"/>
      <c r="AD242" s="1241"/>
      <c r="AE242" s="1241"/>
      <c r="AF242" s="1241"/>
      <c r="AG242" s="1241"/>
      <c r="AH242" s="1241"/>
      <c r="AI242" s="1241"/>
      <c r="AJ242" s="1241"/>
      <c r="AK242" s="1241"/>
      <c r="AL242" s="1241"/>
      <c r="AM242" s="1241"/>
      <c r="AN242" s="1241"/>
      <c r="AO242" s="1241"/>
      <c r="AP242" s="1241"/>
      <c r="AQ242" s="1241"/>
      <c r="AR242" s="1241"/>
      <c r="AS242" s="1241"/>
      <c r="AT242" s="1241"/>
      <c r="AU242" s="1241"/>
      <c r="AV242" s="1241"/>
      <c r="AW242" s="1241"/>
      <c r="AX242" s="1241"/>
      <c r="AY242" s="1241"/>
      <c r="AZ242" s="1241"/>
      <c r="BA242" s="1241"/>
      <c r="BB242" s="1241"/>
      <c r="BC242" s="1241"/>
      <c r="BD242" s="1241"/>
      <c r="BE242" s="1241"/>
      <c r="BF242" s="1241"/>
      <c r="BG242" s="1241"/>
      <c r="BH242" s="1241"/>
      <c r="BI242" s="1241"/>
      <c r="BJ242" s="1241"/>
      <c r="BK242" s="1241"/>
      <c r="BL242" s="1241"/>
      <c r="BM242" s="1241"/>
      <c r="BN242" s="1241"/>
      <c r="BO242" s="1241"/>
      <c r="BP242" s="1241"/>
      <c r="BQ242" s="1241"/>
      <c r="BR242" s="1241"/>
      <c r="BS242" s="1241"/>
      <c r="BT242" s="1241"/>
      <c r="BU242" s="1241"/>
      <c r="BV242" s="1241"/>
      <c r="BW242" s="1241"/>
      <c r="BX242" s="1241"/>
      <c r="BY242" s="1241"/>
      <c r="BZ242" s="1241"/>
      <c r="CA242" s="1241"/>
      <c r="CB242" s="1241"/>
      <c r="CC242" s="1241"/>
      <c r="CD242" s="1241"/>
      <c r="CE242" s="1241"/>
      <c r="CF242" s="1241"/>
      <c r="CG242" s="1241"/>
      <c r="CH242" s="1241"/>
      <c r="CI242" s="1241"/>
      <c r="CJ242" s="1241"/>
      <c r="CK242" s="1241"/>
      <c r="CL242" s="1241"/>
      <c r="CM242" s="1241"/>
      <c r="CN242" s="1241"/>
      <c r="CO242" s="1241"/>
      <c r="CP242" s="1241"/>
      <c r="CQ242" s="1241"/>
      <c r="CR242" s="1241"/>
      <c r="CS242" s="1241"/>
      <c r="CT242" s="1241"/>
      <c r="CU242" s="1241"/>
      <c r="CV242" s="1241"/>
      <c r="CW242" s="1241"/>
      <c r="CX242" s="1241"/>
      <c r="CY242" s="1241"/>
      <c r="CZ242" s="1241"/>
      <c r="DA242" s="1241"/>
      <c r="DB242" s="1241"/>
      <c r="DC242" s="1241"/>
      <c r="DD242" s="1241"/>
      <c r="DE242" s="1241"/>
      <c r="DF242" s="1241"/>
      <c r="DG242" s="1241"/>
      <c r="DH242" s="1241"/>
      <c r="DI242" s="1241"/>
      <c r="DJ242" s="1241"/>
      <c r="DK242" s="1241"/>
      <c r="DL242" s="1241"/>
      <c r="DM242" s="1241"/>
    </row>
    <row r="243" spans="1:117" s="1302" customFormat="1">
      <c r="A243" s="1241"/>
      <c r="B243" s="1263"/>
      <c r="C243" s="1211"/>
      <c r="D243" s="1211"/>
      <c r="E243" s="1211"/>
      <c r="F243" s="1415"/>
      <c r="G243" s="1293"/>
      <c r="H243" s="1293"/>
      <c r="I243" s="1293"/>
      <c r="J243" s="1293"/>
      <c r="K243" s="1293"/>
      <c r="L243" s="1293"/>
      <c r="M243" s="1293"/>
      <c r="N243" s="1293"/>
      <c r="O243" s="1293"/>
      <c r="P243" s="1241"/>
      <c r="Q243" s="1241"/>
      <c r="R243" s="1241"/>
      <c r="S243" s="1241"/>
      <c r="T243" s="1241"/>
      <c r="U243" s="1241"/>
      <c r="V243" s="1241"/>
      <c r="W243" s="1241"/>
      <c r="X243" s="1241"/>
      <c r="Y243" s="1241"/>
      <c r="Z243" s="1241"/>
      <c r="AA243" s="1241"/>
      <c r="AB243" s="1241"/>
      <c r="AC243" s="1241"/>
      <c r="AD243" s="1241"/>
      <c r="AE243" s="1241"/>
      <c r="AF243" s="1241"/>
      <c r="AG243" s="1241"/>
      <c r="AH243" s="1241"/>
      <c r="AI243" s="1241"/>
      <c r="AJ243" s="1241"/>
      <c r="AK243" s="1241"/>
      <c r="AL243" s="1241"/>
      <c r="AM243" s="1241"/>
      <c r="AN243" s="1241"/>
      <c r="AO243" s="1241"/>
      <c r="AP243" s="1241"/>
      <c r="AQ243" s="1241"/>
      <c r="AR243" s="1241"/>
      <c r="AS243" s="1241"/>
      <c r="AT243" s="1241"/>
      <c r="AU243" s="1241"/>
      <c r="AV243" s="1241"/>
      <c r="AW243" s="1241"/>
      <c r="AX243" s="1241"/>
      <c r="AY243" s="1241"/>
      <c r="AZ243" s="1241"/>
      <c r="BA243" s="1241"/>
      <c r="BB243" s="1241"/>
      <c r="BC243" s="1241"/>
      <c r="BD243" s="1241"/>
      <c r="BE243" s="1241"/>
      <c r="BF243" s="1241"/>
      <c r="BG243" s="1241"/>
      <c r="BH243" s="1241"/>
      <c r="BI243" s="1241"/>
      <c r="BJ243" s="1241"/>
      <c r="BK243" s="1241"/>
      <c r="BL243" s="1241"/>
      <c r="BM243" s="1241"/>
      <c r="BN243" s="1241"/>
      <c r="BO243" s="1241"/>
      <c r="BP243" s="1241"/>
      <c r="BQ243" s="1241"/>
      <c r="BR243" s="1241"/>
      <c r="BS243" s="1241"/>
      <c r="BT243" s="1241"/>
      <c r="BU243" s="1241"/>
      <c r="BV243" s="1241"/>
      <c r="BW243" s="1241"/>
      <c r="BX243" s="1241"/>
      <c r="BY243" s="1241"/>
      <c r="BZ243" s="1241"/>
      <c r="CA243" s="1241"/>
      <c r="CB243" s="1241"/>
      <c r="CC243" s="1241"/>
      <c r="CD243" s="1241"/>
      <c r="CE243" s="1241"/>
      <c r="CF243" s="1241"/>
      <c r="CG243" s="1241"/>
      <c r="CH243" s="1241"/>
      <c r="CI243" s="1241"/>
      <c r="CJ243" s="1241"/>
      <c r="CK243" s="1241"/>
      <c r="CL243" s="1241"/>
      <c r="CM243" s="1241"/>
      <c r="CN243" s="1241"/>
      <c r="CO243" s="1241"/>
      <c r="CP243" s="1241"/>
      <c r="CQ243" s="1241"/>
      <c r="CR243" s="1241"/>
      <c r="CS243" s="1241"/>
      <c r="CT243" s="1241"/>
      <c r="CU243" s="1241"/>
      <c r="CV243" s="1241"/>
      <c r="CW243" s="1241"/>
      <c r="CX243" s="1241"/>
      <c r="CY243" s="1241"/>
      <c r="CZ243" s="1241"/>
      <c r="DA243" s="1241"/>
      <c r="DB243" s="1241"/>
      <c r="DC243" s="1241"/>
      <c r="DD243" s="1241"/>
      <c r="DE243" s="1241"/>
      <c r="DF243" s="1241"/>
      <c r="DG243" s="1241"/>
      <c r="DH243" s="1241"/>
      <c r="DI243" s="1241"/>
      <c r="DJ243" s="1241"/>
      <c r="DK243" s="1241"/>
      <c r="DL243" s="1241"/>
      <c r="DM243" s="1241"/>
    </row>
    <row r="244" spans="1:117" s="1302" customFormat="1">
      <c r="A244" s="1241"/>
      <c r="B244" s="1263"/>
      <c r="C244" s="1201" t="s">
        <v>4166</v>
      </c>
      <c r="D244" s="1201" t="s">
        <v>4248</v>
      </c>
      <c r="E244" s="1201" t="s">
        <v>48</v>
      </c>
      <c r="F244" s="1203"/>
      <c r="G244" s="1202"/>
      <c r="H244" s="1202">
        <v>2020</v>
      </c>
      <c r="I244" s="1202">
        <v>2022</v>
      </c>
      <c r="J244" s="1202">
        <v>2027</v>
      </c>
      <c r="K244" s="1202">
        <v>2032</v>
      </c>
      <c r="L244" s="1202">
        <v>2037</v>
      </c>
      <c r="M244" s="1202">
        <v>2042</v>
      </c>
      <c r="N244" s="1202">
        <v>2047</v>
      </c>
      <c r="O244" s="1202">
        <v>2030</v>
      </c>
      <c r="P244" s="1241"/>
      <c r="Q244" s="1241"/>
      <c r="R244" s="1241"/>
      <c r="S244" s="1241"/>
      <c r="T244" s="1241"/>
      <c r="U244" s="1241"/>
      <c r="V244" s="1241"/>
      <c r="W244" s="1241"/>
      <c r="X244" s="1241"/>
      <c r="Y244" s="1241"/>
      <c r="Z244" s="1241"/>
      <c r="AA244" s="1241"/>
      <c r="AB244" s="1241"/>
      <c r="AC244" s="1241"/>
      <c r="AD244" s="1241"/>
      <c r="AE244" s="1241"/>
      <c r="AF244" s="1241"/>
      <c r="AG244" s="1241"/>
      <c r="AH244" s="1241"/>
      <c r="AI244" s="1241"/>
      <c r="AJ244" s="1241"/>
      <c r="AK244" s="1241"/>
      <c r="AL244" s="1241"/>
      <c r="AM244" s="1241"/>
      <c r="AN244" s="1241"/>
      <c r="AO244" s="1241"/>
      <c r="AP244" s="1241"/>
      <c r="AQ244" s="1241"/>
      <c r="AR244" s="1241"/>
      <c r="AS244" s="1241"/>
      <c r="AT244" s="1241"/>
      <c r="AU244" s="1241"/>
      <c r="AV244" s="1241"/>
      <c r="AW244" s="1241"/>
      <c r="AX244" s="1241"/>
      <c r="AY244" s="1241"/>
      <c r="AZ244" s="1241"/>
      <c r="BA244" s="1241"/>
      <c r="BB244" s="1241"/>
      <c r="BC244" s="1241"/>
      <c r="BD244" s="1241"/>
      <c r="BE244" s="1241"/>
      <c r="BF244" s="1241"/>
      <c r="BG244" s="1241"/>
      <c r="BH244" s="1241"/>
      <c r="BI244" s="1241"/>
      <c r="BJ244" s="1241"/>
      <c r="BK244" s="1241"/>
      <c r="BL244" s="1241"/>
      <c r="BM244" s="1241"/>
      <c r="BN244" s="1241"/>
      <c r="BO244" s="1241"/>
      <c r="BP244" s="1241"/>
      <c r="BQ244" s="1241"/>
      <c r="BR244" s="1241"/>
      <c r="BS244" s="1241"/>
      <c r="BT244" s="1241"/>
      <c r="BU244" s="1241"/>
      <c r="BV244" s="1241"/>
      <c r="BW244" s="1241"/>
      <c r="BX244" s="1241"/>
      <c r="BY244" s="1241"/>
      <c r="BZ244" s="1241"/>
      <c r="CA244" s="1241"/>
      <c r="CB244" s="1241"/>
      <c r="CC244" s="1241"/>
      <c r="CD244" s="1241"/>
      <c r="CE244" s="1241"/>
      <c r="CF244" s="1241"/>
      <c r="CG244" s="1241"/>
      <c r="CH244" s="1241"/>
      <c r="CI244" s="1241"/>
      <c r="CJ244" s="1241"/>
      <c r="CK244" s="1241"/>
      <c r="CL244" s="1241"/>
      <c r="CM244" s="1241"/>
      <c r="CN244" s="1241"/>
      <c r="CO244" s="1241"/>
      <c r="CP244" s="1241"/>
      <c r="CQ244" s="1241"/>
      <c r="CR244" s="1241"/>
      <c r="CS244" s="1241"/>
      <c r="CT244" s="1241"/>
      <c r="CU244" s="1241"/>
      <c r="CV244" s="1241"/>
      <c r="CW244" s="1241"/>
      <c r="CX244" s="1241"/>
      <c r="CY244" s="1241"/>
      <c r="CZ244" s="1241"/>
      <c r="DA244" s="1241"/>
      <c r="DB244" s="1241"/>
      <c r="DC244" s="1241"/>
      <c r="DD244" s="1241"/>
      <c r="DE244" s="1241"/>
      <c r="DF244" s="1241"/>
      <c r="DG244" s="1241"/>
      <c r="DH244" s="1241"/>
      <c r="DI244" s="1241"/>
      <c r="DJ244" s="1241"/>
      <c r="DK244" s="1241"/>
      <c r="DL244" s="1241"/>
      <c r="DM244" s="1241"/>
    </row>
    <row r="245" spans="1:117" s="1302" customFormat="1" ht="15">
      <c r="A245" s="1241"/>
      <c r="B245" s="1263"/>
      <c r="C245" s="1211" t="s">
        <v>4032</v>
      </c>
      <c r="D245" s="1211" t="s">
        <v>4033</v>
      </c>
      <c r="E245" s="1268"/>
      <c r="F245" s="1372"/>
      <c r="G245" s="1375"/>
      <c r="H245" s="1375">
        <v>0.02</v>
      </c>
      <c r="I245" s="1405">
        <v>3.3333333333333333E-2</v>
      </c>
      <c r="J245" s="1405">
        <v>6.666666666666668E-2</v>
      </c>
      <c r="K245" s="1405">
        <v>0.1</v>
      </c>
      <c r="L245" s="1405">
        <v>0.13333333333333336</v>
      </c>
      <c r="M245" s="1405">
        <v>0.16666666666666669</v>
      </c>
      <c r="N245" s="1416">
        <v>0.2</v>
      </c>
      <c r="O245" s="1405">
        <v>8.6666666666666684E-2</v>
      </c>
      <c r="P245" s="1241"/>
      <c r="Q245" s="1241"/>
      <c r="R245" s="1241"/>
      <c r="S245" s="1241"/>
      <c r="T245" s="1241"/>
      <c r="U245" s="1241"/>
      <c r="V245" s="1241"/>
      <c r="W245" s="1241"/>
      <c r="X245" s="1241"/>
      <c r="Y245" s="1241"/>
      <c r="Z245" s="1241"/>
      <c r="AA245" s="1241"/>
      <c r="AB245" s="1241"/>
      <c r="AC245" s="1241"/>
      <c r="AD245" s="1241"/>
      <c r="AE245" s="1241"/>
      <c r="AF245" s="1241"/>
      <c r="AG245" s="1241"/>
      <c r="AH245" s="1241"/>
      <c r="AI245" s="1241"/>
      <c r="AJ245" s="1241"/>
      <c r="AK245" s="1241"/>
      <c r="AL245" s="1241"/>
      <c r="AM245" s="1241"/>
      <c r="AN245" s="1241"/>
      <c r="AO245" s="1241"/>
      <c r="AP245" s="1241"/>
      <c r="AQ245" s="1241"/>
      <c r="AR245" s="1241"/>
      <c r="AS245" s="1241"/>
      <c r="AT245" s="1241"/>
      <c r="AU245" s="1241"/>
      <c r="AV245" s="1241"/>
      <c r="AW245" s="1241"/>
      <c r="AX245" s="1241"/>
      <c r="AY245" s="1241"/>
      <c r="AZ245" s="1241"/>
      <c r="BA245" s="1241"/>
      <c r="BB245" s="1241"/>
      <c r="BC245" s="1241"/>
      <c r="BD245" s="1241"/>
      <c r="BE245" s="1241"/>
      <c r="BF245" s="1241"/>
      <c r="BG245" s="1241"/>
      <c r="BH245" s="1241"/>
      <c r="BI245" s="1241"/>
      <c r="BJ245" s="1241"/>
      <c r="BK245" s="1241"/>
      <c r="BL245" s="1241"/>
      <c r="BM245" s="1241"/>
      <c r="BN245" s="1241"/>
      <c r="BO245" s="1241"/>
      <c r="BP245" s="1241"/>
      <c r="BQ245" s="1241"/>
      <c r="BR245" s="1241"/>
      <c r="BS245" s="1241"/>
      <c r="BT245" s="1241"/>
      <c r="BU245" s="1241"/>
      <c r="BV245" s="1241"/>
      <c r="BW245" s="1241"/>
      <c r="BX245" s="1241"/>
      <c r="BY245" s="1241"/>
      <c r="BZ245" s="1241"/>
      <c r="CA245" s="1241"/>
      <c r="CB245" s="1241"/>
      <c r="CC245" s="1241"/>
      <c r="CD245" s="1241"/>
      <c r="CE245" s="1241"/>
      <c r="CF245" s="1241"/>
      <c r="CG245" s="1241"/>
      <c r="CH245" s="1241"/>
      <c r="CI245" s="1241"/>
      <c r="CJ245" s="1241"/>
      <c r="CK245" s="1241"/>
      <c r="CL245" s="1241"/>
      <c r="CM245" s="1241"/>
      <c r="CN245" s="1241"/>
      <c r="CO245" s="1241"/>
      <c r="CP245" s="1241"/>
      <c r="CQ245" s="1241"/>
      <c r="CR245" s="1241"/>
      <c r="CS245" s="1241"/>
      <c r="CT245" s="1241"/>
      <c r="CU245" s="1241"/>
      <c r="CV245" s="1241"/>
      <c r="CW245" s="1241"/>
      <c r="CX245" s="1241"/>
      <c r="CY245" s="1241"/>
      <c r="CZ245" s="1241"/>
      <c r="DA245" s="1241"/>
      <c r="DB245" s="1241"/>
      <c r="DC245" s="1241"/>
      <c r="DD245" s="1241"/>
      <c r="DE245" s="1241"/>
      <c r="DF245" s="1241"/>
      <c r="DG245" s="1241"/>
      <c r="DH245" s="1241"/>
      <c r="DI245" s="1241"/>
      <c r="DJ245" s="1241"/>
      <c r="DK245" s="1241"/>
      <c r="DL245" s="1241"/>
      <c r="DM245" s="1241"/>
    </row>
    <row r="246" spans="1:117" s="1302" customFormat="1" ht="15">
      <c r="A246" s="1241"/>
      <c r="B246" s="1263"/>
      <c r="C246" s="1211" t="s">
        <v>3997</v>
      </c>
      <c r="D246" s="1211" t="s">
        <v>3998</v>
      </c>
      <c r="E246" s="1268"/>
      <c r="F246" s="1372"/>
      <c r="G246" s="1375"/>
      <c r="H246" s="1375">
        <v>0.97</v>
      </c>
      <c r="I246" s="1405">
        <v>0.95444444444444443</v>
      </c>
      <c r="J246" s="1405">
        <v>0.91555555555555557</v>
      </c>
      <c r="K246" s="1405">
        <v>0.87666666666666671</v>
      </c>
      <c r="L246" s="1405">
        <v>0.83777777777777784</v>
      </c>
      <c r="M246" s="1405">
        <v>0.79888888888888876</v>
      </c>
      <c r="N246" s="1417">
        <v>0.76</v>
      </c>
      <c r="O246" s="1405">
        <v>0.89222222222222225</v>
      </c>
      <c r="P246" s="1241"/>
      <c r="Q246" s="1241"/>
      <c r="R246" s="1241"/>
      <c r="S246" s="1241"/>
      <c r="T246" s="1241"/>
      <c r="U246" s="1241"/>
      <c r="V246" s="1241"/>
      <c r="W246" s="1241"/>
      <c r="X246" s="1241"/>
      <c r="Y246" s="1241"/>
      <c r="Z246" s="1241"/>
      <c r="AA246" s="1241"/>
      <c r="AB246" s="1241"/>
      <c r="AC246" s="1241"/>
      <c r="AD246" s="1241"/>
      <c r="AE246" s="1241"/>
      <c r="AF246" s="1241"/>
      <c r="AG246" s="1241"/>
      <c r="AH246" s="1241"/>
      <c r="AI246" s="1241"/>
      <c r="AJ246" s="1241"/>
      <c r="AK246" s="1241"/>
      <c r="AL246" s="1241"/>
      <c r="AM246" s="1241"/>
      <c r="AN246" s="1241"/>
      <c r="AO246" s="1241"/>
      <c r="AP246" s="1241"/>
      <c r="AQ246" s="1241"/>
      <c r="AR246" s="1241"/>
      <c r="AS246" s="1241"/>
      <c r="AT246" s="1241"/>
      <c r="AU246" s="1241"/>
      <c r="AV246" s="1241"/>
      <c r="AW246" s="1241"/>
      <c r="AX246" s="1241"/>
      <c r="AY246" s="1241"/>
      <c r="AZ246" s="1241"/>
      <c r="BA246" s="1241"/>
      <c r="BB246" s="1241"/>
      <c r="BC246" s="1241"/>
      <c r="BD246" s="1241"/>
      <c r="BE246" s="1241"/>
      <c r="BF246" s="1241"/>
      <c r="BG246" s="1241"/>
      <c r="BH246" s="1241"/>
      <c r="BI246" s="1241"/>
      <c r="BJ246" s="1241"/>
      <c r="BK246" s="1241"/>
      <c r="BL246" s="1241"/>
      <c r="BM246" s="1241"/>
      <c r="BN246" s="1241"/>
      <c r="BO246" s="1241"/>
      <c r="BP246" s="1241"/>
      <c r="BQ246" s="1241"/>
      <c r="BR246" s="1241"/>
      <c r="BS246" s="1241"/>
      <c r="BT246" s="1241"/>
      <c r="BU246" s="1241"/>
      <c r="BV246" s="1241"/>
      <c r="BW246" s="1241"/>
      <c r="BX246" s="1241"/>
      <c r="BY246" s="1241"/>
      <c r="BZ246" s="1241"/>
      <c r="CA246" s="1241"/>
      <c r="CB246" s="1241"/>
      <c r="CC246" s="1241"/>
      <c r="CD246" s="1241"/>
      <c r="CE246" s="1241"/>
      <c r="CF246" s="1241"/>
      <c r="CG246" s="1241"/>
      <c r="CH246" s="1241"/>
      <c r="CI246" s="1241"/>
      <c r="CJ246" s="1241"/>
      <c r="CK246" s="1241"/>
      <c r="CL246" s="1241"/>
      <c r="CM246" s="1241"/>
      <c r="CN246" s="1241"/>
      <c r="CO246" s="1241"/>
      <c r="CP246" s="1241"/>
      <c r="CQ246" s="1241"/>
      <c r="CR246" s="1241"/>
      <c r="CS246" s="1241"/>
      <c r="CT246" s="1241"/>
      <c r="CU246" s="1241"/>
      <c r="CV246" s="1241"/>
      <c r="CW246" s="1241"/>
      <c r="CX246" s="1241"/>
      <c r="CY246" s="1241"/>
      <c r="CZ246" s="1241"/>
      <c r="DA246" s="1241"/>
      <c r="DB246" s="1241"/>
      <c r="DC246" s="1241"/>
      <c r="DD246" s="1241"/>
      <c r="DE246" s="1241"/>
      <c r="DF246" s="1241"/>
      <c r="DG246" s="1241"/>
      <c r="DH246" s="1241"/>
      <c r="DI246" s="1241"/>
      <c r="DJ246" s="1241"/>
      <c r="DK246" s="1241"/>
      <c r="DL246" s="1241"/>
      <c r="DM246" s="1241"/>
    </row>
    <row r="247" spans="1:117" s="1302" customFormat="1" ht="15">
      <c r="A247" s="1241"/>
      <c r="B247" s="1263"/>
      <c r="C247" s="1211" t="s">
        <v>3999</v>
      </c>
      <c r="D247" s="1211" t="s">
        <v>4000</v>
      </c>
      <c r="E247" s="1268"/>
      <c r="F247" s="1372"/>
      <c r="G247" s="1375"/>
      <c r="H247" s="1375">
        <v>0.01</v>
      </c>
      <c r="I247" s="1405">
        <v>0.01</v>
      </c>
      <c r="J247" s="1405">
        <v>0.01</v>
      </c>
      <c r="K247" s="1405">
        <v>0.01</v>
      </c>
      <c r="L247" s="1405">
        <v>0.01</v>
      </c>
      <c r="M247" s="1405">
        <v>0.01</v>
      </c>
      <c r="N247" s="1416">
        <v>0.01</v>
      </c>
      <c r="O247" s="1405">
        <v>0.01</v>
      </c>
      <c r="P247" s="1241"/>
      <c r="Q247" s="1241"/>
      <c r="R247" s="1241"/>
      <c r="S247" s="1241"/>
      <c r="T247" s="1241"/>
      <c r="U247" s="1241"/>
      <c r="V247" s="1241"/>
      <c r="W247" s="1241"/>
      <c r="X247" s="1241"/>
      <c r="Y247" s="1241"/>
      <c r="Z247" s="1241"/>
      <c r="AA247" s="1241"/>
      <c r="AB247" s="1241"/>
      <c r="AC247" s="1241"/>
      <c r="AD247" s="1241"/>
      <c r="AE247" s="1241"/>
      <c r="AF247" s="1241"/>
      <c r="AG247" s="1241"/>
      <c r="AH247" s="1241"/>
      <c r="AI247" s="1241"/>
      <c r="AJ247" s="1241"/>
      <c r="AK247" s="1241"/>
      <c r="AL247" s="1241"/>
      <c r="AM247" s="1241"/>
      <c r="AN247" s="1241"/>
      <c r="AO247" s="1241"/>
      <c r="AP247" s="1241"/>
      <c r="AQ247" s="1241"/>
      <c r="AR247" s="1241"/>
      <c r="AS247" s="1241"/>
      <c r="AT247" s="1241"/>
      <c r="AU247" s="1241"/>
      <c r="AV247" s="1241"/>
      <c r="AW247" s="1241"/>
      <c r="AX247" s="1241"/>
      <c r="AY247" s="1241"/>
      <c r="AZ247" s="1241"/>
      <c r="BA247" s="1241"/>
      <c r="BB247" s="1241"/>
      <c r="BC247" s="1241"/>
      <c r="BD247" s="1241"/>
      <c r="BE247" s="1241"/>
      <c r="BF247" s="1241"/>
      <c r="BG247" s="1241"/>
      <c r="BH247" s="1241"/>
      <c r="BI247" s="1241"/>
      <c r="BJ247" s="1241"/>
      <c r="BK247" s="1241"/>
      <c r="BL247" s="1241"/>
      <c r="BM247" s="1241"/>
      <c r="BN247" s="1241"/>
      <c r="BO247" s="1241"/>
      <c r="BP247" s="1241"/>
      <c r="BQ247" s="1241"/>
      <c r="BR247" s="1241"/>
      <c r="BS247" s="1241"/>
      <c r="BT247" s="1241"/>
      <c r="BU247" s="1241"/>
      <c r="BV247" s="1241"/>
      <c r="BW247" s="1241"/>
      <c r="BX247" s="1241"/>
      <c r="BY247" s="1241"/>
      <c r="BZ247" s="1241"/>
      <c r="CA247" s="1241"/>
      <c r="CB247" s="1241"/>
      <c r="CC247" s="1241"/>
      <c r="CD247" s="1241"/>
      <c r="CE247" s="1241"/>
      <c r="CF247" s="1241"/>
      <c r="CG247" s="1241"/>
      <c r="CH247" s="1241"/>
      <c r="CI247" s="1241"/>
      <c r="CJ247" s="1241"/>
      <c r="CK247" s="1241"/>
      <c r="CL247" s="1241"/>
      <c r="CM247" s="1241"/>
      <c r="CN247" s="1241"/>
      <c r="CO247" s="1241"/>
      <c r="CP247" s="1241"/>
      <c r="CQ247" s="1241"/>
      <c r="CR247" s="1241"/>
      <c r="CS247" s="1241"/>
      <c r="CT247" s="1241"/>
      <c r="CU247" s="1241"/>
      <c r="CV247" s="1241"/>
      <c r="CW247" s="1241"/>
      <c r="CX247" s="1241"/>
      <c r="CY247" s="1241"/>
      <c r="CZ247" s="1241"/>
      <c r="DA247" s="1241"/>
      <c r="DB247" s="1241"/>
      <c r="DC247" s="1241"/>
      <c r="DD247" s="1241"/>
      <c r="DE247" s="1241"/>
      <c r="DF247" s="1241"/>
      <c r="DG247" s="1241"/>
      <c r="DH247" s="1241"/>
      <c r="DI247" s="1241"/>
      <c r="DJ247" s="1241"/>
      <c r="DK247" s="1241"/>
      <c r="DL247" s="1241"/>
      <c r="DM247" s="1241"/>
    </row>
    <row r="248" spans="1:117" s="1302" customFormat="1" ht="15">
      <c r="A248" s="1241"/>
      <c r="B248" s="1263"/>
      <c r="C248" s="1211" t="s">
        <v>4001</v>
      </c>
      <c r="D248" s="1211" t="s">
        <v>4002</v>
      </c>
      <c r="E248" s="1268"/>
      <c r="F248" s="1372"/>
      <c r="G248" s="1375"/>
      <c r="H248" s="1375">
        <v>0</v>
      </c>
      <c r="I248" s="1405">
        <v>2.2222222222222222E-3</v>
      </c>
      <c r="J248" s="1405">
        <v>7.7777777777777776E-3</v>
      </c>
      <c r="K248" s="1405">
        <v>1.3333333333333332E-2</v>
      </c>
      <c r="L248" s="1405">
        <v>1.8888888888888889E-2</v>
      </c>
      <c r="M248" s="1405">
        <v>2.4444444444444442E-2</v>
      </c>
      <c r="N248" s="1416">
        <v>0.03</v>
      </c>
      <c r="O248" s="1405">
        <v>1.1111111111111112E-2</v>
      </c>
      <c r="P248" s="1241"/>
      <c r="Q248" s="1241"/>
      <c r="R248" s="1241"/>
      <c r="S248" s="1241"/>
      <c r="T248" s="1241"/>
      <c r="U248" s="1241"/>
      <c r="V248" s="1241"/>
      <c r="W248" s="1241"/>
      <c r="X248" s="1241"/>
      <c r="Y248" s="1241"/>
      <c r="Z248" s="1241"/>
      <c r="AA248" s="1241"/>
      <c r="AB248" s="1241"/>
      <c r="AC248" s="1241"/>
      <c r="AD248" s="1241"/>
      <c r="AE248" s="1241"/>
      <c r="AF248" s="1241"/>
      <c r="AG248" s="1241"/>
      <c r="AH248" s="1241"/>
      <c r="AI248" s="1241"/>
      <c r="AJ248" s="1241"/>
      <c r="AK248" s="1241"/>
      <c r="AL248" s="1241"/>
      <c r="AM248" s="1241"/>
      <c r="AN248" s="1241"/>
      <c r="AO248" s="1241"/>
      <c r="AP248" s="1241"/>
      <c r="AQ248" s="1241"/>
      <c r="AR248" s="1241"/>
      <c r="AS248" s="1241"/>
      <c r="AT248" s="1241"/>
      <c r="AU248" s="1241"/>
      <c r="AV248" s="1241"/>
      <c r="AW248" s="1241"/>
      <c r="AX248" s="1241"/>
      <c r="AY248" s="1241"/>
      <c r="AZ248" s="1241"/>
      <c r="BA248" s="1241"/>
      <c r="BB248" s="1241"/>
      <c r="BC248" s="1241"/>
      <c r="BD248" s="1241"/>
      <c r="BE248" s="1241"/>
      <c r="BF248" s="1241"/>
      <c r="BG248" s="1241"/>
      <c r="BH248" s="1241"/>
      <c r="BI248" s="1241"/>
      <c r="BJ248" s="1241"/>
      <c r="BK248" s="1241"/>
      <c r="BL248" s="1241"/>
      <c r="BM248" s="1241"/>
      <c r="BN248" s="1241"/>
      <c r="BO248" s="1241"/>
      <c r="BP248" s="1241"/>
      <c r="BQ248" s="1241"/>
      <c r="BR248" s="1241"/>
      <c r="BS248" s="1241"/>
      <c r="BT248" s="1241"/>
      <c r="BU248" s="1241"/>
      <c r="BV248" s="1241"/>
      <c r="BW248" s="1241"/>
      <c r="BX248" s="1241"/>
      <c r="BY248" s="1241"/>
      <c r="BZ248" s="1241"/>
      <c r="CA248" s="1241"/>
      <c r="CB248" s="1241"/>
      <c r="CC248" s="1241"/>
      <c r="CD248" s="1241"/>
      <c r="CE248" s="1241"/>
      <c r="CF248" s="1241"/>
      <c r="CG248" s="1241"/>
      <c r="CH248" s="1241"/>
      <c r="CI248" s="1241"/>
      <c r="CJ248" s="1241"/>
      <c r="CK248" s="1241"/>
      <c r="CL248" s="1241"/>
      <c r="CM248" s="1241"/>
      <c r="CN248" s="1241"/>
      <c r="CO248" s="1241"/>
      <c r="CP248" s="1241"/>
      <c r="CQ248" s="1241"/>
      <c r="CR248" s="1241"/>
      <c r="CS248" s="1241"/>
      <c r="CT248" s="1241"/>
      <c r="CU248" s="1241"/>
      <c r="CV248" s="1241"/>
      <c r="CW248" s="1241"/>
      <c r="CX248" s="1241"/>
      <c r="CY248" s="1241"/>
      <c r="CZ248" s="1241"/>
      <c r="DA248" s="1241"/>
      <c r="DB248" s="1241"/>
      <c r="DC248" s="1241"/>
      <c r="DD248" s="1241"/>
      <c r="DE248" s="1241"/>
      <c r="DF248" s="1241"/>
      <c r="DG248" s="1241"/>
      <c r="DH248" s="1241"/>
      <c r="DI248" s="1241"/>
      <c r="DJ248" s="1241"/>
      <c r="DK248" s="1241"/>
      <c r="DL248" s="1241"/>
      <c r="DM248" s="1241"/>
    </row>
    <row r="249" spans="1:117" s="1302" customFormat="1" ht="15">
      <c r="A249" s="1241"/>
      <c r="B249" s="1263"/>
      <c r="C249" s="1211" t="s">
        <v>4011</v>
      </c>
      <c r="D249" s="1211" t="s">
        <v>4012</v>
      </c>
      <c r="E249" s="1268"/>
      <c r="F249" s="1372"/>
      <c r="G249" s="1375"/>
      <c r="H249" s="1293">
        <v>0</v>
      </c>
      <c r="I249" s="1293">
        <v>0</v>
      </c>
      <c r="J249" s="1293">
        <v>0</v>
      </c>
      <c r="K249" s="1293">
        <v>0</v>
      </c>
      <c r="L249" s="1293">
        <v>0</v>
      </c>
      <c r="M249" s="1293">
        <v>0</v>
      </c>
      <c r="N249" s="1293">
        <v>0</v>
      </c>
      <c r="O249" s="1293">
        <v>0</v>
      </c>
      <c r="P249" s="1241"/>
      <c r="Q249" s="1241"/>
      <c r="R249" s="1241"/>
      <c r="S249" s="1241"/>
      <c r="T249" s="1241"/>
      <c r="U249" s="1241"/>
      <c r="V249" s="1241"/>
      <c r="W249" s="1241"/>
      <c r="X249" s="1241"/>
      <c r="Y249" s="1241"/>
      <c r="Z249" s="1241"/>
      <c r="AA249" s="1241"/>
      <c r="AB249" s="1241"/>
      <c r="AC249" s="1241"/>
      <c r="AD249" s="1241"/>
      <c r="AE249" s="1241"/>
      <c r="AF249" s="1241"/>
      <c r="AG249" s="1241"/>
      <c r="AH249" s="1241"/>
      <c r="AI249" s="1241"/>
      <c r="AJ249" s="1241"/>
      <c r="AK249" s="1241"/>
      <c r="AL249" s="1241"/>
      <c r="AM249" s="1241"/>
      <c r="AN249" s="1241"/>
      <c r="AO249" s="1241"/>
      <c r="AP249" s="1241"/>
      <c r="AQ249" s="1241"/>
      <c r="AR249" s="1241"/>
      <c r="AS249" s="1241"/>
      <c r="AT249" s="1241"/>
      <c r="AU249" s="1241"/>
      <c r="AV249" s="1241"/>
      <c r="AW249" s="1241"/>
      <c r="AX249" s="1241"/>
      <c r="AY249" s="1241"/>
      <c r="AZ249" s="1241"/>
      <c r="BA249" s="1241"/>
      <c r="BB249" s="1241"/>
      <c r="BC249" s="1241"/>
      <c r="BD249" s="1241"/>
      <c r="BE249" s="1241"/>
      <c r="BF249" s="1241"/>
      <c r="BG249" s="1241"/>
      <c r="BH249" s="1241"/>
      <c r="BI249" s="1241"/>
      <c r="BJ249" s="1241"/>
      <c r="BK249" s="1241"/>
      <c r="BL249" s="1241"/>
      <c r="BM249" s="1241"/>
      <c r="BN249" s="1241"/>
      <c r="BO249" s="1241"/>
      <c r="BP249" s="1241"/>
      <c r="BQ249" s="1241"/>
      <c r="BR249" s="1241"/>
      <c r="BS249" s="1241"/>
      <c r="BT249" s="1241"/>
      <c r="BU249" s="1241"/>
      <c r="BV249" s="1241"/>
      <c r="BW249" s="1241"/>
      <c r="BX249" s="1241"/>
      <c r="BY249" s="1241"/>
      <c r="BZ249" s="1241"/>
      <c r="CA249" s="1241"/>
      <c r="CB249" s="1241"/>
      <c r="CC249" s="1241"/>
      <c r="CD249" s="1241"/>
      <c r="CE249" s="1241"/>
      <c r="CF249" s="1241"/>
      <c r="CG249" s="1241"/>
      <c r="CH249" s="1241"/>
      <c r="CI249" s="1241"/>
      <c r="CJ249" s="1241"/>
      <c r="CK249" s="1241"/>
      <c r="CL249" s="1241"/>
      <c r="CM249" s="1241"/>
      <c r="CN249" s="1241"/>
      <c r="CO249" s="1241"/>
      <c r="CP249" s="1241"/>
      <c r="CQ249" s="1241"/>
      <c r="CR249" s="1241"/>
      <c r="CS249" s="1241"/>
      <c r="CT249" s="1241"/>
      <c r="CU249" s="1241"/>
      <c r="CV249" s="1241"/>
      <c r="CW249" s="1241"/>
      <c r="CX249" s="1241"/>
      <c r="CY249" s="1241"/>
      <c r="CZ249" s="1241"/>
      <c r="DA249" s="1241"/>
      <c r="DB249" s="1241"/>
      <c r="DC249" s="1241"/>
      <c r="DD249" s="1241"/>
      <c r="DE249" s="1241"/>
      <c r="DF249" s="1241"/>
      <c r="DG249" s="1241"/>
      <c r="DH249" s="1241"/>
      <c r="DI249" s="1241"/>
      <c r="DJ249" s="1241"/>
      <c r="DK249" s="1241"/>
      <c r="DL249" s="1241"/>
      <c r="DM249" s="1241"/>
    </row>
    <row r="250" spans="1:117" s="1302" customFormat="1">
      <c r="A250" s="1241"/>
      <c r="B250" s="1263"/>
      <c r="C250" s="1406" t="s">
        <v>4025</v>
      </c>
      <c r="D250" s="1406" t="s">
        <v>4026</v>
      </c>
      <c r="E250" s="1406"/>
      <c r="F250" s="1407"/>
      <c r="G250" s="1408"/>
      <c r="H250" s="1408">
        <v>0</v>
      </c>
      <c r="I250" s="1408">
        <v>0</v>
      </c>
      <c r="J250" s="1408">
        <v>0</v>
      </c>
      <c r="K250" s="1408">
        <v>0</v>
      </c>
      <c r="L250" s="1408">
        <v>0</v>
      </c>
      <c r="M250" s="1408">
        <v>0</v>
      </c>
      <c r="N250" s="1408">
        <v>0</v>
      </c>
      <c r="O250" s="1408">
        <v>0</v>
      </c>
      <c r="P250" s="1241"/>
      <c r="Q250" s="1241"/>
      <c r="R250" s="1241"/>
      <c r="S250" s="1241"/>
      <c r="T250" s="1241"/>
      <c r="U250" s="1241"/>
      <c r="V250" s="1241"/>
      <c r="W250" s="1241"/>
      <c r="X250" s="1241"/>
      <c r="Y250" s="1241"/>
      <c r="Z250" s="1241"/>
      <c r="AA250" s="1241"/>
      <c r="AB250" s="1241"/>
      <c r="AC250" s="1241"/>
      <c r="AD250" s="1241"/>
      <c r="AE250" s="1241"/>
      <c r="AF250" s="1241"/>
      <c r="AG250" s="1241"/>
      <c r="AH250" s="1241"/>
      <c r="AI250" s="1241"/>
      <c r="AJ250" s="1241"/>
      <c r="AK250" s="1241"/>
      <c r="AL250" s="1241"/>
      <c r="AM250" s="1241"/>
      <c r="AN250" s="1241"/>
      <c r="AO250" s="1241"/>
      <c r="AP250" s="1241"/>
      <c r="AQ250" s="1241"/>
      <c r="AR250" s="1241"/>
      <c r="AS250" s="1241"/>
      <c r="AT250" s="1241"/>
      <c r="AU250" s="1241"/>
      <c r="AV250" s="1241"/>
      <c r="AW250" s="1241"/>
      <c r="AX250" s="1241"/>
      <c r="AY250" s="1241"/>
      <c r="AZ250" s="1241"/>
      <c r="BA250" s="1241"/>
      <c r="BB250" s="1241"/>
      <c r="BC250" s="1241"/>
      <c r="BD250" s="1241"/>
      <c r="BE250" s="1241"/>
      <c r="BF250" s="1241"/>
      <c r="BG250" s="1241"/>
      <c r="BH250" s="1241"/>
      <c r="BI250" s="1241"/>
      <c r="BJ250" s="1241"/>
      <c r="BK250" s="1241"/>
      <c r="BL250" s="1241"/>
      <c r="BM250" s="1241"/>
      <c r="BN250" s="1241"/>
      <c r="BO250" s="1241"/>
      <c r="BP250" s="1241"/>
      <c r="BQ250" s="1241"/>
      <c r="BR250" s="1241"/>
      <c r="BS250" s="1241"/>
      <c r="BT250" s="1241"/>
      <c r="BU250" s="1241"/>
      <c r="BV250" s="1241"/>
      <c r="BW250" s="1241"/>
      <c r="BX250" s="1241"/>
      <c r="BY250" s="1241"/>
      <c r="BZ250" s="1241"/>
      <c r="CA250" s="1241"/>
      <c r="CB250" s="1241"/>
      <c r="CC250" s="1241"/>
      <c r="CD250" s="1241"/>
      <c r="CE250" s="1241"/>
      <c r="CF250" s="1241"/>
      <c r="CG250" s="1241"/>
      <c r="CH250" s="1241"/>
      <c r="CI250" s="1241"/>
      <c r="CJ250" s="1241"/>
      <c r="CK250" s="1241"/>
      <c r="CL250" s="1241"/>
      <c r="CM250" s="1241"/>
      <c r="CN250" s="1241"/>
      <c r="CO250" s="1241"/>
      <c r="CP250" s="1241"/>
      <c r="CQ250" s="1241"/>
      <c r="CR250" s="1241"/>
      <c r="CS250" s="1241"/>
      <c r="CT250" s="1241"/>
      <c r="CU250" s="1241"/>
      <c r="CV250" s="1241"/>
      <c r="CW250" s="1241"/>
      <c r="CX250" s="1241"/>
      <c r="CY250" s="1241"/>
      <c r="CZ250" s="1241"/>
      <c r="DA250" s="1241"/>
      <c r="DB250" s="1241"/>
      <c r="DC250" s="1241"/>
      <c r="DD250" s="1241"/>
      <c r="DE250" s="1241"/>
      <c r="DF250" s="1241"/>
      <c r="DG250" s="1241"/>
      <c r="DH250" s="1241"/>
      <c r="DI250" s="1241"/>
      <c r="DJ250" s="1241"/>
      <c r="DK250" s="1241"/>
      <c r="DL250" s="1241"/>
      <c r="DM250" s="1241"/>
    </row>
    <row r="251" spans="1:117" s="1302" customFormat="1">
      <c r="A251" s="1241"/>
      <c r="B251" s="1263"/>
      <c r="C251" s="1211"/>
      <c r="D251" s="1211"/>
      <c r="E251" s="1211"/>
      <c r="F251" s="1415"/>
      <c r="G251" s="1293"/>
      <c r="H251" s="1293"/>
      <c r="I251" s="1293"/>
      <c r="J251" s="1293"/>
      <c r="K251" s="1293"/>
      <c r="L251" s="1293"/>
      <c r="M251" s="1293"/>
      <c r="N251" s="1293"/>
      <c r="O251" s="1293"/>
      <c r="P251" s="1241"/>
      <c r="Q251" s="1241"/>
      <c r="R251" s="1241"/>
      <c r="S251" s="1241"/>
      <c r="T251" s="1241"/>
      <c r="U251" s="1241"/>
      <c r="V251" s="1241"/>
      <c r="W251" s="1241"/>
      <c r="X251" s="1241"/>
      <c r="Y251" s="1241"/>
      <c r="Z251" s="1241"/>
      <c r="AA251" s="1241"/>
      <c r="AB251" s="1241"/>
      <c r="AC251" s="1241"/>
      <c r="AD251" s="1241"/>
      <c r="AE251" s="1241"/>
      <c r="AF251" s="1241"/>
      <c r="AG251" s="1241"/>
      <c r="AH251" s="1241"/>
      <c r="AI251" s="1241"/>
      <c r="AJ251" s="1241"/>
      <c r="AK251" s="1241"/>
      <c r="AL251" s="1241"/>
      <c r="AM251" s="1241"/>
      <c r="AN251" s="1241"/>
      <c r="AO251" s="1241"/>
      <c r="AP251" s="1241"/>
      <c r="AQ251" s="1241"/>
      <c r="AR251" s="1241"/>
      <c r="AS251" s="1241"/>
      <c r="AT251" s="1241"/>
      <c r="AU251" s="1241"/>
      <c r="AV251" s="1241"/>
      <c r="AW251" s="1241"/>
      <c r="AX251" s="1241"/>
      <c r="AY251" s="1241"/>
      <c r="AZ251" s="1241"/>
      <c r="BA251" s="1241"/>
      <c r="BB251" s="1241"/>
      <c r="BC251" s="1241"/>
      <c r="BD251" s="1241"/>
      <c r="BE251" s="1241"/>
      <c r="BF251" s="1241"/>
      <c r="BG251" s="1241"/>
      <c r="BH251" s="1241"/>
      <c r="BI251" s="1241"/>
      <c r="BJ251" s="1241"/>
      <c r="BK251" s="1241"/>
      <c r="BL251" s="1241"/>
      <c r="BM251" s="1241"/>
      <c r="BN251" s="1241"/>
      <c r="BO251" s="1241"/>
      <c r="BP251" s="1241"/>
      <c r="BQ251" s="1241"/>
      <c r="BR251" s="1241"/>
      <c r="BS251" s="1241"/>
      <c r="BT251" s="1241"/>
      <c r="BU251" s="1241"/>
      <c r="BV251" s="1241"/>
      <c r="BW251" s="1241"/>
      <c r="BX251" s="1241"/>
      <c r="BY251" s="1241"/>
      <c r="BZ251" s="1241"/>
      <c r="CA251" s="1241"/>
      <c r="CB251" s="1241"/>
      <c r="CC251" s="1241"/>
      <c r="CD251" s="1241"/>
      <c r="CE251" s="1241"/>
      <c r="CF251" s="1241"/>
      <c r="CG251" s="1241"/>
      <c r="CH251" s="1241"/>
      <c r="CI251" s="1241"/>
      <c r="CJ251" s="1241"/>
      <c r="CK251" s="1241"/>
      <c r="CL251" s="1241"/>
      <c r="CM251" s="1241"/>
      <c r="CN251" s="1241"/>
      <c r="CO251" s="1241"/>
      <c r="CP251" s="1241"/>
      <c r="CQ251" s="1241"/>
      <c r="CR251" s="1241"/>
      <c r="CS251" s="1241"/>
      <c r="CT251" s="1241"/>
      <c r="CU251" s="1241"/>
      <c r="CV251" s="1241"/>
      <c r="CW251" s="1241"/>
      <c r="CX251" s="1241"/>
      <c r="CY251" s="1241"/>
      <c r="CZ251" s="1241"/>
      <c r="DA251" s="1241"/>
      <c r="DB251" s="1241"/>
      <c r="DC251" s="1241"/>
      <c r="DD251" s="1241"/>
      <c r="DE251" s="1241"/>
      <c r="DF251" s="1241"/>
      <c r="DG251" s="1241"/>
      <c r="DH251" s="1241"/>
      <c r="DI251" s="1241"/>
      <c r="DJ251" s="1241"/>
      <c r="DK251" s="1241"/>
      <c r="DL251" s="1241"/>
      <c r="DM251" s="1241"/>
    </row>
    <row r="252" spans="1:117" s="1302" customFormat="1">
      <c r="A252" s="1241"/>
      <c r="B252" s="1263"/>
      <c r="C252" s="1204"/>
      <c r="D252" s="1410"/>
      <c r="E252" s="1410"/>
      <c r="F252" s="1411"/>
      <c r="G252" s="1412"/>
      <c r="H252" s="1412"/>
      <c r="I252" s="1412"/>
      <c r="J252" s="1412"/>
      <c r="K252" s="1412"/>
      <c r="L252" s="1412"/>
      <c r="M252" s="1412"/>
      <c r="N252" s="1412"/>
      <c r="O252" s="1411"/>
      <c r="P252" s="1241"/>
      <c r="Q252" s="1241"/>
      <c r="R252" s="1241"/>
      <c r="S252" s="1241"/>
      <c r="T252" s="1241"/>
      <c r="U252" s="1241"/>
      <c r="V252" s="1241"/>
      <c r="W252" s="1241"/>
      <c r="X252" s="1241"/>
      <c r="Y252" s="1241"/>
      <c r="Z252" s="1241"/>
      <c r="AA252" s="1241"/>
      <c r="AB252" s="1241"/>
      <c r="AC252" s="1241"/>
      <c r="AD252" s="1241"/>
      <c r="AE252" s="1241"/>
      <c r="AF252" s="1241"/>
      <c r="AG252" s="1241"/>
      <c r="AH252" s="1241"/>
      <c r="AI252" s="1241"/>
      <c r="AJ252" s="1241"/>
      <c r="AK252" s="1241"/>
      <c r="AL252" s="1241"/>
      <c r="AM252" s="1241"/>
      <c r="AN252" s="1241"/>
      <c r="AO252" s="1241"/>
      <c r="AP252" s="1241"/>
      <c r="AQ252" s="1241"/>
      <c r="AR252" s="1241"/>
      <c r="AS252" s="1241"/>
      <c r="AT252" s="1241"/>
      <c r="AU252" s="1241"/>
      <c r="AV252" s="1241"/>
      <c r="AW252" s="1241"/>
      <c r="AX252" s="1241"/>
      <c r="AY252" s="1241"/>
      <c r="AZ252" s="1241"/>
      <c r="BA252" s="1241"/>
      <c r="BB252" s="1241"/>
      <c r="BC252" s="1241"/>
      <c r="BD252" s="1241"/>
      <c r="BE252" s="1241"/>
      <c r="BF252" s="1241"/>
      <c r="BG252" s="1241"/>
      <c r="BH252" s="1241"/>
      <c r="BI252" s="1241"/>
      <c r="BJ252" s="1241"/>
      <c r="BK252" s="1241"/>
      <c r="BL252" s="1241"/>
      <c r="BM252" s="1241"/>
      <c r="BN252" s="1241"/>
      <c r="BO252" s="1241"/>
      <c r="BP252" s="1241"/>
      <c r="BQ252" s="1241"/>
      <c r="BR252" s="1241"/>
      <c r="BS252" s="1241"/>
      <c r="BT252" s="1241"/>
      <c r="BU252" s="1241"/>
      <c r="BV252" s="1241"/>
      <c r="BW252" s="1241"/>
      <c r="BX252" s="1241"/>
      <c r="BY252" s="1241"/>
      <c r="BZ252" s="1241"/>
      <c r="CA252" s="1241"/>
      <c r="CB252" s="1241"/>
      <c r="CC252" s="1241"/>
      <c r="CD252" s="1241"/>
      <c r="CE252" s="1241"/>
      <c r="CF252" s="1241"/>
      <c r="CG252" s="1241"/>
      <c r="CH252" s="1241"/>
      <c r="CI252" s="1241"/>
      <c r="CJ252" s="1241"/>
      <c r="CK252" s="1241"/>
      <c r="CL252" s="1241"/>
      <c r="CM252" s="1241"/>
      <c r="CN252" s="1241"/>
      <c r="CO252" s="1241"/>
      <c r="CP252" s="1241"/>
      <c r="CQ252" s="1241"/>
      <c r="CR252" s="1241"/>
      <c r="CS252" s="1241"/>
      <c r="CT252" s="1241"/>
      <c r="CU252" s="1241"/>
      <c r="CV252" s="1241"/>
      <c r="CW252" s="1241"/>
      <c r="CX252" s="1241"/>
      <c r="CY252" s="1241"/>
      <c r="CZ252" s="1241"/>
      <c r="DA252" s="1241"/>
      <c r="DB252" s="1241"/>
      <c r="DC252" s="1241"/>
      <c r="DD252" s="1241"/>
      <c r="DE252" s="1241"/>
      <c r="DF252" s="1241"/>
      <c r="DG252" s="1241"/>
      <c r="DH252" s="1241"/>
      <c r="DI252" s="1241"/>
      <c r="DJ252" s="1241"/>
      <c r="DK252" s="1241"/>
      <c r="DL252" s="1241"/>
      <c r="DM252" s="1241"/>
    </row>
    <row r="253" spans="1:117" s="1302" customFormat="1">
      <c r="A253" s="1241"/>
      <c r="B253" s="1263"/>
      <c r="C253" s="1201" t="s">
        <v>4166</v>
      </c>
      <c r="D253" s="1201" t="s">
        <v>4249</v>
      </c>
      <c r="E253" s="1201" t="s">
        <v>48</v>
      </c>
      <c r="F253" s="1203"/>
      <c r="G253" s="1202"/>
      <c r="H253" s="1202">
        <v>2020</v>
      </c>
      <c r="I253" s="1202">
        <v>2022</v>
      </c>
      <c r="J253" s="1202">
        <v>2027</v>
      </c>
      <c r="K253" s="1202">
        <v>2032</v>
      </c>
      <c r="L253" s="1202">
        <v>2037</v>
      </c>
      <c r="M253" s="1202">
        <v>2042</v>
      </c>
      <c r="N253" s="1202">
        <v>2047</v>
      </c>
      <c r="O253" s="1202">
        <v>2030</v>
      </c>
      <c r="P253" s="1241"/>
      <c r="Q253" s="1241"/>
      <c r="R253" s="1241"/>
      <c r="S253" s="1241"/>
      <c r="T253" s="1241"/>
      <c r="U253" s="1241"/>
      <c r="V253" s="1241"/>
      <c r="W253" s="1241"/>
      <c r="X253" s="1241"/>
      <c r="Y253" s="1241"/>
      <c r="Z253" s="1241"/>
      <c r="AA253" s="1241"/>
      <c r="AB253" s="1241"/>
      <c r="AC253" s="1241"/>
      <c r="AD253" s="1241"/>
      <c r="AE253" s="1241"/>
      <c r="AF253" s="1241"/>
      <c r="AG253" s="1241"/>
      <c r="AH253" s="1241"/>
      <c r="AI253" s="1241"/>
      <c r="AJ253" s="1241"/>
      <c r="AK253" s="1241"/>
      <c r="AL253" s="1241"/>
      <c r="AM253" s="1241"/>
      <c r="AN253" s="1241"/>
      <c r="AO253" s="1241"/>
      <c r="AP253" s="1241"/>
      <c r="AQ253" s="1241"/>
      <c r="AR253" s="1241"/>
      <c r="AS253" s="1241"/>
      <c r="AT253" s="1241"/>
      <c r="AU253" s="1241"/>
      <c r="AV253" s="1241"/>
      <c r="AW253" s="1241"/>
      <c r="AX253" s="1241"/>
      <c r="AY253" s="1241"/>
      <c r="AZ253" s="1241"/>
      <c r="BA253" s="1241"/>
      <c r="BB253" s="1241"/>
      <c r="BC253" s="1241"/>
      <c r="BD253" s="1241"/>
      <c r="BE253" s="1241"/>
      <c r="BF253" s="1241"/>
      <c r="BG253" s="1241"/>
      <c r="BH253" s="1241"/>
      <c r="BI253" s="1241"/>
      <c r="BJ253" s="1241"/>
      <c r="BK253" s="1241"/>
      <c r="BL253" s="1241"/>
      <c r="BM253" s="1241"/>
      <c r="BN253" s="1241"/>
      <c r="BO253" s="1241"/>
      <c r="BP253" s="1241"/>
      <c r="BQ253" s="1241"/>
      <c r="BR253" s="1241"/>
      <c r="BS253" s="1241"/>
      <c r="BT253" s="1241"/>
      <c r="BU253" s="1241"/>
      <c r="BV253" s="1241"/>
      <c r="BW253" s="1241"/>
      <c r="BX253" s="1241"/>
      <c r="BY253" s="1241"/>
      <c r="BZ253" s="1241"/>
      <c r="CA253" s="1241"/>
      <c r="CB253" s="1241"/>
      <c r="CC253" s="1241"/>
      <c r="CD253" s="1241"/>
      <c r="CE253" s="1241"/>
      <c r="CF253" s="1241"/>
      <c r="CG253" s="1241"/>
      <c r="CH253" s="1241"/>
      <c r="CI253" s="1241"/>
      <c r="CJ253" s="1241"/>
      <c r="CK253" s="1241"/>
      <c r="CL253" s="1241"/>
      <c r="CM253" s="1241"/>
      <c r="CN253" s="1241"/>
      <c r="CO253" s="1241"/>
      <c r="CP253" s="1241"/>
      <c r="CQ253" s="1241"/>
      <c r="CR253" s="1241"/>
      <c r="CS253" s="1241"/>
      <c r="CT253" s="1241"/>
      <c r="CU253" s="1241"/>
      <c r="CV253" s="1241"/>
      <c r="CW253" s="1241"/>
      <c r="CX253" s="1241"/>
      <c r="CY253" s="1241"/>
      <c r="CZ253" s="1241"/>
      <c r="DA253" s="1241"/>
      <c r="DB253" s="1241"/>
      <c r="DC253" s="1241"/>
      <c r="DD253" s="1241"/>
      <c r="DE253" s="1241"/>
      <c r="DF253" s="1241"/>
      <c r="DG253" s="1241"/>
      <c r="DH253" s="1241"/>
      <c r="DI253" s="1241"/>
      <c r="DJ253" s="1241"/>
      <c r="DK253" s="1241"/>
      <c r="DL253" s="1241"/>
      <c r="DM253" s="1241"/>
    </row>
    <row r="254" spans="1:117" s="1302" customFormat="1" ht="15">
      <c r="A254" s="1241"/>
      <c r="B254" s="1263"/>
      <c r="C254" s="1211" t="s">
        <v>4032</v>
      </c>
      <c r="D254" s="1211" t="s">
        <v>4033</v>
      </c>
      <c r="E254" s="1268" t="s">
        <v>4238</v>
      </c>
      <c r="F254" s="1372"/>
      <c r="G254" s="1375"/>
      <c r="H254" s="1405">
        <v>0.02</v>
      </c>
      <c r="I254" s="1405">
        <v>2.5925925925925925E-2</v>
      </c>
      <c r="J254" s="1405">
        <v>4.0740740740740744E-2</v>
      </c>
      <c r="K254" s="1405">
        <v>5.5555555555555552E-2</v>
      </c>
      <c r="L254" s="1405">
        <v>7.0370370370370375E-2</v>
      </c>
      <c r="M254" s="1405">
        <v>8.5185185185185183E-2</v>
      </c>
      <c r="N254" s="1405">
        <v>0.1</v>
      </c>
      <c r="O254" s="1405">
        <v>4.9629629629629635E-2</v>
      </c>
      <c r="P254" s="1241"/>
      <c r="Q254" s="1241"/>
      <c r="R254" s="1241"/>
      <c r="S254" s="1241"/>
      <c r="T254" s="1241"/>
      <c r="U254" s="1241"/>
      <c r="V254" s="1241"/>
      <c r="W254" s="1241"/>
      <c r="X254" s="1241"/>
      <c r="Y254" s="1241"/>
      <c r="Z254" s="1241"/>
      <c r="AA254" s="1241"/>
      <c r="AB254" s="1241"/>
      <c r="AC254" s="1241"/>
      <c r="AD254" s="1241"/>
      <c r="AE254" s="1241"/>
      <c r="AF254" s="1241"/>
      <c r="AG254" s="1241"/>
      <c r="AH254" s="1241"/>
      <c r="AI254" s="1241"/>
      <c r="AJ254" s="1241"/>
      <c r="AK254" s="1241"/>
      <c r="AL254" s="1241"/>
      <c r="AM254" s="1241"/>
      <c r="AN254" s="1241"/>
      <c r="AO254" s="1241"/>
      <c r="AP254" s="1241"/>
      <c r="AQ254" s="1241"/>
      <c r="AR254" s="1241"/>
      <c r="AS254" s="1241"/>
      <c r="AT254" s="1241"/>
      <c r="AU254" s="1241"/>
      <c r="AV254" s="1241"/>
      <c r="AW254" s="1241"/>
      <c r="AX254" s="1241"/>
      <c r="AY254" s="1241"/>
      <c r="AZ254" s="1241"/>
      <c r="BA254" s="1241"/>
      <c r="BB254" s="1241"/>
      <c r="BC254" s="1241"/>
      <c r="BD254" s="1241"/>
      <c r="BE254" s="1241"/>
      <c r="BF254" s="1241"/>
      <c r="BG254" s="1241"/>
      <c r="BH254" s="1241"/>
      <c r="BI254" s="1241"/>
      <c r="BJ254" s="1241"/>
      <c r="BK254" s="1241"/>
      <c r="BL254" s="1241"/>
      <c r="BM254" s="1241"/>
      <c r="BN254" s="1241"/>
      <c r="BO254" s="1241"/>
      <c r="BP254" s="1241"/>
      <c r="BQ254" s="1241"/>
      <c r="BR254" s="1241"/>
      <c r="BS254" s="1241"/>
      <c r="BT254" s="1241"/>
      <c r="BU254" s="1241"/>
      <c r="BV254" s="1241"/>
      <c r="BW254" s="1241"/>
      <c r="BX254" s="1241"/>
      <c r="BY254" s="1241"/>
      <c r="BZ254" s="1241"/>
      <c r="CA254" s="1241"/>
      <c r="CB254" s="1241"/>
      <c r="CC254" s="1241"/>
      <c r="CD254" s="1241"/>
      <c r="CE254" s="1241"/>
      <c r="CF254" s="1241"/>
      <c r="CG254" s="1241"/>
      <c r="CH254" s="1241"/>
      <c r="CI254" s="1241"/>
      <c r="CJ254" s="1241"/>
      <c r="CK254" s="1241"/>
      <c r="CL254" s="1241"/>
      <c r="CM254" s="1241"/>
      <c r="CN254" s="1241"/>
      <c r="CO254" s="1241"/>
      <c r="CP254" s="1241"/>
      <c r="CQ254" s="1241"/>
      <c r="CR254" s="1241"/>
      <c r="CS254" s="1241"/>
      <c r="CT254" s="1241"/>
      <c r="CU254" s="1241"/>
      <c r="CV254" s="1241"/>
      <c r="CW254" s="1241"/>
      <c r="CX254" s="1241"/>
      <c r="CY254" s="1241"/>
      <c r="CZ254" s="1241"/>
      <c r="DA254" s="1241"/>
      <c r="DB254" s="1241"/>
      <c r="DC254" s="1241"/>
      <c r="DD254" s="1241"/>
      <c r="DE254" s="1241"/>
      <c r="DF254" s="1241"/>
      <c r="DG254" s="1241"/>
      <c r="DH254" s="1241"/>
      <c r="DI254" s="1241"/>
      <c r="DJ254" s="1241"/>
      <c r="DK254" s="1241"/>
      <c r="DL254" s="1241"/>
      <c r="DM254" s="1241"/>
    </row>
    <row r="255" spans="1:117" s="1302" customFormat="1" ht="15">
      <c r="A255" s="1241"/>
      <c r="B255" s="1263"/>
      <c r="C255" s="1211" t="s">
        <v>3997</v>
      </c>
      <c r="D255" s="1211" t="s">
        <v>3998</v>
      </c>
      <c r="E255" s="1268"/>
      <c r="F255" s="1372"/>
      <c r="G255" s="1375"/>
      <c r="H255" s="1405">
        <v>0.97</v>
      </c>
      <c r="I255" s="1405">
        <v>0.96259259259259256</v>
      </c>
      <c r="J255" s="1405">
        <v>0.94407407407407407</v>
      </c>
      <c r="K255" s="1405">
        <v>0.92555555555555558</v>
      </c>
      <c r="L255" s="1405">
        <v>0.90703703703703698</v>
      </c>
      <c r="M255" s="1405">
        <v>0.8885185185185186</v>
      </c>
      <c r="N255" s="1405">
        <v>0.87</v>
      </c>
      <c r="O255" s="1405">
        <v>0.93296296296296288</v>
      </c>
      <c r="P255" s="1241"/>
      <c r="Q255" s="1241"/>
      <c r="R255" s="1241"/>
      <c r="S255" s="1241"/>
      <c r="T255" s="1241"/>
      <c r="U255" s="1241"/>
      <c r="V255" s="1241"/>
      <c r="W255" s="1241"/>
      <c r="X255" s="1241"/>
      <c r="Y255" s="1241"/>
      <c r="Z255" s="1241"/>
      <c r="AA255" s="1241"/>
      <c r="AB255" s="1241"/>
      <c r="AC255" s="1241"/>
      <c r="AD255" s="1241"/>
      <c r="AE255" s="1241"/>
      <c r="AF255" s="1241"/>
      <c r="AG255" s="1241"/>
      <c r="AH255" s="1241"/>
      <c r="AI255" s="1241"/>
      <c r="AJ255" s="1241"/>
      <c r="AK255" s="1241"/>
      <c r="AL255" s="1241"/>
      <c r="AM255" s="1241"/>
      <c r="AN255" s="1241"/>
      <c r="AO255" s="1241"/>
      <c r="AP255" s="1241"/>
      <c r="AQ255" s="1241"/>
      <c r="AR255" s="1241"/>
      <c r="AS255" s="1241"/>
      <c r="AT255" s="1241"/>
      <c r="AU255" s="1241"/>
      <c r="AV255" s="1241"/>
      <c r="AW255" s="1241"/>
      <c r="AX255" s="1241"/>
      <c r="AY255" s="1241"/>
      <c r="AZ255" s="1241"/>
      <c r="BA255" s="1241"/>
      <c r="BB255" s="1241"/>
      <c r="BC255" s="1241"/>
      <c r="BD255" s="1241"/>
      <c r="BE255" s="1241"/>
      <c r="BF255" s="1241"/>
      <c r="BG255" s="1241"/>
      <c r="BH255" s="1241"/>
      <c r="BI255" s="1241"/>
      <c r="BJ255" s="1241"/>
      <c r="BK255" s="1241"/>
      <c r="BL255" s="1241"/>
      <c r="BM255" s="1241"/>
      <c r="BN255" s="1241"/>
      <c r="BO255" s="1241"/>
      <c r="BP255" s="1241"/>
      <c r="BQ255" s="1241"/>
      <c r="BR255" s="1241"/>
      <c r="BS255" s="1241"/>
      <c r="BT255" s="1241"/>
      <c r="BU255" s="1241"/>
      <c r="BV255" s="1241"/>
      <c r="BW255" s="1241"/>
      <c r="BX255" s="1241"/>
      <c r="BY255" s="1241"/>
      <c r="BZ255" s="1241"/>
      <c r="CA255" s="1241"/>
      <c r="CB255" s="1241"/>
      <c r="CC255" s="1241"/>
      <c r="CD255" s="1241"/>
      <c r="CE255" s="1241"/>
      <c r="CF255" s="1241"/>
      <c r="CG255" s="1241"/>
      <c r="CH255" s="1241"/>
      <c r="CI255" s="1241"/>
      <c r="CJ255" s="1241"/>
      <c r="CK255" s="1241"/>
      <c r="CL255" s="1241"/>
      <c r="CM255" s="1241"/>
      <c r="CN255" s="1241"/>
      <c r="CO255" s="1241"/>
      <c r="CP255" s="1241"/>
      <c r="CQ255" s="1241"/>
      <c r="CR255" s="1241"/>
      <c r="CS255" s="1241"/>
      <c r="CT255" s="1241"/>
      <c r="CU255" s="1241"/>
      <c r="CV255" s="1241"/>
      <c r="CW255" s="1241"/>
      <c r="CX255" s="1241"/>
      <c r="CY255" s="1241"/>
      <c r="CZ255" s="1241"/>
      <c r="DA255" s="1241"/>
      <c r="DB255" s="1241"/>
      <c r="DC255" s="1241"/>
      <c r="DD255" s="1241"/>
      <c r="DE255" s="1241"/>
      <c r="DF255" s="1241"/>
      <c r="DG255" s="1241"/>
      <c r="DH255" s="1241"/>
      <c r="DI255" s="1241"/>
      <c r="DJ255" s="1241"/>
      <c r="DK255" s="1241"/>
      <c r="DL255" s="1241"/>
      <c r="DM255" s="1241"/>
    </row>
    <row r="256" spans="1:117" s="1302" customFormat="1" ht="15">
      <c r="A256" s="1241"/>
      <c r="B256" s="1263"/>
      <c r="C256" s="1211" t="s">
        <v>3999</v>
      </c>
      <c r="D256" s="1211" t="s">
        <v>4000</v>
      </c>
      <c r="E256" s="1268"/>
      <c r="F256" s="1372"/>
      <c r="G256" s="1375"/>
      <c r="H256" s="1405">
        <v>0.01</v>
      </c>
      <c r="I256" s="1405">
        <v>0.01</v>
      </c>
      <c r="J256" s="1405">
        <v>0.01</v>
      </c>
      <c r="K256" s="1405">
        <v>0.01</v>
      </c>
      <c r="L256" s="1405">
        <v>0.01</v>
      </c>
      <c r="M256" s="1405">
        <v>0.01</v>
      </c>
      <c r="N256" s="1405">
        <v>0.01</v>
      </c>
      <c r="O256" s="1405">
        <v>0.01</v>
      </c>
      <c r="P256" s="1241"/>
      <c r="Q256" s="1241"/>
      <c r="R256" s="1241"/>
      <c r="S256" s="1241"/>
      <c r="T256" s="1241"/>
      <c r="U256" s="1241"/>
      <c r="V256" s="1241"/>
      <c r="W256" s="1241"/>
      <c r="X256" s="1241"/>
      <c r="Y256" s="1241"/>
      <c r="Z256" s="1241"/>
      <c r="AA256" s="1241"/>
      <c r="AB256" s="1241"/>
      <c r="AC256" s="1241"/>
      <c r="AD256" s="1241"/>
      <c r="AE256" s="1241"/>
      <c r="AF256" s="1241"/>
      <c r="AG256" s="1241"/>
      <c r="AH256" s="1241"/>
      <c r="AI256" s="1241"/>
      <c r="AJ256" s="1241"/>
      <c r="AK256" s="1241"/>
      <c r="AL256" s="1241"/>
      <c r="AM256" s="1241"/>
      <c r="AN256" s="1241"/>
      <c r="AO256" s="1241"/>
      <c r="AP256" s="1241"/>
      <c r="AQ256" s="1241"/>
      <c r="AR256" s="1241"/>
      <c r="AS256" s="1241"/>
      <c r="AT256" s="1241"/>
      <c r="AU256" s="1241"/>
      <c r="AV256" s="1241"/>
      <c r="AW256" s="1241"/>
      <c r="AX256" s="1241"/>
      <c r="AY256" s="1241"/>
      <c r="AZ256" s="1241"/>
      <c r="BA256" s="1241"/>
      <c r="BB256" s="1241"/>
      <c r="BC256" s="1241"/>
      <c r="BD256" s="1241"/>
      <c r="BE256" s="1241"/>
      <c r="BF256" s="1241"/>
      <c r="BG256" s="1241"/>
      <c r="BH256" s="1241"/>
      <c r="BI256" s="1241"/>
      <c r="BJ256" s="1241"/>
      <c r="BK256" s="1241"/>
      <c r="BL256" s="1241"/>
      <c r="BM256" s="1241"/>
      <c r="BN256" s="1241"/>
      <c r="BO256" s="1241"/>
      <c r="BP256" s="1241"/>
      <c r="BQ256" s="1241"/>
      <c r="BR256" s="1241"/>
      <c r="BS256" s="1241"/>
      <c r="BT256" s="1241"/>
      <c r="BU256" s="1241"/>
      <c r="BV256" s="1241"/>
      <c r="BW256" s="1241"/>
      <c r="BX256" s="1241"/>
      <c r="BY256" s="1241"/>
      <c r="BZ256" s="1241"/>
      <c r="CA256" s="1241"/>
      <c r="CB256" s="1241"/>
      <c r="CC256" s="1241"/>
      <c r="CD256" s="1241"/>
      <c r="CE256" s="1241"/>
      <c r="CF256" s="1241"/>
      <c r="CG256" s="1241"/>
      <c r="CH256" s="1241"/>
      <c r="CI256" s="1241"/>
      <c r="CJ256" s="1241"/>
      <c r="CK256" s="1241"/>
      <c r="CL256" s="1241"/>
      <c r="CM256" s="1241"/>
      <c r="CN256" s="1241"/>
      <c r="CO256" s="1241"/>
      <c r="CP256" s="1241"/>
      <c r="CQ256" s="1241"/>
      <c r="CR256" s="1241"/>
      <c r="CS256" s="1241"/>
      <c r="CT256" s="1241"/>
      <c r="CU256" s="1241"/>
      <c r="CV256" s="1241"/>
      <c r="CW256" s="1241"/>
      <c r="CX256" s="1241"/>
      <c r="CY256" s="1241"/>
      <c r="CZ256" s="1241"/>
      <c r="DA256" s="1241"/>
      <c r="DB256" s="1241"/>
      <c r="DC256" s="1241"/>
      <c r="DD256" s="1241"/>
      <c r="DE256" s="1241"/>
      <c r="DF256" s="1241"/>
      <c r="DG256" s="1241"/>
      <c r="DH256" s="1241"/>
      <c r="DI256" s="1241"/>
      <c r="DJ256" s="1241"/>
      <c r="DK256" s="1241"/>
      <c r="DL256" s="1241"/>
      <c r="DM256" s="1241"/>
    </row>
    <row r="257" spans="1:117" s="1302" customFormat="1" ht="15">
      <c r="A257" s="1241"/>
      <c r="B257" s="1263"/>
      <c r="C257" s="1211" t="s">
        <v>4001</v>
      </c>
      <c r="D257" s="1211" t="s">
        <v>4002</v>
      </c>
      <c r="E257" s="1268"/>
      <c r="F257" s="1372"/>
      <c r="G257" s="1375"/>
      <c r="H257" s="1405">
        <v>0</v>
      </c>
      <c r="I257" s="1405">
        <v>1.4814814814814814E-3</v>
      </c>
      <c r="J257" s="1405">
        <v>5.1851851851851859E-3</v>
      </c>
      <c r="K257" s="1405">
        <v>8.8888888888888889E-3</v>
      </c>
      <c r="L257" s="1405">
        <v>1.2592592592592593E-2</v>
      </c>
      <c r="M257" s="1405">
        <v>1.6296296296296295E-2</v>
      </c>
      <c r="N257" s="1405">
        <v>0.02</v>
      </c>
      <c r="O257" s="1405">
        <v>7.4074074074074077E-3</v>
      </c>
      <c r="P257" s="1241"/>
      <c r="Q257" s="1241"/>
      <c r="R257" s="1241"/>
      <c r="S257" s="1241"/>
      <c r="T257" s="1241"/>
      <c r="U257" s="1241"/>
      <c r="V257" s="1241"/>
      <c r="W257" s="1241"/>
      <c r="X257" s="1241"/>
      <c r="Y257" s="1241"/>
      <c r="Z257" s="1241"/>
      <c r="AA257" s="1241"/>
      <c r="AB257" s="1241"/>
      <c r="AC257" s="1241"/>
      <c r="AD257" s="1241"/>
      <c r="AE257" s="1241"/>
      <c r="AF257" s="1241"/>
      <c r="AG257" s="1241"/>
      <c r="AH257" s="1241"/>
      <c r="AI257" s="1241"/>
      <c r="AJ257" s="1241"/>
      <c r="AK257" s="1241"/>
      <c r="AL257" s="1241"/>
      <c r="AM257" s="1241"/>
      <c r="AN257" s="1241"/>
      <c r="AO257" s="1241"/>
      <c r="AP257" s="1241"/>
      <c r="AQ257" s="1241"/>
      <c r="AR257" s="1241"/>
      <c r="AS257" s="1241"/>
      <c r="AT257" s="1241"/>
      <c r="AU257" s="1241"/>
      <c r="AV257" s="1241"/>
      <c r="AW257" s="1241"/>
      <c r="AX257" s="1241"/>
      <c r="AY257" s="1241"/>
      <c r="AZ257" s="1241"/>
      <c r="BA257" s="1241"/>
      <c r="BB257" s="1241"/>
      <c r="BC257" s="1241"/>
      <c r="BD257" s="1241"/>
      <c r="BE257" s="1241"/>
      <c r="BF257" s="1241"/>
      <c r="BG257" s="1241"/>
      <c r="BH257" s="1241"/>
      <c r="BI257" s="1241"/>
      <c r="BJ257" s="1241"/>
      <c r="BK257" s="1241"/>
      <c r="BL257" s="1241"/>
      <c r="BM257" s="1241"/>
      <c r="BN257" s="1241"/>
      <c r="BO257" s="1241"/>
      <c r="BP257" s="1241"/>
      <c r="BQ257" s="1241"/>
      <c r="BR257" s="1241"/>
      <c r="BS257" s="1241"/>
      <c r="BT257" s="1241"/>
      <c r="BU257" s="1241"/>
      <c r="BV257" s="1241"/>
      <c r="BW257" s="1241"/>
      <c r="BX257" s="1241"/>
      <c r="BY257" s="1241"/>
      <c r="BZ257" s="1241"/>
      <c r="CA257" s="1241"/>
      <c r="CB257" s="1241"/>
      <c r="CC257" s="1241"/>
      <c r="CD257" s="1241"/>
      <c r="CE257" s="1241"/>
      <c r="CF257" s="1241"/>
      <c r="CG257" s="1241"/>
      <c r="CH257" s="1241"/>
      <c r="CI257" s="1241"/>
      <c r="CJ257" s="1241"/>
      <c r="CK257" s="1241"/>
      <c r="CL257" s="1241"/>
      <c r="CM257" s="1241"/>
      <c r="CN257" s="1241"/>
      <c r="CO257" s="1241"/>
      <c r="CP257" s="1241"/>
      <c r="CQ257" s="1241"/>
      <c r="CR257" s="1241"/>
      <c r="CS257" s="1241"/>
      <c r="CT257" s="1241"/>
      <c r="CU257" s="1241"/>
      <c r="CV257" s="1241"/>
      <c r="CW257" s="1241"/>
      <c r="CX257" s="1241"/>
      <c r="CY257" s="1241"/>
      <c r="CZ257" s="1241"/>
      <c r="DA257" s="1241"/>
      <c r="DB257" s="1241"/>
      <c r="DC257" s="1241"/>
      <c r="DD257" s="1241"/>
      <c r="DE257" s="1241"/>
      <c r="DF257" s="1241"/>
      <c r="DG257" s="1241"/>
      <c r="DH257" s="1241"/>
      <c r="DI257" s="1241"/>
      <c r="DJ257" s="1241"/>
      <c r="DK257" s="1241"/>
      <c r="DL257" s="1241"/>
      <c r="DM257" s="1241"/>
    </row>
    <row r="258" spans="1:117" s="1302" customFormat="1" ht="15">
      <c r="A258" s="1241"/>
      <c r="B258" s="1263"/>
      <c r="C258" s="1211" t="s">
        <v>4011</v>
      </c>
      <c r="D258" s="1211" t="s">
        <v>4012</v>
      </c>
      <c r="E258" s="1268"/>
      <c r="F258" s="1372"/>
      <c r="G258" s="1375"/>
      <c r="H258" s="1405">
        <v>0</v>
      </c>
      <c r="I258" s="1405">
        <v>0</v>
      </c>
      <c r="J258" s="1405">
        <v>0</v>
      </c>
      <c r="K258" s="1405">
        <v>0</v>
      </c>
      <c r="L258" s="1405">
        <v>0</v>
      </c>
      <c r="M258" s="1405">
        <v>0</v>
      </c>
      <c r="N258" s="1405">
        <v>0</v>
      </c>
      <c r="O258" s="1405">
        <v>0</v>
      </c>
      <c r="P258" s="1241"/>
      <c r="Q258" s="1241"/>
      <c r="R258" s="1241"/>
      <c r="S258" s="1241"/>
      <c r="T258" s="1241"/>
      <c r="U258" s="1241"/>
      <c r="V258" s="1241"/>
      <c r="W258" s="1241"/>
      <c r="X258" s="1241"/>
      <c r="Y258" s="1241"/>
      <c r="Z258" s="1241"/>
      <c r="AA258" s="1241"/>
      <c r="AB258" s="1241"/>
      <c r="AC258" s="1241"/>
      <c r="AD258" s="1241"/>
      <c r="AE258" s="1241"/>
      <c r="AF258" s="1241"/>
      <c r="AG258" s="1241"/>
      <c r="AH258" s="1241"/>
      <c r="AI258" s="1241"/>
      <c r="AJ258" s="1241"/>
      <c r="AK258" s="1241"/>
      <c r="AL258" s="1241"/>
      <c r="AM258" s="1241"/>
      <c r="AN258" s="1241"/>
      <c r="AO258" s="1241"/>
      <c r="AP258" s="1241"/>
      <c r="AQ258" s="1241"/>
      <c r="AR258" s="1241"/>
      <c r="AS258" s="1241"/>
      <c r="AT258" s="1241"/>
      <c r="AU258" s="1241"/>
      <c r="AV258" s="1241"/>
      <c r="AW258" s="1241"/>
      <c r="AX258" s="1241"/>
      <c r="AY258" s="1241"/>
      <c r="AZ258" s="1241"/>
      <c r="BA258" s="1241"/>
      <c r="BB258" s="1241"/>
      <c r="BC258" s="1241"/>
      <c r="BD258" s="1241"/>
      <c r="BE258" s="1241"/>
      <c r="BF258" s="1241"/>
      <c r="BG258" s="1241"/>
      <c r="BH258" s="1241"/>
      <c r="BI258" s="1241"/>
      <c r="BJ258" s="1241"/>
      <c r="BK258" s="1241"/>
      <c r="BL258" s="1241"/>
      <c r="BM258" s="1241"/>
      <c r="BN258" s="1241"/>
      <c r="BO258" s="1241"/>
      <c r="BP258" s="1241"/>
      <c r="BQ258" s="1241"/>
      <c r="BR258" s="1241"/>
      <c r="BS258" s="1241"/>
      <c r="BT258" s="1241"/>
      <c r="BU258" s="1241"/>
      <c r="BV258" s="1241"/>
      <c r="BW258" s="1241"/>
      <c r="BX258" s="1241"/>
      <c r="BY258" s="1241"/>
      <c r="BZ258" s="1241"/>
      <c r="CA258" s="1241"/>
      <c r="CB258" s="1241"/>
      <c r="CC258" s="1241"/>
      <c r="CD258" s="1241"/>
      <c r="CE258" s="1241"/>
      <c r="CF258" s="1241"/>
      <c r="CG258" s="1241"/>
      <c r="CH258" s="1241"/>
      <c r="CI258" s="1241"/>
      <c r="CJ258" s="1241"/>
      <c r="CK258" s="1241"/>
      <c r="CL258" s="1241"/>
      <c r="CM258" s="1241"/>
      <c r="CN258" s="1241"/>
      <c r="CO258" s="1241"/>
      <c r="CP258" s="1241"/>
      <c r="CQ258" s="1241"/>
      <c r="CR258" s="1241"/>
      <c r="CS258" s="1241"/>
      <c r="CT258" s="1241"/>
      <c r="CU258" s="1241"/>
      <c r="CV258" s="1241"/>
      <c r="CW258" s="1241"/>
      <c r="CX258" s="1241"/>
      <c r="CY258" s="1241"/>
      <c r="CZ258" s="1241"/>
      <c r="DA258" s="1241"/>
      <c r="DB258" s="1241"/>
      <c r="DC258" s="1241"/>
      <c r="DD258" s="1241"/>
      <c r="DE258" s="1241"/>
      <c r="DF258" s="1241"/>
      <c r="DG258" s="1241"/>
      <c r="DH258" s="1241"/>
      <c r="DI258" s="1241"/>
      <c r="DJ258" s="1241"/>
      <c r="DK258" s="1241"/>
      <c r="DL258" s="1241"/>
      <c r="DM258" s="1241"/>
    </row>
    <row r="259" spans="1:117" s="1302" customFormat="1" ht="15">
      <c r="A259" s="1241"/>
      <c r="B259" s="1263"/>
      <c r="C259" s="1406" t="s">
        <v>4025</v>
      </c>
      <c r="D259" s="1406" t="s">
        <v>4026</v>
      </c>
      <c r="E259" s="1406"/>
      <c r="F259" s="1418"/>
      <c r="G259" s="1414"/>
      <c r="H259" s="1413">
        <v>0</v>
      </c>
      <c r="I259" s="1413">
        <v>0</v>
      </c>
      <c r="J259" s="1413">
        <v>0</v>
      </c>
      <c r="K259" s="1413">
        <v>0</v>
      </c>
      <c r="L259" s="1413">
        <v>0</v>
      </c>
      <c r="M259" s="1413">
        <v>0</v>
      </c>
      <c r="N259" s="1413">
        <v>0</v>
      </c>
      <c r="O259" s="1413">
        <v>0</v>
      </c>
      <c r="P259" s="1241"/>
      <c r="Q259" s="1241"/>
      <c r="R259" s="1241"/>
      <c r="S259" s="1241"/>
      <c r="T259" s="1241"/>
      <c r="U259" s="1241"/>
      <c r="V259" s="1241"/>
      <c r="W259" s="1241"/>
      <c r="X259" s="1241"/>
      <c r="Y259" s="1241"/>
      <c r="Z259" s="1241"/>
      <c r="AA259" s="1241"/>
      <c r="AB259" s="1241"/>
      <c r="AC259" s="1241"/>
      <c r="AD259" s="1241"/>
      <c r="AE259" s="1241"/>
      <c r="AF259" s="1241"/>
      <c r="AG259" s="1241"/>
      <c r="AH259" s="1241"/>
      <c r="AI259" s="1241"/>
      <c r="AJ259" s="1241"/>
      <c r="AK259" s="1241"/>
      <c r="AL259" s="1241"/>
      <c r="AM259" s="1241"/>
      <c r="AN259" s="1241"/>
      <c r="AO259" s="1241"/>
      <c r="AP259" s="1241"/>
      <c r="AQ259" s="1241"/>
      <c r="AR259" s="1241"/>
      <c r="AS259" s="1241"/>
      <c r="AT259" s="1241"/>
      <c r="AU259" s="1241"/>
      <c r="AV259" s="1241"/>
      <c r="AW259" s="1241"/>
      <c r="AX259" s="1241"/>
      <c r="AY259" s="1241"/>
      <c r="AZ259" s="1241"/>
      <c r="BA259" s="1241"/>
      <c r="BB259" s="1241"/>
      <c r="BC259" s="1241"/>
      <c r="BD259" s="1241"/>
      <c r="BE259" s="1241"/>
      <c r="BF259" s="1241"/>
      <c r="BG259" s="1241"/>
      <c r="BH259" s="1241"/>
      <c r="BI259" s="1241"/>
      <c r="BJ259" s="1241"/>
      <c r="BK259" s="1241"/>
      <c r="BL259" s="1241"/>
      <c r="BM259" s="1241"/>
      <c r="BN259" s="1241"/>
      <c r="BO259" s="1241"/>
      <c r="BP259" s="1241"/>
      <c r="BQ259" s="1241"/>
      <c r="BR259" s="1241"/>
      <c r="BS259" s="1241"/>
      <c r="BT259" s="1241"/>
      <c r="BU259" s="1241"/>
      <c r="BV259" s="1241"/>
      <c r="BW259" s="1241"/>
      <c r="BX259" s="1241"/>
      <c r="BY259" s="1241"/>
      <c r="BZ259" s="1241"/>
      <c r="CA259" s="1241"/>
      <c r="CB259" s="1241"/>
      <c r="CC259" s="1241"/>
      <c r="CD259" s="1241"/>
      <c r="CE259" s="1241"/>
      <c r="CF259" s="1241"/>
      <c r="CG259" s="1241"/>
      <c r="CH259" s="1241"/>
      <c r="CI259" s="1241"/>
      <c r="CJ259" s="1241"/>
      <c r="CK259" s="1241"/>
      <c r="CL259" s="1241"/>
      <c r="CM259" s="1241"/>
      <c r="CN259" s="1241"/>
      <c r="CO259" s="1241"/>
      <c r="CP259" s="1241"/>
      <c r="CQ259" s="1241"/>
      <c r="CR259" s="1241"/>
      <c r="CS259" s="1241"/>
      <c r="CT259" s="1241"/>
      <c r="CU259" s="1241"/>
      <c r="CV259" s="1241"/>
      <c r="CW259" s="1241"/>
      <c r="CX259" s="1241"/>
      <c r="CY259" s="1241"/>
      <c r="CZ259" s="1241"/>
      <c r="DA259" s="1241"/>
      <c r="DB259" s="1241"/>
      <c r="DC259" s="1241"/>
      <c r="DD259" s="1241"/>
      <c r="DE259" s="1241"/>
      <c r="DF259" s="1241"/>
      <c r="DG259" s="1241"/>
      <c r="DH259" s="1241"/>
      <c r="DI259" s="1241"/>
      <c r="DJ259" s="1241"/>
      <c r="DK259" s="1241"/>
      <c r="DL259" s="1241"/>
      <c r="DM259" s="1241"/>
    </row>
    <row r="260" spans="1:117">
      <c r="B260" s="1263"/>
      <c r="C260" s="1211"/>
      <c r="D260" s="1211"/>
      <c r="E260" s="1211"/>
      <c r="F260" s="1415"/>
      <c r="G260" s="1293"/>
      <c r="H260" s="1293"/>
      <c r="I260" s="1293"/>
      <c r="J260" s="1293"/>
      <c r="K260" s="1293"/>
      <c r="L260" s="1293"/>
      <c r="M260" s="1293"/>
      <c r="N260" s="1293"/>
      <c r="O260" s="1415"/>
    </row>
    <row r="261" spans="1:117" ht="14" customHeight="1">
      <c r="B261" s="1403">
        <v>2</v>
      </c>
      <c r="C261" s="1403" t="s">
        <v>4250</v>
      </c>
      <c r="D261" s="1419"/>
      <c r="E261" s="1263"/>
      <c r="F261" s="1264"/>
      <c r="G261" s="1220"/>
      <c r="H261" s="1220"/>
      <c r="I261" s="1220"/>
      <c r="J261" s="1220"/>
      <c r="K261" s="1220"/>
      <c r="L261" s="1220"/>
      <c r="M261" s="1220"/>
      <c r="N261" s="1220"/>
      <c r="O261" s="1264"/>
    </row>
    <row r="262" spans="1:117" ht="3.5" customHeight="1">
      <c r="B262" s="1263"/>
      <c r="C262" s="1263"/>
      <c r="D262" s="1263"/>
      <c r="E262" s="1263"/>
      <c r="F262" s="1264"/>
      <c r="G262" s="1220"/>
      <c r="H262" s="1220"/>
      <c r="I262" s="1220"/>
      <c r="J262" s="1220"/>
      <c r="K262" s="1220"/>
      <c r="L262" s="1220"/>
      <c r="M262" s="1220"/>
      <c r="N262" s="1220"/>
      <c r="O262" s="1264"/>
    </row>
    <row r="263" spans="1:117">
      <c r="B263" s="1263"/>
      <c r="C263" s="1201" t="s">
        <v>4166</v>
      </c>
      <c r="D263" s="1201" t="s">
        <v>4234</v>
      </c>
      <c r="E263" s="1201" t="s">
        <v>48</v>
      </c>
      <c r="F263" s="1420" t="s">
        <v>4251</v>
      </c>
      <c r="G263" s="1421" t="s">
        <v>4252</v>
      </c>
      <c r="H263" s="1202">
        <v>2020</v>
      </c>
      <c r="I263" s="1202">
        <v>2022</v>
      </c>
      <c r="J263" s="1202">
        <v>2027</v>
      </c>
      <c r="K263" s="1202">
        <v>2032</v>
      </c>
      <c r="L263" s="1202">
        <v>2037</v>
      </c>
      <c r="M263" s="1202">
        <v>2042</v>
      </c>
      <c r="N263" s="1202">
        <v>2047</v>
      </c>
      <c r="O263" s="1202">
        <v>2030</v>
      </c>
    </row>
    <row r="264" spans="1:117" ht="15">
      <c r="B264" s="1263"/>
      <c r="C264" s="1211" t="s">
        <v>4032</v>
      </c>
      <c r="D264" s="1211" t="s">
        <v>4033</v>
      </c>
      <c r="E264" s="1268"/>
      <c r="F264" s="1422"/>
      <c r="G264" s="1375"/>
      <c r="H264" s="897">
        <v>0.02</v>
      </c>
      <c r="I264" s="1405">
        <v>2.2222222222222223E-2</v>
      </c>
      <c r="J264" s="1405">
        <v>2.2222222222222223E-2</v>
      </c>
      <c r="K264" s="1405">
        <v>2.2222222222222223E-2</v>
      </c>
      <c r="L264" s="1405">
        <v>2.2222222222222223E-2</v>
      </c>
      <c r="M264" s="1405">
        <v>2.2222222222222223E-2</v>
      </c>
      <c r="N264" s="1405">
        <v>2.2222222222222223E-2</v>
      </c>
      <c r="O264" s="1405">
        <v>2.2222222222222223E-2</v>
      </c>
    </row>
    <row r="265" spans="1:117" ht="15">
      <c r="B265" s="1263"/>
      <c r="C265" s="1211" t="s">
        <v>3997</v>
      </c>
      <c r="D265" s="1211" t="s">
        <v>3998</v>
      </c>
      <c r="E265" s="1268"/>
      <c r="F265" s="1422"/>
      <c r="G265" s="1375"/>
      <c r="H265" s="897">
        <v>7.999999999999996E-2</v>
      </c>
      <c r="I265" s="1405">
        <v>7.7777777777777737E-2</v>
      </c>
      <c r="J265" s="1405">
        <v>7.7777777777777737E-2</v>
      </c>
      <c r="K265" s="1405">
        <v>7.7777777777777737E-2</v>
      </c>
      <c r="L265" s="1405">
        <v>7.7777777777777737E-2</v>
      </c>
      <c r="M265" s="1405">
        <v>7.7777777777777737E-2</v>
      </c>
      <c r="N265" s="1405">
        <v>7.7777777777777737E-2</v>
      </c>
      <c r="O265" s="1405">
        <v>7.7777777777777737E-2</v>
      </c>
    </row>
    <row r="266" spans="1:117" ht="15">
      <c r="B266" s="1263"/>
      <c r="C266" s="1211" t="s">
        <v>3999</v>
      </c>
      <c r="D266" s="1211" t="s">
        <v>4000</v>
      </c>
      <c r="E266" s="1268"/>
      <c r="F266" s="1422"/>
      <c r="G266" s="1375"/>
      <c r="H266" s="897">
        <v>0</v>
      </c>
      <c r="I266" s="1405">
        <v>0</v>
      </c>
      <c r="J266" s="1405">
        <v>0</v>
      </c>
      <c r="K266" s="1405">
        <v>0</v>
      </c>
      <c r="L266" s="1405">
        <v>0</v>
      </c>
      <c r="M266" s="1405">
        <v>0</v>
      </c>
      <c r="N266" s="1405">
        <v>0</v>
      </c>
      <c r="O266" s="1405">
        <v>0</v>
      </c>
    </row>
    <row r="267" spans="1:117" ht="15">
      <c r="B267" s="1263"/>
      <c r="C267" s="1211" t="s">
        <v>4001</v>
      </c>
      <c r="D267" s="1211" t="s">
        <v>4002</v>
      </c>
      <c r="E267" s="1268"/>
      <c r="F267" s="1422"/>
      <c r="G267" s="1375"/>
      <c r="H267" s="1373">
        <v>0.9</v>
      </c>
      <c r="I267" s="1375">
        <v>0.9</v>
      </c>
      <c r="J267" s="1375">
        <v>0.9</v>
      </c>
      <c r="K267" s="1375">
        <v>0.9</v>
      </c>
      <c r="L267" s="1375">
        <v>0.9</v>
      </c>
      <c r="M267" s="1375">
        <v>0.9</v>
      </c>
      <c r="N267" s="1375">
        <v>0.9</v>
      </c>
      <c r="O267" s="1375">
        <v>0.9</v>
      </c>
    </row>
    <row r="268" spans="1:117" ht="15">
      <c r="B268" s="1263"/>
      <c r="C268" s="1211" t="s">
        <v>4011</v>
      </c>
      <c r="D268" s="1211" t="s">
        <v>4012</v>
      </c>
      <c r="E268" s="1268"/>
      <c r="F268" s="1372"/>
      <c r="G268" s="1375"/>
      <c r="H268" s="897">
        <v>0</v>
      </c>
      <c r="I268" s="1375">
        <v>0</v>
      </c>
      <c r="J268" s="1375">
        <v>0</v>
      </c>
      <c r="K268" s="1375">
        <v>0</v>
      </c>
      <c r="L268" s="1375">
        <v>0</v>
      </c>
      <c r="M268" s="1375">
        <v>0</v>
      </c>
      <c r="N268" s="1375">
        <v>0</v>
      </c>
      <c r="O268" s="1375">
        <v>0</v>
      </c>
    </row>
    <row r="269" spans="1:117" s="1400" customFormat="1" ht="16">
      <c r="A269" s="1325"/>
      <c r="B269" s="1395"/>
      <c r="C269" s="1406" t="s">
        <v>4025</v>
      </c>
      <c r="D269" s="1406" t="s">
        <v>4026</v>
      </c>
      <c r="E269" s="1406"/>
      <c r="F269" s="1423"/>
      <c r="G269" s="1424"/>
      <c r="H269" s="896">
        <v>0</v>
      </c>
      <c r="I269" s="1408">
        <v>0</v>
      </c>
      <c r="J269" s="1408">
        <v>0</v>
      </c>
      <c r="K269" s="1408">
        <v>0</v>
      </c>
      <c r="L269" s="1408">
        <v>0</v>
      </c>
      <c r="M269" s="1408">
        <v>0</v>
      </c>
      <c r="N269" s="1408">
        <v>0</v>
      </c>
      <c r="O269" s="1408">
        <v>0</v>
      </c>
    </row>
    <row r="270" spans="1:117" s="1400" customFormat="1" ht="16">
      <c r="A270" s="1325"/>
      <c r="B270" s="1395"/>
      <c r="C270" s="1211"/>
      <c r="D270" s="1211"/>
      <c r="E270" s="1211"/>
      <c r="F270" s="1425"/>
      <c r="G270" s="1293"/>
      <c r="H270" s="1293"/>
      <c r="I270" s="1293"/>
      <c r="J270" s="1293"/>
      <c r="K270" s="1293"/>
      <c r="L270" s="1293"/>
      <c r="M270" s="1293"/>
      <c r="N270" s="1293"/>
      <c r="O270" s="1293"/>
    </row>
    <row r="271" spans="1:117" s="1400" customFormat="1" ht="16">
      <c r="A271" s="1325"/>
      <c r="B271" s="1395"/>
      <c r="C271" s="1201" t="s">
        <v>4166</v>
      </c>
      <c r="D271" s="1201" t="s">
        <v>4242</v>
      </c>
      <c r="E271" s="1201" t="s">
        <v>48</v>
      </c>
      <c r="F271" s="1420"/>
      <c r="G271" s="1421"/>
      <c r="H271" s="1202">
        <v>2020</v>
      </c>
      <c r="I271" s="1202">
        <v>2022</v>
      </c>
      <c r="J271" s="1202">
        <v>2027</v>
      </c>
      <c r="K271" s="1202">
        <v>2032</v>
      </c>
      <c r="L271" s="1202">
        <v>2037</v>
      </c>
      <c r="M271" s="1202">
        <v>2042</v>
      </c>
      <c r="N271" s="1202">
        <v>2047</v>
      </c>
      <c r="O271" s="1202">
        <v>2030</v>
      </c>
    </row>
    <row r="272" spans="1:117" s="1400" customFormat="1" ht="16">
      <c r="A272" s="1325"/>
      <c r="B272" s="1395"/>
      <c r="C272" s="1211" t="s">
        <v>4032</v>
      </c>
      <c r="D272" s="1211" t="s">
        <v>4033</v>
      </c>
      <c r="E272" s="1268"/>
      <c r="F272" s="1422"/>
      <c r="G272" s="1375"/>
      <c r="H272" s="1375">
        <v>0.02</v>
      </c>
      <c r="I272" s="1405">
        <v>2.2222222222222223E-2</v>
      </c>
      <c r="J272" s="1405">
        <v>2.777777777777778E-2</v>
      </c>
      <c r="K272" s="1405">
        <v>3.3333333333333333E-2</v>
      </c>
      <c r="L272" s="1405">
        <v>3.888888888888889E-2</v>
      </c>
      <c r="M272" s="1405">
        <v>4.4444444444444446E-2</v>
      </c>
      <c r="N272" s="1375">
        <v>0.05</v>
      </c>
      <c r="O272" s="1405">
        <v>3.1111111111111114E-2</v>
      </c>
    </row>
    <row r="273" spans="1:15" s="1400" customFormat="1" ht="16">
      <c r="A273" s="1325"/>
      <c r="B273" s="1395"/>
      <c r="C273" s="1211" t="s">
        <v>3997</v>
      </c>
      <c r="D273" s="1211" t="s">
        <v>3998</v>
      </c>
      <c r="E273" s="1268"/>
      <c r="F273" s="1422"/>
      <c r="G273" s="1375"/>
      <c r="H273" s="1375">
        <v>7.999999999999996E-2</v>
      </c>
      <c r="I273" s="1405">
        <v>7.7777777777777737E-2</v>
      </c>
      <c r="J273" s="1405">
        <v>7.2222222222222188E-2</v>
      </c>
      <c r="K273" s="1405">
        <v>6.6666666666666652E-2</v>
      </c>
      <c r="L273" s="1405">
        <v>6.1111111111111102E-2</v>
      </c>
      <c r="M273" s="1405">
        <v>5.5555555555555552E-2</v>
      </c>
      <c r="N273" s="1375">
        <v>0.05</v>
      </c>
      <c r="O273" s="1405">
        <v>6.8888888888888861E-2</v>
      </c>
    </row>
    <row r="274" spans="1:15" s="1400" customFormat="1" ht="16">
      <c r="A274" s="1325"/>
      <c r="B274" s="1395"/>
      <c r="C274" s="1211" t="s">
        <v>3999</v>
      </c>
      <c r="D274" s="1211" t="s">
        <v>4000</v>
      </c>
      <c r="E274" s="1268"/>
      <c r="F274" s="1422"/>
      <c r="G274" s="1375"/>
      <c r="H274" s="1375">
        <v>0</v>
      </c>
      <c r="I274" s="1405">
        <v>0</v>
      </c>
      <c r="J274" s="1405">
        <v>0</v>
      </c>
      <c r="K274" s="1405">
        <v>0</v>
      </c>
      <c r="L274" s="1405">
        <v>0</v>
      </c>
      <c r="M274" s="1405">
        <v>0</v>
      </c>
      <c r="N274" s="1375">
        <v>0</v>
      </c>
      <c r="O274" s="1405">
        <v>0</v>
      </c>
    </row>
    <row r="275" spans="1:15" s="1400" customFormat="1" ht="16">
      <c r="A275" s="1325"/>
      <c r="B275" s="1395"/>
      <c r="C275" s="1211" t="s">
        <v>4001</v>
      </c>
      <c r="D275" s="1211" t="s">
        <v>4002</v>
      </c>
      <c r="E275" s="1268"/>
      <c r="F275" s="1422"/>
      <c r="G275" s="1375"/>
      <c r="H275" s="1375">
        <v>0.9</v>
      </c>
      <c r="I275" s="1375">
        <v>0.9</v>
      </c>
      <c r="J275" s="1375">
        <v>0.86</v>
      </c>
      <c r="K275" s="1375">
        <v>0.82000000000000006</v>
      </c>
      <c r="L275" s="1375">
        <v>0.78</v>
      </c>
      <c r="M275" s="1375">
        <v>0.74</v>
      </c>
      <c r="N275" s="1375">
        <v>0.7</v>
      </c>
      <c r="O275" s="1375">
        <v>0.83600000000000008</v>
      </c>
    </row>
    <row r="276" spans="1:15" s="1400" customFormat="1" ht="16">
      <c r="A276" s="1325"/>
      <c r="B276" s="1395"/>
      <c r="C276" s="1211" t="s">
        <v>4011</v>
      </c>
      <c r="D276" s="1211" t="s">
        <v>4012</v>
      </c>
      <c r="E276" s="1268"/>
      <c r="F276" s="1372"/>
      <c r="G276" s="1375"/>
      <c r="H276" s="1375">
        <v>0</v>
      </c>
      <c r="I276" s="1375">
        <v>0</v>
      </c>
      <c r="J276" s="1375">
        <v>0</v>
      </c>
      <c r="K276" s="1375">
        <v>0</v>
      </c>
      <c r="L276" s="1375">
        <v>0</v>
      </c>
      <c r="M276" s="1375">
        <v>0</v>
      </c>
      <c r="N276" s="1375">
        <v>0</v>
      </c>
      <c r="O276" s="1375">
        <v>0</v>
      </c>
    </row>
    <row r="277" spans="1:15" s="1400" customFormat="1" ht="16">
      <c r="A277" s="1325"/>
      <c r="B277" s="1395"/>
      <c r="C277" s="1406" t="s">
        <v>4025</v>
      </c>
      <c r="D277" s="1406" t="s">
        <v>4026</v>
      </c>
      <c r="E277" s="1406"/>
      <c r="F277" s="1423"/>
      <c r="G277" s="1424">
        <v>0</v>
      </c>
      <c r="H277" s="1414">
        <v>0</v>
      </c>
      <c r="I277" s="1408">
        <v>0</v>
      </c>
      <c r="J277" s="1424">
        <v>0.04</v>
      </c>
      <c r="K277" s="1424">
        <v>0.08</v>
      </c>
      <c r="L277" s="1424">
        <v>0.12</v>
      </c>
      <c r="M277" s="1424">
        <v>0.16</v>
      </c>
      <c r="N277" s="1408">
        <v>0.2</v>
      </c>
      <c r="O277" s="1424">
        <v>6.4000000000000001E-2</v>
      </c>
    </row>
    <row r="278" spans="1:15" s="1400" customFormat="1" ht="16">
      <c r="A278" s="1325"/>
      <c r="B278" s="1395"/>
      <c r="C278" s="1211"/>
      <c r="D278" s="1211"/>
      <c r="E278" s="1211"/>
      <c r="F278" s="1425"/>
      <c r="G278" s="1293"/>
      <c r="H278" s="1293"/>
      <c r="I278" s="1293"/>
      <c r="J278" s="1293"/>
      <c r="K278" s="1293"/>
      <c r="L278" s="1293"/>
      <c r="M278" s="1293"/>
      <c r="N278" s="1293"/>
      <c r="O278" s="1293"/>
    </row>
    <row r="279" spans="1:15" s="1400" customFormat="1" ht="16">
      <c r="A279" s="1325"/>
      <c r="B279" s="1395"/>
      <c r="C279" s="1201" t="s">
        <v>4166</v>
      </c>
      <c r="D279" s="1201" t="s">
        <v>4244</v>
      </c>
      <c r="E279" s="1201" t="s">
        <v>48</v>
      </c>
      <c r="F279" s="1420"/>
      <c r="G279" s="1421"/>
      <c r="H279" s="1202">
        <v>2020</v>
      </c>
      <c r="I279" s="1202">
        <v>2022</v>
      </c>
      <c r="J279" s="1202">
        <v>2027</v>
      </c>
      <c r="K279" s="1202">
        <v>2032</v>
      </c>
      <c r="L279" s="1202">
        <v>2037</v>
      </c>
      <c r="M279" s="1202">
        <v>2042</v>
      </c>
      <c r="N279" s="1202">
        <v>2047</v>
      </c>
      <c r="O279" s="1202">
        <v>2030</v>
      </c>
    </row>
    <row r="280" spans="1:15" s="1400" customFormat="1" ht="16">
      <c r="A280" s="1325"/>
      <c r="B280" s="1395"/>
      <c r="C280" s="1211" t="s">
        <v>4032</v>
      </c>
      <c r="D280" s="1211" t="s">
        <v>4033</v>
      </c>
      <c r="E280" s="1268"/>
      <c r="F280" s="1422"/>
      <c r="G280" s="1375"/>
      <c r="H280" s="1375">
        <v>0.02</v>
      </c>
      <c r="I280" s="1405">
        <v>2.2222222222222223E-2</v>
      </c>
      <c r="J280" s="1405">
        <v>2.777777777777778E-2</v>
      </c>
      <c r="K280" s="1405">
        <v>3.3333333333333333E-2</v>
      </c>
      <c r="L280" s="1405">
        <v>3.888888888888889E-2</v>
      </c>
      <c r="M280" s="1405">
        <v>4.4444444444444446E-2</v>
      </c>
      <c r="N280" s="1375">
        <v>0.05</v>
      </c>
      <c r="O280" s="1405">
        <v>3.1111111111111114E-2</v>
      </c>
    </row>
    <row r="281" spans="1:15" s="1400" customFormat="1" ht="16">
      <c r="A281" s="1325"/>
      <c r="B281" s="1395"/>
      <c r="C281" s="1211" t="s">
        <v>3997</v>
      </c>
      <c r="D281" s="1211" t="s">
        <v>3998</v>
      </c>
      <c r="E281" s="1268"/>
      <c r="F281" s="1422"/>
      <c r="G281" s="1375"/>
      <c r="H281" s="1375">
        <v>7.999999999999996E-2</v>
      </c>
      <c r="I281" s="1405">
        <v>7.7777777777777737E-2</v>
      </c>
      <c r="J281" s="1405">
        <v>6.5740740740740711E-2</v>
      </c>
      <c r="K281" s="1405">
        <v>5.5555555555555539E-2</v>
      </c>
      <c r="L281" s="1405">
        <v>4.537037037037036E-2</v>
      </c>
      <c r="M281" s="1405">
        <v>3.518518518518518E-2</v>
      </c>
      <c r="N281" s="1375">
        <v>2.5000000000000001E-2</v>
      </c>
      <c r="O281" s="1405">
        <v>5.9629629629629602E-2</v>
      </c>
    </row>
    <row r="282" spans="1:15" s="1400" customFormat="1" ht="16">
      <c r="A282" s="1325"/>
      <c r="B282" s="1395"/>
      <c r="C282" s="1211" t="s">
        <v>3999</v>
      </c>
      <c r="D282" s="1211" t="s">
        <v>4000</v>
      </c>
      <c r="E282" s="1268"/>
      <c r="F282" s="1422"/>
      <c r="G282" s="1375"/>
      <c r="H282" s="1375">
        <v>0</v>
      </c>
      <c r="I282" s="1405">
        <v>0</v>
      </c>
      <c r="J282" s="1405">
        <v>0</v>
      </c>
      <c r="K282" s="1405">
        <v>0</v>
      </c>
      <c r="L282" s="1405">
        <v>0</v>
      </c>
      <c r="M282" s="1405">
        <v>0</v>
      </c>
      <c r="N282" s="1375">
        <v>0</v>
      </c>
      <c r="O282" s="1405">
        <v>0</v>
      </c>
    </row>
    <row r="283" spans="1:15" s="1400" customFormat="1" ht="16">
      <c r="A283" s="1325"/>
      <c r="B283" s="1395"/>
      <c r="C283" s="1211" t="s">
        <v>4001</v>
      </c>
      <c r="D283" s="1211" t="s">
        <v>4002</v>
      </c>
      <c r="E283" s="1268"/>
      <c r="F283" s="1422"/>
      <c r="G283" s="1375"/>
      <c r="H283" s="1375">
        <v>0.9</v>
      </c>
      <c r="I283" s="1375">
        <v>0.9</v>
      </c>
      <c r="J283" s="1375">
        <v>0.84648148148148139</v>
      </c>
      <c r="K283" s="1375">
        <v>0.7911111111111111</v>
      </c>
      <c r="L283" s="1375">
        <v>0.73574074074074081</v>
      </c>
      <c r="M283" s="1375">
        <v>0.6803703703703704</v>
      </c>
      <c r="N283" s="1375">
        <v>0.625</v>
      </c>
      <c r="O283" s="1375">
        <v>0.81325925925925935</v>
      </c>
    </row>
    <row r="284" spans="1:15" s="1400" customFormat="1" ht="16">
      <c r="A284" s="1325"/>
      <c r="B284" s="1395"/>
      <c r="C284" s="1211" t="s">
        <v>4011</v>
      </c>
      <c r="D284" s="1211" t="s">
        <v>4012</v>
      </c>
      <c r="E284" s="1268"/>
      <c r="F284" s="1372"/>
      <c r="G284" s="1375"/>
      <c r="H284" s="1375">
        <v>0</v>
      </c>
      <c r="I284" s="1375">
        <v>0</v>
      </c>
      <c r="J284" s="1375">
        <v>0</v>
      </c>
      <c r="K284" s="1375">
        <v>0</v>
      </c>
      <c r="L284" s="1375">
        <v>0</v>
      </c>
      <c r="M284" s="1375">
        <v>0</v>
      </c>
      <c r="N284" s="1375">
        <v>0</v>
      </c>
      <c r="O284" s="1375">
        <v>0</v>
      </c>
    </row>
    <row r="285" spans="1:15" s="1400" customFormat="1" ht="16">
      <c r="A285" s="1325"/>
      <c r="B285" s="1395"/>
      <c r="C285" s="1406" t="s">
        <v>4025</v>
      </c>
      <c r="D285" s="1406" t="s">
        <v>4026</v>
      </c>
      <c r="E285" s="1406"/>
      <c r="F285" s="1423"/>
      <c r="G285" s="1424">
        <v>0</v>
      </c>
      <c r="H285" s="1414">
        <v>0</v>
      </c>
      <c r="I285" s="1408">
        <v>0</v>
      </c>
      <c r="J285" s="1424">
        <v>0.06</v>
      </c>
      <c r="K285" s="1424">
        <v>0.12</v>
      </c>
      <c r="L285" s="1424">
        <v>0.18</v>
      </c>
      <c r="M285" s="1424">
        <v>0.24</v>
      </c>
      <c r="N285" s="1408">
        <v>0.3</v>
      </c>
      <c r="O285" s="1424">
        <v>9.6000000000000002E-2</v>
      </c>
    </row>
    <row r="286" spans="1:15" s="1400" customFormat="1" ht="16">
      <c r="A286" s="1325"/>
      <c r="B286" s="1395"/>
      <c r="C286" s="1211"/>
      <c r="D286" s="1211"/>
      <c r="E286" s="1211"/>
      <c r="F286" s="1425"/>
      <c r="G286" s="1293"/>
      <c r="H286" s="1293"/>
      <c r="I286" s="1293"/>
      <c r="J286" s="1293"/>
      <c r="K286" s="1293"/>
      <c r="L286" s="1293"/>
      <c r="M286" s="1293"/>
      <c r="N286" s="1293"/>
      <c r="O286" s="1293"/>
    </row>
    <row r="287" spans="1:15" s="1400" customFormat="1" ht="16">
      <c r="A287" s="1325"/>
      <c r="B287" s="1395"/>
      <c r="C287" s="1201" t="s">
        <v>4166</v>
      </c>
      <c r="D287" s="1201" t="s">
        <v>4246</v>
      </c>
      <c r="E287" s="1201" t="s">
        <v>48</v>
      </c>
      <c r="F287" s="1420"/>
      <c r="G287" s="1421"/>
      <c r="H287" s="1202">
        <v>2020</v>
      </c>
      <c r="I287" s="1202">
        <v>2022</v>
      </c>
      <c r="J287" s="1202">
        <v>2027</v>
      </c>
      <c r="K287" s="1202">
        <v>2032</v>
      </c>
      <c r="L287" s="1202">
        <v>2037</v>
      </c>
      <c r="M287" s="1202">
        <v>2042</v>
      </c>
      <c r="N287" s="1202">
        <v>2047</v>
      </c>
      <c r="O287" s="1202">
        <v>2030</v>
      </c>
    </row>
    <row r="288" spans="1:15" s="1400" customFormat="1" ht="16">
      <c r="A288" s="1325"/>
      <c r="B288" s="1395"/>
      <c r="C288" s="1211" t="s">
        <v>4032</v>
      </c>
      <c r="D288" s="1211" t="s">
        <v>4033</v>
      </c>
      <c r="E288" s="1268"/>
      <c r="F288" s="1422"/>
      <c r="G288" s="1375"/>
      <c r="H288" s="1375">
        <v>0.02</v>
      </c>
      <c r="I288" s="1405">
        <v>2.2222222222222223E-2</v>
      </c>
      <c r="J288" s="1405">
        <v>5.3703703703703712E-2</v>
      </c>
      <c r="K288" s="1405">
        <v>7.7777777777777779E-2</v>
      </c>
      <c r="L288" s="1405">
        <v>0.10185185185185186</v>
      </c>
      <c r="M288" s="1405">
        <v>0.12592592592592594</v>
      </c>
      <c r="N288" s="1375">
        <v>0.15</v>
      </c>
      <c r="O288" s="1405">
        <v>6.8148148148148152E-2</v>
      </c>
    </row>
    <row r="289" spans="1:15" s="1400" customFormat="1" ht="16">
      <c r="A289" s="1325"/>
      <c r="B289" s="1395"/>
      <c r="C289" s="1211" t="s">
        <v>3997</v>
      </c>
      <c r="D289" s="1211" t="s">
        <v>3998</v>
      </c>
      <c r="E289" s="1268"/>
      <c r="F289" s="1422"/>
      <c r="G289" s="1375"/>
      <c r="H289" s="1375">
        <v>7.999999999999996E-2</v>
      </c>
      <c r="I289" s="1405">
        <v>7.7777777777777737E-2</v>
      </c>
      <c r="J289" s="1405">
        <v>5.9259259259259234E-2</v>
      </c>
      <c r="K289" s="1405">
        <v>4.4444444444444425E-2</v>
      </c>
      <c r="L289" s="1405">
        <v>2.962962962962961E-2</v>
      </c>
      <c r="M289" s="1405">
        <v>1.4814814814814808E-2</v>
      </c>
      <c r="N289" s="1375">
        <v>0</v>
      </c>
      <c r="O289" s="1405">
        <v>5.0370370370370343E-2</v>
      </c>
    </row>
    <row r="290" spans="1:15" s="1400" customFormat="1" ht="16">
      <c r="A290" s="1325"/>
      <c r="B290" s="1395"/>
      <c r="C290" s="1211" t="s">
        <v>3999</v>
      </c>
      <c r="D290" s="1211" t="s">
        <v>4000</v>
      </c>
      <c r="E290" s="1268"/>
      <c r="F290" s="1422"/>
      <c r="G290" s="1375"/>
      <c r="H290" s="1375">
        <v>0</v>
      </c>
      <c r="I290" s="1405">
        <v>0</v>
      </c>
      <c r="J290" s="1405">
        <v>0</v>
      </c>
      <c r="K290" s="1405">
        <v>0</v>
      </c>
      <c r="L290" s="1405">
        <v>0</v>
      </c>
      <c r="M290" s="1405">
        <v>0</v>
      </c>
      <c r="N290" s="1375">
        <v>0</v>
      </c>
      <c r="O290" s="1405">
        <v>0</v>
      </c>
    </row>
    <row r="291" spans="1:15" s="1400" customFormat="1" ht="16">
      <c r="A291" s="1325"/>
      <c r="B291" s="1395"/>
      <c r="C291" s="1211" t="s">
        <v>4001</v>
      </c>
      <c r="D291" s="1211" t="s">
        <v>4002</v>
      </c>
      <c r="E291" s="1268"/>
      <c r="F291" s="1422"/>
      <c r="G291" s="1375"/>
      <c r="H291" s="1375">
        <v>0.9</v>
      </c>
      <c r="I291" s="1375">
        <v>0.9</v>
      </c>
      <c r="J291" s="1375">
        <v>0.80703703703703711</v>
      </c>
      <c r="K291" s="1375">
        <v>0.71777777777777785</v>
      </c>
      <c r="L291" s="1375">
        <v>0.62851851851851859</v>
      </c>
      <c r="M291" s="1375">
        <v>0.5392592592592591</v>
      </c>
      <c r="N291" s="1375">
        <v>0.44999999999999996</v>
      </c>
      <c r="O291" s="1375">
        <v>0.75348148148148153</v>
      </c>
    </row>
    <row r="292" spans="1:15" s="1400" customFormat="1" ht="16">
      <c r="A292" s="1325"/>
      <c r="B292" s="1395"/>
      <c r="C292" s="1211" t="s">
        <v>4011</v>
      </c>
      <c r="D292" s="1211" t="s">
        <v>4012</v>
      </c>
      <c r="E292" s="1268"/>
      <c r="F292" s="1372"/>
      <c r="G292" s="1375"/>
      <c r="H292" s="1375">
        <v>0</v>
      </c>
      <c r="I292" s="1375">
        <v>0</v>
      </c>
      <c r="J292" s="1375">
        <v>0</v>
      </c>
      <c r="K292" s="1375">
        <v>0</v>
      </c>
      <c r="L292" s="1375">
        <v>0</v>
      </c>
      <c r="M292" s="1375">
        <v>0</v>
      </c>
      <c r="N292" s="1375">
        <v>0</v>
      </c>
      <c r="O292" s="1375">
        <v>0</v>
      </c>
    </row>
    <row r="293" spans="1:15" s="1400" customFormat="1" ht="16">
      <c r="A293" s="1325"/>
      <c r="B293" s="1395"/>
      <c r="C293" s="1406" t="s">
        <v>4025</v>
      </c>
      <c r="D293" s="1406" t="s">
        <v>4026</v>
      </c>
      <c r="E293" s="1406"/>
      <c r="F293" s="1423"/>
      <c r="G293" s="1424"/>
      <c r="H293" s="1414">
        <v>0</v>
      </c>
      <c r="I293" s="1408">
        <v>0</v>
      </c>
      <c r="J293" s="1424">
        <v>0.08</v>
      </c>
      <c r="K293" s="1424">
        <v>0.16</v>
      </c>
      <c r="L293" s="1424">
        <v>0.24</v>
      </c>
      <c r="M293" s="1424">
        <v>0.32</v>
      </c>
      <c r="N293" s="1408">
        <v>0.4</v>
      </c>
      <c r="O293" s="1424">
        <v>0.128</v>
      </c>
    </row>
    <row r="294" spans="1:15" s="1400" customFormat="1" ht="16">
      <c r="A294" s="1325"/>
      <c r="B294" s="1395"/>
      <c r="C294" s="1211"/>
      <c r="D294" s="1211"/>
      <c r="E294" s="1211"/>
      <c r="F294" s="1425"/>
      <c r="G294" s="1293"/>
      <c r="H294" s="1293"/>
      <c r="I294" s="1293"/>
      <c r="J294" s="1293"/>
      <c r="K294" s="1293"/>
      <c r="L294" s="1293"/>
      <c r="M294" s="1293"/>
      <c r="N294" s="1293"/>
      <c r="O294" s="1293"/>
    </row>
    <row r="295" spans="1:15" s="1400" customFormat="1" ht="16">
      <c r="A295" s="1325"/>
      <c r="B295" s="1395"/>
      <c r="C295" s="1201" t="s">
        <v>4166</v>
      </c>
      <c r="D295" s="1201" t="s">
        <v>4248</v>
      </c>
      <c r="E295" s="1201" t="s">
        <v>48</v>
      </c>
      <c r="F295" s="1203"/>
      <c r="G295" s="1426"/>
      <c r="H295" s="1202">
        <v>2020</v>
      </c>
      <c r="I295" s="1202">
        <v>2022</v>
      </c>
      <c r="J295" s="1202">
        <v>2027</v>
      </c>
      <c r="K295" s="1202">
        <v>2032</v>
      </c>
      <c r="L295" s="1202">
        <v>2037</v>
      </c>
      <c r="M295" s="1202">
        <v>2042</v>
      </c>
      <c r="N295" s="1202">
        <v>2047</v>
      </c>
      <c r="O295" s="1202">
        <v>2030</v>
      </c>
    </row>
    <row r="296" spans="1:15" s="1400" customFormat="1" ht="16">
      <c r="A296" s="1325"/>
      <c r="B296" s="1395"/>
      <c r="C296" s="1211" t="s">
        <v>4032</v>
      </c>
      <c r="D296" s="1211" t="s">
        <v>4033</v>
      </c>
      <c r="E296" s="1268"/>
      <c r="F296" s="1372"/>
      <c r="G296" s="1427"/>
      <c r="H296" s="1375">
        <v>0.02</v>
      </c>
      <c r="I296" s="1405">
        <v>2.4444444444444446E-2</v>
      </c>
      <c r="J296" s="1405">
        <v>3.5555555555555556E-2</v>
      </c>
      <c r="K296" s="1405">
        <v>4.6666666666666662E-2</v>
      </c>
      <c r="L296" s="1405">
        <v>5.7777777777777775E-2</v>
      </c>
      <c r="M296" s="1405">
        <v>6.8888888888888888E-2</v>
      </c>
      <c r="N296" s="1416">
        <v>0.08</v>
      </c>
      <c r="O296" s="1405">
        <v>4.2222222222222223E-2</v>
      </c>
    </row>
    <row r="297" spans="1:15" s="1400" customFormat="1" ht="16">
      <c r="A297" s="1325"/>
      <c r="B297" s="1395"/>
      <c r="C297" s="1211" t="s">
        <v>3997</v>
      </c>
      <c r="D297" s="1211" t="s">
        <v>3998</v>
      </c>
      <c r="E297" s="1268"/>
      <c r="F297" s="1372"/>
      <c r="G297" s="1427"/>
      <c r="H297" s="1375">
        <v>0.08</v>
      </c>
      <c r="I297" s="1405">
        <v>7.5555555555555487E-2</v>
      </c>
      <c r="J297" s="1405">
        <v>6.4444444444444415E-2</v>
      </c>
      <c r="K297" s="1405">
        <v>5.3333333333333344E-2</v>
      </c>
      <c r="L297" s="1405">
        <v>4.2222222222222161E-2</v>
      </c>
      <c r="M297" s="1405">
        <v>3.1111111111111089E-2</v>
      </c>
      <c r="N297" s="1416">
        <v>1.9999999999999976E-2</v>
      </c>
      <c r="O297" s="1405">
        <v>5.7777777777777706E-2</v>
      </c>
    </row>
    <row r="298" spans="1:15" s="1400" customFormat="1" ht="16">
      <c r="A298" s="1325"/>
      <c r="B298" s="1395"/>
      <c r="C298" s="1211" t="s">
        <v>3999</v>
      </c>
      <c r="D298" s="1211" t="s">
        <v>4000</v>
      </c>
      <c r="E298" s="1268"/>
      <c r="F298" s="1372"/>
      <c r="G298" s="1427"/>
      <c r="H298" s="1375">
        <v>0</v>
      </c>
      <c r="I298" s="1405">
        <v>0</v>
      </c>
      <c r="J298" s="1405">
        <v>0</v>
      </c>
      <c r="K298" s="1405">
        <v>0</v>
      </c>
      <c r="L298" s="1405">
        <v>0</v>
      </c>
      <c r="M298" s="1405">
        <v>0</v>
      </c>
      <c r="N298" s="1416">
        <v>0</v>
      </c>
      <c r="O298" s="1405">
        <v>0</v>
      </c>
    </row>
    <row r="299" spans="1:15" s="1400" customFormat="1" ht="16">
      <c r="A299" s="1325"/>
      <c r="B299" s="1395"/>
      <c r="C299" s="1211" t="s">
        <v>4001</v>
      </c>
      <c r="D299" s="1211" t="s">
        <v>4002</v>
      </c>
      <c r="E299" s="1268"/>
      <c r="F299" s="1372"/>
      <c r="G299" s="1427"/>
      <c r="H299" s="1375">
        <v>0.9</v>
      </c>
      <c r="I299" s="1405">
        <v>0.9</v>
      </c>
      <c r="J299" s="1405">
        <v>0.9</v>
      </c>
      <c r="K299" s="1405">
        <v>0.9</v>
      </c>
      <c r="L299" s="1405">
        <v>0.9</v>
      </c>
      <c r="M299" s="1405">
        <v>0.9</v>
      </c>
      <c r="N299" s="1416">
        <v>0.9</v>
      </c>
      <c r="O299" s="1405">
        <v>0.9</v>
      </c>
    </row>
    <row r="300" spans="1:15" s="1400" customFormat="1" ht="16">
      <c r="A300" s="1325"/>
      <c r="B300" s="1395"/>
      <c r="C300" s="1211" t="s">
        <v>4011</v>
      </c>
      <c r="D300" s="1211" t="s">
        <v>4012</v>
      </c>
      <c r="E300" s="1268"/>
      <c r="F300" s="1372"/>
      <c r="G300" s="1375"/>
      <c r="H300" s="1375">
        <v>0</v>
      </c>
      <c r="I300" s="1375">
        <v>0</v>
      </c>
      <c r="J300" s="1375">
        <v>0</v>
      </c>
      <c r="K300" s="1375">
        <v>0</v>
      </c>
      <c r="L300" s="1375">
        <v>0</v>
      </c>
      <c r="M300" s="1375">
        <v>0</v>
      </c>
      <c r="N300" s="1375">
        <v>0</v>
      </c>
      <c r="O300" s="1375">
        <v>0</v>
      </c>
    </row>
    <row r="301" spans="1:15" s="1400" customFormat="1" ht="16">
      <c r="A301" s="1325"/>
      <c r="B301" s="1395"/>
      <c r="C301" s="1406" t="s">
        <v>4025</v>
      </c>
      <c r="D301" s="1406" t="s">
        <v>4026</v>
      </c>
      <c r="E301" s="1406"/>
      <c r="F301" s="1407"/>
      <c r="G301" s="1428"/>
      <c r="H301" s="1408">
        <v>0</v>
      </c>
      <c r="I301" s="1408">
        <v>0</v>
      </c>
      <c r="J301" s="1408">
        <v>0</v>
      </c>
      <c r="K301" s="1408">
        <v>0</v>
      </c>
      <c r="L301" s="1408">
        <v>0</v>
      </c>
      <c r="M301" s="1408">
        <v>0</v>
      </c>
      <c r="N301" s="1408">
        <v>0</v>
      </c>
      <c r="O301" s="1408">
        <v>0</v>
      </c>
    </row>
    <row r="302" spans="1:15" s="1400" customFormat="1" ht="16">
      <c r="A302" s="1325"/>
      <c r="B302" s="1395"/>
      <c r="C302" s="1211"/>
      <c r="D302" s="1211"/>
      <c r="E302" s="1211"/>
      <c r="F302" s="1415"/>
      <c r="G302" s="1429"/>
      <c r="H302" s="1293"/>
      <c r="I302" s="1293"/>
      <c r="J302" s="1293"/>
      <c r="K302" s="1293"/>
      <c r="L302" s="1293"/>
      <c r="M302" s="1293"/>
      <c r="N302" s="1293"/>
      <c r="O302" s="1293"/>
    </row>
    <row r="303" spans="1:15" s="1400" customFormat="1" ht="16">
      <c r="A303" s="1325"/>
      <c r="B303" s="1395"/>
      <c r="C303" s="1201" t="s">
        <v>4166</v>
      </c>
      <c r="D303" s="1201" t="s">
        <v>4249</v>
      </c>
      <c r="E303" s="1201" t="s">
        <v>48</v>
      </c>
      <c r="F303" s="1203"/>
      <c r="G303" s="1202"/>
      <c r="H303" s="1202">
        <v>2020</v>
      </c>
      <c r="I303" s="1202">
        <v>2022</v>
      </c>
      <c r="J303" s="1202">
        <v>2027</v>
      </c>
      <c r="K303" s="1202">
        <v>2032</v>
      </c>
      <c r="L303" s="1202">
        <v>2037</v>
      </c>
      <c r="M303" s="1202">
        <v>2042</v>
      </c>
      <c r="N303" s="1202">
        <v>2047</v>
      </c>
      <c r="O303" s="1202">
        <v>2030</v>
      </c>
    </row>
    <row r="304" spans="1:15" s="1400" customFormat="1" ht="16">
      <c r="A304" s="1325"/>
      <c r="B304" s="1395"/>
      <c r="C304" s="1382" t="s">
        <v>4032</v>
      </c>
      <c r="D304" s="1382" t="s">
        <v>4033</v>
      </c>
      <c r="E304" s="1384"/>
      <c r="F304" s="1385"/>
      <c r="G304" s="1387"/>
      <c r="H304" s="1430">
        <v>0.02</v>
      </c>
      <c r="I304" s="1430">
        <v>2.2222222222222223E-2</v>
      </c>
      <c r="J304" s="1430">
        <v>2.777777777777778E-2</v>
      </c>
      <c r="K304" s="1430">
        <v>3.3333333333333333E-2</v>
      </c>
      <c r="L304" s="1430">
        <v>3.888888888888889E-2</v>
      </c>
      <c r="M304" s="1430">
        <v>4.4444444444444446E-2</v>
      </c>
      <c r="N304" s="1430">
        <v>0.05</v>
      </c>
      <c r="O304" s="1430">
        <v>3.1111111111111114E-2</v>
      </c>
    </row>
    <row r="305" spans="1:15" s="1400" customFormat="1" ht="16">
      <c r="A305" s="1325"/>
      <c r="B305" s="1395"/>
      <c r="C305" s="1211" t="s">
        <v>3997</v>
      </c>
      <c r="D305" s="1211" t="s">
        <v>3998</v>
      </c>
      <c r="E305" s="1268"/>
      <c r="F305" s="1372"/>
      <c r="G305" s="1375"/>
      <c r="H305" s="1405">
        <v>7.999999999999996E-2</v>
      </c>
      <c r="I305" s="1405">
        <v>7.7777777777777737E-2</v>
      </c>
      <c r="J305" s="1405">
        <v>7.2222222222222188E-2</v>
      </c>
      <c r="K305" s="1405">
        <v>6.6666666666666652E-2</v>
      </c>
      <c r="L305" s="1405">
        <v>6.1111111111111102E-2</v>
      </c>
      <c r="M305" s="1405">
        <v>5.5555555555555552E-2</v>
      </c>
      <c r="N305" s="1405">
        <v>0.05</v>
      </c>
      <c r="O305" s="1405">
        <v>6.8888888888888861E-2</v>
      </c>
    </row>
    <row r="306" spans="1:15" s="1400" customFormat="1" ht="16">
      <c r="A306" s="1325"/>
      <c r="B306" s="1395"/>
      <c r="C306" s="1211" t="s">
        <v>3999</v>
      </c>
      <c r="D306" s="1211" t="s">
        <v>4000</v>
      </c>
      <c r="E306" s="1268"/>
      <c r="F306" s="1372"/>
      <c r="G306" s="1375"/>
      <c r="H306" s="1405">
        <v>0</v>
      </c>
      <c r="I306" s="1405">
        <v>0</v>
      </c>
      <c r="J306" s="1405">
        <v>0</v>
      </c>
      <c r="K306" s="1405">
        <v>0</v>
      </c>
      <c r="L306" s="1405">
        <v>0</v>
      </c>
      <c r="M306" s="1405">
        <v>0</v>
      </c>
      <c r="N306" s="1405">
        <v>0</v>
      </c>
      <c r="O306" s="1405">
        <v>0</v>
      </c>
    </row>
    <row r="307" spans="1:15" s="1400" customFormat="1" ht="16">
      <c r="A307" s="1325"/>
      <c r="B307" s="1395"/>
      <c r="C307" s="1211" t="s">
        <v>4001</v>
      </c>
      <c r="D307" s="1211" t="s">
        <v>4002</v>
      </c>
      <c r="E307" s="1268"/>
      <c r="F307" s="1372"/>
      <c r="G307" s="1375"/>
      <c r="H307" s="1405">
        <v>0.9</v>
      </c>
      <c r="I307" s="1405">
        <v>0.9</v>
      </c>
      <c r="J307" s="1405">
        <v>0.86</v>
      </c>
      <c r="K307" s="1405">
        <v>0.82000000000000006</v>
      </c>
      <c r="L307" s="1405">
        <v>0.78</v>
      </c>
      <c r="M307" s="1405">
        <v>0.74</v>
      </c>
      <c r="N307" s="1405">
        <v>0.7</v>
      </c>
      <c r="O307" s="1405">
        <v>0.83600000000000008</v>
      </c>
    </row>
    <row r="308" spans="1:15" s="1400" customFormat="1" ht="16">
      <c r="A308" s="1325"/>
      <c r="B308" s="1395"/>
      <c r="C308" s="1211"/>
      <c r="D308" s="1211"/>
      <c r="E308" s="1268"/>
      <c r="F308" s="1372"/>
      <c r="G308" s="1375"/>
      <c r="H308" s="1405">
        <v>0</v>
      </c>
      <c r="I308" s="1405">
        <v>0</v>
      </c>
      <c r="J308" s="1405">
        <v>0</v>
      </c>
      <c r="K308" s="1405">
        <v>0</v>
      </c>
      <c r="L308" s="1405">
        <v>0</v>
      </c>
      <c r="M308" s="1405">
        <v>0</v>
      </c>
      <c r="N308" s="1405">
        <v>0</v>
      </c>
      <c r="O308" s="1405">
        <v>0</v>
      </c>
    </row>
    <row r="309" spans="1:15" s="1400" customFormat="1" ht="16">
      <c r="A309" s="1325"/>
      <c r="B309" s="1395"/>
      <c r="C309" s="1406" t="s">
        <v>4025</v>
      </c>
      <c r="D309" s="1406" t="s">
        <v>4026</v>
      </c>
      <c r="E309" s="1406"/>
      <c r="F309" s="1407"/>
      <c r="G309" s="1408"/>
      <c r="H309" s="1413">
        <v>0</v>
      </c>
      <c r="I309" s="1413">
        <v>0</v>
      </c>
      <c r="J309" s="1413">
        <v>0.04</v>
      </c>
      <c r="K309" s="1413">
        <v>0.08</v>
      </c>
      <c r="L309" s="1413">
        <v>0.12</v>
      </c>
      <c r="M309" s="1413">
        <v>0.16</v>
      </c>
      <c r="N309" s="1413">
        <v>0.2</v>
      </c>
      <c r="O309" s="1413">
        <v>6.4000000000000001E-2</v>
      </c>
    </row>
    <row r="310" spans="1:15" s="1400" customFormat="1" ht="16">
      <c r="A310" s="1325"/>
      <c r="B310" s="1395"/>
      <c r="C310" s="1211"/>
      <c r="D310" s="1211"/>
      <c r="E310" s="1211"/>
      <c r="F310" s="1415"/>
      <c r="G310" s="1293"/>
      <c r="H310" s="1293"/>
      <c r="I310" s="1293"/>
      <c r="J310" s="1293"/>
      <c r="K310" s="1293"/>
      <c r="L310" s="1293"/>
      <c r="M310" s="1293"/>
      <c r="N310" s="1293"/>
      <c r="O310" s="1293"/>
    </row>
    <row r="311" spans="1:15" s="1400" customFormat="1" ht="16">
      <c r="A311" s="1325"/>
      <c r="B311" s="1395"/>
      <c r="C311" s="1211"/>
      <c r="D311" s="1211"/>
      <c r="E311" s="1211"/>
      <c r="F311" s="1415"/>
      <c r="G311" s="1293"/>
      <c r="H311" s="1293"/>
      <c r="I311" s="1293"/>
      <c r="J311" s="1293"/>
      <c r="K311" s="1293"/>
      <c r="L311" s="1293"/>
      <c r="M311" s="1293"/>
      <c r="N311" s="1293"/>
      <c r="O311" s="1415"/>
    </row>
    <row r="312" spans="1:15" s="1400" customFormat="1" ht="16">
      <c r="A312" s="1325"/>
      <c r="B312" s="1431">
        <v>3</v>
      </c>
      <c r="C312" s="1403" t="s">
        <v>4253</v>
      </c>
      <c r="D312" s="1263"/>
      <c r="E312" s="1263"/>
      <c r="F312" s="1264"/>
      <c r="G312" s="1220"/>
      <c r="H312" s="1220"/>
      <c r="I312" s="1220"/>
      <c r="J312" s="1220"/>
      <c r="K312" s="1220"/>
      <c r="L312" s="1220"/>
      <c r="M312" s="1220"/>
      <c r="N312" s="1220"/>
      <c r="O312" s="1264"/>
    </row>
    <row r="313" spans="1:15" s="1400" customFormat="1" ht="5" customHeight="1">
      <c r="A313" s="1325"/>
      <c r="B313" s="1395"/>
      <c r="C313" s="1263"/>
      <c r="D313" s="1263"/>
      <c r="E313" s="1263"/>
      <c r="F313" s="1264"/>
      <c r="G313" s="1220"/>
      <c r="H313" s="1220"/>
      <c r="I313" s="1220"/>
      <c r="J313" s="1220"/>
      <c r="K313" s="1220"/>
      <c r="L313" s="1220"/>
      <c r="M313" s="1220"/>
      <c r="N313" s="1220"/>
      <c r="O313" s="1264"/>
    </row>
    <row r="314" spans="1:15" s="1400" customFormat="1" ht="16">
      <c r="A314" s="1325"/>
      <c r="B314" s="1395"/>
      <c r="C314" s="1201" t="s">
        <v>4166</v>
      </c>
      <c r="D314" s="1201" t="s">
        <v>4234</v>
      </c>
      <c r="E314" s="1201" t="s">
        <v>48</v>
      </c>
      <c r="F314" s="1203"/>
      <c r="G314" s="1202"/>
      <c r="H314" s="1202">
        <v>2020</v>
      </c>
      <c r="I314" s="1202">
        <v>2022</v>
      </c>
      <c r="J314" s="1202">
        <v>2027</v>
      </c>
      <c r="K314" s="1202">
        <v>2032</v>
      </c>
      <c r="L314" s="1202">
        <v>2037</v>
      </c>
      <c r="M314" s="1202">
        <v>2042</v>
      </c>
      <c r="N314" s="1202">
        <v>2047</v>
      </c>
      <c r="O314" s="1202">
        <v>2030</v>
      </c>
    </row>
    <row r="315" spans="1:15" s="1400" customFormat="1" ht="16">
      <c r="A315" s="1325"/>
      <c r="B315" s="1395"/>
      <c r="C315" s="1211" t="s">
        <v>4032</v>
      </c>
      <c r="D315" s="1211" t="s">
        <v>4033</v>
      </c>
      <c r="E315" s="1268"/>
      <c r="F315" s="1372"/>
      <c r="G315" s="1375"/>
      <c r="H315" s="900">
        <v>0.01</v>
      </c>
      <c r="I315" s="1405">
        <v>1.6666666666666666E-2</v>
      </c>
      <c r="J315" s="1405">
        <v>1.6666666666666666E-2</v>
      </c>
      <c r="K315" s="1405">
        <v>1.6666666666666666E-2</v>
      </c>
      <c r="L315" s="1405">
        <v>1.6666666666666666E-2</v>
      </c>
      <c r="M315" s="1405">
        <v>1.6666666666666666E-2</v>
      </c>
      <c r="N315" s="1405">
        <v>1.6666666666666666E-2</v>
      </c>
      <c r="O315" s="1405">
        <v>1.6666666666666666E-2</v>
      </c>
    </row>
    <row r="316" spans="1:15" s="1400" customFormat="1" ht="16">
      <c r="A316" s="1325"/>
      <c r="B316" s="1395"/>
      <c r="C316" s="1211" t="s">
        <v>3997</v>
      </c>
      <c r="D316" s="1211" t="s">
        <v>3998</v>
      </c>
      <c r="E316" s="1268"/>
      <c r="F316" s="1372"/>
      <c r="G316" s="1375"/>
      <c r="H316" s="1405">
        <v>0.94</v>
      </c>
      <c r="I316" s="1405">
        <v>0.93148148148148135</v>
      </c>
      <c r="J316" s="1405">
        <v>0.93148148148148135</v>
      </c>
      <c r="K316" s="1405">
        <v>0.93148148148148135</v>
      </c>
      <c r="L316" s="1405">
        <v>0.93148148148148135</v>
      </c>
      <c r="M316" s="1405">
        <v>0.93148148148148135</v>
      </c>
      <c r="N316" s="1405">
        <v>0.93148148148148135</v>
      </c>
      <c r="O316" s="1405">
        <v>0.93148148148148135</v>
      </c>
    </row>
    <row r="317" spans="1:15" s="1400" customFormat="1" ht="16">
      <c r="A317" s="1325"/>
      <c r="B317" s="1395"/>
      <c r="C317" s="1211" t="s">
        <v>3999</v>
      </c>
      <c r="D317" s="1211" t="s">
        <v>4000</v>
      </c>
      <c r="E317" s="1268"/>
      <c r="F317" s="1372"/>
      <c r="G317" s="1375"/>
      <c r="H317" s="900">
        <v>4.4999999999999998E-2</v>
      </c>
      <c r="I317" s="1405">
        <v>4.4999999999999998E-2</v>
      </c>
      <c r="J317" s="1405">
        <v>4.4999999999999998E-2</v>
      </c>
      <c r="K317" s="1405">
        <v>4.4999999999999998E-2</v>
      </c>
      <c r="L317" s="1405">
        <v>4.4999999999999998E-2</v>
      </c>
      <c r="M317" s="1405">
        <v>4.4999999999999998E-2</v>
      </c>
      <c r="N317" s="1405">
        <v>4.4999999999999998E-2</v>
      </c>
      <c r="O317" s="1405">
        <v>4.4999999999999998E-2</v>
      </c>
    </row>
    <row r="318" spans="1:15" s="1400" customFormat="1" ht="16">
      <c r="A318" s="1325"/>
      <c r="B318" s="1395"/>
      <c r="C318" s="1211" t="s">
        <v>4001</v>
      </c>
      <c r="D318" s="1211" t="s">
        <v>4002</v>
      </c>
      <c r="E318" s="1268"/>
      <c r="F318" s="1372"/>
      <c r="G318" s="1375"/>
      <c r="H318" s="900">
        <v>5.0000000000000001E-3</v>
      </c>
      <c r="I318" s="1405">
        <v>6.851851851851852E-3</v>
      </c>
      <c r="J318" s="1405">
        <v>6.851851851851852E-3</v>
      </c>
      <c r="K318" s="1405">
        <v>6.851851851851852E-3</v>
      </c>
      <c r="L318" s="1405">
        <v>6.851851851851852E-3</v>
      </c>
      <c r="M318" s="1405">
        <v>6.851851851851852E-3</v>
      </c>
      <c r="N318" s="1405">
        <v>6.851851851851852E-3</v>
      </c>
      <c r="O318" s="1405">
        <v>6.851851851851852E-3</v>
      </c>
    </row>
    <row r="319" spans="1:15" s="1400" customFormat="1" ht="16">
      <c r="A319" s="1325"/>
      <c r="B319" s="1395"/>
      <c r="C319" s="1211" t="s">
        <v>4011</v>
      </c>
      <c r="D319" s="1211" t="s">
        <v>4012</v>
      </c>
      <c r="E319" s="1268"/>
      <c r="F319" s="1372"/>
      <c r="G319" s="1375"/>
      <c r="H319" s="900">
        <v>0</v>
      </c>
      <c r="I319" s="1375">
        <v>0</v>
      </c>
      <c r="J319" s="1375">
        <v>0</v>
      </c>
      <c r="K319" s="1375">
        <v>0</v>
      </c>
      <c r="L319" s="1375">
        <v>0</v>
      </c>
      <c r="M319" s="1375">
        <v>0</v>
      </c>
      <c r="N319" s="1375">
        <v>0</v>
      </c>
      <c r="O319" s="1375">
        <v>0</v>
      </c>
    </row>
    <row r="320" spans="1:15" s="1400" customFormat="1" ht="16">
      <c r="A320" s="1325"/>
      <c r="B320" s="1395"/>
      <c r="C320" s="1406" t="s">
        <v>4025</v>
      </c>
      <c r="D320" s="1406" t="s">
        <v>4026</v>
      </c>
      <c r="E320" s="1406"/>
      <c r="F320" s="1407"/>
      <c r="G320" s="1408"/>
      <c r="H320" s="1432">
        <v>0</v>
      </c>
      <c r="I320" s="1408">
        <v>0</v>
      </c>
      <c r="J320" s="1408">
        <v>0</v>
      </c>
      <c r="K320" s="1408">
        <v>0</v>
      </c>
      <c r="L320" s="1408">
        <v>0</v>
      </c>
      <c r="M320" s="1408">
        <v>0</v>
      </c>
      <c r="N320" s="1408">
        <v>0</v>
      </c>
      <c r="O320" s="1408">
        <v>0</v>
      </c>
    </row>
    <row r="321" spans="1:15" s="1400" customFormat="1" ht="16">
      <c r="A321" s="1325"/>
      <c r="B321" s="1395"/>
      <c r="C321" s="1211"/>
      <c r="D321" s="1211"/>
      <c r="E321" s="1211"/>
      <c r="F321" s="1415"/>
      <c r="G321" s="1293"/>
      <c r="H321" s="1293"/>
      <c r="I321" s="1293"/>
      <c r="J321" s="1293"/>
      <c r="K321" s="1293"/>
      <c r="L321" s="1293"/>
      <c r="M321" s="1293"/>
      <c r="N321" s="1293"/>
      <c r="O321" s="1293"/>
    </row>
    <row r="322" spans="1:15" s="1400" customFormat="1" ht="16">
      <c r="A322" s="1325"/>
      <c r="B322" s="1395"/>
      <c r="C322" s="1201" t="s">
        <v>4166</v>
      </c>
      <c r="D322" s="1201" t="s">
        <v>4254</v>
      </c>
      <c r="E322" s="1201" t="s">
        <v>48</v>
      </c>
      <c r="F322" s="1203"/>
      <c r="G322" s="1202"/>
      <c r="H322" s="1202">
        <v>2020</v>
      </c>
      <c r="I322" s="1202">
        <v>2022</v>
      </c>
      <c r="J322" s="1202">
        <v>2027</v>
      </c>
      <c r="K322" s="1202">
        <v>2032</v>
      </c>
      <c r="L322" s="1202">
        <v>2037</v>
      </c>
      <c r="M322" s="1202">
        <v>2042</v>
      </c>
      <c r="N322" s="1202">
        <v>2047</v>
      </c>
      <c r="O322" s="1202">
        <v>2030</v>
      </c>
    </row>
    <row r="323" spans="1:15" s="1400" customFormat="1" ht="16">
      <c r="A323" s="1325"/>
      <c r="B323" s="1395"/>
      <c r="C323" s="1211" t="s">
        <v>4032</v>
      </c>
      <c r="D323" s="1211" t="s">
        <v>4033</v>
      </c>
      <c r="E323" s="1268"/>
      <c r="F323" s="1372"/>
      <c r="G323" s="1375"/>
      <c r="H323" s="1405">
        <v>0.01</v>
      </c>
      <c r="I323" s="1405">
        <v>1.6666666666666666E-2</v>
      </c>
      <c r="J323" s="1405">
        <v>3.333333333333334E-2</v>
      </c>
      <c r="K323" s="1405">
        <v>0.05</v>
      </c>
      <c r="L323" s="1405">
        <v>6.666666666666668E-2</v>
      </c>
      <c r="M323" s="1405">
        <v>8.3333333333333343E-2</v>
      </c>
      <c r="N323" s="1405">
        <v>0.1</v>
      </c>
      <c r="O323" s="1405">
        <v>4.3333333333333342E-2</v>
      </c>
    </row>
    <row r="324" spans="1:15" s="1400" customFormat="1" ht="16">
      <c r="A324" s="1325"/>
      <c r="B324" s="1395"/>
      <c r="C324" s="1211" t="s">
        <v>3997</v>
      </c>
      <c r="D324" s="1211" t="s">
        <v>3998</v>
      </c>
      <c r="E324" s="1268"/>
      <c r="F324" s="1372"/>
      <c r="G324" s="1375"/>
      <c r="H324" s="1405">
        <v>0.94</v>
      </c>
      <c r="I324" s="1405">
        <v>0.93148148148148135</v>
      </c>
      <c r="J324" s="1405">
        <v>0.91018518518518521</v>
      </c>
      <c r="K324" s="1405">
        <v>0.88888888888888884</v>
      </c>
      <c r="L324" s="1405">
        <v>0.86759259259259258</v>
      </c>
      <c r="M324" s="1405">
        <v>0.84629629629629621</v>
      </c>
      <c r="N324" s="1405">
        <v>0.82499999999999996</v>
      </c>
      <c r="O324" s="1405">
        <v>0.89740740740740732</v>
      </c>
    </row>
    <row r="325" spans="1:15" s="1400" customFormat="1" ht="16">
      <c r="A325" s="1325"/>
      <c r="B325" s="1395"/>
      <c r="C325" s="1211" t="s">
        <v>3999</v>
      </c>
      <c r="D325" s="1211" t="s">
        <v>4000</v>
      </c>
      <c r="E325" s="1268"/>
      <c r="F325" s="1372"/>
      <c r="G325" s="1375"/>
      <c r="H325" s="1405">
        <v>4.4999999999999998E-2</v>
      </c>
      <c r="I325" s="1405">
        <v>4.4999999999999998E-2</v>
      </c>
      <c r="J325" s="1405">
        <v>4.4999999999999998E-2</v>
      </c>
      <c r="K325" s="1405">
        <v>4.4999999999999998E-2</v>
      </c>
      <c r="L325" s="1405">
        <v>4.4999999999999998E-2</v>
      </c>
      <c r="M325" s="1405">
        <v>4.4999999999999998E-2</v>
      </c>
      <c r="N325" s="1405">
        <v>4.4999999999999998E-2</v>
      </c>
      <c r="O325" s="1405">
        <v>4.4999999999999998E-2</v>
      </c>
    </row>
    <row r="326" spans="1:15" s="1400" customFormat="1" ht="16">
      <c r="A326" s="1325"/>
      <c r="B326" s="1395"/>
      <c r="C326" s="1211" t="s">
        <v>4001</v>
      </c>
      <c r="D326" s="1211" t="s">
        <v>4002</v>
      </c>
      <c r="E326" s="1268"/>
      <c r="F326" s="1372"/>
      <c r="G326" s="1375"/>
      <c r="H326" s="1405">
        <v>5.0000000000000001E-3</v>
      </c>
      <c r="I326" s="1405">
        <v>6.851851851851852E-3</v>
      </c>
      <c r="J326" s="1405">
        <v>1.1481481481481481E-2</v>
      </c>
      <c r="K326" s="1405">
        <v>1.6111111111111111E-2</v>
      </c>
      <c r="L326" s="1405">
        <v>2.074074074074074E-2</v>
      </c>
      <c r="M326" s="1405">
        <v>2.537037037037037E-2</v>
      </c>
      <c r="N326" s="1405">
        <v>0.03</v>
      </c>
      <c r="O326" s="1405">
        <v>1.425925925925926E-2</v>
      </c>
    </row>
    <row r="327" spans="1:15" s="1400" customFormat="1" ht="16">
      <c r="A327" s="1325"/>
      <c r="B327" s="1395"/>
      <c r="C327" s="1211" t="s">
        <v>4011</v>
      </c>
      <c r="D327" s="1211" t="s">
        <v>4012</v>
      </c>
      <c r="E327" s="1268"/>
      <c r="F327" s="1372"/>
      <c r="G327" s="1375"/>
      <c r="H327" s="1405">
        <v>0</v>
      </c>
      <c r="I327" s="1375">
        <v>0</v>
      </c>
      <c r="J327" s="1375">
        <v>0</v>
      </c>
      <c r="K327" s="1375">
        <v>0</v>
      </c>
      <c r="L327" s="1375">
        <v>0</v>
      </c>
      <c r="M327" s="1375">
        <v>0</v>
      </c>
      <c r="N327" s="1375">
        <v>0</v>
      </c>
      <c r="O327" s="1375">
        <v>0</v>
      </c>
    </row>
    <row r="328" spans="1:15" s="1400" customFormat="1" ht="16">
      <c r="A328" s="1325"/>
      <c r="B328" s="1395"/>
      <c r="C328" s="1406" t="s">
        <v>4025</v>
      </c>
      <c r="D328" s="1406" t="s">
        <v>4026</v>
      </c>
      <c r="E328" s="1406"/>
      <c r="F328" s="1407"/>
      <c r="G328" s="1408"/>
      <c r="H328" s="1413">
        <v>0</v>
      </c>
      <c r="I328" s="1408">
        <v>0</v>
      </c>
      <c r="J328" s="1408">
        <v>0</v>
      </c>
      <c r="K328" s="1408">
        <v>0</v>
      </c>
      <c r="L328" s="1408">
        <v>0</v>
      </c>
      <c r="M328" s="1408">
        <v>0</v>
      </c>
      <c r="N328" s="1408">
        <v>0</v>
      </c>
      <c r="O328" s="1408">
        <v>0</v>
      </c>
    </row>
    <row r="329" spans="1:15" s="1400" customFormat="1" ht="16">
      <c r="A329" s="1325"/>
      <c r="B329" s="1395"/>
      <c r="C329" s="1211"/>
      <c r="D329" s="1211"/>
      <c r="E329" s="1211"/>
      <c r="F329" s="1415"/>
      <c r="G329" s="1293"/>
      <c r="H329" s="1293"/>
      <c r="I329" s="1293"/>
      <c r="J329" s="1293"/>
      <c r="K329" s="1293"/>
      <c r="L329" s="1293"/>
      <c r="M329" s="1293"/>
      <c r="N329" s="1293"/>
      <c r="O329" s="1293"/>
    </row>
    <row r="330" spans="1:15" s="1400" customFormat="1" ht="16">
      <c r="A330" s="1325"/>
      <c r="B330" s="1395"/>
      <c r="C330" s="1201" t="s">
        <v>4166</v>
      </c>
      <c r="D330" s="1201" t="s">
        <v>4244</v>
      </c>
      <c r="E330" s="1201" t="s">
        <v>48</v>
      </c>
      <c r="F330" s="1203"/>
      <c r="G330" s="1202"/>
      <c r="H330" s="1202">
        <v>2020</v>
      </c>
      <c r="I330" s="1202">
        <v>2022</v>
      </c>
      <c r="J330" s="1202">
        <v>2027</v>
      </c>
      <c r="K330" s="1202">
        <v>2032</v>
      </c>
      <c r="L330" s="1202">
        <v>2037</v>
      </c>
      <c r="M330" s="1202">
        <v>2042</v>
      </c>
      <c r="N330" s="1202">
        <v>2047</v>
      </c>
      <c r="O330" s="1202">
        <v>2030</v>
      </c>
    </row>
    <row r="331" spans="1:15" s="1400" customFormat="1" ht="16">
      <c r="A331" s="1325"/>
      <c r="B331" s="1395"/>
      <c r="C331" s="1211" t="s">
        <v>4032</v>
      </c>
      <c r="D331" s="1211" t="s">
        <v>4033</v>
      </c>
      <c r="E331" s="1268"/>
      <c r="F331" s="1372"/>
      <c r="G331" s="1375"/>
      <c r="H331" s="1375">
        <v>0.01</v>
      </c>
      <c r="I331" s="1405">
        <v>1.6666666666666666E-2</v>
      </c>
      <c r="J331" s="1405">
        <v>8.5185185185185169E-2</v>
      </c>
      <c r="K331" s="1405">
        <v>0.13888888888888887</v>
      </c>
      <c r="L331" s="1405">
        <v>0.19259259259259259</v>
      </c>
      <c r="M331" s="1405">
        <v>0.24629629629629629</v>
      </c>
      <c r="N331" s="1405">
        <v>0.3</v>
      </c>
      <c r="O331" s="1405">
        <v>0.1174074074074074</v>
      </c>
    </row>
    <row r="332" spans="1:15" s="1400" customFormat="1" ht="16">
      <c r="A332" s="1325"/>
      <c r="B332" s="1395"/>
      <c r="C332" s="1211" t="s">
        <v>3997</v>
      </c>
      <c r="D332" s="1211" t="s">
        <v>3998</v>
      </c>
      <c r="E332" s="1268"/>
      <c r="F332" s="1372"/>
      <c r="G332" s="1375"/>
      <c r="H332" s="1375">
        <v>0.94</v>
      </c>
      <c r="I332" s="1405">
        <v>0.93148148148148135</v>
      </c>
      <c r="J332" s="1405">
        <v>0.85055555555555551</v>
      </c>
      <c r="K332" s="1405">
        <v>0.78666666666666663</v>
      </c>
      <c r="L332" s="1405">
        <v>0.72277777777777774</v>
      </c>
      <c r="M332" s="1405">
        <v>0.65888888888888886</v>
      </c>
      <c r="N332" s="1405">
        <v>0.59499999999999997</v>
      </c>
      <c r="O332" s="1405">
        <v>0.81222222222222218</v>
      </c>
    </row>
    <row r="333" spans="1:15" s="1400" customFormat="1" ht="16">
      <c r="A333" s="1325"/>
      <c r="B333" s="1395"/>
      <c r="C333" s="1211" t="s">
        <v>3999</v>
      </c>
      <c r="D333" s="1211" t="s">
        <v>4000</v>
      </c>
      <c r="E333" s="1268"/>
      <c r="F333" s="1372"/>
      <c r="G333" s="1375"/>
      <c r="H333" s="1375">
        <v>4.4999999999999998E-2</v>
      </c>
      <c r="I333" s="1405">
        <v>4.4999999999999998E-2</v>
      </c>
      <c r="J333" s="1405">
        <v>4.4999999999999998E-2</v>
      </c>
      <c r="K333" s="1405">
        <v>4.4999999999999998E-2</v>
      </c>
      <c r="L333" s="1405">
        <v>4.4999999999999998E-2</v>
      </c>
      <c r="M333" s="1405">
        <v>4.4999999999999998E-2</v>
      </c>
      <c r="N333" s="1405">
        <v>4.4999999999999998E-2</v>
      </c>
      <c r="O333" s="1405">
        <v>4.4999999999999998E-2</v>
      </c>
    </row>
    <row r="334" spans="1:15" s="1400" customFormat="1" ht="16">
      <c r="A334" s="1325"/>
      <c r="B334" s="1395"/>
      <c r="C334" s="1211" t="s">
        <v>4001</v>
      </c>
      <c r="D334" s="1211" t="s">
        <v>4002</v>
      </c>
      <c r="E334" s="1268"/>
      <c r="F334" s="1372"/>
      <c r="G334" s="1375"/>
      <c r="H334" s="1375">
        <v>5.0000000000000001E-3</v>
      </c>
      <c r="I334" s="1405">
        <v>6.851851851851852E-3</v>
      </c>
      <c r="J334" s="1405">
        <v>1.9259259259259261E-2</v>
      </c>
      <c r="K334" s="1405">
        <v>2.9444444444444447E-2</v>
      </c>
      <c r="L334" s="1405">
        <v>3.9629629629629626E-2</v>
      </c>
      <c r="M334" s="1405">
        <v>4.9814814814814812E-2</v>
      </c>
      <c r="N334" s="1405">
        <v>0.06</v>
      </c>
      <c r="O334" s="1405">
        <v>2.5370370370370373E-2</v>
      </c>
    </row>
    <row r="335" spans="1:15" s="1400" customFormat="1" ht="16">
      <c r="A335" s="1325"/>
      <c r="B335" s="1395"/>
      <c r="C335" s="1211" t="s">
        <v>4011</v>
      </c>
      <c r="D335" s="1211" t="s">
        <v>4012</v>
      </c>
      <c r="E335" s="1268"/>
      <c r="F335" s="1372"/>
      <c r="G335" s="1375"/>
      <c r="H335" s="1375">
        <v>0</v>
      </c>
      <c r="I335" s="1375">
        <v>0</v>
      </c>
      <c r="J335" s="1375">
        <v>0</v>
      </c>
      <c r="K335" s="1375">
        <v>0</v>
      </c>
      <c r="L335" s="1375">
        <v>0</v>
      </c>
      <c r="M335" s="1375">
        <v>0</v>
      </c>
      <c r="N335" s="1375">
        <v>0</v>
      </c>
      <c r="O335" s="1375">
        <v>0</v>
      </c>
    </row>
    <row r="336" spans="1:15" s="1400" customFormat="1" ht="16">
      <c r="A336" s="1325"/>
      <c r="B336" s="1395"/>
      <c r="C336" s="1406" t="s">
        <v>4025</v>
      </c>
      <c r="D336" s="1406" t="s">
        <v>4026</v>
      </c>
      <c r="E336" s="1406"/>
      <c r="F336" s="1407"/>
      <c r="G336" s="1408"/>
      <c r="H336" s="1414">
        <v>0</v>
      </c>
      <c r="I336" s="1408">
        <v>0</v>
      </c>
      <c r="J336" s="1408">
        <v>0</v>
      </c>
      <c r="K336" s="1408">
        <v>0</v>
      </c>
      <c r="L336" s="1408">
        <v>0</v>
      </c>
      <c r="M336" s="1408">
        <v>0</v>
      </c>
      <c r="N336" s="1408">
        <v>0</v>
      </c>
      <c r="O336" s="1408">
        <v>0</v>
      </c>
    </row>
    <row r="337" spans="1:15" s="1400" customFormat="1" ht="16">
      <c r="A337" s="1325"/>
      <c r="B337" s="1395"/>
      <c r="C337" s="1211"/>
      <c r="D337" s="1211"/>
      <c r="E337" s="1211"/>
      <c r="F337" s="1415"/>
      <c r="G337" s="1293"/>
      <c r="H337" s="1293"/>
      <c r="I337" s="1293"/>
      <c r="J337" s="1293"/>
      <c r="K337" s="1293"/>
      <c r="L337" s="1293"/>
      <c r="M337" s="1293"/>
      <c r="N337" s="1293"/>
      <c r="O337" s="1293"/>
    </row>
    <row r="338" spans="1:15" s="1400" customFormat="1" ht="16">
      <c r="A338" s="1325"/>
      <c r="B338" s="1395"/>
      <c r="C338" s="1201" t="s">
        <v>4166</v>
      </c>
      <c r="D338" s="1201" t="s">
        <v>4246</v>
      </c>
      <c r="E338" s="1201" t="s">
        <v>48</v>
      </c>
      <c r="F338" s="1203"/>
      <c r="G338" s="1202"/>
      <c r="H338" s="1202">
        <v>2020</v>
      </c>
      <c r="I338" s="1202">
        <v>2022</v>
      </c>
      <c r="J338" s="1202">
        <v>2027</v>
      </c>
      <c r="K338" s="1202">
        <v>2032</v>
      </c>
      <c r="L338" s="1202">
        <v>2037</v>
      </c>
      <c r="M338" s="1202">
        <v>2042</v>
      </c>
      <c r="N338" s="1202">
        <v>2047</v>
      </c>
      <c r="O338" s="1202">
        <v>2030</v>
      </c>
    </row>
    <row r="339" spans="1:15" s="1400" customFormat="1" ht="16">
      <c r="A339" s="1325"/>
      <c r="B339" s="1395"/>
      <c r="C339" s="1211" t="s">
        <v>4032</v>
      </c>
      <c r="D339" s="1211" t="s">
        <v>4033</v>
      </c>
      <c r="E339" s="1268"/>
      <c r="F339" s="1372"/>
      <c r="G339" s="1375"/>
      <c r="H339" s="1375">
        <v>0.01</v>
      </c>
      <c r="I339" s="1405">
        <v>1.6666666666666666E-2</v>
      </c>
      <c r="J339" s="1405">
        <v>0.12407407407407407</v>
      </c>
      <c r="K339" s="1405">
        <v>0.20555555555555557</v>
      </c>
      <c r="L339" s="1405">
        <v>0.28703703703703703</v>
      </c>
      <c r="M339" s="1405">
        <v>0.36851851851851852</v>
      </c>
      <c r="N339" s="1405">
        <v>0.45</v>
      </c>
      <c r="O339" s="1405">
        <v>0.17296296296296299</v>
      </c>
    </row>
    <row r="340" spans="1:15" s="1400" customFormat="1" ht="16">
      <c r="A340" s="1325"/>
      <c r="B340" s="1395"/>
      <c r="C340" s="1211" t="s">
        <v>3997</v>
      </c>
      <c r="D340" s="1211" t="s">
        <v>3998</v>
      </c>
      <c r="E340" s="1268"/>
      <c r="F340" s="1372"/>
      <c r="G340" s="1375"/>
      <c r="H340" s="1375">
        <v>0.94</v>
      </c>
      <c r="I340" s="1405">
        <v>0.93148148148148135</v>
      </c>
      <c r="J340" s="1405">
        <v>0.81166666666666654</v>
      </c>
      <c r="K340" s="1405">
        <v>0.71999999999999986</v>
      </c>
      <c r="L340" s="1405">
        <v>0.62833333333333341</v>
      </c>
      <c r="M340" s="1405">
        <v>0.53666666666666663</v>
      </c>
      <c r="N340" s="1405">
        <v>0.44500000000000001</v>
      </c>
      <c r="O340" s="1405">
        <v>0.7566666666666666</v>
      </c>
    </row>
    <row r="341" spans="1:15" s="1400" customFormat="1" ht="16">
      <c r="A341" s="1325"/>
      <c r="B341" s="1395"/>
      <c r="C341" s="1211" t="s">
        <v>3999</v>
      </c>
      <c r="D341" s="1211" t="s">
        <v>4000</v>
      </c>
      <c r="E341" s="1268"/>
      <c r="F341" s="1372"/>
      <c r="G341" s="1375"/>
      <c r="H341" s="1375">
        <v>4.4999999999999998E-2</v>
      </c>
      <c r="I341" s="1405">
        <v>4.4999999999999998E-2</v>
      </c>
      <c r="J341" s="1405">
        <v>4.4999999999999998E-2</v>
      </c>
      <c r="K341" s="1405">
        <v>4.4999999999999998E-2</v>
      </c>
      <c r="L341" s="1405">
        <v>4.4999999999999998E-2</v>
      </c>
      <c r="M341" s="1405">
        <v>4.4999999999999998E-2</v>
      </c>
      <c r="N341" s="1405">
        <v>4.4999999999999998E-2</v>
      </c>
      <c r="O341" s="1405">
        <v>4.4999999999999998E-2</v>
      </c>
    </row>
    <row r="342" spans="1:15" s="1400" customFormat="1" ht="16">
      <c r="A342" s="1325"/>
      <c r="B342" s="1395"/>
      <c r="C342" s="1211" t="s">
        <v>4001</v>
      </c>
      <c r="D342" s="1211" t="s">
        <v>4002</v>
      </c>
      <c r="E342" s="1268"/>
      <c r="F342" s="1372"/>
      <c r="G342" s="1375"/>
      <c r="H342" s="1375">
        <v>5.0000000000000001E-3</v>
      </c>
      <c r="I342" s="1405">
        <v>6.851851851851852E-3</v>
      </c>
      <c r="J342" s="1405">
        <v>1.9259259259259261E-2</v>
      </c>
      <c r="K342" s="1405">
        <v>2.9444444444444447E-2</v>
      </c>
      <c r="L342" s="1405">
        <v>3.9629629629629626E-2</v>
      </c>
      <c r="M342" s="1405">
        <v>4.9814814814814812E-2</v>
      </c>
      <c r="N342" s="1405">
        <v>0.06</v>
      </c>
      <c r="O342" s="1405">
        <v>2.5370370370370373E-2</v>
      </c>
    </row>
    <row r="343" spans="1:15" s="1400" customFormat="1" ht="16">
      <c r="A343" s="1325"/>
      <c r="B343" s="1395"/>
      <c r="C343" s="1211" t="s">
        <v>4011</v>
      </c>
      <c r="D343" s="1211" t="s">
        <v>4012</v>
      </c>
      <c r="E343" s="1268"/>
      <c r="F343" s="1372"/>
      <c r="G343" s="1375"/>
      <c r="H343" s="1375">
        <v>0</v>
      </c>
      <c r="I343" s="1375">
        <v>0</v>
      </c>
      <c r="J343" s="1375">
        <v>0</v>
      </c>
      <c r="K343" s="1375">
        <v>0</v>
      </c>
      <c r="L343" s="1375">
        <v>0</v>
      </c>
      <c r="M343" s="1375">
        <v>0</v>
      </c>
      <c r="N343" s="1375">
        <v>0</v>
      </c>
      <c r="O343" s="1375">
        <v>0</v>
      </c>
    </row>
    <row r="344" spans="1:15" s="1400" customFormat="1" ht="16">
      <c r="A344" s="1325"/>
      <c r="B344" s="1395"/>
      <c r="C344" s="1406" t="s">
        <v>4025</v>
      </c>
      <c r="D344" s="1406" t="s">
        <v>4026</v>
      </c>
      <c r="E344" s="1406"/>
      <c r="F344" s="1407"/>
      <c r="G344" s="1408"/>
      <c r="H344" s="1414">
        <v>0</v>
      </c>
      <c r="I344" s="1408">
        <v>0</v>
      </c>
      <c r="J344" s="1408">
        <v>0</v>
      </c>
      <c r="K344" s="1408">
        <v>0</v>
      </c>
      <c r="L344" s="1408">
        <v>0</v>
      </c>
      <c r="M344" s="1408">
        <v>0</v>
      </c>
      <c r="N344" s="1408">
        <v>0</v>
      </c>
      <c r="O344" s="1408">
        <v>0</v>
      </c>
    </row>
    <row r="345" spans="1:15" s="1400" customFormat="1" ht="16">
      <c r="A345" s="1325"/>
      <c r="B345" s="1395"/>
      <c r="C345" s="1211"/>
      <c r="D345" s="1211"/>
      <c r="E345" s="1211"/>
      <c r="F345" s="1415"/>
      <c r="G345" s="1293"/>
      <c r="H345" s="1293"/>
      <c r="I345" s="1293"/>
      <c r="J345" s="1293"/>
      <c r="K345" s="1293"/>
      <c r="L345" s="1293"/>
      <c r="M345" s="1293"/>
      <c r="N345" s="1293"/>
      <c r="O345" s="1293"/>
    </row>
    <row r="346" spans="1:15" s="1400" customFormat="1" ht="16">
      <c r="A346" s="1325"/>
      <c r="B346" s="1395"/>
      <c r="C346" s="1201" t="s">
        <v>4166</v>
      </c>
      <c r="D346" s="1201" t="s">
        <v>4248</v>
      </c>
      <c r="E346" s="1201" t="s">
        <v>48</v>
      </c>
      <c r="F346" s="1203"/>
      <c r="G346" s="1202"/>
      <c r="H346" s="1202">
        <v>2020</v>
      </c>
      <c r="I346" s="1202">
        <v>2022</v>
      </c>
      <c r="J346" s="1202">
        <v>2027</v>
      </c>
      <c r="K346" s="1202">
        <v>2032</v>
      </c>
      <c r="L346" s="1202">
        <v>2037</v>
      </c>
      <c r="M346" s="1202">
        <v>2042</v>
      </c>
      <c r="N346" s="1202">
        <v>2047</v>
      </c>
      <c r="O346" s="1202">
        <v>2030</v>
      </c>
    </row>
    <row r="347" spans="1:15" s="1400" customFormat="1" ht="16">
      <c r="A347" s="1325"/>
      <c r="B347" s="1395"/>
      <c r="C347" s="1211" t="s">
        <v>4032</v>
      </c>
      <c r="D347" s="1211" t="s">
        <v>4033</v>
      </c>
      <c r="E347" s="1268"/>
      <c r="F347" s="1372"/>
      <c r="G347" s="1375"/>
      <c r="H347" s="1375">
        <v>0.01</v>
      </c>
      <c r="I347" s="1405">
        <v>2.7777777777777776E-2</v>
      </c>
      <c r="J347" s="1405">
        <v>7.2222222222222215E-2</v>
      </c>
      <c r="K347" s="1405">
        <v>0.11666666666666665</v>
      </c>
      <c r="L347" s="1405">
        <v>0.16111111111111112</v>
      </c>
      <c r="M347" s="1405">
        <v>0.20555555555555555</v>
      </c>
      <c r="N347" s="1417">
        <v>0.25</v>
      </c>
      <c r="O347" s="1405">
        <v>9.8888888888888887E-2</v>
      </c>
    </row>
    <row r="348" spans="1:15" s="1400" customFormat="1" ht="16">
      <c r="A348" s="1325"/>
      <c r="B348" s="1395"/>
      <c r="C348" s="1211" t="s">
        <v>3997</v>
      </c>
      <c r="D348" s="1211" t="s">
        <v>3998</v>
      </c>
      <c r="E348" s="1268"/>
      <c r="F348" s="1372"/>
      <c r="G348" s="1375"/>
      <c r="H348" s="1375">
        <v>0.94</v>
      </c>
      <c r="I348" s="1405">
        <v>0.92037037037037028</v>
      </c>
      <c r="J348" s="1405">
        <v>0.87129629629629624</v>
      </c>
      <c r="K348" s="1405">
        <v>0.82222222222222219</v>
      </c>
      <c r="L348" s="1405">
        <v>0.77314814814814814</v>
      </c>
      <c r="M348" s="1405">
        <v>0.72407407407407409</v>
      </c>
      <c r="N348" s="1417">
        <v>0.67499999999999993</v>
      </c>
      <c r="O348" s="1405">
        <v>0.84185185185185174</v>
      </c>
    </row>
    <row r="349" spans="1:15" s="1400" customFormat="1" ht="16">
      <c r="A349" s="1325"/>
      <c r="B349" s="1395"/>
      <c r="C349" s="1211" t="s">
        <v>3999</v>
      </c>
      <c r="D349" s="1211" t="s">
        <v>4000</v>
      </c>
      <c r="E349" s="1268"/>
      <c r="F349" s="1372"/>
      <c r="G349" s="1375"/>
      <c r="H349" s="1375">
        <v>4.4999999999999998E-2</v>
      </c>
      <c r="I349" s="1405">
        <v>4.4999999999999998E-2</v>
      </c>
      <c r="J349" s="1405">
        <v>4.4999999999999998E-2</v>
      </c>
      <c r="K349" s="1405">
        <v>4.4999999999999998E-2</v>
      </c>
      <c r="L349" s="1405">
        <v>4.4999999999999998E-2</v>
      </c>
      <c r="M349" s="1405">
        <v>4.4999999999999998E-2</v>
      </c>
      <c r="N349" s="1417">
        <v>4.4999999999999998E-2</v>
      </c>
      <c r="O349" s="1405">
        <v>4.4999999999999998E-2</v>
      </c>
    </row>
    <row r="350" spans="1:15" s="1400" customFormat="1" ht="16">
      <c r="A350" s="1325"/>
      <c r="B350" s="1395"/>
      <c r="C350" s="1211" t="s">
        <v>4001</v>
      </c>
      <c r="D350" s="1211" t="s">
        <v>4002</v>
      </c>
      <c r="E350" s="1268"/>
      <c r="F350" s="1372"/>
      <c r="G350" s="1375"/>
      <c r="H350" s="1375">
        <v>5.0000000000000001E-3</v>
      </c>
      <c r="I350" s="1405">
        <v>6.851851851851852E-3</v>
      </c>
      <c r="J350" s="1405">
        <v>1.1481481481481481E-2</v>
      </c>
      <c r="K350" s="1405">
        <v>1.6111111111111111E-2</v>
      </c>
      <c r="L350" s="1405">
        <v>2.074074074074074E-2</v>
      </c>
      <c r="M350" s="1405">
        <v>2.537037037037037E-2</v>
      </c>
      <c r="N350" s="1417">
        <v>0.03</v>
      </c>
      <c r="O350" s="1405">
        <v>1.425925925925926E-2</v>
      </c>
    </row>
    <row r="351" spans="1:15" s="1400" customFormat="1" ht="16">
      <c r="A351" s="1325"/>
      <c r="B351" s="1395"/>
      <c r="C351" s="1211" t="s">
        <v>4011</v>
      </c>
      <c r="D351" s="1211" t="s">
        <v>4012</v>
      </c>
      <c r="E351" s="1268"/>
      <c r="F351" s="1372"/>
      <c r="G351" s="1375"/>
      <c r="H351" s="1375">
        <v>0</v>
      </c>
      <c r="I351" s="1375">
        <v>0</v>
      </c>
      <c r="J351" s="1375">
        <v>0</v>
      </c>
      <c r="K351" s="1375">
        <v>0</v>
      </c>
      <c r="L351" s="1375">
        <v>0</v>
      </c>
      <c r="M351" s="1375">
        <v>0</v>
      </c>
      <c r="N351" s="1375">
        <v>0</v>
      </c>
      <c r="O351" s="1375">
        <v>0</v>
      </c>
    </row>
    <row r="352" spans="1:15" s="1400" customFormat="1" ht="16">
      <c r="A352" s="1325"/>
      <c r="B352" s="1395"/>
      <c r="C352" s="1406" t="s">
        <v>4025</v>
      </c>
      <c r="D352" s="1406" t="s">
        <v>4026</v>
      </c>
      <c r="E352" s="1406"/>
      <c r="F352" s="1407"/>
      <c r="G352" s="1408"/>
      <c r="H352" s="1408">
        <v>0</v>
      </c>
      <c r="I352" s="1408">
        <v>0</v>
      </c>
      <c r="J352" s="1408">
        <v>0</v>
      </c>
      <c r="K352" s="1408">
        <v>0</v>
      </c>
      <c r="L352" s="1408">
        <v>0</v>
      </c>
      <c r="M352" s="1408">
        <v>0</v>
      </c>
      <c r="N352" s="1408">
        <v>0</v>
      </c>
      <c r="O352" s="1408">
        <v>0</v>
      </c>
    </row>
    <row r="353" spans="1:15" s="1400" customFormat="1" ht="16">
      <c r="A353" s="1325"/>
      <c r="B353" s="1395"/>
      <c r="C353" s="1211"/>
      <c r="D353" s="1211"/>
      <c r="E353" s="1211"/>
      <c r="F353" s="1415"/>
      <c r="G353" s="1293"/>
      <c r="H353" s="1293"/>
      <c r="I353" s="1293"/>
      <c r="J353" s="1293"/>
      <c r="K353" s="1293"/>
      <c r="L353" s="1293"/>
      <c r="M353" s="1293"/>
      <c r="N353" s="1293"/>
      <c r="O353" s="1293"/>
    </row>
    <row r="354" spans="1:15" s="1400" customFormat="1" ht="16">
      <c r="A354" s="1325"/>
      <c r="B354" s="1395"/>
      <c r="C354" s="1201" t="s">
        <v>4166</v>
      </c>
      <c r="D354" s="1201" t="s">
        <v>4249</v>
      </c>
      <c r="E354" s="1201" t="s">
        <v>48</v>
      </c>
      <c r="F354" s="1203"/>
      <c r="G354" s="1202"/>
      <c r="H354" s="1202">
        <v>2020</v>
      </c>
      <c r="I354" s="1202">
        <v>2022</v>
      </c>
      <c r="J354" s="1202">
        <v>2027</v>
      </c>
      <c r="K354" s="1202">
        <v>2032</v>
      </c>
      <c r="L354" s="1202">
        <v>2037</v>
      </c>
      <c r="M354" s="1202">
        <v>2042</v>
      </c>
      <c r="N354" s="1202">
        <v>2047</v>
      </c>
      <c r="O354" s="1202">
        <v>2030</v>
      </c>
    </row>
    <row r="355" spans="1:15" s="1400" customFormat="1" ht="16">
      <c r="A355" s="1325"/>
      <c r="B355" s="1395"/>
      <c r="C355" s="1211" t="s">
        <v>4032</v>
      </c>
      <c r="D355" s="1211" t="s">
        <v>4033</v>
      </c>
      <c r="E355" s="1268"/>
      <c r="F355" s="1372"/>
      <c r="G355" s="1375"/>
      <c r="H355" s="1430">
        <v>0.01</v>
      </c>
      <c r="I355" s="1430">
        <v>1.6666666666666666E-2</v>
      </c>
      <c r="J355" s="1430">
        <v>3.333333333333334E-2</v>
      </c>
      <c r="K355" s="1430">
        <v>0.05</v>
      </c>
      <c r="L355" s="1430">
        <v>6.666666666666668E-2</v>
      </c>
      <c r="M355" s="1430">
        <v>8.3333333333333343E-2</v>
      </c>
      <c r="N355" s="1430">
        <v>0.1</v>
      </c>
      <c r="O355" s="1430">
        <v>4.3333333333333342E-2</v>
      </c>
    </row>
    <row r="356" spans="1:15" s="1400" customFormat="1" ht="16">
      <c r="A356" s="1325"/>
      <c r="B356" s="1395"/>
      <c r="C356" s="1211" t="s">
        <v>3997</v>
      </c>
      <c r="D356" s="1211" t="s">
        <v>3998</v>
      </c>
      <c r="E356" s="1268"/>
      <c r="F356" s="1372"/>
      <c r="G356" s="1375"/>
      <c r="H356" s="1405">
        <v>0.94</v>
      </c>
      <c r="I356" s="1405">
        <v>0.93148148148148135</v>
      </c>
      <c r="J356" s="1405">
        <v>0.91018518518518521</v>
      </c>
      <c r="K356" s="1405">
        <v>0.88888888888888884</v>
      </c>
      <c r="L356" s="1405">
        <v>0.86759259259259258</v>
      </c>
      <c r="M356" s="1405">
        <v>0.84629629629629621</v>
      </c>
      <c r="N356" s="1405">
        <v>0.82499999999999996</v>
      </c>
      <c r="O356" s="1405">
        <v>0.89740740740740732</v>
      </c>
    </row>
    <row r="357" spans="1:15" s="1400" customFormat="1" ht="16">
      <c r="A357" s="1325"/>
      <c r="B357" s="1395"/>
      <c r="C357" s="1211" t="s">
        <v>3999</v>
      </c>
      <c r="D357" s="1211" t="s">
        <v>4000</v>
      </c>
      <c r="E357" s="1268"/>
      <c r="F357" s="1372"/>
      <c r="G357" s="1375"/>
      <c r="H357" s="1405">
        <v>4.4999999999999998E-2</v>
      </c>
      <c r="I357" s="1405">
        <v>4.4999999999999998E-2</v>
      </c>
      <c r="J357" s="1405">
        <v>4.4999999999999998E-2</v>
      </c>
      <c r="K357" s="1405">
        <v>4.4999999999999998E-2</v>
      </c>
      <c r="L357" s="1405">
        <v>4.4999999999999998E-2</v>
      </c>
      <c r="M357" s="1405">
        <v>4.4999999999999998E-2</v>
      </c>
      <c r="N357" s="1405">
        <v>4.4999999999999998E-2</v>
      </c>
      <c r="O357" s="1405">
        <v>4.4999999999999998E-2</v>
      </c>
    </row>
    <row r="358" spans="1:15" s="1400" customFormat="1" ht="16">
      <c r="A358" s="1325"/>
      <c r="B358" s="1395"/>
      <c r="C358" s="1211" t="s">
        <v>4001</v>
      </c>
      <c r="D358" s="1211" t="s">
        <v>4002</v>
      </c>
      <c r="E358" s="1268"/>
      <c r="F358" s="1372"/>
      <c r="G358" s="1375"/>
      <c r="H358" s="1405">
        <v>5.0000000000000001E-3</v>
      </c>
      <c r="I358" s="1405">
        <v>6.851851851851852E-3</v>
      </c>
      <c r="J358" s="1405">
        <v>1.1481481481481481E-2</v>
      </c>
      <c r="K358" s="1405">
        <v>1.6111111111111111E-2</v>
      </c>
      <c r="L358" s="1405">
        <v>2.074074074074074E-2</v>
      </c>
      <c r="M358" s="1405">
        <v>2.537037037037037E-2</v>
      </c>
      <c r="N358" s="1405">
        <v>0.03</v>
      </c>
      <c r="O358" s="1405">
        <v>1.425925925925926E-2</v>
      </c>
    </row>
    <row r="359" spans="1:15" s="1400" customFormat="1" ht="16">
      <c r="A359" s="1325"/>
      <c r="B359" s="1395"/>
      <c r="C359" s="1211" t="s">
        <v>4011</v>
      </c>
      <c r="D359" s="1211" t="s">
        <v>4012</v>
      </c>
      <c r="E359" s="1268"/>
      <c r="F359" s="1372"/>
      <c r="G359" s="1375"/>
      <c r="H359" s="1405">
        <v>0</v>
      </c>
      <c r="I359" s="1405">
        <v>0</v>
      </c>
      <c r="J359" s="1405">
        <v>0</v>
      </c>
      <c r="K359" s="1405">
        <v>0</v>
      </c>
      <c r="L359" s="1405">
        <v>0</v>
      </c>
      <c r="M359" s="1405">
        <v>0</v>
      </c>
      <c r="N359" s="1405">
        <v>0</v>
      </c>
      <c r="O359" s="1405">
        <v>0</v>
      </c>
    </row>
    <row r="360" spans="1:15" s="1400" customFormat="1" ht="16">
      <c r="A360" s="1325"/>
      <c r="B360" s="1395"/>
      <c r="C360" s="1406" t="s">
        <v>4025</v>
      </c>
      <c r="D360" s="1406" t="s">
        <v>4026</v>
      </c>
      <c r="E360" s="1406"/>
      <c r="F360" s="1407"/>
      <c r="G360" s="1408"/>
      <c r="H360" s="1413">
        <v>0</v>
      </c>
      <c r="I360" s="1413">
        <v>0</v>
      </c>
      <c r="J360" s="1413">
        <v>0</v>
      </c>
      <c r="K360" s="1413">
        <v>0</v>
      </c>
      <c r="L360" s="1413">
        <v>0</v>
      </c>
      <c r="M360" s="1413">
        <v>0</v>
      </c>
      <c r="N360" s="1413">
        <v>0</v>
      </c>
      <c r="O360" s="1413">
        <v>0</v>
      </c>
    </row>
    <row r="361" spans="1:15" s="1400" customFormat="1" ht="16">
      <c r="A361" s="1325"/>
      <c r="B361" s="1395"/>
      <c r="C361" s="1211"/>
      <c r="D361" s="1211"/>
      <c r="E361" s="1211"/>
      <c r="F361" s="1415"/>
      <c r="G361" s="1293"/>
      <c r="H361" s="1293"/>
      <c r="I361" s="1293"/>
      <c r="J361" s="1293"/>
      <c r="K361" s="1293"/>
      <c r="L361" s="1293"/>
      <c r="M361" s="1293"/>
      <c r="N361" s="1293"/>
      <c r="O361" s="1293"/>
    </row>
    <row r="362" spans="1:15" ht="15">
      <c r="B362" s="1266">
        <v>4</v>
      </c>
      <c r="C362" s="1403" t="s">
        <v>4255</v>
      </c>
      <c r="D362" s="1263"/>
      <c r="E362" s="1263"/>
      <c r="F362" s="1264"/>
      <c r="G362" s="1220"/>
      <c r="H362" s="1220"/>
      <c r="I362" s="1220"/>
      <c r="J362" s="1220"/>
      <c r="K362" s="1220"/>
      <c r="L362" s="1220"/>
      <c r="M362" s="1220"/>
      <c r="N362" s="1220"/>
      <c r="O362" s="1264"/>
    </row>
    <row r="363" spans="1:15" ht="5" customHeight="1">
      <c r="B363" s="1263"/>
      <c r="C363" s="1263"/>
      <c r="D363" s="1263"/>
      <c r="E363" s="1263"/>
      <c r="F363" s="1264"/>
      <c r="G363" s="1220"/>
      <c r="H363" s="1220"/>
      <c r="I363" s="1220"/>
      <c r="J363" s="1220"/>
      <c r="K363" s="1220"/>
      <c r="L363" s="1220"/>
      <c r="M363" s="1220"/>
      <c r="N363" s="1220"/>
      <c r="O363" s="1264"/>
    </row>
    <row r="364" spans="1:15">
      <c r="B364" s="1263"/>
      <c r="C364" s="1201" t="s">
        <v>4166</v>
      </c>
      <c r="D364" s="1201" t="s">
        <v>4234</v>
      </c>
      <c r="E364" s="1201" t="s">
        <v>48</v>
      </c>
      <c r="F364" s="1420"/>
      <c r="G364" s="1421"/>
      <c r="H364" s="1202">
        <v>2020</v>
      </c>
      <c r="I364" s="1202">
        <v>2022</v>
      </c>
      <c r="J364" s="1202">
        <v>2027</v>
      </c>
      <c r="K364" s="1202">
        <v>2032</v>
      </c>
      <c r="L364" s="1202">
        <v>2037</v>
      </c>
      <c r="M364" s="1202">
        <v>2042</v>
      </c>
      <c r="N364" s="1202">
        <v>2047</v>
      </c>
      <c r="O364" s="1202">
        <v>2030</v>
      </c>
    </row>
    <row r="365" spans="1:15" ht="15">
      <c r="B365" s="1263"/>
      <c r="C365" s="1211" t="s">
        <v>4032</v>
      </c>
      <c r="D365" s="1211" t="s">
        <v>4033</v>
      </c>
      <c r="E365" s="1268"/>
      <c r="F365" s="1422"/>
      <c r="G365" s="1375"/>
      <c r="H365" s="900">
        <v>0.13</v>
      </c>
      <c r="I365" s="1405">
        <v>0.13148148148148148</v>
      </c>
      <c r="J365" s="1405">
        <v>0.13148148148148148</v>
      </c>
      <c r="K365" s="1405">
        <v>0.13148148148148148</v>
      </c>
      <c r="L365" s="1405">
        <v>0.13148148148148148</v>
      </c>
      <c r="M365" s="1405">
        <v>0.13148148148148148</v>
      </c>
      <c r="N365" s="1405">
        <v>0.13148148148148148</v>
      </c>
      <c r="O365" s="1405">
        <v>0.13148148148148148</v>
      </c>
    </row>
    <row r="366" spans="1:15" ht="15">
      <c r="B366" s="1263"/>
      <c r="C366" s="1211" t="s">
        <v>3997</v>
      </c>
      <c r="D366" s="1211" t="s">
        <v>3998</v>
      </c>
      <c r="E366" s="1268"/>
      <c r="F366" s="1422"/>
      <c r="G366" s="1375"/>
      <c r="H366" s="1405">
        <v>0.83499999999999996</v>
      </c>
      <c r="I366" s="1405">
        <v>0.83203703703703702</v>
      </c>
      <c r="J366" s="1405">
        <v>0.83203703703703702</v>
      </c>
      <c r="K366" s="1405">
        <v>0.83203703703703702</v>
      </c>
      <c r="L366" s="1405">
        <v>0.83203703703703702</v>
      </c>
      <c r="M366" s="1405">
        <v>0.83203703703703702</v>
      </c>
      <c r="N366" s="1405">
        <v>0.83203703703703702</v>
      </c>
      <c r="O366" s="1405">
        <v>0.83203703703703702</v>
      </c>
    </row>
    <row r="367" spans="1:15" ht="15">
      <c r="B367" s="1263"/>
      <c r="C367" s="1211" t="s">
        <v>3999</v>
      </c>
      <c r="D367" s="1211" t="s">
        <v>4000</v>
      </c>
      <c r="E367" s="1268"/>
      <c r="F367" s="1422"/>
      <c r="G367" s="1375"/>
      <c r="H367" s="900">
        <v>1.4999999999999999E-2</v>
      </c>
      <c r="I367" s="1405">
        <v>1.4999999999999999E-2</v>
      </c>
      <c r="J367" s="1405">
        <v>1.4999999999999999E-2</v>
      </c>
      <c r="K367" s="1405">
        <v>1.4999999999999999E-2</v>
      </c>
      <c r="L367" s="1405">
        <v>1.4999999999999999E-2</v>
      </c>
      <c r="M367" s="1405">
        <v>1.4999999999999999E-2</v>
      </c>
      <c r="N367" s="1405">
        <v>1.4999999999999999E-2</v>
      </c>
      <c r="O367" s="1405">
        <v>1.4999999999999999E-2</v>
      </c>
    </row>
    <row r="368" spans="1:15" ht="15">
      <c r="B368" s="1263"/>
      <c r="C368" s="1211" t="s">
        <v>4001</v>
      </c>
      <c r="D368" s="1211" t="s">
        <v>4002</v>
      </c>
      <c r="E368" s="1268"/>
      <c r="F368" s="1422"/>
      <c r="G368" s="1375"/>
      <c r="H368" s="900">
        <v>0.02</v>
      </c>
      <c r="I368" s="1405">
        <v>2.1481481481481483E-2</v>
      </c>
      <c r="J368" s="1405">
        <v>2.1481481481481483E-2</v>
      </c>
      <c r="K368" s="1405">
        <v>2.1481481481481483E-2</v>
      </c>
      <c r="L368" s="1405">
        <v>2.1481481481481483E-2</v>
      </c>
      <c r="M368" s="1405">
        <v>2.1481481481481483E-2</v>
      </c>
      <c r="N368" s="1405">
        <v>2.1481481481481483E-2</v>
      </c>
      <c r="O368" s="1405">
        <v>2.1481481481481483E-2</v>
      </c>
    </row>
    <row r="369" spans="1:117" ht="15">
      <c r="B369" s="1263"/>
      <c r="C369" s="1211" t="s">
        <v>4011</v>
      </c>
      <c r="D369" s="1211" t="s">
        <v>4012</v>
      </c>
      <c r="E369" s="1268"/>
      <c r="F369" s="1372"/>
      <c r="G369" s="1375"/>
      <c r="H369" s="900">
        <v>0</v>
      </c>
      <c r="I369" s="1375">
        <v>0</v>
      </c>
      <c r="J369" s="1375">
        <v>0</v>
      </c>
      <c r="K369" s="1375">
        <v>0</v>
      </c>
      <c r="L369" s="1375">
        <v>0</v>
      </c>
      <c r="M369" s="1375">
        <v>0</v>
      </c>
      <c r="N369" s="1375">
        <v>0</v>
      </c>
      <c r="O369" s="1375">
        <v>0</v>
      </c>
    </row>
    <row r="370" spans="1:117">
      <c r="B370" s="1263"/>
      <c r="C370" s="1406" t="s">
        <v>4025</v>
      </c>
      <c r="D370" s="1406" t="s">
        <v>4026</v>
      </c>
      <c r="E370" s="1406"/>
      <c r="F370" s="1433"/>
      <c r="G370" s="1408"/>
      <c r="H370" s="1432">
        <v>0</v>
      </c>
      <c r="I370" s="1434">
        <v>0</v>
      </c>
      <c r="J370" s="1434">
        <v>0</v>
      </c>
      <c r="K370" s="1434">
        <v>0</v>
      </c>
      <c r="L370" s="1434">
        <v>0</v>
      </c>
      <c r="M370" s="1434">
        <v>0</v>
      </c>
      <c r="N370" s="1434">
        <v>0</v>
      </c>
      <c r="O370" s="1434">
        <v>0</v>
      </c>
    </row>
    <row r="371" spans="1:117">
      <c r="B371" s="1263"/>
      <c r="C371" s="1406"/>
      <c r="D371" s="1406"/>
      <c r="E371" s="1406"/>
      <c r="F371" s="1433"/>
      <c r="G371" s="1408"/>
      <c r="H371" s="1408"/>
      <c r="I371" s="1408"/>
      <c r="J371" s="1408"/>
      <c r="K371" s="1408"/>
      <c r="L371" s="1408"/>
      <c r="M371" s="1408"/>
      <c r="N371" s="1408"/>
      <c r="O371" s="1407"/>
    </row>
    <row r="372" spans="1:117">
      <c r="B372" s="1263"/>
      <c r="C372" s="1201" t="s">
        <v>4166</v>
      </c>
      <c r="D372" s="1201" t="s">
        <v>4242</v>
      </c>
      <c r="E372" s="1201" t="s">
        <v>48</v>
      </c>
      <c r="F372" s="1420"/>
      <c r="G372" s="1421"/>
      <c r="H372" s="1202">
        <v>2020</v>
      </c>
      <c r="I372" s="1202">
        <v>2022</v>
      </c>
      <c r="J372" s="1202">
        <v>2027</v>
      </c>
      <c r="K372" s="1202">
        <v>2032</v>
      </c>
      <c r="L372" s="1202">
        <v>2037</v>
      </c>
      <c r="M372" s="1202">
        <v>2042</v>
      </c>
      <c r="N372" s="1202">
        <v>2047</v>
      </c>
      <c r="O372" s="1202">
        <v>2030</v>
      </c>
    </row>
    <row r="373" spans="1:117" ht="15">
      <c r="B373" s="1263"/>
      <c r="C373" s="1211" t="s">
        <v>4032</v>
      </c>
      <c r="D373" s="1211" t="s">
        <v>4033</v>
      </c>
      <c r="E373" s="1268"/>
      <c r="F373" s="1422"/>
      <c r="G373" s="1375"/>
      <c r="H373" s="1375">
        <v>0.13</v>
      </c>
      <c r="I373" s="1405">
        <v>0.13148148148148148</v>
      </c>
      <c r="J373" s="1405">
        <v>0.13518518518518519</v>
      </c>
      <c r="K373" s="1405">
        <v>0.1388888888888889</v>
      </c>
      <c r="L373" s="1405">
        <v>0.1425925925925926</v>
      </c>
      <c r="M373" s="1405">
        <v>0.14629629629629629</v>
      </c>
      <c r="N373" s="1375">
        <v>0.15</v>
      </c>
      <c r="O373" s="1405">
        <v>0.13740740740740739</v>
      </c>
    </row>
    <row r="374" spans="1:117" ht="15">
      <c r="B374" s="1263"/>
      <c r="C374" s="1211" t="s">
        <v>3997</v>
      </c>
      <c r="D374" s="1211" t="s">
        <v>3998</v>
      </c>
      <c r="E374" s="1268"/>
      <c r="F374" s="1422"/>
      <c r="G374" s="1375"/>
      <c r="H374" s="1375">
        <v>0.83499999999999996</v>
      </c>
      <c r="I374" s="1405">
        <v>0.83203703703703702</v>
      </c>
      <c r="J374" s="1405">
        <v>0.8206296296296296</v>
      </c>
      <c r="K374" s="1405">
        <v>0.80672222222222234</v>
      </c>
      <c r="L374" s="1405">
        <v>0.79281481481481475</v>
      </c>
      <c r="M374" s="1405">
        <v>0.77890740740740749</v>
      </c>
      <c r="N374" s="1405">
        <v>0.7649999999999999</v>
      </c>
      <c r="O374" s="1405">
        <v>0.81228518518518511</v>
      </c>
    </row>
    <row r="375" spans="1:117" s="1302" customFormat="1" ht="15">
      <c r="A375" s="1241"/>
      <c r="B375" s="1263"/>
      <c r="C375" s="1211" t="s">
        <v>3999</v>
      </c>
      <c r="D375" s="1211" t="s">
        <v>4000</v>
      </c>
      <c r="E375" s="1268"/>
      <c r="F375" s="1422"/>
      <c r="G375" s="1375"/>
      <c r="H375" s="1375">
        <v>1.4999999999999999E-2</v>
      </c>
      <c r="I375" s="1405">
        <v>1.4999999999999999E-2</v>
      </c>
      <c r="J375" s="1405">
        <v>1.4999999999999999E-2</v>
      </c>
      <c r="K375" s="1405">
        <v>1.4999999999999999E-2</v>
      </c>
      <c r="L375" s="1405">
        <v>1.4999999999999999E-2</v>
      </c>
      <c r="M375" s="1405">
        <v>1.4999999999999999E-2</v>
      </c>
      <c r="N375" s="1375">
        <v>1.4999999999999999E-2</v>
      </c>
      <c r="O375" s="1405">
        <v>1.4999999999999999E-2</v>
      </c>
      <c r="P375" s="1241"/>
      <c r="Q375" s="1241"/>
      <c r="R375" s="1241"/>
      <c r="S375" s="1241"/>
      <c r="T375" s="1241"/>
      <c r="U375" s="1241"/>
      <c r="V375" s="1241"/>
      <c r="W375" s="1241"/>
      <c r="X375" s="1241"/>
      <c r="Y375" s="1241"/>
      <c r="Z375" s="1241"/>
      <c r="AA375" s="1241"/>
      <c r="AB375" s="1241"/>
      <c r="AC375" s="1241"/>
      <c r="AD375" s="1241"/>
      <c r="AE375" s="1241"/>
      <c r="AF375" s="1241"/>
      <c r="AG375" s="1241"/>
      <c r="AH375" s="1241"/>
      <c r="AI375" s="1241"/>
      <c r="AJ375" s="1241"/>
      <c r="AK375" s="1241"/>
      <c r="AL375" s="1241"/>
      <c r="AM375" s="1241"/>
      <c r="AN375" s="1241"/>
      <c r="AO375" s="1241"/>
      <c r="AP375" s="1241"/>
      <c r="AQ375" s="1241"/>
      <c r="AR375" s="1241"/>
      <c r="AS375" s="1241"/>
      <c r="AT375" s="1241"/>
      <c r="AU375" s="1241"/>
      <c r="AV375" s="1241"/>
      <c r="AW375" s="1241"/>
      <c r="AX375" s="1241"/>
      <c r="AY375" s="1241"/>
      <c r="AZ375" s="1241"/>
      <c r="BA375" s="1241"/>
      <c r="BB375" s="1241"/>
      <c r="BC375" s="1241"/>
      <c r="BD375" s="1241"/>
      <c r="BE375" s="1241"/>
      <c r="BF375" s="1241"/>
      <c r="BG375" s="1241"/>
      <c r="BH375" s="1241"/>
      <c r="BI375" s="1241"/>
      <c r="BJ375" s="1241"/>
      <c r="BK375" s="1241"/>
      <c r="BL375" s="1241"/>
      <c r="BM375" s="1241"/>
      <c r="BN375" s="1241"/>
      <c r="BO375" s="1241"/>
      <c r="BP375" s="1241"/>
      <c r="BQ375" s="1241"/>
      <c r="BR375" s="1241"/>
      <c r="BS375" s="1241"/>
      <c r="BT375" s="1241"/>
      <c r="BU375" s="1241"/>
      <c r="BV375" s="1241"/>
      <c r="BW375" s="1241"/>
      <c r="BX375" s="1241"/>
      <c r="BY375" s="1241"/>
      <c r="BZ375" s="1241"/>
      <c r="CA375" s="1241"/>
      <c r="CB375" s="1241"/>
      <c r="CC375" s="1241"/>
      <c r="CD375" s="1241"/>
      <c r="CE375" s="1241"/>
      <c r="CF375" s="1241"/>
      <c r="CG375" s="1241"/>
      <c r="CH375" s="1241"/>
      <c r="CI375" s="1241"/>
      <c r="CJ375" s="1241"/>
      <c r="CK375" s="1241"/>
      <c r="CL375" s="1241"/>
      <c r="CM375" s="1241"/>
      <c r="CN375" s="1241"/>
      <c r="CO375" s="1241"/>
      <c r="CP375" s="1241"/>
      <c r="CQ375" s="1241"/>
      <c r="CR375" s="1241"/>
      <c r="CS375" s="1241"/>
      <c r="CT375" s="1241"/>
      <c r="CU375" s="1241"/>
      <c r="CV375" s="1241"/>
      <c r="CW375" s="1241"/>
      <c r="CX375" s="1241"/>
      <c r="CY375" s="1241"/>
      <c r="CZ375" s="1241"/>
      <c r="DA375" s="1241"/>
      <c r="DB375" s="1241"/>
      <c r="DC375" s="1241"/>
      <c r="DD375" s="1241"/>
      <c r="DE375" s="1241"/>
      <c r="DF375" s="1241"/>
      <c r="DG375" s="1241"/>
      <c r="DH375" s="1241"/>
      <c r="DI375" s="1241"/>
      <c r="DJ375" s="1241"/>
      <c r="DK375" s="1241"/>
      <c r="DL375" s="1241"/>
      <c r="DM375" s="1241"/>
    </row>
    <row r="376" spans="1:117" s="1302" customFormat="1" ht="15">
      <c r="A376" s="1241"/>
      <c r="B376" s="1263"/>
      <c r="C376" s="1211" t="s">
        <v>4001</v>
      </c>
      <c r="D376" s="1211" t="s">
        <v>4002</v>
      </c>
      <c r="E376" s="1268"/>
      <c r="F376" s="1422"/>
      <c r="G376" s="1375"/>
      <c r="H376" s="1375">
        <v>0.02</v>
      </c>
      <c r="I376" s="1405">
        <v>2.1481481481481483E-2</v>
      </c>
      <c r="J376" s="1405">
        <v>2.5185185185185185E-2</v>
      </c>
      <c r="K376" s="1405">
        <v>2.8888888888888888E-2</v>
      </c>
      <c r="L376" s="1405">
        <v>3.259259259259259E-2</v>
      </c>
      <c r="M376" s="1405">
        <v>3.6296296296296299E-2</v>
      </c>
      <c r="N376" s="1375">
        <v>0.04</v>
      </c>
      <c r="O376" s="1405">
        <v>2.7407407407407408E-2</v>
      </c>
      <c r="P376" s="1241"/>
      <c r="Q376" s="1241"/>
      <c r="R376" s="1241"/>
      <c r="S376" s="1241"/>
      <c r="T376" s="1241"/>
      <c r="U376" s="1241"/>
      <c r="V376" s="1241"/>
      <c r="W376" s="1241"/>
      <c r="X376" s="1241"/>
      <c r="Y376" s="1241"/>
      <c r="Z376" s="1241"/>
      <c r="AA376" s="1241"/>
      <c r="AB376" s="1241"/>
      <c r="AC376" s="1241"/>
      <c r="AD376" s="1241"/>
      <c r="AE376" s="1241"/>
      <c r="AF376" s="1241"/>
      <c r="AG376" s="1241"/>
      <c r="AH376" s="1241"/>
      <c r="AI376" s="1241"/>
      <c r="AJ376" s="1241"/>
      <c r="AK376" s="1241"/>
      <c r="AL376" s="1241"/>
      <c r="AM376" s="1241"/>
      <c r="AN376" s="1241"/>
      <c r="AO376" s="1241"/>
      <c r="AP376" s="1241"/>
      <c r="AQ376" s="1241"/>
      <c r="AR376" s="1241"/>
      <c r="AS376" s="1241"/>
      <c r="AT376" s="1241"/>
      <c r="AU376" s="1241"/>
      <c r="AV376" s="1241"/>
      <c r="AW376" s="1241"/>
      <c r="AX376" s="1241"/>
      <c r="AY376" s="1241"/>
      <c r="AZ376" s="1241"/>
      <c r="BA376" s="1241"/>
      <c r="BB376" s="1241"/>
      <c r="BC376" s="1241"/>
      <c r="BD376" s="1241"/>
      <c r="BE376" s="1241"/>
      <c r="BF376" s="1241"/>
      <c r="BG376" s="1241"/>
      <c r="BH376" s="1241"/>
      <c r="BI376" s="1241"/>
      <c r="BJ376" s="1241"/>
      <c r="BK376" s="1241"/>
      <c r="BL376" s="1241"/>
      <c r="BM376" s="1241"/>
      <c r="BN376" s="1241"/>
      <c r="BO376" s="1241"/>
      <c r="BP376" s="1241"/>
      <c r="BQ376" s="1241"/>
      <c r="BR376" s="1241"/>
      <c r="BS376" s="1241"/>
      <c r="BT376" s="1241"/>
      <c r="BU376" s="1241"/>
      <c r="BV376" s="1241"/>
      <c r="BW376" s="1241"/>
      <c r="BX376" s="1241"/>
      <c r="BY376" s="1241"/>
      <c r="BZ376" s="1241"/>
      <c r="CA376" s="1241"/>
      <c r="CB376" s="1241"/>
      <c r="CC376" s="1241"/>
      <c r="CD376" s="1241"/>
      <c r="CE376" s="1241"/>
      <c r="CF376" s="1241"/>
      <c r="CG376" s="1241"/>
      <c r="CH376" s="1241"/>
      <c r="CI376" s="1241"/>
      <c r="CJ376" s="1241"/>
      <c r="CK376" s="1241"/>
      <c r="CL376" s="1241"/>
      <c r="CM376" s="1241"/>
      <c r="CN376" s="1241"/>
      <c r="CO376" s="1241"/>
      <c r="CP376" s="1241"/>
      <c r="CQ376" s="1241"/>
      <c r="CR376" s="1241"/>
      <c r="CS376" s="1241"/>
      <c r="CT376" s="1241"/>
      <c r="CU376" s="1241"/>
      <c r="CV376" s="1241"/>
      <c r="CW376" s="1241"/>
      <c r="CX376" s="1241"/>
      <c r="CY376" s="1241"/>
      <c r="CZ376" s="1241"/>
      <c r="DA376" s="1241"/>
      <c r="DB376" s="1241"/>
      <c r="DC376" s="1241"/>
      <c r="DD376" s="1241"/>
      <c r="DE376" s="1241"/>
      <c r="DF376" s="1241"/>
      <c r="DG376" s="1241"/>
      <c r="DH376" s="1241"/>
      <c r="DI376" s="1241"/>
      <c r="DJ376" s="1241"/>
      <c r="DK376" s="1241"/>
      <c r="DL376" s="1241"/>
      <c r="DM376" s="1241"/>
    </row>
    <row r="377" spans="1:117" s="1302" customFormat="1" ht="15">
      <c r="A377" s="1241"/>
      <c r="B377" s="1263"/>
      <c r="C377" s="1211" t="s">
        <v>4011</v>
      </c>
      <c r="D377" s="1211" t="s">
        <v>4012</v>
      </c>
      <c r="E377" s="1268"/>
      <c r="F377" s="1372"/>
      <c r="G377" s="1375"/>
      <c r="H377" s="1375">
        <v>0</v>
      </c>
      <c r="I377" s="1375">
        <v>0</v>
      </c>
      <c r="J377" s="1375">
        <v>0</v>
      </c>
      <c r="K377" s="1375">
        <v>0</v>
      </c>
      <c r="L377" s="1375">
        <v>0</v>
      </c>
      <c r="M377" s="1375">
        <v>0</v>
      </c>
      <c r="N377" s="1375">
        <v>0</v>
      </c>
      <c r="O377" s="1375">
        <v>0</v>
      </c>
      <c r="P377" s="1241"/>
      <c r="Q377" s="1241"/>
      <c r="R377" s="1241"/>
      <c r="S377" s="1241"/>
      <c r="T377" s="1241"/>
      <c r="U377" s="1241"/>
      <c r="V377" s="1241"/>
      <c r="W377" s="1241"/>
      <c r="X377" s="1241"/>
      <c r="Y377" s="1241"/>
      <c r="Z377" s="1241"/>
      <c r="AA377" s="1241"/>
      <c r="AB377" s="1241"/>
      <c r="AC377" s="1241"/>
      <c r="AD377" s="1241"/>
      <c r="AE377" s="1241"/>
      <c r="AF377" s="1241"/>
      <c r="AG377" s="1241"/>
      <c r="AH377" s="1241"/>
      <c r="AI377" s="1241"/>
      <c r="AJ377" s="1241"/>
      <c r="AK377" s="1241"/>
      <c r="AL377" s="1241"/>
      <c r="AM377" s="1241"/>
      <c r="AN377" s="1241"/>
      <c r="AO377" s="1241"/>
      <c r="AP377" s="1241"/>
      <c r="AQ377" s="1241"/>
      <c r="AR377" s="1241"/>
      <c r="AS377" s="1241"/>
      <c r="AT377" s="1241"/>
      <c r="AU377" s="1241"/>
      <c r="AV377" s="1241"/>
      <c r="AW377" s="1241"/>
      <c r="AX377" s="1241"/>
      <c r="AY377" s="1241"/>
      <c r="AZ377" s="1241"/>
      <c r="BA377" s="1241"/>
      <c r="BB377" s="1241"/>
      <c r="BC377" s="1241"/>
      <c r="BD377" s="1241"/>
      <c r="BE377" s="1241"/>
      <c r="BF377" s="1241"/>
      <c r="BG377" s="1241"/>
      <c r="BH377" s="1241"/>
      <c r="BI377" s="1241"/>
      <c r="BJ377" s="1241"/>
      <c r="BK377" s="1241"/>
      <c r="BL377" s="1241"/>
      <c r="BM377" s="1241"/>
      <c r="BN377" s="1241"/>
      <c r="BO377" s="1241"/>
      <c r="BP377" s="1241"/>
      <c r="BQ377" s="1241"/>
      <c r="BR377" s="1241"/>
      <c r="BS377" s="1241"/>
      <c r="BT377" s="1241"/>
      <c r="BU377" s="1241"/>
      <c r="BV377" s="1241"/>
      <c r="BW377" s="1241"/>
      <c r="BX377" s="1241"/>
      <c r="BY377" s="1241"/>
      <c r="BZ377" s="1241"/>
      <c r="CA377" s="1241"/>
      <c r="CB377" s="1241"/>
      <c r="CC377" s="1241"/>
      <c r="CD377" s="1241"/>
      <c r="CE377" s="1241"/>
      <c r="CF377" s="1241"/>
      <c r="CG377" s="1241"/>
      <c r="CH377" s="1241"/>
      <c r="CI377" s="1241"/>
      <c r="CJ377" s="1241"/>
      <c r="CK377" s="1241"/>
      <c r="CL377" s="1241"/>
      <c r="CM377" s="1241"/>
      <c r="CN377" s="1241"/>
      <c r="CO377" s="1241"/>
      <c r="CP377" s="1241"/>
      <c r="CQ377" s="1241"/>
      <c r="CR377" s="1241"/>
      <c r="CS377" s="1241"/>
      <c r="CT377" s="1241"/>
      <c r="CU377" s="1241"/>
      <c r="CV377" s="1241"/>
      <c r="CW377" s="1241"/>
      <c r="CX377" s="1241"/>
      <c r="CY377" s="1241"/>
      <c r="CZ377" s="1241"/>
      <c r="DA377" s="1241"/>
      <c r="DB377" s="1241"/>
      <c r="DC377" s="1241"/>
      <c r="DD377" s="1241"/>
      <c r="DE377" s="1241"/>
      <c r="DF377" s="1241"/>
      <c r="DG377" s="1241"/>
      <c r="DH377" s="1241"/>
      <c r="DI377" s="1241"/>
      <c r="DJ377" s="1241"/>
      <c r="DK377" s="1241"/>
      <c r="DL377" s="1241"/>
      <c r="DM377" s="1241"/>
    </row>
    <row r="378" spans="1:117" s="1302" customFormat="1" ht="15">
      <c r="A378" s="1241"/>
      <c r="B378" s="1263"/>
      <c r="C378" s="1406" t="s">
        <v>4025</v>
      </c>
      <c r="D378" s="1406" t="s">
        <v>4026</v>
      </c>
      <c r="E378" s="1406"/>
      <c r="F378" s="1433"/>
      <c r="G378" s="1408"/>
      <c r="H378" s="1414">
        <v>0</v>
      </c>
      <c r="I378" s="1413">
        <v>0</v>
      </c>
      <c r="J378" s="1413">
        <v>4.0000000000000001E-3</v>
      </c>
      <c r="K378" s="1413">
        <v>1.0499999999999999E-2</v>
      </c>
      <c r="L378" s="1413">
        <v>1.7000000000000001E-2</v>
      </c>
      <c r="M378" s="1413">
        <v>2.35E-2</v>
      </c>
      <c r="N378" s="1414">
        <v>0.03</v>
      </c>
      <c r="O378" s="1413">
        <v>7.9000000000000008E-3</v>
      </c>
      <c r="P378" s="1241"/>
      <c r="Q378" s="1241"/>
      <c r="R378" s="1241"/>
      <c r="S378" s="1241"/>
      <c r="T378" s="1241"/>
      <c r="U378" s="1241"/>
      <c r="V378" s="1241"/>
      <c r="W378" s="1241"/>
      <c r="X378" s="1241"/>
      <c r="Y378" s="1241"/>
      <c r="Z378" s="1241"/>
      <c r="AA378" s="1241"/>
      <c r="AB378" s="1241"/>
      <c r="AC378" s="1241"/>
      <c r="AD378" s="1241"/>
      <c r="AE378" s="1241"/>
      <c r="AF378" s="1241"/>
      <c r="AG378" s="1241"/>
      <c r="AH378" s="1241"/>
      <c r="AI378" s="1241"/>
      <c r="AJ378" s="1241"/>
      <c r="AK378" s="1241"/>
      <c r="AL378" s="1241"/>
      <c r="AM378" s="1241"/>
      <c r="AN378" s="1241"/>
      <c r="AO378" s="1241"/>
      <c r="AP378" s="1241"/>
      <c r="AQ378" s="1241"/>
      <c r="AR378" s="1241"/>
      <c r="AS378" s="1241"/>
      <c r="AT378" s="1241"/>
      <c r="AU378" s="1241"/>
      <c r="AV378" s="1241"/>
      <c r="AW378" s="1241"/>
      <c r="AX378" s="1241"/>
      <c r="AY378" s="1241"/>
      <c r="AZ378" s="1241"/>
      <c r="BA378" s="1241"/>
      <c r="BB378" s="1241"/>
      <c r="BC378" s="1241"/>
      <c r="BD378" s="1241"/>
      <c r="BE378" s="1241"/>
      <c r="BF378" s="1241"/>
      <c r="BG378" s="1241"/>
      <c r="BH378" s="1241"/>
      <c r="BI378" s="1241"/>
      <c r="BJ378" s="1241"/>
      <c r="BK378" s="1241"/>
      <c r="BL378" s="1241"/>
      <c r="BM378" s="1241"/>
      <c r="BN378" s="1241"/>
      <c r="BO378" s="1241"/>
      <c r="BP378" s="1241"/>
      <c r="BQ378" s="1241"/>
      <c r="BR378" s="1241"/>
      <c r="BS378" s="1241"/>
      <c r="BT378" s="1241"/>
      <c r="BU378" s="1241"/>
      <c r="BV378" s="1241"/>
      <c r="BW378" s="1241"/>
      <c r="BX378" s="1241"/>
      <c r="BY378" s="1241"/>
      <c r="BZ378" s="1241"/>
      <c r="CA378" s="1241"/>
      <c r="CB378" s="1241"/>
      <c r="CC378" s="1241"/>
      <c r="CD378" s="1241"/>
      <c r="CE378" s="1241"/>
      <c r="CF378" s="1241"/>
      <c r="CG378" s="1241"/>
      <c r="CH378" s="1241"/>
      <c r="CI378" s="1241"/>
      <c r="CJ378" s="1241"/>
      <c r="CK378" s="1241"/>
      <c r="CL378" s="1241"/>
      <c r="CM378" s="1241"/>
      <c r="CN378" s="1241"/>
      <c r="CO378" s="1241"/>
      <c r="CP378" s="1241"/>
      <c r="CQ378" s="1241"/>
      <c r="CR378" s="1241"/>
      <c r="CS378" s="1241"/>
      <c r="CT378" s="1241"/>
      <c r="CU378" s="1241"/>
      <c r="CV378" s="1241"/>
      <c r="CW378" s="1241"/>
      <c r="CX378" s="1241"/>
      <c r="CY378" s="1241"/>
      <c r="CZ378" s="1241"/>
      <c r="DA378" s="1241"/>
      <c r="DB378" s="1241"/>
      <c r="DC378" s="1241"/>
      <c r="DD378" s="1241"/>
      <c r="DE378" s="1241"/>
      <c r="DF378" s="1241"/>
      <c r="DG378" s="1241"/>
      <c r="DH378" s="1241"/>
      <c r="DI378" s="1241"/>
      <c r="DJ378" s="1241"/>
      <c r="DK378" s="1241"/>
      <c r="DL378" s="1241"/>
      <c r="DM378" s="1241"/>
    </row>
    <row r="379" spans="1:117" s="1302" customFormat="1">
      <c r="A379" s="1241"/>
      <c r="B379" s="1263"/>
      <c r="C379" s="1263"/>
      <c r="D379" s="1263"/>
      <c r="E379" s="1263"/>
      <c r="F379" s="1410"/>
      <c r="G379" s="1435"/>
      <c r="H379" s="1220"/>
      <c r="I379" s="1220"/>
      <c r="J379" s="1220"/>
      <c r="K379" s="1220"/>
      <c r="L379" s="1220"/>
      <c r="M379" s="1220"/>
      <c r="N379" s="1220"/>
      <c r="O379" s="1264"/>
      <c r="P379" s="1241"/>
      <c r="Q379" s="1241"/>
      <c r="R379" s="1241"/>
      <c r="S379" s="1241"/>
      <c r="T379" s="1241"/>
      <c r="U379" s="1241"/>
      <c r="V379" s="1241"/>
      <c r="W379" s="1241"/>
      <c r="X379" s="1241"/>
      <c r="Y379" s="1241"/>
      <c r="Z379" s="1241"/>
      <c r="AA379" s="1241"/>
      <c r="AB379" s="1241"/>
      <c r="AC379" s="1241"/>
      <c r="AD379" s="1241"/>
      <c r="AE379" s="1241"/>
      <c r="AF379" s="1241"/>
      <c r="AG379" s="1241"/>
      <c r="AH379" s="1241"/>
      <c r="AI379" s="1241"/>
      <c r="AJ379" s="1241"/>
      <c r="AK379" s="1241"/>
      <c r="AL379" s="1241"/>
      <c r="AM379" s="1241"/>
      <c r="AN379" s="1241"/>
      <c r="AO379" s="1241"/>
      <c r="AP379" s="1241"/>
      <c r="AQ379" s="1241"/>
      <c r="AR379" s="1241"/>
      <c r="AS379" s="1241"/>
      <c r="AT379" s="1241"/>
      <c r="AU379" s="1241"/>
      <c r="AV379" s="1241"/>
      <c r="AW379" s="1241"/>
      <c r="AX379" s="1241"/>
      <c r="AY379" s="1241"/>
      <c r="AZ379" s="1241"/>
      <c r="BA379" s="1241"/>
      <c r="BB379" s="1241"/>
      <c r="BC379" s="1241"/>
      <c r="BD379" s="1241"/>
      <c r="BE379" s="1241"/>
      <c r="BF379" s="1241"/>
      <c r="BG379" s="1241"/>
      <c r="BH379" s="1241"/>
      <c r="BI379" s="1241"/>
      <c r="BJ379" s="1241"/>
      <c r="BK379" s="1241"/>
      <c r="BL379" s="1241"/>
      <c r="BM379" s="1241"/>
      <c r="BN379" s="1241"/>
      <c r="BO379" s="1241"/>
      <c r="BP379" s="1241"/>
      <c r="BQ379" s="1241"/>
      <c r="BR379" s="1241"/>
      <c r="BS379" s="1241"/>
      <c r="BT379" s="1241"/>
      <c r="BU379" s="1241"/>
      <c r="BV379" s="1241"/>
      <c r="BW379" s="1241"/>
      <c r="BX379" s="1241"/>
      <c r="BY379" s="1241"/>
      <c r="BZ379" s="1241"/>
      <c r="CA379" s="1241"/>
      <c r="CB379" s="1241"/>
      <c r="CC379" s="1241"/>
      <c r="CD379" s="1241"/>
      <c r="CE379" s="1241"/>
      <c r="CF379" s="1241"/>
      <c r="CG379" s="1241"/>
      <c r="CH379" s="1241"/>
      <c r="CI379" s="1241"/>
      <c r="CJ379" s="1241"/>
      <c r="CK379" s="1241"/>
      <c r="CL379" s="1241"/>
      <c r="CM379" s="1241"/>
      <c r="CN379" s="1241"/>
      <c r="CO379" s="1241"/>
      <c r="CP379" s="1241"/>
      <c r="CQ379" s="1241"/>
      <c r="CR379" s="1241"/>
      <c r="CS379" s="1241"/>
      <c r="CT379" s="1241"/>
      <c r="CU379" s="1241"/>
      <c r="CV379" s="1241"/>
      <c r="CW379" s="1241"/>
      <c r="CX379" s="1241"/>
      <c r="CY379" s="1241"/>
      <c r="CZ379" s="1241"/>
      <c r="DA379" s="1241"/>
      <c r="DB379" s="1241"/>
      <c r="DC379" s="1241"/>
      <c r="DD379" s="1241"/>
      <c r="DE379" s="1241"/>
      <c r="DF379" s="1241"/>
      <c r="DG379" s="1241"/>
      <c r="DH379" s="1241"/>
      <c r="DI379" s="1241"/>
      <c r="DJ379" s="1241"/>
      <c r="DK379" s="1241"/>
      <c r="DL379" s="1241"/>
      <c r="DM379" s="1241"/>
    </row>
    <row r="380" spans="1:117" s="1302" customFormat="1">
      <c r="A380" s="1241"/>
      <c r="B380" s="1263"/>
      <c r="C380" s="1201" t="s">
        <v>4166</v>
      </c>
      <c r="D380" s="1201" t="s">
        <v>4244</v>
      </c>
      <c r="E380" s="1201" t="s">
        <v>48</v>
      </c>
      <c r="F380" s="1420"/>
      <c r="G380" s="1421"/>
      <c r="H380" s="1202">
        <v>2020</v>
      </c>
      <c r="I380" s="1202">
        <v>2022</v>
      </c>
      <c r="J380" s="1202">
        <v>2027</v>
      </c>
      <c r="K380" s="1202">
        <v>2032</v>
      </c>
      <c r="L380" s="1202">
        <v>2037</v>
      </c>
      <c r="M380" s="1202">
        <v>2042</v>
      </c>
      <c r="N380" s="1202">
        <v>2047</v>
      </c>
      <c r="O380" s="1202">
        <v>2030</v>
      </c>
      <c r="P380" s="1241"/>
      <c r="Q380" s="1241"/>
      <c r="R380" s="1241"/>
      <c r="S380" s="1241"/>
      <c r="T380" s="1241"/>
      <c r="U380" s="1241"/>
      <c r="V380" s="1241"/>
      <c r="W380" s="1241"/>
      <c r="X380" s="1241"/>
      <c r="Y380" s="1241"/>
      <c r="Z380" s="1241"/>
      <c r="AA380" s="1241"/>
      <c r="AB380" s="1241"/>
      <c r="AC380" s="1241"/>
      <c r="AD380" s="1241"/>
      <c r="AE380" s="1241"/>
      <c r="AF380" s="1241"/>
      <c r="AG380" s="1241"/>
      <c r="AH380" s="1241"/>
      <c r="AI380" s="1241"/>
      <c r="AJ380" s="1241"/>
      <c r="AK380" s="1241"/>
      <c r="AL380" s="1241"/>
      <c r="AM380" s="1241"/>
      <c r="AN380" s="1241"/>
      <c r="AO380" s="1241"/>
      <c r="AP380" s="1241"/>
      <c r="AQ380" s="1241"/>
      <c r="AR380" s="1241"/>
      <c r="AS380" s="1241"/>
      <c r="AT380" s="1241"/>
      <c r="AU380" s="1241"/>
      <c r="AV380" s="1241"/>
      <c r="AW380" s="1241"/>
      <c r="AX380" s="1241"/>
      <c r="AY380" s="1241"/>
      <c r="AZ380" s="1241"/>
      <c r="BA380" s="1241"/>
      <c r="BB380" s="1241"/>
      <c r="BC380" s="1241"/>
      <c r="BD380" s="1241"/>
      <c r="BE380" s="1241"/>
      <c r="BF380" s="1241"/>
      <c r="BG380" s="1241"/>
      <c r="BH380" s="1241"/>
      <c r="BI380" s="1241"/>
      <c r="BJ380" s="1241"/>
      <c r="BK380" s="1241"/>
      <c r="BL380" s="1241"/>
      <c r="BM380" s="1241"/>
      <c r="BN380" s="1241"/>
      <c r="BO380" s="1241"/>
      <c r="BP380" s="1241"/>
      <c r="BQ380" s="1241"/>
      <c r="BR380" s="1241"/>
      <c r="BS380" s="1241"/>
      <c r="BT380" s="1241"/>
      <c r="BU380" s="1241"/>
      <c r="BV380" s="1241"/>
      <c r="BW380" s="1241"/>
      <c r="BX380" s="1241"/>
      <c r="BY380" s="1241"/>
      <c r="BZ380" s="1241"/>
      <c r="CA380" s="1241"/>
      <c r="CB380" s="1241"/>
      <c r="CC380" s="1241"/>
      <c r="CD380" s="1241"/>
      <c r="CE380" s="1241"/>
      <c r="CF380" s="1241"/>
      <c r="CG380" s="1241"/>
      <c r="CH380" s="1241"/>
      <c r="CI380" s="1241"/>
      <c r="CJ380" s="1241"/>
      <c r="CK380" s="1241"/>
      <c r="CL380" s="1241"/>
      <c r="CM380" s="1241"/>
      <c r="CN380" s="1241"/>
      <c r="CO380" s="1241"/>
      <c r="CP380" s="1241"/>
      <c r="CQ380" s="1241"/>
      <c r="CR380" s="1241"/>
      <c r="CS380" s="1241"/>
      <c r="CT380" s="1241"/>
      <c r="CU380" s="1241"/>
      <c r="CV380" s="1241"/>
      <c r="CW380" s="1241"/>
      <c r="CX380" s="1241"/>
      <c r="CY380" s="1241"/>
      <c r="CZ380" s="1241"/>
      <c r="DA380" s="1241"/>
      <c r="DB380" s="1241"/>
      <c r="DC380" s="1241"/>
      <c r="DD380" s="1241"/>
      <c r="DE380" s="1241"/>
      <c r="DF380" s="1241"/>
      <c r="DG380" s="1241"/>
      <c r="DH380" s="1241"/>
      <c r="DI380" s="1241"/>
      <c r="DJ380" s="1241"/>
      <c r="DK380" s="1241"/>
      <c r="DL380" s="1241"/>
      <c r="DM380" s="1241"/>
    </row>
    <row r="381" spans="1:117" s="1302" customFormat="1" ht="15">
      <c r="A381" s="1241"/>
      <c r="B381" s="1263"/>
      <c r="C381" s="1211" t="s">
        <v>4032</v>
      </c>
      <c r="D381" s="1211" t="s">
        <v>4033</v>
      </c>
      <c r="E381" s="1268"/>
      <c r="F381" s="1422"/>
      <c r="G381" s="1375"/>
      <c r="H381" s="1375">
        <v>0.13</v>
      </c>
      <c r="I381" s="1405">
        <v>0.13148148148148148</v>
      </c>
      <c r="J381" s="1405">
        <v>0.14166666666666666</v>
      </c>
      <c r="K381" s="1405">
        <v>0.15</v>
      </c>
      <c r="L381" s="1405">
        <v>0.15833333333333333</v>
      </c>
      <c r="M381" s="1405">
        <v>0.16666666666666666</v>
      </c>
      <c r="N381" s="1405">
        <v>0.17499999999999999</v>
      </c>
      <c r="O381" s="1405">
        <v>0.14666666666666667</v>
      </c>
      <c r="P381" s="1241"/>
      <c r="Q381" s="1241"/>
      <c r="R381" s="1241"/>
      <c r="S381" s="1241"/>
      <c r="T381" s="1241"/>
      <c r="U381" s="1241"/>
      <c r="V381" s="1241"/>
      <c r="W381" s="1241"/>
      <c r="X381" s="1241"/>
      <c r="Y381" s="1241"/>
      <c r="Z381" s="1241"/>
      <c r="AA381" s="1241"/>
      <c r="AB381" s="1241"/>
      <c r="AC381" s="1241"/>
      <c r="AD381" s="1241"/>
      <c r="AE381" s="1241"/>
      <c r="AF381" s="1241"/>
      <c r="AG381" s="1241"/>
      <c r="AH381" s="1241"/>
      <c r="AI381" s="1241"/>
      <c r="AJ381" s="1241"/>
      <c r="AK381" s="1241"/>
      <c r="AL381" s="1241"/>
      <c r="AM381" s="1241"/>
      <c r="AN381" s="1241"/>
      <c r="AO381" s="1241"/>
      <c r="AP381" s="1241"/>
      <c r="AQ381" s="1241"/>
      <c r="AR381" s="1241"/>
      <c r="AS381" s="1241"/>
      <c r="AT381" s="1241"/>
      <c r="AU381" s="1241"/>
      <c r="AV381" s="1241"/>
      <c r="AW381" s="1241"/>
      <c r="AX381" s="1241"/>
      <c r="AY381" s="1241"/>
      <c r="AZ381" s="1241"/>
      <c r="BA381" s="1241"/>
      <c r="BB381" s="1241"/>
      <c r="BC381" s="1241"/>
      <c r="BD381" s="1241"/>
      <c r="BE381" s="1241"/>
      <c r="BF381" s="1241"/>
      <c r="BG381" s="1241"/>
      <c r="BH381" s="1241"/>
      <c r="BI381" s="1241"/>
      <c r="BJ381" s="1241"/>
      <c r="BK381" s="1241"/>
      <c r="BL381" s="1241"/>
      <c r="BM381" s="1241"/>
      <c r="BN381" s="1241"/>
      <c r="BO381" s="1241"/>
      <c r="BP381" s="1241"/>
      <c r="BQ381" s="1241"/>
      <c r="BR381" s="1241"/>
      <c r="BS381" s="1241"/>
      <c r="BT381" s="1241"/>
      <c r="BU381" s="1241"/>
      <c r="BV381" s="1241"/>
      <c r="BW381" s="1241"/>
      <c r="BX381" s="1241"/>
      <c r="BY381" s="1241"/>
      <c r="BZ381" s="1241"/>
      <c r="CA381" s="1241"/>
      <c r="CB381" s="1241"/>
      <c r="CC381" s="1241"/>
      <c r="CD381" s="1241"/>
      <c r="CE381" s="1241"/>
      <c r="CF381" s="1241"/>
      <c r="CG381" s="1241"/>
      <c r="CH381" s="1241"/>
      <c r="CI381" s="1241"/>
      <c r="CJ381" s="1241"/>
      <c r="CK381" s="1241"/>
      <c r="CL381" s="1241"/>
      <c r="CM381" s="1241"/>
      <c r="CN381" s="1241"/>
      <c r="CO381" s="1241"/>
      <c r="CP381" s="1241"/>
      <c r="CQ381" s="1241"/>
      <c r="CR381" s="1241"/>
      <c r="CS381" s="1241"/>
      <c r="CT381" s="1241"/>
      <c r="CU381" s="1241"/>
      <c r="CV381" s="1241"/>
      <c r="CW381" s="1241"/>
      <c r="CX381" s="1241"/>
      <c r="CY381" s="1241"/>
      <c r="CZ381" s="1241"/>
      <c r="DA381" s="1241"/>
      <c r="DB381" s="1241"/>
      <c r="DC381" s="1241"/>
      <c r="DD381" s="1241"/>
      <c r="DE381" s="1241"/>
      <c r="DF381" s="1241"/>
      <c r="DG381" s="1241"/>
      <c r="DH381" s="1241"/>
      <c r="DI381" s="1241"/>
      <c r="DJ381" s="1241"/>
      <c r="DK381" s="1241"/>
      <c r="DL381" s="1241"/>
      <c r="DM381" s="1241"/>
    </row>
    <row r="382" spans="1:117" s="1302" customFormat="1" ht="15">
      <c r="A382" s="1241"/>
      <c r="B382" s="1263"/>
      <c r="C382" s="1211" t="s">
        <v>3997</v>
      </c>
      <c r="D382" s="1211" t="s">
        <v>3998</v>
      </c>
      <c r="E382" s="1268"/>
      <c r="F382" s="1422"/>
      <c r="G382" s="1375"/>
      <c r="H382" s="1375">
        <v>0.83499999999999996</v>
      </c>
      <c r="I382" s="1405">
        <v>0.83203703703703702</v>
      </c>
      <c r="J382" s="1405">
        <v>0.80955555555555558</v>
      </c>
      <c r="K382" s="1405">
        <v>0.78466666666666662</v>
      </c>
      <c r="L382" s="1405">
        <v>0.75977777777777777</v>
      </c>
      <c r="M382" s="1405">
        <v>0.73488888888888892</v>
      </c>
      <c r="N382" s="1405">
        <v>0.70999999999999985</v>
      </c>
      <c r="O382" s="1405">
        <v>0.79462222222222212</v>
      </c>
      <c r="P382" s="1241"/>
      <c r="Q382" s="1241"/>
      <c r="R382" s="1241"/>
      <c r="S382" s="1241"/>
      <c r="T382" s="1241"/>
      <c r="U382" s="1241"/>
      <c r="V382" s="1241"/>
      <c r="W382" s="1241"/>
      <c r="X382" s="1241"/>
      <c r="Y382" s="1241"/>
      <c r="Z382" s="1241"/>
      <c r="AA382" s="1241"/>
      <c r="AB382" s="1241"/>
      <c r="AC382" s="1241"/>
      <c r="AD382" s="1241"/>
      <c r="AE382" s="1241"/>
      <c r="AF382" s="1241"/>
      <c r="AG382" s="1241"/>
      <c r="AH382" s="1241"/>
      <c r="AI382" s="1241"/>
      <c r="AJ382" s="1241"/>
      <c r="AK382" s="1241"/>
      <c r="AL382" s="1241"/>
      <c r="AM382" s="1241"/>
      <c r="AN382" s="1241"/>
      <c r="AO382" s="1241"/>
      <c r="AP382" s="1241"/>
      <c r="AQ382" s="1241"/>
      <c r="AR382" s="1241"/>
      <c r="AS382" s="1241"/>
      <c r="AT382" s="1241"/>
      <c r="AU382" s="1241"/>
      <c r="AV382" s="1241"/>
      <c r="AW382" s="1241"/>
      <c r="AX382" s="1241"/>
      <c r="AY382" s="1241"/>
      <c r="AZ382" s="1241"/>
      <c r="BA382" s="1241"/>
      <c r="BB382" s="1241"/>
      <c r="BC382" s="1241"/>
      <c r="BD382" s="1241"/>
      <c r="BE382" s="1241"/>
      <c r="BF382" s="1241"/>
      <c r="BG382" s="1241"/>
      <c r="BH382" s="1241"/>
      <c r="BI382" s="1241"/>
      <c r="BJ382" s="1241"/>
      <c r="BK382" s="1241"/>
      <c r="BL382" s="1241"/>
      <c r="BM382" s="1241"/>
      <c r="BN382" s="1241"/>
      <c r="BO382" s="1241"/>
      <c r="BP382" s="1241"/>
      <c r="BQ382" s="1241"/>
      <c r="BR382" s="1241"/>
      <c r="BS382" s="1241"/>
      <c r="BT382" s="1241"/>
      <c r="BU382" s="1241"/>
      <c r="BV382" s="1241"/>
      <c r="BW382" s="1241"/>
      <c r="BX382" s="1241"/>
      <c r="BY382" s="1241"/>
      <c r="BZ382" s="1241"/>
      <c r="CA382" s="1241"/>
      <c r="CB382" s="1241"/>
      <c r="CC382" s="1241"/>
      <c r="CD382" s="1241"/>
      <c r="CE382" s="1241"/>
      <c r="CF382" s="1241"/>
      <c r="CG382" s="1241"/>
      <c r="CH382" s="1241"/>
      <c r="CI382" s="1241"/>
      <c r="CJ382" s="1241"/>
      <c r="CK382" s="1241"/>
      <c r="CL382" s="1241"/>
      <c r="CM382" s="1241"/>
      <c r="CN382" s="1241"/>
      <c r="CO382" s="1241"/>
      <c r="CP382" s="1241"/>
      <c r="CQ382" s="1241"/>
      <c r="CR382" s="1241"/>
      <c r="CS382" s="1241"/>
      <c r="CT382" s="1241"/>
      <c r="CU382" s="1241"/>
      <c r="CV382" s="1241"/>
      <c r="CW382" s="1241"/>
      <c r="CX382" s="1241"/>
      <c r="CY382" s="1241"/>
      <c r="CZ382" s="1241"/>
      <c r="DA382" s="1241"/>
      <c r="DB382" s="1241"/>
      <c r="DC382" s="1241"/>
      <c r="DD382" s="1241"/>
      <c r="DE382" s="1241"/>
      <c r="DF382" s="1241"/>
      <c r="DG382" s="1241"/>
      <c r="DH382" s="1241"/>
      <c r="DI382" s="1241"/>
      <c r="DJ382" s="1241"/>
      <c r="DK382" s="1241"/>
      <c r="DL382" s="1241"/>
      <c r="DM382" s="1241"/>
    </row>
    <row r="383" spans="1:117" s="1302" customFormat="1" ht="15">
      <c r="A383" s="1241"/>
      <c r="B383" s="1263"/>
      <c r="C383" s="1211" t="s">
        <v>3999</v>
      </c>
      <c r="D383" s="1211" t="s">
        <v>4000</v>
      </c>
      <c r="E383" s="1268"/>
      <c r="F383" s="1422"/>
      <c r="G383" s="1375"/>
      <c r="H383" s="1375">
        <v>1.4999999999999999E-2</v>
      </c>
      <c r="I383" s="1405">
        <v>1.4999999999999999E-2</v>
      </c>
      <c r="J383" s="1405">
        <v>1.4999999999999999E-2</v>
      </c>
      <c r="K383" s="1405">
        <v>1.4999999999999999E-2</v>
      </c>
      <c r="L383" s="1405">
        <v>1.4999999999999999E-2</v>
      </c>
      <c r="M383" s="1405">
        <v>1.4999999999999999E-2</v>
      </c>
      <c r="N383" s="1405">
        <v>1.4999999999999999E-2</v>
      </c>
      <c r="O383" s="1405">
        <v>1.4999999999999999E-2</v>
      </c>
      <c r="P383" s="1241"/>
      <c r="Q383" s="1241"/>
      <c r="R383" s="1241"/>
      <c r="S383" s="1241"/>
      <c r="T383" s="1241"/>
      <c r="U383" s="1241"/>
      <c r="V383" s="1241"/>
      <c r="W383" s="1241"/>
      <c r="X383" s="1241"/>
      <c r="Y383" s="1241"/>
      <c r="Z383" s="1241"/>
      <c r="AA383" s="1241"/>
      <c r="AB383" s="1241"/>
      <c r="AC383" s="1241"/>
      <c r="AD383" s="1241"/>
      <c r="AE383" s="1241"/>
      <c r="AF383" s="1241"/>
      <c r="AG383" s="1241"/>
      <c r="AH383" s="1241"/>
      <c r="AI383" s="1241"/>
      <c r="AJ383" s="1241"/>
      <c r="AK383" s="1241"/>
      <c r="AL383" s="1241"/>
      <c r="AM383" s="1241"/>
      <c r="AN383" s="1241"/>
      <c r="AO383" s="1241"/>
      <c r="AP383" s="1241"/>
      <c r="AQ383" s="1241"/>
      <c r="AR383" s="1241"/>
      <c r="AS383" s="1241"/>
      <c r="AT383" s="1241"/>
      <c r="AU383" s="1241"/>
      <c r="AV383" s="1241"/>
      <c r="AW383" s="1241"/>
      <c r="AX383" s="1241"/>
      <c r="AY383" s="1241"/>
      <c r="AZ383" s="1241"/>
      <c r="BA383" s="1241"/>
      <c r="BB383" s="1241"/>
      <c r="BC383" s="1241"/>
      <c r="BD383" s="1241"/>
      <c r="BE383" s="1241"/>
      <c r="BF383" s="1241"/>
      <c r="BG383" s="1241"/>
      <c r="BH383" s="1241"/>
      <c r="BI383" s="1241"/>
      <c r="BJ383" s="1241"/>
      <c r="BK383" s="1241"/>
      <c r="BL383" s="1241"/>
      <c r="BM383" s="1241"/>
      <c r="BN383" s="1241"/>
      <c r="BO383" s="1241"/>
      <c r="BP383" s="1241"/>
      <c r="BQ383" s="1241"/>
      <c r="BR383" s="1241"/>
      <c r="BS383" s="1241"/>
      <c r="BT383" s="1241"/>
      <c r="BU383" s="1241"/>
      <c r="BV383" s="1241"/>
      <c r="BW383" s="1241"/>
      <c r="BX383" s="1241"/>
      <c r="BY383" s="1241"/>
      <c r="BZ383" s="1241"/>
      <c r="CA383" s="1241"/>
      <c r="CB383" s="1241"/>
      <c r="CC383" s="1241"/>
      <c r="CD383" s="1241"/>
      <c r="CE383" s="1241"/>
      <c r="CF383" s="1241"/>
      <c r="CG383" s="1241"/>
      <c r="CH383" s="1241"/>
      <c r="CI383" s="1241"/>
      <c r="CJ383" s="1241"/>
      <c r="CK383" s="1241"/>
      <c r="CL383" s="1241"/>
      <c r="CM383" s="1241"/>
      <c r="CN383" s="1241"/>
      <c r="CO383" s="1241"/>
      <c r="CP383" s="1241"/>
      <c r="CQ383" s="1241"/>
      <c r="CR383" s="1241"/>
      <c r="CS383" s="1241"/>
      <c r="CT383" s="1241"/>
      <c r="CU383" s="1241"/>
      <c r="CV383" s="1241"/>
      <c r="CW383" s="1241"/>
      <c r="CX383" s="1241"/>
      <c r="CY383" s="1241"/>
      <c r="CZ383" s="1241"/>
      <c r="DA383" s="1241"/>
      <c r="DB383" s="1241"/>
      <c r="DC383" s="1241"/>
      <c r="DD383" s="1241"/>
      <c r="DE383" s="1241"/>
      <c r="DF383" s="1241"/>
      <c r="DG383" s="1241"/>
      <c r="DH383" s="1241"/>
      <c r="DI383" s="1241"/>
      <c r="DJ383" s="1241"/>
      <c r="DK383" s="1241"/>
      <c r="DL383" s="1241"/>
      <c r="DM383" s="1241"/>
    </row>
    <row r="384" spans="1:117" s="1302" customFormat="1" ht="15">
      <c r="A384" s="1241"/>
      <c r="B384" s="1263"/>
      <c r="C384" s="1211" t="s">
        <v>4001</v>
      </c>
      <c r="D384" s="1211" t="s">
        <v>4002</v>
      </c>
      <c r="E384" s="1268"/>
      <c r="F384" s="1422"/>
      <c r="G384" s="1375"/>
      <c r="H384" s="1375">
        <v>0.02</v>
      </c>
      <c r="I384" s="1405">
        <v>2.1481481481481483E-2</v>
      </c>
      <c r="J384" s="1405">
        <v>2.777777777777778E-2</v>
      </c>
      <c r="K384" s="1405">
        <v>3.3333333333333333E-2</v>
      </c>
      <c r="L384" s="1405">
        <v>3.888888888888889E-2</v>
      </c>
      <c r="M384" s="1405">
        <v>4.4444444444444446E-2</v>
      </c>
      <c r="N384" s="1375">
        <v>0.05</v>
      </c>
      <c r="O384" s="1405">
        <v>3.1111111111111114E-2</v>
      </c>
      <c r="P384" s="1241"/>
      <c r="Q384" s="1241"/>
      <c r="R384" s="1241"/>
      <c r="S384" s="1241"/>
      <c r="T384" s="1241"/>
      <c r="U384" s="1241"/>
      <c r="V384" s="1241"/>
      <c r="W384" s="1241"/>
      <c r="X384" s="1241"/>
      <c r="Y384" s="1241"/>
      <c r="Z384" s="1241"/>
      <c r="AA384" s="1241"/>
      <c r="AB384" s="1241"/>
      <c r="AC384" s="1241"/>
      <c r="AD384" s="1241"/>
      <c r="AE384" s="1241"/>
      <c r="AF384" s="1241"/>
      <c r="AG384" s="1241"/>
      <c r="AH384" s="1241"/>
      <c r="AI384" s="1241"/>
      <c r="AJ384" s="1241"/>
      <c r="AK384" s="1241"/>
      <c r="AL384" s="1241"/>
      <c r="AM384" s="1241"/>
      <c r="AN384" s="1241"/>
      <c r="AO384" s="1241"/>
      <c r="AP384" s="1241"/>
      <c r="AQ384" s="1241"/>
      <c r="AR384" s="1241"/>
      <c r="AS384" s="1241"/>
      <c r="AT384" s="1241"/>
      <c r="AU384" s="1241"/>
      <c r="AV384" s="1241"/>
      <c r="AW384" s="1241"/>
      <c r="AX384" s="1241"/>
      <c r="AY384" s="1241"/>
      <c r="AZ384" s="1241"/>
      <c r="BA384" s="1241"/>
      <c r="BB384" s="1241"/>
      <c r="BC384" s="1241"/>
      <c r="BD384" s="1241"/>
      <c r="BE384" s="1241"/>
      <c r="BF384" s="1241"/>
      <c r="BG384" s="1241"/>
      <c r="BH384" s="1241"/>
      <c r="BI384" s="1241"/>
      <c r="BJ384" s="1241"/>
      <c r="BK384" s="1241"/>
      <c r="BL384" s="1241"/>
      <c r="BM384" s="1241"/>
      <c r="BN384" s="1241"/>
      <c r="BO384" s="1241"/>
      <c r="BP384" s="1241"/>
      <c r="BQ384" s="1241"/>
      <c r="BR384" s="1241"/>
      <c r="BS384" s="1241"/>
      <c r="BT384" s="1241"/>
      <c r="BU384" s="1241"/>
      <c r="BV384" s="1241"/>
      <c r="BW384" s="1241"/>
      <c r="BX384" s="1241"/>
      <c r="BY384" s="1241"/>
      <c r="BZ384" s="1241"/>
      <c r="CA384" s="1241"/>
      <c r="CB384" s="1241"/>
      <c r="CC384" s="1241"/>
      <c r="CD384" s="1241"/>
      <c r="CE384" s="1241"/>
      <c r="CF384" s="1241"/>
      <c r="CG384" s="1241"/>
      <c r="CH384" s="1241"/>
      <c r="CI384" s="1241"/>
      <c r="CJ384" s="1241"/>
      <c r="CK384" s="1241"/>
      <c r="CL384" s="1241"/>
      <c r="CM384" s="1241"/>
      <c r="CN384" s="1241"/>
      <c r="CO384" s="1241"/>
      <c r="CP384" s="1241"/>
      <c r="CQ384" s="1241"/>
      <c r="CR384" s="1241"/>
      <c r="CS384" s="1241"/>
      <c r="CT384" s="1241"/>
      <c r="CU384" s="1241"/>
      <c r="CV384" s="1241"/>
      <c r="CW384" s="1241"/>
      <c r="CX384" s="1241"/>
      <c r="CY384" s="1241"/>
      <c r="CZ384" s="1241"/>
      <c r="DA384" s="1241"/>
      <c r="DB384" s="1241"/>
      <c r="DC384" s="1241"/>
      <c r="DD384" s="1241"/>
      <c r="DE384" s="1241"/>
      <c r="DF384" s="1241"/>
      <c r="DG384" s="1241"/>
      <c r="DH384" s="1241"/>
      <c r="DI384" s="1241"/>
      <c r="DJ384" s="1241"/>
      <c r="DK384" s="1241"/>
      <c r="DL384" s="1241"/>
      <c r="DM384" s="1241"/>
    </row>
    <row r="385" spans="1:117" s="1302" customFormat="1" ht="15">
      <c r="A385" s="1241"/>
      <c r="B385" s="1263"/>
      <c r="C385" s="1211" t="s">
        <v>4011</v>
      </c>
      <c r="D385" s="1211" t="s">
        <v>4012</v>
      </c>
      <c r="E385" s="1268"/>
      <c r="F385" s="1372"/>
      <c r="G385" s="1375"/>
      <c r="H385" s="1375">
        <v>0</v>
      </c>
      <c r="I385" s="1375">
        <v>0</v>
      </c>
      <c r="J385" s="1375">
        <v>0</v>
      </c>
      <c r="K385" s="1375">
        <v>0</v>
      </c>
      <c r="L385" s="1375">
        <v>0</v>
      </c>
      <c r="M385" s="1375">
        <v>0</v>
      </c>
      <c r="N385" s="1375">
        <v>0</v>
      </c>
      <c r="O385" s="1375">
        <v>0</v>
      </c>
      <c r="P385" s="1241"/>
      <c r="Q385" s="1241"/>
      <c r="R385" s="1241"/>
      <c r="S385" s="1241"/>
      <c r="T385" s="1241"/>
      <c r="U385" s="1241"/>
      <c r="V385" s="1241"/>
      <c r="W385" s="1241"/>
      <c r="X385" s="1241"/>
      <c r="Y385" s="1241"/>
      <c r="Z385" s="1241"/>
      <c r="AA385" s="1241"/>
      <c r="AB385" s="1241"/>
      <c r="AC385" s="1241"/>
      <c r="AD385" s="1241"/>
      <c r="AE385" s="1241"/>
      <c r="AF385" s="1241"/>
      <c r="AG385" s="1241"/>
      <c r="AH385" s="1241"/>
      <c r="AI385" s="1241"/>
      <c r="AJ385" s="1241"/>
      <c r="AK385" s="1241"/>
      <c r="AL385" s="1241"/>
      <c r="AM385" s="1241"/>
      <c r="AN385" s="1241"/>
      <c r="AO385" s="1241"/>
      <c r="AP385" s="1241"/>
      <c r="AQ385" s="1241"/>
      <c r="AR385" s="1241"/>
      <c r="AS385" s="1241"/>
      <c r="AT385" s="1241"/>
      <c r="AU385" s="1241"/>
      <c r="AV385" s="1241"/>
      <c r="AW385" s="1241"/>
      <c r="AX385" s="1241"/>
      <c r="AY385" s="1241"/>
      <c r="AZ385" s="1241"/>
      <c r="BA385" s="1241"/>
      <c r="BB385" s="1241"/>
      <c r="BC385" s="1241"/>
      <c r="BD385" s="1241"/>
      <c r="BE385" s="1241"/>
      <c r="BF385" s="1241"/>
      <c r="BG385" s="1241"/>
      <c r="BH385" s="1241"/>
      <c r="BI385" s="1241"/>
      <c r="BJ385" s="1241"/>
      <c r="BK385" s="1241"/>
      <c r="BL385" s="1241"/>
      <c r="BM385" s="1241"/>
      <c r="BN385" s="1241"/>
      <c r="BO385" s="1241"/>
      <c r="BP385" s="1241"/>
      <c r="BQ385" s="1241"/>
      <c r="BR385" s="1241"/>
      <c r="BS385" s="1241"/>
      <c r="BT385" s="1241"/>
      <c r="BU385" s="1241"/>
      <c r="BV385" s="1241"/>
      <c r="BW385" s="1241"/>
      <c r="BX385" s="1241"/>
      <c r="BY385" s="1241"/>
      <c r="BZ385" s="1241"/>
      <c r="CA385" s="1241"/>
      <c r="CB385" s="1241"/>
      <c r="CC385" s="1241"/>
      <c r="CD385" s="1241"/>
      <c r="CE385" s="1241"/>
      <c r="CF385" s="1241"/>
      <c r="CG385" s="1241"/>
      <c r="CH385" s="1241"/>
      <c r="CI385" s="1241"/>
      <c r="CJ385" s="1241"/>
      <c r="CK385" s="1241"/>
      <c r="CL385" s="1241"/>
      <c r="CM385" s="1241"/>
      <c r="CN385" s="1241"/>
      <c r="CO385" s="1241"/>
      <c r="CP385" s="1241"/>
      <c r="CQ385" s="1241"/>
      <c r="CR385" s="1241"/>
      <c r="CS385" s="1241"/>
      <c r="CT385" s="1241"/>
      <c r="CU385" s="1241"/>
      <c r="CV385" s="1241"/>
      <c r="CW385" s="1241"/>
      <c r="CX385" s="1241"/>
      <c r="CY385" s="1241"/>
      <c r="CZ385" s="1241"/>
      <c r="DA385" s="1241"/>
      <c r="DB385" s="1241"/>
      <c r="DC385" s="1241"/>
      <c r="DD385" s="1241"/>
      <c r="DE385" s="1241"/>
      <c r="DF385" s="1241"/>
      <c r="DG385" s="1241"/>
      <c r="DH385" s="1241"/>
      <c r="DI385" s="1241"/>
      <c r="DJ385" s="1241"/>
      <c r="DK385" s="1241"/>
      <c r="DL385" s="1241"/>
      <c r="DM385" s="1241"/>
    </row>
    <row r="386" spans="1:117" s="1302" customFormat="1" ht="15">
      <c r="A386" s="1241"/>
      <c r="B386" s="1263"/>
      <c r="C386" s="1406" t="s">
        <v>4025</v>
      </c>
      <c r="D386" s="1406" t="s">
        <v>4026</v>
      </c>
      <c r="E386" s="1406"/>
      <c r="F386" s="1433"/>
      <c r="G386" s="1408"/>
      <c r="H386" s="1414">
        <v>0</v>
      </c>
      <c r="I386" s="1413">
        <v>0</v>
      </c>
      <c r="J386" s="1413">
        <v>6.0000000000000001E-3</v>
      </c>
      <c r="K386" s="1413">
        <v>1.7000000000000001E-2</v>
      </c>
      <c r="L386" s="1413">
        <v>2.8000000000000004E-2</v>
      </c>
      <c r="M386" s="1413">
        <v>3.9E-2</v>
      </c>
      <c r="N386" s="1414">
        <v>0.05</v>
      </c>
      <c r="O386" s="1413">
        <v>1.26E-2</v>
      </c>
      <c r="P386" s="1241"/>
      <c r="Q386" s="1241"/>
      <c r="R386" s="1241"/>
      <c r="S386" s="1241"/>
      <c r="T386" s="1241"/>
      <c r="U386" s="1241"/>
      <c r="V386" s="1241"/>
      <c r="W386" s="1241"/>
      <c r="X386" s="1241"/>
      <c r="Y386" s="1241"/>
      <c r="Z386" s="1241"/>
      <c r="AA386" s="1241"/>
      <c r="AB386" s="1241"/>
      <c r="AC386" s="1241"/>
      <c r="AD386" s="1241"/>
      <c r="AE386" s="1241"/>
      <c r="AF386" s="1241"/>
      <c r="AG386" s="1241"/>
      <c r="AH386" s="1241"/>
      <c r="AI386" s="1241"/>
      <c r="AJ386" s="1241"/>
      <c r="AK386" s="1241"/>
      <c r="AL386" s="1241"/>
      <c r="AM386" s="1241"/>
      <c r="AN386" s="1241"/>
      <c r="AO386" s="1241"/>
      <c r="AP386" s="1241"/>
      <c r="AQ386" s="1241"/>
      <c r="AR386" s="1241"/>
      <c r="AS386" s="1241"/>
      <c r="AT386" s="1241"/>
      <c r="AU386" s="1241"/>
      <c r="AV386" s="1241"/>
      <c r="AW386" s="1241"/>
      <c r="AX386" s="1241"/>
      <c r="AY386" s="1241"/>
      <c r="AZ386" s="1241"/>
      <c r="BA386" s="1241"/>
      <c r="BB386" s="1241"/>
      <c r="BC386" s="1241"/>
      <c r="BD386" s="1241"/>
      <c r="BE386" s="1241"/>
      <c r="BF386" s="1241"/>
      <c r="BG386" s="1241"/>
      <c r="BH386" s="1241"/>
      <c r="BI386" s="1241"/>
      <c r="BJ386" s="1241"/>
      <c r="BK386" s="1241"/>
      <c r="BL386" s="1241"/>
      <c r="BM386" s="1241"/>
      <c r="BN386" s="1241"/>
      <c r="BO386" s="1241"/>
      <c r="BP386" s="1241"/>
      <c r="BQ386" s="1241"/>
      <c r="BR386" s="1241"/>
      <c r="BS386" s="1241"/>
      <c r="BT386" s="1241"/>
      <c r="BU386" s="1241"/>
      <c r="BV386" s="1241"/>
      <c r="BW386" s="1241"/>
      <c r="BX386" s="1241"/>
      <c r="BY386" s="1241"/>
      <c r="BZ386" s="1241"/>
      <c r="CA386" s="1241"/>
      <c r="CB386" s="1241"/>
      <c r="CC386" s="1241"/>
      <c r="CD386" s="1241"/>
      <c r="CE386" s="1241"/>
      <c r="CF386" s="1241"/>
      <c r="CG386" s="1241"/>
      <c r="CH386" s="1241"/>
      <c r="CI386" s="1241"/>
      <c r="CJ386" s="1241"/>
      <c r="CK386" s="1241"/>
      <c r="CL386" s="1241"/>
      <c r="CM386" s="1241"/>
      <c r="CN386" s="1241"/>
      <c r="CO386" s="1241"/>
      <c r="CP386" s="1241"/>
      <c r="CQ386" s="1241"/>
      <c r="CR386" s="1241"/>
      <c r="CS386" s="1241"/>
      <c r="CT386" s="1241"/>
      <c r="CU386" s="1241"/>
      <c r="CV386" s="1241"/>
      <c r="CW386" s="1241"/>
      <c r="CX386" s="1241"/>
      <c r="CY386" s="1241"/>
      <c r="CZ386" s="1241"/>
      <c r="DA386" s="1241"/>
      <c r="DB386" s="1241"/>
      <c r="DC386" s="1241"/>
      <c r="DD386" s="1241"/>
      <c r="DE386" s="1241"/>
      <c r="DF386" s="1241"/>
      <c r="DG386" s="1241"/>
      <c r="DH386" s="1241"/>
      <c r="DI386" s="1241"/>
      <c r="DJ386" s="1241"/>
      <c r="DK386" s="1241"/>
      <c r="DL386" s="1241"/>
      <c r="DM386" s="1241"/>
    </row>
    <row r="387" spans="1:117" s="1302" customFormat="1">
      <c r="A387" s="1241"/>
      <c r="B387" s="1263"/>
      <c r="C387" s="1204"/>
      <c r="D387" s="1410"/>
      <c r="E387" s="1410"/>
      <c r="F387" s="1436"/>
      <c r="G387" s="1412"/>
      <c r="H387" s="1412"/>
      <c r="I387" s="1412"/>
      <c r="J387" s="1412"/>
      <c r="K387" s="1412"/>
      <c r="L387" s="1412"/>
      <c r="M387" s="1412"/>
      <c r="N387" s="1412"/>
      <c r="O387" s="1411"/>
      <c r="P387" s="1241"/>
      <c r="Q387" s="1241"/>
      <c r="R387" s="1241"/>
      <c r="S387" s="1241"/>
      <c r="T387" s="1241"/>
      <c r="U387" s="1241"/>
      <c r="V387" s="1241"/>
      <c r="W387" s="1241"/>
      <c r="X387" s="1241"/>
      <c r="Y387" s="1241"/>
      <c r="Z387" s="1241"/>
      <c r="AA387" s="1241"/>
      <c r="AB387" s="1241"/>
      <c r="AC387" s="1241"/>
      <c r="AD387" s="1241"/>
      <c r="AE387" s="1241"/>
      <c r="AF387" s="1241"/>
      <c r="AG387" s="1241"/>
      <c r="AH387" s="1241"/>
      <c r="AI387" s="1241"/>
      <c r="AJ387" s="1241"/>
      <c r="AK387" s="1241"/>
      <c r="AL387" s="1241"/>
      <c r="AM387" s="1241"/>
      <c r="AN387" s="1241"/>
      <c r="AO387" s="1241"/>
      <c r="AP387" s="1241"/>
      <c r="AQ387" s="1241"/>
      <c r="AR387" s="1241"/>
      <c r="AS387" s="1241"/>
      <c r="AT387" s="1241"/>
      <c r="AU387" s="1241"/>
      <c r="AV387" s="1241"/>
      <c r="AW387" s="1241"/>
      <c r="AX387" s="1241"/>
      <c r="AY387" s="1241"/>
      <c r="AZ387" s="1241"/>
      <c r="BA387" s="1241"/>
      <c r="BB387" s="1241"/>
      <c r="BC387" s="1241"/>
      <c r="BD387" s="1241"/>
      <c r="BE387" s="1241"/>
      <c r="BF387" s="1241"/>
      <c r="BG387" s="1241"/>
      <c r="BH387" s="1241"/>
      <c r="BI387" s="1241"/>
      <c r="BJ387" s="1241"/>
      <c r="BK387" s="1241"/>
      <c r="BL387" s="1241"/>
      <c r="BM387" s="1241"/>
      <c r="BN387" s="1241"/>
      <c r="BO387" s="1241"/>
      <c r="BP387" s="1241"/>
      <c r="BQ387" s="1241"/>
      <c r="BR387" s="1241"/>
      <c r="BS387" s="1241"/>
      <c r="BT387" s="1241"/>
      <c r="BU387" s="1241"/>
      <c r="BV387" s="1241"/>
      <c r="BW387" s="1241"/>
      <c r="BX387" s="1241"/>
      <c r="BY387" s="1241"/>
      <c r="BZ387" s="1241"/>
      <c r="CA387" s="1241"/>
      <c r="CB387" s="1241"/>
      <c r="CC387" s="1241"/>
      <c r="CD387" s="1241"/>
      <c r="CE387" s="1241"/>
      <c r="CF387" s="1241"/>
      <c r="CG387" s="1241"/>
      <c r="CH387" s="1241"/>
      <c r="CI387" s="1241"/>
      <c r="CJ387" s="1241"/>
      <c r="CK387" s="1241"/>
      <c r="CL387" s="1241"/>
      <c r="CM387" s="1241"/>
      <c r="CN387" s="1241"/>
      <c r="CO387" s="1241"/>
      <c r="CP387" s="1241"/>
      <c r="CQ387" s="1241"/>
      <c r="CR387" s="1241"/>
      <c r="CS387" s="1241"/>
      <c r="CT387" s="1241"/>
      <c r="CU387" s="1241"/>
      <c r="CV387" s="1241"/>
      <c r="CW387" s="1241"/>
      <c r="CX387" s="1241"/>
      <c r="CY387" s="1241"/>
      <c r="CZ387" s="1241"/>
      <c r="DA387" s="1241"/>
      <c r="DB387" s="1241"/>
      <c r="DC387" s="1241"/>
      <c r="DD387" s="1241"/>
      <c r="DE387" s="1241"/>
      <c r="DF387" s="1241"/>
      <c r="DG387" s="1241"/>
      <c r="DH387" s="1241"/>
      <c r="DI387" s="1241"/>
      <c r="DJ387" s="1241"/>
      <c r="DK387" s="1241"/>
      <c r="DL387" s="1241"/>
      <c r="DM387" s="1241"/>
    </row>
    <row r="388" spans="1:117" s="1302" customFormat="1">
      <c r="A388" s="1241"/>
      <c r="B388" s="1263"/>
      <c r="C388" s="1201" t="s">
        <v>4166</v>
      </c>
      <c r="D388" s="1201" t="s">
        <v>4246</v>
      </c>
      <c r="E388" s="1201" t="s">
        <v>48</v>
      </c>
      <c r="F388" s="1420"/>
      <c r="G388" s="1421"/>
      <c r="H388" s="1202">
        <v>2020</v>
      </c>
      <c r="I388" s="1202">
        <v>2022</v>
      </c>
      <c r="J388" s="1202">
        <v>2027</v>
      </c>
      <c r="K388" s="1202">
        <v>2032</v>
      </c>
      <c r="L388" s="1202">
        <v>2037</v>
      </c>
      <c r="M388" s="1202">
        <v>2042</v>
      </c>
      <c r="N388" s="1202">
        <v>2047</v>
      </c>
      <c r="O388" s="1202">
        <v>2030</v>
      </c>
      <c r="P388" s="1241"/>
      <c r="Q388" s="1241"/>
      <c r="R388" s="1241"/>
      <c r="S388" s="1241"/>
      <c r="T388" s="1241"/>
      <c r="U388" s="1241"/>
      <c r="V388" s="1241"/>
      <c r="W388" s="1241"/>
      <c r="X388" s="1241"/>
      <c r="Y388" s="1241"/>
      <c r="Z388" s="1241"/>
      <c r="AA388" s="1241"/>
      <c r="AB388" s="1241"/>
      <c r="AC388" s="1241"/>
      <c r="AD388" s="1241"/>
      <c r="AE388" s="1241"/>
      <c r="AF388" s="1241"/>
      <c r="AG388" s="1241"/>
      <c r="AH388" s="1241"/>
      <c r="AI388" s="1241"/>
      <c r="AJ388" s="1241"/>
      <c r="AK388" s="1241"/>
      <c r="AL388" s="1241"/>
      <c r="AM388" s="1241"/>
      <c r="AN388" s="1241"/>
      <c r="AO388" s="1241"/>
      <c r="AP388" s="1241"/>
      <c r="AQ388" s="1241"/>
      <c r="AR388" s="1241"/>
      <c r="AS388" s="1241"/>
      <c r="AT388" s="1241"/>
      <c r="AU388" s="1241"/>
      <c r="AV388" s="1241"/>
      <c r="AW388" s="1241"/>
      <c r="AX388" s="1241"/>
      <c r="AY388" s="1241"/>
      <c r="AZ388" s="1241"/>
      <c r="BA388" s="1241"/>
      <c r="BB388" s="1241"/>
      <c r="BC388" s="1241"/>
      <c r="BD388" s="1241"/>
      <c r="BE388" s="1241"/>
      <c r="BF388" s="1241"/>
      <c r="BG388" s="1241"/>
      <c r="BH388" s="1241"/>
      <c r="BI388" s="1241"/>
      <c r="BJ388" s="1241"/>
      <c r="BK388" s="1241"/>
      <c r="BL388" s="1241"/>
      <c r="BM388" s="1241"/>
      <c r="BN388" s="1241"/>
      <c r="BO388" s="1241"/>
      <c r="BP388" s="1241"/>
      <c r="BQ388" s="1241"/>
      <c r="BR388" s="1241"/>
      <c r="BS388" s="1241"/>
      <c r="BT388" s="1241"/>
      <c r="BU388" s="1241"/>
      <c r="BV388" s="1241"/>
      <c r="BW388" s="1241"/>
      <c r="BX388" s="1241"/>
      <c r="BY388" s="1241"/>
      <c r="BZ388" s="1241"/>
      <c r="CA388" s="1241"/>
      <c r="CB388" s="1241"/>
      <c r="CC388" s="1241"/>
      <c r="CD388" s="1241"/>
      <c r="CE388" s="1241"/>
      <c r="CF388" s="1241"/>
      <c r="CG388" s="1241"/>
      <c r="CH388" s="1241"/>
      <c r="CI388" s="1241"/>
      <c r="CJ388" s="1241"/>
      <c r="CK388" s="1241"/>
      <c r="CL388" s="1241"/>
      <c r="CM388" s="1241"/>
      <c r="CN388" s="1241"/>
      <c r="CO388" s="1241"/>
      <c r="CP388" s="1241"/>
      <c r="CQ388" s="1241"/>
      <c r="CR388" s="1241"/>
      <c r="CS388" s="1241"/>
      <c r="CT388" s="1241"/>
      <c r="CU388" s="1241"/>
      <c r="CV388" s="1241"/>
      <c r="CW388" s="1241"/>
      <c r="CX388" s="1241"/>
      <c r="CY388" s="1241"/>
      <c r="CZ388" s="1241"/>
      <c r="DA388" s="1241"/>
      <c r="DB388" s="1241"/>
      <c r="DC388" s="1241"/>
      <c r="DD388" s="1241"/>
      <c r="DE388" s="1241"/>
      <c r="DF388" s="1241"/>
      <c r="DG388" s="1241"/>
      <c r="DH388" s="1241"/>
      <c r="DI388" s="1241"/>
      <c r="DJ388" s="1241"/>
      <c r="DK388" s="1241"/>
      <c r="DL388" s="1241"/>
      <c r="DM388" s="1241"/>
    </row>
    <row r="389" spans="1:117" s="1302" customFormat="1" ht="15">
      <c r="A389" s="1241"/>
      <c r="B389" s="1263"/>
      <c r="C389" s="1211" t="s">
        <v>4032</v>
      </c>
      <c r="D389" s="1211" t="s">
        <v>4033</v>
      </c>
      <c r="E389" s="1268"/>
      <c r="F389" s="1422"/>
      <c r="G389" s="1375"/>
      <c r="H389" s="1375">
        <v>0.13</v>
      </c>
      <c r="I389" s="1405">
        <v>0.13148148148148148</v>
      </c>
      <c r="J389" s="1405">
        <v>0.14814814814814814</v>
      </c>
      <c r="K389" s="1405">
        <v>0.16111111111111112</v>
      </c>
      <c r="L389" s="1405">
        <v>0.17407407407407408</v>
      </c>
      <c r="M389" s="1405">
        <v>0.18703703703703706</v>
      </c>
      <c r="N389" s="1405">
        <v>0.2</v>
      </c>
      <c r="O389" s="1405">
        <v>0.15592592592592594</v>
      </c>
      <c r="P389" s="1241"/>
      <c r="Q389" s="1241"/>
      <c r="R389" s="1241"/>
      <c r="S389" s="1241"/>
      <c r="T389" s="1241"/>
      <c r="U389" s="1241"/>
      <c r="V389" s="1241"/>
      <c r="W389" s="1241"/>
      <c r="X389" s="1241"/>
      <c r="Y389" s="1241"/>
      <c r="Z389" s="1241"/>
      <c r="AA389" s="1241"/>
      <c r="AB389" s="1241"/>
      <c r="AC389" s="1241"/>
      <c r="AD389" s="1241"/>
      <c r="AE389" s="1241"/>
      <c r="AF389" s="1241"/>
      <c r="AG389" s="1241"/>
      <c r="AH389" s="1241"/>
      <c r="AI389" s="1241"/>
      <c r="AJ389" s="1241"/>
      <c r="AK389" s="1241"/>
      <c r="AL389" s="1241"/>
      <c r="AM389" s="1241"/>
      <c r="AN389" s="1241"/>
      <c r="AO389" s="1241"/>
      <c r="AP389" s="1241"/>
      <c r="AQ389" s="1241"/>
      <c r="AR389" s="1241"/>
      <c r="AS389" s="1241"/>
      <c r="AT389" s="1241"/>
      <c r="AU389" s="1241"/>
      <c r="AV389" s="1241"/>
      <c r="AW389" s="1241"/>
      <c r="AX389" s="1241"/>
      <c r="AY389" s="1241"/>
      <c r="AZ389" s="1241"/>
      <c r="BA389" s="1241"/>
      <c r="BB389" s="1241"/>
      <c r="BC389" s="1241"/>
      <c r="BD389" s="1241"/>
      <c r="BE389" s="1241"/>
      <c r="BF389" s="1241"/>
      <c r="BG389" s="1241"/>
      <c r="BH389" s="1241"/>
      <c r="BI389" s="1241"/>
      <c r="BJ389" s="1241"/>
      <c r="BK389" s="1241"/>
      <c r="BL389" s="1241"/>
      <c r="BM389" s="1241"/>
      <c r="BN389" s="1241"/>
      <c r="BO389" s="1241"/>
      <c r="BP389" s="1241"/>
      <c r="BQ389" s="1241"/>
      <c r="BR389" s="1241"/>
      <c r="BS389" s="1241"/>
      <c r="BT389" s="1241"/>
      <c r="BU389" s="1241"/>
      <c r="BV389" s="1241"/>
      <c r="BW389" s="1241"/>
      <c r="BX389" s="1241"/>
      <c r="BY389" s="1241"/>
      <c r="BZ389" s="1241"/>
      <c r="CA389" s="1241"/>
      <c r="CB389" s="1241"/>
      <c r="CC389" s="1241"/>
      <c r="CD389" s="1241"/>
      <c r="CE389" s="1241"/>
      <c r="CF389" s="1241"/>
      <c r="CG389" s="1241"/>
      <c r="CH389" s="1241"/>
      <c r="CI389" s="1241"/>
      <c r="CJ389" s="1241"/>
      <c r="CK389" s="1241"/>
      <c r="CL389" s="1241"/>
      <c r="CM389" s="1241"/>
      <c r="CN389" s="1241"/>
      <c r="CO389" s="1241"/>
      <c r="CP389" s="1241"/>
      <c r="CQ389" s="1241"/>
      <c r="CR389" s="1241"/>
      <c r="CS389" s="1241"/>
      <c r="CT389" s="1241"/>
      <c r="CU389" s="1241"/>
      <c r="CV389" s="1241"/>
      <c r="CW389" s="1241"/>
      <c r="CX389" s="1241"/>
      <c r="CY389" s="1241"/>
      <c r="CZ389" s="1241"/>
      <c r="DA389" s="1241"/>
      <c r="DB389" s="1241"/>
      <c r="DC389" s="1241"/>
      <c r="DD389" s="1241"/>
      <c r="DE389" s="1241"/>
      <c r="DF389" s="1241"/>
      <c r="DG389" s="1241"/>
      <c r="DH389" s="1241"/>
      <c r="DI389" s="1241"/>
      <c r="DJ389" s="1241"/>
      <c r="DK389" s="1241"/>
      <c r="DL389" s="1241"/>
      <c r="DM389" s="1241"/>
    </row>
    <row r="390" spans="1:117" s="1302" customFormat="1" ht="15">
      <c r="A390" s="1241"/>
      <c r="B390" s="1263"/>
      <c r="C390" s="1211" t="s">
        <v>3997</v>
      </c>
      <c r="D390" s="1211" t="s">
        <v>3998</v>
      </c>
      <c r="E390" s="1268"/>
      <c r="F390" s="1422"/>
      <c r="G390" s="1375"/>
      <c r="H390" s="1375">
        <v>0.83499999999999996</v>
      </c>
      <c r="I390" s="1405">
        <v>0.83203703703703702</v>
      </c>
      <c r="J390" s="1405">
        <v>0.814037037037037</v>
      </c>
      <c r="K390" s="1405">
        <v>0.78177777777777779</v>
      </c>
      <c r="L390" s="1405">
        <v>0.74951851851851847</v>
      </c>
      <c r="M390" s="1405">
        <v>0.71725925925925926</v>
      </c>
      <c r="N390" s="1405">
        <v>0.68500000000000005</v>
      </c>
      <c r="O390" s="1405">
        <v>0.79468148148148143</v>
      </c>
      <c r="P390" s="1241"/>
      <c r="Q390" s="1241"/>
      <c r="R390" s="1241"/>
      <c r="S390" s="1241"/>
      <c r="T390" s="1241"/>
      <c r="U390" s="1241"/>
      <c r="V390" s="1241"/>
      <c r="W390" s="1241"/>
      <c r="X390" s="1241"/>
      <c r="Y390" s="1241"/>
      <c r="Z390" s="1241"/>
      <c r="AA390" s="1241"/>
      <c r="AB390" s="1241"/>
      <c r="AC390" s="1241"/>
      <c r="AD390" s="1241"/>
      <c r="AE390" s="1241"/>
      <c r="AF390" s="1241"/>
      <c r="AG390" s="1241"/>
      <c r="AH390" s="1241"/>
      <c r="AI390" s="1241"/>
      <c r="AJ390" s="1241"/>
      <c r="AK390" s="1241"/>
      <c r="AL390" s="1241"/>
      <c r="AM390" s="1241"/>
      <c r="AN390" s="1241"/>
      <c r="AO390" s="1241"/>
      <c r="AP390" s="1241"/>
      <c r="AQ390" s="1241"/>
      <c r="AR390" s="1241"/>
      <c r="AS390" s="1241"/>
      <c r="AT390" s="1241"/>
      <c r="AU390" s="1241"/>
      <c r="AV390" s="1241"/>
      <c r="AW390" s="1241"/>
      <c r="AX390" s="1241"/>
      <c r="AY390" s="1241"/>
      <c r="AZ390" s="1241"/>
      <c r="BA390" s="1241"/>
      <c r="BB390" s="1241"/>
      <c r="BC390" s="1241"/>
      <c r="BD390" s="1241"/>
      <c r="BE390" s="1241"/>
      <c r="BF390" s="1241"/>
      <c r="BG390" s="1241"/>
      <c r="BH390" s="1241"/>
      <c r="BI390" s="1241"/>
      <c r="BJ390" s="1241"/>
      <c r="BK390" s="1241"/>
      <c r="BL390" s="1241"/>
      <c r="BM390" s="1241"/>
      <c r="BN390" s="1241"/>
      <c r="BO390" s="1241"/>
      <c r="BP390" s="1241"/>
      <c r="BQ390" s="1241"/>
      <c r="BR390" s="1241"/>
      <c r="BS390" s="1241"/>
      <c r="BT390" s="1241"/>
      <c r="BU390" s="1241"/>
      <c r="BV390" s="1241"/>
      <c r="BW390" s="1241"/>
      <c r="BX390" s="1241"/>
      <c r="BY390" s="1241"/>
      <c r="BZ390" s="1241"/>
      <c r="CA390" s="1241"/>
      <c r="CB390" s="1241"/>
      <c r="CC390" s="1241"/>
      <c r="CD390" s="1241"/>
      <c r="CE390" s="1241"/>
      <c r="CF390" s="1241"/>
      <c r="CG390" s="1241"/>
      <c r="CH390" s="1241"/>
      <c r="CI390" s="1241"/>
      <c r="CJ390" s="1241"/>
      <c r="CK390" s="1241"/>
      <c r="CL390" s="1241"/>
      <c r="CM390" s="1241"/>
      <c r="CN390" s="1241"/>
      <c r="CO390" s="1241"/>
      <c r="CP390" s="1241"/>
      <c r="CQ390" s="1241"/>
      <c r="CR390" s="1241"/>
      <c r="CS390" s="1241"/>
      <c r="CT390" s="1241"/>
      <c r="CU390" s="1241"/>
      <c r="CV390" s="1241"/>
      <c r="CW390" s="1241"/>
      <c r="CX390" s="1241"/>
      <c r="CY390" s="1241"/>
      <c r="CZ390" s="1241"/>
      <c r="DA390" s="1241"/>
      <c r="DB390" s="1241"/>
      <c r="DC390" s="1241"/>
      <c r="DD390" s="1241"/>
      <c r="DE390" s="1241"/>
      <c r="DF390" s="1241"/>
      <c r="DG390" s="1241"/>
      <c r="DH390" s="1241"/>
      <c r="DI390" s="1241"/>
      <c r="DJ390" s="1241"/>
      <c r="DK390" s="1241"/>
      <c r="DL390" s="1241"/>
      <c r="DM390" s="1241"/>
    </row>
    <row r="391" spans="1:117" s="1302" customFormat="1" ht="15">
      <c r="A391" s="1241"/>
      <c r="B391" s="1263"/>
      <c r="C391" s="1211" t="s">
        <v>3999</v>
      </c>
      <c r="D391" s="1211" t="s">
        <v>4000</v>
      </c>
      <c r="E391" s="1268"/>
      <c r="F391" s="1422"/>
      <c r="G391" s="1375"/>
      <c r="H391" s="1375">
        <v>1.4999999999999999E-2</v>
      </c>
      <c r="I391" s="1405">
        <v>1.4999999999999999E-2</v>
      </c>
      <c r="J391" s="1373">
        <v>1.4999999999999999E-2</v>
      </c>
      <c r="K391" s="1373">
        <v>1.4999999999999999E-2</v>
      </c>
      <c r="L391" s="1373">
        <v>1.4999999999999999E-2</v>
      </c>
      <c r="M391" s="1373">
        <v>1.4999999999999999E-2</v>
      </c>
      <c r="N391" s="1373">
        <v>1.4999999999999999E-2</v>
      </c>
      <c r="O391" s="1405">
        <v>1.4999999999999999E-2</v>
      </c>
      <c r="P391" s="1241"/>
      <c r="Q391" s="1241"/>
      <c r="R391" s="1241"/>
      <c r="S391" s="1241"/>
      <c r="T391" s="1241"/>
      <c r="U391" s="1241"/>
      <c r="V391" s="1241"/>
      <c r="W391" s="1241"/>
      <c r="X391" s="1241"/>
      <c r="Y391" s="1241"/>
      <c r="Z391" s="1241"/>
      <c r="AA391" s="1241"/>
      <c r="AB391" s="1241"/>
      <c r="AC391" s="1241"/>
      <c r="AD391" s="1241"/>
      <c r="AE391" s="1241"/>
      <c r="AF391" s="1241"/>
      <c r="AG391" s="1241"/>
      <c r="AH391" s="1241"/>
      <c r="AI391" s="1241"/>
      <c r="AJ391" s="1241"/>
      <c r="AK391" s="1241"/>
      <c r="AL391" s="1241"/>
      <c r="AM391" s="1241"/>
      <c r="AN391" s="1241"/>
      <c r="AO391" s="1241"/>
      <c r="AP391" s="1241"/>
      <c r="AQ391" s="1241"/>
      <c r="AR391" s="1241"/>
      <c r="AS391" s="1241"/>
      <c r="AT391" s="1241"/>
      <c r="AU391" s="1241"/>
      <c r="AV391" s="1241"/>
      <c r="AW391" s="1241"/>
      <c r="AX391" s="1241"/>
      <c r="AY391" s="1241"/>
      <c r="AZ391" s="1241"/>
      <c r="BA391" s="1241"/>
      <c r="BB391" s="1241"/>
      <c r="BC391" s="1241"/>
      <c r="BD391" s="1241"/>
      <c r="BE391" s="1241"/>
      <c r="BF391" s="1241"/>
      <c r="BG391" s="1241"/>
      <c r="BH391" s="1241"/>
      <c r="BI391" s="1241"/>
      <c r="BJ391" s="1241"/>
      <c r="BK391" s="1241"/>
      <c r="BL391" s="1241"/>
      <c r="BM391" s="1241"/>
      <c r="BN391" s="1241"/>
      <c r="BO391" s="1241"/>
      <c r="BP391" s="1241"/>
      <c r="BQ391" s="1241"/>
      <c r="BR391" s="1241"/>
      <c r="BS391" s="1241"/>
      <c r="BT391" s="1241"/>
      <c r="BU391" s="1241"/>
      <c r="BV391" s="1241"/>
      <c r="BW391" s="1241"/>
      <c r="BX391" s="1241"/>
      <c r="BY391" s="1241"/>
      <c r="BZ391" s="1241"/>
      <c r="CA391" s="1241"/>
      <c r="CB391" s="1241"/>
      <c r="CC391" s="1241"/>
      <c r="CD391" s="1241"/>
      <c r="CE391" s="1241"/>
      <c r="CF391" s="1241"/>
      <c r="CG391" s="1241"/>
      <c r="CH391" s="1241"/>
      <c r="CI391" s="1241"/>
      <c r="CJ391" s="1241"/>
      <c r="CK391" s="1241"/>
      <c r="CL391" s="1241"/>
      <c r="CM391" s="1241"/>
      <c r="CN391" s="1241"/>
      <c r="CO391" s="1241"/>
      <c r="CP391" s="1241"/>
      <c r="CQ391" s="1241"/>
      <c r="CR391" s="1241"/>
      <c r="CS391" s="1241"/>
      <c r="CT391" s="1241"/>
      <c r="CU391" s="1241"/>
      <c r="CV391" s="1241"/>
      <c r="CW391" s="1241"/>
      <c r="CX391" s="1241"/>
      <c r="CY391" s="1241"/>
      <c r="CZ391" s="1241"/>
      <c r="DA391" s="1241"/>
      <c r="DB391" s="1241"/>
      <c r="DC391" s="1241"/>
      <c r="DD391" s="1241"/>
      <c r="DE391" s="1241"/>
      <c r="DF391" s="1241"/>
      <c r="DG391" s="1241"/>
      <c r="DH391" s="1241"/>
      <c r="DI391" s="1241"/>
      <c r="DJ391" s="1241"/>
      <c r="DK391" s="1241"/>
      <c r="DL391" s="1241"/>
      <c r="DM391" s="1241"/>
    </row>
    <row r="392" spans="1:117" s="1302" customFormat="1" ht="15">
      <c r="A392" s="1241"/>
      <c r="B392" s="1263"/>
      <c r="C392" s="1211" t="s">
        <v>4001</v>
      </c>
      <c r="D392" s="1211" t="s">
        <v>4002</v>
      </c>
      <c r="E392" s="1268"/>
      <c r="F392" s="1422"/>
      <c r="G392" s="1375"/>
      <c r="H392" s="1375">
        <v>0.02</v>
      </c>
      <c r="I392" s="1405">
        <v>2.1481481481481483E-2</v>
      </c>
      <c r="J392" s="1405">
        <v>1.4814814814814815E-2</v>
      </c>
      <c r="K392" s="1405">
        <v>1.1111111111111112E-2</v>
      </c>
      <c r="L392" s="1405">
        <v>7.4074074074074077E-3</v>
      </c>
      <c r="M392" s="1405">
        <v>3.7037037037037056E-3</v>
      </c>
      <c r="N392" s="1375">
        <v>0</v>
      </c>
      <c r="O392" s="1405">
        <v>1.2592592592592593E-2</v>
      </c>
      <c r="P392" s="1241"/>
      <c r="Q392" s="1241"/>
      <c r="R392" s="1241"/>
      <c r="S392" s="1241"/>
      <c r="T392" s="1241"/>
      <c r="U392" s="1241"/>
      <c r="V392" s="1241"/>
      <c r="W392" s="1241"/>
      <c r="X392" s="1241"/>
      <c r="Y392" s="1241"/>
      <c r="Z392" s="1241"/>
      <c r="AA392" s="1241"/>
      <c r="AB392" s="1241"/>
      <c r="AC392" s="1241"/>
      <c r="AD392" s="1241"/>
      <c r="AE392" s="1241"/>
      <c r="AF392" s="1241"/>
      <c r="AG392" s="1241"/>
      <c r="AH392" s="1241"/>
      <c r="AI392" s="1241"/>
      <c r="AJ392" s="1241"/>
      <c r="AK392" s="1241"/>
      <c r="AL392" s="1241"/>
      <c r="AM392" s="1241"/>
      <c r="AN392" s="1241"/>
      <c r="AO392" s="1241"/>
      <c r="AP392" s="1241"/>
      <c r="AQ392" s="1241"/>
      <c r="AR392" s="1241"/>
      <c r="AS392" s="1241"/>
      <c r="AT392" s="1241"/>
      <c r="AU392" s="1241"/>
      <c r="AV392" s="1241"/>
      <c r="AW392" s="1241"/>
      <c r="AX392" s="1241"/>
      <c r="AY392" s="1241"/>
      <c r="AZ392" s="1241"/>
      <c r="BA392" s="1241"/>
      <c r="BB392" s="1241"/>
      <c r="BC392" s="1241"/>
      <c r="BD392" s="1241"/>
      <c r="BE392" s="1241"/>
      <c r="BF392" s="1241"/>
      <c r="BG392" s="1241"/>
      <c r="BH392" s="1241"/>
      <c r="BI392" s="1241"/>
      <c r="BJ392" s="1241"/>
      <c r="BK392" s="1241"/>
      <c r="BL392" s="1241"/>
      <c r="BM392" s="1241"/>
      <c r="BN392" s="1241"/>
      <c r="BO392" s="1241"/>
      <c r="BP392" s="1241"/>
      <c r="BQ392" s="1241"/>
      <c r="BR392" s="1241"/>
      <c r="BS392" s="1241"/>
      <c r="BT392" s="1241"/>
      <c r="BU392" s="1241"/>
      <c r="BV392" s="1241"/>
      <c r="BW392" s="1241"/>
      <c r="BX392" s="1241"/>
      <c r="BY392" s="1241"/>
      <c r="BZ392" s="1241"/>
      <c r="CA392" s="1241"/>
      <c r="CB392" s="1241"/>
      <c r="CC392" s="1241"/>
      <c r="CD392" s="1241"/>
      <c r="CE392" s="1241"/>
      <c r="CF392" s="1241"/>
      <c r="CG392" s="1241"/>
      <c r="CH392" s="1241"/>
      <c r="CI392" s="1241"/>
      <c r="CJ392" s="1241"/>
      <c r="CK392" s="1241"/>
      <c r="CL392" s="1241"/>
      <c r="CM392" s="1241"/>
      <c r="CN392" s="1241"/>
      <c r="CO392" s="1241"/>
      <c r="CP392" s="1241"/>
      <c r="CQ392" s="1241"/>
      <c r="CR392" s="1241"/>
      <c r="CS392" s="1241"/>
      <c r="CT392" s="1241"/>
      <c r="CU392" s="1241"/>
      <c r="CV392" s="1241"/>
      <c r="CW392" s="1241"/>
      <c r="CX392" s="1241"/>
      <c r="CY392" s="1241"/>
      <c r="CZ392" s="1241"/>
      <c r="DA392" s="1241"/>
      <c r="DB392" s="1241"/>
      <c r="DC392" s="1241"/>
      <c r="DD392" s="1241"/>
      <c r="DE392" s="1241"/>
      <c r="DF392" s="1241"/>
      <c r="DG392" s="1241"/>
      <c r="DH392" s="1241"/>
      <c r="DI392" s="1241"/>
      <c r="DJ392" s="1241"/>
      <c r="DK392" s="1241"/>
      <c r="DL392" s="1241"/>
      <c r="DM392" s="1241"/>
    </row>
    <row r="393" spans="1:117" s="1302" customFormat="1" ht="15">
      <c r="A393" s="1241"/>
      <c r="B393" s="1263"/>
      <c r="C393" s="1211" t="s">
        <v>4011</v>
      </c>
      <c r="D393" s="1211" t="s">
        <v>4012</v>
      </c>
      <c r="E393" s="1268"/>
      <c r="F393" s="1372"/>
      <c r="G393" s="1375"/>
      <c r="H393" s="1375">
        <v>0</v>
      </c>
      <c r="I393" s="1375">
        <v>0</v>
      </c>
      <c r="J393" s="1375">
        <v>0</v>
      </c>
      <c r="K393" s="1375">
        <v>0</v>
      </c>
      <c r="L393" s="1375">
        <v>0</v>
      </c>
      <c r="M393" s="1375">
        <v>0</v>
      </c>
      <c r="N393" s="1375">
        <v>0</v>
      </c>
      <c r="O393" s="1375">
        <v>0</v>
      </c>
      <c r="P393" s="1241"/>
      <c r="Q393" s="1241"/>
      <c r="R393" s="1241"/>
      <c r="S393" s="1241"/>
      <c r="T393" s="1241"/>
      <c r="U393" s="1241"/>
      <c r="V393" s="1241"/>
      <c r="W393" s="1241"/>
      <c r="X393" s="1241"/>
      <c r="Y393" s="1241"/>
      <c r="Z393" s="1241"/>
      <c r="AA393" s="1241"/>
      <c r="AB393" s="1241"/>
      <c r="AC393" s="1241"/>
      <c r="AD393" s="1241"/>
      <c r="AE393" s="1241"/>
      <c r="AF393" s="1241"/>
      <c r="AG393" s="1241"/>
      <c r="AH393" s="1241"/>
      <c r="AI393" s="1241"/>
      <c r="AJ393" s="1241"/>
      <c r="AK393" s="1241"/>
      <c r="AL393" s="1241"/>
      <c r="AM393" s="1241"/>
      <c r="AN393" s="1241"/>
      <c r="AO393" s="1241"/>
      <c r="AP393" s="1241"/>
      <c r="AQ393" s="1241"/>
      <c r="AR393" s="1241"/>
      <c r="AS393" s="1241"/>
      <c r="AT393" s="1241"/>
      <c r="AU393" s="1241"/>
      <c r="AV393" s="1241"/>
      <c r="AW393" s="1241"/>
      <c r="AX393" s="1241"/>
      <c r="AY393" s="1241"/>
      <c r="AZ393" s="1241"/>
      <c r="BA393" s="1241"/>
      <c r="BB393" s="1241"/>
      <c r="BC393" s="1241"/>
      <c r="BD393" s="1241"/>
      <c r="BE393" s="1241"/>
      <c r="BF393" s="1241"/>
      <c r="BG393" s="1241"/>
      <c r="BH393" s="1241"/>
      <c r="BI393" s="1241"/>
      <c r="BJ393" s="1241"/>
      <c r="BK393" s="1241"/>
      <c r="BL393" s="1241"/>
      <c r="BM393" s="1241"/>
      <c r="BN393" s="1241"/>
      <c r="BO393" s="1241"/>
      <c r="BP393" s="1241"/>
      <c r="BQ393" s="1241"/>
      <c r="BR393" s="1241"/>
      <c r="BS393" s="1241"/>
      <c r="BT393" s="1241"/>
      <c r="BU393" s="1241"/>
      <c r="BV393" s="1241"/>
      <c r="BW393" s="1241"/>
      <c r="BX393" s="1241"/>
      <c r="BY393" s="1241"/>
      <c r="BZ393" s="1241"/>
      <c r="CA393" s="1241"/>
      <c r="CB393" s="1241"/>
      <c r="CC393" s="1241"/>
      <c r="CD393" s="1241"/>
      <c r="CE393" s="1241"/>
      <c r="CF393" s="1241"/>
      <c r="CG393" s="1241"/>
      <c r="CH393" s="1241"/>
      <c r="CI393" s="1241"/>
      <c r="CJ393" s="1241"/>
      <c r="CK393" s="1241"/>
      <c r="CL393" s="1241"/>
      <c r="CM393" s="1241"/>
      <c r="CN393" s="1241"/>
      <c r="CO393" s="1241"/>
      <c r="CP393" s="1241"/>
      <c r="CQ393" s="1241"/>
      <c r="CR393" s="1241"/>
      <c r="CS393" s="1241"/>
      <c r="CT393" s="1241"/>
      <c r="CU393" s="1241"/>
      <c r="CV393" s="1241"/>
      <c r="CW393" s="1241"/>
      <c r="CX393" s="1241"/>
      <c r="CY393" s="1241"/>
      <c r="CZ393" s="1241"/>
      <c r="DA393" s="1241"/>
      <c r="DB393" s="1241"/>
      <c r="DC393" s="1241"/>
      <c r="DD393" s="1241"/>
      <c r="DE393" s="1241"/>
      <c r="DF393" s="1241"/>
      <c r="DG393" s="1241"/>
      <c r="DH393" s="1241"/>
      <c r="DI393" s="1241"/>
      <c r="DJ393" s="1241"/>
      <c r="DK393" s="1241"/>
      <c r="DL393" s="1241"/>
      <c r="DM393" s="1241"/>
    </row>
    <row r="394" spans="1:117" s="1302" customFormat="1" ht="15">
      <c r="A394" s="1241"/>
      <c r="B394" s="1263"/>
      <c r="C394" s="1406" t="s">
        <v>4025</v>
      </c>
      <c r="D394" s="1406" t="s">
        <v>4026</v>
      </c>
      <c r="E394" s="1406"/>
      <c r="F394" s="1433"/>
      <c r="G394" s="1408"/>
      <c r="H394" s="1414">
        <v>0</v>
      </c>
      <c r="I394" s="1413">
        <v>0</v>
      </c>
      <c r="J394" s="1413">
        <v>8.0000000000000002E-3</v>
      </c>
      <c r="K394" s="1413">
        <v>3.1E-2</v>
      </c>
      <c r="L394" s="1413">
        <v>5.3999999999999999E-2</v>
      </c>
      <c r="M394" s="1413">
        <v>7.7000000000000013E-2</v>
      </c>
      <c r="N394" s="1414">
        <v>0.1</v>
      </c>
      <c r="O394" s="1413">
        <v>2.18E-2</v>
      </c>
      <c r="P394" s="1241"/>
      <c r="Q394" s="1241"/>
      <c r="R394" s="1241"/>
      <c r="S394" s="1241"/>
      <c r="T394" s="1241"/>
      <c r="U394" s="1241"/>
      <c r="V394" s="1241"/>
      <c r="W394" s="1241"/>
      <c r="X394" s="1241"/>
      <c r="Y394" s="1241"/>
      <c r="Z394" s="1241"/>
      <c r="AA394" s="1241"/>
      <c r="AB394" s="1241"/>
      <c r="AC394" s="1241"/>
      <c r="AD394" s="1241"/>
      <c r="AE394" s="1241"/>
      <c r="AF394" s="1241"/>
      <c r="AG394" s="1241"/>
      <c r="AH394" s="1241"/>
      <c r="AI394" s="1241"/>
      <c r="AJ394" s="1241"/>
      <c r="AK394" s="1241"/>
      <c r="AL394" s="1241"/>
      <c r="AM394" s="1241"/>
      <c r="AN394" s="1241"/>
      <c r="AO394" s="1241"/>
      <c r="AP394" s="1241"/>
      <c r="AQ394" s="1241"/>
      <c r="AR394" s="1241"/>
      <c r="AS394" s="1241"/>
      <c r="AT394" s="1241"/>
      <c r="AU394" s="1241"/>
      <c r="AV394" s="1241"/>
      <c r="AW394" s="1241"/>
      <c r="AX394" s="1241"/>
      <c r="AY394" s="1241"/>
      <c r="AZ394" s="1241"/>
      <c r="BA394" s="1241"/>
      <c r="BB394" s="1241"/>
      <c r="BC394" s="1241"/>
      <c r="BD394" s="1241"/>
      <c r="BE394" s="1241"/>
      <c r="BF394" s="1241"/>
      <c r="BG394" s="1241"/>
      <c r="BH394" s="1241"/>
      <c r="BI394" s="1241"/>
      <c r="BJ394" s="1241"/>
      <c r="BK394" s="1241"/>
      <c r="BL394" s="1241"/>
      <c r="BM394" s="1241"/>
      <c r="BN394" s="1241"/>
      <c r="BO394" s="1241"/>
      <c r="BP394" s="1241"/>
      <c r="BQ394" s="1241"/>
      <c r="BR394" s="1241"/>
      <c r="BS394" s="1241"/>
      <c r="BT394" s="1241"/>
      <c r="BU394" s="1241"/>
      <c r="BV394" s="1241"/>
      <c r="BW394" s="1241"/>
      <c r="BX394" s="1241"/>
      <c r="BY394" s="1241"/>
      <c r="BZ394" s="1241"/>
      <c r="CA394" s="1241"/>
      <c r="CB394" s="1241"/>
      <c r="CC394" s="1241"/>
      <c r="CD394" s="1241"/>
      <c r="CE394" s="1241"/>
      <c r="CF394" s="1241"/>
      <c r="CG394" s="1241"/>
      <c r="CH394" s="1241"/>
      <c r="CI394" s="1241"/>
      <c r="CJ394" s="1241"/>
      <c r="CK394" s="1241"/>
      <c r="CL394" s="1241"/>
      <c r="CM394" s="1241"/>
      <c r="CN394" s="1241"/>
      <c r="CO394" s="1241"/>
      <c r="CP394" s="1241"/>
      <c r="CQ394" s="1241"/>
      <c r="CR394" s="1241"/>
      <c r="CS394" s="1241"/>
      <c r="CT394" s="1241"/>
      <c r="CU394" s="1241"/>
      <c r="CV394" s="1241"/>
      <c r="CW394" s="1241"/>
      <c r="CX394" s="1241"/>
      <c r="CY394" s="1241"/>
      <c r="CZ394" s="1241"/>
      <c r="DA394" s="1241"/>
      <c r="DB394" s="1241"/>
      <c r="DC394" s="1241"/>
      <c r="DD394" s="1241"/>
      <c r="DE394" s="1241"/>
      <c r="DF394" s="1241"/>
      <c r="DG394" s="1241"/>
      <c r="DH394" s="1241"/>
      <c r="DI394" s="1241"/>
      <c r="DJ394" s="1241"/>
      <c r="DK394" s="1241"/>
      <c r="DL394" s="1241"/>
      <c r="DM394" s="1241"/>
    </row>
    <row r="395" spans="1:117" s="1302" customFormat="1">
      <c r="A395" s="1241"/>
      <c r="B395" s="1263"/>
      <c r="C395" s="1211"/>
      <c r="D395" s="1211"/>
      <c r="E395" s="1211"/>
      <c r="F395" s="1415"/>
      <c r="G395" s="1293"/>
      <c r="H395" s="1293"/>
      <c r="I395" s="1293"/>
      <c r="J395" s="1293"/>
      <c r="K395" s="1293"/>
      <c r="L395" s="1293"/>
      <c r="M395" s="1293"/>
      <c r="N395" s="1293"/>
      <c r="O395" s="1293"/>
      <c r="P395" s="1241"/>
      <c r="Q395" s="1241"/>
      <c r="R395" s="1241"/>
      <c r="S395" s="1241"/>
      <c r="T395" s="1241"/>
      <c r="U395" s="1241"/>
      <c r="V395" s="1241"/>
      <c r="W395" s="1241"/>
      <c r="X395" s="1241"/>
      <c r="Y395" s="1241"/>
      <c r="Z395" s="1241"/>
      <c r="AA395" s="1241"/>
      <c r="AB395" s="1241"/>
      <c r="AC395" s="1241"/>
      <c r="AD395" s="1241"/>
      <c r="AE395" s="1241"/>
      <c r="AF395" s="1241"/>
      <c r="AG395" s="1241"/>
      <c r="AH395" s="1241"/>
      <c r="AI395" s="1241"/>
      <c r="AJ395" s="1241"/>
      <c r="AK395" s="1241"/>
      <c r="AL395" s="1241"/>
      <c r="AM395" s="1241"/>
      <c r="AN395" s="1241"/>
      <c r="AO395" s="1241"/>
      <c r="AP395" s="1241"/>
      <c r="AQ395" s="1241"/>
      <c r="AR395" s="1241"/>
      <c r="AS395" s="1241"/>
      <c r="AT395" s="1241"/>
      <c r="AU395" s="1241"/>
      <c r="AV395" s="1241"/>
      <c r="AW395" s="1241"/>
      <c r="AX395" s="1241"/>
      <c r="AY395" s="1241"/>
      <c r="AZ395" s="1241"/>
      <c r="BA395" s="1241"/>
      <c r="BB395" s="1241"/>
      <c r="BC395" s="1241"/>
      <c r="BD395" s="1241"/>
      <c r="BE395" s="1241"/>
      <c r="BF395" s="1241"/>
      <c r="BG395" s="1241"/>
      <c r="BH395" s="1241"/>
      <c r="BI395" s="1241"/>
      <c r="BJ395" s="1241"/>
      <c r="BK395" s="1241"/>
      <c r="BL395" s="1241"/>
      <c r="BM395" s="1241"/>
      <c r="BN395" s="1241"/>
      <c r="BO395" s="1241"/>
      <c r="BP395" s="1241"/>
      <c r="BQ395" s="1241"/>
      <c r="BR395" s="1241"/>
      <c r="BS395" s="1241"/>
      <c r="BT395" s="1241"/>
      <c r="BU395" s="1241"/>
      <c r="BV395" s="1241"/>
      <c r="BW395" s="1241"/>
      <c r="BX395" s="1241"/>
      <c r="BY395" s="1241"/>
      <c r="BZ395" s="1241"/>
      <c r="CA395" s="1241"/>
      <c r="CB395" s="1241"/>
      <c r="CC395" s="1241"/>
      <c r="CD395" s="1241"/>
      <c r="CE395" s="1241"/>
      <c r="CF395" s="1241"/>
      <c r="CG395" s="1241"/>
      <c r="CH395" s="1241"/>
      <c r="CI395" s="1241"/>
      <c r="CJ395" s="1241"/>
      <c r="CK395" s="1241"/>
      <c r="CL395" s="1241"/>
      <c r="CM395" s="1241"/>
      <c r="CN395" s="1241"/>
      <c r="CO395" s="1241"/>
      <c r="CP395" s="1241"/>
      <c r="CQ395" s="1241"/>
      <c r="CR395" s="1241"/>
      <c r="CS395" s="1241"/>
      <c r="CT395" s="1241"/>
      <c r="CU395" s="1241"/>
      <c r="CV395" s="1241"/>
      <c r="CW395" s="1241"/>
      <c r="CX395" s="1241"/>
      <c r="CY395" s="1241"/>
      <c r="CZ395" s="1241"/>
      <c r="DA395" s="1241"/>
      <c r="DB395" s="1241"/>
      <c r="DC395" s="1241"/>
      <c r="DD395" s="1241"/>
      <c r="DE395" s="1241"/>
      <c r="DF395" s="1241"/>
      <c r="DG395" s="1241"/>
      <c r="DH395" s="1241"/>
      <c r="DI395" s="1241"/>
      <c r="DJ395" s="1241"/>
      <c r="DK395" s="1241"/>
      <c r="DL395" s="1241"/>
      <c r="DM395" s="1241"/>
    </row>
    <row r="396" spans="1:117" s="1302" customFormat="1">
      <c r="A396" s="1241"/>
      <c r="B396" s="1263"/>
      <c r="C396" s="1201" t="s">
        <v>4166</v>
      </c>
      <c r="D396" s="1201" t="s">
        <v>4248</v>
      </c>
      <c r="E396" s="1201" t="s">
        <v>48</v>
      </c>
      <c r="F396" s="1203"/>
      <c r="G396" s="1202"/>
      <c r="H396" s="1202">
        <v>2020</v>
      </c>
      <c r="I396" s="1202">
        <v>2022</v>
      </c>
      <c r="J396" s="1202">
        <v>2027</v>
      </c>
      <c r="K396" s="1202">
        <v>2032</v>
      </c>
      <c r="L396" s="1202">
        <v>2037</v>
      </c>
      <c r="M396" s="1202">
        <v>2042</v>
      </c>
      <c r="N396" s="1202">
        <v>2047</v>
      </c>
      <c r="O396" s="1202">
        <v>2030</v>
      </c>
      <c r="P396" s="1241"/>
      <c r="Q396" s="1241"/>
      <c r="R396" s="1241"/>
      <c r="S396" s="1241"/>
      <c r="T396" s="1241"/>
      <c r="U396" s="1241"/>
      <c r="V396" s="1241"/>
      <c r="W396" s="1241"/>
      <c r="X396" s="1241"/>
      <c r="Y396" s="1241"/>
      <c r="Z396" s="1241"/>
      <c r="AA396" s="1241"/>
      <c r="AB396" s="1241"/>
      <c r="AC396" s="1241"/>
      <c r="AD396" s="1241"/>
      <c r="AE396" s="1241"/>
      <c r="AF396" s="1241"/>
      <c r="AG396" s="1241"/>
      <c r="AH396" s="1241"/>
      <c r="AI396" s="1241"/>
      <c r="AJ396" s="1241"/>
      <c r="AK396" s="1241"/>
      <c r="AL396" s="1241"/>
      <c r="AM396" s="1241"/>
      <c r="AN396" s="1241"/>
      <c r="AO396" s="1241"/>
      <c r="AP396" s="1241"/>
      <c r="AQ396" s="1241"/>
      <c r="AR396" s="1241"/>
      <c r="AS396" s="1241"/>
      <c r="AT396" s="1241"/>
      <c r="AU396" s="1241"/>
      <c r="AV396" s="1241"/>
      <c r="AW396" s="1241"/>
      <c r="AX396" s="1241"/>
      <c r="AY396" s="1241"/>
      <c r="AZ396" s="1241"/>
      <c r="BA396" s="1241"/>
      <c r="BB396" s="1241"/>
      <c r="BC396" s="1241"/>
      <c r="BD396" s="1241"/>
      <c r="BE396" s="1241"/>
      <c r="BF396" s="1241"/>
      <c r="BG396" s="1241"/>
      <c r="BH396" s="1241"/>
      <c r="BI396" s="1241"/>
      <c r="BJ396" s="1241"/>
      <c r="BK396" s="1241"/>
      <c r="BL396" s="1241"/>
      <c r="BM396" s="1241"/>
      <c r="BN396" s="1241"/>
      <c r="BO396" s="1241"/>
      <c r="BP396" s="1241"/>
      <c r="BQ396" s="1241"/>
      <c r="BR396" s="1241"/>
      <c r="BS396" s="1241"/>
      <c r="BT396" s="1241"/>
      <c r="BU396" s="1241"/>
      <c r="BV396" s="1241"/>
      <c r="BW396" s="1241"/>
      <c r="BX396" s="1241"/>
      <c r="BY396" s="1241"/>
      <c r="BZ396" s="1241"/>
      <c r="CA396" s="1241"/>
      <c r="CB396" s="1241"/>
      <c r="CC396" s="1241"/>
      <c r="CD396" s="1241"/>
      <c r="CE396" s="1241"/>
      <c r="CF396" s="1241"/>
      <c r="CG396" s="1241"/>
      <c r="CH396" s="1241"/>
      <c r="CI396" s="1241"/>
      <c r="CJ396" s="1241"/>
      <c r="CK396" s="1241"/>
      <c r="CL396" s="1241"/>
      <c r="CM396" s="1241"/>
      <c r="CN396" s="1241"/>
      <c r="CO396" s="1241"/>
      <c r="CP396" s="1241"/>
      <c r="CQ396" s="1241"/>
      <c r="CR396" s="1241"/>
      <c r="CS396" s="1241"/>
      <c r="CT396" s="1241"/>
      <c r="CU396" s="1241"/>
      <c r="CV396" s="1241"/>
      <c r="CW396" s="1241"/>
      <c r="CX396" s="1241"/>
      <c r="CY396" s="1241"/>
      <c r="CZ396" s="1241"/>
      <c r="DA396" s="1241"/>
      <c r="DB396" s="1241"/>
      <c r="DC396" s="1241"/>
      <c r="DD396" s="1241"/>
      <c r="DE396" s="1241"/>
      <c r="DF396" s="1241"/>
      <c r="DG396" s="1241"/>
      <c r="DH396" s="1241"/>
      <c r="DI396" s="1241"/>
      <c r="DJ396" s="1241"/>
      <c r="DK396" s="1241"/>
      <c r="DL396" s="1241"/>
      <c r="DM396" s="1241"/>
    </row>
    <row r="397" spans="1:117" s="1302" customFormat="1" ht="15">
      <c r="A397" s="1241"/>
      <c r="B397" s="1263"/>
      <c r="C397" s="1211" t="s">
        <v>4032</v>
      </c>
      <c r="D397" s="1211" t="s">
        <v>4033</v>
      </c>
      <c r="E397" s="1268"/>
      <c r="F397" s="1372"/>
      <c r="G397" s="1375"/>
      <c r="H397" s="1375">
        <v>0.13</v>
      </c>
      <c r="I397" s="1405">
        <v>0.13148148148148148</v>
      </c>
      <c r="J397" s="1405">
        <v>0.13518518518518519</v>
      </c>
      <c r="K397" s="1405">
        <v>0.1388888888888889</v>
      </c>
      <c r="L397" s="1405">
        <v>0.1425925925925926</v>
      </c>
      <c r="M397" s="1405">
        <v>0.14629629629629629</v>
      </c>
      <c r="N397" s="1416">
        <v>0.15</v>
      </c>
      <c r="O397" s="1405">
        <v>0.13740740740740739</v>
      </c>
      <c r="P397" s="1241"/>
      <c r="Q397" s="1241"/>
      <c r="R397" s="1241"/>
      <c r="S397" s="1241"/>
      <c r="T397" s="1241"/>
      <c r="U397" s="1241"/>
      <c r="V397" s="1241"/>
      <c r="W397" s="1241"/>
      <c r="X397" s="1241"/>
      <c r="Y397" s="1241"/>
      <c r="Z397" s="1241"/>
      <c r="AA397" s="1241"/>
      <c r="AB397" s="1241"/>
      <c r="AC397" s="1241"/>
      <c r="AD397" s="1241"/>
      <c r="AE397" s="1241"/>
      <c r="AF397" s="1241"/>
      <c r="AG397" s="1241"/>
      <c r="AH397" s="1241"/>
      <c r="AI397" s="1241"/>
      <c r="AJ397" s="1241"/>
      <c r="AK397" s="1241"/>
      <c r="AL397" s="1241"/>
      <c r="AM397" s="1241"/>
      <c r="AN397" s="1241"/>
      <c r="AO397" s="1241"/>
      <c r="AP397" s="1241"/>
      <c r="AQ397" s="1241"/>
      <c r="AR397" s="1241"/>
      <c r="AS397" s="1241"/>
      <c r="AT397" s="1241"/>
      <c r="AU397" s="1241"/>
      <c r="AV397" s="1241"/>
      <c r="AW397" s="1241"/>
      <c r="AX397" s="1241"/>
      <c r="AY397" s="1241"/>
      <c r="AZ397" s="1241"/>
      <c r="BA397" s="1241"/>
      <c r="BB397" s="1241"/>
      <c r="BC397" s="1241"/>
      <c r="BD397" s="1241"/>
      <c r="BE397" s="1241"/>
      <c r="BF397" s="1241"/>
      <c r="BG397" s="1241"/>
      <c r="BH397" s="1241"/>
      <c r="BI397" s="1241"/>
      <c r="BJ397" s="1241"/>
      <c r="BK397" s="1241"/>
      <c r="BL397" s="1241"/>
      <c r="BM397" s="1241"/>
      <c r="BN397" s="1241"/>
      <c r="BO397" s="1241"/>
      <c r="BP397" s="1241"/>
      <c r="BQ397" s="1241"/>
      <c r="BR397" s="1241"/>
      <c r="BS397" s="1241"/>
      <c r="BT397" s="1241"/>
      <c r="BU397" s="1241"/>
      <c r="BV397" s="1241"/>
      <c r="BW397" s="1241"/>
      <c r="BX397" s="1241"/>
      <c r="BY397" s="1241"/>
      <c r="BZ397" s="1241"/>
      <c r="CA397" s="1241"/>
      <c r="CB397" s="1241"/>
      <c r="CC397" s="1241"/>
      <c r="CD397" s="1241"/>
      <c r="CE397" s="1241"/>
      <c r="CF397" s="1241"/>
      <c r="CG397" s="1241"/>
      <c r="CH397" s="1241"/>
      <c r="CI397" s="1241"/>
      <c r="CJ397" s="1241"/>
      <c r="CK397" s="1241"/>
      <c r="CL397" s="1241"/>
      <c r="CM397" s="1241"/>
      <c r="CN397" s="1241"/>
      <c r="CO397" s="1241"/>
      <c r="CP397" s="1241"/>
      <c r="CQ397" s="1241"/>
      <c r="CR397" s="1241"/>
      <c r="CS397" s="1241"/>
      <c r="CT397" s="1241"/>
      <c r="CU397" s="1241"/>
      <c r="CV397" s="1241"/>
      <c r="CW397" s="1241"/>
      <c r="CX397" s="1241"/>
      <c r="CY397" s="1241"/>
      <c r="CZ397" s="1241"/>
      <c r="DA397" s="1241"/>
      <c r="DB397" s="1241"/>
      <c r="DC397" s="1241"/>
      <c r="DD397" s="1241"/>
      <c r="DE397" s="1241"/>
      <c r="DF397" s="1241"/>
      <c r="DG397" s="1241"/>
      <c r="DH397" s="1241"/>
      <c r="DI397" s="1241"/>
      <c r="DJ397" s="1241"/>
      <c r="DK397" s="1241"/>
      <c r="DL397" s="1241"/>
      <c r="DM397" s="1241"/>
    </row>
    <row r="398" spans="1:117" s="1302" customFormat="1" ht="15">
      <c r="A398" s="1241"/>
      <c r="B398" s="1263"/>
      <c r="C398" s="1211" t="s">
        <v>3997</v>
      </c>
      <c r="D398" s="1211" t="s">
        <v>3998</v>
      </c>
      <c r="E398" s="1268"/>
      <c r="F398" s="1372"/>
      <c r="G398" s="1375"/>
      <c r="H398" s="1375">
        <v>0.83499999999999996</v>
      </c>
      <c r="I398" s="1405">
        <v>0.83277777777777773</v>
      </c>
      <c r="J398" s="1405">
        <v>0.82722222222222219</v>
      </c>
      <c r="K398" s="1405">
        <v>0.82166666666666666</v>
      </c>
      <c r="L398" s="1405">
        <v>0.81611111111111112</v>
      </c>
      <c r="M398" s="1405">
        <v>0.81055555555555558</v>
      </c>
      <c r="N398" s="1416">
        <v>0.80499999999999994</v>
      </c>
      <c r="O398" s="1405">
        <v>0.82388888888888889</v>
      </c>
      <c r="P398" s="1241"/>
      <c r="Q398" s="1241"/>
      <c r="R398" s="1241"/>
      <c r="S398" s="1241"/>
      <c r="T398" s="1241"/>
      <c r="U398" s="1241"/>
      <c r="V398" s="1241"/>
      <c r="W398" s="1241"/>
      <c r="X398" s="1241"/>
      <c r="Y398" s="1241"/>
      <c r="Z398" s="1241"/>
      <c r="AA398" s="1241"/>
      <c r="AB398" s="1241"/>
      <c r="AC398" s="1241"/>
      <c r="AD398" s="1241"/>
      <c r="AE398" s="1241"/>
      <c r="AF398" s="1241"/>
      <c r="AG398" s="1241"/>
      <c r="AH398" s="1241"/>
      <c r="AI398" s="1241"/>
      <c r="AJ398" s="1241"/>
      <c r="AK398" s="1241"/>
      <c r="AL398" s="1241"/>
      <c r="AM398" s="1241"/>
      <c r="AN398" s="1241"/>
      <c r="AO398" s="1241"/>
      <c r="AP398" s="1241"/>
      <c r="AQ398" s="1241"/>
      <c r="AR398" s="1241"/>
      <c r="AS398" s="1241"/>
      <c r="AT398" s="1241"/>
      <c r="AU398" s="1241"/>
      <c r="AV398" s="1241"/>
      <c r="AW398" s="1241"/>
      <c r="AX398" s="1241"/>
      <c r="AY398" s="1241"/>
      <c r="AZ398" s="1241"/>
      <c r="BA398" s="1241"/>
      <c r="BB398" s="1241"/>
      <c r="BC398" s="1241"/>
      <c r="BD398" s="1241"/>
      <c r="BE398" s="1241"/>
      <c r="BF398" s="1241"/>
      <c r="BG398" s="1241"/>
      <c r="BH398" s="1241"/>
      <c r="BI398" s="1241"/>
      <c r="BJ398" s="1241"/>
      <c r="BK398" s="1241"/>
      <c r="BL398" s="1241"/>
      <c r="BM398" s="1241"/>
      <c r="BN398" s="1241"/>
      <c r="BO398" s="1241"/>
      <c r="BP398" s="1241"/>
      <c r="BQ398" s="1241"/>
      <c r="BR398" s="1241"/>
      <c r="BS398" s="1241"/>
      <c r="BT398" s="1241"/>
      <c r="BU398" s="1241"/>
      <c r="BV398" s="1241"/>
      <c r="BW398" s="1241"/>
      <c r="BX398" s="1241"/>
      <c r="BY398" s="1241"/>
      <c r="BZ398" s="1241"/>
      <c r="CA398" s="1241"/>
      <c r="CB398" s="1241"/>
      <c r="CC398" s="1241"/>
      <c r="CD398" s="1241"/>
      <c r="CE398" s="1241"/>
      <c r="CF398" s="1241"/>
      <c r="CG398" s="1241"/>
      <c r="CH398" s="1241"/>
      <c r="CI398" s="1241"/>
      <c r="CJ398" s="1241"/>
      <c r="CK398" s="1241"/>
      <c r="CL398" s="1241"/>
      <c r="CM398" s="1241"/>
      <c r="CN398" s="1241"/>
      <c r="CO398" s="1241"/>
      <c r="CP398" s="1241"/>
      <c r="CQ398" s="1241"/>
      <c r="CR398" s="1241"/>
      <c r="CS398" s="1241"/>
      <c r="CT398" s="1241"/>
      <c r="CU398" s="1241"/>
      <c r="CV398" s="1241"/>
      <c r="CW398" s="1241"/>
      <c r="CX398" s="1241"/>
      <c r="CY398" s="1241"/>
      <c r="CZ398" s="1241"/>
      <c r="DA398" s="1241"/>
      <c r="DB398" s="1241"/>
      <c r="DC398" s="1241"/>
      <c r="DD398" s="1241"/>
      <c r="DE398" s="1241"/>
      <c r="DF398" s="1241"/>
      <c r="DG398" s="1241"/>
      <c r="DH398" s="1241"/>
      <c r="DI398" s="1241"/>
      <c r="DJ398" s="1241"/>
      <c r="DK398" s="1241"/>
      <c r="DL398" s="1241"/>
      <c r="DM398" s="1241"/>
    </row>
    <row r="399" spans="1:117" s="1302" customFormat="1" ht="15">
      <c r="A399" s="1241"/>
      <c r="B399" s="1263"/>
      <c r="C399" s="1211" t="s">
        <v>3999</v>
      </c>
      <c r="D399" s="1211" t="s">
        <v>4000</v>
      </c>
      <c r="E399" s="1268"/>
      <c r="F399" s="1372"/>
      <c r="G399" s="1375"/>
      <c r="H399" s="1375">
        <v>1.4999999999999999E-2</v>
      </c>
      <c r="I399" s="1405">
        <v>1.4999999999999999E-2</v>
      </c>
      <c r="J399" s="1405">
        <v>1.4999999999999999E-2</v>
      </c>
      <c r="K399" s="1405">
        <v>1.4999999999999999E-2</v>
      </c>
      <c r="L399" s="1405">
        <v>1.4999999999999999E-2</v>
      </c>
      <c r="M399" s="1405">
        <v>1.4999999999999999E-2</v>
      </c>
      <c r="N399" s="1416">
        <v>1.4999999999999999E-2</v>
      </c>
      <c r="O399" s="1405">
        <v>1.4999999999999999E-2</v>
      </c>
      <c r="P399" s="1241"/>
      <c r="Q399" s="1241"/>
      <c r="R399" s="1241"/>
      <c r="S399" s="1241"/>
      <c r="T399" s="1241"/>
      <c r="U399" s="1241"/>
      <c r="V399" s="1241"/>
      <c r="W399" s="1241"/>
      <c r="X399" s="1241"/>
      <c r="Y399" s="1241"/>
      <c r="Z399" s="1241"/>
      <c r="AA399" s="1241"/>
      <c r="AB399" s="1241"/>
      <c r="AC399" s="1241"/>
      <c r="AD399" s="1241"/>
      <c r="AE399" s="1241"/>
      <c r="AF399" s="1241"/>
      <c r="AG399" s="1241"/>
      <c r="AH399" s="1241"/>
      <c r="AI399" s="1241"/>
      <c r="AJ399" s="1241"/>
      <c r="AK399" s="1241"/>
      <c r="AL399" s="1241"/>
      <c r="AM399" s="1241"/>
      <c r="AN399" s="1241"/>
      <c r="AO399" s="1241"/>
      <c r="AP399" s="1241"/>
      <c r="AQ399" s="1241"/>
      <c r="AR399" s="1241"/>
      <c r="AS399" s="1241"/>
      <c r="AT399" s="1241"/>
      <c r="AU399" s="1241"/>
      <c r="AV399" s="1241"/>
      <c r="AW399" s="1241"/>
      <c r="AX399" s="1241"/>
      <c r="AY399" s="1241"/>
      <c r="AZ399" s="1241"/>
      <c r="BA399" s="1241"/>
      <c r="BB399" s="1241"/>
      <c r="BC399" s="1241"/>
      <c r="BD399" s="1241"/>
      <c r="BE399" s="1241"/>
      <c r="BF399" s="1241"/>
      <c r="BG399" s="1241"/>
      <c r="BH399" s="1241"/>
      <c r="BI399" s="1241"/>
      <c r="BJ399" s="1241"/>
      <c r="BK399" s="1241"/>
      <c r="BL399" s="1241"/>
      <c r="BM399" s="1241"/>
      <c r="BN399" s="1241"/>
      <c r="BO399" s="1241"/>
      <c r="BP399" s="1241"/>
      <c r="BQ399" s="1241"/>
      <c r="BR399" s="1241"/>
      <c r="BS399" s="1241"/>
      <c r="BT399" s="1241"/>
      <c r="BU399" s="1241"/>
      <c r="BV399" s="1241"/>
      <c r="BW399" s="1241"/>
      <c r="BX399" s="1241"/>
      <c r="BY399" s="1241"/>
      <c r="BZ399" s="1241"/>
      <c r="CA399" s="1241"/>
      <c r="CB399" s="1241"/>
      <c r="CC399" s="1241"/>
      <c r="CD399" s="1241"/>
      <c r="CE399" s="1241"/>
      <c r="CF399" s="1241"/>
      <c r="CG399" s="1241"/>
      <c r="CH399" s="1241"/>
      <c r="CI399" s="1241"/>
      <c r="CJ399" s="1241"/>
      <c r="CK399" s="1241"/>
      <c r="CL399" s="1241"/>
      <c r="CM399" s="1241"/>
      <c r="CN399" s="1241"/>
      <c r="CO399" s="1241"/>
      <c r="CP399" s="1241"/>
      <c r="CQ399" s="1241"/>
      <c r="CR399" s="1241"/>
      <c r="CS399" s="1241"/>
      <c r="CT399" s="1241"/>
      <c r="CU399" s="1241"/>
      <c r="CV399" s="1241"/>
      <c r="CW399" s="1241"/>
      <c r="CX399" s="1241"/>
      <c r="CY399" s="1241"/>
      <c r="CZ399" s="1241"/>
      <c r="DA399" s="1241"/>
      <c r="DB399" s="1241"/>
      <c r="DC399" s="1241"/>
      <c r="DD399" s="1241"/>
      <c r="DE399" s="1241"/>
      <c r="DF399" s="1241"/>
      <c r="DG399" s="1241"/>
      <c r="DH399" s="1241"/>
      <c r="DI399" s="1241"/>
      <c r="DJ399" s="1241"/>
      <c r="DK399" s="1241"/>
      <c r="DL399" s="1241"/>
      <c r="DM399" s="1241"/>
    </row>
    <row r="400" spans="1:117" s="1302" customFormat="1" ht="15">
      <c r="A400" s="1241"/>
      <c r="B400" s="1263"/>
      <c r="C400" s="1211" t="s">
        <v>4001</v>
      </c>
      <c r="D400" s="1211" t="s">
        <v>4002</v>
      </c>
      <c r="E400" s="1268"/>
      <c r="F400" s="1372"/>
      <c r="G400" s="1375"/>
      <c r="H400" s="1375">
        <v>0.02</v>
      </c>
      <c r="I400" s="1405">
        <v>2.074074074074074E-2</v>
      </c>
      <c r="J400" s="1405">
        <v>2.2592592592592595E-2</v>
      </c>
      <c r="K400" s="1405">
        <v>2.4444444444444442E-2</v>
      </c>
      <c r="L400" s="1405">
        <v>2.6296296296296297E-2</v>
      </c>
      <c r="M400" s="1405">
        <v>2.8148148148148148E-2</v>
      </c>
      <c r="N400" s="1416">
        <v>0.03</v>
      </c>
      <c r="O400" s="1405">
        <v>2.3703703703703703E-2</v>
      </c>
      <c r="P400" s="1241"/>
      <c r="Q400" s="1241"/>
      <c r="R400" s="1241"/>
      <c r="S400" s="1241"/>
      <c r="T400" s="1241"/>
      <c r="U400" s="1241"/>
      <c r="V400" s="1241"/>
      <c r="W400" s="1241"/>
      <c r="X400" s="1241"/>
      <c r="Y400" s="1241"/>
      <c r="Z400" s="1241"/>
      <c r="AA400" s="1241"/>
      <c r="AB400" s="1241"/>
      <c r="AC400" s="1241"/>
      <c r="AD400" s="1241"/>
      <c r="AE400" s="1241"/>
      <c r="AF400" s="1241"/>
      <c r="AG400" s="1241"/>
      <c r="AH400" s="1241"/>
      <c r="AI400" s="1241"/>
      <c r="AJ400" s="1241"/>
      <c r="AK400" s="1241"/>
      <c r="AL400" s="1241"/>
      <c r="AM400" s="1241"/>
      <c r="AN400" s="1241"/>
      <c r="AO400" s="1241"/>
      <c r="AP400" s="1241"/>
      <c r="AQ400" s="1241"/>
      <c r="AR400" s="1241"/>
      <c r="AS400" s="1241"/>
      <c r="AT400" s="1241"/>
      <c r="AU400" s="1241"/>
      <c r="AV400" s="1241"/>
      <c r="AW400" s="1241"/>
      <c r="AX400" s="1241"/>
      <c r="AY400" s="1241"/>
      <c r="AZ400" s="1241"/>
      <c r="BA400" s="1241"/>
      <c r="BB400" s="1241"/>
      <c r="BC400" s="1241"/>
      <c r="BD400" s="1241"/>
      <c r="BE400" s="1241"/>
      <c r="BF400" s="1241"/>
      <c r="BG400" s="1241"/>
      <c r="BH400" s="1241"/>
      <c r="BI400" s="1241"/>
      <c r="BJ400" s="1241"/>
      <c r="BK400" s="1241"/>
      <c r="BL400" s="1241"/>
      <c r="BM400" s="1241"/>
      <c r="BN400" s="1241"/>
      <c r="BO400" s="1241"/>
      <c r="BP400" s="1241"/>
      <c r="BQ400" s="1241"/>
      <c r="BR400" s="1241"/>
      <c r="BS400" s="1241"/>
      <c r="BT400" s="1241"/>
      <c r="BU400" s="1241"/>
      <c r="BV400" s="1241"/>
      <c r="BW400" s="1241"/>
      <c r="BX400" s="1241"/>
      <c r="BY400" s="1241"/>
      <c r="BZ400" s="1241"/>
      <c r="CA400" s="1241"/>
      <c r="CB400" s="1241"/>
      <c r="CC400" s="1241"/>
      <c r="CD400" s="1241"/>
      <c r="CE400" s="1241"/>
      <c r="CF400" s="1241"/>
      <c r="CG400" s="1241"/>
      <c r="CH400" s="1241"/>
      <c r="CI400" s="1241"/>
      <c r="CJ400" s="1241"/>
      <c r="CK400" s="1241"/>
      <c r="CL400" s="1241"/>
      <c r="CM400" s="1241"/>
      <c r="CN400" s="1241"/>
      <c r="CO400" s="1241"/>
      <c r="CP400" s="1241"/>
      <c r="CQ400" s="1241"/>
      <c r="CR400" s="1241"/>
      <c r="CS400" s="1241"/>
      <c r="CT400" s="1241"/>
      <c r="CU400" s="1241"/>
      <c r="CV400" s="1241"/>
      <c r="CW400" s="1241"/>
      <c r="CX400" s="1241"/>
      <c r="CY400" s="1241"/>
      <c r="CZ400" s="1241"/>
      <c r="DA400" s="1241"/>
      <c r="DB400" s="1241"/>
      <c r="DC400" s="1241"/>
      <c r="DD400" s="1241"/>
      <c r="DE400" s="1241"/>
      <c r="DF400" s="1241"/>
      <c r="DG400" s="1241"/>
      <c r="DH400" s="1241"/>
      <c r="DI400" s="1241"/>
      <c r="DJ400" s="1241"/>
      <c r="DK400" s="1241"/>
      <c r="DL400" s="1241"/>
      <c r="DM400" s="1241"/>
    </row>
    <row r="401" spans="1:117" s="1302" customFormat="1" ht="15">
      <c r="A401" s="1241"/>
      <c r="B401" s="1263"/>
      <c r="C401" s="1211" t="s">
        <v>4011</v>
      </c>
      <c r="D401" s="1211" t="s">
        <v>4012</v>
      </c>
      <c r="E401" s="1268"/>
      <c r="F401" s="1372"/>
      <c r="G401" s="1375"/>
      <c r="H401" s="1375">
        <v>0</v>
      </c>
      <c r="I401" s="1375">
        <v>0</v>
      </c>
      <c r="J401" s="1375">
        <v>0</v>
      </c>
      <c r="K401" s="1375">
        <v>0</v>
      </c>
      <c r="L401" s="1375">
        <v>0</v>
      </c>
      <c r="M401" s="1375">
        <v>0</v>
      </c>
      <c r="N401" s="1375">
        <v>0</v>
      </c>
      <c r="O401" s="1375">
        <v>0</v>
      </c>
      <c r="P401" s="1241"/>
      <c r="Q401" s="1241"/>
      <c r="R401" s="1241"/>
      <c r="S401" s="1241"/>
      <c r="T401" s="1241"/>
      <c r="U401" s="1241"/>
      <c r="V401" s="1241"/>
      <c r="W401" s="1241"/>
      <c r="X401" s="1241"/>
      <c r="Y401" s="1241"/>
      <c r="Z401" s="1241"/>
      <c r="AA401" s="1241"/>
      <c r="AB401" s="1241"/>
      <c r="AC401" s="1241"/>
      <c r="AD401" s="1241"/>
      <c r="AE401" s="1241"/>
      <c r="AF401" s="1241"/>
      <c r="AG401" s="1241"/>
      <c r="AH401" s="1241"/>
      <c r="AI401" s="1241"/>
      <c r="AJ401" s="1241"/>
      <c r="AK401" s="1241"/>
      <c r="AL401" s="1241"/>
      <c r="AM401" s="1241"/>
      <c r="AN401" s="1241"/>
      <c r="AO401" s="1241"/>
      <c r="AP401" s="1241"/>
      <c r="AQ401" s="1241"/>
      <c r="AR401" s="1241"/>
      <c r="AS401" s="1241"/>
      <c r="AT401" s="1241"/>
      <c r="AU401" s="1241"/>
      <c r="AV401" s="1241"/>
      <c r="AW401" s="1241"/>
      <c r="AX401" s="1241"/>
      <c r="AY401" s="1241"/>
      <c r="AZ401" s="1241"/>
      <c r="BA401" s="1241"/>
      <c r="BB401" s="1241"/>
      <c r="BC401" s="1241"/>
      <c r="BD401" s="1241"/>
      <c r="BE401" s="1241"/>
      <c r="BF401" s="1241"/>
      <c r="BG401" s="1241"/>
      <c r="BH401" s="1241"/>
      <c r="BI401" s="1241"/>
      <c r="BJ401" s="1241"/>
      <c r="BK401" s="1241"/>
      <c r="BL401" s="1241"/>
      <c r="BM401" s="1241"/>
      <c r="BN401" s="1241"/>
      <c r="BO401" s="1241"/>
      <c r="BP401" s="1241"/>
      <c r="BQ401" s="1241"/>
      <c r="BR401" s="1241"/>
      <c r="BS401" s="1241"/>
      <c r="BT401" s="1241"/>
      <c r="BU401" s="1241"/>
      <c r="BV401" s="1241"/>
      <c r="BW401" s="1241"/>
      <c r="BX401" s="1241"/>
      <c r="BY401" s="1241"/>
      <c r="BZ401" s="1241"/>
      <c r="CA401" s="1241"/>
      <c r="CB401" s="1241"/>
      <c r="CC401" s="1241"/>
      <c r="CD401" s="1241"/>
      <c r="CE401" s="1241"/>
      <c r="CF401" s="1241"/>
      <c r="CG401" s="1241"/>
      <c r="CH401" s="1241"/>
      <c r="CI401" s="1241"/>
      <c r="CJ401" s="1241"/>
      <c r="CK401" s="1241"/>
      <c r="CL401" s="1241"/>
      <c r="CM401" s="1241"/>
      <c r="CN401" s="1241"/>
      <c r="CO401" s="1241"/>
      <c r="CP401" s="1241"/>
      <c r="CQ401" s="1241"/>
      <c r="CR401" s="1241"/>
      <c r="CS401" s="1241"/>
      <c r="CT401" s="1241"/>
      <c r="CU401" s="1241"/>
      <c r="CV401" s="1241"/>
      <c r="CW401" s="1241"/>
      <c r="CX401" s="1241"/>
      <c r="CY401" s="1241"/>
      <c r="CZ401" s="1241"/>
      <c r="DA401" s="1241"/>
      <c r="DB401" s="1241"/>
      <c r="DC401" s="1241"/>
      <c r="DD401" s="1241"/>
      <c r="DE401" s="1241"/>
      <c r="DF401" s="1241"/>
      <c r="DG401" s="1241"/>
      <c r="DH401" s="1241"/>
      <c r="DI401" s="1241"/>
      <c r="DJ401" s="1241"/>
      <c r="DK401" s="1241"/>
      <c r="DL401" s="1241"/>
      <c r="DM401" s="1241"/>
    </row>
    <row r="402" spans="1:117" s="1302" customFormat="1">
      <c r="A402" s="1241"/>
      <c r="B402" s="1263"/>
      <c r="C402" s="1406" t="s">
        <v>4025</v>
      </c>
      <c r="D402" s="1406" t="s">
        <v>4026</v>
      </c>
      <c r="E402" s="1406"/>
      <c r="F402" s="1407"/>
      <c r="G402" s="1408"/>
      <c r="H402" s="1408">
        <v>0</v>
      </c>
      <c r="I402" s="1408">
        <v>0</v>
      </c>
      <c r="J402" s="1408">
        <v>0</v>
      </c>
      <c r="K402" s="1408">
        <v>0</v>
      </c>
      <c r="L402" s="1408">
        <v>0</v>
      </c>
      <c r="M402" s="1408">
        <v>0</v>
      </c>
      <c r="N402" s="1408">
        <v>0</v>
      </c>
      <c r="O402" s="1408">
        <v>0</v>
      </c>
      <c r="P402" s="1241"/>
      <c r="Q402" s="1241"/>
      <c r="R402" s="1241"/>
      <c r="S402" s="1241"/>
      <c r="T402" s="1241"/>
      <c r="U402" s="1241"/>
      <c r="V402" s="1241"/>
      <c r="W402" s="1241"/>
      <c r="X402" s="1241"/>
      <c r="Y402" s="1241"/>
      <c r="Z402" s="1241"/>
      <c r="AA402" s="1241"/>
      <c r="AB402" s="1241"/>
      <c r="AC402" s="1241"/>
      <c r="AD402" s="1241"/>
      <c r="AE402" s="1241"/>
      <c r="AF402" s="1241"/>
      <c r="AG402" s="1241"/>
      <c r="AH402" s="1241"/>
      <c r="AI402" s="1241"/>
      <c r="AJ402" s="1241"/>
      <c r="AK402" s="1241"/>
      <c r="AL402" s="1241"/>
      <c r="AM402" s="1241"/>
      <c r="AN402" s="1241"/>
      <c r="AO402" s="1241"/>
      <c r="AP402" s="1241"/>
      <c r="AQ402" s="1241"/>
      <c r="AR402" s="1241"/>
      <c r="AS402" s="1241"/>
      <c r="AT402" s="1241"/>
      <c r="AU402" s="1241"/>
      <c r="AV402" s="1241"/>
      <c r="AW402" s="1241"/>
      <c r="AX402" s="1241"/>
      <c r="AY402" s="1241"/>
      <c r="AZ402" s="1241"/>
      <c r="BA402" s="1241"/>
      <c r="BB402" s="1241"/>
      <c r="BC402" s="1241"/>
      <c r="BD402" s="1241"/>
      <c r="BE402" s="1241"/>
      <c r="BF402" s="1241"/>
      <c r="BG402" s="1241"/>
      <c r="BH402" s="1241"/>
      <c r="BI402" s="1241"/>
      <c r="BJ402" s="1241"/>
      <c r="BK402" s="1241"/>
      <c r="BL402" s="1241"/>
      <c r="BM402" s="1241"/>
      <c r="BN402" s="1241"/>
      <c r="BO402" s="1241"/>
      <c r="BP402" s="1241"/>
      <c r="BQ402" s="1241"/>
      <c r="BR402" s="1241"/>
      <c r="BS402" s="1241"/>
      <c r="BT402" s="1241"/>
      <c r="BU402" s="1241"/>
      <c r="BV402" s="1241"/>
      <c r="BW402" s="1241"/>
      <c r="BX402" s="1241"/>
      <c r="BY402" s="1241"/>
      <c r="BZ402" s="1241"/>
      <c r="CA402" s="1241"/>
      <c r="CB402" s="1241"/>
      <c r="CC402" s="1241"/>
      <c r="CD402" s="1241"/>
      <c r="CE402" s="1241"/>
      <c r="CF402" s="1241"/>
      <c r="CG402" s="1241"/>
      <c r="CH402" s="1241"/>
      <c r="CI402" s="1241"/>
      <c r="CJ402" s="1241"/>
      <c r="CK402" s="1241"/>
      <c r="CL402" s="1241"/>
      <c r="CM402" s="1241"/>
      <c r="CN402" s="1241"/>
      <c r="CO402" s="1241"/>
      <c r="CP402" s="1241"/>
      <c r="CQ402" s="1241"/>
      <c r="CR402" s="1241"/>
      <c r="CS402" s="1241"/>
      <c r="CT402" s="1241"/>
      <c r="CU402" s="1241"/>
      <c r="CV402" s="1241"/>
      <c r="CW402" s="1241"/>
      <c r="CX402" s="1241"/>
      <c r="CY402" s="1241"/>
      <c r="CZ402" s="1241"/>
      <c r="DA402" s="1241"/>
      <c r="DB402" s="1241"/>
      <c r="DC402" s="1241"/>
      <c r="DD402" s="1241"/>
      <c r="DE402" s="1241"/>
      <c r="DF402" s="1241"/>
      <c r="DG402" s="1241"/>
      <c r="DH402" s="1241"/>
      <c r="DI402" s="1241"/>
      <c r="DJ402" s="1241"/>
      <c r="DK402" s="1241"/>
      <c r="DL402" s="1241"/>
      <c r="DM402" s="1241"/>
    </row>
    <row r="403" spans="1:117" s="1302" customFormat="1">
      <c r="A403" s="1241"/>
      <c r="B403" s="1263"/>
      <c r="C403" s="1211"/>
      <c r="D403" s="1211"/>
      <c r="E403" s="1211"/>
      <c r="F403" s="1415"/>
      <c r="G403" s="1293"/>
      <c r="H403" s="1293"/>
      <c r="I403" s="1293"/>
      <c r="J403" s="1293"/>
      <c r="K403" s="1293"/>
      <c r="L403" s="1293"/>
      <c r="M403" s="1293"/>
      <c r="N403" s="1293"/>
      <c r="O403" s="1293"/>
      <c r="P403" s="1241"/>
      <c r="Q403" s="1241"/>
      <c r="R403" s="1241"/>
      <c r="S403" s="1241"/>
      <c r="T403" s="1241"/>
      <c r="U403" s="1241"/>
      <c r="V403" s="1241"/>
      <c r="W403" s="1241"/>
      <c r="X403" s="1241"/>
      <c r="Y403" s="1241"/>
      <c r="Z403" s="1241"/>
      <c r="AA403" s="1241"/>
      <c r="AB403" s="1241"/>
      <c r="AC403" s="1241"/>
      <c r="AD403" s="1241"/>
      <c r="AE403" s="1241"/>
      <c r="AF403" s="1241"/>
      <c r="AG403" s="1241"/>
      <c r="AH403" s="1241"/>
      <c r="AI403" s="1241"/>
      <c r="AJ403" s="1241"/>
      <c r="AK403" s="1241"/>
      <c r="AL403" s="1241"/>
      <c r="AM403" s="1241"/>
      <c r="AN403" s="1241"/>
      <c r="AO403" s="1241"/>
      <c r="AP403" s="1241"/>
      <c r="AQ403" s="1241"/>
      <c r="AR403" s="1241"/>
      <c r="AS403" s="1241"/>
      <c r="AT403" s="1241"/>
      <c r="AU403" s="1241"/>
      <c r="AV403" s="1241"/>
      <c r="AW403" s="1241"/>
      <c r="AX403" s="1241"/>
      <c r="AY403" s="1241"/>
      <c r="AZ403" s="1241"/>
      <c r="BA403" s="1241"/>
      <c r="BB403" s="1241"/>
      <c r="BC403" s="1241"/>
      <c r="BD403" s="1241"/>
      <c r="BE403" s="1241"/>
      <c r="BF403" s="1241"/>
      <c r="BG403" s="1241"/>
      <c r="BH403" s="1241"/>
      <c r="BI403" s="1241"/>
      <c r="BJ403" s="1241"/>
      <c r="BK403" s="1241"/>
      <c r="BL403" s="1241"/>
      <c r="BM403" s="1241"/>
      <c r="BN403" s="1241"/>
      <c r="BO403" s="1241"/>
      <c r="BP403" s="1241"/>
      <c r="BQ403" s="1241"/>
      <c r="BR403" s="1241"/>
      <c r="BS403" s="1241"/>
      <c r="BT403" s="1241"/>
      <c r="BU403" s="1241"/>
      <c r="BV403" s="1241"/>
      <c r="BW403" s="1241"/>
      <c r="BX403" s="1241"/>
      <c r="BY403" s="1241"/>
      <c r="BZ403" s="1241"/>
      <c r="CA403" s="1241"/>
      <c r="CB403" s="1241"/>
      <c r="CC403" s="1241"/>
      <c r="CD403" s="1241"/>
      <c r="CE403" s="1241"/>
      <c r="CF403" s="1241"/>
      <c r="CG403" s="1241"/>
      <c r="CH403" s="1241"/>
      <c r="CI403" s="1241"/>
      <c r="CJ403" s="1241"/>
      <c r="CK403" s="1241"/>
      <c r="CL403" s="1241"/>
      <c r="CM403" s="1241"/>
      <c r="CN403" s="1241"/>
      <c r="CO403" s="1241"/>
      <c r="CP403" s="1241"/>
      <c r="CQ403" s="1241"/>
      <c r="CR403" s="1241"/>
      <c r="CS403" s="1241"/>
      <c r="CT403" s="1241"/>
      <c r="CU403" s="1241"/>
      <c r="CV403" s="1241"/>
      <c r="CW403" s="1241"/>
      <c r="CX403" s="1241"/>
      <c r="CY403" s="1241"/>
      <c r="CZ403" s="1241"/>
      <c r="DA403" s="1241"/>
      <c r="DB403" s="1241"/>
      <c r="DC403" s="1241"/>
      <c r="DD403" s="1241"/>
      <c r="DE403" s="1241"/>
      <c r="DF403" s="1241"/>
      <c r="DG403" s="1241"/>
      <c r="DH403" s="1241"/>
      <c r="DI403" s="1241"/>
      <c r="DJ403" s="1241"/>
      <c r="DK403" s="1241"/>
      <c r="DL403" s="1241"/>
      <c r="DM403" s="1241"/>
    </row>
    <row r="404" spans="1:117" s="1302" customFormat="1">
      <c r="A404" s="1241"/>
      <c r="B404" s="1263"/>
      <c r="C404" s="1204"/>
      <c r="D404" s="1410"/>
      <c r="E404" s="1410"/>
      <c r="F404" s="1411"/>
      <c r="G404" s="1412"/>
      <c r="H404" s="1412"/>
      <c r="I404" s="1412"/>
      <c r="J404" s="1412"/>
      <c r="K404" s="1412"/>
      <c r="L404" s="1412"/>
      <c r="M404" s="1412"/>
      <c r="N404" s="1412"/>
      <c r="O404" s="1411"/>
      <c r="P404" s="1241"/>
      <c r="Q404" s="1241"/>
      <c r="R404" s="1241"/>
      <c r="S404" s="1241"/>
      <c r="T404" s="1241"/>
      <c r="U404" s="1241"/>
      <c r="V404" s="1241"/>
      <c r="W404" s="1241"/>
      <c r="X404" s="1241"/>
      <c r="Y404" s="1241"/>
      <c r="Z404" s="1241"/>
      <c r="AA404" s="1241"/>
      <c r="AB404" s="1241"/>
      <c r="AC404" s="1241"/>
      <c r="AD404" s="1241"/>
      <c r="AE404" s="1241"/>
      <c r="AF404" s="1241"/>
      <c r="AG404" s="1241"/>
      <c r="AH404" s="1241"/>
      <c r="AI404" s="1241"/>
      <c r="AJ404" s="1241"/>
      <c r="AK404" s="1241"/>
      <c r="AL404" s="1241"/>
      <c r="AM404" s="1241"/>
      <c r="AN404" s="1241"/>
      <c r="AO404" s="1241"/>
      <c r="AP404" s="1241"/>
      <c r="AQ404" s="1241"/>
      <c r="AR404" s="1241"/>
      <c r="AS404" s="1241"/>
      <c r="AT404" s="1241"/>
      <c r="AU404" s="1241"/>
      <c r="AV404" s="1241"/>
      <c r="AW404" s="1241"/>
      <c r="AX404" s="1241"/>
      <c r="AY404" s="1241"/>
      <c r="AZ404" s="1241"/>
      <c r="BA404" s="1241"/>
      <c r="BB404" s="1241"/>
      <c r="BC404" s="1241"/>
      <c r="BD404" s="1241"/>
      <c r="BE404" s="1241"/>
      <c r="BF404" s="1241"/>
      <c r="BG404" s="1241"/>
      <c r="BH404" s="1241"/>
      <c r="BI404" s="1241"/>
      <c r="BJ404" s="1241"/>
      <c r="BK404" s="1241"/>
      <c r="BL404" s="1241"/>
      <c r="BM404" s="1241"/>
      <c r="BN404" s="1241"/>
      <c r="BO404" s="1241"/>
      <c r="BP404" s="1241"/>
      <c r="BQ404" s="1241"/>
      <c r="BR404" s="1241"/>
      <c r="BS404" s="1241"/>
      <c r="BT404" s="1241"/>
      <c r="BU404" s="1241"/>
      <c r="BV404" s="1241"/>
      <c r="BW404" s="1241"/>
      <c r="BX404" s="1241"/>
      <c r="BY404" s="1241"/>
      <c r="BZ404" s="1241"/>
      <c r="CA404" s="1241"/>
      <c r="CB404" s="1241"/>
      <c r="CC404" s="1241"/>
      <c r="CD404" s="1241"/>
      <c r="CE404" s="1241"/>
      <c r="CF404" s="1241"/>
      <c r="CG404" s="1241"/>
      <c r="CH404" s="1241"/>
      <c r="CI404" s="1241"/>
      <c r="CJ404" s="1241"/>
      <c r="CK404" s="1241"/>
      <c r="CL404" s="1241"/>
      <c r="CM404" s="1241"/>
      <c r="CN404" s="1241"/>
      <c r="CO404" s="1241"/>
      <c r="CP404" s="1241"/>
      <c r="CQ404" s="1241"/>
      <c r="CR404" s="1241"/>
      <c r="CS404" s="1241"/>
      <c r="CT404" s="1241"/>
      <c r="CU404" s="1241"/>
      <c r="CV404" s="1241"/>
      <c r="CW404" s="1241"/>
      <c r="CX404" s="1241"/>
      <c r="CY404" s="1241"/>
      <c r="CZ404" s="1241"/>
      <c r="DA404" s="1241"/>
      <c r="DB404" s="1241"/>
      <c r="DC404" s="1241"/>
      <c r="DD404" s="1241"/>
      <c r="DE404" s="1241"/>
      <c r="DF404" s="1241"/>
      <c r="DG404" s="1241"/>
      <c r="DH404" s="1241"/>
      <c r="DI404" s="1241"/>
      <c r="DJ404" s="1241"/>
      <c r="DK404" s="1241"/>
      <c r="DL404" s="1241"/>
      <c r="DM404" s="1241"/>
    </row>
    <row r="405" spans="1:117" s="1302" customFormat="1">
      <c r="A405" s="1241"/>
      <c r="B405" s="1263"/>
      <c r="C405" s="1201" t="s">
        <v>4166</v>
      </c>
      <c r="D405" s="1201" t="s">
        <v>4249</v>
      </c>
      <c r="E405" s="1201" t="s">
        <v>48</v>
      </c>
      <c r="F405" s="1203"/>
      <c r="G405" s="1202"/>
      <c r="H405" s="1202">
        <v>2020</v>
      </c>
      <c r="I405" s="1202">
        <v>2022</v>
      </c>
      <c r="J405" s="1202">
        <v>2027</v>
      </c>
      <c r="K405" s="1202">
        <v>2032</v>
      </c>
      <c r="L405" s="1202">
        <v>2037</v>
      </c>
      <c r="M405" s="1202">
        <v>2042</v>
      </c>
      <c r="N405" s="1202">
        <v>2047</v>
      </c>
      <c r="O405" s="1202">
        <v>2030</v>
      </c>
      <c r="P405" s="1241"/>
      <c r="Q405" s="1241"/>
      <c r="R405" s="1241"/>
      <c r="S405" s="1241"/>
      <c r="T405" s="1241"/>
      <c r="U405" s="1241"/>
      <c r="V405" s="1241"/>
      <c r="W405" s="1241"/>
      <c r="X405" s="1241"/>
      <c r="Y405" s="1241"/>
      <c r="Z405" s="1241"/>
      <c r="AA405" s="1241"/>
      <c r="AB405" s="1241"/>
      <c r="AC405" s="1241"/>
      <c r="AD405" s="1241"/>
      <c r="AE405" s="1241"/>
      <c r="AF405" s="1241"/>
      <c r="AG405" s="1241"/>
      <c r="AH405" s="1241"/>
      <c r="AI405" s="1241"/>
      <c r="AJ405" s="1241"/>
      <c r="AK405" s="1241"/>
      <c r="AL405" s="1241"/>
      <c r="AM405" s="1241"/>
      <c r="AN405" s="1241"/>
      <c r="AO405" s="1241"/>
      <c r="AP405" s="1241"/>
      <c r="AQ405" s="1241"/>
      <c r="AR405" s="1241"/>
      <c r="AS405" s="1241"/>
      <c r="AT405" s="1241"/>
      <c r="AU405" s="1241"/>
      <c r="AV405" s="1241"/>
      <c r="AW405" s="1241"/>
      <c r="AX405" s="1241"/>
      <c r="AY405" s="1241"/>
      <c r="AZ405" s="1241"/>
      <c r="BA405" s="1241"/>
      <c r="BB405" s="1241"/>
      <c r="BC405" s="1241"/>
      <c r="BD405" s="1241"/>
      <c r="BE405" s="1241"/>
      <c r="BF405" s="1241"/>
      <c r="BG405" s="1241"/>
      <c r="BH405" s="1241"/>
      <c r="BI405" s="1241"/>
      <c r="BJ405" s="1241"/>
      <c r="BK405" s="1241"/>
      <c r="BL405" s="1241"/>
      <c r="BM405" s="1241"/>
      <c r="BN405" s="1241"/>
      <c r="BO405" s="1241"/>
      <c r="BP405" s="1241"/>
      <c r="BQ405" s="1241"/>
      <c r="BR405" s="1241"/>
      <c r="BS405" s="1241"/>
      <c r="BT405" s="1241"/>
      <c r="BU405" s="1241"/>
      <c r="BV405" s="1241"/>
      <c r="BW405" s="1241"/>
      <c r="BX405" s="1241"/>
      <c r="BY405" s="1241"/>
      <c r="BZ405" s="1241"/>
      <c r="CA405" s="1241"/>
      <c r="CB405" s="1241"/>
      <c r="CC405" s="1241"/>
      <c r="CD405" s="1241"/>
      <c r="CE405" s="1241"/>
      <c r="CF405" s="1241"/>
      <c r="CG405" s="1241"/>
      <c r="CH405" s="1241"/>
      <c r="CI405" s="1241"/>
      <c r="CJ405" s="1241"/>
      <c r="CK405" s="1241"/>
      <c r="CL405" s="1241"/>
      <c r="CM405" s="1241"/>
      <c r="CN405" s="1241"/>
      <c r="CO405" s="1241"/>
      <c r="CP405" s="1241"/>
      <c r="CQ405" s="1241"/>
      <c r="CR405" s="1241"/>
      <c r="CS405" s="1241"/>
      <c r="CT405" s="1241"/>
      <c r="CU405" s="1241"/>
      <c r="CV405" s="1241"/>
      <c r="CW405" s="1241"/>
      <c r="CX405" s="1241"/>
      <c r="CY405" s="1241"/>
      <c r="CZ405" s="1241"/>
      <c r="DA405" s="1241"/>
      <c r="DB405" s="1241"/>
      <c r="DC405" s="1241"/>
      <c r="DD405" s="1241"/>
      <c r="DE405" s="1241"/>
      <c r="DF405" s="1241"/>
      <c r="DG405" s="1241"/>
      <c r="DH405" s="1241"/>
      <c r="DI405" s="1241"/>
      <c r="DJ405" s="1241"/>
      <c r="DK405" s="1241"/>
      <c r="DL405" s="1241"/>
      <c r="DM405" s="1241"/>
    </row>
    <row r="406" spans="1:117" s="1302" customFormat="1" ht="15">
      <c r="A406" s="1241"/>
      <c r="B406" s="1263"/>
      <c r="C406" s="1211" t="s">
        <v>4032</v>
      </c>
      <c r="D406" s="1211" t="s">
        <v>4033</v>
      </c>
      <c r="E406" s="1268"/>
      <c r="F406" s="1372"/>
      <c r="G406" s="1375"/>
      <c r="H406" s="1375">
        <v>0.13</v>
      </c>
      <c r="I406" s="1375">
        <v>0.13148148148148148</v>
      </c>
      <c r="J406" s="1375">
        <v>0.13518518518518519</v>
      </c>
      <c r="K406" s="1375">
        <v>0.1388888888888889</v>
      </c>
      <c r="L406" s="1375">
        <v>0.1425925925925926</v>
      </c>
      <c r="M406" s="1375">
        <v>0.14629629629629629</v>
      </c>
      <c r="N406" s="1375">
        <v>0.15</v>
      </c>
      <c r="O406" s="1375">
        <v>0.13740740740740739</v>
      </c>
      <c r="P406" s="1241"/>
      <c r="Q406" s="1241"/>
      <c r="R406" s="1241"/>
      <c r="S406" s="1241"/>
      <c r="T406" s="1241"/>
      <c r="U406" s="1241"/>
      <c r="V406" s="1241"/>
      <c r="W406" s="1241"/>
      <c r="X406" s="1241"/>
      <c r="Y406" s="1241"/>
      <c r="Z406" s="1241"/>
      <c r="AA406" s="1241"/>
      <c r="AB406" s="1241"/>
      <c r="AC406" s="1241"/>
      <c r="AD406" s="1241"/>
      <c r="AE406" s="1241"/>
      <c r="AF406" s="1241"/>
      <c r="AG406" s="1241"/>
      <c r="AH406" s="1241"/>
      <c r="AI406" s="1241"/>
      <c r="AJ406" s="1241"/>
      <c r="AK406" s="1241"/>
      <c r="AL406" s="1241"/>
      <c r="AM406" s="1241"/>
      <c r="AN406" s="1241"/>
      <c r="AO406" s="1241"/>
      <c r="AP406" s="1241"/>
      <c r="AQ406" s="1241"/>
      <c r="AR406" s="1241"/>
      <c r="AS406" s="1241"/>
      <c r="AT406" s="1241"/>
      <c r="AU406" s="1241"/>
      <c r="AV406" s="1241"/>
      <c r="AW406" s="1241"/>
      <c r="AX406" s="1241"/>
      <c r="AY406" s="1241"/>
      <c r="AZ406" s="1241"/>
      <c r="BA406" s="1241"/>
      <c r="BB406" s="1241"/>
      <c r="BC406" s="1241"/>
      <c r="BD406" s="1241"/>
      <c r="BE406" s="1241"/>
      <c r="BF406" s="1241"/>
      <c r="BG406" s="1241"/>
      <c r="BH406" s="1241"/>
      <c r="BI406" s="1241"/>
      <c r="BJ406" s="1241"/>
      <c r="BK406" s="1241"/>
      <c r="BL406" s="1241"/>
      <c r="BM406" s="1241"/>
      <c r="BN406" s="1241"/>
      <c r="BO406" s="1241"/>
      <c r="BP406" s="1241"/>
      <c r="BQ406" s="1241"/>
      <c r="BR406" s="1241"/>
      <c r="BS406" s="1241"/>
      <c r="BT406" s="1241"/>
      <c r="BU406" s="1241"/>
      <c r="BV406" s="1241"/>
      <c r="BW406" s="1241"/>
      <c r="BX406" s="1241"/>
      <c r="BY406" s="1241"/>
      <c r="BZ406" s="1241"/>
      <c r="CA406" s="1241"/>
      <c r="CB406" s="1241"/>
      <c r="CC406" s="1241"/>
      <c r="CD406" s="1241"/>
      <c r="CE406" s="1241"/>
      <c r="CF406" s="1241"/>
      <c r="CG406" s="1241"/>
      <c r="CH406" s="1241"/>
      <c r="CI406" s="1241"/>
      <c r="CJ406" s="1241"/>
      <c r="CK406" s="1241"/>
      <c r="CL406" s="1241"/>
      <c r="CM406" s="1241"/>
      <c r="CN406" s="1241"/>
      <c r="CO406" s="1241"/>
      <c r="CP406" s="1241"/>
      <c r="CQ406" s="1241"/>
      <c r="CR406" s="1241"/>
      <c r="CS406" s="1241"/>
      <c r="CT406" s="1241"/>
      <c r="CU406" s="1241"/>
      <c r="CV406" s="1241"/>
      <c r="CW406" s="1241"/>
      <c r="CX406" s="1241"/>
      <c r="CY406" s="1241"/>
      <c r="CZ406" s="1241"/>
      <c r="DA406" s="1241"/>
      <c r="DB406" s="1241"/>
      <c r="DC406" s="1241"/>
      <c r="DD406" s="1241"/>
      <c r="DE406" s="1241"/>
      <c r="DF406" s="1241"/>
      <c r="DG406" s="1241"/>
      <c r="DH406" s="1241"/>
      <c r="DI406" s="1241"/>
      <c r="DJ406" s="1241"/>
      <c r="DK406" s="1241"/>
      <c r="DL406" s="1241"/>
      <c r="DM406" s="1241"/>
    </row>
    <row r="407" spans="1:117" s="1302" customFormat="1" ht="15">
      <c r="A407" s="1241"/>
      <c r="B407" s="1263"/>
      <c r="C407" s="1211" t="s">
        <v>3997</v>
      </c>
      <c r="D407" s="1211" t="s">
        <v>3998</v>
      </c>
      <c r="E407" s="1268"/>
      <c r="F407" s="1372"/>
      <c r="G407" s="1375"/>
      <c r="H407" s="1375">
        <v>0.83499999999999996</v>
      </c>
      <c r="I407" s="1375">
        <v>0.83203703703703702</v>
      </c>
      <c r="J407" s="1375">
        <v>0.8206296296296296</v>
      </c>
      <c r="K407" s="1375">
        <v>0.80672222222222234</v>
      </c>
      <c r="L407" s="1375">
        <v>0.79281481481481475</v>
      </c>
      <c r="M407" s="1375">
        <v>0.77890740740740749</v>
      </c>
      <c r="N407" s="1375">
        <v>0.7649999999999999</v>
      </c>
      <c r="O407" s="1375">
        <v>0.81228518518518511</v>
      </c>
      <c r="P407" s="1241"/>
      <c r="Q407" s="1241"/>
      <c r="R407" s="1241"/>
      <c r="S407" s="1241"/>
      <c r="T407" s="1241"/>
      <c r="U407" s="1241"/>
      <c r="V407" s="1241"/>
      <c r="W407" s="1241"/>
      <c r="X407" s="1241"/>
      <c r="Y407" s="1241"/>
      <c r="Z407" s="1241"/>
      <c r="AA407" s="1241"/>
      <c r="AB407" s="1241"/>
      <c r="AC407" s="1241"/>
      <c r="AD407" s="1241"/>
      <c r="AE407" s="1241"/>
      <c r="AF407" s="1241"/>
      <c r="AG407" s="1241"/>
      <c r="AH407" s="1241"/>
      <c r="AI407" s="1241"/>
      <c r="AJ407" s="1241"/>
      <c r="AK407" s="1241"/>
      <c r="AL407" s="1241"/>
      <c r="AM407" s="1241"/>
      <c r="AN407" s="1241"/>
      <c r="AO407" s="1241"/>
      <c r="AP407" s="1241"/>
      <c r="AQ407" s="1241"/>
      <c r="AR407" s="1241"/>
      <c r="AS407" s="1241"/>
      <c r="AT407" s="1241"/>
      <c r="AU407" s="1241"/>
      <c r="AV407" s="1241"/>
      <c r="AW407" s="1241"/>
      <c r="AX407" s="1241"/>
      <c r="AY407" s="1241"/>
      <c r="AZ407" s="1241"/>
      <c r="BA407" s="1241"/>
      <c r="BB407" s="1241"/>
      <c r="BC407" s="1241"/>
      <c r="BD407" s="1241"/>
      <c r="BE407" s="1241"/>
      <c r="BF407" s="1241"/>
      <c r="BG407" s="1241"/>
      <c r="BH407" s="1241"/>
      <c r="BI407" s="1241"/>
      <c r="BJ407" s="1241"/>
      <c r="BK407" s="1241"/>
      <c r="BL407" s="1241"/>
      <c r="BM407" s="1241"/>
      <c r="BN407" s="1241"/>
      <c r="BO407" s="1241"/>
      <c r="BP407" s="1241"/>
      <c r="BQ407" s="1241"/>
      <c r="BR407" s="1241"/>
      <c r="BS407" s="1241"/>
      <c r="BT407" s="1241"/>
      <c r="BU407" s="1241"/>
      <c r="BV407" s="1241"/>
      <c r="BW407" s="1241"/>
      <c r="BX407" s="1241"/>
      <c r="BY407" s="1241"/>
      <c r="BZ407" s="1241"/>
      <c r="CA407" s="1241"/>
      <c r="CB407" s="1241"/>
      <c r="CC407" s="1241"/>
      <c r="CD407" s="1241"/>
      <c r="CE407" s="1241"/>
      <c r="CF407" s="1241"/>
      <c r="CG407" s="1241"/>
      <c r="CH407" s="1241"/>
      <c r="CI407" s="1241"/>
      <c r="CJ407" s="1241"/>
      <c r="CK407" s="1241"/>
      <c r="CL407" s="1241"/>
      <c r="CM407" s="1241"/>
      <c r="CN407" s="1241"/>
      <c r="CO407" s="1241"/>
      <c r="CP407" s="1241"/>
      <c r="CQ407" s="1241"/>
      <c r="CR407" s="1241"/>
      <c r="CS407" s="1241"/>
      <c r="CT407" s="1241"/>
      <c r="CU407" s="1241"/>
      <c r="CV407" s="1241"/>
      <c r="CW407" s="1241"/>
      <c r="CX407" s="1241"/>
      <c r="CY407" s="1241"/>
      <c r="CZ407" s="1241"/>
      <c r="DA407" s="1241"/>
      <c r="DB407" s="1241"/>
      <c r="DC407" s="1241"/>
      <c r="DD407" s="1241"/>
      <c r="DE407" s="1241"/>
      <c r="DF407" s="1241"/>
      <c r="DG407" s="1241"/>
      <c r="DH407" s="1241"/>
      <c r="DI407" s="1241"/>
      <c r="DJ407" s="1241"/>
      <c r="DK407" s="1241"/>
      <c r="DL407" s="1241"/>
      <c r="DM407" s="1241"/>
    </row>
    <row r="408" spans="1:117" s="1302" customFormat="1" ht="15">
      <c r="A408" s="1241"/>
      <c r="B408" s="1263"/>
      <c r="C408" s="1211" t="s">
        <v>3999</v>
      </c>
      <c r="D408" s="1211" t="s">
        <v>4000</v>
      </c>
      <c r="E408" s="1268"/>
      <c r="F408" s="1372"/>
      <c r="G408" s="1375"/>
      <c r="H408" s="1375">
        <v>1.4999999999999999E-2</v>
      </c>
      <c r="I408" s="1375">
        <v>1.4999999999999999E-2</v>
      </c>
      <c r="J408" s="1375">
        <v>1.4999999999999999E-2</v>
      </c>
      <c r="K408" s="1375">
        <v>1.4999999999999999E-2</v>
      </c>
      <c r="L408" s="1375">
        <v>1.4999999999999999E-2</v>
      </c>
      <c r="M408" s="1375">
        <v>1.4999999999999999E-2</v>
      </c>
      <c r="N408" s="1375">
        <v>1.4999999999999999E-2</v>
      </c>
      <c r="O408" s="1375">
        <v>1.4999999999999999E-2</v>
      </c>
      <c r="P408" s="1241"/>
      <c r="Q408" s="1241"/>
      <c r="R408" s="1241"/>
      <c r="S408" s="1241"/>
      <c r="T408" s="1241"/>
      <c r="U408" s="1241"/>
      <c r="V408" s="1241"/>
      <c r="W408" s="1241"/>
      <c r="X408" s="1241"/>
      <c r="Y408" s="1241"/>
      <c r="Z408" s="1241"/>
      <c r="AA408" s="1241"/>
      <c r="AB408" s="1241"/>
      <c r="AC408" s="1241"/>
      <c r="AD408" s="1241"/>
      <c r="AE408" s="1241"/>
      <c r="AF408" s="1241"/>
      <c r="AG408" s="1241"/>
      <c r="AH408" s="1241"/>
      <c r="AI408" s="1241"/>
      <c r="AJ408" s="1241"/>
      <c r="AK408" s="1241"/>
      <c r="AL408" s="1241"/>
      <c r="AM408" s="1241"/>
      <c r="AN408" s="1241"/>
      <c r="AO408" s="1241"/>
      <c r="AP408" s="1241"/>
      <c r="AQ408" s="1241"/>
      <c r="AR408" s="1241"/>
      <c r="AS408" s="1241"/>
      <c r="AT408" s="1241"/>
      <c r="AU408" s="1241"/>
      <c r="AV408" s="1241"/>
      <c r="AW408" s="1241"/>
      <c r="AX408" s="1241"/>
      <c r="AY408" s="1241"/>
      <c r="AZ408" s="1241"/>
      <c r="BA408" s="1241"/>
      <c r="BB408" s="1241"/>
      <c r="BC408" s="1241"/>
      <c r="BD408" s="1241"/>
      <c r="BE408" s="1241"/>
      <c r="BF408" s="1241"/>
      <c r="BG408" s="1241"/>
      <c r="BH408" s="1241"/>
      <c r="BI408" s="1241"/>
      <c r="BJ408" s="1241"/>
      <c r="BK408" s="1241"/>
      <c r="BL408" s="1241"/>
      <c r="BM408" s="1241"/>
      <c r="BN408" s="1241"/>
      <c r="BO408" s="1241"/>
      <c r="BP408" s="1241"/>
      <c r="BQ408" s="1241"/>
      <c r="BR408" s="1241"/>
      <c r="BS408" s="1241"/>
      <c r="BT408" s="1241"/>
      <c r="BU408" s="1241"/>
      <c r="BV408" s="1241"/>
      <c r="BW408" s="1241"/>
      <c r="BX408" s="1241"/>
      <c r="BY408" s="1241"/>
      <c r="BZ408" s="1241"/>
      <c r="CA408" s="1241"/>
      <c r="CB408" s="1241"/>
      <c r="CC408" s="1241"/>
      <c r="CD408" s="1241"/>
      <c r="CE408" s="1241"/>
      <c r="CF408" s="1241"/>
      <c r="CG408" s="1241"/>
      <c r="CH408" s="1241"/>
      <c r="CI408" s="1241"/>
      <c r="CJ408" s="1241"/>
      <c r="CK408" s="1241"/>
      <c r="CL408" s="1241"/>
      <c r="CM408" s="1241"/>
      <c r="CN408" s="1241"/>
      <c r="CO408" s="1241"/>
      <c r="CP408" s="1241"/>
      <c r="CQ408" s="1241"/>
      <c r="CR408" s="1241"/>
      <c r="CS408" s="1241"/>
      <c r="CT408" s="1241"/>
      <c r="CU408" s="1241"/>
      <c r="CV408" s="1241"/>
      <c r="CW408" s="1241"/>
      <c r="CX408" s="1241"/>
      <c r="CY408" s="1241"/>
      <c r="CZ408" s="1241"/>
      <c r="DA408" s="1241"/>
      <c r="DB408" s="1241"/>
      <c r="DC408" s="1241"/>
      <c r="DD408" s="1241"/>
      <c r="DE408" s="1241"/>
      <c r="DF408" s="1241"/>
      <c r="DG408" s="1241"/>
      <c r="DH408" s="1241"/>
      <c r="DI408" s="1241"/>
      <c r="DJ408" s="1241"/>
      <c r="DK408" s="1241"/>
      <c r="DL408" s="1241"/>
      <c r="DM408" s="1241"/>
    </row>
    <row r="409" spans="1:117" s="1302" customFormat="1" ht="15">
      <c r="A409" s="1241"/>
      <c r="B409" s="1263"/>
      <c r="C409" s="1211" t="s">
        <v>4001</v>
      </c>
      <c r="D409" s="1211" t="s">
        <v>4002</v>
      </c>
      <c r="E409" s="1268"/>
      <c r="F409" s="1372"/>
      <c r="G409" s="1375"/>
      <c r="H409" s="1375">
        <v>0.02</v>
      </c>
      <c r="I409" s="1375">
        <v>2.1481481481481483E-2</v>
      </c>
      <c r="J409" s="1375">
        <v>2.5185185185185185E-2</v>
      </c>
      <c r="K409" s="1375">
        <v>2.8888888888888888E-2</v>
      </c>
      <c r="L409" s="1375">
        <v>3.259259259259259E-2</v>
      </c>
      <c r="M409" s="1375">
        <v>3.6296296296296299E-2</v>
      </c>
      <c r="N409" s="1375">
        <v>0.04</v>
      </c>
      <c r="O409" s="1375">
        <v>2.7407407407407408E-2</v>
      </c>
      <c r="P409" s="1241"/>
      <c r="Q409" s="1241"/>
      <c r="R409" s="1241"/>
      <c r="S409" s="1241"/>
      <c r="T409" s="1241"/>
      <c r="U409" s="1241"/>
      <c r="V409" s="1241"/>
      <c r="W409" s="1241"/>
      <c r="X409" s="1241"/>
      <c r="Y409" s="1241"/>
      <c r="Z409" s="1241"/>
      <c r="AA409" s="1241"/>
      <c r="AB409" s="1241"/>
      <c r="AC409" s="1241"/>
      <c r="AD409" s="1241"/>
      <c r="AE409" s="1241"/>
      <c r="AF409" s="1241"/>
      <c r="AG409" s="1241"/>
      <c r="AH409" s="1241"/>
      <c r="AI409" s="1241"/>
      <c r="AJ409" s="1241"/>
      <c r="AK409" s="1241"/>
      <c r="AL409" s="1241"/>
      <c r="AM409" s="1241"/>
      <c r="AN409" s="1241"/>
      <c r="AO409" s="1241"/>
      <c r="AP409" s="1241"/>
      <c r="AQ409" s="1241"/>
      <c r="AR409" s="1241"/>
      <c r="AS409" s="1241"/>
      <c r="AT409" s="1241"/>
      <c r="AU409" s="1241"/>
      <c r="AV409" s="1241"/>
      <c r="AW409" s="1241"/>
      <c r="AX409" s="1241"/>
      <c r="AY409" s="1241"/>
      <c r="AZ409" s="1241"/>
      <c r="BA409" s="1241"/>
      <c r="BB409" s="1241"/>
      <c r="BC409" s="1241"/>
      <c r="BD409" s="1241"/>
      <c r="BE409" s="1241"/>
      <c r="BF409" s="1241"/>
      <c r="BG409" s="1241"/>
      <c r="BH409" s="1241"/>
      <c r="BI409" s="1241"/>
      <c r="BJ409" s="1241"/>
      <c r="BK409" s="1241"/>
      <c r="BL409" s="1241"/>
      <c r="BM409" s="1241"/>
      <c r="BN409" s="1241"/>
      <c r="BO409" s="1241"/>
      <c r="BP409" s="1241"/>
      <c r="BQ409" s="1241"/>
      <c r="BR409" s="1241"/>
      <c r="BS409" s="1241"/>
      <c r="BT409" s="1241"/>
      <c r="BU409" s="1241"/>
      <c r="BV409" s="1241"/>
      <c r="BW409" s="1241"/>
      <c r="BX409" s="1241"/>
      <c r="BY409" s="1241"/>
      <c r="BZ409" s="1241"/>
      <c r="CA409" s="1241"/>
      <c r="CB409" s="1241"/>
      <c r="CC409" s="1241"/>
      <c r="CD409" s="1241"/>
      <c r="CE409" s="1241"/>
      <c r="CF409" s="1241"/>
      <c r="CG409" s="1241"/>
      <c r="CH409" s="1241"/>
      <c r="CI409" s="1241"/>
      <c r="CJ409" s="1241"/>
      <c r="CK409" s="1241"/>
      <c r="CL409" s="1241"/>
      <c r="CM409" s="1241"/>
      <c r="CN409" s="1241"/>
      <c r="CO409" s="1241"/>
      <c r="CP409" s="1241"/>
      <c r="CQ409" s="1241"/>
      <c r="CR409" s="1241"/>
      <c r="CS409" s="1241"/>
      <c r="CT409" s="1241"/>
      <c r="CU409" s="1241"/>
      <c r="CV409" s="1241"/>
      <c r="CW409" s="1241"/>
      <c r="CX409" s="1241"/>
      <c r="CY409" s="1241"/>
      <c r="CZ409" s="1241"/>
      <c r="DA409" s="1241"/>
      <c r="DB409" s="1241"/>
      <c r="DC409" s="1241"/>
      <c r="DD409" s="1241"/>
      <c r="DE409" s="1241"/>
      <c r="DF409" s="1241"/>
      <c r="DG409" s="1241"/>
      <c r="DH409" s="1241"/>
      <c r="DI409" s="1241"/>
      <c r="DJ409" s="1241"/>
      <c r="DK409" s="1241"/>
      <c r="DL409" s="1241"/>
      <c r="DM409" s="1241"/>
    </row>
    <row r="410" spans="1:117" s="1302" customFormat="1" ht="15">
      <c r="A410" s="1241"/>
      <c r="B410" s="1263"/>
      <c r="C410" s="1211" t="s">
        <v>4011</v>
      </c>
      <c r="D410" s="1211" t="s">
        <v>4012</v>
      </c>
      <c r="E410" s="1268"/>
      <c r="F410" s="1372"/>
      <c r="G410" s="1375"/>
      <c r="H410" s="1375">
        <v>0</v>
      </c>
      <c r="I410" s="1375">
        <v>0</v>
      </c>
      <c r="J410" s="1375">
        <v>0</v>
      </c>
      <c r="K410" s="1375">
        <v>0</v>
      </c>
      <c r="L410" s="1375">
        <v>0</v>
      </c>
      <c r="M410" s="1375">
        <v>0</v>
      </c>
      <c r="N410" s="1375">
        <v>0</v>
      </c>
      <c r="O410" s="1375">
        <v>0</v>
      </c>
      <c r="P410" s="1241"/>
      <c r="Q410" s="1241"/>
      <c r="R410" s="1241"/>
      <c r="S410" s="1241"/>
      <c r="T410" s="1241"/>
      <c r="U410" s="1241"/>
      <c r="V410" s="1241"/>
      <c r="W410" s="1241"/>
      <c r="X410" s="1241"/>
      <c r="Y410" s="1241"/>
      <c r="Z410" s="1241"/>
      <c r="AA410" s="1241"/>
      <c r="AB410" s="1241"/>
      <c r="AC410" s="1241"/>
      <c r="AD410" s="1241"/>
      <c r="AE410" s="1241"/>
      <c r="AF410" s="1241"/>
      <c r="AG410" s="1241"/>
      <c r="AH410" s="1241"/>
      <c r="AI410" s="1241"/>
      <c r="AJ410" s="1241"/>
      <c r="AK410" s="1241"/>
      <c r="AL410" s="1241"/>
      <c r="AM410" s="1241"/>
      <c r="AN410" s="1241"/>
      <c r="AO410" s="1241"/>
      <c r="AP410" s="1241"/>
      <c r="AQ410" s="1241"/>
      <c r="AR410" s="1241"/>
      <c r="AS410" s="1241"/>
      <c r="AT410" s="1241"/>
      <c r="AU410" s="1241"/>
      <c r="AV410" s="1241"/>
      <c r="AW410" s="1241"/>
      <c r="AX410" s="1241"/>
      <c r="AY410" s="1241"/>
      <c r="AZ410" s="1241"/>
      <c r="BA410" s="1241"/>
      <c r="BB410" s="1241"/>
      <c r="BC410" s="1241"/>
      <c r="BD410" s="1241"/>
      <c r="BE410" s="1241"/>
      <c r="BF410" s="1241"/>
      <c r="BG410" s="1241"/>
      <c r="BH410" s="1241"/>
      <c r="BI410" s="1241"/>
      <c r="BJ410" s="1241"/>
      <c r="BK410" s="1241"/>
      <c r="BL410" s="1241"/>
      <c r="BM410" s="1241"/>
      <c r="BN410" s="1241"/>
      <c r="BO410" s="1241"/>
      <c r="BP410" s="1241"/>
      <c r="BQ410" s="1241"/>
      <c r="BR410" s="1241"/>
      <c r="BS410" s="1241"/>
      <c r="BT410" s="1241"/>
      <c r="BU410" s="1241"/>
      <c r="BV410" s="1241"/>
      <c r="BW410" s="1241"/>
      <c r="BX410" s="1241"/>
      <c r="BY410" s="1241"/>
      <c r="BZ410" s="1241"/>
      <c r="CA410" s="1241"/>
      <c r="CB410" s="1241"/>
      <c r="CC410" s="1241"/>
      <c r="CD410" s="1241"/>
      <c r="CE410" s="1241"/>
      <c r="CF410" s="1241"/>
      <c r="CG410" s="1241"/>
      <c r="CH410" s="1241"/>
      <c r="CI410" s="1241"/>
      <c r="CJ410" s="1241"/>
      <c r="CK410" s="1241"/>
      <c r="CL410" s="1241"/>
      <c r="CM410" s="1241"/>
      <c r="CN410" s="1241"/>
      <c r="CO410" s="1241"/>
      <c r="CP410" s="1241"/>
      <c r="CQ410" s="1241"/>
      <c r="CR410" s="1241"/>
      <c r="CS410" s="1241"/>
      <c r="CT410" s="1241"/>
      <c r="CU410" s="1241"/>
      <c r="CV410" s="1241"/>
      <c r="CW410" s="1241"/>
      <c r="CX410" s="1241"/>
      <c r="CY410" s="1241"/>
      <c r="CZ410" s="1241"/>
      <c r="DA410" s="1241"/>
      <c r="DB410" s="1241"/>
      <c r="DC410" s="1241"/>
      <c r="DD410" s="1241"/>
      <c r="DE410" s="1241"/>
      <c r="DF410" s="1241"/>
      <c r="DG410" s="1241"/>
      <c r="DH410" s="1241"/>
      <c r="DI410" s="1241"/>
      <c r="DJ410" s="1241"/>
      <c r="DK410" s="1241"/>
      <c r="DL410" s="1241"/>
      <c r="DM410" s="1241"/>
    </row>
    <row r="411" spans="1:117" s="1302" customFormat="1" ht="15">
      <c r="A411" s="1241"/>
      <c r="B411" s="1263"/>
      <c r="C411" s="1406" t="s">
        <v>4025</v>
      </c>
      <c r="D411" s="1406" t="s">
        <v>4026</v>
      </c>
      <c r="E411" s="1406"/>
      <c r="F411" s="1407"/>
      <c r="G411" s="1408"/>
      <c r="H411" s="1414">
        <v>0</v>
      </c>
      <c r="I411" s="1414">
        <v>0</v>
      </c>
      <c r="J411" s="1414">
        <v>4.0000000000000001E-3</v>
      </c>
      <c r="K411" s="1414">
        <v>1.0499999999999999E-2</v>
      </c>
      <c r="L411" s="1414">
        <v>1.7000000000000001E-2</v>
      </c>
      <c r="M411" s="1414">
        <v>2.35E-2</v>
      </c>
      <c r="N411" s="1414">
        <v>0.03</v>
      </c>
      <c r="O411" s="1414">
        <v>7.9000000000000008E-3</v>
      </c>
      <c r="P411" s="1241"/>
      <c r="Q411" s="1241"/>
      <c r="R411" s="1241"/>
      <c r="S411" s="1241"/>
      <c r="T411" s="1241"/>
      <c r="U411" s="1241"/>
      <c r="V411" s="1241"/>
      <c r="W411" s="1241"/>
      <c r="X411" s="1241"/>
      <c r="Y411" s="1241"/>
      <c r="Z411" s="1241"/>
      <c r="AA411" s="1241"/>
      <c r="AB411" s="1241"/>
      <c r="AC411" s="1241"/>
      <c r="AD411" s="1241"/>
      <c r="AE411" s="1241"/>
      <c r="AF411" s="1241"/>
      <c r="AG411" s="1241"/>
      <c r="AH411" s="1241"/>
      <c r="AI411" s="1241"/>
      <c r="AJ411" s="1241"/>
      <c r="AK411" s="1241"/>
      <c r="AL411" s="1241"/>
      <c r="AM411" s="1241"/>
      <c r="AN411" s="1241"/>
      <c r="AO411" s="1241"/>
      <c r="AP411" s="1241"/>
      <c r="AQ411" s="1241"/>
      <c r="AR411" s="1241"/>
      <c r="AS411" s="1241"/>
      <c r="AT411" s="1241"/>
      <c r="AU411" s="1241"/>
      <c r="AV411" s="1241"/>
      <c r="AW411" s="1241"/>
      <c r="AX411" s="1241"/>
      <c r="AY411" s="1241"/>
      <c r="AZ411" s="1241"/>
      <c r="BA411" s="1241"/>
      <c r="BB411" s="1241"/>
      <c r="BC411" s="1241"/>
      <c r="BD411" s="1241"/>
      <c r="BE411" s="1241"/>
      <c r="BF411" s="1241"/>
      <c r="BG411" s="1241"/>
      <c r="BH411" s="1241"/>
      <c r="BI411" s="1241"/>
      <c r="BJ411" s="1241"/>
      <c r="BK411" s="1241"/>
      <c r="BL411" s="1241"/>
      <c r="BM411" s="1241"/>
      <c r="BN411" s="1241"/>
      <c r="BO411" s="1241"/>
      <c r="BP411" s="1241"/>
      <c r="BQ411" s="1241"/>
      <c r="BR411" s="1241"/>
      <c r="BS411" s="1241"/>
      <c r="BT411" s="1241"/>
      <c r="BU411" s="1241"/>
      <c r="BV411" s="1241"/>
      <c r="BW411" s="1241"/>
      <c r="BX411" s="1241"/>
      <c r="BY411" s="1241"/>
      <c r="BZ411" s="1241"/>
      <c r="CA411" s="1241"/>
      <c r="CB411" s="1241"/>
      <c r="CC411" s="1241"/>
      <c r="CD411" s="1241"/>
      <c r="CE411" s="1241"/>
      <c r="CF411" s="1241"/>
      <c r="CG411" s="1241"/>
      <c r="CH411" s="1241"/>
      <c r="CI411" s="1241"/>
      <c r="CJ411" s="1241"/>
      <c r="CK411" s="1241"/>
      <c r="CL411" s="1241"/>
      <c r="CM411" s="1241"/>
      <c r="CN411" s="1241"/>
      <c r="CO411" s="1241"/>
      <c r="CP411" s="1241"/>
      <c r="CQ411" s="1241"/>
      <c r="CR411" s="1241"/>
      <c r="CS411" s="1241"/>
      <c r="CT411" s="1241"/>
      <c r="CU411" s="1241"/>
      <c r="CV411" s="1241"/>
      <c r="CW411" s="1241"/>
      <c r="CX411" s="1241"/>
      <c r="CY411" s="1241"/>
      <c r="CZ411" s="1241"/>
      <c r="DA411" s="1241"/>
      <c r="DB411" s="1241"/>
      <c r="DC411" s="1241"/>
      <c r="DD411" s="1241"/>
      <c r="DE411" s="1241"/>
      <c r="DF411" s="1241"/>
      <c r="DG411" s="1241"/>
      <c r="DH411" s="1241"/>
      <c r="DI411" s="1241"/>
      <c r="DJ411" s="1241"/>
      <c r="DK411" s="1241"/>
      <c r="DL411" s="1241"/>
      <c r="DM411" s="1241"/>
    </row>
    <row r="412" spans="1:117" s="1302" customFormat="1">
      <c r="A412" s="1241"/>
      <c r="B412" s="1263"/>
      <c r="C412" s="1204"/>
      <c r="D412" s="1410"/>
      <c r="E412" s="1410"/>
      <c r="F412" s="1411"/>
      <c r="G412" s="1412"/>
      <c r="H412" s="1412"/>
      <c r="I412" s="1412"/>
      <c r="J412" s="1412"/>
      <c r="K412" s="1412"/>
      <c r="L412" s="1412"/>
      <c r="M412" s="1412"/>
      <c r="N412" s="1412"/>
      <c r="O412" s="1411"/>
      <c r="P412" s="1241"/>
      <c r="Q412" s="1241"/>
      <c r="R412" s="1241"/>
      <c r="S412" s="1241"/>
      <c r="T412" s="1241"/>
      <c r="U412" s="1241"/>
      <c r="V412" s="1241"/>
      <c r="W412" s="1241"/>
      <c r="X412" s="1241"/>
      <c r="Y412" s="1241"/>
      <c r="Z412" s="1241"/>
      <c r="AA412" s="1241"/>
      <c r="AB412" s="1241"/>
      <c r="AC412" s="1241"/>
      <c r="AD412" s="1241"/>
      <c r="AE412" s="1241"/>
      <c r="AF412" s="1241"/>
      <c r="AG412" s="1241"/>
      <c r="AH412" s="1241"/>
      <c r="AI412" s="1241"/>
      <c r="AJ412" s="1241"/>
      <c r="AK412" s="1241"/>
      <c r="AL412" s="1241"/>
      <c r="AM412" s="1241"/>
      <c r="AN412" s="1241"/>
      <c r="AO412" s="1241"/>
      <c r="AP412" s="1241"/>
      <c r="AQ412" s="1241"/>
      <c r="AR412" s="1241"/>
      <c r="AS412" s="1241"/>
      <c r="AT412" s="1241"/>
      <c r="AU412" s="1241"/>
      <c r="AV412" s="1241"/>
      <c r="AW412" s="1241"/>
      <c r="AX412" s="1241"/>
      <c r="AY412" s="1241"/>
      <c r="AZ412" s="1241"/>
      <c r="BA412" s="1241"/>
      <c r="BB412" s="1241"/>
      <c r="BC412" s="1241"/>
      <c r="BD412" s="1241"/>
      <c r="BE412" s="1241"/>
      <c r="BF412" s="1241"/>
      <c r="BG412" s="1241"/>
      <c r="BH412" s="1241"/>
      <c r="BI412" s="1241"/>
      <c r="BJ412" s="1241"/>
      <c r="BK412" s="1241"/>
      <c r="BL412" s="1241"/>
      <c r="BM412" s="1241"/>
      <c r="BN412" s="1241"/>
      <c r="BO412" s="1241"/>
      <c r="BP412" s="1241"/>
      <c r="BQ412" s="1241"/>
      <c r="BR412" s="1241"/>
      <c r="BS412" s="1241"/>
      <c r="BT412" s="1241"/>
      <c r="BU412" s="1241"/>
      <c r="BV412" s="1241"/>
      <c r="BW412" s="1241"/>
      <c r="BX412" s="1241"/>
      <c r="BY412" s="1241"/>
      <c r="BZ412" s="1241"/>
      <c r="CA412" s="1241"/>
      <c r="CB412" s="1241"/>
      <c r="CC412" s="1241"/>
      <c r="CD412" s="1241"/>
      <c r="CE412" s="1241"/>
      <c r="CF412" s="1241"/>
      <c r="CG412" s="1241"/>
      <c r="CH412" s="1241"/>
      <c r="CI412" s="1241"/>
      <c r="CJ412" s="1241"/>
      <c r="CK412" s="1241"/>
      <c r="CL412" s="1241"/>
      <c r="CM412" s="1241"/>
      <c r="CN412" s="1241"/>
      <c r="CO412" s="1241"/>
      <c r="CP412" s="1241"/>
      <c r="CQ412" s="1241"/>
      <c r="CR412" s="1241"/>
      <c r="CS412" s="1241"/>
      <c r="CT412" s="1241"/>
      <c r="CU412" s="1241"/>
      <c r="CV412" s="1241"/>
      <c r="CW412" s="1241"/>
      <c r="CX412" s="1241"/>
      <c r="CY412" s="1241"/>
      <c r="CZ412" s="1241"/>
      <c r="DA412" s="1241"/>
      <c r="DB412" s="1241"/>
      <c r="DC412" s="1241"/>
      <c r="DD412" s="1241"/>
      <c r="DE412" s="1241"/>
      <c r="DF412" s="1241"/>
      <c r="DG412" s="1241"/>
      <c r="DH412" s="1241"/>
      <c r="DI412" s="1241"/>
      <c r="DJ412" s="1241"/>
      <c r="DK412" s="1241"/>
      <c r="DL412" s="1241"/>
      <c r="DM412" s="1241"/>
    </row>
    <row r="413" spans="1:117">
      <c r="B413" s="1263"/>
      <c r="C413" s="1211"/>
      <c r="D413" s="1211"/>
      <c r="E413" s="1211"/>
      <c r="F413" s="1415"/>
      <c r="G413" s="1293"/>
      <c r="H413" s="1293"/>
      <c r="I413" s="1293"/>
      <c r="J413" s="1293"/>
      <c r="K413" s="1293"/>
      <c r="L413" s="1293"/>
      <c r="M413" s="1293"/>
      <c r="N413" s="1293"/>
      <c r="O413" s="1415"/>
    </row>
    <row r="414" spans="1:117" ht="15">
      <c r="B414" s="1266">
        <v>5</v>
      </c>
      <c r="C414" s="1403" t="s">
        <v>4256</v>
      </c>
      <c r="D414" s="1263"/>
      <c r="E414" s="1263"/>
      <c r="F414" s="1264"/>
      <c r="G414" s="1220"/>
      <c r="H414" s="1220"/>
      <c r="I414" s="1220"/>
      <c r="J414" s="1220"/>
      <c r="K414" s="1220"/>
      <c r="L414" s="1220"/>
      <c r="M414" s="1220"/>
      <c r="N414" s="1220"/>
      <c r="O414" s="1264"/>
    </row>
    <row r="415" spans="1:117" ht="3.5" customHeight="1">
      <c r="B415" s="1263"/>
      <c r="C415" s="1263"/>
      <c r="D415" s="1263"/>
      <c r="E415" s="1263"/>
      <c r="F415" s="1264"/>
      <c r="G415" s="1220"/>
      <c r="H415" s="1220"/>
      <c r="I415" s="1220"/>
      <c r="J415" s="1220"/>
      <c r="K415" s="1220"/>
      <c r="L415" s="1220"/>
      <c r="M415" s="1220"/>
      <c r="N415" s="1220"/>
      <c r="O415" s="1264"/>
    </row>
    <row r="416" spans="1:117">
      <c r="B416" s="1263"/>
      <c r="C416" s="1201" t="s">
        <v>4166</v>
      </c>
      <c r="D416" s="1201" t="s">
        <v>4234</v>
      </c>
      <c r="E416" s="1201" t="s">
        <v>48</v>
      </c>
      <c r="F416" s="1203"/>
      <c r="G416" s="1202"/>
      <c r="H416" s="1202">
        <v>2020</v>
      </c>
      <c r="I416" s="1202">
        <v>2022</v>
      </c>
      <c r="J416" s="1202">
        <v>2027</v>
      </c>
      <c r="K416" s="1202">
        <v>2032</v>
      </c>
      <c r="L416" s="1202">
        <v>2037</v>
      </c>
      <c r="M416" s="1202">
        <v>2042</v>
      </c>
      <c r="N416" s="1202">
        <v>2047</v>
      </c>
      <c r="O416" s="1202">
        <v>2030</v>
      </c>
    </row>
    <row r="417" spans="2:15" ht="15">
      <c r="B417" s="1263"/>
      <c r="C417" s="1211" t="s">
        <v>4032</v>
      </c>
      <c r="D417" s="1211" t="s">
        <v>4033</v>
      </c>
      <c r="E417" s="1268"/>
      <c r="F417" s="1372"/>
      <c r="G417" s="1375"/>
      <c r="H417" s="900">
        <v>0.15</v>
      </c>
      <c r="I417" s="1405">
        <v>0.1537037037037037</v>
      </c>
      <c r="J417" s="1405">
        <v>0.1537037037037037</v>
      </c>
      <c r="K417" s="1405">
        <v>0.1537037037037037</v>
      </c>
      <c r="L417" s="1405">
        <v>0.1537037037037037</v>
      </c>
      <c r="M417" s="1405">
        <v>0.1537037037037037</v>
      </c>
      <c r="N417" s="1405">
        <v>0.1537037037037037</v>
      </c>
      <c r="O417" s="1405">
        <v>0.1537037037037037</v>
      </c>
    </row>
    <row r="418" spans="2:15" ht="15">
      <c r="B418" s="1263"/>
      <c r="C418" s="1211" t="s">
        <v>3997</v>
      </c>
      <c r="D418" s="1211" t="s">
        <v>3998</v>
      </c>
      <c r="E418" s="1268"/>
      <c r="F418" s="1372"/>
      <c r="G418" s="1375"/>
      <c r="H418" s="900">
        <v>0.79999999999999993</v>
      </c>
      <c r="I418" s="1405">
        <v>0.79259259259259263</v>
      </c>
      <c r="J418" s="1405">
        <v>0.79259259259259263</v>
      </c>
      <c r="K418" s="1405">
        <v>0.79259259259259263</v>
      </c>
      <c r="L418" s="1405">
        <v>0.79259259259259263</v>
      </c>
      <c r="M418" s="1405">
        <v>0.79259259259259263</v>
      </c>
      <c r="N418" s="1405">
        <v>0.79259259259259263</v>
      </c>
      <c r="O418" s="1405">
        <v>0.79259259259259263</v>
      </c>
    </row>
    <row r="419" spans="2:15" ht="15">
      <c r="B419" s="1263"/>
      <c r="C419" s="1211" t="s">
        <v>3999</v>
      </c>
      <c r="D419" s="1211" t="s">
        <v>4000</v>
      </c>
      <c r="E419" s="1268"/>
      <c r="F419" s="1372"/>
      <c r="G419" s="1375"/>
      <c r="H419" s="900">
        <v>0.05</v>
      </c>
      <c r="I419" s="1405">
        <v>0.05</v>
      </c>
      <c r="J419" s="1405">
        <v>0.05</v>
      </c>
      <c r="K419" s="1405">
        <v>0.05</v>
      </c>
      <c r="L419" s="1405">
        <v>0.05</v>
      </c>
      <c r="M419" s="1405">
        <v>0.05</v>
      </c>
      <c r="N419" s="1405">
        <v>0.05</v>
      </c>
      <c r="O419" s="1405">
        <v>0.05</v>
      </c>
    </row>
    <row r="420" spans="2:15" ht="15">
      <c r="B420" s="1263"/>
      <c r="C420" s="1211" t="s">
        <v>4001</v>
      </c>
      <c r="D420" s="1211" t="s">
        <v>4002</v>
      </c>
      <c r="E420" s="1268"/>
      <c r="F420" s="1372"/>
      <c r="G420" s="1375"/>
      <c r="H420" s="900">
        <v>0</v>
      </c>
      <c r="I420" s="1405">
        <v>3.7037037037037038E-3</v>
      </c>
      <c r="J420" s="1405">
        <v>3.7037037037037038E-3</v>
      </c>
      <c r="K420" s="1405">
        <v>3.7037037037037038E-3</v>
      </c>
      <c r="L420" s="1405">
        <v>3.7037037037037038E-3</v>
      </c>
      <c r="M420" s="1405">
        <v>3.7037037037037038E-3</v>
      </c>
      <c r="N420" s="1405">
        <v>3.7037037037037038E-3</v>
      </c>
      <c r="O420" s="1405">
        <v>3.7037037037037038E-3</v>
      </c>
    </row>
    <row r="421" spans="2:15" ht="15">
      <c r="B421" s="1263"/>
      <c r="C421" s="1211" t="s">
        <v>4011</v>
      </c>
      <c r="D421" s="1211" t="s">
        <v>4012</v>
      </c>
      <c r="E421" s="1268"/>
      <c r="F421" s="1372"/>
      <c r="G421" s="1375"/>
      <c r="H421" s="900">
        <v>0</v>
      </c>
      <c r="I421" s="1375">
        <v>0</v>
      </c>
      <c r="J421" s="1375">
        <v>0</v>
      </c>
      <c r="K421" s="1375">
        <v>0</v>
      </c>
      <c r="L421" s="1375">
        <v>0</v>
      </c>
      <c r="M421" s="1375">
        <v>0</v>
      </c>
      <c r="N421" s="1375">
        <v>0</v>
      </c>
      <c r="O421" s="1375">
        <v>0</v>
      </c>
    </row>
    <row r="422" spans="2:15" ht="15">
      <c r="B422" s="1263"/>
      <c r="C422" s="1406" t="s">
        <v>4025</v>
      </c>
      <c r="D422" s="1406" t="s">
        <v>4026</v>
      </c>
      <c r="E422" s="1406"/>
      <c r="F422" s="1407"/>
      <c r="G422" s="1408"/>
      <c r="H422" s="1432">
        <v>0</v>
      </c>
      <c r="I422" s="1414">
        <v>0</v>
      </c>
      <c r="J422" s="1414">
        <v>0</v>
      </c>
      <c r="K422" s="1414">
        <v>0</v>
      </c>
      <c r="L422" s="1414">
        <v>0</v>
      </c>
      <c r="M422" s="1414">
        <v>0</v>
      </c>
      <c r="N422" s="1414">
        <v>0</v>
      </c>
      <c r="O422" s="1414">
        <v>0</v>
      </c>
    </row>
    <row r="423" spans="2:15" ht="15">
      <c r="B423" s="1263"/>
      <c r="C423" s="1211"/>
      <c r="D423" s="1211"/>
      <c r="E423" s="1211"/>
      <c r="F423" s="1415"/>
      <c r="G423" s="1293"/>
      <c r="H423" s="1375"/>
      <c r="I423" s="1375"/>
      <c r="J423" s="1375"/>
      <c r="K423" s="1375"/>
      <c r="L423" s="1375"/>
      <c r="M423" s="1375"/>
      <c r="N423" s="1375"/>
      <c r="O423" s="1375"/>
    </row>
    <row r="424" spans="2:15">
      <c r="B424" s="1263"/>
      <c r="C424" s="1201" t="s">
        <v>4166</v>
      </c>
      <c r="D424" s="1201" t="s">
        <v>4242</v>
      </c>
      <c r="E424" s="1201" t="s">
        <v>48</v>
      </c>
      <c r="F424" s="1203"/>
      <c r="G424" s="1202"/>
      <c r="H424" s="1202">
        <v>2020</v>
      </c>
      <c r="I424" s="1202">
        <v>2022</v>
      </c>
      <c r="J424" s="1202">
        <v>2027</v>
      </c>
      <c r="K424" s="1202">
        <v>2032</v>
      </c>
      <c r="L424" s="1202">
        <v>2037</v>
      </c>
      <c r="M424" s="1202">
        <v>2042</v>
      </c>
      <c r="N424" s="1202">
        <v>2047</v>
      </c>
      <c r="O424" s="1202">
        <v>2030</v>
      </c>
    </row>
    <row r="425" spans="2:15" ht="15">
      <c r="B425" s="1263"/>
      <c r="C425" s="1211" t="s">
        <v>4032</v>
      </c>
      <c r="D425" s="1211" t="s">
        <v>4033</v>
      </c>
      <c r="E425" s="1268"/>
      <c r="F425" s="1372"/>
      <c r="G425" s="1375"/>
      <c r="H425" s="1375">
        <v>0.15</v>
      </c>
      <c r="I425" s="1405">
        <v>0.1537037037037037</v>
      </c>
      <c r="J425" s="1405">
        <v>0.16296296296296295</v>
      </c>
      <c r="K425" s="1405">
        <v>0.17222222222222222</v>
      </c>
      <c r="L425" s="1405">
        <v>0.18148148148148149</v>
      </c>
      <c r="M425" s="1405">
        <v>0.19074074074074074</v>
      </c>
      <c r="N425" s="1375">
        <v>0.2</v>
      </c>
      <c r="O425" s="1405">
        <v>0.16851851851851851</v>
      </c>
    </row>
    <row r="426" spans="2:15" ht="15">
      <c r="B426" s="1263"/>
      <c r="C426" s="1211" t="s">
        <v>3997</v>
      </c>
      <c r="D426" s="1211" t="s">
        <v>3998</v>
      </c>
      <c r="E426" s="1268"/>
      <c r="F426" s="1372"/>
      <c r="G426" s="1375"/>
      <c r="H426" s="1375">
        <v>0.79999999999999993</v>
      </c>
      <c r="I426" s="1405">
        <v>0.79259259259259263</v>
      </c>
      <c r="J426" s="1405">
        <v>0.77407407407407403</v>
      </c>
      <c r="K426" s="1405">
        <v>0.75555555555555542</v>
      </c>
      <c r="L426" s="1405">
        <v>0.73703703703703705</v>
      </c>
      <c r="M426" s="1405">
        <v>0.71851851851851845</v>
      </c>
      <c r="N426" s="1405">
        <v>0.7</v>
      </c>
      <c r="O426" s="1405">
        <v>0.76296296296296295</v>
      </c>
    </row>
    <row r="427" spans="2:15" ht="15">
      <c r="B427" s="1263"/>
      <c r="C427" s="1211" t="s">
        <v>3999</v>
      </c>
      <c r="D427" s="1211" t="s">
        <v>4000</v>
      </c>
      <c r="E427" s="1268"/>
      <c r="F427" s="1372"/>
      <c r="G427" s="1375"/>
      <c r="H427" s="1375">
        <v>0.05</v>
      </c>
      <c r="I427" s="1405">
        <v>0.05</v>
      </c>
      <c r="J427" s="1405">
        <v>0.05</v>
      </c>
      <c r="K427" s="1405">
        <v>0.05</v>
      </c>
      <c r="L427" s="1405">
        <v>0.05</v>
      </c>
      <c r="M427" s="1405">
        <v>0.05</v>
      </c>
      <c r="N427" s="1375">
        <v>0.05</v>
      </c>
      <c r="O427" s="1405">
        <v>0.05</v>
      </c>
    </row>
    <row r="428" spans="2:15" ht="15">
      <c r="B428" s="1263"/>
      <c r="C428" s="1211" t="s">
        <v>4001</v>
      </c>
      <c r="D428" s="1211" t="s">
        <v>4002</v>
      </c>
      <c r="E428" s="1268"/>
      <c r="F428" s="1372"/>
      <c r="G428" s="1375"/>
      <c r="H428" s="1375">
        <v>0</v>
      </c>
      <c r="I428" s="1405">
        <v>3.7037037037037038E-3</v>
      </c>
      <c r="J428" s="1405">
        <v>1.2962962962962964E-2</v>
      </c>
      <c r="K428" s="1405">
        <v>2.2222222222222227E-2</v>
      </c>
      <c r="L428" s="1405">
        <v>3.1481481481481485E-2</v>
      </c>
      <c r="M428" s="1405">
        <v>4.0740740740740744E-2</v>
      </c>
      <c r="N428" s="1375">
        <v>0.05</v>
      </c>
      <c r="O428" s="1405">
        <v>1.8518518518518517E-2</v>
      </c>
    </row>
    <row r="429" spans="2:15" ht="15">
      <c r="B429" s="1263"/>
      <c r="C429" s="1211" t="s">
        <v>4011</v>
      </c>
      <c r="D429" s="1211" t="s">
        <v>4012</v>
      </c>
      <c r="E429" s="1268"/>
      <c r="F429" s="1372"/>
      <c r="G429" s="1375"/>
      <c r="H429" s="1375">
        <v>0</v>
      </c>
      <c r="I429" s="1375">
        <v>0</v>
      </c>
      <c r="J429" s="1375">
        <v>0</v>
      </c>
      <c r="K429" s="1375">
        <v>0</v>
      </c>
      <c r="L429" s="1375">
        <v>0</v>
      </c>
      <c r="M429" s="1375">
        <v>0</v>
      </c>
      <c r="N429" s="1375">
        <v>0</v>
      </c>
      <c r="O429" s="1375">
        <v>0</v>
      </c>
    </row>
    <row r="430" spans="2:15" ht="15">
      <c r="B430" s="1263"/>
      <c r="C430" s="1406" t="s">
        <v>4025</v>
      </c>
      <c r="D430" s="1406" t="s">
        <v>4026</v>
      </c>
      <c r="E430" s="1406"/>
      <c r="F430" s="1407"/>
      <c r="G430" s="1408"/>
      <c r="H430" s="1414">
        <v>0</v>
      </c>
      <c r="I430" s="1414">
        <v>0</v>
      </c>
      <c r="J430" s="1414">
        <v>0</v>
      </c>
      <c r="K430" s="1414">
        <v>0</v>
      </c>
      <c r="L430" s="1414">
        <v>0</v>
      </c>
      <c r="M430" s="1414">
        <v>0</v>
      </c>
      <c r="N430" s="1414">
        <v>0</v>
      </c>
      <c r="O430" s="1414">
        <v>0</v>
      </c>
    </row>
    <row r="431" spans="2:15" ht="15">
      <c r="B431" s="1263"/>
      <c r="C431" s="1211"/>
      <c r="D431" s="1211"/>
      <c r="E431" s="1211"/>
      <c r="F431" s="1415"/>
      <c r="G431" s="1293"/>
      <c r="H431" s="1375"/>
      <c r="I431" s="1375"/>
      <c r="J431" s="1375"/>
      <c r="K431" s="1375"/>
      <c r="L431" s="1375"/>
      <c r="M431" s="1375"/>
      <c r="N431" s="1375"/>
      <c r="O431" s="1375"/>
    </row>
    <row r="432" spans="2:15">
      <c r="B432" s="1263"/>
      <c r="C432" s="1201" t="s">
        <v>4166</v>
      </c>
      <c r="D432" s="1201" t="s">
        <v>4244</v>
      </c>
      <c r="E432" s="1201" t="s">
        <v>48</v>
      </c>
      <c r="F432" s="1203"/>
      <c r="G432" s="1202"/>
      <c r="H432" s="1202">
        <v>2020</v>
      </c>
      <c r="I432" s="1202">
        <v>2022</v>
      </c>
      <c r="J432" s="1202">
        <v>2027</v>
      </c>
      <c r="K432" s="1202">
        <v>2032</v>
      </c>
      <c r="L432" s="1202">
        <v>2037</v>
      </c>
      <c r="M432" s="1202">
        <v>2042</v>
      </c>
      <c r="N432" s="1202">
        <v>2047</v>
      </c>
      <c r="O432" s="1202">
        <v>2030</v>
      </c>
    </row>
    <row r="433" spans="2:15" ht="15">
      <c r="B433" s="1263"/>
      <c r="C433" s="1211" t="s">
        <v>4032</v>
      </c>
      <c r="D433" s="1211" t="s">
        <v>4033</v>
      </c>
      <c r="E433" s="1268"/>
      <c r="F433" s="1372"/>
      <c r="G433" s="1375"/>
      <c r="H433" s="1375">
        <v>0.15</v>
      </c>
      <c r="I433" s="1405">
        <v>0.1537037037037037</v>
      </c>
      <c r="J433" s="1405">
        <v>0.18240740740740741</v>
      </c>
      <c r="K433" s="1405">
        <v>0.20555555555555557</v>
      </c>
      <c r="L433" s="1405">
        <v>0.22870370370370371</v>
      </c>
      <c r="M433" s="1405">
        <v>0.25185185185185188</v>
      </c>
      <c r="N433" s="1405">
        <v>0.27500000000000002</v>
      </c>
      <c r="O433" s="1405">
        <v>0.1962962962962963</v>
      </c>
    </row>
    <row r="434" spans="2:15" ht="15">
      <c r="B434" s="1263"/>
      <c r="C434" s="1211" t="s">
        <v>3997</v>
      </c>
      <c r="D434" s="1211" t="s">
        <v>3998</v>
      </c>
      <c r="E434" s="1268"/>
      <c r="F434" s="1372"/>
      <c r="G434" s="1375"/>
      <c r="H434" s="1375">
        <v>0.79999999999999993</v>
      </c>
      <c r="I434" s="1405">
        <v>0.79259259259259263</v>
      </c>
      <c r="J434" s="1405">
        <v>0.74685185185185188</v>
      </c>
      <c r="K434" s="1405">
        <v>0.70888888888888879</v>
      </c>
      <c r="L434" s="1405">
        <v>0.67092592592592581</v>
      </c>
      <c r="M434" s="1405">
        <v>0.63296296296296295</v>
      </c>
      <c r="N434" s="1405">
        <v>0.59499999999999997</v>
      </c>
      <c r="O434" s="1405">
        <v>0.72407407407407398</v>
      </c>
    </row>
    <row r="435" spans="2:15" ht="15">
      <c r="B435" s="1263"/>
      <c r="C435" s="1211" t="s">
        <v>3999</v>
      </c>
      <c r="D435" s="1211" t="s">
        <v>4000</v>
      </c>
      <c r="E435" s="1268"/>
      <c r="F435" s="1372"/>
      <c r="G435" s="1375"/>
      <c r="H435" s="1375">
        <v>0.05</v>
      </c>
      <c r="I435" s="1405">
        <v>0.05</v>
      </c>
      <c r="J435" s="1405">
        <v>0.05</v>
      </c>
      <c r="K435" s="1405">
        <v>0.05</v>
      </c>
      <c r="L435" s="1405">
        <v>0.05</v>
      </c>
      <c r="M435" s="1405">
        <v>0.05</v>
      </c>
      <c r="N435" s="1405">
        <v>0.05</v>
      </c>
      <c r="O435" s="1405">
        <v>0.05</v>
      </c>
    </row>
    <row r="436" spans="2:15" ht="15">
      <c r="B436" s="1263"/>
      <c r="C436" s="1211" t="s">
        <v>4001</v>
      </c>
      <c r="D436" s="1211" t="s">
        <v>4002</v>
      </c>
      <c r="E436" s="1268"/>
      <c r="F436" s="1372"/>
      <c r="G436" s="1375"/>
      <c r="H436" s="1375">
        <v>0</v>
      </c>
      <c r="I436" s="1405">
        <v>3.7037037037037038E-3</v>
      </c>
      <c r="J436" s="1405">
        <v>2.0740740740740744E-2</v>
      </c>
      <c r="K436" s="1405">
        <v>3.5555555555555556E-2</v>
      </c>
      <c r="L436" s="1405">
        <v>5.0370370370370371E-2</v>
      </c>
      <c r="M436" s="1405">
        <v>6.5185185185185179E-2</v>
      </c>
      <c r="N436" s="1405">
        <v>0.08</v>
      </c>
      <c r="O436" s="1405">
        <v>2.9629629629629631E-2</v>
      </c>
    </row>
    <row r="437" spans="2:15" ht="15">
      <c r="B437" s="1263"/>
      <c r="C437" s="1211" t="s">
        <v>4011</v>
      </c>
      <c r="D437" s="1211" t="s">
        <v>4012</v>
      </c>
      <c r="E437" s="1268"/>
      <c r="F437" s="1372"/>
      <c r="G437" s="1375"/>
      <c r="H437" s="1375">
        <v>0</v>
      </c>
      <c r="I437" s="1375">
        <v>0</v>
      </c>
      <c r="J437" s="1375">
        <v>0</v>
      </c>
      <c r="K437" s="1375">
        <v>0</v>
      </c>
      <c r="L437" s="1375">
        <v>0</v>
      </c>
      <c r="M437" s="1375">
        <v>0</v>
      </c>
      <c r="N437" s="1375">
        <v>0</v>
      </c>
      <c r="O437" s="1375">
        <v>0</v>
      </c>
    </row>
    <row r="438" spans="2:15" ht="15">
      <c r="B438" s="1263"/>
      <c r="C438" s="1406" t="s">
        <v>4025</v>
      </c>
      <c r="D438" s="1406" t="s">
        <v>4026</v>
      </c>
      <c r="E438" s="1406"/>
      <c r="F438" s="1407"/>
      <c r="G438" s="1408"/>
      <c r="H438" s="1414">
        <v>0</v>
      </c>
      <c r="I438" s="1414">
        <v>0</v>
      </c>
      <c r="J438" s="1414">
        <v>0</v>
      </c>
      <c r="K438" s="1414">
        <v>0</v>
      </c>
      <c r="L438" s="1414">
        <v>0</v>
      </c>
      <c r="M438" s="1414">
        <v>0</v>
      </c>
      <c r="N438" s="1414">
        <v>0</v>
      </c>
      <c r="O438" s="1414">
        <v>0</v>
      </c>
    </row>
    <row r="439" spans="2:15" ht="15">
      <c r="B439" s="1263"/>
      <c r="C439" s="1211"/>
      <c r="D439" s="1211"/>
      <c r="E439" s="1211"/>
      <c r="F439" s="1415"/>
      <c r="G439" s="1293"/>
      <c r="H439" s="1375"/>
      <c r="I439" s="1375"/>
      <c r="J439" s="1375"/>
      <c r="K439" s="1375"/>
      <c r="L439" s="1375"/>
      <c r="M439" s="1375"/>
      <c r="N439" s="1375"/>
      <c r="O439" s="1375"/>
    </row>
    <row r="440" spans="2:15">
      <c r="B440" s="1263"/>
      <c r="C440" s="1201" t="s">
        <v>4166</v>
      </c>
      <c r="D440" s="1201" t="s">
        <v>4246</v>
      </c>
      <c r="E440" s="1201" t="s">
        <v>48</v>
      </c>
      <c r="F440" s="1203"/>
      <c r="G440" s="1202"/>
      <c r="H440" s="1202">
        <v>2020</v>
      </c>
      <c r="I440" s="1202">
        <v>2022</v>
      </c>
      <c r="J440" s="1202">
        <v>2027</v>
      </c>
      <c r="K440" s="1202">
        <v>2032</v>
      </c>
      <c r="L440" s="1202">
        <v>2037</v>
      </c>
      <c r="M440" s="1202">
        <v>2042</v>
      </c>
      <c r="N440" s="1202">
        <v>2047</v>
      </c>
      <c r="O440" s="1202">
        <v>2030</v>
      </c>
    </row>
    <row r="441" spans="2:15" ht="15">
      <c r="B441" s="1263"/>
      <c r="C441" s="1211" t="s">
        <v>4032</v>
      </c>
      <c r="D441" s="1211" t="s">
        <v>4033</v>
      </c>
      <c r="E441" s="1268"/>
      <c r="F441" s="1372"/>
      <c r="G441" s="1375"/>
      <c r="H441" s="1375">
        <v>0.15</v>
      </c>
      <c r="I441" s="1405">
        <v>0.1537037037037037</v>
      </c>
      <c r="J441" s="1405">
        <v>0.20185185185185184</v>
      </c>
      <c r="K441" s="1405">
        <v>0.23888888888888887</v>
      </c>
      <c r="L441" s="1405">
        <v>0.27592592592592591</v>
      </c>
      <c r="M441" s="1405">
        <v>0.31296296296296294</v>
      </c>
      <c r="N441" s="1375">
        <v>0.35</v>
      </c>
      <c r="O441" s="1405">
        <v>0.22407407407407406</v>
      </c>
    </row>
    <row r="442" spans="2:15" ht="15">
      <c r="B442" s="1263"/>
      <c r="C442" s="1211" t="s">
        <v>3997</v>
      </c>
      <c r="D442" s="1211" t="s">
        <v>3998</v>
      </c>
      <c r="E442" s="1268"/>
      <c r="F442" s="1372"/>
      <c r="G442" s="1375"/>
      <c r="H442" s="1375">
        <v>0.79999999999999993</v>
      </c>
      <c r="I442" s="1405">
        <v>0.79259259259259263</v>
      </c>
      <c r="J442" s="1405">
        <v>0.72740740740740739</v>
      </c>
      <c r="K442" s="1405">
        <v>0.67555555555555546</v>
      </c>
      <c r="L442" s="1405">
        <v>0.62370370370370365</v>
      </c>
      <c r="M442" s="1405">
        <v>0.57185185185185183</v>
      </c>
      <c r="N442" s="1405">
        <v>0.52</v>
      </c>
      <c r="O442" s="1405">
        <v>0.69629629629629619</v>
      </c>
    </row>
    <row r="443" spans="2:15" ht="15">
      <c r="B443" s="1263"/>
      <c r="C443" s="1211" t="s">
        <v>3999</v>
      </c>
      <c r="D443" s="1211" t="s">
        <v>4000</v>
      </c>
      <c r="E443" s="1268"/>
      <c r="F443" s="1372"/>
      <c r="G443" s="1375"/>
      <c r="H443" s="1375">
        <v>0.05</v>
      </c>
      <c r="I443" s="1405">
        <v>0.05</v>
      </c>
      <c r="J443" s="1405">
        <v>0.05</v>
      </c>
      <c r="K443" s="1405">
        <v>0.05</v>
      </c>
      <c r="L443" s="1405">
        <v>0.05</v>
      </c>
      <c r="M443" s="1405">
        <v>0.05</v>
      </c>
      <c r="N443" s="1375">
        <v>0.05</v>
      </c>
      <c r="O443" s="1405">
        <v>0.05</v>
      </c>
    </row>
    <row r="444" spans="2:15" ht="15">
      <c r="B444" s="1263"/>
      <c r="C444" s="1211" t="s">
        <v>4001</v>
      </c>
      <c r="D444" s="1211" t="s">
        <v>4002</v>
      </c>
      <c r="E444" s="1268"/>
      <c r="F444" s="1372"/>
      <c r="G444" s="1375"/>
      <c r="H444" s="1375">
        <v>0</v>
      </c>
      <c r="I444" s="1405">
        <v>3.7037037037037038E-3</v>
      </c>
      <c r="J444" s="1405">
        <v>2.0740740740740744E-2</v>
      </c>
      <c r="K444" s="1405">
        <v>3.5555555555555556E-2</v>
      </c>
      <c r="L444" s="1405">
        <v>5.0370370370370371E-2</v>
      </c>
      <c r="M444" s="1405">
        <v>6.5185185185185179E-2</v>
      </c>
      <c r="N444" s="1375">
        <v>0.08</v>
      </c>
      <c r="O444" s="1405">
        <v>2.9629629629629631E-2</v>
      </c>
    </row>
    <row r="445" spans="2:15" ht="15">
      <c r="B445" s="1263"/>
      <c r="C445" s="1211" t="s">
        <v>4011</v>
      </c>
      <c r="D445" s="1211" t="s">
        <v>4012</v>
      </c>
      <c r="E445" s="1268"/>
      <c r="F445" s="1372"/>
      <c r="G445" s="1375"/>
      <c r="H445" s="1375">
        <v>0</v>
      </c>
      <c r="I445" s="1375">
        <v>0</v>
      </c>
      <c r="J445" s="1375">
        <v>0</v>
      </c>
      <c r="K445" s="1375">
        <v>0</v>
      </c>
      <c r="L445" s="1375">
        <v>0</v>
      </c>
      <c r="M445" s="1375">
        <v>0</v>
      </c>
      <c r="N445" s="1375">
        <v>0</v>
      </c>
      <c r="O445" s="1375">
        <v>0</v>
      </c>
    </row>
    <row r="446" spans="2:15" ht="15">
      <c r="B446" s="1263"/>
      <c r="C446" s="1406" t="s">
        <v>4025</v>
      </c>
      <c r="D446" s="1406" t="s">
        <v>4026</v>
      </c>
      <c r="E446" s="1406"/>
      <c r="F446" s="1407"/>
      <c r="G446" s="1408"/>
      <c r="H446" s="1414">
        <v>0</v>
      </c>
      <c r="I446" s="1414">
        <v>0</v>
      </c>
      <c r="J446" s="1414">
        <v>0</v>
      </c>
      <c r="K446" s="1414">
        <v>0</v>
      </c>
      <c r="L446" s="1414">
        <v>0</v>
      </c>
      <c r="M446" s="1414">
        <v>0</v>
      </c>
      <c r="N446" s="1414">
        <v>0</v>
      </c>
      <c r="O446" s="1414">
        <v>0</v>
      </c>
    </row>
    <row r="447" spans="2:15" ht="15">
      <c r="B447" s="1263"/>
      <c r="C447" s="1211"/>
      <c r="D447" s="1211"/>
      <c r="E447" s="1211"/>
      <c r="F447" s="1415"/>
      <c r="G447" s="1293"/>
      <c r="H447" s="1375"/>
      <c r="I447" s="1375"/>
      <c r="J447" s="1375"/>
      <c r="K447" s="1375"/>
      <c r="L447" s="1375"/>
      <c r="M447" s="1375"/>
      <c r="N447" s="1375"/>
      <c r="O447" s="1375"/>
    </row>
    <row r="448" spans="2:15">
      <c r="B448" s="1263"/>
      <c r="C448" s="1201" t="s">
        <v>4166</v>
      </c>
      <c r="D448" s="1201" t="s">
        <v>4248</v>
      </c>
      <c r="E448" s="1201" t="s">
        <v>48</v>
      </c>
      <c r="F448" s="1203"/>
      <c r="G448" s="1202"/>
      <c r="H448" s="1202">
        <v>2020</v>
      </c>
      <c r="I448" s="1202">
        <v>2022</v>
      </c>
      <c r="J448" s="1202">
        <v>2027</v>
      </c>
      <c r="K448" s="1202">
        <v>2032</v>
      </c>
      <c r="L448" s="1202">
        <v>2037</v>
      </c>
      <c r="M448" s="1202">
        <v>2042</v>
      </c>
      <c r="N448" s="1202">
        <v>2047</v>
      </c>
      <c r="O448" s="1202">
        <v>2030</v>
      </c>
    </row>
    <row r="449" spans="2:15" ht="15">
      <c r="B449" s="1263"/>
      <c r="C449" s="1211" t="s">
        <v>4032</v>
      </c>
      <c r="D449" s="1211" t="s">
        <v>4033</v>
      </c>
      <c r="E449" s="1268"/>
      <c r="F449" s="1372"/>
      <c r="G449" s="1375"/>
      <c r="H449" s="1375">
        <v>0.15</v>
      </c>
      <c r="I449" s="1405">
        <v>0.16111111111111109</v>
      </c>
      <c r="J449" s="1405">
        <v>0.18888888888888888</v>
      </c>
      <c r="K449" s="1405">
        <v>0.21666666666666667</v>
      </c>
      <c r="L449" s="1405">
        <v>0.24444444444444444</v>
      </c>
      <c r="M449" s="1405">
        <v>0.2722222222222222</v>
      </c>
      <c r="N449" s="1416">
        <v>0.3</v>
      </c>
      <c r="O449" s="1405">
        <v>0.20555555555555555</v>
      </c>
    </row>
    <row r="450" spans="2:15" ht="15">
      <c r="B450" s="1263"/>
      <c r="C450" s="1211" t="s">
        <v>3997</v>
      </c>
      <c r="D450" s="1211" t="s">
        <v>3998</v>
      </c>
      <c r="E450" s="1268"/>
      <c r="F450" s="1372"/>
      <c r="G450" s="1375"/>
      <c r="H450" s="1375">
        <v>0.8</v>
      </c>
      <c r="I450" s="1405">
        <v>0.78888888888888886</v>
      </c>
      <c r="J450" s="1405">
        <v>0.76111111111111107</v>
      </c>
      <c r="K450" s="1405">
        <v>0.73333333333333328</v>
      </c>
      <c r="L450" s="1405">
        <v>0.70555555555555549</v>
      </c>
      <c r="M450" s="1405">
        <v>0.67777777777777781</v>
      </c>
      <c r="N450" s="1416">
        <v>0.64999999999999991</v>
      </c>
      <c r="O450" s="1405">
        <v>0.74444444444444446</v>
      </c>
    </row>
    <row r="451" spans="2:15" ht="15">
      <c r="B451" s="1263"/>
      <c r="C451" s="1211" t="s">
        <v>3999</v>
      </c>
      <c r="D451" s="1211" t="s">
        <v>4000</v>
      </c>
      <c r="E451" s="1268"/>
      <c r="F451" s="1372"/>
      <c r="G451" s="1375"/>
      <c r="H451" s="1375">
        <v>0.05</v>
      </c>
      <c r="I451" s="1405">
        <v>0.05</v>
      </c>
      <c r="J451" s="1405">
        <v>0.05</v>
      </c>
      <c r="K451" s="1405">
        <v>0.05</v>
      </c>
      <c r="L451" s="1405">
        <v>0.05</v>
      </c>
      <c r="M451" s="1405">
        <v>0.05</v>
      </c>
      <c r="N451" s="1416">
        <v>0.05</v>
      </c>
      <c r="O451" s="1405">
        <v>0.05</v>
      </c>
    </row>
    <row r="452" spans="2:15" ht="15">
      <c r="B452" s="1263"/>
      <c r="C452" s="1211" t="s">
        <v>4001</v>
      </c>
      <c r="D452" s="1211" t="s">
        <v>4002</v>
      </c>
      <c r="E452" s="1268"/>
      <c r="F452" s="1372"/>
      <c r="G452" s="1375"/>
      <c r="H452" s="1375">
        <v>0</v>
      </c>
      <c r="I452" s="1405">
        <v>0</v>
      </c>
      <c r="J452" s="1405">
        <v>0</v>
      </c>
      <c r="K452" s="1405">
        <v>0</v>
      </c>
      <c r="L452" s="1405">
        <v>0</v>
      </c>
      <c r="M452" s="1405">
        <v>0</v>
      </c>
      <c r="N452" s="1416">
        <v>0</v>
      </c>
      <c r="O452" s="1405">
        <v>0</v>
      </c>
    </row>
    <row r="453" spans="2:15" ht="15">
      <c r="B453" s="1263"/>
      <c r="C453" s="1211" t="s">
        <v>4011</v>
      </c>
      <c r="D453" s="1211" t="s">
        <v>4012</v>
      </c>
      <c r="E453" s="1268"/>
      <c r="F453" s="1372"/>
      <c r="G453" s="1375"/>
      <c r="H453" s="1375">
        <v>0</v>
      </c>
      <c r="I453" s="1375">
        <v>0</v>
      </c>
      <c r="J453" s="1375">
        <v>0</v>
      </c>
      <c r="K453" s="1375">
        <v>0</v>
      </c>
      <c r="L453" s="1375">
        <v>0</v>
      </c>
      <c r="M453" s="1375">
        <v>0</v>
      </c>
      <c r="N453" s="1375">
        <v>0</v>
      </c>
      <c r="O453" s="1375">
        <v>0</v>
      </c>
    </row>
    <row r="454" spans="2:15" ht="15">
      <c r="B454" s="1263"/>
      <c r="C454" s="1406" t="s">
        <v>4025</v>
      </c>
      <c r="D454" s="1406" t="s">
        <v>4026</v>
      </c>
      <c r="E454" s="1406"/>
      <c r="F454" s="1407"/>
      <c r="G454" s="1408"/>
      <c r="H454" s="1414">
        <v>0</v>
      </c>
      <c r="I454" s="1414">
        <v>0</v>
      </c>
      <c r="J454" s="1414">
        <v>0</v>
      </c>
      <c r="K454" s="1414">
        <v>0</v>
      </c>
      <c r="L454" s="1414">
        <v>0</v>
      </c>
      <c r="M454" s="1414">
        <v>0</v>
      </c>
      <c r="N454" s="1414">
        <v>0</v>
      </c>
      <c r="O454" s="1414">
        <v>0</v>
      </c>
    </row>
    <row r="455" spans="2:15" ht="15">
      <c r="B455" s="1263"/>
      <c r="C455" s="1211"/>
      <c r="D455" s="1211"/>
      <c r="E455" s="1211"/>
      <c r="F455" s="1415"/>
      <c r="G455" s="1293"/>
      <c r="H455" s="1375"/>
      <c r="I455" s="1375"/>
      <c r="J455" s="1375"/>
      <c r="K455" s="1375"/>
      <c r="L455" s="1375"/>
      <c r="M455" s="1375"/>
      <c r="N455" s="1375"/>
      <c r="O455" s="1375"/>
    </row>
    <row r="456" spans="2:15">
      <c r="B456" s="1263"/>
      <c r="C456" s="1201" t="s">
        <v>4166</v>
      </c>
      <c r="D456" s="1201" t="s">
        <v>4249</v>
      </c>
      <c r="E456" s="1201" t="s">
        <v>48</v>
      </c>
      <c r="F456" s="1203"/>
      <c r="G456" s="1202"/>
      <c r="H456" s="1202">
        <v>2020</v>
      </c>
      <c r="I456" s="1202">
        <v>2022</v>
      </c>
      <c r="J456" s="1202">
        <v>2027</v>
      </c>
      <c r="K456" s="1202">
        <v>2032</v>
      </c>
      <c r="L456" s="1202">
        <v>2037</v>
      </c>
      <c r="M456" s="1202">
        <v>2042</v>
      </c>
      <c r="N456" s="1202">
        <v>2047</v>
      </c>
      <c r="O456" s="1202">
        <v>2030</v>
      </c>
    </row>
    <row r="457" spans="2:15" ht="15">
      <c r="B457" s="1263"/>
      <c r="C457" s="1211" t="s">
        <v>4032</v>
      </c>
      <c r="D457" s="1211" t="s">
        <v>4033</v>
      </c>
      <c r="E457" s="1268"/>
      <c r="F457" s="1372"/>
      <c r="G457" s="1375"/>
      <c r="H457" s="1375">
        <v>0.15</v>
      </c>
      <c r="I457" s="1375">
        <v>0.1537037037037037</v>
      </c>
      <c r="J457" s="1375">
        <v>0.16296296296296295</v>
      </c>
      <c r="K457" s="1375">
        <v>0.17222222222222222</v>
      </c>
      <c r="L457" s="1375">
        <v>0.18148148148148149</v>
      </c>
      <c r="M457" s="1375">
        <v>0.19074074074074074</v>
      </c>
      <c r="N457" s="1375">
        <v>0.2</v>
      </c>
      <c r="O457" s="1375">
        <v>0.16851851851851851</v>
      </c>
    </row>
    <row r="458" spans="2:15" ht="15">
      <c r="B458" s="1263"/>
      <c r="C458" s="1211" t="s">
        <v>3997</v>
      </c>
      <c r="D458" s="1211" t="s">
        <v>3998</v>
      </c>
      <c r="E458" s="1268"/>
      <c r="F458" s="1372"/>
      <c r="G458" s="1375"/>
      <c r="H458" s="1375">
        <v>0.79999999999999993</v>
      </c>
      <c r="I458" s="1375">
        <v>0.79259259259259263</v>
      </c>
      <c r="J458" s="1375">
        <v>0.77407407407407403</v>
      </c>
      <c r="K458" s="1375">
        <v>0.75555555555555542</v>
      </c>
      <c r="L458" s="1375">
        <v>0.73703703703703705</v>
      </c>
      <c r="M458" s="1375">
        <v>0.71851851851851845</v>
      </c>
      <c r="N458" s="1375">
        <v>0.7</v>
      </c>
      <c r="O458" s="1375">
        <v>0.76296296296296295</v>
      </c>
    </row>
    <row r="459" spans="2:15" ht="15">
      <c r="B459" s="1263"/>
      <c r="C459" s="1211" t="s">
        <v>3999</v>
      </c>
      <c r="D459" s="1211" t="s">
        <v>4000</v>
      </c>
      <c r="E459" s="1268"/>
      <c r="F459" s="1372"/>
      <c r="G459" s="1375"/>
      <c r="H459" s="1375">
        <v>0.05</v>
      </c>
      <c r="I459" s="1375">
        <v>0.05</v>
      </c>
      <c r="J459" s="1375">
        <v>0.05</v>
      </c>
      <c r="K459" s="1375">
        <v>0.05</v>
      </c>
      <c r="L459" s="1375">
        <v>0.05</v>
      </c>
      <c r="M459" s="1375">
        <v>0.05</v>
      </c>
      <c r="N459" s="1375">
        <v>0.05</v>
      </c>
      <c r="O459" s="1375">
        <v>0.05</v>
      </c>
    </row>
    <row r="460" spans="2:15" ht="15">
      <c r="B460" s="1263"/>
      <c r="C460" s="1211" t="s">
        <v>4001</v>
      </c>
      <c r="D460" s="1211" t="s">
        <v>4002</v>
      </c>
      <c r="E460" s="1268"/>
      <c r="F460" s="1372"/>
      <c r="G460" s="1375"/>
      <c r="H460" s="1375">
        <v>0</v>
      </c>
      <c r="I460" s="1375">
        <v>3.7037037037037038E-3</v>
      </c>
      <c r="J460" s="1375">
        <v>1.2962962962962964E-2</v>
      </c>
      <c r="K460" s="1375">
        <v>2.2222222222222227E-2</v>
      </c>
      <c r="L460" s="1375">
        <v>3.1481481481481485E-2</v>
      </c>
      <c r="M460" s="1375">
        <v>4.0740740740740744E-2</v>
      </c>
      <c r="N460" s="1375">
        <v>0.05</v>
      </c>
      <c r="O460" s="1375">
        <v>1.8518518518518517E-2</v>
      </c>
    </row>
    <row r="461" spans="2:15" ht="15">
      <c r="B461" s="1263"/>
      <c r="C461" s="1211" t="s">
        <v>4011</v>
      </c>
      <c r="D461" s="1211" t="s">
        <v>4012</v>
      </c>
      <c r="E461" s="1268"/>
      <c r="F461" s="1372"/>
      <c r="G461" s="1375"/>
      <c r="H461" s="1375">
        <v>0</v>
      </c>
      <c r="I461" s="1375">
        <v>0</v>
      </c>
      <c r="J461" s="1375">
        <v>0</v>
      </c>
      <c r="K461" s="1375">
        <v>0</v>
      </c>
      <c r="L461" s="1375">
        <v>0</v>
      </c>
      <c r="M461" s="1375">
        <v>0</v>
      </c>
      <c r="N461" s="1375">
        <v>0</v>
      </c>
      <c r="O461" s="1375">
        <v>0</v>
      </c>
    </row>
    <row r="462" spans="2:15" ht="15">
      <c r="B462" s="1263"/>
      <c r="C462" s="1406" t="s">
        <v>4025</v>
      </c>
      <c r="D462" s="1406" t="s">
        <v>4026</v>
      </c>
      <c r="E462" s="1406"/>
      <c r="F462" s="1407"/>
      <c r="G462" s="1408"/>
      <c r="H462" s="1414">
        <v>0</v>
      </c>
      <c r="I462" s="1414">
        <v>0</v>
      </c>
      <c r="J462" s="1414">
        <v>0</v>
      </c>
      <c r="K462" s="1414">
        <v>0</v>
      </c>
      <c r="L462" s="1414">
        <v>0</v>
      </c>
      <c r="M462" s="1414">
        <v>0</v>
      </c>
      <c r="N462" s="1414">
        <v>0</v>
      </c>
      <c r="O462" s="1414">
        <v>0</v>
      </c>
    </row>
    <row r="463" spans="2:15" ht="15">
      <c r="B463" s="1263"/>
      <c r="C463" s="1211"/>
      <c r="D463" s="1211"/>
      <c r="E463" s="1211"/>
      <c r="F463" s="1415"/>
      <c r="G463" s="1293"/>
      <c r="H463" s="1375"/>
      <c r="I463" s="1375"/>
      <c r="J463" s="1375"/>
      <c r="K463" s="1375"/>
      <c r="L463" s="1375"/>
      <c r="M463" s="1375"/>
      <c r="N463" s="1375"/>
      <c r="O463" s="1375"/>
    </row>
    <row r="464" spans="2:15">
      <c r="B464" s="1263"/>
      <c r="C464" s="1263"/>
      <c r="D464" s="1263"/>
      <c r="E464" s="1263"/>
      <c r="F464" s="1264"/>
      <c r="G464" s="1220"/>
      <c r="H464" s="1220"/>
      <c r="I464" s="1220"/>
      <c r="J464" s="1220"/>
      <c r="K464" s="1220"/>
      <c r="L464" s="1220"/>
      <c r="M464" s="1220"/>
      <c r="N464" s="1220"/>
      <c r="O464" s="1264"/>
    </row>
    <row r="465" spans="1:15" ht="15">
      <c r="B465" s="1266">
        <v>6</v>
      </c>
      <c r="C465" s="1403" t="s">
        <v>4257</v>
      </c>
      <c r="D465" s="1263"/>
      <c r="E465" s="1263"/>
      <c r="F465" s="1264"/>
      <c r="G465" s="1220"/>
      <c r="H465" s="1220"/>
      <c r="I465" s="1220"/>
      <c r="J465" s="1220"/>
      <c r="K465" s="1220"/>
      <c r="L465" s="1220"/>
      <c r="M465" s="1220"/>
      <c r="N465" s="1220"/>
      <c r="O465" s="1264"/>
    </row>
    <row r="466" spans="1:15" ht="5" customHeight="1">
      <c r="B466" s="1263"/>
      <c r="C466" s="1263"/>
      <c r="D466" s="1263"/>
      <c r="E466" s="1263"/>
      <c r="F466" s="1264"/>
      <c r="G466" s="1220"/>
      <c r="H466" s="1220"/>
      <c r="I466" s="1220"/>
      <c r="J466" s="1220"/>
      <c r="K466" s="1220"/>
      <c r="L466" s="1220"/>
      <c r="M466" s="1220"/>
      <c r="N466" s="1220"/>
      <c r="O466" s="1264"/>
    </row>
    <row r="467" spans="1:15">
      <c r="B467" s="1263"/>
      <c r="C467" s="1201" t="s">
        <v>4166</v>
      </c>
      <c r="D467" s="1201" t="s">
        <v>4234</v>
      </c>
      <c r="E467" s="1201" t="s">
        <v>48</v>
      </c>
      <c r="F467" s="1203"/>
      <c r="G467" s="1202"/>
      <c r="H467" s="1202">
        <v>2020</v>
      </c>
      <c r="I467" s="1202">
        <v>2022</v>
      </c>
      <c r="J467" s="1202">
        <v>2027</v>
      </c>
      <c r="K467" s="1202">
        <v>2032</v>
      </c>
      <c r="L467" s="1202">
        <v>2037</v>
      </c>
      <c r="M467" s="1202">
        <v>2042</v>
      </c>
      <c r="N467" s="1202">
        <v>2047</v>
      </c>
      <c r="O467" s="1202">
        <v>2030</v>
      </c>
    </row>
    <row r="468" spans="1:15" ht="15">
      <c r="B468" s="1263"/>
      <c r="C468" s="1211" t="s">
        <v>4032</v>
      </c>
      <c r="D468" s="1211" t="s">
        <v>4033</v>
      </c>
      <c r="E468" s="1268"/>
      <c r="F468" s="1372"/>
      <c r="G468" s="1375"/>
      <c r="H468" s="898">
        <v>0.25</v>
      </c>
      <c r="I468" s="898">
        <v>0.25370370370370371</v>
      </c>
      <c r="J468" s="898">
        <v>0.25370370370370371</v>
      </c>
      <c r="K468" s="898">
        <v>0.25370370370370371</v>
      </c>
      <c r="L468" s="898">
        <v>0.25370370370370371</v>
      </c>
      <c r="M468" s="898">
        <v>0.25370370370370371</v>
      </c>
      <c r="N468" s="1405">
        <v>0.25370370370370371</v>
      </c>
      <c r="O468" s="898">
        <v>0.25370370370370371</v>
      </c>
    </row>
    <row r="469" spans="1:15" s="1400" customFormat="1" ht="15">
      <c r="A469" s="1325"/>
      <c r="B469" s="1437"/>
      <c r="C469" s="1211" t="s">
        <v>3997</v>
      </c>
      <c r="D469" s="1211" t="s">
        <v>3998</v>
      </c>
      <c r="E469" s="1268"/>
      <c r="F469" s="1372"/>
      <c r="G469" s="1375"/>
      <c r="H469" s="898">
        <v>0.71</v>
      </c>
      <c r="I469" s="1405">
        <v>0.70518518518518514</v>
      </c>
      <c r="J469" s="1405">
        <v>0.70518518518518514</v>
      </c>
      <c r="K469" s="1405">
        <v>0.70518518518518514</v>
      </c>
      <c r="L469" s="1405">
        <v>0.70518518518518514</v>
      </c>
      <c r="M469" s="1405">
        <v>0.70518518518518514</v>
      </c>
      <c r="N469" s="1405">
        <v>0.70518518518518514</v>
      </c>
      <c r="O469" s="1405">
        <v>0.70518518518518514</v>
      </c>
    </row>
    <row r="470" spans="1:15" s="1400" customFormat="1" ht="15">
      <c r="A470" s="1325"/>
      <c r="B470" s="1437"/>
      <c r="C470" s="1211" t="s">
        <v>3999</v>
      </c>
      <c r="D470" s="1211" t="s">
        <v>4000</v>
      </c>
      <c r="E470" s="1268"/>
      <c r="F470" s="1372"/>
      <c r="G470" s="1375"/>
      <c r="H470" s="898">
        <v>0.01</v>
      </c>
      <c r="I470" s="1405">
        <v>0.01</v>
      </c>
      <c r="J470" s="1405">
        <v>0.01</v>
      </c>
      <c r="K470" s="1405">
        <v>0.01</v>
      </c>
      <c r="L470" s="1405">
        <v>0.01</v>
      </c>
      <c r="M470" s="1405">
        <v>0.01</v>
      </c>
      <c r="N470" s="1405">
        <v>0.01</v>
      </c>
      <c r="O470" s="1405">
        <v>0.01</v>
      </c>
    </row>
    <row r="471" spans="1:15" s="1400" customFormat="1" ht="15">
      <c r="A471" s="1241"/>
      <c r="B471" s="1263"/>
      <c r="C471" s="1211" t="s">
        <v>4001</v>
      </c>
      <c r="D471" s="1211" t="s">
        <v>4002</v>
      </c>
      <c r="E471" s="1268"/>
      <c r="F471" s="1372"/>
      <c r="G471" s="1375"/>
      <c r="H471" s="898">
        <v>0.03</v>
      </c>
      <c r="I471" s="898">
        <v>3.111111111111111E-2</v>
      </c>
      <c r="J471" s="898">
        <v>3.111111111111111E-2</v>
      </c>
      <c r="K471" s="898">
        <v>3.111111111111111E-2</v>
      </c>
      <c r="L471" s="898">
        <v>3.111111111111111E-2</v>
      </c>
      <c r="M471" s="898">
        <v>3.111111111111111E-2</v>
      </c>
      <c r="N471" s="1405">
        <v>3.111111111111111E-2</v>
      </c>
      <c r="O471" s="898">
        <v>3.111111111111111E-2</v>
      </c>
    </row>
    <row r="472" spans="1:15" s="1400" customFormat="1" ht="15">
      <c r="A472" s="1241"/>
      <c r="B472" s="1263"/>
      <c r="C472" s="1211" t="s">
        <v>4011</v>
      </c>
      <c r="D472" s="1211" t="s">
        <v>4012</v>
      </c>
      <c r="E472" s="1268"/>
      <c r="F472" s="1372"/>
      <c r="G472" s="1375"/>
      <c r="H472" s="898">
        <v>0</v>
      </c>
      <c r="I472" s="1375">
        <v>0</v>
      </c>
      <c r="J472" s="1375">
        <v>0</v>
      </c>
      <c r="K472" s="1375">
        <v>0</v>
      </c>
      <c r="L472" s="1375">
        <v>0</v>
      </c>
      <c r="M472" s="1375">
        <v>0</v>
      </c>
      <c r="N472" s="1375">
        <v>0</v>
      </c>
      <c r="O472" s="1375">
        <v>0</v>
      </c>
    </row>
    <row r="473" spans="1:15" s="1400" customFormat="1" ht="15">
      <c r="A473" s="1241"/>
      <c r="B473" s="1263"/>
      <c r="C473" s="1406" t="s">
        <v>4025</v>
      </c>
      <c r="D473" s="1406" t="s">
        <v>4026</v>
      </c>
      <c r="E473" s="1406"/>
      <c r="F473" s="1407"/>
      <c r="G473" s="1408"/>
      <c r="H473" s="1432">
        <v>0</v>
      </c>
      <c r="I473" s="1414">
        <v>0</v>
      </c>
      <c r="J473" s="1414">
        <v>0</v>
      </c>
      <c r="K473" s="1414">
        <v>0</v>
      </c>
      <c r="L473" s="1414">
        <v>0</v>
      </c>
      <c r="M473" s="1414">
        <v>0</v>
      </c>
      <c r="N473" s="1414">
        <v>0</v>
      </c>
      <c r="O473" s="1414">
        <v>0</v>
      </c>
    </row>
    <row r="474" spans="1:15" s="1400" customFormat="1" ht="15">
      <c r="A474" s="1241"/>
      <c r="B474" s="1263"/>
      <c r="C474" s="1211"/>
      <c r="D474" s="1211"/>
      <c r="E474" s="1211"/>
      <c r="F474" s="1415"/>
      <c r="G474" s="1293"/>
      <c r="H474" s="1375"/>
      <c r="I474" s="1375"/>
      <c r="J474" s="1375"/>
      <c r="K474" s="1375"/>
      <c r="L474" s="1375"/>
      <c r="M474" s="1375"/>
      <c r="N474" s="1375"/>
      <c r="O474" s="1375"/>
    </row>
    <row r="475" spans="1:15" s="1400" customFormat="1">
      <c r="A475" s="1241"/>
      <c r="B475" s="1263"/>
      <c r="C475" s="1201" t="s">
        <v>4166</v>
      </c>
      <c r="D475" s="1201" t="s">
        <v>4242</v>
      </c>
      <c r="E475" s="1201" t="s">
        <v>48</v>
      </c>
      <c r="F475" s="1203"/>
      <c r="G475" s="1202"/>
      <c r="H475" s="1202">
        <v>2020</v>
      </c>
      <c r="I475" s="1202">
        <v>2022</v>
      </c>
      <c r="J475" s="1202">
        <v>2027</v>
      </c>
      <c r="K475" s="1202">
        <v>2032</v>
      </c>
      <c r="L475" s="1202">
        <v>2037</v>
      </c>
      <c r="M475" s="1202">
        <v>2042</v>
      </c>
      <c r="N475" s="1202">
        <v>2047</v>
      </c>
      <c r="O475" s="1202">
        <v>2030</v>
      </c>
    </row>
    <row r="476" spans="1:15" s="1400" customFormat="1" ht="15">
      <c r="A476" s="1241"/>
      <c r="B476" s="1263"/>
      <c r="C476" s="1211" t="s">
        <v>4032</v>
      </c>
      <c r="D476" s="1211" t="s">
        <v>4033</v>
      </c>
      <c r="E476" s="1268"/>
      <c r="F476" s="1372"/>
      <c r="G476" s="1375"/>
      <c r="H476" s="1375">
        <v>0.25</v>
      </c>
      <c r="I476" s="1405">
        <v>0.25370370370370371</v>
      </c>
      <c r="J476" s="1405">
        <v>0.26296296296296295</v>
      </c>
      <c r="K476" s="1405">
        <v>0.2722222222222222</v>
      </c>
      <c r="L476" s="1405">
        <v>0.2814814814814815</v>
      </c>
      <c r="M476" s="1405">
        <v>0.29074074074074074</v>
      </c>
      <c r="N476" s="1375">
        <v>0.3</v>
      </c>
      <c r="O476" s="1405">
        <v>0.26851851851851849</v>
      </c>
    </row>
    <row r="477" spans="1:15" s="1400" customFormat="1" ht="15">
      <c r="A477" s="1241"/>
      <c r="B477" s="1263"/>
      <c r="C477" s="1211" t="s">
        <v>3997</v>
      </c>
      <c r="D477" s="1211" t="s">
        <v>3998</v>
      </c>
      <c r="E477" s="1268"/>
      <c r="F477" s="1372"/>
      <c r="G477" s="1375"/>
      <c r="H477" s="1375">
        <v>0.71</v>
      </c>
      <c r="I477" s="1405">
        <v>0.70518518518518514</v>
      </c>
      <c r="J477" s="1405">
        <v>0.69314814814814818</v>
      </c>
      <c r="K477" s="1405">
        <v>0.68111111111111122</v>
      </c>
      <c r="L477" s="1405">
        <v>0.66907407407407415</v>
      </c>
      <c r="M477" s="1405">
        <v>0.65703703703703709</v>
      </c>
      <c r="N477" s="1405">
        <v>0.64600000000000002</v>
      </c>
      <c r="O477" s="1405">
        <v>0.68592592592592594</v>
      </c>
    </row>
    <row r="478" spans="1:15" s="1400" customFormat="1" ht="15">
      <c r="A478" s="1241"/>
      <c r="B478" s="1263"/>
      <c r="C478" s="1211" t="s">
        <v>3999</v>
      </c>
      <c r="D478" s="1211" t="s">
        <v>4000</v>
      </c>
      <c r="E478" s="1268"/>
      <c r="F478" s="1372"/>
      <c r="G478" s="1375"/>
      <c r="H478" s="1375">
        <v>0.01</v>
      </c>
      <c r="I478" s="1405">
        <v>0.01</v>
      </c>
      <c r="J478" s="1405">
        <v>0.01</v>
      </c>
      <c r="K478" s="1405">
        <v>0.01</v>
      </c>
      <c r="L478" s="1405">
        <v>0.01</v>
      </c>
      <c r="M478" s="1405">
        <v>0.01</v>
      </c>
      <c r="N478" s="1405">
        <v>0.01</v>
      </c>
      <c r="O478" s="1405">
        <v>0.01</v>
      </c>
    </row>
    <row r="479" spans="1:15" s="1400" customFormat="1" ht="15">
      <c r="A479" s="1241"/>
      <c r="B479" s="1263"/>
      <c r="C479" s="1211" t="s">
        <v>4001</v>
      </c>
      <c r="D479" s="1211" t="s">
        <v>4002</v>
      </c>
      <c r="E479" s="1268"/>
      <c r="F479" s="1372"/>
      <c r="G479" s="1375"/>
      <c r="H479" s="1375">
        <v>0.03</v>
      </c>
      <c r="I479" s="1405">
        <v>3.111111111111111E-2</v>
      </c>
      <c r="J479" s="1405">
        <v>3.3888888888888885E-2</v>
      </c>
      <c r="K479" s="1405">
        <v>3.6666666666666667E-2</v>
      </c>
      <c r="L479" s="1405">
        <v>3.9444444444444442E-2</v>
      </c>
      <c r="M479" s="1405">
        <v>4.2222222222222217E-2</v>
      </c>
      <c r="N479" s="1375">
        <v>4.4999999999999998E-2</v>
      </c>
      <c r="O479" s="1405">
        <v>3.5555555555555556E-2</v>
      </c>
    </row>
    <row r="480" spans="1:15" s="1400" customFormat="1" ht="15">
      <c r="A480" s="1241"/>
      <c r="B480" s="1263"/>
      <c r="C480" s="1211" t="s">
        <v>4011</v>
      </c>
      <c r="D480" s="1211" t="s">
        <v>4012</v>
      </c>
      <c r="E480" s="1268"/>
      <c r="F480" s="1372"/>
      <c r="G480" s="1375"/>
      <c r="H480" s="1375">
        <v>0</v>
      </c>
      <c r="I480" s="1375">
        <v>0</v>
      </c>
      <c r="J480" s="1375">
        <v>0</v>
      </c>
      <c r="K480" s="1375">
        <v>0</v>
      </c>
      <c r="L480" s="1375">
        <v>0</v>
      </c>
      <c r="M480" s="1375">
        <v>0</v>
      </c>
      <c r="N480" s="1375">
        <v>0</v>
      </c>
      <c r="O480" s="1375">
        <v>0</v>
      </c>
    </row>
    <row r="481" spans="1:15" s="1400" customFormat="1" ht="15">
      <c r="A481" s="1241"/>
      <c r="B481" s="1263"/>
      <c r="C481" s="1406" t="s">
        <v>4025</v>
      </c>
      <c r="D481" s="1406" t="s">
        <v>4026</v>
      </c>
      <c r="E481" s="1406"/>
      <c r="F481" s="1407"/>
      <c r="G481" s="1408"/>
      <c r="H481" s="1414">
        <v>0</v>
      </c>
      <c r="I481" s="1414">
        <v>0</v>
      </c>
      <c r="J481" s="1414">
        <v>0</v>
      </c>
      <c r="K481" s="1414">
        <v>0</v>
      </c>
      <c r="L481" s="1414">
        <v>0</v>
      </c>
      <c r="M481" s="1414">
        <v>0</v>
      </c>
      <c r="N481" s="1414">
        <v>-9.9999999999988987E-4</v>
      </c>
      <c r="O481" s="1414">
        <v>0</v>
      </c>
    </row>
    <row r="482" spans="1:15" s="1400" customFormat="1" ht="15">
      <c r="A482" s="1241"/>
      <c r="B482" s="1263"/>
      <c r="C482" s="1211"/>
      <c r="D482" s="1211"/>
      <c r="E482" s="1211"/>
      <c r="F482" s="1415"/>
      <c r="G482" s="1293"/>
      <c r="H482" s="1375"/>
      <c r="I482" s="1375"/>
      <c r="J482" s="1375"/>
      <c r="K482" s="1375"/>
      <c r="L482" s="1375"/>
      <c r="M482" s="1375"/>
      <c r="N482" s="1375"/>
      <c r="O482" s="1375"/>
    </row>
    <row r="483" spans="1:15" s="1400" customFormat="1">
      <c r="A483" s="1241"/>
      <c r="B483" s="1263"/>
      <c r="C483" s="1201" t="s">
        <v>4166</v>
      </c>
      <c r="D483" s="1201" t="s">
        <v>4244</v>
      </c>
      <c r="E483" s="1201" t="s">
        <v>48</v>
      </c>
      <c r="F483" s="1203"/>
      <c r="G483" s="1202"/>
      <c r="H483" s="1202">
        <v>2020</v>
      </c>
      <c r="I483" s="1202">
        <v>2022</v>
      </c>
      <c r="J483" s="1202">
        <v>2027</v>
      </c>
      <c r="K483" s="1202">
        <v>2032</v>
      </c>
      <c r="L483" s="1202">
        <v>2037</v>
      </c>
      <c r="M483" s="1202">
        <v>2042</v>
      </c>
      <c r="N483" s="1202">
        <v>2047</v>
      </c>
      <c r="O483" s="1202">
        <v>2030</v>
      </c>
    </row>
    <row r="484" spans="1:15" s="1400" customFormat="1" ht="15">
      <c r="A484" s="1241"/>
      <c r="B484" s="1263"/>
      <c r="C484" s="1211" t="s">
        <v>4032</v>
      </c>
      <c r="D484" s="1211" t="s">
        <v>4033</v>
      </c>
      <c r="E484" s="1268"/>
      <c r="F484" s="1372"/>
      <c r="G484" s="1375"/>
      <c r="H484" s="1375">
        <v>0.25</v>
      </c>
      <c r="I484" s="1405">
        <v>0.25370370370370371</v>
      </c>
      <c r="J484" s="1405">
        <v>0.28888888888888892</v>
      </c>
      <c r="K484" s="1405">
        <v>0.31666666666666665</v>
      </c>
      <c r="L484" s="1405">
        <v>0.34444444444444444</v>
      </c>
      <c r="M484" s="1405">
        <v>0.37222222222222223</v>
      </c>
      <c r="N484" s="1375">
        <v>0.4</v>
      </c>
      <c r="O484" s="1405">
        <v>0.30555555555555558</v>
      </c>
    </row>
    <row r="485" spans="1:15" s="1400" customFormat="1" ht="15">
      <c r="A485" s="1241"/>
      <c r="B485" s="1263"/>
      <c r="C485" s="1211" t="s">
        <v>3997</v>
      </c>
      <c r="D485" s="1211" t="s">
        <v>3998</v>
      </c>
      <c r="E485" s="1268"/>
      <c r="F485" s="1372"/>
      <c r="G485" s="1375"/>
      <c r="H485" s="1375">
        <v>0.71</v>
      </c>
      <c r="I485" s="1405">
        <v>0.70518518518518514</v>
      </c>
      <c r="J485" s="1405">
        <v>0.66333333333333322</v>
      </c>
      <c r="K485" s="1405">
        <v>0.63</v>
      </c>
      <c r="L485" s="1405">
        <v>0.59666666666666668</v>
      </c>
      <c r="M485" s="1405">
        <v>0.56333333333333335</v>
      </c>
      <c r="N485" s="1375">
        <v>0.53</v>
      </c>
      <c r="O485" s="1405">
        <v>0.64333333333333331</v>
      </c>
    </row>
    <row r="486" spans="1:15" s="1400" customFormat="1" ht="15">
      <c r="A486" s="1241"/>
      <c r="B486" s="1263"/>
      <c r="C486" s="1211" t="s">
        <v>3999</v>
      </c>
      <c r="D486" s="1211" t="s">
        <v>4000</v>
      </c>
      <c r="E486" s="1268"/>
      <c r="F486" s="1372"/>
      <c r="G486" s="1375"/>
      <c r="H486" s="1375">
        <v>0.01</v>
      </c>
      <c r="I486" s="1405">
        <v>0.01</v>
      </c>
      <c r="J486" s="1405">
        <v>0.01</v>
      </c>
      <c r="K486" s="1405">
        <v>0.01</v>
      </c>
      <c r="L486" s="1405">
        <v>0.01</v>
      </c>
      <c r="M486" s="1405">
        <v>0.01</v>
      </c>
      <c r="N486" s="1405">
        <v>0.01</v>
      </c>
      <c r="O486" s="1405">
        <v>0.01</v>
      </c>
    </row>
    <row r="487" spans="1:15" s="1400" customFormat="1" ht="15">
      <c r="A487" s="1241"/>
      <c r="B487" s="1263"/>
      <c r="C487" s="1211" t="s">
        <v>4001</v>
      </c>
      <c r="D487" s="1211" t="s">
        <v>4002</v>
      </c>
      <c r="E487" s="1268"/>
      <c r="F487" s="1372"/>
      <c r="G487" s="1375"/>
      <c r="H487" s="1375">
        <v>0.03</v>
      </c>
      <c r="I487" s="1405">
        <v>3.111111111111111E-2</v>
      </c>
      <c r="J487" s="1405">
        <v>3.7777777777777778E-2</v>
      </c>
      <c r="K487" s="1405">
        <v>4.3333333333333335E-2</v>
      </c>
      <c r="L487" s="1405">
        <v>4.8888888888888885E-2</v>
      </c>
      <c r="M487" s="1405">
        <v>5.4444444444444441E-2</v>
      </c>
      <c r="N487" s="1375">
        <v>0.06</v>
      </c>
      <c r="O487" s="1405">
        <v>4.1111111111111112E-2</v>
      </c>
    </row>
    <row r="488" spans="1:15" s="1400" customFormat="1" ht="15">
      <c r="A488" s="1241"/>
      <c r="B488" s="1263"/>
      <c r="C488" s="1211" t="s">
        <v>4011</v>
      </c>
      <c r="D488" s="1211" t="s">
        <v>4012</v>
      </c>
      <c r="E488" s="1268"/>
      <c r="F488" s="1372"/>
      <c r="G488" s="1375"/>
      <c r="H488" s="1375">
        <v>0</v>
      </c>
      <c r="I488" s="1375">
        <v>0</v>
      </c>
      <c r="J488" s="1375">
        <v>0</v>
      </c>
      <c r="K488" s="1375">
        <v>0</v>
      </c>
      <c r="L488" s="1375">
        <v>0</v>
      </c>
      <c r="M488" s="1375">
        <v>0</v>
      </c>
      <c r="N488" s="1375">
        <v>0</v>
      </c>
      <c r="O488" s="1375">
        <v>0</v>
      </c>
    </row>
    <row r="489" spans="1:15" s="1400" customFormat="1" ht="15">
      <c r="A489" s="1241"/>
      <c r="B489" s="1263"/>
      <c r="C489" s="1406" t="s">
        <v>4025</v>
      </c>
      <c r="D489" s="1406" t="s">
        <v>4026</v>
      </c>
      <c r="E489" s="1406"/>
      <c r="F489" s="1407"/>
      <c r="G489" s="1408"/>
      <c r="H489" s="1414">
        <v>0</v>
      </c>
      <c r="I489" s="1414">
        <v>0</v>
      </c>
      <c r="J489" s="1414">
        <v>0</v>
      </c>
      <c r="K489" s="1414">
        <v>0</v>
      </c>
      <c r="L489" s="1414">
        <v>0</v>
      </c>
      <c r="M489" s="1414">
        <v>0</v>
      </c>
      <c r="N489" s="1414">
        <v>0</v>
      </c>
      <c r="O489" s="1414">
        <v>0</v>
      </c>
    </row>
    <row r="490" spans="1:15" s="1400" customFormat="1" ht="15">
      <c r="A490" s="1241"/>
      <c r="B490" s="1263"/>
      <c r="C490" s="1211"/>
      <c r="D490" s="1211"/>
      <c r="E490" s="1211"/>
      <c r="F490" s="1415"/>
      <c r="G490" s="1293"/>
      <c r="H490" s="1375"/>
      <c r="I490" s="1375"/>
      <c r="J490" s="1375"/>
      <c r="K490" s="1375"/>
      <c r="L490" s="1375"/>
      <c r="M490" s="1375"/>
      <c r="N490" s="1375"/>
      <c r="O490" s="1375"/>
    </row>
    <row r="491" spans="1:15" s="1400" customFormat="1">
      <c r="A491" s="1241"/>
      <c r="B491" s="1263"/>
      <c r="C491" s="1201" t="s">
        <v>4166</v>
      </c>
      <c r="D491" s="1201" t="s">
        <v>4246</v>
      </c>
      <c r="E491" s="1201" t="s">
        <v>48</v>
      </c>
      <c r="F491" s="1203"/>
      <c r="G491" s="1202"/>
      <c r="H491" s="1202">
        <v>2020</v>
      </c>
      <c r="I491" s="1202">
        <v>2022</v>
      </c>
      <c r="J491" s="1202">
        <v>2027</v>
      </c>
      <c r="K491" s="1202">
        <v>2032</v>
      </c>
      <c r="L491" s="1202">
        <v>2037</v>
      </c>
      <c r="M491" s="1202">
        <v>2042</v>
      </c>
      <c r="N491" s="1202">
        <v>2047</v>
      </c>
      <c r="O491" s="1202">
        <v>2030</v>
      </c>
    </row>
    <row r="492" spans="1:15" s="1400" customFormat="1" ht="15">
      <c r="A492" s="1241"/>
      <c r="B492" s="1263"/>
      <c r="C492" s="1211" t="s">
        <v>4032</v>
      </c>
      <c r="D492" s="1211" t="s">
        <v>4033</v>
      </c>
      <c r="E492" s="1268"/>
      <c r="F492" s="1372"/>
      <c r="G492" s="1375"/>
      <c r="H492" s="1375">
        <v>0.25</v>
      </c>
      <c r="I492" s="1405">
        <v>0.25370370370370371</v>
      </c>
      <c r="J492" s="1405">
        <v>0.31481481481481483</v>
      </c>
      <c r="K492" s="1405">
        <v>0.3611111111111111</v>
      </c>
      <c r="L492" s="1405">
        <v>0.40740740740740744</v>
      </c>
      <c r="M492" s="1405">
        <v>0.45370370370370372</v>
      </c>
      <c r="N492" s="1375">
        <v>0.5</v>
      </c>
      <c r="O492" s="1405">
        <v>0.34259259259259256</v>
      </c>
    </row>
    <row r="493" spans="1:15" s="1400" customFormat="1" ht="15">
      <c r="A493" s="1241"/>
      <c r="B493" s="1263"/>
      <c r="C493" s="1211" t="s">
        <v>3997</v>
      </c>
      <c r="D493" s="1211" t="s">
        <v>3998</v>
      </c>
      <c r="E493" s="1268"/>
      <c r="F493" s="1372"/>
      <c r="G493" s="1375"/>
      <c r="H493" s="1375">
        <v>0.71</v>
      </c>
      <c r="I493" s="1405">
        <v>0.70518518518518514</v>
      </c>
      <c r="J493" s="1405">
        <v>0.63740740740740731</v>
      </c>
      <c r="K493" s="1405">
        <v>0.5855555555555555</v>
      </c>
      <c r="L493" s="1405">
        <v>0.53370370370370368</v>
      </c>
      <c r="M493" s="1405">
        <v>0.48185185185185181</v>
      </c>
      <c r="N493" s="1375">
        <v>0.43</v>
      </c>
      <c r="O493" s="1405">
        <v>0.60629629629629633</v>
      </c>
    </row>
    <row r="494" spans="1:15" s="1400" customFormat="1" ht="15">
      <c r="A494" s="1241"/>
      <c r="B494" s="1263"/>
      <c r="C494" s="1211" t="s">
        <v>3999</v>
      </c>
      <c r="D494" s="1211" t="s">
        <v>4000</v>
      </c>
      <c r="E494" s="1268"/>
      <c r="F494" s="1372"/>
      <c r="G494" s="1375"/>
      <c r="H494" s="1375">
        <v>0.01</v>
      </c>
      <c r="I494" s="1405">
        <v>0.01</v>
      </c>
      <c r="J494" s="1405">
        <v>0.01</v>
      </c>
      <c r="K494" s="1405">
        <v>0.01</v>
      </c>
      <c r="L494" s="1405">
        <v>0.01</v>
      </c>
      <c r="M494" s="1405">
        <v>0.01</v>
      </c>
      <c r="N494" s="1405">
        <v>0.01</v>
      </c>
      <c r="O494" s="1405">
        <v>0.01</v>
      </c>
    </row>
    <row r="495" spans="1:15" s="1400" customFormat="1" ht="15">
      <c r="A495" s="1241"/>
      <c r="B495" s="1263"/>
      <c r="C495" s="1211" t="s">
        <v>4001</v>
      </c>
      <c r="D495" s="1211" t="s">
        <v>4002</v>
      </c>
      <c r="E495" s="1268"/>
      <c r="F495" s="1372"/>
      <c r="G495" s="1375"/>
      <c r="H495" s="1375">
        <v>0.03</v>
      </c>
      <c r="I495" s="1405">
        <v>3.111111111111111E-2</v>
      </c>
      <c r="J495" s="1405">
        <v>3.7777777777777778E-2</v>
      </c>
      <c r="K495" s="1405">
        <v>4.3333333333333335E-2</v>
      </c>
      <c r="L495" s="1405">
        <v>4.8888888888888885E-2</v>
      </c>
      <c r="M495" s="1405">
        <v>5.4444444444444441E-2</v>
      </c>
      <c r="N495" s="1375">
        <v>0.06</v>
      </c>
      <c r="O495" s="1405">
        <v>4.1111111111111112E-2</v>
      </c>
    </row>
    <row r="496" spans="1:15" s="1400" customFormat="1" ht="15">
      <c r="A496" s="1241"/>
      <c r="B496" s="1263"/>
      <c r="C496" s="1211" t="s">
        <v>4011</v>
      </c>
      <c r="D496" s="1211" t="s">
        <v>4012</v>
      </c>
      <c r="E496" s="1268"/>
      <c r="F496" s="1372"/>
      <c r="G496" s="1375"/>
      <c r="H496" s="1375">
        <v>0</v>
      </c>
      <c r="I496" s="1375">
        <v>0</v>
      </c>
      <c r="J496" s="1375">
        <v>0</v>
      </c>
      <c r="K496" s="1375">
        <v>0</v>
      </c>
      <c r="L496" s="1375">
        <v>0</v>
      </c>
      <c r="M496" s="1375">
        <v>0</v>
      </c>
      <c r="N496" s="1375">
        <v>0</v>
      </c>
      <c r="O496" s="1375">
        <v>0</v>
      </c>
    </row>
    <row r="497" spans="1:15" s="1400" customFormat="1" ht="15">
      <c r="A497" s="1241"/>
      <c r="B497" s="1263"/>
      <c r="C497" s="1406" t="s">
        <v>4025</v>
      </c>
      <c r="D497" s="1406" t="s">
        <v>4026</v>
      </c>
      <c r="E497" s="1406"/>
      <c r="F497" s="1407"/>
      <c r="G497" s="1408"/>
      <c r="H497" s="1414">
        <v>0</v>
      </c>
      <c r="I497" s="1414">
        <v>0</v>
      </c>
      <c r="J497" s="1414">
        <v>0</v>
      </c>
      <c r="K497" s="1414">
        <v>0</v>
      </c>
      <c r="L497" s="1414">
        <v>0</v>
      </c>
      <c r="M497" s="1414">
        <v>0</v>
      </c>
      <c r="N497" s="1414">
        <v>0</v>
      </c>
      <c r="O497" s="1414">
        <v>0</v>
      </c>
    </row>
    <row r="498" spans="1:15" s="1400" customFormat="1" ht="15">
      <c r="A498" s="1241"/>
      <c r="B498" s="1263"/>
      <c r="C498" s="1211"/>
      <c r="D498" s="1211"/>
      <c r="E498" s="1211"/>
      <c r="F498" s="1415"/>
      <c r="G498" s="1293"/>
      <c r="H498" s="1375"/>
      <c r="I498" s="1375"/>
      <c r="J498" s="1375"/>
      <c r="K498" s="1375"/>
      <c r="L498" s="1375"/>
      <c r="M498" s="1375"/>
      <c r="N498" s="1375"/>
      <c r="O498" s="1375"/>
    </row>
    <row r="499" spans="1:15" s="1400" customFormat="1">
      <c r="A499" s="1241"/>
      <c r="B499" s="1263"/>
      <c r="C499" s="1201" t="s">
        <v>4166</v>
      </c>
      <c r="D499" s="1201" t="s">
        <v>4248</v>
      </c>
      <c r="E499" s="1201" t="s">
        <v>48</v>
      </c>
      <c r="F499" s="1203"/>
      <c r="G499" s="1202"/>
      <c r="H499" s="1202">
        <v>2020</v>
      </c>
      <c r="I499" s="1202">
        <v>2022</v>
      </c>
      <c r="J499" s="1202">
        <v>2027</v>
      </c>
      <c r="K499" s="1202">
        <v>2032</v>
      </c>
      <c r="L499" s="1202">
        <v>2037</v>
      </c>
      <c r="M499" s="1202">
        <v>2042</v>
      </c>
      <c r="N499" s="1202">
        <v>2047</v>
      </c>
      <c r="O499" s="1202">
        <v>2030</v>
      </c>
    </row>
    <row r="500" spans="1:15" s="1400" customFormat="1" ht="15">
      <c r="A500" s="1241"/>
      <c r="B500" s="1263"/>
      <c r="C500" s="1211" t="s">
        <v>4032</v>
      </c>
      <c r="D500" s="1211" t="s">
        <v>4033</v>
      </c>
      <c r="E500" s="1268"/>
      <c r="F500" s="1372"/>
      <c r="G500" s="1375"/>
      <c r="H500" s="1375">
        <v>0.247</v>
      </c>
      <c r="I500" s="1405">
        <v>0.25833333333333336</v>
      </c>
      <c r="J500" s="1405">
        <v>0.28666666666666668</v>
      </c>
      <c r="K500" s="1405">
        <v>0.315</v>
      </c>
      <c r="L500" s="1405">
        <v>0.34333333333333338</v>
      </c>
      <c r="M500" s="1405">
        <v>0.3716666666666667</v>
      </c>
      <c r="N500" s="1416">
        <v>0.4</v>
      </c>
      <c r="O500" s="1405">
        <v>0.3036666666666667</v>
      </c>
    </row>
    <row r="501" spans="1:15" s="1400" customFormat="1" ht="15">
      <c r="A501" s="1241"/>
      <c r="B501" s="1263"/>
      <c r="C501" s="1211" t="s">
        <v>3997</v>
      </c>
      <c r="D501" s="1211" t="s">
        <v>3998</v>
      </c>
      <c r="E501" s="1268"/>
      <c r="F501" s="1372"/>
      <c r="G501" s="1375"/>
      <c r="H501" s="1375">
        <v>0.71799999999999997</v>
      </c>
      <c r="I501" s="1405">
        <v>0.70666666666666667</v>
      </c>
      <c r="J501" s="1405">
        <v>0.67833333333333334</v>
      </c>
      <c r="K501" s="1405">
        <v>0.65</v>
      </c>
      <c r="L501" s="1405">
        <v>0.62166666666666659</v>
      </c>
      <c r="M501" s="1405">
        <v>0.59333333333333327</v>
      </c>
      <c r="N501" s="1416">
        <v>0.56499999999999995</v>
      </c>
      <c r="O501" s="1405">
        <v>0.66133333333333322</v>
      </c>
    </row>
    <row r="502" spans="1:15" s="1400" customFormat="1" ht="15">
      <c r="A502" s="1241"/>
      <c r="B502" s="1263"/>
      <c r="C502" s="1211" t="s">
        <v>3999</v>
      </c>
      <c r="D502" s="1211" t="s">
        <v>4000</v>
      </c>
      <c r="E502" s="1268"/>
      <c r="F502" s="1372"/>
      <c r="G502" s="1375"/>
      <c r="H502" s="1375">
        <v>8.9999999999999993E-3</v>
      </c>
      <c r="I502" s="1405">
        <v>8.9999999999999993E-3</v>
      </c>
      <c r="J502" s="1405">
        <v>8.9999999999999993E-3</v>
      </c>
      <c r="K502" s="1405">
        <v>8.9999999999999993E-3</v>
      </c>
      <c r="L502" s="1405">
        <v>8.9999999999999993E-3</v>
      </c>
      <c r="M502" s="1405">
        <v>8.9999999999999993E-3</v>
      </c>
      <c r="N502" s="1416">
        <v>8.9999999999999993E-3</v>
      </c>
      <c r="O502" s="1405">
        <v>8.9999999999999993E-3</v>
      </c>
    </row>
    <row r="503" spans="1:15" s="1400" customFormat="1" ht="15">
      <c r="A503" s="1241"/>
      <c r="B503" s="1263"/>
      <c r="C503" s="1211" t="s">
        <v>4001</v>
      </c>
      <c r="D503" s="1211" t="s">
        <v>4002</v>
      </c>
      <c r="E503" s="1268"/>
      <c r="F503" s="1372"/>
      <c r="G503" s="1375"/>
      <c r="H503" s="1375">
        <v>2.5999999999999999E-2</v>
      </c>
      <c r="I503" s="1405">
        <v>2.5999999999999999E-2</v>
      </c>
      <c r="J503" s="1405">
        <v>2.5999999999999999E-2</v>
      </c>
      <c r="K503" s="1405">
        <v>2.5999999999999999E-2</v>
      </c>
      <c r="L503" s="1405">
        <v>2.5999999999999999E-2</v>
      </c>
      <c r="M503" s="1405">
        <v>2.5999999999999999E-2</v>
      </c>
      <c r="N503" s="1416">
        <v>2.5999999999999999E-2</v>
      </c>
      <c r="O503" s="1405">
        <v>2.5999999999999999E-2</v>
      </c>
    </row>
    <row r="504" spans="1:15" s="1400" customFormat="1" ht="15">
      <c r="A504" s="1241"/>
      <c r="B504" s="1263"/>
      <c r="C504" s="1211"/>
      <c r="D504" s="1211"/>
      <c r="E504" s="1268"/>
      <c r="F504" s="1372"/>
      <c r="G504" s="1375"/>
      <c r="H504" s="1375"/>
      <c r="I504" s="1405"/>
      <c r="J504" s="1405"/>
      <c r="K504" s="1405"/>
      <c r="L504" s="1405"/>
      <c r="M504" s="1405"/>
      <c r="N504" s="1416"/>
      <c r="O504" s="1405"/>
    </row>
    <row r="505" spans="1:15" s="1400" customFormat="1" ht="15">
      <c r="A505" s="1241"/>
      <c r="B505" s="1263"/>
      <c r="C505" s="1406" t="s">
        <v>4025</v>
      </c>
      <c r="D505" s="1406" t="s">
        <v>4026</v>
      </c>
      <c r="E505" s="1406"/>
      <c r="F505" s="1407"/>
      <c r="G505" s="1408"/>
      <c r="H505" s="1414">
        <v>0</v>
      </c>
      <c r="I505" s="1414">
        <v>0</v>
      </c>
      <c r="J505" s="1414">
        <v>0</v>
      </c>
      <c r="K505" s="1414">
        <v>0</v>
      </c>
      <c r="L505" s="1414">
        <v>0</v>
      </c>
      <c r="M505" s="1414">
        <v>0</v>
      </c>
      <c r="N505" s="1414">
        <v>0</v>
      </c>
      <c r="O505" s="1414">
        <v>0</v>
      </c>
    </row>
    <row r="506" spans="1:15" s="1400" customFormat="1" ht="15">
      <c r="A506" s="1241"/>
      <c r="B506" s="1263"/>
      <c r="C506" s="1211"/>
      <c r="D506" s="1211"/>
      <c r="E506" s="1211"/>
      <c r="F506" s="1415"/>
      <c r="G506" s="1293"/>
      <c r="H506" s="1375"/>
      <c r="I506" s="1375"/>
      <c r="J506" s="1375"/>
      <c r="K506" s="1375"/>
      <c r="L506" s="1375"/>
      <c r="M506" s="1375"/>
      <c r="N506" s="1375"/>
      <c r="O506" s="1375"/>
    </row>
    <row r="507" spans="1:15" s="1400" customFormat="1">
      <c r="A507" s="1241"/>
      <c r="B507" s="1263"/>
      <c r="C507" s="1201" t="s">
        <v>4166</v>
      </c>
      <c r="D507" s="1201" t="s">
        <v>4249</v>
      </c>
      <c r="E507" s="1201" t="s">
        <v>48</v>
      </c>
      <c r="F507" s="1203"/>
      <c r="G507" s="1202"/>
      <c r="H507" s="1202">
        <v>2020</v>
      </c>
      <c r="I507" s="1202">
        <v>2022</v>
      </c>
      <c r="J507" s="1202">
        <v>2027</v>
      </c>
      <c r="K507" s="1202">
        <v>2032</v>
      </c>
      <c r="L507" s="1202">
        <v>2037</v>
      </c>
      <c r="M507" s="1202">
        <v>2042</v>
      </c>
      <c r="N507" s="1202">
        <v>2047</v>
      </c>
      <c r="O507" s="1202">
        <v>2030</v>
      </c>
    </row>
    <row r="508" spans="1:15" s="1400" customFormat="1" ht="15">
      <c r="A508" s="1241"/>
      <c r="B508" s="1263"/>
      <c r="C508" s="1211" t="s">
        <v>4032</v>
      </c>
      <c r="D508" s="1211" t="s">
        <v>4033</v>
      </c>
      <c r="E508" s="1268"/>
      <c r="F508" s="1372"/>
      <c r="G508" s="1375"/>
      <c r="H508" s="1405">
        <v>0.25</v>
      </c>
      <c r="I508" s="1405">
        <v>0.25370370370370371</v>
      </c>
      <c r="J508" s="1405">
        <v>0.26296296296296295</v>
      </c>
      <c r="K508" s="1405">
        <v>0.2722222222222222</v>
      </c>
      <c r="L508" s="1405">
        <v>0.2814814814814815</v>
      </c>
      <c r="M508" s="1405">
        <v>0.29074074074074074</v>
      </c>
      <c r="N508" s="1405">
        <v>0.3</v>
      </c>
      <c r="O508" s="1405">
        <v>0.26851851851851849</v>
      </c>
    </row>
    <row r="509" spans="1:15" s="1400" customFormat="1" ht="15">
      <c r="A509" s="1241"/>
      <c r="B509" s="1263"/>
      <c r="C509" s="1211" t="s">
        <v>3997</v>
      </c>
      <c r="D509" s="1211" t="s">
        <v>3998</v>
      </c>
      <c r="E509" s="1268"/>
      <c r="F509" s="1372"/>
      <c r="G509" s="1375"/>
      <c r="H509" s="1405">
        <v>0.71</v>
      </c>
      <c r="I509" s="1405">
        <v>0.70518518518518514</v>
      </c>
      <c r="J509" s="1405">
        <v>0.69314814814814818</v>
      </c>
      <c r="K509" s="1405">
        <v>0.68111111111111122</v>
      </c>
      <c r="L509" s="1405">
        <v>0.66907407407407415</v>
      </c>
      <c r="M509" s="1405">
        <v>0.65703703703703709</v>
      </c>
      <c r="N509" s="1405">
        <v>0.64600000000000002</v>
      </c>
      <c r="O509" s="1405">
        <v>0.68592592592592594</v>
      </c>
    </row>
    <row r="510" spans="1:15" s="1400" customFormat="1" ht="15">
      <c r="A510" s="1241"/>
      <c r="B510" s="1263"/>
      <c r="C510" s="1211" t="s">
        <v>3999</v>
      </c>
      <c r="D510" s="1211" t="s">
        <v>4000</v>
      </c>
      <c r="E510" s="1268"/>
      <c r="F510" s="1372"/>
      <c r="G510" s="1375"/>
      <c r="H510" s="1405">
        <v>0.01</v>
      </c>
      <c r="I510" s="1405">
        <v>0.01</v>
      </c>
      <c r="J510" s="1405">
        <v>0.01</v>
      </c>
      <c r="K510" s="1405">
        <v>0.01</v>
      </c>
      <c r="L510" s="1405">
        <v>0.01</v>
      </c>
      <c r="M510" s="1405">
        <v>0.01</v>
      </c>
      <c r="N510" s="1405">
        <v>0.01</v>
      </c>
      <c r="O510" s="1405">
        <v>0.01</v>
      </c>
    </row>
    <row r="511" spans="1:15" s="1400" customFormat="1" ht="15">
      <c r="A511" s="1241"/>
      <c r="B511" s="1263"/>
      <c r="C511" s="1211" t="s">
        <v>4001</v>
      </c>
      <c r="D511" s="1211" t="s">
        <v>4002</v>
      </c>
      <c r="E511" s="1268"/>
      <c r="F511" s="1372"/>
      <c r="G511" s="1375"/>
      <c r="H511" s="1405">
        <v>0.03</v>
      </c>
      <c r="I511" s="1405">
        <v>3.111111111111111E-2</v>
      </c>
      <c r="J511" s="1405">
        <v>3.3888888888888885E-2</v>
      </c>
      <c r="K511" s="1405">
        <v>3.6666666666666667E-2</v>
      </c>
      <c r="L511" s="1405">
        <v>3.9444444444444442E-2</v>
      </c>
      <c r="M511" s="1405">
        <v>4.2222222222222217E-2</v>
      </c>
      <c r="N511" s="1405">
        <v>4.4999999999999998E-2</v>
      </c>
      <c r="O511" s="1405">
        <v>3.5555555555555556E-2</v>
      </c>
    </row>
    <row r="512" spans="1:15" s="1400" customFormat="1" ht="15">
      <c r="A512" s="1241"/>
      <c r="B512" s="1263"/>
      <c r="C512" s="1211" t="s">
        <v>4011</v>
      </c>
      <c r="D512" s="1211" t="s">
        <v>4012</v>
      </c>
      <c r="E512" s="1268"/>
      <c r="F512" s="1372"/>
      <c r="G512" s="1375"/>
      <c r="H512" s="1405">
        <v>0</v>
      </c>
      <c r="I512" s="1405">
        <v>0</v>
      </c>
      <c r="J512" s="1405">
        <v>0</v>
      </c>
      <c r="K512" s="1405">
        <v>0</v>
      </c>
      <c r="L512" s="1405">
        <v>0</v>
      </c>
      <c r="M512" s="1405">
        <v>0</v>
      </c>
      <c r="N512" s="1405">
        <v>0</v>
      </c>
      <c r="O512" s="1405">
        <v>0</v>
      </c>
    </row>
    <row r="513" spans="1:15" s="1400" customFormat="1" ht="15">
      <c r="A513" s="1241"/>
      <c r="B513" s="1263"/>
      <c r="C513" s="1406" t="s">
        <v>4025</v>
      </c>
      <c r="D513" s="1406" t="s">
        <v>4026</v>
      </c>
      <c r="E513" s="1406"/>
      <c r="F513" s="1407"/>
      <c r="G513" s="1408"/>
      <c r="H513" s="1413">
        <v>0</v>
      </c>
      <c r="I513" s="1413">
        <v>0</v>
      </c>
      <c r="J513" s="1413">
        <v>0</v>
      </c>
      <c r="K513" s="1413">
        <v>0</v>
      </c>
      <c r="L513" s="1413">
        <v>0</v>
      </c>
      <c r="M513" s="1413">
        <v>0</v>
      </c>
      <c r="N513" s="1413">
        <v>-9.9999999999988987E-4</v>
      </c>
      <c r="O513" s="1413">
        <v>0</v>
      </c>
    </row>
    <row r="514" spans="1:15" s="1400" customFormat="1" ht="15">
      <c r="A514" s="1241"/>
      <c r="B514" s="1263"/>
      <c r="C514" s="1211"/>
      <c r="D514" s="1211"/>
      <c r="E514" s="1211"/>
      <c r="F514" s="1415"/>
      <c r="G514" s="1293"/>
      <c r="H514" s="1375"/>
      <c r="I514" s="1375"/>
      <c r="J514" s="1375"/>
      <c r="K514" s="1375"/>
      <c r="L514" s="1375"/>
      <c r="M514" s="1375"/>
      <c r="N514" s="1375"/>
      <c r="O514" s="1375"/>
    </row>
    <row r="515" spans="1:15" s="1400" customFormat="1" ht="16">
      <c r="A515" s="1325"/>
      <c r="B515" s="1326"/>
      <c r="C515" s="1211"/>
      <c r="D515" s="1263"/>
      <c r="E515" s="1263"/>
      <c r="F515" s="1264"/>
      <c r="G515" s="1220"/>
      <c r="H515" s="1220"/>
      <c r="I515" s="1220"/>
      <c r="J515" s="1220"/>
      <c r="K515" s="1220"/>
      <c r="L515" s="1220"/>
      <c r="M515" s="1220"/>
      <c r="N515" s="1220"/>
      <c r="O515" s="1264"/>
    </row>
    <row r="516" spans="1:15" s="1400" customFormat="1" ht="12" customHeight="1">
      <c r="A516" s="1325"/>
      <c r="B516" s="1266">
        <v>7</v>
      </c>
      <c r="C516" s="1403" t="s">
        <v>4258</v>
      </c>
      <c r="D516" s="1263"/>
      <c r="E516" s="1263"/>
      <c r="F516" s="1264"/>
      <c r="G516" s="1220"/>
      <c r="H516" s="1220"/>
      <c r="I516" s="1220"/>
      <c r="J516" s="1220"/>
      <c r="K516" s="1220"/>
      <c r="L516" s="1220"/>
      <c r="M516" s="1220"/>
      <c r="N516" s="1220"/>
      <c r="O516" s="1264"/>
    </row>
    <row r="517" spans="1:15" ht="16">
      <c r="A517" s="1325"/>
      <c r="B517" s="1326"/>
      <c r="C517" s="1201" t="s">
        <v>4166</v>
      </c>
      <c r="D517" s="1201" t="s">
        <v>4234</v>
      </c>
      <c r="E517" s="1201" t="s">
        <v>48</v>
      </c>
      <c r="F517" s="1203"/>
      <c r="G517" s="1202"/>
      <c r="H517" s="1202">
        <v>2020</v>
      </c>
      <c r="I517" s="1202">
        <v>2022</v>
      </c>
      <c r="J517" s="1202">
        <v>2027</v>
      </c>
      <c r="K517" s="1202">
        <v>2032</v>
      </c>
      <c r="L517" s="1202">
        <v>2037</v>
      </c>
      <c r="M517" s="1202">
        <v>2042</v>
      </c>
      <c r="N517" s="1202">
        <v>2047</v>
      </c>
      <c r="O517" s="1202">
        <v>2030</v>
      </c>
    </row>
    <row r="518" spans="1:15" ht="16">
      <c r="A518" s="1325"/>
      <c r="B518" s="1326"/>
      <c r="C518" s="1211" t="s">
        <v>4032</v>
      </c>
      <c r="D518" s="1211" t="s">
        <v>4033</v>
      </c>
      <c r="E518" s="1268"/>
      <c r="F518" s="1372"/>
      <c r="G518" s="1375"/>
      <c r="H518" s="900">
        <v>0.1</v>
      </c>
      <c r="I518" s="1405">
        <v>0.10740740740740741</v>
      </c>
      <c r="J518" s="1405">
        <v>0.10740740740740741</v>
      </c>
      <c r="K518" s="1405">
        <v>0.10740740740740741</v>
      </c>
      <c r="L518" s="1405">
        <v>0.10740740740740741</v>
      </c>
      <c r="M518" s="1405">
        <v>0.10740740740740741</v>
      </c>
      <c r="N518" s="1405">
        <v>0.10740740740740741</v>
      </c>
      <c r="O518" s="1405">
        <v>0.10740740740740741</v>
      </c>
    </row>
    <row r="519" spans="1:15" ht="16">
      <c r="A519" s="1325"/>
      <c r="B519" s="1326"/>
      <c r="C519" s="1211" t="s">
        <v>3997</v>
      </c>
      <c r="D519" s="1211" t="s">
        <v>3998</v>
      </c>
      <c r="E519" s="1268"/>
      <c r="F519" s="1372"/>
      <c r="G519" s="1375"/>
      <c r="H519" s="900">
        <v>0.75</v>
      </c>
      <c r="I519" s="1405">
        <v>0.74111111111111105</v>
      </c>
      <c r="J519" s="1405">
        <v>0.74111111111111105</v>
      </c>
      <c r="K519" s="1405">
        <v>0.74111111111111105</v>
      </c>
      <c r="L519" s="1405">
        <v>0.74111111111111105</v>
      </c>
      <c r="M519" s="1405">
        <v>0.74111111111111105</v>
      </c>
      <c r="N519" s="1405">
        <v>0.74111111111111105</v>
      </c>
      <c r="O519" s="1405">
        <v>0.74111111111111105</v>
      </c>
    </row>
    <row r="520" spans="1:15" ht="16">
      <c r="A520" s="1325"/>
      <c r="B520" s="1326"/>
      <c r="C520" s="1211" t="s">
        <v>3999</v>
      </c>
      <c r="D520" s="1211" t="s">
        <v>4000</v>
      </c>
      <c r="E520" s="1268"/>
      <c r="F520" s="1372"/>
      <c r="G520" s="1375"/>
      <c r="H520" s="900">
        <v>0.02</v>
      </c>
      <c r="I520" s="1405">
        <v>0.02</v>
      </c>
      <c r="J520" s="1405">
        <v>0.02</v>
      </c>
      <c r="K520" s="1405">
        <v>0.02</v>
      </c>
      <c r="L520" s="1405">
        <v>0.02</v>
      </c>
      <c r="M520" s="1405">
        <v>0.02</v>
      </c>
      <c r="N520" s="1405">
        <v>0.02</v>
      </c>
      <c r="O520" s="1405">
        <v>0.02</v>
      </c>
    </row>
    <row r="521" spans="1:15" ht="15.75" customHeight="1">
      <c r="A521" s="1325"/>
      <c r="B521" s="1326"/>
      <c r="C521" s="1211" t="s">
        <v>4001</v>
      </c>
      <c r="D521" s="1211" t="s">
        <v>4002</v>
      </c>
      <c r="E521" s="1268"/>
      <c r="F521" s="1372"/>
      <c r="G521" s="1375"/>
      <c r="H521" s="900">
        <v>0.13</v>
      </c>
      <c r="I521" s="1405">
        <v>0.13148148148148148</v>
      </c>
      <c r="J521" s="1405">
        <v>0.13148148148148148</v>
      </c>
      <c r="K521" s="1405">
        <v>0.13148148148148148</v>
      </c>
      <c r="L521" s="1405">
        <v>0.13148148148148148</v>
      </c>
      <c r="M521" s="1405">
        <v>0.13148148148148148</v>
      </c>
      <c r="N521" s="1405">
        <v>0.13148148148148148</v>
      </c>
      <c r="O521" s="1405">
        <v>0.13148148148148148</v>
      </c>
    </row>
    <row r="522" spans="1:15" ht="15.75" customHeight="1">
      <c r="A522" s="1325"/>
      <c r="B522" s="1326"/>
      <c r="C522" s="1211" t="s">
        <v>4011</v>
      </c>
      <c r="D522" s="1211" t="s">
        <v>4012</v>
      </c>
      <c r="E522" s="1268"/>
      <c r="F522" s="1372"/>
      <c r="G522" s="1375"/>
      <c r="H522" s="900">
        <v>0</v>
      </c>
      <c r="I522" s="1375">
        <v>0</v>
      </c>
      <c r="J522" s="1375">
        <v>0</v>
      </c>
      <c r="K522" s="1375">
        <v>0</v>
      </c>
      <c r="L522" s="1375">
        <v>0</v>
      </c>
      <c r="M522" s="1375">
        <v>0</v>
      </c>
      <c r="N522" s="1375">
        <v>0</v>
      </c>
      <c r="O522" s="1375">
        <v>0</v>
      </c>
    </row>
    <row r="523" spans="1:15">
      <c r="B523" s="1263"/>
      <c r="C523" s="1406" t="s">
        <v>4025</v>
      </c>
      <c r="D523" s="1406" t="s">
        <v>4026</v>
      </c>
      <c r="E523" s="1406"/>
      <c r="F523" s="1407"/>
      <c r="G523" s="1408"/>
      <c r="H523" s="1432">
        <v>0</v>
      </c>
      <c r="I523" s="1408">
        <v>0</v>
      </c>
      <c r="J523" s="1408">
        <v>0</v>
      </c>
      <c r="K523" s="1408">
        <v>0</v>
      </c>
      <c r="L523" s="1408">
        <v>0</v>
      </c>
      <c r="M523" s="1408">
        <v>0</v>
      </c>
      <c r="N523" s="1408">
        <v>0</v>
      </c>
      <c r="O523" s="1408">
        <v>0</v>
      </c>
    </row>
    <row r="524" spans="1:15">
      <c r="B524" s="1263"/>
      <c r="C524" s="1211"/>
      <c r="D524" s="1211"/>
      <c r="E524" s="1211"/>
      <c r="F524" s="1415"/>
      <c r="G524" s="1293"/>
      <c r="H524" s="1293"/>
      <c r="I524" s="1293"/>
      <c r="J524" s="1293"/>
      <c r="K524" s="1293"/>
      <c r="L524" s="1293"/>
      <c r="M524" s="1293"/>
      <c r="N524" s="1293"/>
      <c r="O524" s="1293"/>
    </row>
    <row r="525" spans="1:15">
      <c r="B525" s="1263"/>
      <c r="C525" s="1201" t="s">
        <v>4166</v>
      </c>
      <c r="D525" s="1201" t="s">
        <v>4242</v>
      </c>
      <c r="E525" s="1201" t="s">
        <v>48</v>
      </c>
      <c r="F525" s="1203"/>
      <c r="G525" s="1202"/>
      <c r="H525" s="1202">
        <v>2020</v>
      </c>
      <c r="I525" s="1202">
        <v>2022</v>
      </c>
      <c r="J525" s="1202">
        <v>2027</v>
      </c>
      <c r="K525" s="1202">
        <v>2032</v>
      </c>
      <c r="L525" s="1202">
        <v>2037</v>
      </c>
      <c r="M525" s="1202">
        <v>2042</v>
      </c>
      <c r="N525" s="1202">
        <v>2047</v>
      </c>
      <c r="O525" s="1202">
        <v>2030</v>
      </c>
    </row>
    <row r="526" spans="1:15" ht="15">
      <c r="B526" s="1263"/>
      <c r="C526" s="1211" t="s">
        <v>4032</v>
      </c>
      <c r="D526" s="1211" t="s">
        <v>4033</v>
      </c>
      <c r="E526" s="1268"/>
      <c r="F526" s="1372"/>
      <c r="G526" s="1375"/>
      <c r="H526" s="1375">
        <v>0.1</v>
      </c>
      <c r="I526" s="1405">
        <v>0.10740740740740741</v>
      </c>
      <c r="J526" s="1405">
        <v>0.12592592592592594</v>
      </c>
      <c r="K526" s="1405">
        <v>0.14444444444444446</v>
      </c>
      <c r="L526" s="1405">
        <v>0.16296296296296298</v>
      </c>
      <c r="M526" s="1405">
        <v>0.18148148148148149</v>
      </c>
      <c r="N526" s="1375">
        <v>0.2</v>
      </c>
      <c r="O526" s="1405">
        <v>0.13703703703703704</v>
      </c>
    </row>
    <row r="527" spans="1:15" ht="15">
      <c r="B527" s="1263"/>
      <c r="C527" s="1211" t="s">
        <v>3997</v>
      </c>
      <c r="D527" s="1211" t="s">
        <v>3998</v>
      </c>
      <c r="E527" s="1268"/>
      <c r="F527" s="1372"/>
      <c r="G527" s="1375"/>
      <c r="H527" s="1375">
        <v>0.75</v>
      </c>
      <c r="I527" s="1405">
        <v>0.74111111111111105</v>
      </c>
      <c r="J527" s="1405">
        <v>0.7188888888888888</v>
      </c>
      <c r="K527" s="1405">
        <v>0.69666666666666655</v>
      </c>
      <c r="L527" s="1405">
        <v>0.6744444444444444</v>
      </c>
      <c r="M527" s="1405">
        <v>0.65222222222222226</v>
      </c>
      <c r="N527" s="1405">
        <v>0.63</v>
      </c>
      <c r="O527" s="1405">
        <v>0.70555555555555549</v>
      </c>
    </row>
    <row r="528" spans="1:15" ht="15">
      <c r="B528" s="1263"/>
      <c r="C528" s="1211" t="s">
        <v>3999</v>
      </c>
      <c r="D528" s="1211" t="s">
        <v>4000</v>
      </c>
      <c r="E528" s="1268"/>
      <c r="F528" s="1372"/>
      <c r="G528" s="1375"/>
      <c r="H528" s="1375">
        <v>0.02</v>
      </c>
      <c r="I528" s="1405">
        <v>0.02</v>
      </c>
      <c r="J528" s="1405">
        <v>0.02</v>
      </c>
      <c r="K528" s="1405">
        <v>0.02</v>
      </c>
      <c r="L528" s="1405">
        <v>0.02</v>
      </c>
      <c r="M528" s="1405">
        <v>0.02</v>
      </c>
      <c r="N528" s="1375">
        <v>0.02</v>
      </c>
      <c r="O528" s="1405">
        <v>0.02</v>
      </c>
    </row>
    <row r="529" spans="2:15" ht="15">
      <c r="B529" s="1263"/>
      <c r="C529" s="1211" t="s">
        <v>4001</v>
      </c>
      <c r="D529" s="1211" t="s">
        <v>4002</v>
      </c>
      <c r="E529" s="1268"/>
      <c r="F529" s="1372"/>
      <c r="G529" s="1375"/>
      <c r="H529" s="1375">
        <v>0.13</v>
      </c>
      <c r="I529" s="1405">
        <v>0.13148148148148148</v>
      </c>
      <c r="J529" s="1405">
        <v>0.13518518518518519</v>
      </c>
      <c r="K529" s="1405">
        <v>0.1388888888888889</v>
      </c>
      <c r="L529" s="1405">
        <v>0.1425925925925926</v>
      </c>
      <c r="M529" s="1405">
        <v>0.14629629629629629</v>
      </c>
      <c r="N529" s="1375">
        <v>0.15</v>
      </c>
      <c r="O529" s="1405">
        <v>0.13740740740740739</v>
      </c>
    </row>
    <row r="530" spans="2:15" ht="15">
      <c r="B530" s="1263"/>
      <c r="C530" s="1211" t="s">
        <v>4011</v>
      </c>
      <c r="D530" s="1211" t="s">
        <v>4012</v>
      </c>
      <c r="E530" s="1268"/>
      <c r="F530" s="1372"/>
      <c r="G530" s="1375"/>
      <c r="H530" s="1375">
        <v>0</v>
      </c>
      <c r="I530" s="1375">
        <v>0</v>
      </c>
      <c r="J530" s="1375">
        <v>0</v>
      </c>
      <c r="K530" s="1375">
        <v>0</v>
      </c>
      <c r="L530" s="1375">
        <v>0</v>
      </c>
      <c r="M530" s="1375">
        <v>0</v>
      </c>
      <c r="N530" s="1375">
        <v>0</v>
      </c>
      <c r="O530" s="1375">
        <v>0</v>
      </c>
    </row>
    <row r="531" spans="2:15" ht="15">
      <c r="B531" s="1263"/>
      <c r="C531" s="1406" t="s">
        <v>4025</v>
      </c>
      <c r="D531" s="1406" t="s">
        <v>4026</v>
      </c>
      <c r="E531" s="1406"/>
      <c r="F531" s="1407"/>
      <c r="G531" s="1408"/>
      <c r="H531" s="1414">
        <v>0</v>
      </c>
      <c r="I531" s="1408">
        <v>0</v>
      </c>
      <c r="J531" s="1408">
        <v>0</v>
      </c>
      <c r="K531" s="1408">
        <v>0</v>
      </c>
      <c r="L531" s="1408">
        <v>0</v>
      </c>
      <c r="M531" s="1408">
        <v>0</v>
      </c>
      <c r="N531" s="1408">
        <v>0</v>
      </c>
      <c r="O531" s="1408">
        <v>0</v>
      </c>
    </row>
    <row r="532" spans="2:15">
      <c r="B532" s="1263"/>
      <c r="C532" s="1211"/>
      <c r="D532" s="1211"/>
      <c r="E532" s="1211"/>
      <c r="F532" s="1415"/>
      <c r="G532" s="1293"/>
      <c r="H532" s="1293"/>
      <c r="I532" s="1293"/>
      <c r="J532" s="1293"/>
      <c r="K532" s="1293"/>
      <c r="L532" s="1293"/>
      <c r="M532" s="1293"/>
      <c r="N532" s="1293"/>
      <c r="O532" s="1293"/>
    </row>
    <row r="533" spans="2:15">
      <c r="B533" s="1263"/>
      <c r="C533" s="1201" t="s">
        <v>4166</v>
      </c>
      <c r="D533" s="1201" t="s">
        <v>4244</v>
      </c>
      <c r="E533" s="1201" t="s">
        <v>48</v>
      </c>
      <c r="F533" s="1203"/>
      <c r="G533" s="1202"/>
      <c r="H533" s="1202">
        <v>2020</v>
      </c>
      <c r="I533" s="1202">
        <v>2022</v>
      </c>
      <c r="J533" s="1202">
        <v>2027</v>
      </c>
      <c r="K533" s="1202">
        <v>2032</v>
      </c>
      <c r="L533" s="1202">
        <v>2037</v>
      </c>
      <c r="M533" s="1202">
        <v>2042</v>
      </c>
      <c r="N533" s="1202">
        <v>2047</v>
      </c>
      <c r="O533" s="1202">
        <v>2030</v>
      </c>
    </row>
    <row r="534" spans="2:15" ht="15">
      <c r="B534" s="1263"/>
      <c r="C534" s="1211" t="s">
        <v>4032</v>
      </c>
      <c r="D534" s="1211" t="s">
        <v>4033</v>
      </c>
      <c r="E534" s="1268"/>
      <c r="F534" s="1372"/>
      <c r="G534" s="1375"/>
      <c r="H534" s="1375">
        <v>0.1</v>
      </c>
      <c r="I534" s="1405">
        <v>0.10740740740740741</v>
      </c>
      <c r="J534" s="1405">
        <v>0.1648148148148148</v>
      </c>
      <c r="K534" s="1405">
        <v>0.21111111111111108</v>
      </c>
      <c r="L534" s="1405">
        <v>0.25740740740740742</v>
      </c>
      <c r="M534" s="1405">
        <v>0.3037037037037037</v>
      </c>
      <c r="N534" s="1375">
        <v>0.35</v>
      </c>
      <c r="O534" s="1405">
        <v>0.19259259259259259</v>
      </c>
    </row>
    <row r="535" spans="2:15" ht="15">
      <c r="B535" s="1263"/>
      <c r="C535" s="1211" t="s">
        <v>3997</v>
      </c>
      <c r="D535" s="1211" t="s">
        <v>3998</v>
      </c>
      <c r="E535" s="1268"/>
      <c r="F535" s="1372"/>
      <c r="G535" s="1375"/>
      <c r="H535" s="1375">
        <v>0.75</v>
      </c>
      <c r="I535" s="1405">
        <v>0.74111111111111105</v>
      </c>
      <c r="J535" s="1405">
        <v>0.68</v>
      </c>
      <c r="K535" s="1405">
        <v>0.63000000000000012</v>
      </c>
      <c r="L535" s="1405">
        <v>0.57999999999999996</v>
      </c>
      <c r="M535" s="1405">
        <v>0.53</v>
      </c>
      <c r="N535" s="1405">
        <v>0.48</v>
      </c>
      <c r="O535" s="1405">
        <v>0.64999999999999991</v>
      </c>
    </row>
    <row r="536" spans="2:15" ht="15">
      <c r="B536" s="1263"/>
      <c r="C536" s="1211" t="s">
        <v>3999</v>
      </c>
      <c r="D536" s="1211" t="s">
        <v>4000</v>
      </c>
      <c r="E536" s="1268"/>
      <c r="F536" s="1372"/>
      <c r="G536" s="1375"/>
      <c r="H536" s="1375">
        <v>0.02</v>
      </c>
      <c r="I536" s="1405">
        <v>0.02</v>
      </c>
      <c r="J536" s="1405">
        <v>0.02</v>
      </c>
      <c r="K536" s="1405">
        <v>0.02</v>
      </c>
      <c r="L536" s="1405">
        <v>0.02</v>
      </c>
      <c r="M536" s="1405">
        <v>0.02</v>
      </c>
      <c r="N536" s="1375">
        <v>0.02</v>
      </c>
      <c r="O536" s="1405">
        <v>0.02</v>
      </c>
    </row>
    <row r="537" spans="2:15" ht="15">
      <c r="B537" s="1263"/>
      <c r="C537" s="1211" t="s">
        <v>4001</v>
      </c>
      <c r="D537" s="1211" t="s">
        <v>4002</v>
      </c>
      <c r="E537" s="1268"/>
      <c r="F537" s="1372"/>
      <c r="G537" s="1375"/>
      <c r="H537" s="1375">
        <v>0.13</v>
      </c>
      <c r="I537" s="1405">
        <v>0.13148148148148148</v>
      </c>
      <c r="J537" s="1405">
        <v>0.13518518518518519</v>
      </c>
      <c r="K537" s="1405">
        <v>0.1388888888888889</v>
      </c>
      <c r="L537" s="1405">
        <v>0.1425925925925926</v>
      </c>
      <c r="M537" s="1405">
        <v>0.14629629629629629</v>
      </c>
      <c r="N537" s="1375">
        <v>0.15</v>
      </c>
      <c r="O537" s="1405">
        <v>0.13740740740740739</v>
      </c>
    </row>
    <row r="538" spans="2:15" ht="15">
      <c r="B538" s="1263"/>
      <c r="C538" s="1211" t="s">
        <v>4011</v>
      </c>
      <c r="D538" s="1211" t="s">
        <v>4012</v>
      </c>
      <c r="E538" s="1268"/>
      <c r="F538" s="1372"/>
      <c r="G538" s="1375"/>
      <c r="H538" s="1375">
        <v>0</v>
      </c>
      <c r="I538" s="1375">
        <v>0</v>
      </c>
      <c r="J538" s="1375">
        <v>0</v>
      </c>
      <c r="K538" s="1375">
        <v>0</v>
      </c>
      <c r="L538" s="1375">
        <v>0</v>
      </c>
      <c r="M538" s="1375">
        <v>0</v>
      </c>
      <c r="N538" s="1375">
        <v>0</v>
      </c>
      <c r="O538" s="1375">
        <v>0</v>
      </c>
    </row>
    <row r="539" spans="2:15" ht="15">
      <c r="B539" s="1263"/>
      <c r="C539" s="1406" t="s">
        <v>4025</v>
      </c>
      <c r="D539" s="1406" t="s">
        <v>4026</v>
      </c>
      <c r="E539" s="1406"/>
      <c r="F539" s="1407"/>
      <c r="G539" s="1408"/>
      <c r="H539" s="1414">
        <v>0</v>
      </c>
      <c r="I539" s="1408">
        <v>0</v>
      </c>
      <c r="J539" s="1408">
        <v>0</v>
      </c>
      <c r="K539" s="1408">
        <v>0</v>
      </c>
      <c r="L539" s="1408">
        <v>0</v>
      </c>
      <c r="M539" s="1408">
        <v>0</v>
      </c>
      <c r="N539" s="1408">
        <v>0</v>
      </c>
      <c r="O539" s="1408">
        <v>0</v>
      </c>
    </row>
    <row r="540" spans="2:15">
      <c r="B540" s="1263"/>
      <c r="C540" s="1211"/>
      <c r="D540" s="1211"/>
      <c r="E540" s="1211"/>
      <c r="F540" s="1415"/>
      <c r="G540" s="1293"/>
      <c r="H540" s="1293"/>
      <c r="I540" s="1293"/>
      <c r="J540" s="1293"/>
      <c r="K540" s="1293"/>
      <c r="L540" s="1293"/>
      <c r="M540" s="1293"/>
      <c r="N540" s="1293"/>
      <c r="O540" s="1293"/>
    </row>
    <row r="541" spans="2:15">
      <c r="B541" s="1263"/>
      <c r="C541" s="1201" t="s">
        <v>4166</v>
      </c>
      <c r="D541" s="1201" t="s">
        <v>4246</v>
      </c>
      <c r="E541" s="1201" t="s">
        <v>48</v>
      </c>
      <c r="F541" s="1203"/>
      <c r="G541" s="1202"/>
      <c r="H541" s="1202">
        <v>2020</v>
      </c>
      <c r="I541" s="1202">
        <v>2022</v>
      </c>
      <c r="J541" s="1202">
        <v>2027</v>
      </c>
      <c r="K541" s="1202">
        <v>2032</v>
      </c>
      <c r="L541" s="1202">
        <v>2037</v>
      </c>
      <c r="M541" s="1202">
        <v>2042</v>
      </c>
      <c r="N541" s="1202">
        <v>2047</v>
      </c>
      <c r="O541" s="1202">
        <v>2030</v>
      </c>
    </row>
    <row r="542" spans="2:15" ht="15">
      <c r="B542" s="1263"/>
      <c r="C542" s="1211" t="s">
        <v>4032</v>
      </c>
      <c r="D542" s="1211" t="s">
        <v>4033</v>
      </c>
      <c r="E542" s="1268"/>
      <c r="F542" s="1372"/>
      <c r="G542" s="1375"/>
      <c r="H542" s="1375">
        <v>0.1</v>
      </c>
      <c r="I542" s="1405">
        <v>0.10740740740740741</v>
      </c>
      <c r="J542" s="1405">
        <v>0.20370370370370372</v>
      </c>
      <c r="K542" s="1405">
        <v>0.27777777777777779</v>
      </c>
      <c r="L542" s="1405">
        <v>0.35185185185185186</v>
      </c>
      <c r="M542" s="1405">
        <v>0.42592592592592593</v>
      </c>
      <c r="N542" s="1375">
        <v>0.5</v>
      </c>
      <c r="O542" s="1405">
        <v>0.24814814814814815</v>
      </c>
    </row>
    <row r="543" spans="2:15" ht="15">
      <c r="B543" s="1263"/>
      <c r="C543" s="1211" t="s">
        <v>3997</v>
      </c>
      <c r="D543" s="1211" t="s">
        <v>3998</v>
      </c>
      <c r="E543" s="1268"/>
      <c r="F543" s="1372"/>
      <c r="G543" s="1375"/>
      <c r="H543" s="1375">
        <v>0.75</v>
      </c>
      <c r="I543" s="1405">
        <v>0.74111111111111105</v>
      </c>
      <c r="J543" s="1405">
        <v>0.64111111111111108</v>
      </c>
      <c r="K543" s="1405">
        <v>0.56333333333333324</v>
      </c>
      <c r="L543" s="1405">
        <v>0.48555555555555552</v>
      </c>
      <c r="M543" s="1405">
        <v>0.40777777777777779</v>
      </c>
      <c r="N543" s="1405">
        <v>0.32999999999999996</v>
      </c>
      <c r="O543" s="1405">
        <v>0.59444444444444444</v>
      </c>
    </row>
    <row r="544" spans="2:15" ht="15">
      <c r="B544" s="1263"/>
      <c r="C544" s="1211" t="s">
        <v>3999</v>
      </c>
      <c r="D544" s="1211" t="s">
        <v>4000</v>
      </c>
      <c r="E544" s="1268"/>
      <c r="F544" s="1372"/>
      <c r="G544" s="1375"/>
      <c r="H544" s="1375">
        <v>0.02</v>
      </c>
      <c r="I544" s="1405">
        <v>0.02</v>
      </c>
      <c r="J544" s="1405">
        <v>0.02</v>
      </c>
      <c r="K544" s="1405">
        <v>0.02</v>
      </c>
      <c r="L544" s="1405">
        <v>0.02</v>
      </c>
      <c r="M544" s="1405">
        <v>0.02</v>
      </c>
      <c r="N544" s="1375">
        <v>0.02</v>
      </c>
      <c r="O544" s="1405">
        <v>0.02</v>
      </c>
    </row>
    <row r="545" spans="2:15" ht="15">
      <c r="B545" s="1263"/>
      <c r="C545" s="1211" t="s">
        <v>4001</v>
      </c>
      <c r="D545" s="1211" t="s">
        <v>4002</v>
      </c>
      <c r="E545" s="1268"/>
      <c r="F545" s="1372"/>
      <c r="G545" s="1375"/>
      <c r="H545" s="1375">
        <v>0.13</v>
      </c>
      <c r="I545" s="1405">
        <v>0.13148148148148148</v>
      </c>
      <c r="J545" s="1405">
        <v>0.13518518518518519</v>
      </c>
      <c r="K545" s="1405">
        <v>0.1388888888888889</v>
      </c>
      <c r="L545" s="1405">
        <v>0.1425925925925926</v>
      </c>
      <c r="M545" s="1405">
        <v>0.14629629629629629</v>
      </c>
      <c r="N545" s="1375">
        <v>0.15</v>
      </c>
      <c r="O545" s="1405">
        <v>0.13740740740740739</v>
      </c>
    </row>
    <row r="546" spans="2:15" ht="15">
      <c r="B546" s="1263"/>
      <c r="C546" s="1211" t="s">
        <v>4011</v>
      </c>
      <c r="D546" s="1211" t="s">
        <v>4012</v>
      </c>
      <c r="E546" s="1268"/>
      <c r="F546" s="1372"/>
      <c r="G546" s="1375"/>
      <c r="H546" s="1375">
        <v>0</v>
      </c>
      <c r="I546" s="1375">
        <v>0</v>
      </c>
      <c r="J546" s="1375">
        <v>0</v>
      </c>
      <c r="K546" s="1375">
        <v>0</v>
      </c>
      <c r="L546" s="1375">
        <v>0</v>
      </c>
      <c r="M546" s="1375">
        <v>0</v>
      </c>
      <c r="N546" s="1375">
        <v>0</v>
      </c>
      <c r="O546" s="1375">
        <v>0</v>
      </c>
    </row>
    <row r="547" spans="2:15" ht="15">
      <c r="B547" s="1263"/>
      <c r="C547" s="1406" t="s">
        <v>4025</v>
      </c>
      <c r="D547" s="1406" t="s">
        <v>4026</v>
      </c>
      <c r="E547" s="1406"/>
      <c r="F547" s="1407"/>
      <c r="G547" s="1408"/>
      <c r="H547" s="1414">
        <v>0</v>
      </c>
      <c r="I547" s="1408">
        <v>0</v>
      </c>
      <c r="J547" s="1408">
        <v>0</v>
      </c>
      <c r="K547" s="1408">
        <v>0</v>
      </c>
      <c r="L547" s="1408">
        <v>0</v>
      </c>
      <c r="M547" s="1408">
        <v>0</v>
      </c>
      <c r="N547" s="1408">
        <v>0</v>
      </c>
      <c r="O547" s="1408">
        <v>0</v>
      </c>
    </row>
    <row r="548" spans="2:15">
      <c r="B548" s="1263"/>
      <c r="C548" s="1211"/>
      <c r="D548" s="1211"/>
      <c r="E548" s="1211"/>
      <c r="F548" s="1415"/>
      <c r="G548" s="1293"/>
      <c r="H548" s="1293"/>
      <c r="I548" s="1293"/>
      <c r="J548" s="1293"/>
      <c r="K548" s="1293"/>
      <c r="L548" s="1293"/>
      <c r="M548" s="1293"/>
      <c r="N548" s="1293"/>
      <c r="O548" s="1293"/>
    </row>
    <row r="549" spans="2:15">
      <c r="B549" s="1263"/>
      <c r="C549" s="1201" t="s">
        <v>4166</v>
      </c>
      <c r="D549" s="1201" t="s">
        <v>4248</v>
      </c>
      <c r="E549" s="1201" t="s">
        <v>48</v>
      </c>
      <c r="F549" s="1203"/>
      <c r="G549" s="1202"/>
      <c r="H549" s="1202">
        <v>2020</v>
      </c>
      <c r="I549" s="1202">
        <v>2022</v>
      </c>
      <c r="J549" s="1202">
        <v>2027</v>
      </c>
      <c r="K549" s="1202">
        <v>2032</v>
      </c>
      <c r="L549" s="1202">
        <v>2037</v>
      </c>
      <c r="M549" s="1202">
        <v>2042</v>
      </c>
      <c r="N549" s="1202">
        <v>2047</v>
      </c>
      <c r="O549" s="1202">
        <v>2030</v>
      </c>
    </row>
    <row r="550" spans="2:15" ht="15">
      <c r="B550" s="1263"/>
      <c r="C550" s="1211" t="s">
        <v>4032</v>
      </c>
      <c r="D550" s="1211" t="s">
        <v>4033</v>
      </c>
      <c r="E550" s="1268"/>
      <c r="F550" s="1372"/>
      <c r="G550" s="1375"/>
      <c r="H550" s="1375">
        <v>0.1</v>
      </c>
      <c r="I550" s="1405">
        <v>0.12222222222222223</v>
      </c>
      <c r="J550" s="1405">
        <v>0.17777777777777781</v>
      </c>
      <c r="K550" s="1405">
        <v>0.23333333333333336</v>
      </c>
      <c r="L550" s="1405">
        <v>0.28888888888888892</v>
      </c>
      <c r="M550" s="1405">
        <v>0.3444444444444445</v>
      </c>
      <c r="N550" s="1416">
        <v>0.4</v>
      </c>
      <c r="O550" s="1405">
        <v>0.21111111111111114</v>
      </c>
    </row>
    <row r="551" spans="2:15" ht="15">
      <c r="B551" s="1263"/>
      <c r="C551" s="1211" t="s">
        <v>3997</v>
      </c>
      <c r="D551" s="1211" t="s">
        <v>3998</v>
      </c>
      <c r="E551" s="1268"/>
      <c r="F551" s="1372"/>
      <c r="G551" s="1375"/>
      <c r="H551" s="1375">
        <v>0.75</v>
      </c>
      <c r="I551" s="1405">
        <v>0.72629629629629622</v>
      </c>
      <c r="J551" s="1405">
        <v>0.66703703703703698</v>
      </c>
      <c r="K551" s="1405">
        <v>0.60777777777777775</v>
      </c>
      <c r="L551" s="1405">
        <v>0.54851851851851841</v>
      </c>
      <c r="M551" s="1405">
        <v>0.48925925925925917</v>
      </c>
      <c r="N551" s="1416">
        <v>0.42999999999999994</v>
      </c>
      <c r="O551" s="1405">
        <v>0.63148148148148142</v>
      </c>
    </row>
    <row r="552" spans="2:15" ht="15">
      <c r="B552" s="1263"/>
      <c r="C552" s="1211" t="s">
        <v>3999</v>
      </c>
      <c r="D552" s="1211" t="s">
        <v>4000</v>
      </c>
      <c r="E552" s="1268"/>
      <c r="F552" s="1372"/>
      <c r="G552" s="1375"/>
      <c r="H552" s="1375">
        <v>0.02</v>
      </c>
      <c r="I552" s="1405">
        <v>0.02</v>
      </c>
      <c r="J552" s="1405">
        <v>0.02</v>
      </c>
      <c r="K552" s="1405">
        <v>0.02</v>
      </c>
      <c r="L552" s="1405">
        <v>0.02</v>
      </c>
      <c r="M552" s="1405">
        <v>0.02</v>
      </c>
      <c r="N552" s="1416">
        <v>0.02</v>
      </c>
      <c r="O552" s="1405">
        <v>0.02</v>
      </c>
    </row>
    <row r="553" spans="2:15" ht="15">
      <c r="B553" s="1263"/>
      <c r="C553" s="1211" t="s">
        <v>4001</v>
      </c>
      <c r="D553" s="1211" t="s">
        <v>4002</v>
      </c>
      <c r="E553" s="1268"/>
      <c r="F553" s="1372"/>
      <c r="G553" s="1375"/>
      <c r="H553" s="1375">
        <v>0.13</v>
      </c>
      <c r="I553" s="1405">
        <v>0.13148148148148148</v>
      </c>
      <c r="J553" s="1405">
        <v>0.13518518518518519</v>
      </c>
      <c r="K553" s="1405">
        <v>0.1388888888888889</v>
      </c>
      <c r="L553" s="1405">
        <v>0.1425925925925926</v>
      </c>
      <c r="M553" s="1405">
        <v>0.14629629629629629</v>
      </c>
      <c r="N553" s="1416">
        <v>0.15</v>
      </c>
      <c r="O553" s="1405">
        <v>0.13740740740740739</v>
      </c>
    </row>
    <row r="554" spans="2:15" ht="15">
      <c r="B554" s="1263"/>
      <c r="C554" s="1211" t="s">
        <v>4011</v>
      </c>
      <c r="D554" s="1211" t="s">
        <v>4012</v>
      </c>
      <c r="E554" s="1268"/>
      <c r="F554" s="1372"/>
      <c r="G554" s="1375"/>
      <c r="H554" s="1375">
        <v>0</v>
      </c>
      <c r="I554" s="1375">
        <v>0</v>
      </c>
      <c r="J554" s="1375">
        <v>0</v>
      </c>
      <c r="K554" s="1375">
        <v>0</v>
      </c>
      <c r="L554" s="1375">
        <v>0</v>
      </c>
      <c r="M554" s="1375">
        <v>0</v>
      </c>
      <c r="N554" s="1375">
        <v>0</v>
      </c>
      <c r="O554" s="1375">
        <v>0</v>
      </c>
    </row>
    <row r="555" spans="2:15">
      <c r="B555" s="1263"/>
      <c r="C555" s="1406" t="s">
        <v>4025</v>
      </c>
      <c r="D555" s="1406" t="s">
        <v>4026</v>
      </c>
      <c r="E555" s="1406"/>
      <c r="F555" s="1407"/>
      <c r="G555" s="1408"/>
      <c r="H555" s="1408">
        <v>0</v>
      </c>
      <c r="I555" s="1408">
        <v>0</v>
      </c>
      <c r="J555" s="1408">
        <v>0</v>
      </c>
      <c r="K555" s="1408">
        <v>0</v>
      </c>
      <c r="L555" s="1408">
        <v>0</v>
      </c>
      <c r="M555" s="1408">
        <v>0</v>
      </c>
      <c r="N555" s="1408">
        <v>0</v>
      </c>
      <c r="O555" s="1408">
        <v>0</v>
      </c>
    </row>
    <row r="556" spans="2:15">
      <c r="B556" s="1263"/>
      <c r="C556" s="1211"/>
      <c r="D556" s="1211"/>
      <c r="E556" s="1211"/>
      <c r="F556" s="1415"/>
      <c r="G556" s="1293"/>
      <c r="H556" s="1293"/>
      <c r="I556" s="1293"/>
      <c r="J556" s="1293"/>
      <c r="K556" s="1293"/>
      <c r="L556" s="1293"/>
      <c r="M556" s="1293"/>
      <c r="N556" s="1293"/>
      <c r="O556" s="1293"/>
    </row>
    <row r="557" spans="2:15">
      <c r="B557" s="1263"/>
      <c r="C557" s="1211"/>
      <c r="D557" s="1211"/>
      <c r="E557" s="1211"/>
      <c r="F557" s="1415"/>
      <c r="G557" s="1293"/>
      <c r="H557" s="1293"/>
      <c r="I557" s="1293"/>
      <c r="J557" s="1293"/>
      <c r="K557" s="1293"/>
      <c r="L557" s="1293"/>
      <c r="M557" s="1293"/>
      <c r="N557" s="1293"/>
      <c r="O557" s="1293"/>
    </row>
    <row r="558" spans="2:15">
      <c r="B558" s="1263"/>
      <c r="C558" s="1201" t="s">
        <v>4166</v>
      </c>
      <c r="D558" s="1201" t="s">
        <v>4249</v>
      </c>
      <c r="E558" s="1201" t="s">
        <v>48</v>
      </c>
      <c r="F558" s="1203"/>
      <c r="G558" s="1202"/>
      <c r="H558" s="1202">
        <v>2020</v>
      </c>
      <c r="I558" s="1202">
        <v>2022</v>
      </c>
      <c r="J558" s="1202">
        <v>2027</v>
      </c>
      <c r="K558" s="1202">
        <v>2032</v>
      </c>
      <c r="L558" s="1202">
        <v>2037</v>
      </c>
      <c r="M558" s="1202">
        <v>2042</v>
      </c>
      <c r="N558" s="1202">
        <v>2047</v>
      </c>
      <c r="O558" s="1202">
        <v>2030</v>
      </c>
    </row>
    <row r="559" spans="2:15" ht="15">
      <c r="B559" s="1263"/>
      <c r="C559" s="1211" t="s">
        <v>4032</v>
      </c>
      <c r="D559" s="1211" t="s">
        <v>4033</v>
      </c>
      <c r="E559" s="1268"/>
      <c r="F559" s="1372"/>
      <c r="G559" s="1375"/>
      <c r="H559" s="1405">
        <v>0.1</v>
      </c>
      <c r="I559" s="1405">
        <v>0.10740740740740741</v>
      </c>
      <c r="J559" s="1405">
        <v>0.12592592592592594</v>
      </c>
      <c r="K559" s="1405">
        <v>0.14444444444444446</v>
      </c>
      <c r="L559" s="1405">
        <v>0.16296296296296298</v>
      </c>
      <c r="M559" s="1405">
        <v>0.18148148148148149</v>
      </c>
      <c r="N559" s="1405">
        <v>0.2</v>
      </c>
      <c r="O559" s="1405">
        <v>0.13703703703703704</v>
      </c>
    </row>
    <row r="560" spans="2:15" ht="15">
      <c r="B560" s="1263"/>
      <c r="C560" s="1211" t="s">
        <v>3997</v>
      </c>
      <c r="D560" s="1211" t="s">
        <v>3998</v>
      </c>
      <c r="E560" s="1268"/>
      <c r="F560" s="1372"/>
      <c r="G560" s="1375"/>
      <c r="H560" s="1405">
        <v>0.75</v>
      </c>
      <c r="I560" s="1405">
        <v>0.74111111111111105</v>
      </c>
      <c r="J560" s="1405">
        <v>0.7188888888888888</v>
      </c>
      <c r="K560" s="1405">
        <v>0.69666666666666655</v>
      </c>
      <c r="L560" s="1405">
        <v>0.6744444444444444</v>
      </c>
      <c r="M560" s="1405">
        <v>0.65222222222222226</v>
      </c>
      <c r="N560" s="1405">
        <v>0.63</v>
      </c>
      <c r="O560" s="1405">
        <v>0.70555555555555549</v>
      </c>
    </row>
    <row r="561" spans="2:15" ht="15">
      <c r="B561" s="1263"/>
      <c r="C561" s="1211" t="s">
        <v>3999</v>
      </c>
      <c r="D561" s="1211" t="s">
        <v>4000</v>
      </c>
      <c r="E561" s="1268"/>
      <c r="F561" s="1372"/>
      <c r="G561" s="1375"/>
      <c r="H561" s="1405">
        <v>0.02</v>
      </c>
      <c r="I561" s="1405">
        <v>0.02</v>
      </c>
      <c r="J561" s="1405">
        <v>0.02</v>
      </c>
      <c r="K561" s="1405">
        <v>0.02</v>
      </c>
      <c r="L561" s="1405">
        <v>0.02</v>
      </c>
      <c r="M561" s="1405">
        <v>0.02</v>
      </c>
      <c r="N561" s="1405">
        <v>0.02</v>
      </c>
      <c r="O561" s="1405">
        <v>0.02</v>
      </c>
    </row>
    <row r="562" spans="2:15" ht="15">
      <c r="B562" s="1263"/>
      <c r="C562" s="1211" t="s">
        <v>4001</v>
      </c>
      <c r="D562" s="1211" t="s">
        <v>4002</v>
      </c>
      <c r="E562" s="1268"/>
      <c r="F562" s="1372"/>
      <c r="G562" s="1375"/>
      <c r="H562" s="1405">
        <v>0.13</v>
      </c>
      <c r="I562" s="1405">
        <v>0.13148148148148148</v>
      </c>
      <c r="J562" s="1405">
        <v>0.13518518518518519</v>
      </c>
      <c r="K562" s="1405">
        <v>0.1388888888888889</v>
      </c>
      <c r="L562" s="1405">
        <v>0.1425925925925926</v>
      </c>
      <c r="M562" s="1405">
        <v>0.14629629629629629</v>
      </c>
      <c r="N562" s="1405">
        <v>0.15</v>
      </c>
      <c r="O562" s="1405">
        <v>0.13740740740740739</v>
      </c>
    </row>
    <row r="563" spans="2:15" ht="15">
      <c r="B563" s="1263"/>
      <c r="C563" s="1211" t="s">
        <v>4011</v>
      </c>
      <c r="D563" s="1211" t="s">
        <v>4012</v>
      </c>
      <c r="E563" s="1268"/>
      <c r="F563" s="1372"/>
      <c r="G563" s="1375"/>
      <c r="H563" s="1405">
        <v>0</v>
      </c>
      <c r="I563" s="1405">
        <v>0</v>
      </c>
      <c r="J563" s="1405">
        <v>0</v>
      </c>
      <c r="K563" s="1405">
        <v>0</v>
      </c>
      <c r="L563" s="1405">
        <v>0</v>
      </c>
      <c r="M563" s="1405">
        <v>0</v>
      </c>
      <c r="N563" s="1405">
        <v>0</v>
      </c>
      <c r="O563" s="1405">
        <v>0</v>
      </c>
    </row>
    <row r="564" spans="2:15" ht="15">
      <c r="B564" s="1263"/>
      <c r="C564" s="1406" t="s">
        <v>4025</v>
      </c>
      <c r="D564" s="1406" t="s">
        <v>4026</v>
      </c>
      <c r="E564" s="1406"/>
      <c r="F564" s="1407"/>
      <c r="G564" s="1408"/>
      <c r="H564" s="1413">
        <v>0</v>
      </c>
      <c r="I564" s="1413">
        <v>0</v>
      </c>
      <c r="J564" s="1413">
        <v>0</v>
      </c>
      <c r="K564" s="1413">
        <v>0</v>
      </c>
      <c r="L564" s="1413">
        <v>0</v>
      </c>
      <c r="M564" s="1413">
        <v>0</v>
      </c>
      <c r="N564" s="1413">
        <v>0</v>
      </c>
      <c r="O564" s="1413">
        <v>0</v>
      </c>
    </row>
    <row r="565" spans="2:15">
      <c r="B565" s="1263"/>
      <c r="C565" s="1211"/>
      <c r="D565" s="1211"/>
      <c r="E565" s="1211"/>
      <c r="F565" s="1415"/>
      <c r="G565" s="1293"/>
      <c r="H565" s="1293"/>
      <c r="I565" s="1293"/>
      <c r="J565" s="1293"/>
      <c r="K565" s="1293"/>
      <c r="L565" s="1293"/>
      <c r="M565" s="1293"/>
      <c r="N565" s="1293"/>
      <c r="O565" s="1293"/>
    </row>
    <row r="566" spans="2:15">
      <c r="B566" s="1263"/>
      <c r="C566" s="1266"/>
      <c r="D566" s="1263"/>
      <c r="E566" s="1267"/>
      <c r="F566" s="1438"/>
      <c r="G566" s="1439"/>
      <c r="H566" s="1220"/>
      <c r="I566" s="1220"/>
      <c r="J566" s="1220"/>
      <c r="K566" s="1220"/>
      <c r="L566" s="1220"/>
      <c r="M566" s="1220"/>
      <c r="N566" s="1220"/>
      <c r="O566" s="1438"/>
    </row>
    <row r="567" spans="2:15" ht="15">
      <c r="B567" s="1266">
        <v>8</v>
      </c>
      <c r="C567" s="1403" t="s">
        <v>4259</v>
      </c>
      <c r="D567" s="1263"/>
      <c r="E567" s="1263"/>
      <c r="F567" s="1264"/>
      <c r="G567" s="1220"/>
      <c r="H567" s="1220"/>
      <c r="I567" s="1220"/>
      <c r="J567" s="1220"/>
      <c r="K567" s="1220"/>
      <c r="L567" s="1220"/>
      <c r="M567" s="1220"/>
      <c r="N567" s="1220"/>
      <c r="O567" s="1264"/>
    </row>
    <row r="568" spans="2:15" ht="9.75" customHeight="1">
      <c r="B568" s="1326"/>
      <c r="C568" s="1263"/>
      <c r="D568" s="1263"/>
      <c r="E568" s="1263"/>
      <c r="F568" s="1264"/>
      <c r="G568" s="1220"/>
      <c r="H568" s="1220"/>
      <c r="I568" s="1220"/>
      <c r="J568" s="1220"/>
      <c r="K568" s="1220"/>
      <c r="L568" s="1220"/>
      <c r="M568" s="1220"/>
      <c r="N568" s="1220"/>
      <c r="O568" s="1264"/>
    </row>
    <row r="569" spans="2:15" ht="16">
      <c r="B569" s="1326"/>
      <c r="C569" s="1201" t="s">
        <v>4166</v>
      </c>
      <c r="D569" s="1201" t="s">
        <v>4234</v>
      </c>
      <c r="E569" s="1201" t="s">
        <v>48</v>
      </c>
      <c r="F569" s="1203"/>
      <c r="G569" s="1202"/>
      <c r="H569" s="1202">
        <v>2020</v>
      </c>
      <c r="I569" s="1202">
        <v>2022</v>
      </c>
      <c r="J569" s="1202">
        <v>2027</v>
      </c>
      <c r="K569" s="1202">
        <v>2032</v>
      </c>
      <c r="L569" s="1202">
        <v>2037</v>
      </c>
      <c r="M569" s="1202">
        <v>2042</v>
      </c>
      <c r="N569" s="1202">
        <v>2047</v>
      </c>
      <c r="O569" s="1202">
        <v>2030</v>
      </c>
    </row>
    <row r="570" spans="2:15" ht="16">
      <c r="B570" s="1326"/>
      <c r="C570" s="1211" t="s">
        <v>4032</v>
      </c>
      <c r="D570" s="1440" t="s">
        <v>4033</v>
      </c>
      <c r="E570" s="1268"/>
      <c r="F570" s="1372"/>
      <c r="G570" s="1375"/>
      <c r="H570" s="900">
        <v>9.2899999999999996E-2</v>
      </c>
      <c r="I570" s="1405">
        <v>9.3796296296296294E-2</v>
      </c>
      <c r="J570" s="1405">
        <v>9.3796296296296294E-2</v>
      </c>
      <c r="K570" s="1405">
        <v>9.3796296296296294E-2</v>
      </c>
      <c r="L570" s="1405">
        <v>9.3796296296296294E-2</v>
      </c>
      <c r="M570" s="1405">
        <v>9.3796296296296294E-2</v>
      </c>
      <c r="N570" s="1405">
        <v>9.3796296296296294E-2</v>
      </c>
      <c r="O570" s="1405">
        <v>9.3796296296296294E-2</v>
      </c>
    </row>
    <row r="571" spans="2:15" ht="14" customHeight="1">
      <c r="B571" s="1326"/>
      <c r="C571" s="1211" t="s">
        <v>3997</v>
      </c>
      <c r="D571" s="1440" t="s">
        <v>3998</v>
      </c>
      <c r="E571" s="1268"/>
      <c r="F571" s="1441"/>
      <c r="G571" s="1375"/>
      <c r="H571" s="1405">
        <v>0.33529353447055432</v>
      </c>
      <c r="I571" s="1405">
        <v>0.31425141828231296</v>
      </c>
      <c r="J571" s="1405">
        <v>0.31425141828231296</v>
      </c>
      <c r="K571" s="1405">
        <v>0.31425141828231296</v>
      </c>
      <c r="L571" s="1405">
        <v>0.31425141828231296</v>
      </c>
      <c r="M571" s="1405">
        <v>0.31425141828231296</v>
      </c>
      <c r="N571" s="1405">
        <v>0.31425141828231296</v>
      </c>
      <c r="O571" s="1405">
        <v>0.31425141828231296</v>
      </c>
    </row>
    <row r="572" spans="2:15" ht="14" customHeight="1">
      <c r="B572" s="1326"/>
      <c r="C572" s="1211" t="s">
        <v>3999</v>
      </c>
      <c r="D572" s="1440" t="s">
        <v>4000</v>
      </c>
      <c r="E572" s="1268"/>
      <c r="F572" s="1372"/>
      <c r="G572" s="1375"/>
      <c r="H572" s="898">
        <v>0.40050000000000002</v>
      </c>
      <c r="I572" s="1405">
        <v>0.39824074074074078</v>
      </c>
      <c r="J572" s="1405">
        <v>0.39824074074074078</v>
      </c>
      <c r="K572" s="1405">
        <v>0.39824074074074078</v>
      </c>
      <c r="L572" s="1405">
        <v>0.39824074074074078</v>
      </c>
      <c r="M572" s="1405">
        <v>0.39824074074074078</v>
      </c>
      <c r="N572" s="1405">
        <v>0.39824074074074078</v>
      </c>
      <c r="O572" s="1405">
        <v>0.39824074074074078</v>
      </c>
    </row>
    <row r="573" spans="2:15" ht="14" customHeight="1">
      <c r="B573" s="1326"/>
      <c r="C573" s="1211" t="s">
        <v>4001</v>
      </c>
      <c r="D573" s="1440" t="s">
        <v>4002</v>
      </c>
      <c r="E573" s="1268"/>
      <c r="F573" s="1372"/>
      <c r="G573" s="1375"/>
      <c r="H573" s="900">
        <v>5.8606465529445657E-2</v>
      </c>
      <c r="I573" s="1405">
        <v>8.1952285421390783E-2</v>
      </c>
      <c r="J573" s="1405">
        <v>8.1952285421390783E-2</v>
      </c>
      <c r="K573" s="1405">
        <v>8.1952285421390783E-2</v>
      </c>
      <c r="L573" s="1405">
        <v>8.1952285421390783E-2</v>
      </c>
      <c r="M573" s="1405">
        <v>8.1952285421390783E-2</v>
      </c>
      <c r="N573" s="1405">
        <v>8.1952285421390783E-2</v>
      </c>
      <c r="O573" s="1405">
        <v>8.1952285421390783E-2</v>
      </c>
    </row>
    <row r="574" spans="2:15" ht="14" customHeight="1">
      <c r="B574" s="1326"/>
      <c r="C574" s="1211" t="s">
        <v>4011</v>
      </c>
      <c r="D574" s="1211" t="s">
        <v>4012</v>
      </c>
      <c r="E574" s="1268"/>
      <c r="F574" s="1372"/>
      <c r="G574" s="1375"/>
      <c r="H574" s="900">
        <v>0.11269999999999999</v>
      </c>
      <c r="I574" s="1405">
        <v>0.11175925925925925</v>
      </c>
      <c r="J574" s="1405">
        <v>0.11175925925925925</v>
      </c>
      <c r="K574" s="1405">
        <v>0.11175925925925925</v>
      </c>
      <c r="L574" s="1405">
        <v>0.11175925925925925</v>
      </c>
      <c r="M574" s="1405">
        <v>0.11175925925925925</v>
      </c>
      <c r="N574" s="1405">
        <v>0.11175925925925925</v>
      </c>
      <c r="O574" s="1405">
        <v>0.11175925925925925</v>
      </c>
    </row>
    <row r="575" spans="2:15" ht="14" customHeight="1">
      <c r="B575" s="1263"/>
      <c r="C575" s="1406" t="s">
        <v>4025</v>
      </c>
      <c r="D575" s="1442" t="s">
        <v>4026</v>
      </c>
      <c r="E575" s="1406"/>
      <c r="F575" s="1407"/>
      <c r="G575" s="1408"/>
      <c r="H575" s="1432">
        <v>0</v>
      </c>
      <c r="I575" s="1413">
        <v>0</v>
      </c>
      <c r="J575" s="1413">
        <v>0</v>
      </c>
      <c r="K575" s="1413">
        <v>0</v>
      </c>
      <c r="L575" s="1413">
        <v>0</v>
      </c>
      <c r="M575" s="1413">
        <v>0</v>
      </c>
      <c r="N575" s="1413">
        <v>0</v>
      </c>
      <c r="O575" s="1413">
        <v>0</v>
      </c>
    </row>
    <row r="576" spans="2:15" ht="14" customHeight="1">
      <c r="B576" s="1263"/>
      <c r="C576" s="1211"/>
      <c r="D576" s="1440"/>
      <c r="E576" s="1211"/>
      <c r="F576" s="1415"/>
      <c r="G576" s="1293"/>
      <c r="H576" s="1293"/>
      <c r="I576" s="1293"/>
      <c r="J576" s="1293"/>
      <c r="K576" s="1293"/>
      <c r="L576" s="1293"/>
      <c r="M576" s="1293"/>
      <c r="N576" s="1293"/>
      <c r="O576" s="1415"/>
    </row>
    <row r="577" spans="2:15" ht="14" customHeight="1">
      <c r="B577" s="1263"/>
      <c r="C577" s="1201" t="s">
        <v>4166</v>
      </c>
      <c r="D577" s="1201" t="s">
        <v>4242</v>
      </c>
      <c r="E577" s="1201" t="s">
        <v>48</v>
      </c>
      <c r="F577" s="1203"/>
      <c r="G577" s="1202"/>
      <c r="H577" s="1202">
        <v>2020</v>
      </c>
      <c r="I577" s="1202">
        <v>2022</v>
      </c>
      <c r="J577" s="1202">
        <v>2027</v>
      </c>
      <c r="K577" s="1202">
        <v>2032</v>
      </c>
      <c r="L577" s="1202">
        <v>2037</v>
      </c>
      <c r="M577" s="1202">
        <v>2042</v>
      </c>
      <c r="N577" s="1202">
        <v>2047</v>
      </c>
      <c r="O577" s="1202">
        <v>2030</v>
      </c>
    </row>
    <row r="578" spans="2:15" ht="14" customHeight="1">
      <c r="B578" s="1263"/>
      <c r="C578" s="1211" t="s">
        <v>4032</v>
      </c>
      <c r="D578" s="1440" t="s">
        <v>4033</v>
      </c>
      <c r="E578" s="1268"/>
      <c r="F578" s="1372"/>
      <c r="G578" s="1375"/>
      <c r="H578" s="1405">
        <v>9.2899999999999996E-2</v>
      </c>
      <c r="I578" s="1405">
        <v>9.3796296296296294E-2</v>
      </c>
      <c r="J578" s="1405">
        <v>9.6037037037037032E-2</v>
      </c>
      <c r="K578" s="1405">
        <v>9.8277777777777769E-2</v>
      </c>
      <c r="L578" s="1405">
        <v>0.10051851851851852</v>
      </c>
      <c r="M578" s="1405">
        <v>0.10275925925925926</v>
      </c>
      <c r="N578" s="1405">
        <v>0.105</v>
      </c>
      <c r="O578" s="1405">
        <v>9.7381481481481472E-2</v>
      </c>
    </row>
    <row r="579" spans="2:15" ht="14" customHeight="1">
      <c r="B579" s="1263"/>
      <c r="C579" s="1211" t="s">
        <v>3997</v>
      </c>
      <c r="D579" s="1440" t="s">
        <v>3998</v>
      </c>
      <c r="E579" s="1268"/>
      <c r="F579" s="1372"/>
      <c r="G579" s="1375"/>
      <c r="H579" s="1405">
        <v>0.33529353447055432</v>
      </c>
      <c r="I579" s="1405">
        <v>0.31425141828231296</v>
      </c>
      <c r="J579" s="1405">
        <v>0.30640113462585034</v>
      </c>
      <c r="K579" s="1405">
        <v>0.29855085096938772</v>
      </c>
      <c r="L579" s="1405">
        <v>0.28970056731292509</v>
      </c>
      <c r="M579" s="1405">
        <v>0.27485028365646258</v>
      </c>
      <c r="N579" s="1405">
        <v>0.26</v>
      </c>
      <c r="O579" s="1405">
        <v>0.30169096443197274</v>
      </c>
    </row>
    <row r="580" spans="2:15" ht="14" customHeight="1">
      <c r="B580" s="1263"/>
      <c r="C580" s="1211" t="s">
        <v>3999</v>
      </c>
      <c r="D580" s="1440" t="s">
        <v>4000</v>
      </c>
      <c r="E580" s="1268"/>
      <c r="F580" s="1372"/>
      <c r="G580" s="1375"/>
      <c r="H580" s="1405">
        <v>0.40050000000000002</v>
      </c>
      <c r="I580" s="1405">
        <v>0.39824074074074078</v>
      </c>
      <c r="J580" s="1405">
        <v>0.3925925925925926</v>
      </c>
      <c r="K580" s="1405">
        <v>0.38694444444444448</v>
      </c>
      <c r="L580" s="1405">
        <v>0.3812962962962963</v>
      </c>
      <c r="M580" s="1405">
        <v>0.37564814814814818</v>
      </c>
      <c r="N580" s="1405">
        <v>0.37</v>
      </c>
      <c r="O580" s="1405">
        <v>0.38920370370370372</v>
      </c>
    </row>
    <row r="581" spans="2:15" ht="14" customHeight="1">
      <c r="B581" s="1263"/>
      <c r="C581" s="1211" t="s">
        <v>4001</v>
      </c>
      <c r="D581" s="1440" t="s">
        <v>4002</v>
      </c>
      <c r="E581" s="1268"/>
      <c r="F581" s="1372"/>
      <c r="G581" s="1375"/>
      <c r="H581" s="900">
        <v>5.8606465529445657E-2</v>
      </c>
      <c r="I581" s="1405">
        <v>8.1952285421390783E-2</v>
      </c>
      <c r="J581" s="1405">
        <v>9.5561828337112631E-2</v>
      </c>
      <c r="K581" s="1405">
        <v>0.10917137125283446</v>
      </c>
      <c r="L581" s="1405">
        <v>0.12278091416855631</v>
      </c>
      <c r="M581" s="1405">
        <v>0.13639045708427816</v>
      </c>
      <c r="N581" s="1405">
        <v>0.15</v>
      </c>
      <c r="O581" s="1405">
        <v>0.10372755408654573</v>
      </c>
    </row>
    <row r="582" spans="2:15" ht="14" customHeight="1">
      <c r="B582" s="1263"/>
      <c r="C582" s="1211" t="s">
        <v>4011</v>
      </c>
      <c r="D582" s="1211" t="s">
        <v>4012</v>
      </c>
      <c r="E582" s="1268"/>
      <c r="F582" s="1372"/>
      <c r="G582" s="1375"/>
      <c r="H582" s="1405">
        <v>0.11269999999999999</v>
      </c>
      <c r="I582" s="1405">
        <v>0.11175925925925925</v>
      </c>
      <c r="J582" s="1405">
        <v>0.10940740740740741</v>
      </c>
      <c r="K582" s="1405">
        <v>0.10705555555555556</v>
      </c>
      <c r="L582" s="1405">
        <v>0.1047037037037037</v>
      </c>
      <c r="M582" s="1405">
        <v>0.10235185185185186</v>
      </c>
      <c r="N582" s="1375">
        <v>0.1</v>
      </c>
      <c r="O582" s="1405">
        <v>0.1079962962962963</v>
      </c>
    </row>
    <row r="583" spans="2:15" ht="14" customHeight="1">
      <c r="B583" s="1263"/>
      <c r="C583" s="1406" t="s">
        <v>4025</v>
      </c>
      <c r="D583" s="1442" t="s">
        <v>4026</v>
      </c>
      <c r="E583" s="1406"/>
      <c r="F583" s="1407"/>
      <c r="G583" s="1408"/>
      <c r="H583" s="1413">
        <v>0</v>
      </c>
      <c r="I583" s="1413">
        <v>0</v>
      </c>
      <c r="J583" s="1413">
        <v>0</v>
      </c>
      <c r="K583" s="1413">
        <v>0</v>
      </c>
      <c r="L583" s="1413">
        <v>1E-3</v>
      </c>
      <c r="M583" s="1413">
        <v>8.0000000000000002E-3</v>
      </c>
      <c r="N583" s="1413">
        <v>1.4999999999999999E-2</v>
      </c>
      <c r="O583" s="1413">
        <v>0</v>
      </c>
    </row>
    <row r="584" spans="2:15" ht="14" customHeight="1">
      <c r="B584" s="1263"/>
      <c r="C584" s="1211"/>
      <c r="D584" s="1440"/>
      <c r="E584" s="1211"/>
      <c r="F584" s="1415"/>
      <c r="G584" s="1293"/>
      <c r="H584" s="1293"/>
      <c r="I584" s="1293"/>
      <c r="J584" s="1293"/>
      <c r="K584" s="1293"/>
      <c r="L584" s="1293"/>
      <c r="M584" s="1293"/>
      <c r="N584" s="1293"/>
      <c r="O584" s="1415"/>
    </row>
    <row r="585" spans="2:15" ht="14" customHeight="1">
      <c r="B585" s="1263"/>
      <c r="C585" s="1201" t="s">
        <v>4166</v>
      </c>
      <c r="D585" s="1201" t="s">
        <v>4244</v>
      </c>
      <c r="E585" s="1201" t="s">
        <v>48</v>
      </c>
      <c r="F585" s="1203"/>
      <c r="G585" s="1202"/>
      <c r="H585" s="1202">
        <v>2020</v>
      </c>
      <c r="I585" s="1202">
        <v>2022</v>
      </c>
      <c r="J585" s="1202">
        <v>2027</v>
      </c>
      <c r="K585" s="1202">
        <v>2032</v>
      </c>
      <c r="L585" s="1202">
        <v>2037</v>
      </c>
      <c r="M585" s="1202">
        <v>2042</v>
      </c>
      <c r="N585" s="1202">
        <v>2047</v>
      </c>
      <c r="O585" s="1202">
        <v>2030</v>
      </c>
    </row>
    <row r="586" spans="2:15" ht="14" customHeight="1">
      <c r="B586" s="1263"/>
      <c r="C586" s="1211" t="s">
        <v>4032</v>
      </c>
      <c r="D586" s="1440" t="s">
        <v>4033</v>
      </c>
      <c r="E586" s="1268"/>
      <c r="F586" s="1372"/>
      <c r="G586" s="1375"/>
      <c r="H586" s="1405">
        <v>9.2899999999999996E-2</v>
      </c>
      <c r="I586" s="1405">
        <v>9.3796296296296294E-2</v>
      </c>
      <c r="J586" s="1405">
        <v>0.12066666666666667</v>
      </c>
      <c r="K586" s="1405">
        <v>0.14050000000000001</v>
      </c>
      <c r="L586" s="1405">
        <v>0.16033333333333333</v>
      </c>
      <c r="M586" s="1405">
        <v>0.18016666666666667</v>
      </c>
      <c r="N586" s="1405">
        <v>0.2</v>
      </c>
      <c r="O586" s="1405">
        <v>0.13256666666666667</v>
      </c>
    </row>
    <row r="587" spans="2:15" ht="14" customHeight="1">
      <c r="B587" s="1263"/>
      <c r="C587" s="1211" t="s">
        <v>3997</v>
      </c>
      <c r="D587" s="1440" t="s">
        <v>3998</v>
      </c>
      <c r="E587" s="1268"/>
      <c r="F587" s="1372"/>
      <c r="G587" s="1375"/>
      <c r="H587" s="1405">
        <v>0.33529353447055432</v>
      </c>
      <c r="I587" s="1405">
        <v>0.31425141828231296</v>
      </c>
      <c r="J587" s="1405">
        <v>0.28243817166288732</v>
      </c>
      <c r="K587" s="1405">
        <v>0.25057862874716552</v>
      </c>
      <c r="L587" s="1405">
        <v>0.21871908583144367</v>
      </c>
      <c r="M587" s="1405">
        <v>0.18685954291572188</v>
      </c>
      <c r="N587" s="1405">
        <v>0.15500000000000008</v>
      </c>
      <c r="O587" s="1405">
        <v>0.26332244591345422</v>
      </c>
    </row>
    <row r="588" spans="2:15" ht="14" customHeight="1">
      <c r="B588" s="1263"/>
      <c r="C588" s="1211" t="s">
        <v>3999</v>
      </c>
      <c r="D588" s="1440" t="s">
        <v>4000</v>
      </c>
      <c r="E588" s="1268"/>
      <c r="F588" s="1372"/>
      <c r="G588" s="1375"/>
      <c r="H588" s="1405">
        <v>0.40050000000000002</v>
      </c>
      <c r="I588" s="1405">
        <v>0.39824074074074078</v>
      </c>
      <c r="J588" s="1405">
        <v>0.38740740740740742</v>
      </c>
      <c r="K588" s="1405">
        <v>0.37805555555555553</v>
      </c>
      <c r="L588" s="1405">
        <v>0.3687037037037037</v>
      </c>
      <c r="M588" s="1405">
        <v>0.35935185185185181</v>
      </c>
      <c r="N588" s="1405">
        <v>0.35</v>
      </c>
      <c r="O588" s="1405">
        <v>0.3817962962962963</v>
      </c>
    </row>
    <row r="589" spans="2:15" ht="14" customHeight="1">
      <c r="B589" s="1263"/>
      <c r="C589" s="1211" t="s">
        <v>4001</v>
      </c>
      <c r="D589" s="1440" t="s">
        <v>4002</v>
      </c>
      <c r="E589" s="1268"/>
      <c r="F589" s="1372"/>
      <c r="G589" s="1375"/>
      <c r="H589" s="900">
        <v>5.8606465529445657E-2</v>
      </c>
      <c r="I589" s="1405">
        <v>8.1952285421390783E-2</v>
      </c>
      <c r="J589" s="1405">
        <v>0.10556182833711263</v>
      </c>
      <c r="K589" s="1405">
        <v>0.12917137125283448</v>
      </c>
      <c r="L589" s="1405">
        <v>0.15278091416855633</v>
      </c>
      <c r="M589" s="1405">
        <v>0.17639045708427817</v>
      </c>
      <c r="N589" s="1405">
        <v>0.2</v>
      </c>
      <c r="O589" s="1405">
        <v>0.11972755408654573</v>
      </c>
    </row>
    <row r="590" spans="2:15" ht="14" customHeight="1">
      <c r="B590" s="1263"/>
      <c r="C590" s="1211" t="s">
        <v>4011</v>
      </c>
      <c r="D590" s="1211" t="s">
        <v>4012</v>
      </c>
      <c r="E590" s="1268"/>
      <c r="F590" s="1372"/>
      <c r="G590" s="1375"/>
      <c r="H590" s="1405">
        <v>0.11269999999999999</v>
      </c>
      <c r="I590" s="1405">
        <v>0.11175925925925925</v>
      </c>
      <c r="J590" s="1373">
        <v>0.10292592592592592</v>
      </c>
      <c r="K590" s="1373">
        <v>9.5944444444444443E-2</v>
      </c>
      <c r="L590" s="1373">
        <v>8.8962962962962966E-2</v>
      </c>
      <c r="M590" s="1373">
        <v>8.1981481481481475E-2</v>
      </c>
      <c r="N590" s="1373">
        <v>7.4999999999999997E-2</v>
      </c>
      <c r="O590" s="1405">
        <v>9.8737037037037026E-2</v>
      </c>
    </row>
    <row r="591" spans="2:15" ht="14" customHeight="1">
      <c r="B591" s="1263"/>
      <c r="C591" s="1406" t="s">
        <v>4025</v>
      </c>
      <c r="D591" s="1442" t="s">
        <v>4026</v>
      </c>
      <c r="E591" s="1406"/>
      <c r="F591" s="1407"/>
      <c r="G591" s="1408"/>
      <c r="H591" s="1413">
        <v>0</v>
      </c>
      <c r="I591" s="1413">
        <v>0</v>
      </c>
      <c r="J591" s="1443">
        <v>1E-3</v>
      </c>
      <c r="K591" s="1443">
        <v>5.7499999999999999E-3</v>
      </c>
      <c r="L591" s="1443">
        <v>1.0499999999999999E-2</v>
      </c>
      <c r="M591" s="1443">
        <v>1.525E-2</v>
      </c>
      <c r="N591" s="1443">
        <v>0.02</v>
      </c>
      <c r="O591" s="1443">
        <v>3.8499999999999997E-3</v>
      </c>
    </row>
    <row r="592" spans="2:15" ht="14" customHeight="1">
      <c r="B592" s="1263"/>
      <c r="C592" s="1211"/>
      <c r="D592" s="1440"/>
      <c r="E592" s="1211"/>
      <c r="F592" s="1415"/>
      <c r="G592" s="1293"/>
      <c r="H592" s="1293"/>
      <c r="I592" s="1293"/>
      <c r="J592" s="1293"/>
      <c r="K592" s="1293"/>
      <c r="L592" s="1293"/>
      <c r="M592" s="1293"/>
      <c r="N592" s="1293"/>
      <c r="O592" s="1415"/>
    </row>
    <row r="593" spans="2:15" ht="14" customHeight="1">
      <c r="B593" s="1263"/>
      <c r="C593" s="1201" t="s">
        <v>4166</v>
      </c>
      <c r="D593" s="1201" t="s">
        <v>4246</v>
      </c>
      <c r="E593" s="1201" t="s">
        <v>48</v>
      </c>
      <c r="F593" s="1203"/>
      <c r="G593" s="1202"/>
      <c r="H593" s="1202">
        <v>2020</v>
      </c>
      <c r="I593" s="1202">
        <v>2022</v>
      </c>
      <c r="J593" s="1202">
        <v>2027</v>
      </c>
      <c r="K593" s="1202">
        <v>2032</v>
      </c>
      <c r="L593" s="1202">
        <v>2037</v>
      </c>
      <c r="M593" s="1202">
        <v>2042</v>
      </c>
      <c r="N593" s="1202">
        <v>2047</v>
      </c>
      <c r="O593" s="1202">
        <v>2030</v>
      </c>
    </row>
    <row r="594" spans="2:15" ht="14" customHeight="1">
      <c r="B594" s="1263"/>
      <c r="C594" s="1211" t="s">
        <v>4032</v>
      </c>
      <c r="D594" s="1440" t="s">
        <v>4033</v>
      </c>
      <c r="E594" s="1268"/>
      <c r="F594" s="1372"/>
      <c r="G594" s="1375"/>
      <c r="H594" s="1405">
        <v>9.2899999999999996E-2</v>
      </c>
      <c r="I594" s="1405">
        <v>9.3796296296296294E-2</v>
      </c>
      <c r="J594" s="1405">
        <v>0.13362962962962963</v>
      </c>
      <c r="K594" s="1405">
        <v>0.16272222222222221</v>
      </c>
      <c r="L594" s="1405">
        <v>0.19181481481481483</v>
      </c>
      <c r="M594" s="1405">
        <v>0.22090740740740744</v>
      </c>
      <c r="N594" s="1405">
        <v>0.25</v>
      </c>
      <c r="O594" s="1405">
        <v>0.15108518518518518</v>
      </c>
    </row>
    <row r="595" spans="2:15" ht="14" customHeight="1">
      <c r="B595" s="1263"/>
      <c r="C595" s="1211" t="s">
        <v>3997</v>
      </c>
      <c r="D595" s="1440" t="s">
        <v>3998</v>
      </c>
      <c r="E595" s="1268"/>
      <c r="F595" s="1372"/>
      <c r="G595" s="1375"/>
      <c r="H595" s="1405">
        <v>0.33529353447055432</v>
      </c>
      <c r="I595" s="1405">
        <v>0.31425141828231296</v>
      </c>
      <c r="J595" s="1405">
        <v>0.27891965314436884</v>
      </c>
      <c r="K595" s="1405">
        <v>0.23793973985827666</v>
      </c>
      <c r="L595" s="1405">
        <v>0.19695982657218433</v>
      </c>
      <c r="M595" s="1405">
        <v>0.15597991328609215</v>
      </c>
      <c r="N595" s="1405">
        <v>0.115</v>
      </c>
      <c r="O595" s="1405">
        <v>0.25433170517271347</v>
      </c>
    </row>
    <row r="596" spans="2:15" ht="14" customHeight="1">
      <c r="B596" s="1263"/>
      <c r="C596" s="1211" t="s">
        <v>3999</v>
      </c>
      <c r="D596" s="1440" t="s">
        <v>4000</v>
      </c>
      <c r="E596" s="1268"/>
      <c r="F596" s="1372"/>
      <c r="G596" s="1375"/>
      <c r="H596" s="1405">
        <v>0.40050000000000002</v>
      </c>
      <c r="I596" s="1405">
        <v>0.39824074074074078</v>
      </c>
      <c r="J596" s="1405">
        <v>0.37444444444444447</v>
      </c>
      <c r="K596" s="1405">
        <v>0.35583333333333333</v>
      </c>
      <c r="L596" s="1405">
        <v>0.3372222222222222</v>
      </c>
      <c r="M596" s="1405">
        <v>0.31861111111111112</v>
      </c>
      <c r="N596" s="1405">
        <v>0.3</v>
      </c>
      <c r="O596" s="1405">
        <v>0.36327777777777781</v>
      </c>
    </row>
    <row r="597" spans="2:15" ht="14" customHeight="1">
      <c r="B597" s="1263"/>
      <c r="C597" s="1211" t="s">
        <v>4001</v>
      </c>
      <c r="D597" s="1440" t="s">
        <v>4002</v>
      </c>
      <c r="E597" s="1268"/>
      <c r="F597" s="1372"/>
      <c r="G597" s="1375"/>
      <c r="H597" s="900">
        <v>5.8606465529445657E-2</v>
      </c>
      <c r="I597" s="1405">
        <v>8.1952285421390783E-2</v>
      </c>
      <c r="J597" s="1405">
        <v>0.11556182833711262</v>
      </c>
      <c r="K597" s="1405">
        <v>0.14917137125283447</v>
      </c>
      <c r="L597" s="1405">
        <v>0.18278091416855632</v>
      </c>
      <c r="M597" s="1405">
        <v>0.21639045708427818</v>
      </c>
      <c r="N597" s="1405">
        <v>0.25</v>
      </c>
      <c r="O597" s="1405">
        <v>0.13572755408654574</v>
      </c>
    </row>
    <row r="598" spans="2:15" ht="14" customHeight="1">
      <c r="B598" s="1263"/>
      <c r="C598" s="1211" t="s">
        <v>4011</v>
      </c>
      <c r="D598" s="1211" t="s">
        <v>4012</v>
      </c>
      <c r="E598" s="1268"/>
      <c r="F598" s="1372"/>
      <c r="G598" s="1375"/>
      <c r="H598" s="1405">
        <v>0.11269999999999999</v>
      </c>
      <c r="I598" s="1405">
        <v>0.11175925925925925</v>
      </c>
      <c r="J598" s="1405">
        <v>9.6444444444444444E-2</v>
      </c>
      <c r="K598" s="1405">
        <v>8.483333333333333E-2</v>
      </c>
      <c r="L598" s="1405">
        <v>7.3222222222222216E-2</v>
      </c>
      <c r="M598" s="1405">
        <v>6.1611111111111116E-2</v>
      </c>
      <c r="N598" s="1405">
        <v>0.05</v>
      </c>
      <c r="O598" s="1405">
        <v>8.9477777777777781E-2</v>
      </c>
    </row>
    <row r="599" spans="2:15" ht="14" customHeight="1">
      <c r="B599" s="1263"/>
      <c r="C599" s="1406" t="s">
        <v>4025</v>
      </c>
      <c r="D599" s="1442" t="s">
        <v>4026</v>
      </c>
      <c r="E599" s="1406"/>
      <c r="F599" s="1407"/>
      <c r="G599" s="1408"/>
      <c r="H599" s="1413">
        <v>0</v>
      </c>
      <c r="I599" s="1413">
        <v>0</v>
      </c>
      <c r="J599" s="1413">
        <v>1E-3</v>
      </c>
      <c r="K599" s="1413">
        <v>9.5000000000000015E-3</v>
      </c>
      <c r="L599" s="1413">
        <v>1.8000000000000002E-2</v>
      </c>
      <c r="M599" s="1413">
        <v>2.6500000000000003E-2</v>
      </c>
      <c r="N599" s="1413">
        <v>3.5000000000000003E-2</v>
      </c>
      <c r="O599" s="1443">
        <v>6.1000000000000004E-3</v>
      </c>
    </row>
    <row r="600" spans="2:15" ht="14" customHeight="1">
      <c r="B600" s="1263"/>
      <c r="C600" s="1211"/>
      <c r="D600" s="1440"/>
      <c r="E600" s="1211"/>
      <c r="F600" s="1415"/>
      <c r="G600" s="1293"/>
      <c r="H600" s="1293"/>
      <c r="I600" s="1293"/>
      <c r="J600" s="1293"/>
      <c r="K600" s="1293"/>
      <c r="L600" s="1293"/>
      <c r="M600" s="1293"/>
      <c r="N600" s="1293"/>
      <c r="O600" s="1415"/>
    </row>
    <row r="601" spans="2:15" ht="14" customHeight="1">
      <c r="B601" s="1263"/>
      <c r="C601" s="1444" t="s">
        <v>4166</v>
      </c>
      <c r="D601" s="1444" t="s">
        <v>4260</v>
      </c>
      <c r="E601" s="1444" t="s">
        <v>48</v>
      </c>
      <c r="F601" s="1445"/>
      <c r="G601" s="1446"/>
      <c r="H601" s="1446">
        <v>2020</v>
      </c>
      <c r="I601" s="1446">
        <v>2022</v>
      </c>
      <c r="J601" s="1446">
        <v>2027</v>
      </c>
      <c r="K601" s="1446">
        <v>2032</v>
      </c>
      <c r="L601" s="1446">
        <v>2037</v>
      </c>
      <c r="M601" s="1446">
        <v>2042</v>
      </c>
      <c r="N601" s="1446">
        <v>2047</v>
      </c>
      <c r="O601" s="1446">
        <v>2030</v>
      </c>
    </row>
    <row r="602" spans="2:15" ht="14" customHeight="1">
      <c r="B602" s="1263"/>
      <c r="C602" s="1447" t="s">
        <v>4032</v>
      </c>
      <c r="D602" s="1448" t="s">
        <v>4033</v>
      </c>
      <c r="E602" s="1449"/>
      <c r="F602" s="1450"/>
      <c r="G602" s="1416"/>
      <c r="H602" s="1417">
        <v>0.105</v>
      </c>
      <c r="I602" s="1417">
        <v>0.10685185185185185</v>
      </c>
      <c r="J602" s="1417">
        <v>0.11148148148148147</v>
      </c>
      <c r="K602" s="1417">
        <v>0.11611111111111111</v>
      </c>
      <c r="L602" s="1417">
        <v>0.12074074074074075</v>
      </c>
      <c r="M602" s="1417">
        <v>0.12537037037037038</v>
      </c>
      <c r="N602" s="1417">
        <v>0.13</v>
      </c>
      <c r="O602" s="1417">
        <v>0.11425925925925925</v>
      </c>
    </row>
    <row r="603" spans="2:15" ht="14" customHeight="1">
      <c r="B603" s="1263"/>
      <c r="C603" s="1447" t="s">
        <v>3997</v>
      </c>
      <c r="D603" s="1448" t="s">
        <v>3998</v>
      </c>
      <c r="E603" s="1449"/>
      <c r="F603" s="1450"/>
      <c r="G603" s="1416"/>
      <c r="H603" s="1417">
        <v>0.40899999999999997</v>
      </c>
      <c r="I603" s="1417">
        <v>0.40240740740740738</v>
      </c>
      <c r="J603" s="1417">
        <v>0.38592592592592589</v>
      </c>
      <c r="K603" s="1417">
        <v>0.36944444444444446</v>
      </c>
      <c r="L603" s="1417">
        <v>0.35296296296296298</v>
      </c>
      <c r="M603" s="1417">
        <v>0.33648148148148149</v>
      </c>
      <c r="N603" s="1417">
        <v>0.31999999999999995</v>
      </c>
      <c r="O603" s="1417">
        <v>0.376037037037037</v>
      </c>
    </row>
    <row r="604" spans="2:15" ht="14" customHeight="1">
      <c r="B604" s="1263"/>
      <c r="C604" s="1447" t="s">
        <v>3999</v>
      </c>
      <c r="D604" s="1448" t="s">
        <v>4000</v>
      </c>
      <c r="E604" s="1449"/>
      <c r="F604" s="1450"/>
      <c r="G604" s="1416"/>
      <c r="H604" s="1417">
        <v>0.45100000000000001</v>
      </c>
      <c r="I604" s="1417">
        <v>0.44722222222222224</v>
      </c>
      <c r="J604" s="1417">
        <v>0.43777777777777777</v>
      </c>
      <c r="K604" s="1417">
        <v>0.42833333333333334</v>
      </c>
      <c r="L604" s="1417">
        <v>0.41888888888888892</v>
      </c>
      <c r="M604" s="1417">
        <v>0.40944444444444444</v>
      </c>
      <c r="N604" s="1417">
        <v>0.4</v>
      </c>
      <c r="O604" s="1417">
        <v>0.43211111111111111</v>
      </c>
    </row>
    <row r="605" spans="2:15" ht="14" customHeight="1">
      <c r="B605" s="1263"/>
      <c r="C605" s="1447" t="s">
        <v>4001</v>
      </c>
      <c r="D605" s="1448" t="s">
        <v>4002</v>
      </c>
      <c r="E605" s="1449"/>
      <c r="F605" s="1450"/>
      <c r="G605" s="1416"/>
      <c r="H605" s="1417">
        <v>3.5000000000000003E-2</v>
      </c>
      <c r="I605" s="1417">
        <v>4.3518518518518519E-2</v>
      </c>
      <c r="J605" s="1417">
        <v>6.4814814814814811E-2</v>
      </c>
      <c r="K605" s="1417">
        <v>8.611111111111111E-2</v>
      </c>
      <c r="L605" s="1417">
        <v>0.10740740740740741</v>
      </c>
      <c r="M605" s="1417">
        <v>0.12870370370370371</v>
      </c>
      <c r="N605" s="1417">
        <v>0.15</v>
      </c>
      <c r="O605" s="1417">
        <v>7.7592592592592602E-2</v>
      </c>
    </row>
    <row r="606" spans="2:15" ht="14" customHeight="1">
      <c r="B606" s="1263"/>
      <c r="C606" s="1447" t="s">
        <v>4011</v>
      </c>
      <c r="D606" s="1448" t="s">
        <v>4012</v>
      </c>
      <c r="E606" s="1449"/>
      <c r="F606" s="1450"/>
      <c r="G606" s="1416"/>
      <c r="H606" s="1417">
        <v>0</v>
      </c>
      <c r="I606" s="1417">
        <v>0</v>
      </c>
      <c r="J606" s="1417">
        <v>0</v>
      </c>
      <c r="K606" s="1417">
        <v>0</v>
      </c>
      <c r="L606" s="1417">
        <v>0</v>
      </c>
      <c r="M606" s="1417">
        <v>0</v>
      </c>
      <c r="N606" s="1417">
        <v>0</v>
      </c>
      <c r="O606" s="1417">
        <v>0</v>
      </c>
    </row>
    <row r="607" spans="2:15" ht="14" customHeight="1">
      <c r="B607" s="1263"/>
      <c r="C607" s="1451" t="s">
        <v>4025</v>
      </c>
      <c r="D607" s="1452" t="s">
        <v>4026</v>
      </c>
      <c r="E607" s="1451"/>
      <c r="F607" s="1453"/>
      <c r="G607" s="1454"/>
      <c r="H607" s="1454">
        <v>0</v>
      </c>
      <c r="I607" s="1454">
        <v>0</v>
      </c>
      <c r="J607" s="1454">
        <v>0</v>
      </c>
      <c r="K607" s="1454">
        <v>0</v>
      </c>
      <c r="L607" s="1454">
        <v>0</v>
      </c>
      <c r="M607" s="1454">
        <v>0</v>
      </c>
      <c r="N607" s="1454">
        <v>0</v>
      </c>
      <c r="O607" s="1453"/>
    </row>
    <row r="608" spans="2:15" ht="14" customHeight="1">
      <c r="B608" s="1263"/>
      <c r="C608" s="1211"/>
      <c r="D608" s="1440"/>
      <c r="E608" s="1211"/>
      <c r="F608" s="1415"/>
      <c r="G608" s="1293"/>
      <c r="H608" s="1293"/>
      <c r="I608" s="1293"/>
      <c r="J608" s="1293"/>
      <c r="K608" s="1293"/>
      <c r="L608" s="1293"/>
      <c r="M608" s="1293"/>
      <c r="N608" s="1293"/>
      <c r="O608" s="1415"/>
    </row>
    <row r="609" spans="1:15" ht="14" customHeight="1">
      <c r="B609" s="1263"/>
      <c r="C609" s="1211"/>
      <c r="D609" s="1440"/>
      <c r="E609" s="1211"/>
      <c r="F609" s="1415"/>
      <c r="G609" s="1293"/>
      <c r="H609" s="1293"/>
      <c r="I609" s="1293"/>
      <c r="J609" s="1293"/>
      <c r="K609" s="1293"/>
      <c r="L609" s="1293"/>
      <c r="M609" s="1293"/>
      <c r="N609" s="1293"/>
      <c r="O609" s="1415"/>
    </row>
    <row r="610" spans="1:15" ht="14" customHeight="1">
      <c r="B610" s="1263"/>
      <c r="C610" s="1201" t="s">
        <v>4166</v>
      </c>
      <c r="D610" s="1201" t="s">
        <v>4249</v>
      </c>
      <c r="E610" s="1201" t="s">
        <v>48</v>
      </c>
      <c r="F610" s="1203"/>
      <c r="G610" s="1202"/>
      <c r="H610" s="1202">
        <v>2020</v>
      </c>
      <c r="I610" s="1202">
        <v>2022</v>
      </c>
      <c r="J610" s="1202">
        <v>2027</v>
      </c>
      <c r="K610" s="1202">
        <v>2032</v>
      </c>
      <c r="L610" s="1202">
        <v>2037</v>
      </c>
      <c r="M610" s="1202">
        <v>2042</v>
      </c>
      <c r="N610" s="1202">
        <v>2047</v>
      </c>
      <c r="O610" s="1202">
        <v>2030</v>
      </c>
    </row>
    <row r="611" spans="1:15" ht="14" customHeight="1">
      <c r="B611" s="1263"/>
      <c r="C611" s="1211" t="s">
        <v>4032</v>
      </c>
      <c r="D611" s="1440" t="s">
        <v>4033</v>
      </c>
      <c r="E611" s="1268"/>
      <c r="F611" s="1372"/>
      <c r="G611" s="1375"/>
      <c r="H611" s="1405">
        <v>9.2899999999999996E-2</v>
      </c>
      <c r="I611" s="1405">
        <v>9.3796296296296294E-2</v>
      </c>
      <c r="J611" s="1405">
        <v>9.6037037037037032E-2</v>
      </c>
      <c r="K611" s="1405">
        <v>9.8277777777777769E-2</v>
      </c>
      <c r="L611" s="1405">
        <v>0.10051851851851852</v>
      </c>
      <c r="M611" s="1405">
        <v>0.10275925925925926</v>
      </c>
      <c r="N611" s="1405">
        <v>0.105</v>
      </c>
      <c r="O611" s="1405">
        <v>9.7381481481481472E-2</v>
      </c>
    </row>
    <row r="612" spans="1:15" ht="14" customHeight="1">
      <c r="B612" s="1263"/>
      <c r="C612" s="1211" t="s">
        <v>3997</v>
      </c>
      <c r="D612" s="1440" t="s">
        <v>3998</v>
      </c>
      <c r="E612" s="1268"/>
      <c r="F612" s="1372"/>
      <c r="G612" s="1375"/>
      <c r="H612" s="1405">
        <v>0.33529353447055432</v>
      </c>
      <c r="I612" s="1405">
        <v>0.31425141828231296</v>
      </c>
      <c r="J612" s="1405">
        <v>0.30640113462585034</v>
      </c>
      <c r="K612" s="1405">
        <v>0.29855085096938772</v>
      </c>
      <c r="L612" s="1405">
        <v>0.28970056731292509</v>
      </c>
      <c r="M612" s="1405">
        <v>0.27485028365646258</v>
      </c>
      <c r="N612" s="1405">
        <v>0.26</v>
      </c>
      <c r="O612" s="1405">
        <v>0.30169096443197274</v>
      </c>
    </row>
    <row r="613" spans="1:15" ht="14" customHeight="1">
      <c r="B613" s="1263"/>
      <c r="C613" s="1211" t="s">
        <v>3999</v>
      </c>
      <c r="D613" s="1440" t="s">
        <v>4000</v>
      </c>
      <c r="E613" s="1268"/>
      <c r="F613" s="1372"/>
      <c r="G613" s="1375"/>
      <c r="H613" s="1405">
        <v>0.40050000000000002</v>
      </c>
      <c r="I613" s="1405">
        <v>0.39824074074074078</v>
      </c>
      <c r="J613" s="1405">
        <v>0.3925925925925926</v>
      </c>
      <c r="K613" s="1405">
        <v>0.38694444444444448</v>
      </c>
      <c r="L613" s="1405">
        <v>0.3812962962962963</v>
      </c>
      <c r="M613" s="1405">
        <v>0.37564814814814818</v>
      </c>
      <c r="N613" s="1405">
        <v>0.37</v>
      </c>
      <c r="O613" s="1405">
        <v>0.38920370370370372</v>
      </c>
    </row>
    <row r="614" spans="1:15" ht="14" customHeight="1">
      <c r="B614" s="1263"/>
      <c r="C614" s="1211" t="s">
        <v>4001</v>
      </c>
      <c r="D614" s="1440" t="s">
        <v>4002</v>
      </c>
      <c r="E614" s="1268"/>
      <c r="F614" s="1372"/>
      <c r="G614" s="1375"/>
      <c r="H614" s="1405">
        <v>5.8606465529445657E-2</v>
      </c>
      <c r="I614" s="1405">
        <v>8.1952285421390783E-2</v>
      </c>
      <c r="J614" s="1405">
        <v>9.5561828337112631E-2</v>
      </c>
      <c r="K614" s="1405">
        <v>0.10917137125283446</v>
      </c>
      <c r="L614" s="1405">
        <v>0.12278091416855631</v>
      </c>
      <c r="M614" s="1405">
        <v>0.13639045708427816</v>
      </c>
      <c r="N614" s="1405">
        <v>0.15</v>
      </c>
      <c r="O614" s="1405">
        <v>0.10372755408654573</v>
      </c>
    </row>
    <row r="615" spans="1:15" ht="14" customHeight="1">
      <c r="B615" s="1263"/>
      <c r="C615" s="1211" t="s">
        <v>4011</v>
      </c>
      <c r="D615" s="1211" t="s">
        <v>4012</v>
      </c>
      <c r="E615" s="1268"/>
      <c r="F615" s="1372"/>
      <c r="G615" s="1375"/>
      <c r="H615" s="1405">
        <v>0.11269999999999999</v>
      </c>
      <c r="I615" s="1405">
        <v>0.11175925925925925</v>
      </c>
      <c r="J615" s="1405">
        <v>0.10940740740740741</v>
      </c>
      <c r="K615" s="1405">
        <v>0.10705555555555556</v>
      </c>
      <c r="L615" s="1405">
        <v>0.1047037037037037</v>
      </c>
      <c r="M615" s="1405">
        <v>0.10235185185185186</v>
      </c>
      <c r="N615" s="1405">
        <v>0.1</v>
      </c>
      <c r="O615" s="1405">
        <v>0.1079962962962963</v>
      </c>
    </row>
    <row r="616" spans="1:15" ht="14" customHeight="1">
      <c r="B616" s="1263"/>
      <c r="C616" s="1406" t="s">
        <v>4025</v>
      </c>
      <c r="D616" s="1442" t="s">
        <v>4026</v>
      </c>
      <c r="E616" s="1406"/>
      <c r="F616" s="1407"/>
      <c r="G616" s="1408"/>
      <c r="H616" s="1413">
        <v>0</v>
      </c>
      <c r="I616" s="1413">
        <v>0</v>
      </c>
      <c r="J616" s="1413">
        <v>0</v>
      </c>
      <c r="K616" s="1413">
        <v>0</v>
      </c>
      <c r="L616" s="1413">
        <v>1E-3</v>
      </c>
      <c r="M616" s="1413">
        <v>8.0000000000000002E-3</v>
      </c>
      <c r="N616" s="1413">
        <v>1.4999999999999999E-2</v>
      </c>
      <c r="O616" s="1413">
        <v>0</v>
      </c>
    </row>
    <row r="617" spans="1:15" ht="14" customHeight="1">
      <c r="B617" s="1263"/>
      <c r="C617" s="1211"/>
      <c r="D617" s="1440"/>
      <c r="E617" s="1211"/>
      <c r="F617" s="1415"/>
      <c r="G617" s="1293"/>
      <c r="H617" s="1293"/>
      <c r="I617" s="1293"/>
      <c r="J617" s="1293"/>
      <c r="K617" s="1293"/>
      <c r="L617" s="1293"/>
      <c r="M617" s="1293"/>
      <c r="N617" s="1293"/>
      <c r="O617" s="1415"/>
    </row>
    <row r="618" spans="1:15" ht="12.75" customHeight="1">
      <c r="B618" s="1455"/>
      <c r="I618" s="1456"/>
      <c r="J618" s="1456"/>
      <c r="K618" s="1456"/>
      <c r="L618" s="1456"/>
      <c r="M618" s="1456"/>
      <c r="N618" s="1456"/>
    </row>
    <row r="619" spans="1:15" ht="19">
      <c r="A619" s="1457"/>
      <c r="B619" s="1458" t="s">
        <v>4261</v>
      </c>
      <c r="I619" s="1456"/>
      <c r="J619" s="1456"/>
      <c r="K619" s="1456"/>
      <c r="L619" s="1456"/>
      <c r="M619" s="1456"/>
      <c r="N619" s="1456"/>
    </row>
    <row r="620" spans="1:15">
      <c r="B620" s="1459"/>
      <c r="I620" s="1456"/>
      <c r="J620" s="1456"/>
      <c r="K620" s="1456"/>
      <c r="L620" s="1456"/>
      <c r="M620" s="1456"/>
      <c r="N620" s="1456"/>
    </row>
    <row r="621" spans="1:15">
      <c r="E621" s="1460"/>
    </row>
    <row r="622" spans="1:15">
      <c r="A622" s="1459">
        <v>1.1000000000000001</v>
      </c>
      <c r="B622" s="1461" t="s">
        <v>4262</v>
      </c>
      <c r="C622" s="1462"/>
      <c r="D622" s="1462"/>
      <c r="E622" s="1463" t="s">
        <v>840</v>
      </c>
      <c r="F622" s="1464"/>
      <c r="G622" s="1465">
        <v>2015</v>
      </c>
      <c r="H622" s="1465">
        <v>2020</v>
      </c>
      <c r="I622" s="1465">
        <v>2022</v>
      </c>
      <c r="J622" s="1465">
        <v>2027</v>
      </c>
      <c r="K622" s="1465">
        <v>2032</v>
      </c>
      <c r="L622" s="1465">
        <v>2037</v>
      </c>
      <c r="M622" s="1465">
        <v>2042</v>
      </c>
      <c r="N622" s="1465">
        <v>2047</v>
      </c>
      <c r="O622" s="1463">
        <v>2030</v>
      </c>
    </row>
    <row r="623" spans="1:15">
      <c r="B623" s="1459"/>
      <c r="C623" s="1466"/>
      <c r="E623" s="1460"/>
      <c r="F623" s="1467"/>
      <c r="G623" s="1224"/>
      <c r="H623" s="1224"/>
      <c r="I623" s="1224"/>
      <c r="J623" s="1224"/>
      <c r="K623" s="1224"/>
      <c r="L623" s="1224"/>
      <c r="M623" s="1224"/>
      <c r="N623" s="1224"/>
      <c r="O623" s="1467"/>
    </row>
    <row r="624" spans="1:15">
      <c r="B624" s="1468" t="s">
        <v>4263</v>
      </c>
      <c r="E624" s="1469" t="s">
        <v>3925</v>
      </c>
      <c r="F624" s="1470"/>
      <c r="G624" s="1471">
        <v>271</v>
      </c>
      <c r="H624" s="1471">
        <v>321.5100544</v>
      </c>
      <c r="I624" s="1471">
        <v>360.17466385152153</v>
      </c>
      <c r="J624" s="1471">
        <v>476.43226427352971</v>
      </c>
      <c r="K624" s="1471">
        <v>597.57015601766261</v>
      </c>
      <c r="L624" s="1471">
        <v>693.62883505445359</v>
      </c>
      <c r="M624" s="1471">
        <v>798.76663575511793</v>
      </c>
      <c r="N624" s="1471">
        <v>913.56706280303706</v>
      </c>
      <c r="O624" s="1471">
        <v>561.76052822633085</v>
      </c>
    </row>
    <row r="625" spans="1:117" s="1302" customFormat="1">
      <c r="A625" s="1241"/>
      <c r="B625" s="1468" t="s">
        <v>3849</v>
      </c>
      <c r="C625" s="1241"/>
      <c r="D625" s="1241"/>
      <c r="E625" s="1469" t="s">
        <v>420</v>
      </c>
      <c r="F625" s="1470"/>
      <c r="G625" s="1471">
        <v>16.395499999999998</v>
      </c>
      <c r="H625" s="1471">
        <v>19.612113318399999</v>
      </c>
      <c r="I625" s="1471">
        <v>20.6556160859583</v>
      </c>
      <c r="J625" s="1471">
        <v>26.339606908749875</v>
      </c>
      <c r="K625" s="1471">
        <v>31.844248363070459</v>
      </c>
      <c r="L625" s="1471">
        <v>35.624846648870943</v>
      </c>
      <c r="M625" s="1471">
        <v>39.534680073986472</v>
      </c>
      <c r="N625" s="1471">
        <v>43.569115761471103</v>
      </c>
      <c r="O625" s="1471">
        <v>30.379855071556683</v>
      </c>
      <c r="P625" s="1241"/>
      <c r="Q625" s="1241"/>
      <c r="R625" s="1241"/>
      <c r="S625" s="1241"/>
      <c r="T625" s="1241"/>
      <c r="U625" s="1241"/>
      <c r="V625" s="1241"/>
      <c r="W625" s="1241"/>
      <c r="X625" s="1241"/>
      <c r="Y625" s="1241"/>
      <c r="Z625" s="1241"/>
      <c r="AA625" s="1241"/>
      <c r="AB625" s="1241"/>
      <c r="AC625" s="1241"/>
      <c r="AD625" s="1241"/>
      <c r="AE625" s="1241"/>
      <c r="AF625" s="1241"/>
      <c r="AG625" s="1241"/>
      <c r="AH625" s="1241"/>
      <c r="AI625" s="1241"/>
      <c r="AJ625" s="1241"/>
      <c r="AK625" s="1241"/>
      <c r="AL625" s="1241"/>
      <c r="AM625" s="1241"/>
      <c r="AN625" s="1241"/>
      <c r="AO625" s="1241"/>
      <c r="AP625" s="1241"/>
      <c r="AQ625" s="1241"/>
      <c r="AR625" s="1241"/>
      <c r="AS625" s="1241"/>
      <c r="AT625" s="1241"/>
      <c r="AU625" s="1241"/>
      <c r="AV625" s="1241"/>
      <c r="AW625" s="1241"/>
      <c r="AX625" s="1241"/>
      <c r="AY625" s="1241"/>
      <c r="AZ625" s="1241"/>
      <c r="BA625" s="1241"/>
      <c r="BB625" s="1241"/>
      <c r="BC625" s="1241"/>
      <c r="BD625" s="1241"/>
      <c r="BE625" s="1241"/>
      <c r="BF625" s="1241"/>
      <c r="BG625" s="1241"/>
      <c r="BH625" s="1241"/>
      <c r="BI625" s="1241"/>
      <c r="BJ625" s="1241"/>
      <c r="BK625" s="1241"/>
      <c r="BL625" s="1241"/>
      <c r="BM625" s="1241"/>
      <c r="BN625" s="1241"/>
      <c r="BO625" s="1241"/>
      <c r="BP625" s="1241"/>
      <c r="BQ625" s="1241"/>
      <c r="BR625" s="1241"/>
      <c r="BS625" s="1241"/>
      <c r="BT625" s="1241"/>
      <c r="BU625" s="1241"/>
      <c r="BV625" s="1241"/>
      <c r="BW625" s="1241"/>
      <c r="BX625" s="1241"/>
      <c r="BY625" s="1241"/>
      <c r="BZ625" s="1241"/>
      <c r="CA625" s="1241"/>
      <c r="CB625" s="1241"/>
      <c r="CC625" s="1241"/>
      <c r="CD625" s="1241"/>
      <c r="CE625" s="1241"/>
      <c r="CF625" s="1241"/>
      <c r="CG625" s="1241"/>
      <c r="CH625" s="1241"/>
      <c r="CI625" s="1241"/>
      <c r="CJ625" s="1241"/>
      <c r="CK625" s="1241"/>
      <c r="CL625" s="1241"/>
      <c r="CM625" s="1241"/>
      <c r="CN625" s="1241"/>
      <c r="CO625" s="1241"/>
      <c r="CP625" s="1241"/>
      <c r="CQ625" s="1241"/>
      <c r="CR625" s="1241"/>
      <c r="CS625" s="1241"/>
      <c r="CT625" s="1241"/>
      <c r="CU625" s="1241"/>
      <c r="CV625" s="1241"/>
      <c r="CW625" s="1241"/>
      <c r="CX625" s="1241"/>
      <c r="CY625" s="1241"/>
      <c r="CZ625" s="1241"/>
      <c r="DA625" s="1241"/>
      <c r="DB625" s="1241"/>
      <c r="DC625" s="1241"/>
      <c r="DD625" s="1241"/>
      <c r="DE625" s="1241"/>
      <c r="DF625" s="1241"/>
      <c r="DG625" s="1241"/>
      <c r="DH625" s="1241"/>
      <c r="DI625" s="1241"/>
      <c r="DJ625" s="1241"/>
      <c r="DK625" s="1241"/>
      <c r="DL625" s="1241"/>
      <c r="DM625" s="1241"/>
    </row>
    <row r="626" spans="1:117" s="1302" customFormat="1">
      <c r="A626" s="1243"/>
      <c r="B626" s="1243"/>
      <c r="C626" s="1214"/>
      <c r="D626" s="1243"/>
      <c r="E626" s="1215"/>
      <c r="F626" s="1472"/>
      <c r="G626" s="1473"/>
      <c r="H626" s="1473"/>
      <c r="I626" s="1473"/>
      <c r="J626" s="1473"/>
      <c r="K626" s="1473"/>
      <c r="L626" s="1473"/>
      <c r="M626" s="1473"/>
      <c r="N626" s="1473"/>
      <c r="O626" s="1474"/>
      <c r="P626" s="1241"/>
      <c r="Q626" s="1241"/>
      <c r="R626" s="1241"/>
      <c r="S626" s="1241"/>
      <c r="T626" s="1241"/>
      <c r="U626" s="1241"/>
      <c r="V626" s="1241"/>
      <c r="W626" s="1241"/>
      <c r="X626" s="1241"/>
      <c r="Y626" s="1241"/>
      <c r="Z626" s="1241"/>
      <c r="AA626" s="1241"/>
      <c r="AB626" s="1241"/>
      <c r="AC626" s="1241"/>
      <c r="AD626" s="1241"/>
      <c r="AE626" s="1241"/>
      <c r="AF626" s="1241"/>
      <c r="AG626" s="1241"/>
      <c r="AH626" s="1241"/>
      <c r="AI626" s="1241"/>
      <c r="AJ626" s="1241"/>
      <c r="AK626" s="1241"/>
      <c r="AL626" s="1241"/>
      <c r="AM626" s="1241"/>
      <c r="AN626" s="1241"/>
      <c r="AO626" s="1241"/>
      <c r="AP626" s="1241"/>
      <c r="AQ626" s="1241"/>
      <c r="AR626" s="1241"/>
      <c r="AS626" s="1241"/>
      <c r="AT626" s="1241"/>
      <c r="AU626" s="1241"/>
      <c r="AV626" s="1241"/>
      <c r="AW626" s="1241"/>
      <c r="AX626" s="1241"/>
      <c r="AY626" s="1241"/>
      <c r="AZ626" s="1241"/>
      <c r="BA626" s="1241"/>
      <c r="BB626" s="1241"/>
      <c r="BC626" s="1241"/>
      <c r="BD626" s="1241"/>
      <c r="BE626" s="1241"/>
      <c r="BF626" s="1241"/>
      <c r="BG626" s="1241"/>
      <c r="BH626" s="1241"/>
      <c r="BI626" s="1241"/>
      <c r="BJ626" s="1241"/>
      <c r="BK626" s="1241"/>
      <c r="BL626" s="1241"/>
      <c r="BM626" s="1241"/>
      <c r="BN626" s="1241"/>
      <c r="BO626" s="1241"/>
      <c r="BP626" s="1241"/>
      <c r="BQ626" s="1241"/>
      <c r="BR626" s="1241"/>
      <c r="BS626" s="1241"/>
      <c r="BT626" s="1241"/>
      <c r="BU626" s="1241"/>
      <c r="BV626" s="1241"/>
      <c r="BW626" s="1241"/>
      <c r="BX626" s="1241"/>
      <c r="BY626" s="1241"/>
      <c r="BZ626" s="1241"/>
      <c r="CA626" s="1241"/>
      <c r="CB626" s="1241"/>
      <c r="CC626" s="1241"/>
      <c r="CD626" s="1241"/>
      <c r="CE626" s="1241"/>
      <c r="CF626" s="1241"/>
      <c r="CG626" s="1241"/>
      <c r="CH626" s="1241"/>
      <c r="CI626" s="1241"/>
      <c r="CJ626" s="1241"/>
      <c r="CK626" s="1241"/>
      <c r="CL626" s="1241"/>
      <c r="CM626" s="1241"/>
      <c r="CN626" s="1241"/>
      <c r="CO626" s="1241"/>
      <c r="CP626" s="1241"/>
      <c r="CQ626" s="1241"/>
      <c r="CR626" s="1241"/>
      <c r="CS626" s="1241"/>
      <c r="CT626" s="1241"/>
      <c r="CU626" s="1241"/>
      <c r="CV626" s="1241"/>
      <c r="CW626" s="1241"/>
      <c r="CX626" s="1241"/>
      <c r="CY626" s="1241"/>
      <c r="CZ626" s="1241"/>
      <c r="DA626" s="1241"/>
      <c r="DB626" s="1241"/>
      <c r="DC626" s="1241"/>
      <c r="DD626" s="1241"/>
      <c r="DE626" s="1241"/>
      <c r="DF626" s="1241"/>
      <c r="DG626" s="1241"/>
      <c r="DH626" s="1241"/>
      <c r="DI626" s="1241"/>
      <c r="DJ626" s="1241"/>
      <c r="DK626" s="1241"/>
      <c r="DL626" s="1241"/>
      <c r="DM626" s="1241"/>
    </row>
    <row r="627" spans="1:117" s="1302" customFormat="1">
      <c r="A627" s="1459"/>
      <c r="B627" s="1461" t="s">
        <v>4262</v>
      </c>
      <c r="C627" s="1462"/>
      <c r="D627" s="1462"/>
      <c r="E627" s="1463" t="s">
        <v>840</v>
      </c>
      <c r="F627" s="1464"/>
      <c r="G627" s="1465">
        <v>2015</v>
      </c>
      <c r="H627" s="1465">
        <v>2020</v>
      </c>
      <c r="I627" s="1465">
        <v>2022</v>
      </c>
      <c r="J627" s="1465">
        <v>2027</v>
      </c>
      <c r="K627" s="1465">
        <v>2032</v>
      </c>
      <c r="L627" s="1465">
        <v>2037</v>
      </c>
      <c r="M627" s="1465">
        <v>2042</v>
      </c>
      <c r="N627" s="1465">
        <v>2047</v>
      </c>
      <c r="O627" s="1465">
        <v>2030</v>
      </c>
      <c r="P627" s="1241"/>
      <c r="Q627" s="1241"/>
      <c r="R627" s="1241"/>
      <c r="S627" s="1241"/>
      <c r="T627" s="1241"/>
      <c r="U627" s="1241"/>
      <c r="V627" s="1241"/>
      <c r="W627" s="1241"/>
      <c r="X627" s="1241"/>
      <c r="Y627" s="1241"/>
      <c r="Z627" s="1241"/>
      <c r="AA627" s="1241"/>
      <c r="AB627" s="1241"/>
      <c r="AC627" s="1241"/>
      <c r="AD627" s="1241"/>
      <c r="AE627" s="1241"/>
      <c r="AF627" s="1241"/>
      <c r="AG627" s="1241"/>
      <c r="AH627" s="1241"/>
      <c r="AI627" s="1241"/>
      <c r="AJ627" s="1241"/>
      <c r="AK627" s="1241"/>
      <c r="AL627" s="1241"/>
      <c r="AM627" s="1241"/>
      <c r="AN627" s="1241"/>
      <c r="AO627" s="1241"/>
      <c r="AP627" s="1241"/>
      <c r="AQ627" s="1241"/>
      <c r="AR627" s="1241"/>
      <c r="AS627" s="1241"/>
      <c r="AT627" s="1241"/>
      <c r="AU627" s="1241"/>
      <c r="AV627" s="1241"/>
      <c r="AW627" s="1241"/>
      <c r="AX627" s="1241"/>
      <c r="AY627" s="1241"/>
      <c r="AZ627" s="1241"/>
      <c r="BA627" s="1241"/>
      <c r="BB627" s="1241"/>
      <c r="BC627" s="1241"/>
      <c r="BD627" s="1241"/>
      <c r="BE627" s="1241"/>
      <c r="BF627" s="1241"/>
      <c r="BG627" s="1241"/>
      <c r="BH627" s="1241"/>
      <c r="BI627" s="1241"/>
      <c r="BJ627" s="1241"/>
      <c r="BK627" s="1241"/>
      <c r="BL627" s="1241"/>
      <c r="BM627" s="1241"/>
      <c r="BN627" s="1241"/>
      <c r="BO627" s="1241"/>
      <c r="BP627" s="1241"/>
      <c r="BQ627" s="1241"/>
      <c r="BR627" s="1241"/>
      <c r="BS627" s="1241"/>
      <c r="BT627" s="1241"/>
      <c r="BU627" s="1241"/>
      <c r="BV627" s="1241"/>
      <c r="BW627" s="1241"/>
      <c r="BX627" s="1241"/>
      <c r="BY627" s="1241"/>
      <c r="BZ627" s="1241"/>
      <c r="CA627" s="1241"/>
      <c r="CB627" s="1241"/>
      <c r="CC627" s="1241"/>
      <c r="CD627" s="1241"/>
      <c r="CE627" s="1241"/>
      <c r="CF627" s="1241"/>
      <c r="CG627" s="1241"/>
      <c r="CH627" s="1241"/>
      <c r="CI627" s="1241"/>
      <c r="CJ627" s="1241"/>
      <c r="CK627" s="1241"/>
      <c r="CL627" s="1241"/>
      <c r="CM627" s="1241"/>
      <c r="CN627" s="1241"/>
      <c r="CO627" s="1241"/>
      <c r="CP627" s="1241"/>
      <c r="CQ627" s="1241"/>
      <c r="CR627" s="1241"/>
      <c r="CS627" s="1241"/>
      <c r="CT627" s="1241"/>
      <c r="CU627" s="1241"/>
      <c r="CV627" s="1241"/>
      <c r="CW627" s="1241"/>
      <c r="CX627" s="1241"/>
      <c r="CY627" s="1241"/>
      <c r="CZ627" s="1241"/>
      <c r="DA627" s="1241"/>
      <c r="DB627" s="1241"/>
      <c r="DC627" s="1241"/>
      <c r="DD627" s="1241"/>
      <c r="DE627" s="1241"/>
      <c r="DF627" s="1241"/>
      <c r="DG627" s="1241"/>
      <c r="DH627" s="1241"/>
      <c r="DI627" s="1241"/>
      <c r="DJ627" s="1241"/>
      <c r="DK627" s="1241"/>
      <c r="DL627" s="1241"/>
      <c r="DM627" s="1241"/>
    </row>
    <row r="628" spans="1:117" s="1302" customFormat="1">
      <c r="A628" s="1243"/>
      <c r="B628" s="1475" t="s">
        <v>4264</v>
      </c>
      <c r="C628" s="1476"/>
      <c r="D628" s="1475"/>
      <c r="E628" s="1477"/>
      <c r="F628" s="1478"/>
      <c r="G628" s="1479"/>
      <c r="H628" s="1479"/>
      <c r="I628" s="1479"/>
      <c r="J628" s="1479"/>
      <c r="K628" s="1479"/>
      <c r="L628" s="1479"/>
      <c r="M628" s="1479"/>
      <c r="N628" s="1479"/>
      <c r="O628" s="1479"/>
      <c r="P628" s="1241"/>
      <c r="Q628" s="1241"/>
      <c r="R628" s="1241"/>
      <c r="S628" s="1241"/>
      <c r="T628" s="1241"/>
      <c r="U628" s="1241"/>
      <c r="V628" s="1241"/>
      <c r="W628" s="1241"/>
      <c r="X628" s="1241"/>
      <c r="Y628" s="1241"/>
      <c r="Z628" s="1241"/>
      <c r="AA628" s="1241"/>
      <c r="AB628" s="1241"/>
      <c r="AC628" s="1241"/>
      <c r="AD628" s="1241"/>
      <c r="AE628" s="1241"/>
      <c r="AF628" s="1241"/>
      <c r="AG628" s="1241"/>
      <c r="AH628" s="1241"/>
      <c r="AI628" s="1241"/>
      <c r="AJ628" s="1241"/>
      <c r="AK628" s="1241"/>
      <c r="AL628" s="1241"/>
      <c r="AM628" s="1241"/>
      <c r="AN628" s="1241"/>
      <c r="AO628" s="1241"/>
      <c r="AP628" s="1241"/>
      <c r="AQ628" s="1241"/>
      <c r="AR628" s="1241"/>
      <c r="AS628" s="1241"/>
      <c r="AT628" s="1241"/>
      <c r="AU628" s="1241"/>
      <c r="AV628" s="1241"/>
      <c r="AW628" s="1241"/>
      <c r="AX628" s="1241"/>
      <c r="AY628" s="1241"/>
      <c r="AZ628" s="1241"/>
      <c r="BA628" s="1241"/>
      <c r="BB628" s="1241"/>
      <c r="BC628" s="1241"/>
      <c r="BD628" s="1241"/>
      <c r="BE628" s="1241"/>
      <c r="BF628" s="1241"/>
      <c r="BG628" s="1241"/>
      <c r="BH628" s="1241"/>
      <c r="BI628" s="1241"/>
      <c r="BJ628" s="1241"/>
      <c r="BK628" s="1241"/>
      <c r="BL628" s="1241"/>
      <c r="BM628" s="1241"/>
      <c r="BN628" s="1241"/>
      <c r="BO628" s="1241"/>
      <c r="BP628" s="1241"/>
      <c r="BQ628" s="1241"/>
      <c r="BR628" s="1241"/>
      <c r="BS628" s="1241"/>
      <c r="BT628" s="1241"/>
      <c r="BU628" s="1241"/>
      <c r="BV628" s="1241"/>
      <c r="BW628" s="1241"/>
      <c r="BX628" s="1241"/>
      <c r="BY628" s="1241"/>
      <c r="BZ628" s="1241"/>
      <c r="CA628" s="1241"/>
      <c r="CB628" s="1241"/>
      <c r="CC628" s="1241"/>
      <c r="CD628" s="1241"/>
      <c r="CE628" s="1241"/>
      <c r="CF628" s="1241"/>
      <c r="CG628" s="1241"/>
      <c r="CH628" s="1241"/>
      <c r="CI628" s="1241"/>
      <c r="CJ628" s="1241"/>
      <c r="CK628" s="1241"/>
      <c r="CL628" s="1241"/>
      <c r="CM628" s="1241"/>
      <c r="CN628" s="1241"/>
      <c r="CO628" s="1241"/>
      <c r="CP628" s="1241"/>
      <c r="CQ628" s="1241"/>
      <c r="CR628" s="1241"/>
      <c r="CS628" s="1241"/>
      <c r="CT628" s="1241"/>
      <c r="CU628" s="1241"/>
      <c r="CV628" s="1241"/>
      <c r="CW628" s="1241"/>
      <c r="CX628" s="1241"/>
      <c r="CY628" s="1241"/>
      <c r="CZ628" s="1241"/>
      <c r="DA628" s="1241"/>
      <c r="DB628" s="1241"/>
      <c r="DC628" s="1241"/>
      <c r="DD628" s="1241"/>
      <c r="DE628" s="1241"/>
      <c r="DF628" s="1241"/>
      <c r="DG628" s="1241"/>
      <c r="DH628" s="1241"/>
      <c r="DI628" s="1241"/>
      <c r="DJ628" s="1241"/>
      <c r="DK628" s="1241"/>
      <c r="DL628" s="1241"/>
      <c r="DM628" s="1241"/>
    </row>
    <row r="629" spans="1:117" s="1302" customFormat="1">
      <c r="A629" s="1243"/>
      <c r="B629" s="1480" t="s">
        <v>4265</v>
      </c>
      <c r="C629" s="1480"/>
      <c r="D629" s="1481"/>
      <c r="E629" s="1482" t="s">
        <v>4688</v>
      </c>
      <c r="F629" s="1483"/>
      <c r="G629" s="1484">
        <v>6.0499999999999991E-2</v>
      </c>
      <c r="H629" s="1484">
        <v>6.0999999999999999E-2</v>
      </c>
      <c r="I629" s="1484">
        <v>5.7348886967999987E-2</v>
      </c>
      <c r="J629" s="1484">
        <v>5.5285103222202765E-2</v>
      </c>
      <c r="K629" s="1484">
        <v>5.3289556117205469E-2</v>
      </c>
      <c r="L629" s="1484">
        <v>5.1360100457868367E-2</v>
      </c>
      <c r="M629" s="1484">
        <v>4.9494656266673147E-2</v>
      </c>
      <c r="N629" s="1484">
        <v>4.7691206847793835E-2</v>
      </c>
      <c r="O629" s="1484">
        <v>5.4079725336837428E-2</v>
      </c>
      <c r="P629" s="1241"/>
      <c r="Q629" s="1241"/>
      <c r="R629" s="1241"/>
      <c r="S629" s="1241"/>
      <c r="T629" s="1241"/>
      <c r="U629" s="1241"/>
      <c r="V629" s="1241"/>
      <c r="W629" s="1241"/>
      <c r="X629" s="1241"/>
      <c r="Y629" s="1241"/>
      <c r="Z629" s="1241"/>
      <c r="AA629" s="1241"/>
      <c r="AB629" s="1241"/>
      <c r="AC629" s="1241"/>
      <c r="AD629" s="1241"/>
      <c r="AE629" s="1241"/>
      <c r="AF629" s="1241"/>
      <c r="AG629" s="1241"/>
      <c r="AH629" s="1241"/>
      <c r="AI629" s="1241"/>
      <c r="AJ629" s="1241"/>
      <c r="AK629" s="1241"/>
      <c r="AL629" s="1241"/>
      <c r="AM629" s="1241"/>
      <c r="AN629" s="1241"/>
      <c r="AO629" s="1241"/>
      <c r="AP629" s="1241"/>
      <c r="AQ629" s="1241"/>
      <c r="AR629" s="1241"/>
      <c r="AS629" s="1241"/>
      <c r="AT629" s="1241"/>
      <c r="AU629" s="1241"/>
      <c r="AV629" s="1241"/>
      <c r="AW629" s="1241"/>
      <c r="AX629" s="1241"/>
      <c r="AY629" s="1241"/>
      <c r="AZ629" s="1241"/>
      <c r="BA629" s="1241"/>
      <c r="BB629" s="1241"/>
      <c r="BC629" s="1241"/>
      <c r="BD629" s="1241"/>
      <c r="BE629" s="1241"/>
      <c r="BF629" s="1241"/>
      <c r="BG629" s="1241"/>
      <c r="BH629" s="1241"/>
      <c r="BI629" s="1241"/>
      <c r="BJ629" s="1241"/>
      <c r="BK629" s="1241"/>
      <c r="BL629" s="1241"/>
      <c r="BM629" s="1241"/>
      <c r="BN629" s="1241"/>
      <c r="BO629" s="1241"/>
      <c r="BP629" s="1241"/>
      <c r="BQ629" s="1241"/>
      <c r="BR629" s="1241"/>
      <c r="BS629" s="1241"/>
      <c r="BT629" s="1241"/>
      <c r="BU629" s="1241"/>
      <c r="BV629" s="1241"/>
      <c r="BW629" s="1241"/>
      <c r="BX629" s="1241"/>
      <c r="BY629" s="1241"/>
      <c r="BZ629" s="1241"/>
      <c r="CA629" s="1241"/>
      <c r="CB629" s="1241"/>
      <c r="CC629" s="1241"/>
      <c r="CD629" s="1241"/>
      <c r="CE629" s="1241"/>
      <c r="CF629" s="1241"/>
      <c r="CG629" s="1241"/>
      <c r="CH629" s="1241"/>
      <c r="CI629" s="1241"/>
      <c r="CJ629" s="1241"/>
      <c r="CK629" s="1241"/>
      <c r="CL629" s="1241"/>
      <c r="CM629" s="1241"/>
      <c r="CN629" s="1241"/>
      <c r="CO629" s="1241"/>
      <c r="CP629" s="1241"/>
      <c r="CQ629" s="1241"/>
      <c r="CR629" s="1241"/>
      <c r="CS629" s="1241"/>
      <c r="CT629" s="1241"/>
      <c r="CU629" s="1241"/>
      <c r="CV629" s="1241"/>
      <c r="CW629" s="1241"/>
      <c r="CX629" s="1241"/>
      <c r="CY629" s="1241"/>
      <c r="CZ629" s="1241"/>
      <c r="DA629" s="1241"/>
      <c r="DB629" s="1241"/>
      <c r="DC629" s="1241"/>
      <c r="DD629" s="1241"/>
      <c r="DE629" s="1241"/>
      <c r="DF629" s="1241"/>
      <c r="DG629" s="1241"/>
      <c r="DH629" s="1241"/>
      <c r="DI629" s="1241"/>
      <c r="DJ629" s="1241"/>
      <c r="DK629" s="1241"/>
      <c r="DL629" s="1241"/>
      <c r="DM629" s="1241"/>
    </row>
    <row r="630" spans="1:117" s="1302" customFormat="1">
      <c r="A630" s="1243"/>
      <c r="B630" s="1480"/>
      <c r="C630" s="1480"/>
      <c r="D630" s="1481"/>
      <c r="E630" s="1482"/>
      <c r="F630" s="1485"/>
      <c r="G630" s="1483"/>
      <c r="H630" s="1483"/>
      <c r="I630" s="1483"/>
      <c r="J630" s="1483"/>
      <c r="K630" s="1483"/>
      <c r="L630" s="1483"/>
      <c r="M630" s="1483"/>
      <c r="N630" s="1483"/>
      <c r="O630" s="1483"/>
      <c r="P630" s="1241"/>
      <c r="Q630" s="1241"/>
      <c r="R630" s="1241"/>
      <c r="S630" s="1241"/>
      <c r="T630" s="1241"/>
      <c r="U630" s="1241"/>
      <c r="V630" s="1241"/>
      <c r="W630" s="1241"/>
      <c r="X630" s="1241"/>
      <c r="Y630" s="1241"/>
      <c r="Z630" s="1241"/>
      <c r="AA630" s="1241"/>
      <c r="AB630" s="1241"/>
      <c r="AC630" s="1241"/>
      <c r="AD630" s="1241"/>
      <c r="AE630" s="1241"/>
      <c r="AF630" s="1241"/>
      <c r="AG630" s="1241"/>
      <c r="AH630" s="1241"/>
      <c r="AI630" s="1241"/>
      <c r="AJ630" s="1241"/>
      <c r="AK630" s="1241"/>
      <c r="AL630" s="1241"/>
      <c r="AM630" s="1241"/>
      <c r="AN630" s="1241"/>
      <c r="AO630" s="1241"/>
      <c r="AP630" s="1241"/>
      <c r="AQ630" s="1241"/>
      <c r="AR630" s="1241"/>
      <c r="AS630" s="1241"/>
      <c r="AT630" s="1241"/>
      <c r="AU630" s="1241"/>
      <c r="AV630" s="1241"/>
      <c r="AW630" s="1241"/>
      <c r="AX630" s="1241"/>
      <c r="AY630" s="1241"/>
      <c r="AZ630" s="1241"/>
      <c r="BA630" s="1241"/>
      <c r="BB630" s="1241"/>
      <c r="BC630" s="1241"/>
      <c r="BD630" s="1241"/>
      <c r="BE630" s="1241"/>
      <c r="BF630" s="1241"/>
      <c r="BG630" s="1241"/>
      <c r="BH630" s="1241"/>
      <c r="BI630" s="1241"/>
      <c r="BJ630" s="1241"/>
      <c r="BK630" s="1241"/>
      <c r="BL630" s="1241"/>
      <c r="BM630" s="1241"/>
      <c r="BN630" s="1241"/>
      <c r="BO630" s="1241"/>
      <c r="BP630" s="1241"/>
      <c r="BQ630" s="1241"/>
      <c r="BR630" s="1241"/>
      <c r="BS630" s="1241"/>
      <c r="BT630" s="1241"/>
      <c r="BU630" s="1241"/>
      <c r="BV630" s="1241"/>
      <c r="BW630" s="1241"/>
      <c r="BX630" s="1241"/>
      <c r="BY630" s="1241"/>
      <c r="BZ630" s="1241"/>
      <c r="CA630" s="1241"/>
      <c r="CB630" s="1241"/>
      <c r="CC630" s="1241"/>
      <c r="CD630" s="1241"/>
      <c r="CE630" s="1241"/>
      <c r="CF630" s="1241"/>
      <c r="CG630" s="1241"/>
      <c r="CH630" s="1241"/>
      <c r="CI630" s="1241"/>
      <c r="CJ630" s="1241"/>
      <c r="CK630" s="1241"/>
      <c r="CL630" s="1241"/>
      <c r="CM630" s="1241"/>
      <c r="CN630" s="1241"/>
      <c r="CO630" s="1241"/>
      <c r="CP630" s="1241"/>
      <c r="CQ630" s="1241"/>
      <c r="CR630" s="1241"/>
      <c r="CS630" s="1241"/>
      <c r="CT630" s="1241"/>
      <c r="CU630" s="1241"/>
      <c r="CV630" s="1241"/>
      <c r="CW630" s="1241"/>
      <c r="CX630" s="1241"/>
      <c r="CY630" s="1241"/>
      <c r="CZ630" s="1241"/>
      <c r="DA630" s="1241"/>
      <c r="DB630" s="1241"/>
      <c r="DC630" s="1241"/>
      <c r="DD630" s="1241"/>
      <c r="DE630" s="1241"/>
      <c r="DF630" s="1241"/>
      <c r="DG630" s="1241"/>
      <c r="DH630" s="1241"/>
      <c r="DI630" s="1241"/>
      <c r="DJ630" s="1241"/>
      <c r="DK630" s="1241"/>
      <c r="DL630" s="1241"/>
      <c r="DM630" s="1241"/>
    </row>
    <row r="631" spans="1:117" s="1302" customFormat="1">
      <c r="A631" s="1243"/>
      <c r="B631" s="1480" t="s">
        <v>4266</v>
      </c>
      <c r="C631" s="1480"/>
      <c r="D631" s="1481"/>
      <c r="E631" s="1482" t="s">
        <v>420</v>
      </c>
      <c r="F631" s="1486"/>
      <c r="G631" s="1487" t="s">
        <v>3878</v>
      </c>
      <c r="H631" s="1487">
        <v>16.530999999999999</v>
      </c>
      <c r="I631" s="1487">
        <v>18.438243768861128</v>
      </c>
      <c r="J631" s="1487">
        <v>19.912293469053552</v>
      </c>
      <c r="K631" s="1487">
        <v>25.388863883051528</v>
      </c>
      <c r="L631" s="1487">
        <v>30.691263243691225</v>
      </c>
      <c r="M631" s="1487">
        <v>34.330920767673106</v>
      </c>
      <c r="N631" s="1487">
        <v>38.094144848913722</v>
      </c>
      <c r="O631" s="1487">
        <v>25.76532599352003</v>
      </c>
      <c r="P631" s="1241"/>
      <c r="Q631" s="1241"/>
      <c r="R631" s="1241"/>
      <c r="S631" s="1241"/>
      <c r="T631" s="1241"/>
      <c r="U631" s="1241"/>
      <c r="V631" s="1241"/>
      <c r="W631" s="1241"/>
      <c r="X631" s="1241"/>
      <c r="Y631" s="1241"/>
      <c r="Z631" s="1241"/>
      <c r="AA631" s="1241"/>
      <c r="AB631" s="1241"/>
      <c r="AC631" s="1241"/>
      <c r="AD631" s="1241"/>
      <c r="AE631" s="1241"/>
      <c r="AF631" s="1241"/>
      <c r="AG631" s="1241"/>
      <c r="AH631" s="1241"/>
      <c r="AI631" s="1241"/>
      <c r="AJ631" s="1241"/>
      <c r="AK631" s="1241"/>
      <c r="AL631" s="1241"/>
      <c r="AM631" s="1241"/>
      <c r="AN631" s="1241"/>
      <c r="AO631" s="1241"/>
      <c r="AP631" s="1241"/>
      <c r="AQ631" s="1241"/>
      <c r="AR631" s="1241"/>
      <c r="AS631" s="1241"/>
      <c r="AT631" s="1241"/>
      <c r="AU631" s="1241"/>
      <c r="AV631" s="1241"/>
      <c r="AW631" s="1241"/>
      <c r="AX631" s="1241"/>
      <c r="AY631" s="1241"/>
      <c r="AZ631" s="1241"/>
      <c r="BA631" s="1241"/>
      <c r="BB631" s="1241"/>
      <c r="BC631" s="1241"/>
      <c r="BD631" s="1241"/>
      <c r="BE631" s="1241"/>
      <c r="BF631" s="1241"/>
      <c r="BG631" s="1241"/>
      <c r="BH631" s="1241"/>
      <c r="BI631" s="1241"/>
      <c r="BJ631" s="1241"/>
      <c r="BK631" s="1241"/>
      <c r="BL631" s="1241"/>
      <c r="BM631" s="1241"/>
      <c r="BN631" s="1241"/>
      <c r="BO631" s="1241"/>
      <c r="BP631" s="1241"/>
      <c r="BQ631" s="1241"/>
      <c r="BR631" s="1241"/>
      <c r="BS631" s="1241"/>
      <c r="BT631" s="1241"/>
      <c r="BU631" s="1241"/>
      <c r="BV631" s="1241"/>
      <c r="BW631" s="1241"/>
      <c r="BX631" s="1241"/>
      <c r="BY631" s="1241"/>
      <c r="BZ631" s="1241"/>
      <c r="CA631" s="1241"/>
      <c r="CB631" s="1241"/>
      <c r="CC631" s="1241"/>
      <c r="CD631" s="1241"/>
      <c r="CE631" s="1241"/>
      <c r="CF631" s="1241"/>
      <c r="CG631" s="1241"/>
      <c r="CH631" s="1241"/>
      <c r="CI631" s="1241"/>
      <c r="CJ631" s="1241"/>
      <c r="CK631" s="1241"/>
      <c r="CL631" s="1241"/>
      <c r="CM631" s="1241"/>
      <c r="CN631" s="1241"/>
      <c r="CO631" s="1241"/>
      <c r="CP631" s="1241"/>
      <c r="CQ631" s="1241"/>
      <c r="CR631" s="1241"/>
      <c r="CS631" s="1241"/>
      <c r="CT631" s="1241"/>
      <c r="CU631" s="1241"/>
      <c r="CV631" s="1241"/>
      <c r="CW631" s="1241"/>
      <c r="CX631" s="1241"/>
      <c r="CY631" s="1241"/>
      <c r="CZ631" s="1241"/>
      <c r="DA631" s="1241"/>
      <c r="DB631" s="1241"/>
      <c r="DC631" s="1241"/>
      <c r="DD631" s="1241"/>
      <c r="DE631" s="1241"/>
      <c r="DF631" s="1241"/>
      <c r="DG631" s="1241"/>
      <c r="DH631" s="1241"/>
      <c r="DI631" s="1241"/>
      <c r="DJ631" s="1241"/>
      <c r="DK631" s="1241"/>
      <c r="DL631" s="1241"/>
      <c r="DM631" s="1241"/>
    </row>
    <row r="632" spans="1:117" s="1302" customFormat="1" ht="14" customHeight="1">
      <c r="A632" s="1243"/>
      <c r="B632" s="1480" t="s">
        <v>4267</v>
      </c>
      <c r="C632" s="1480"/>
      <c r="D632" s="1481"/>
      <c r="E632" s="1482" t="s">
        <v>420</v>
      </c>
      <c r="F632" s="1488"/>
      <c r="G632" s="1489" t="s">
        <v>3878</v>
      </c>
      <c r="H632" s="1484">
        <v>-0.1355000000000004</v>
      </c>
      <c r="I632" s="1484">
        <v>1.1738695495388711</v>
      </c>
      <c r="J632" s="1484">
        <v>0.74332261690474866</v>
      </c>
      <c r="K632" s="1484">
        <v>0.95074302569834757</v>
      </c>
      <c r="L632" s="1484">
        <v>1.1529851193792346</v>
      </c>
      <c r="M632" s="1484">
        <v>1.2939258811978362</v>
      </c>
      <c r="N632" s="1484">
        <v>1.4405352250727503</v>
      </c>
      <c r="O632" s="1484">
        <v>0.57428091522984559</v>
      </c>
      <c r="P632" s="1241"/>
      <c r="Q632" s="1241"/>
      <c r="R632" s="1241"/>
      <c r="S632" s="1241"/>
      <c r="T632" s="1241"/>
      <c r="U632" s="1241"/>
      <c r="V632" s="1241"/>
      <c r="W632" s="1241"/>
      <c r="X632" s="1241"/>
      <c r="Y632" s="1241"/>
      <c r="Z632" s="1241"/>
      <c r="AA632" s="1241"/>
      <c r="AB632" s="1241"/>
      <c r="AC632" s="1241"/>
      <c r="AD632" s="1241"/>
      <c r="AE632" s="1241"/>
      <c r="AF632" s="1241"/>
      <c r="AG632" s="1241"/>
      <c r="AH632" s="1241"/>
      <c r="AI632" s="1241"/>
      <c r="AJ632" s="1241"/>
      <c r="AK632" s="1241"/>
      <c r="AL632" s="1241"/>
      <c r="AM632" s="1241"/>
      <c r="AN632" s="1241"/>
      <c r="AO632" s="1241"/>
      <c r="AP632" s="1241"/>
      <c r="AQ632" s="1241"/>
      <c r="AR632" s="1241"/>
      <c r="AS632" s="1241"/>
      <c r="AT632" s="1241"/>
      <c r="AU632" s="1241"/>
      <c r="AV632" s="1241"/>
      <c r="AW632" s="1241"/>
      <c r="AX632" s="1241"/>
      <c r="AY632" s="1241"/>
      <c r="AZ632" s="1241"/>
      <c r="BA632" s="1241"/>
      <c r="BB632" s="1241"/>
      <c r="BC632" s="1241"/>
      <c r="BD632" s="1241"/>
      <c r="BE632" s="1241"/>
      <c r="BF632" s="1241"/>
      <c r="BG632" s="1241"/>
      <c r="BH632" s="1241"/>
      <c r="BI632" s="1241"/>
      <c r="BJ632" s="1241"/>
      <c r="BK632" s="1241"/>
      <c r="BL632" s="1241"/>
      <c r="BM632" s="1241"/>
      <c r="BN632" s="1241"/>
      <c r="BO632" s="1241"/>
      <c r="BP632" s="1241"/>
      <c r="BQ632" s="1241"/>
      <c r="BR632" s="1241"/>
      <c r="BS632" s="1241"/>
      <c r="BT632" s="1241"/>
      <c r="BU632" s="1241"/>
      <c r="BV632" s="1241"/>
      <c r="BW632" s="1241"/>
      <c r="BX632" s="1241"/>
      <c r="BY632" s="1241"/>
      <c r="BZ632" s="1241"/>
      <c r="CA632" s="1241"/>
      <c r="CB632" s="1241"/>
      <c r="CC632" s="1241"/>
      <c r="CD632" s="1241"/>
      <c r="CE632" s="1241"/>
      <c r="CF632" s="1241"/>
      <c r="CG632" s="1241"/>
      <c r="CH632" s="1241"/>
      <c r="CI632" s="1241"/>
      <c r="CJ632" s="1241"/>
      <c r="CK632" s="1241"/>
      <c r="CL632" s="1241"/>
      <c r="CM632" s="1241"/>
      <c r="CN632" s="1241"/>
      <c r="CO632" s="1241"/>
      <c r="CP632" s="1241"/>
      <c r="CQ632" s="1241"/>
      <c r="CR632" s="1241"/>
      <c r="CS632" s="1241"/>
      <c r="CT632" s="1241"/>
      <c r="CU632" s="1241"/>
      <c r="CV632" s="1241"/>
      <c r="CW632" s="1241"/>
      <c r="CX632" s="1241"/>
      <c r="CY632" s="1241"/>
      <c r="CZ632" s="1241"/>
      <c r="DA632" s="1241"/>
      <c r="DB632" s="1241"/>
      <c r="DC632" s="1241"/>
      <c r="DD632" s="1241"/>
      <c r="DE632" s="1241"/>
      <c r="DF632" s="1241"/>
      <c r="DG632" s="1241"/>
      <c r="DH632" s="1241"/>
      <c r="DI632" s="1241"/>
      <c r="DJ632" s="1241"/>
      <c r="DK632" s="1241"/>
      <c r="DL632" s="1241"/>
      <c r="DM632" s="1241"/>
    </row>
    <row r="633" spans="1:117" s="1302" customFormat="1">
      <c r="A633" s="1243"/>
      <c r="B633" s="1480"/>
      <c r="C633" s="1480"/>
      <c r="D633" s="1481"/>
      <c r="E633" s="1482"/>
      <c r="F633" s="1488"/>
      <c r="G633" s="1489"/>
      <c r="H633" s="1489"/>
      <c r="I633" s="1489"/>
      <c r="J633" s="1489"/>
      <c r="K633" s="1489"/>
      <c r="L633" s="1489"/>
      <c r="M633" s="1489"/>
      <c r="N633" s="1489"/>
      <c r="O633" s="1489"/>
      <c r="P633" s="1241"/>
      <c r="Q633" s="1241"/>
      <c r="R633" s="1241"/>
      <c r="S633" s="1241"/>
      <c r="T633" s="1241"/>
      <c r="U633" s="1241"/>
      <c r="V633" s="1241"/>
      <c r="W633" s="1241"/>
      <c r="X633" s="1241"/>
      <c r="Y633" s="1241"/>
      <c r="Z633" s="1241"/>
      <c r="AA633" s="1241"/>
      <c r="AB633" s="1241"/>
      <c r="AC633" s="1241"/>
      <c r="AD633" s="1241"/>
      <c r="AE633" s="1241"/>
      <c r="AF633" s="1241"/>
      <c r="AG633" s="1241"/>
      <c r="AH633" s="1241"/>
      <c r="AI633" s="1241"/>
      <c r="AJ633" s="1241"/>
      <c r="AK633" s="1241"/>
      <c r="AL633" s="1241"/>
      <c r="AM633" s="1241"/>
      <c r="AN633" s="1241"/>
      <c r="AO633" s="1241"/>
      <c r="AP633" s="1241"/>
      <c r="AQ633" s="1241"/>
      <c r="AR633" s="1241"/>
      <c r="AS633" s="1241"/>
      <c r="AT633" s="1241"/>
      <c r="AU633" s="1241"/>
      <c r="AV633" s="1241"/>
      <c r="AW633" s="1241"/>
      <c r="AX633" s="1241"/>
      <c r="AY633" s="1241"/>
      <c r="AZ633" s="1241"/>
      <c r="BA633" s="1241"/>
      <c r="BB633" s="1241"/>
      <c r="BC633" s="1241"/>
      <c r="BD633" s="1241"/>
      <c r="BE633" s="1241"/>
      <c r="BF633" s="1241"/>
      <c r="BG633" s="1241"/>
      <c r="BH633" s="1241"/>
      <c r="BI633" s="1241"/>
      <c r="BJ633" s="1241"/>
      <c r="BK633" s="1241"/>
      <c r="BL633" s="1241"/>
      <c r="BM633" s="1241"/>
      <c r="BN633" s="1241"/>
      <c r="BO633" s="1241"/>
      <c r="BP633" s="1241"/>
      <c r="BQ633" s="1241"/>
      <c r="BR633" s="1241"/>
      <c r="BS633" s="1241"/>
      <c r="BT633" s="1241"/>
      <c r="BU633" s="1241"/>
      <c r="BV633" s="1241"/>
      <c r="BW633" s="1241"/>
      <c r="BX633" s="1241"/>
      <c r="BY633" s="1241"/>
      <c r="BZ633" s="1241"/>
      <c r="CA633" s="1241"/>
      <c r="CB633" s="1241"/>
      <c r="CC633" s="1241"/>
      <c r="CD633" s="1241"/>
      <c r="CE633" s="1241"/>
      <c r="CF633" s="1241"/>
      <c r="CG633" s="1241"/>
      <c r="CH633" s="1241"/>
      <c r="CI633" s="1241"/>
      <c r="CJ633" s="1241"/>
      <c r="CK633" s="1241"/>
      <c r="CL633" s="1241"/>
      <c r="CM633" s="1241"/>
      <c r="CN633" s="1241"/>
      <c r="CO633" s="1241"/>
      <c r="CP633" s="1241"/>
      <c r="CQ633" s="1241"/>
      <c r="CR633" s="1241"/>
      <c r="CS633" s="1241"/>
      <c r="CT633" s="1241"/>
      <c r="CU633" s="1241"/>
      <c r="CV633" s="1241"/>
      <c r="CW633" s="1241"/>
      <c r="CX633" s="1241"/>
      <c r="CY633" s="1241"/>
      <c r="CZ633" s="1241"/>
      <c r="DA633" s="1241"/>
      <c r="DB633" s="1241"/>
      <c r="DC633" s="1241"/>
      <c r="DD633" s="1241"/>
      <c r="DE633" s="1241"/>
      <c r="DF633" s="1241"/>
      <c r="DG633" s="1241"/>
      <c r="DH633" s="1241"/>
      <c r="DI633" s="1241"/>
      <c r="DJ633" s="1241"/>
      <c r="DK633" s="1241"/>
      <c r="DL633" s="1241"/>
      <c r="DM633" s="1241"/>
    </row>
    <row r="634" spans="1:117" s="1302" customFormat="1" hidden="1">
      <c r="A634" s="1243"/>
      <c r="B634" s="1490"/>
      <c r="C634" s="1490"/>
      <c r="D634" s="1491"/>
      <c r="E634" s="1224"/>
      <c r="F634" s="1492"/>
      <c r="G634" s="1493"/>
      <c r="H634" s="1493"/>
      <c r="I634" s="1493"/>
      <c r="J634" s="1493"/>
      <c r="K634" s="1493"/>
      <c r="L634" s="1493"/>
      <c r="M634" s="1493"/>
      <c r="N634" s="1493"/>
      <c r="O634" s="1493"/>
      <c r="P634" s="1241"/>
      <c r="Q634" s="1241"/>
      <c r="R634" s="1241"/>
      <c r="S634" s="1241"/>
      <c r="T634" s="1241"/>
      <c r="U634" s="1241"/>
      <c r="V634" s="1241"/>
      <c r="W634" s="1241"/>
      <c r="X634" s="1241"/>
      <c r="Y634" s="1241"/>
      <c r="Z634" s="1241"/>
      <c r="AA634" s="1241"/>
      <c r="AB634" s="1241"/>
      <c r="AC634" s="1241"/>
      <c r="AD634" s="1241"/>
      <c r="AE634" s="1241"/>
      <c r="AF634" s="1241"/>
      <c r="AG634" s="1241"/>
      <c r="AH634" s="1241"/>
      <c r="AI634" s="1241"/>
      <c r="AJ634" s="1241"/>
      <c r="AK634" s="1241"/>
      <c r="AL634" s="1241"/>
      <c r="AM634" s="1241"/>
      <c r="AN634" s="1241"/>
      <c r="AO634" s="1241"/>
      <c r="AP634" s="1241"/>
      <c r="AQ634" s="1241"/>
      <c r="AR634" s="1241"/>
      <c r="AS634" s="1241"/>
      <c r="AT634" s="1241"/>
      <c r="AU634" s="1241"/>
      <c r="AV634" s="1241"/>
      <c r="AW634" s="1241"/>
      <c r="AX634" s="1241"/>
      <c r="AY634" s="1241"/>
      <c r="AZ634" s="1241"/>
      <c r="BA634" s="1241"/>
      <c r="BB634" s="1241"/>
      <c r="BC634" s="1241"/>
      <c r="BD634" s="1241"/>
      <c r="BE634" s="1241"/>
      <c r="BF634" s="1241"/>
      <c r="BG634" s="1241"/>
      <c r="BH634" s="1241"/>
      <c r="BI634" s="1241"/>
      <c r="BJ634" s="1241"/>
      <c r="BK634" s="1241"/>
      <c r="BL634" s="1241"/>
      <c r="BM634" s="1241"/>
      <c r="BN634" s="1241"/>
      <c r="BO634" s="1241"/>
      <c r="BP634" s="1241"/>
      <c r="BQ634" s="1241"/>
      <c r="BR634" s="1241"/>
      <c r="BS634" s="1241"/>
      <c r="BT634" s="1241"/>
      <c r="BU634" s="1241"/>
      <c r="BV634" s="1241"/>
      <c r="BW634" s="1241"/>
      <c r="BX634" s="1241"/>
      <c r="BY634" s="1241"/>
      <c r="BZ634" s="1241"/>
      <c r="CA634" s="1241"/>
      <c r="CB634" s="1241"/>
      <c r="CC634" s="1241"/>
      <c r="CD634" s="1241"/>
      <c r="CE634" s="1241"/>
      <c r="CF634" s="1241"/>
      <c r="CG634" s="1241"/>
      <c r="CH634" s="1241"/>
      <c r="CI634" s="1241"/>
      <c r="CJ634" s="1241"/>
      <c r="CK634" s="1241"/>
      <c r="CL634" s="1241"/>
      <c r="CM634" s="1241"/>
      <c r="CN634" s="1241"/>
      <c r="CO634" s="1241"/>
      <c r="CP634" s="1241"/>
      <c r="CQ634" s="1241"/>
      <c r="CR634" s="1241"/>
      <c r="CS634" s="1241"/>
      <c r="CT634" s="1241"/>
      <c r="CU634" s="1241"/>
      <c r="CV634" s="1241"/>
      <c r="CW634" s="1241"/>
      <c r="CX634" s="1241"/>
      <c r="CY634" s="1241"/>
      <c r="CZ634" s="1241"/>
      <c r="DA634" s="1241"/>
      <c r="DB634" s="1241"/>
      <c r="DC634" s="1241"/>
      <c r="DD634" s="1241"/>
      <c r="DE634" s="1241"/>
      <c r="DF634" s="1241"/>
      <c r="DG634" s="1241"/>
      <c r="DH634" s="1241"/>
      <c r="DI634" s="1241"/>
      <c r="DJ634" s="1241"/>
      <c r="DK634" s="1241"/>
      <c r="DL634" s="1241"/>
      <c r="DM634" s="1241"/>
    </row>
    <row r="635" spans="1:117" s="1302" customFormat="1" hidden="1">
      <c r="A635" s="1243"/>
      <c r="B635" s="1480" t="s">
        <v>4268</v>
      </c>
      <c r="C635" s="1480"/>
      <c r="D635" s="1481"/>
      <c r="E635" s="1482"/>
      <c r="F635" s="1483"/>
      <c r="G635" s="1484"/>
      <c r="H635" s="1484"/>
      <c r="I635" s="1484"/>
      <c r="J635" s="1484"/>
      <c r="K635" s="1484"/>
      <c r="L635" s="1484"/>
      <c r="M635" s="1484"/>
      <c r="N635" s="1484"/>
      <c r="O635" s="1484"/>
      <c r="P635" s="1241"/>
      <c r="Q635" s="1241"/>
      <c r="R635" s="1241"/>
      <c r="S635" s="1241"/>
      <c r="T635" s="1241"/>
      <c r="U635" s="1241"/>
      <c r="V635" s="1241"/>
      <c r="W635" s="1241"/>
      <c r="X635" s="1241"/>
      <c r="Y635" s="1241"/>
      <c r="Z635" s="1241"/>
      <c r="AA635" s="1241"/>
      <c r="AB635" s="1241"/>
      <c r="AC635" s="1241"/>
      <c r="AD635" s="1241"/>
      <c r="AE635" s="1241"/>
      <c r="AF635" s="1241"/>
      <c r="AG635" s="1241"/>
      <c r="AH635" s="1241"/>
      <c r="AI635" s="1241"/>
      <c r="AJ635" s="1241"/>
      <c r="AK635" s="1241"/>
      <c r="AL635" s="1241"/>
      <c r="AM635" s="1241"/>
      <c r="AN635" s="1241"/>
      <c r="AO635" s="1241"/>
      <c r="AP635" s="1241"/>
      <c r="AQ635" s="1241"/>
      <c r="AR635" s="1241"/>
      <c r="AS635" s="1241"/>
      <c r="AT635" s="1241"/>
      <c r="AU635" s="1241"/>
      <c r="AV635" s="1241"/>
      <c r="AW635" s="1241"/>
      <c r="AX635" s="1241"/>
      <c r="AY635" s="1241"/>
      <c r="AZ635" s="1241"/>
      <c r="BA635" s="1241"/>
      <c r="BB635" s="1241"/>
      <c r="BC635" s="1241"/>
      <c r="BD635" s="1241"/>
      <c r="BE635" s="1241"/>
      <c r="BF635" s="1241"/>
      <c r="BG635" s="1241"/>
      <c r="BH635" s="1241"/>
      <c r="BI635" s="1241"/>
      <c r="BJ635" s="1241"/>
      <c r="BK635" s="1241"/>
      <c r="BL635" s="1241"/>
      <c r="BM635" s="1241"/>
      <c r="BN635" s="1241"/>
      <c r="BO635" s="1241"/>
      <c r="BP635" s="1241"/>
      <c r="BQ635" s="1241"/>
      <c r="BR635" s="1241"/>
      <c r="BS635" s="1241"/>
      <c r="BT635" s="1241"/>
      <c r="BU635" s="1241"/>
      <c r="BV635" s="1241"/>
      <c r="BW635" s="1241"/>
      <c r="BX635" s="1241"/>
      <c r="BY635" s="1241"/>
      <c r="BZ635" s="1241"/>
      <c r="CA635" s="1241"/>
      <c r="CB635" s="1241"/>
      <c r="CC635" s="1241"/>
      <c r="CD635" s="1241"/>
      <c r="CE635" s="1241"/>
      <c r="CF635" s="1241"/>
      <c r="CG635" s="1241"/>
      <c r="CH635" s="1241"/>
      <c r="CI635" s="1241"/>
      <c r="CJ635" s="1241"/>
      <c r="CK635" s="1241"/>
      <c r="CL635" s="1241"/>
      <c r="CM635" s="1241"/>
      <c r="CN635" s="1241"/>
      <c r="CO635" s="1241"/>
      <c r="CP635" s="1241"/>
      <c r="CQ635" s="1241"/>
      <c r="CR635" s="1241"/>
      <c r="CS635" s="1241"/>
      <c r="CT635" s="1241"/>
      <c r="CU635" s="1241"/>
      <c r="CV635" s="1241"/>
      <c r="CW635" s="1241"/>
      <c r="CX635" s="1241"/>
      <c r="CY635" s="1241"/>
      <c r="CZ635" s="1241"/>
      <c r="DA635" s="1241"/>
      <c r="DB635" s="1241"/>
      <c r="DC635" s="1241"/>
      <c r="DD635" s="1241"/>
      <c r="DE635" s="1241"/>
      <c r="DF635" s="1241"/>
      <c r="DG635" s="1241"/>
      <c r="DH635" s="1241"/>
      <c r="DI635" s="1241"/>
      <c r="DJ635" s="1241"/>
      <c r="DK635" s="1241"/>
      <c r="DL635" s="1241"/>
      <c r="DM635" s="1241"/>
    </row>
    <row r="636" spans="1:117" s="1302" customFormat="1" hidden="1">
      <c r="A636" s="1243"/>
      <c r="B636" s="1480" t="s">
        <v>4269</v>
      </c>
      <c r="C636" s="1480"/>
      <c r="D636" s="1481"/>
      <c r="E636" s="1482"/>
      <c r="F636" s="1485"/>
      <c r="G636" s="1494">
        <v>0.05</v>
      </c>
      <c r="H636" s="1494">
        <v>0.05</v>
      </c>
      <c r="I636" s="1494">
        <v>0.05</v>
      </c>
      <c r="J636" s="1494">
        <v>0.05</v>
      </c>
      <c r="K636" s="1494">
        <v>0.05</v>
      </c>
      <c r="L636" s="1494">
        <v>0.05</v>
      </c>
      <c r="M636" s="1494">
        <v>0.05</v>
      </c>
      <c r="N636" s="1494">
        <v>0.05</v>
      </c>
      <c r="O636" s="1494">
        <v>0.05</v>
      </c>
      <c r="P636" s="1241"/>
      <c r="Q636" s="1241"/>
      <c r="R636" s="1241"/>
      <c r="S636" s="1241"/>
      <c r="T636" s="1241"/>
      <c r="U636" s="1241"/>
      <c r="V636" s="1241"/>
      <c r="W636" s="1241"/>
      <c r="X636" s="1241"/>
      <c r="Y636" s="1241"/>
      <c r="Z636" s="1241"/>
      <c r="AA636" s="1241"/>
      <c r="AB636" s="1241"/>
      <c r="AC636" s="1241"/>
      <c r="AD636" s="1241"/>
      <c r="AE636" s="1241"/>
      <c r="AF636" s="1241"/>
      <c r="AG636" s="1241"/>
      <c r="AH636" s="1241"/>
      <c r="AI636" s="1241"/>
      <c r="AJ636" s="1241"/>
      <c r="AK636" s="1241"/>
      <c r="AL636" s="1241"/>
      <c r="AM636" s="1241"/>
      <c r="AN636" s="1241"/>
      <c r="AO636" s="1241"/>
      <c r="AP636" s="1241"/>
      <c r="AQ636" s="1241"/>
      <c r="AR636" s="1241"/>
      <c r="AS636" s="1241"/>
      <c r="AT636" s="1241"/>
      <c r="AU636" s="1241"/>
      <c r="AV636" s="1241"/>
      <c r="AW636" s="1241"/>
      <c r="AX636" s="1241"/>
      <c r="AY636" s="1241"/>
      <c r="AZ636" s="1241"/>
      <c r="BA636" s="1241"/>
      <c r="BB636" s="1241"/>
      <c r="BC636" s="1241"/>
      <c r="BD636" s="1241"/>
      <c r="BE636" s="1241"/>
      <c r="BF636" s="1241"/>
      <c r="BG636" s="1241"/>
      <c r="BH636" s="1241"/>
      <c r="BI636" s="1241"/>
      <c r="BJ636" s="1241"/>
      <c r="BK636" s="1241"/>
      <c r="BL636" s="1241"/>
      <c r="BM636" s="1241"/>
      <c r="BN636" s="1241"/>
      <c r="BO636" s="1241"/>
      <c r="BP636" s="1241"/>
      <c r="BQ636" s="1241"/>
      <c r="BR636" s="1241"/>
      <c r="BS636" s="1241"/>
      <c r="BT636" s="1241"/>
      <c r="BU636" s="1241"/>
      <c r="BV636" s="1241"/>
      <c r="BW636" s="1241"/>
      <c r="BX636" s="1241"/>
      <c r="BY636" s="1241"/>
      <c r="BZ636" s="1241"/>
      <c r="CA636" s="1241"/>
      <c r="CB636" s="1241"/>
      <c r="CC636" s="1241"/>
      <c r="CD636" s="1241"/>
      <c r="CE636" s="1241"/>
      <c r="CF636" s="1241"/>
      <c r="CG636" s="1241"/>
      <c r="CH636" s="1241"/>
      <c r="CI636" s="1241"/>
      <c r="CJ636" s="1241"/>
      <c r="CK636" s="1241"/>
      <c r="CL636" s="1241"/>
      <c r="CM636" s="1241"/>
      <c r="CN636" s="1241"/>
      <c r="CO636" s="1241"/>
      <c r="CP636" s="1241"/>
      <c r="CQ636" s="1241"/>
      <c r="CR636" s="1241"/>
      <c r="CS636" s="1241"/>
      <c r="CT636" s="1241"/>
      <c r="CU636" s="1241"/>
      <c r="CV636" s="1241"/>
      <c r="CW636" s="1241"/>
      <c r="CX636" s="1241"/>
      <c r="CY636" s="1241"/>
      <c r="CZ636" s="1241"/>
      <c r="DA636" s="1241"/>
      <c r="DB636" s="1241"/>
      <c r="DC636" s="1241"/>
      <c r="DD636" s="1241"/>
      <c r="DE636" s="1241"/>
      <c r="DF636" s="1241"/>
      <c r="DG636" s="1241"/>
      <c r="DH636" s="1241"/>
      <c r="DI636" s="1241"/>
      <c r="DJ636" s="1241"/>
      <c r="DK636" s="1241"/>
      <c r="DL636" s="1241"/>
      <c r="DM636" s="1241"/>
    </row>
    <row r="637" spans="1:117" s="1302" customFormat="1" hidden="1">
      <c r="A637" s="1243"/>
      <c r="B637" s="1480" t="s">
        <v>4270</v>
      </c>
      <c r="C637" s="1480"/>
      <c r="D637" s="1481"/>
      <c r="E637" s="1482"/>
      <c r="F637" s="1486"/>
      <c r="G637" s="1494">
        <v>0.3</v>
      </c>
      <c r="H637" s="1494">
        <v>0.3</v>
      </c>
      <c r="I637" s="1494">
        <v>0.3</v>
      </c>
      <c r="J637" s="1494">
        <v>0.3</v>
      </c>
      <c r="K637" s="1494">
        <v>0.3</v>
      </c>
      <c r="L637" s="1494">
        <v>0.3</v>
      </c>
      <c r="M637" s="1494">
        <v>0.3</v>
      </c>
      <c r="N637" s="1494">
        <v>0.3</v>
      </c>
      <c r="O637" s="1494">
        <v>0.3</v>
      </c>
      <c r="P637" s="1241"/>
      <c r="Q637" s="1241"/>
      <c r="R637" s="1241"/>
      <c r="S637" s="1241"/>
      <c r="T637" s="1241"/>
      <c r="U637" s="1241"/>
      <c r="V637" s="1241"/>
      <c r="W637" s="1241"/>
      <c r="X637" s="1241"/>
      <c r="Y637" s="1241"/>
      <c r="Z637" s="1241"/>
      <c r="AA637" s="1241"/>
      <c r="AB637" s="1241"/>
      <c r="AC637" s="1241"/>
      <c r="AD637" s="1241"/>
      <c r="AE637" s="1241"/>
      <c r="AF637" s="1241"/>
      <c r="AG637" s="1241"/>
      <c r="AH637" s="1241"/>
      <c r="AI637" s="1241"/>
      <c r="AJ637" s="1241"/>
      <c r="AK637" s="1241"/>
      <c r="AL637" s="1241"/>
      <c r="AM637" s="1241"/>
      <c r="AN637" s="1241"/>
      <c r="AO637" s="1241"/>
      <c r="AP637" s="1241"/>
      <c r="AQ637" s="1241"/>
      <c r="AR637" s="1241"/>
      <c r="AS637" s="1241"/>
      <c r="AT637" s="1241"/>
      <c r="AU637" s="1241"/>
      <c r="AV637" s="1241"/>
      <c r="AW637" s="1241"/>
      <c r="AX637" s="1241"/>
      <c r="AY637" s="1241"/>
      <c r="AZ637" s="1241"/>
      <c r="BA637" s="1241"/>
      <c r="BB637" s="1241"/>
      <c r="BC637" s="1241"/>
      <c r="BD637" s="1241"/>
      <c r="BE637" s="1241"/>
      <c r="BF637" s="1241"/>
      <c r="BG637" s="1241"/>
      <c r="BH637" s="1241"/>
      <c r="BI637" s="1241"/>
      <c r="BJ637" s="1241"/>
      <c r="BK637" s="1241"/>
      <c r="BL637" s="1241"/>
      <c r="BM637" s="1241"/>
      <c r="BN637" s="1241"/>
      <c r="BO637" s="1241"/>
      <c r="BP637" s="1241"/>
      <c r="BQ637" s="1241"/>
      <c r="BR637" s="1241"/>
      <c r="BS637" s="1241"/>
      <c r="BT637" s="1241"/>
      <c r="BU637" s="1241"/>
      <c r="BV637" s="1241"/>
      <c r="BW637" s="1241"/>
      <c r="BX637" s="1241"/>
      <c r="BY637" s="1241"/>
      <c r="BZ637" s="1241"/>
      <c r="CA637" s="1241"/>
      <c r="CB637" s="1241"/>
      <c r="CC637" s="1241"/>
      <c r="CD637" s="1241"/>
      <c r="CE637" s="1241"/>
      <c r="CF637" s="1241"/>
      <c r="CG637" s="1241"/>
      <c r="CH637" s="1241"/>
      <c r="CI637" s="1241"/>
      <c r="CJ637" s="1241"/>
      <c r="CK637" s="1241"/>
      <c r="CL637" s="1241"/>
      <c r="CM637" s="1241"/>
      <c r="CN637" s="1241"/>
      <c r="CO637" s="1241"/>
      <c r="CP637" s="1241"/>
      <c r="CQ637" s="1241"/>
      <c r="CR637" s="1241"/>
      <c r="CS637" s="1241"/>
      <c r="CT637" s="1241"/>
      <c r="CU637" s="1241"/>
      <c r="CV637" s="1241"/>
      <c r="CW637" s="1241"/>
      <c r="CX637" s="1241"/>
      <c r="CY637" s="1241"/>
      <c r="CZ637" s="1241"/>
      <c r="DA637" s="1241"/>
      <c r="DB637" s="1241"/>
      <c r="DC637" s="1241"/>
      <c r="DD637" s="1241"/>
      <c r="DE637" s="1241"/>
      <c r="DF637" s="1241"/>
      <c r="DG637" s="1241"/>
      <c r="DH637" s="1241"/>
      <c r="DI637" s="1241"/>
      <c r="DJ637" s="1241"/>
      <c r="DK637" s="1241"/>
      <c r="DL637" s="1241"/>
      <c r="DM637" s="1241"/>
    </row>
    <row r="638" spans="1:117" s="1302" customFormat="1" hidden="1">
      <c r="A638" s="1243"/>
      <c r="B638" s="1480" t="s">
        <v>4271</v>
      </c>
      <c r="C638" s="1480"/>
      <c r="D638" s="1481"/>
      <c r="E638" s="1482"/>
      <c r="F638" s="1488"/>
      <c r="G638" s="1494">
        <v>0.25</v>
      </c>
      <c r="H638" s="1494">
        <v>0.25</v>
      </c>
      <c r="I638" s="1494">
        <v>0.25</v>
      </c>
      <c r="J638" s="1494">
        <v>0.25</v>
      </c>
      <c r="K638" s="1494">
        <v>0.25</v>
      </c>
      <c r="L638" s="1494">
        <v>0.25</v>
      </c>
      <c r="M638" s="1494">
        <v>0.25</v>
      </c>
      <c r="N638" s="1494">
        <v>0.25</v>
      </c>
      <c r="O638" s="1494">
        <v>0.25</v>
      </c>
      <c r="P638" s="1241"/>
      <c r="Q638" s="1241"/>
      <c r="R638" s="1241"/>
      <c r="S638" s="1241"/>
      <c r="T638" s="1241"/>
      <c r="U638" s="1241"/>
      <c r="V638" s="1241"/>
      <c r="W638" s="1241"/>
      <c r="X638" s="1241"/>
      <c r="Y638" s="1241"/>
      <c r="Z638" s="1241"/>
      <c r="AA638" s="1241"/>
      <c r="AB638" s="1241"/>
      <c r="AC638" s="1241"/>
      <c r="AD638" s="1241"/>
      <c r="AE638" s="1241"/>
      <c r="AF638" s="1241"/>
      <c r="AG638" s="1241"/>
      <c r="AH638" s="1241"/>
      <c r="AI638" s="1241"/>
      <c r="AJ638" s="1241"/>
      <c r="AK638" s="1241"/>
      <c r="AL638" s="1241"/>
      <c r="AM638" s="1241"/>
      <c r="AN638" s="1241"/>
      <c r="AO638" s="1241"/>
      <c r="AP638" s="1241"/>
      <c r="AQ638" s="1241"/>
      <c r="AR638" s="1241"/>
      <c r="AS638" s="1241"/>
      <c r="AT638" s="1241"/>
      <c r="AU638" s="1241"/>
      <c r="AV638" s="1241"/>
      <c r="AW638" s="1241"/>
      <c r="AX638" s="1241"/>
      <c r="AY638" s="1241"/>
      <c r="AZ638" s="1241"/>
      <c r="BA638" s="1241"/>
      <c r="BB638" s="1241"/>
      <c r="BC638" s="1241"/>
      <c r="BD638" s="1241"/>
      <c r="BE638" s="1241"/>
      <c r="BF638" s="1241"/>
      <c r="BG638" s="1241"/>
      <c r="BH638" s="1241"/>
      <c r="BI638" s="1241"/>
      <c r="BJ638" s="1241"/>
      <c r="BK638" s="1241"/>
      <c r="BL638" s="1241"/>
      <c r="BM638" s="1241"/>
      <c r="BN638" s="1241"/>
      <c r="BO638" s="1241"/>
      <c r="BP638" s="1241"/>
      <c r="BQ638" s="1241"/>
      <c r="BR638" s="1241"/>
      <c r="BS638" s="1241"/>
      <c r="BT638" s="1241"/>
      <c r="BU638" s="1241"/>
      <c r="BV638" s="1241"/>
      <c r="BW638" s="1241"/>
      <c r="BX638" s="1241"/>
      <c r="BY638" s="1241"/>
      <c r="BZ638" s="1241"/>
      <c r="CA638" s="1241"/>
      <c r="CB638" s="1241"/>
      <c r="CC638" s="1241"/>
      <c r="CD638" s="1241"/>
      <c r="CE638" s="1241"/>
      <c r="CF638" s="1241"/>
      <c r="CG638" s="1241"/>
      <c r="CH638" s="1241"/>
      <c r="CI638" s="1241"/>
      <c r="CJ638" s="1241"/>
      <c r="CK638" s="1241"/>
      <c r="CL638" s="1241"/>
      <c r="CM638" s="1241"/>
      <c r="CN638" s="1241"/>
      <c r="CO638" s="1241"/>
      <c r="CP638" s="1241"/>
      <c r="CQ638" s="1241"/>
      <c r="CR638" s="1241"/>
      <c r="CS638" s="1241"/>
      <c r="CT638" s="1241"/>
      <c r="CU638" s="1241"/>
      <c r="CV638" s="1241"/>
      <c r="CW638" s="1241"/>
      <c r="CX638" s="1241"/>
      <c r="CY638" s="1241"/>
      <c r="CZ638" s="1241"/>
      <c r="DA638" s="1241"/>
      <c r="DB638" s="1241"/>
      <c r="DC638" s="1241"/>
      <c r="DD638" s="1241"/>
      <c r="DE638" s="1241"/>
      <c r="DF638" s="1241"/>
      <c r="DG638" s="1241"/>
      <c r="DH638" s="1241"/>
      <c r="DI638" s="1241"/>
      <c r="DJ638" s="1241"/>
      <c r="DK638" s="1241"/>
      <c r="DL638" s="1241"/>
      <c r="DM638" s="1241"/>
    </row>
    <row r="639" spans="1:117" s="1302" customFormat="1" hidden="1">
      <c r="A639" s="1243"/>
      <c r="B639" s="1480" t="s">
        <v>4272</v>
      </c>
      <c r="C639" s="1480"/>
      <c r="D639" s="1481"/>
      <c r="E639" s="1482"/>
      <c r="F639" s="1488"/>
      <c r="G639" s="1494">
        <v>0.2</v>
      </c>
      <c r="H639" s="1494">
        <v>0.2</v>
      </c>
      <c r="I639" s="1494">
        <v>0.2</v>
      </c>
      <c r="J639" s="1494">
        <v>0.2</v>
      </c>
      <c r="K639" s="1494">
        <v>0.2</v>
      </c>
      <c r="L639" s="1494">
        <v>0.2</v>
      </c>
      <c r="M639" s="1494">
        <v>0.2</v>
      </c>
      <c r="N639" s="1494">
        <v>0.2</v>
      </c>
      <c r="O639" s="1494">
        <v>0.2</v>
      </c>
      <c r="P639" s="1241"/>
      <c r="Q639" s="1241"/>
      <c r="R639" s="1241"/>
      <c r="S639" s="1241"/>
      <c r="T639" s="1241"/>
      <c r="U639" s="1241"/>
      <c r="V639" s="1241"/>
      <c r="W639" s="1241"/>
      <c r="X639" s="1241"/>
      <c r="Y639" s="1241"/>
      <c r="Z639" s="1241"/>
      <c r="AA639" s="1241"/>
      <c r="AB639" s="1241"/>
      <c r="AC639" s="1241"/>
      <c r="AD639" s="1241"/>
      <c r="AE639" s="1241"/>
      <c r="AF639" s="1241"/>
      <c r="AG639" s="1241"/>
      <c r="AH639" s="1241"/>
      <c r="AI639" s="1241"/>
      <c r="AJ639" s="1241"/>
      <c r="AK639" s="1241"/>
      <c r="AL639" s="1241"/>
      <c r="AM639" s="1241"/>
      <c r="AN639" s="1241"/>
      <c r="AO639" s="1241"/>
      <c r="AP639" s="1241"/>
      <c r="AQ639" s="1241"/>
      <c r="AR639" s="1241"/>
      <c r="AS639" s="1241"/>
      <c r="AT639" s="1241"/>
      <c r="AU639" s="1241"/>
      <c r="AV639" s="1241"/>
      <c r="AW639" s="1241"/>
      <c r="AX639" s="1241"/>
      <c r="AY639" s="1241"/>
      <c r="AZ639" s="1241"/>
      <c r="BA639" s="1241"/>
      <c r="BB639" s="1241"/>
      <c r="BC639" s="1241"/>
      <c r="BD639" s="1241"/>
      <c r="BE639" s="1241"/>
      <c r="BF639" s="1241"/>
      <c r="BG639" s="1241"/>
      <c r="BH639" s="1241"/>
      <c r="BI639" s="1241"/>
      <c r="BJ639" s="1241"/>
      <c r="BK639" s="1241"/>
      <c r="BL639" s="1241"/>
      <c r="BM639" s="1241"/>
      <c r="BN639" s="1241"/>
      <c r="BO639" s="1241"/>
      <c r="BP639" s="1241"/>
      <c r="BQ639" s="1241"/>
      <c r="BR639" s="1241"/>
      <c r="BS639" s="1241"/>
      <c r="BT639" s="1241"/>
      <c r="BU639" s="1241"/>
      <c r="BV639" s="1241"/>
      <c r="BW639" s="1241"/>
      <c r="BX639" s="1241"/>
      <c r="BY639" s="1241"/>
      <c r="BZ639" s="1241"/>
      <c r="CA639" s="1241"/>
      <c r="CB639" s="1241"/>
      <c r="CC639" s="1241"/>
      <c r="CD639" s="1241"/>
      <c r="CE639" s="1241"/>
      <c r="CF639" s="1241"/>
      <c r="CG639" s="1241"/>
      <c r="CH639" s="1241"/>
      <c r="CI639" s="1241"/>
      <c r="CJ639" s="1241"/>
      <c r="CK639" s="1241"/>
      <c r="CL639" s="1241"/>
      <c r="CM639" s="1241"/>
      <c r="CN639" s="1241"/>
      <c r="CO639" s="1241"/>
      <c r="CP639" s="1241"/>
      <c r="CQ639" s="1241"/>
      <c r="CR639" s="1241"/>
      <c r="CS639" s="1241"/>
      <c r="CT639" s="1241"/>
      <c r="CU639" s="1241"/>
      <c r="CV639" s="1241"/>
      <c r="CW639" s="1241"/>
      <c r="CX639" s="1241"/>
      <c r="CY639" s="1241"/>
      <c r="CZ639" s="1241"/>
      <c r="DA639" s="1241"/>
      <c r="DB639" s="1241"/>
      <c r="DC639" s="1241"/>
      <c r="DD639" s="1241"/>
      <c r="DE639" s="1241"/>
      <c r="DF639" s="1241"/>
      <c r="DG639" s="1241"/>
      <c r="DH639" s="1241"/>
      <c r="DI639" s="1241"/>
      <c r="DJ639" s="1241"/>
      <c r="DK639" s="1241"/>
      <c r="DL639" s="1241"/>
      <c r="DM639" s="1241"/>
    </row>
    <row r="640" spans="1:117" s="1302" customFormat="1" hidden="1">
      <c r="A640" s="1243"/>
      <c r="B640" s="1480" t="s">
        <v>4273</v>
      </c>
      <c r="C640" s="1480"/>
      <c r="D640" s="1481"/>
      <c r="E640" s="1482"/>
      <c r="F640" s="1483"/>
      <c r="G640" s="1494">
        <v>0.2</v>
      </c>
      <c r="H640" s="1494">
        <v>0.2</v>
      </c>
      <c r="I640" s="1494">
        <v>0.2</v>
      </c>
      <c r="J640" s="1494">
        <v>0.2</v>
      </c>
      <c r="K640" s="1494">
        <v>0.2</v>
      </c>
      <c r="L640" s="1494">
        <v>0.2</v>
      </c>
      <c r="M640" s="1494">
        <v>0.2</v>
      </c>
      <c r="N640" s="1494">
        <v>0.2</v>
      </c>
      <c r="O640" s="1494">
        <v>0.2</v>
      </c>
      <c r="P640" s="1241"/>
      <c r="Q640" s="1241"/>
      <c r="R640" s="1241"/>
      <c r="S640" s="1241"/>
      <c r="T640" s="1241"/>
      <c r="U640" s="1241"/>
      <c r="V640" s="1241"/>
      <c r="W640" s="1241"/>
      <c r="X640" s="1241"/>
      <c r="Y640" s="1241"/>
      <c r="Z640" s="1241"/>
      <c r="AA640" s="1241"/>
      <c r="AB640" s="1241"/>
      <c r="AC640" s="1241"/>
      <c r="AD640" s="1241"/>
      <c r="AE640" s="1241"/>
      <c r="AF640" s="1241"/>
      <c r="AG640" s="1241"/>
      <c r="AH640" s="1241"/>
      <c r="AI640" s="1241"/>
      <c r="AJ640" s="1241"/>
      <c r="AK640" s="1241"/>
      <c r="AL640" s="1241"/>
      <c r="AM640" s="1241"/>
      <c r="AN640" s="1241"/>
      <c r="AO640" s="1241"/>
      <c r="AP640" s="1241"/>
      <c r="AQ640" s="1241"/>
      <c r="AR640" s="1241"/>
      <c r="AS640" s="1241"/>
      <c r="AT640" s="1241"/>
      <c r="AU640" s="1241"/>
      <c r="AV640" s="1241"/>
      <c r="AW640" s="1241"/>
      <c r="AX640" s="1241"/>
      <c r="AY640" s="1241"/>
      <c r="AZ640" s="1241"/>
      <c r="BA640" s="1241"/>
      <c r="BB640" s="1241"/>
      <c r="BC640" s="1241"/>
      <c r="BD640" s="1241"/>
      <c r="BE640" s="1241"/>
      <c r="BF640" s="1241"/>
      <c r="BG640" s="1241"/>
      <c r="BH640" s="1241"/>
      <c r="BI640" s="1241"/>
      <c r="BJ640" s="1241"/>
      <c r="BK640" s="1241"/>
      <c r="BL640" s="1241"/>
      <c r="BM640" s="1241"/>
      <c r="BN640" s="1241"/>
      <c r="BO640" s="1241"/>
      <c r="BP640" s="1241"/>
      <c r="BQ640" s="1241"/>
      <c r="BR640" s="1241"/>
      <c r="BS640" s="1241"/>
      <c r="BT640" s="1241"/>
      <c r="BU640" s="1241"/>
      <c r="BV640" s="1241"/>
      <c r="BW640" s="1241"/>
      <c r="BX640" s="1241"/>
      <c r="BY640" s="1241"/>
      <c r="BZ640" s="1241"/>
      <c r="CA640" s="1241"/>
      <c r="CB640" s="1241"/>
      <c r="CC640" s="1241"/>
      <c r="CD640" s="1241"/>
      <c r="CE640" s="1241"/>
      <c r="CF640" s="1241"/>
      <c r="CG640" s="1241"/>
      <c r="CH640" s="1241"/>
      <c r="CI640" s="1241"/>
      <c r="CJ640" s="1241"/>
      <c r="CK640" s="1241"/>
      <c r="CL640" s="1241"/>
      <c r="CM640" s="1241"/>
      <c r="CN640" s="1241"/>
      <c r="CO640" s="1241"/>
      <c r="CP640" s="1241"/>
      <c r="CQ640" s="1241"/>
      <c r="CR640" s="1241"/>
      <c r="CS640" s="1241"/>
      <c r="CT640" s="1241"/>
      <c r="CU640" s="1241"/>
      <c r="CV640" s="1241"/>
      <c r="CW640" s="1241"/>
      <c r="CX640" s="1241"/>
      <c r="CY640" s="1241"/>
      <c r="CZ640" s="1241"/>
      <c r="DA640" s="1241"/>
      <c r="DB640" s="1241"/>
      <c r="DC640" s="1241"/>
      <c r="DD640" s="1241"/>
      <c r="DE640" s="1241"/>
      <c r="DF640" s="1241"/>
      <c r="DG640" s="1241"/>
      <c r="DH640" s="1241"/>
      <c r="DI640" s="1241"/>
      <c r="DJ640" s="1241"/>
      <c r="DK640" s="1241"/>
      <c r="DL640" s="1241"/>
      <c r="DM640" s="1241"/>
    </row>
    <row r="641" spans="1:117" s="1302" customFormat="1" hidden="1">
      <c r="A641" s="1243"/>
      <c r="B641" s="1480"/>
      <c r="C641" s="1480"/>
      <c r="D641" s="1481"/>
      <c r="E641" s="1482"/>
      <c r="F641" s="1485"/>
      <c r="G641" s="1483"/>
      <c r="H641" s="1483"/>
      <c r="I641" s="1483"/>
      <c r="J641" s="1483"/>
      <c r="K641" s="1483"/>
      <c r="L641" s="1483"/>
      <c r="M641" s="1483"/>
      <c r="N641" s="1483"/>
      <c r="O641" s="1483"/>
      <c r="P641" s="1241"/>
      <c r="Q641" s="1241"/>
      <c r="R641" s="1241"/>
      <c r="S641" s="1241"/>
      <c r="T641" s="1241"/>
      <c r="U641" s="1241"/>
      <c r="V641" s="1241"/>
      <c r="W641" s="1241"/>
      <c r="X641" s="1241"/>
      <c r="Y641" s="1241"/>
      <c r="Z641" s="1241"/>
      <c r="AA641" s="1241"/>
      <c r="AB641" s="1241"/>
      <c r="AC641" s="1241"/>
      <c r="AD641" s="1241"/>
      <c r="AE641" s="1241"/>
      <c r="AF641" s="1241"/>
      <c r="AG641" s="1241"/>
      <c r="AH641" s="1241"/>
      <c r="AI641" s="1241"/>
      <c r="AJ641" s="1241"/>
      <c r="AK641" s="1241"/>
      <c r="AL641" s="1241"/>
      <c r="AM641" s="1241"/>
      <c r="AN641" s="1241"/>
      <c r="AO641" s="1241"/>
      <c r="AP641" s="1241"/>
      <c r="AQ641" s="1241"/>
      <c r="AR641" s="1241"/>
      <c r="AS641" s="1241"/>
      <c r="AT641" s="1241"/>
      <c r="AU641" s="1241"/>
      <c r="AV641" s="1241"/>
      <c r="AW641" s="1241"/>
      <c r="AX641" s="1241"/>
      <c r="AY641" s="1241"/>
      <c r="AZ641" s="1241"/>
      <c r="BA641" s="1241"/>
      <c r="BB641" s="1241"/>
      <c r="BC641" s="1241"/>
      <c r="BD641" s="1241"/>
      <c r="BE641" s="1241"/>
      <c r="BF641" s="1241"/>
      <c r="BG641" s="1241"/>
      <c r="BH641" s="1241"/>
      <c r="BI641" s="1241"/>
      <c r="BJ641" s="1241"/>
      <c r="BK641" s="1241"/>
      <c r="BL641" s="1241"/>
      <c r="BM641" s="1241"/>
      <c r="BN641" s="1241"/>
      <c r="BO641" s="1241"/>
      <c r="BP641" s="1241"/>
      <c r="BQ641" s="1241"/>
      <c r="BR641" s="1241"/>
      <c r="BS641" s="1241"/>
      <c r="BT641" s="1241"/>
      <c r="BU641" s="1241"/>
      <c r="BV641" s="1241"/>
      <c r="BW641" s="1241"/>
      <c r="BX641" s="1241"/>
      <c r="BY641" s="1241"/>
      <c r="BZ641" s="1241"/>
      <c r="CA641" s="1241"/>
      <c r="CB641" s="1241"/>
      <c r="CC641" s="1241"/>
      <c r="CD641" s="1241"/>
      <c r="CE641" s="1241"/>
      <c r="CF641" s="1241"/>
      <c r="CG641" s="1241"/>
      <c r="CH641" s="1241"/>
      <c r="CI641" s="1241"/>
      <c r="CJ641" s="1241"/>
      <c r="CK641" s="1241"/>
      <c r="CL641" s="1241"/>
      <c r="CM641" s="1241"/>
      <c r="CN641" s="1241"/>
      <c r="CO641" s="1241"/>
      <c r="CP641" s="1241"/>
      <c r="CQ641" s="1241"/>
      <c r="CR641" s="1241"/>
      <c r="CS641" s="1241"/>
      <c r="CT641" s="1241"/>
      <c r="CU641" s="1241"/>
      <c r="CV641" s="1241"/>
      <c r="CW641" s="1241"/>
      <c r="CX641" s="1241"/>
      <c r="CY641" s="1241"/>
      <c r="CZ641" s="1241"/>
      <c r="DA641" s="1241"/>
      <c r="DB641" s="1241"/>
      <c r="DC641" s="1241"/>
      <c r="DD641" s="1241"/>
      <c r="DE641" s="1241"/>
      <c r="DF641" s="1241"/>
      <c r="DG641" s="1241"/>
      <c r="DH641" s="1241"/>
      <c r="DI641" s="1241"/>
      <c r="DJ641" s="1241"/>
      <c r="DK641" s="1241"/>
      <c r="DL641" s="1241"/>
      <c r="DM641" s="1241"/>
    </row>
    <row r="642" spans="1:117" s="1302" customFormat="1" hidden="1">
      <c r="A642" s="1243"/>
      <c r="B642" s="1480" t="s">
        <v>4269</v>
      </c>
      <c r="C642" s="1480"/>
      <c r="D642" s="1481"/>
      <c r="E642" s="1482"/>
      <c r="F642" s="1486"/>
      <c r="G642" s="1487"/>
      <c r="H642" s="1487">
        <v>-6.7750000000000206E-3</v>
      </c>
      <c r="I642" s="1487">
        <v>5.8693477476943562E-2</v>
      </c>
      <c r="J642" s="1487">
        <v>3.7166130845237434E-2</v>
      </c>
      <c r="K642" s="1487">
        <v>4.7537151284917381E-2</v>
      </c>
      <c r="L642" s="1487">
        <v>5.7649255968961734E-2</v>
      </c>
      <c r="M642" s="1487">
        <v>6.4696294059891815E-2</v>
      </c>
      <c r="N642" s="1487">
        <v>7.2026761253637522E-2</v>
      </c>
      <c r="O642" s="1487">
        <v>2.8714045761492279E-2</v>
      </c>
      <c r="P642" s="1241"/>
      <c r="Q642" s="1241"/>
      <c r="R642" s="1241"/>
      <c r="S642" s="1241"/>
      <c r="T642" s="1241"/>
      <c r="U642" s="1241"/>
      <c r="V642" s="1241"/>
      <c r="W642" s="1241"/>
      <c r="X642" s="1241"/>
      <c r="Y642" s="1241"/>
      <c r="Z642" s="1241"/>
      <c r="AA642" s="1241"/>
      <c r="AB642" s="1241"/>
      <c r="AC642" s="1241"/>
      <c r="AD642" s="1241"/>
      <c r="AE642" s="1241"/>
      <c r="AF642" s="1241"/>
      <c r="AG642" s="1241"/>
      <c r="AH642" s="1241"/>
      <c r="AI642" s="1241"/>
      <c r="AJ642" s="1241"/>
      <c r="AK642" s="1241"/>
      <c r="AL642" s="1241"/>
      <c r="AM642" s="1241"/>
      <c r="AN642" s="1241"/>
      <c r="AO642" s="1241"/>
      <c r="AP642" s="1241"/>
      <c r="AQ642" s="1241"/>
      <c r="AR642" s="1241"/>
      <c r="AS642" s="1241"/>
      <c r="AT642" s="1241"/>
      <c r="AU642" s="1241"/>
      <c r="AV642" s="1241"/>
      <c r="AW642" s="1241"/>
      <c r="AX642" s="1241"/>
      <c r="AY642" s="1241"/>
      <c r="AZ642" s="1241"/>
      <c r="BA642" s="1241"/>
      <c r="BB642" s="1241"/>
      <c r="BC642" s="1241"/>
      <c r="BD642" s="1241"/>
      <c r="BE642" s="1241"/>
      <c r="BF642" s="1241"/>
      <c r="BG642" s="1241"/>
      <c r="BH642" s="1241"/>
      <c r="BI642" s="1241"/>
      <c r="BJ642" s="1241"/>
      <c r="BK642" s="1241"/>
      <c r="BL642" s="1241"/>
      <c r="BM642" s="1241"/>
      <c r="BN642" s="1241"/>
      <c r="BO642" s="1241"/>
      <c r="BP642" s="1241"/>
      <c r="BQ642" s="1241"/>
      <c r="BR642" s="1241"/>
      <c r="BS642" s="1241"/>
      <c r="BT642" s="1241"/>
      <c r="BU642" s="1241"/>
      <c r="BV642" s="1241"/>
      <c r="BW642" s="1241"/>
      <c r="BX642" s="1241"/>
      <c r="BY642" s="1241"/>
      <c r="BZ642" s="1241"/>
      <c r="CA642" s="1241"/>
      <c r="CB642" s="1241"/>
      <c r="CC642" s="1241"/>
      <c r="CD642" s="1241"/>
      <c r="CE642" s="1241"/>
      <c r="CF642" s="1241"/>
      <c r="CG642" s="1241"/>
      <c r="CH642" s="1241"/>
      <c r="CI642" s="1241"/>
      <c r="CJ642" s="1241"/>
      <c r="CK642" s="1241"/>
      <c r="CL642" s="1241"/>
      <c r="CM642" s="1241"/>
      <c r="CN642" s="1241"/>
      <c r="CO642" s="1241"/>
      <c r="CP642" s="1241"/>
      <c r="CQ642" s="1241"/>
      <c r="CR642" s="1241"/>
      <c r="CS642" s="1241"/>
      <c r="CT642" s="1241"/>
      <c r="CU642" s="1241"/>
      <c r="CV642" s="1241"/>
      <c r="CW642" s="1241"/>
      <c r="CX642" s="1241"/>
      <c r="CY642" s="1241"/>
      <c r="CZ642" s="1241"/>
      <c r="DA642" s="1241"/>
      <c r="DB642" s="1241"/>
      <c r="DC642" s="1241"/>
      <c r="DD642" s="1241"/>
      <c r="DE642" s="1241"/>
      <c r="DF642" s="1241"/>
      <c r="DG642" s="1241"/>
      <c r="DH642" s="1241"/>
      <c r="DI642" s="1241"/>
      <c r="DJ642" s="1241"/>
      <c r="DK642" s="1241"/>
      <c r="DL642" s="1241"/>
      <c r="DM642" s="1241"/>
    </row>
    <row r="643" spans="1:117" s="1302" customFormat="1" hidden="1">
      <c r="A643" s="1243"/>
      <c r="B643" s="1480" t="s">
        <v>4270</v>
      </c>
      <c r="C643" s="1480"/>
      <c r="D643" s="1481"/>
      <c r="E643" s="1482"/>
      <c r="F643" s="1488"/>
      <c r="G643" s="1489"/>
      <c r="H643" s="1487">
        <v>-4.0650000000000117E-2</v>
      </c>
      <c r="I643" s="1487">
        <v>0.35216086486166132</v>
      </c>
      <c r="J643" s="1487">
        <v>0.22299678507142459</v>
      </c>
      <c r="K643" s="1487">
        <v>0.28522290770950426</v>
      </c>
      <c r="L643" s="1487">
        <v>0.34589553581377036</v>
      </c>
      <c r="M643" s="1487">
        <v>0.38817776435935086</v>
      </c>
      <c r="N643" s="1487">
        <v>0.43216056752182508</v>
      </c>
      <c r="O643" s="1487">
        <v>0.17228427456895368</v>
      </c>
      <c r="P643" s="1241"/>
      <c r="Q643" s="1241"/>
      <c r="R643" s="1241"/>
      <c r="S643" s="1241"/>
      <c r="T643" s="1241"/>
      <c r="U643" s="1241"/>
      <c r="V643" s="1241"/>
      <c r="W643" s="1241"/>
      <c r="X643" s="1241"/>
      <c r="Y643" s="1241"/>
      <c r="Z643" s="1241"/>
      <c r="AA643" s="1241"/>
      <c r="AB643" s="1241"/>
      <c r="AC643" s="1241"/>
      <c r="AD643" s="1241"/>
      <c r="AE643" s="1241"/>
      <c r="AF643" s="1241"/>
      <c r="AG643" s="1241"/>
      <c r="AH643" s="1241"/>
      <c r="AI643" s="1241"/>
      <c r="AJ643" s="1241"/>
      <c r="AK643" s="1241"/>
      <c r="AL643" s="1241"/>
      <c r="AM643" s="1241"/>
      <c r="AN643" s="1241"/>
      <c r="AO643" s="1241"/>
      <c r="AP643" s="1241"/>
      <c r="AQ643" s="1241"/>
      <c r="AR643" s="1241"/>
      <c r="AS643" s="1241"/>
      <c r="AT643" s="1241"/>
      <c r="AU643" s="1241"/>
      <c r="AV643" s="1241"/>
      <c r="AW643" s="1241"/>
      <c r="AX643" s="1241"/>
      <c r="AY643" s="1241"/>
      <c r="AZ643" s="1241"/>
      <c r="BA643" s="1241"/>
      <c r="BB643" s="1241"/>
      <c r="BC643" s="1241"/>
      <c r="BD643" s="1241"/>
      <c r="BE643" s="1241"/>
      <c r="BF643" s="1241"/>
      <c r="BG643" s="1241"/>
      <c r="BH643" s="1241"/>
      <c r="BI643" s="1241"/>
      <c r="BJ643" s="1241"/>
      <c r="BK643" s="1241"/>
      <c r="BL643" s="1241"/>
      <c r="BM643" s="1241"/>
      <c r="BN643" s="1241"/>
      <c r="BO643" s="1241"/>
      <c r="BP643" s="1241"/>
      <c r="BQ643" s="1241"/>
      <c r="BR643" s="1241"/>
      <c r="BS643" s="1241"/>
      <c r="BT643" s="1241"/>
      <c r="BU643" s="1241"/>
      <c r="BV643" s="1241"/>
      <c r="BW643" s="1241"/>
      <c r="BX643" s="1241"/>
      <c r="BY643" s="1241"/>
      <c r="BZ643" s="1241"/>
      <c r="CA643" s="1241"/>
      <c r="CB643" s="1241"/>
      <c r="CC643" s="1241"/>
      <c r="CD643" s="1241"/>
      <c r="CE643" s="1241"/>
      <c r="CF643" s="1241"/>
      <c r="CG643" s="1241"/>
      <c r="CH643" s="1241"/>
      <c r="CI643" s="1241"/>
      <c r="CJ643" s="1241"/>
      <c r="CK643" s="1241"/>
      <c r="CL643" s="1241"/>
      <c r="CM643" s="1241"/>
      <c r="CN643" s="1241"/>
      <c r="CO643" s="1241"/>
      <c r="CP643" s="1241"/>
      <c r="CQ643" s="1241"/>
      <c r="CR643" s="1241"/>
      <c r="CS643" s="1241"/>
      <c r="CT643" s="1241"/>
      <c r="CU643" s="1241"/>
      <c r="CV643" s="1241"/>
      <c r="CW643" s="1241"/>
      <c r="CX643" s="1241"/>
      <c r="CY643" s="1241"/>
      <c r="CZ643" s="1241"/>
      <c r="DA643" s="1241"/>
      <c r="DB643" s="1241"/>
      <c r="DC643" s="1241"/>
      <c r="DD643" s="1241"/>
      <c r="DE643" s="1241"/>
      <c r="DF643" s="1241"/>
      <c r="DG643" s="1241"/>
      <c r="DH643" s="1241"/>
      <c r="DI643" s="1241"/>
      <c r="DJ643" s="1241"/>
      <c r="DK643" s="1241"/>
      <c r="DL643" s="1241"/>
      <c r="DM643" s="1241"/>
    </row>
    <row r="644" spans="1:117" s="1302" customFormat="1" hidden="1">
      <c r="A644" s="1243"/>
      <c r="B644" s="1480" t="s">
        <v>4271</v>
      </c>
      <c r="C644" s="1480"/>
      <c r="D644" s="1481"/>
      <c r="E644" s="1482"/>
      <c r="F644" s="1488"/>
      <c r="G644" s="1489"/>
      <c r="H644" s="1487">
        <v>-3.3875000000000099E-2</v>
      </c>
      <c r="I644" s="1487">
        <v>0.29346738738471778</v>
      </c>
      <c r="J644" s="1487">
        <v>0.18583065422618716</v>
      </c>
      <c r="K644" s="1487">
        <v>0.23768575642458689</v>
      </c>
      <c r="L644" s="1487">
        <v>0.28824627984480866</v>
      </c>
      <c r="M644" s="1487">
        <v>0.32348147029945906</v>
      </c>
      <c r="N644" s="1487">
        <v>0.36013380626818758</v>
      </c>
      <c r="O644" s="1487">
        <v>0.1435702288074614</v>
      </c>
      <c r="P644" s="1241"/>
      <c r="Q644" s="1241"/>
      <c r="R644" s="1241"/>
      <c r="S644" s="1241"/>
      <c r="T644" s="1241"/>
      <c r="U644" s="1241"/>
      <c r="V644" s="1241"/>
      <c r="W644" s="1241"/>
      <c r="X644" s="1241"/>
      <c r="Y644" s="1241"/>
      <c r="Z644" s="1241"/>
      <c r="AA644" s="1241"/>
      <c r="AB644" s="1241"/>
      <c r="AC644" s="1241"/>
      <c r="AD644" s="1241"/>
      <c r="AE644" s="1241"/>
      <c r="AF644" s="1241"/>
      <c r="AG644" s="1241"/>
      <c r="AH644" s="1241"/>
      <c r="AI644" s="1241"/>
      <c r="AJ644" s="1241"/>
      <c r="AK644" s="1241"/>
      <c r="AL644" s="1241"/>
      <c r="AM644" s="1241"/>
      <c r="AN644" s="1241"/>
      <c r="AO644" s="1241"/>
      <c r="AP644" s="1241"/>
      <c r="AQ644" s="1241"/>
      <c r="AR644" s="1241"/>
      <c r="AS644" s="1241"/>
      <c r="AT644" s="1241"/>
      <c r="AU644" s="1241"/>
      <c r="AV644" s="1241"/>
      <c r="AW644" s="1241"/>
      <c r="AX644" s="1241"/>
      <c r="AY644" s="1241"/>
      <c r="AZ644" s="1241"/>
      <c r="BA644" s="1241"/>
      <c r="BB644" s="1241"/>
      <c r="BC644" s="1241"/>
      <c r="BD644" s="1241"/>
      <c r="BE644" s="1241"/>
      <c r="BF644" s="1241"/>
      <c r="BG644" s="1241"/>
      <c r="BH644" s="1241"/>
      <c r="BI644" s="1241"/>
      <c r="BJ644" s="1241"/>
      <c r="BK644" s="1241"/>
      <c r="BL644" s="1241"/>
      <c r="BM644" s="1241"/>
      <c r="BN644" s="1241"/>
      <c r="BO644" s="1241"/>
      <c r="BP644" s="1241"/>
      <c r="BQ644" s="1241"/>
      <c r="BR644" s="1241"/>
      <c r="BS644" s="1241"/>
      <c r="BT644" s="1241"/>
      <c r="BU644" s="1241"/>
      <c r="BV644" s="1241"/>
      <c r="BW644" s="1241"/>
      <c r="BX644" s="1241"/>
      <c r="BY644" s="1241"/>
      <c r="BZ644" s="1241"/>
      <c r="CA644" s="1241"/>
      <c r="CB644" s="1241"/>
      <c r="CC644" s="1241"/>
      <c r="CD644" s="1241"/>
      <c r="CE644" s="1241"/>
      <c r="CF644" s="1241"/>
      <c r="CG644" s="1241"/>
      <c r="CH644" s="1241"/>
      <c r="CI644" s="1241"/>
      <c r="CJ644" s="1241"/>
      <c r="CK644" s="1241"/>
      <c r="CL644" s="1241"/>
      <c r="CM644" s="1241"/>
      <c r="CN644" s="1241"/>
      <c r="CO644" s="1241"/>
      <c r="CP644" s="1241"/>
      <c r="CQ644" s="1241"/>
      <c r="CR644" s="1241"/>
      <c r="CS644" s="1241"/>
      <c r="CT644" s="1241"/>
      <c r="CU644" s="1241"/>
      <c r="CV644" s="1241"/>
      <c r="CW644" s="1241"/>
      <c r="CX644" s="1241"/>
      <c r="CY644" s="1241"/>
      <c r="CZ644" s="1241"/>
      <c r="DA644" s="1241"/>
      <c r="DB644" s="1241"/>
      <c r="DC644" s="1241"/>
      <c r="DD644" s="1241"/>
      <c r="DE644" s="1241"/>
      <c r="DF644" s="1241"/>
      <c r="DG644" s="1241"/>
      <c r="DH644" s="1241"/>
      <c r="DI644" s="1241"/>
      <c r="DJ644" s="1241"/>
      <c r="DK644" s="1241"/>
      <c r="DL644" s="1241"/>
      <c r="DM644" s="1241"/>
    </row>
    <row r="645" spans="1:117" s="1302" customFormat="1" hidden="1">
      <c r="A645" s="1243"/>
      <c r="B645" s="1480" t="s">
        <v>4272</v>
      </c>
      <c r="C645" s="1480"/>
      <c r="D645" s="1481"/>
      <c r="E645" s="1482"/>
      <c r="F645" s="1483"/>
      <c r="G645" s="1484"/>
      <c r="H645" s="1487">
        <v>-2.7100000000000082E-2</v>
      </c>
      <c r="I645" s="1487">
        <v>0.23477390990777425</v>
      </c>
      <c r="J645" s="1487">
        <v>0.14866452338094974</v>
      </c>
      <c r="K645" s="1487">
        <v>0.19014860513966952</v>
      </c>
      <c r="L645" s="1487">
        <v>0.23059702387584693</v>
      </c>
      <c r="M645" s="1487">
        <v>0.25878517623956726</v>
      </c>
      <c r="N645" s="1487">
        <v>0.28810704501455009</v>
      </c>
      <c r="O645" s="1487">
        <v>0.11485618304596912</v>
      </c>
      <c r="P645" s="1241"/>
      <c r="Q645" s="1241"/>
      <c r="R645" s="1241"/>
      <c r="S645" s="1241"/>
      <c r="T645" s="1241"/>
      <c r="U645" s="1241"/>
      <c r="V645" s="1241"/>
      <c r="W645" s="1241"/>
      <c r="X645" s="1241"/>
      <c r="Y645" s="1241"/>
      <c r="Z645" s="1241"/>
      <c r="AA645" s="1241"/>
      <c r="AB645" s="1241"/>
      <c r="AC645" s="1241"/>
      <c r="AD645" s="1241"/>
      <c r="AE645" s="1241"/>
      <c r="AF645" s="1241"/>
      <c r="AG645" s="1241"/>
      <c r="AH645" s="1241"/>
      <c r="AI645" s="1241"/>
      <c r="AJ645" s="1241"/>
      <c r="AK645" s="1241"/>
      <c r="AL645" s="1241"/>
      <c r="AM645" s="1241"/>
      <c r="AN645" s="1241"/>
      <c r="AO645" s="1241"/>
      <c r="AP645" s="1241"/>
      <c r="AQ645" s="1241"/>
      <c r="AR645" s="1241"/>
      <c r="AS645" s="1241"/>
      <c r="AT645" s="1241"/>
      <c r="AU645" s="1241"/>
      <c r="AV645" s="1241"/>
      <c r="AW645" s="1241"/>
      <c r="AX645" s="1241"/>
      <c r="AY645" s="1241"/>
      <c r="AZ645" s="1241"/>
      <c r="BA645" s="1241"/>
      <c r="BB645" s="1241"/>
      <c r="BC645" s="1241"/>
      <c r="BD645" s="1241"/>
      <c r="BE645" s="1241"/>
      <c r="BF645" s="1241"/>
      <c r="BG645" s="1241"/>
      <c r="BH645" s="1241"/>
      <c r="BI645" s="1241"/>
      <c r="BJ645" s="1241"/>
      <c r="BK645" s="1241"/>
      <c r="BL645" s="1241"/>
      <c r="BM645" s="1241"/>
      <c r="BN645" s="1241"/>
      <c r="BO645" s="1241"/>
      <c r="BP645" s="1241"/>
      <c r="BQ645" s="1241"/>
      <c r="BR645" s="1241"/>
      <c r="BS645" s="1241"/>
      <c r="BT645" s="1241"/>
      <c r="BU645" s="1241"/>
      <c r="BV645" s="1241"/>
      <c r="BW645" s="1241"/>
      <c r="BX645" s="1241"/>
      <c r="BY645" s="1241"/>
      <c r="BZ645" s="1241"/>
      <c r="CA645" s="1241"/>
      <c r="CB645" s="1241"/>
      <c r="CC645" s="1241"/>
      <c r="CD645" s="1241"/>
      <c r="CE645" s="1241"/>
      <c r="CF645" s="1241"/>
      <c r="CG645" s="1241"/>
      <c r="CH645" s="1241"/>
      <c r="CI645" s="1241"/>
      <c r="CJ645" s="1241"/>
      <c r="CK645" s="1241"/>
      <c r="CL645" s="1241"/>
      <c r="CM645" s="1241"/>
      <c r="CN645" s="1241"/>
      <c r="CO645" s="1241"/>
      <c r="CP645" s="1241"/>
      <c r="CQ645" s="1241"/>
      <c r="CR645" s="1241"/>
      <c r="CS645" s="1241"/>
      <c r="CT645" s="1241"/>
      <c r="CU645" s="1241"/>
      <c r="CV645" s="1241"/>
      <c r="CW645" s="1241"/>
      <c r="CX645" s="1241"/>
      <c r="CY645" s="1241"/>
      <c r="CZ645" s="1241"/>
      <c r="DA645" s="1241"/>
      <c r="DB645" s="1241"/>
      <c r="DC645" s="1241"/>
      <c r="DD645" s="1241"/>
      <c r="DE645" s="1241"/>
      <c r="DF645" s="1241"/>
      <c r="DG645" s="1241"/>
      <c r="DH645" s="1241"/>
      <c r="DI645" s="1241"/>
      <c r="DJ645" s="1241"/>
      <c r="DK645" s="1241"/>
      <c r="DL645" s="1241"/>
      <c r="DM645" s="1241"/>
    </row>
    <row r="646" spans="1:117" s="1302" customFormat="1" hidden="1">
      <c r="A646" s="1243"/>
      <c r="B646" s="1480" t="s">
        <v>4273</v>
      </c>
      <c r="C646" s="1480"/>
      <c r="D646" s="1481"/>
      <c r="E646" s="1482"/>
      <c r="F646" s="1485"/>
      <c r="G646" s="1483"/>
      <c r="H646" s="1487">
        <v>-2.7100000000000082E-2</v>
      </c>
      <c r="I646" s="1487">
        <v>0.23477390990777425</v>
      </c>
      <c r="J646" s="1487">
        <v>0.14866452338094974</v>
      </c>
      <c r="K646" s="1487">
        <v>0.19014860513966952</v>
      </c>
      <c r="L646" s="1487">
        <v>0.23059702387584693</v>
      </c>
      <c r="M646" s="1487">
        <v>0.25878517623956726</v>
      </c>
      <c r="N646" s="1487">
        <v>0.28810704501455009</v>
      </c>
      <c r="O646" s="1487">
        <v>0.11485618304596912</v>
      </c>
      <c r="P646" s="1241"/>
      <c r="Q646" s="1241"/>
      <c r="R646" s="1241"/>
      <c r="S646" s="1241"/>
      <c r="T646" s="1241"/>
      <c r="U646" s="1241"/>
      <c r="V646" s="1241"/>
      <c r="W646" s="1241"/>
      <c r="X646" s="1241"/>
      <c r="Y646" s="1241"/>
      <c r="Z646" s="1241"/>
      <c r="AA646" s="1241"/>
      <c r="AB646" s="1241"/>
      <c r="AC646" s="1241"/>
      <c r="AD646" s="1241"/>
      <c r="AE646" s="1241"/>
      <c r="AF646" s="1241"/>
      <c r="AG646" s="1241"/>
      <c r="AH646" s="1241"/>
      <c r="AI646" s="1241"/>
      <c r="AJ646" s="1241"/>
      <c r="AK646" s="1241"/>
      <c r="AL646" s="1241"/>
      <c r="AM646" s="1241"/>
      <c r="AN646" s="1241"/>
      <c r="AO646" s="1241"/>
      <c r="AP646" s="1241"/>
      <c r="AQ646" s="1241"/>
      <c r="AR646" s="1241"/>
      <c r="AS646" s="1241"/>
      <c r="AT646" s="1241"/>
      <c r="AU646" s="1241"/>
      <c r="AV646" s="1241"/>
      <c r="AW646" s="1241"/>
      <c r="AX646" s="1241"/>
      <c r="AY646" s="1241"/>
      <c r="AZ646" s="1241"/>
      <c r="BA646" s="1241"/>
      <c r="BB646" s="1241"/>
      <c r="BC646" s="1241"/>
      <c r="BD646" s="1241"/>
      <c r="BE646" s="1241"/>
      <c r="BF646" s="1241"/>
      <c r="BG646" s="1241"/>
      <c r="BH646" s="1241"/>
      <c r="BI646" s="1241"/>
      <c r="BJ646" s="1241"/>
      <c r="BK646" s="1241"/>
      <c r="BL646" s="1241"/>
      <c r="BM646" s="1241"/>
      <c r="BN646" s="1241"/>
      <c r="BO646" s="1241"/>
      <c r="BP646" s="1241"/>
      <c r="BQ646" s="1241"/>
      <c r="BR646" s="1241"/>
      <c r="BS646" s="1241"/>
      <c r="BT646" s="1241"/>
      <c r="BU646" s="1241"/>
      <c r="BV646" s="1241"/>
      <c r="BW646" s="1241"/>
      <c r="BX646" s="1241"/>
      <c r="BY646" s="1241"/>
      <c r="BZ646" s="1241"/>
      <c r="CA646" s="1241"/>
      <c r="CB646" s="1241"/>
      <c r="CC646" s="1241"/>
      <c r="CD646" s="1241"/>
      <c r="CE646" s="1241"/>
      <c r="CF646" s="1241"/>
      <c r="CG646" s="1241"/>
      <c r="CH646" s="1241"/>
      <c r="CI646" s="1241"/>
      <c r="CJ646" s="1241"/>
      <c r="CK646" s="1241"/>
      <c r="CL646" s="1241"/>
      <c r="CM646" s="1241"/>
      <c r="CN646" s="1241"/>
      <c r="CO646" s="1241"/>
      <c r="CP646" s="1241"/>
      <c r="CQ646" s="1241"/>
      <c r="CR646" s="1241"/>
      <c r="CS646" s="1241"/>
      <c r="CT646" s="1241"/>
      <c r="CU646" s="1241"/>
      <c r="CV646" s="1241"/>
      <c r="CW646" s="1241"/>
      <c r="CX646" s="1241"/>
      <c r="CY646" s="1241"/>
      <c r="CZ646" s="1241"/>
      <c r="DA646" s="1241"/>
      <c r="DB646" s="1241"/>
      <c r="DC646" s="1241"/>
      <c r="DD646" s="1241"/>
      <c r="DE646" s="1241"/>
      <c r="DF646" s="1241"/>
      <c r="DG646" s="1241"/>
      <c r="DH646" s="1241"/>
      <c r="DI646" s="1241"/>
      <c r="DJ646" s="1241"/>
      <c r="DK646" s="1241"/>
      <c r="DL646" s="1241"/>
      <c r="DM646" s="1241"/>
    </row>
    <row r="647" spans="1:117" s="1302" customFormat="1" hidden="1">
      <c r="A647" s="1243"/>
      <c r="B647" s="1480"/>
      <c r="C647" s="1480"/>
      <c r="D647" s="1481"/>
      <c r="E647" s="1482"/>
      <c r="F647" s="1486"/>
      <c r="G647" s="1487"/>
      <c r="H647" s="1487"/>
      <c r="I647" s="1487"/>
      <c r="J647" s="1487"/>
      <c r="K647" s="1487"/>
      <c r="L647" s="1487"/>
      <c r="M647" s="1487"/>
      <c r="N647" s="1487"/>
      <c r="O647" s="1487"/>
      <c r="P647" s="1241"/>
      <c r="Q647" s="1241"/>
      <c r="R647" s="1241"/>
      <c r="S647" s="1241"/>
      <c r="T647" s="1241"/>
      <c r="U647" s="1241"/>
      <c r="V647" s="1241"/>
      <c r="W647" s="1241"/>
      <c r="X647" s="1241"/>
      <c r="Y647" s="1241"/>
      <c r="Z647" s="1241"/>
      <c r="AA647" s="1241"/>
      <c r="AB647" s="1241"/>
      <c r="AC647" s="1241"/>
      <c r="AD647" s="1241"/>
      <c r="AE647" s="1241"/>
      <c r="AF647" s="1241"/>
      <c r="AG647" s="1241"/>
      <c r="AH647" s="1241"/>
      <c r="AI647" s="1241"/>
      <c r="AJ647" s="1241"/>
      <c r="AK647" s="1241"/>
      <c r="AL647" s="1241"/>
      <c r="AM647" s="1241"/>
      <c r="AN647" s="1241"/>
      <c r="AO647" s="1241"/>
      <c r="AP647" s="1241"/>
      <c r="AQ647" s="1241"/>
      <c r="AR647" s="1241"/>
      <c r="AS647" s="1241"/>
      <c r="AT647" s="1241"/>
      <c r="AU647" s="1241"/>
      <c r="AV647" s="1241"/>
      <c r="AW647" s="1241"/>
      <c r="AX647" s="1241"/>
      <c r="AY647" s="1241"/>
      <c r="AZ647" s="1241"/>
      <c r="BA647" s="1241"/>
      <c r="BB647" s="1241"/>
      <c r="BC647" s="1241"/>
      <c r="BD647" s="1241"/>
      <c r="BE647" s="1241"/>
      <c r="BF647" s="1241"/>
      <c r="BG647" s="1241"/>
      <c r="BH647" s="1241"/>
      <c r="BI647" s="1241"/>
      <c r="BJ647" s="1241"/>
      <c r="BK647" s="1241"/>
      <c r="BL647" s="1241"/>
      <c r="BM647" s="1241"/>
      <c r="BN647" s="1241"/>
      <c r="BO647" s="1241"/>
      <c r="BP647" s="1241"/>
      <c r="BQ647" s="1241"/>
      <c r="BR647" s="1241"/>
      <c r="BS647" s="1241"/>
      <c r="BT647" s="1241"/>
      <c r="BU647" s="1241"/>
      <c r="BV647" s="1241"/>
      <c r="BW647" s="1241"/>
      <c r="BX647" s="1241"/>
      <c r="BY647" s="1241"/>
      <c r="BZ647" s="1241"/>
      <c r="CA647" s="1241"/>
      <c r="CB647" s="1241"/>
      <c r="CC647" s="1241"/>
      <c r="CD647" s="1241"/>
      <c r="CE647" s="1241"/>
      <c r="CF647" s="1241"/>
      <c r="CG647" s="1241"/>
      <c r="CH647" s="1241"/>
      <c r="CI647" s="1241"/>
      <c r="CJ647" s="1241"/>
      <c r="CK647" s="1241"/>
      <c r="CL647" s="1241"/>
      <c r="CM647" s="1241"/>
      <c r="CN647" s="1241"/>
      <c r="CO647" s="1241"/>
      <c r="CP647" s="1241"/>
      <c r="CQ647" s="1241"/>
      <c r="CR647" s="1241"/>
      <c r="CS647" s="1241"/>
      <c r="CT647" s="1241"/>
      <c r="CU647" s="1241"/>
      <c r="CV647" s="1241"/>
      <c r="CW647" s="1241"/>
      <c r="CX647" s="1241"/>
      <c r="CY647" s="1241"/>
      <c r="CZ647" s="1241"/>
      <c r="DA647" s="1241"/>
      <c r="DB647" s="1241"/>
      <c r="DC647" s="1241"/>
      <c r="DD647" s="1241"/>
      <c r="DE647" s="1241"/>
      <c r="DF647" s="1241"/>
      <c r="DG647" s="1241"/>
      <c r="DH647" s="1241"/>
      <c r="DI647" s="1241"/>
      <c r="DJ647" s="1241"/>
      <c r="DK647" s="1241"/>
      <c r="DL647" s="1241"/>
      <c r="DM647" s="1241"/>
    </row>
    <row r="648" spans="1:117" s="1302" customFormat="1" hidden="1">
      <c r="A648" s="1243"/>
      <c r="B648" s="1490"/>
      <c r="C648" s="1490"/>
      <c r="D648" s="1491"/>
      <c r="E648" s="1224"/>
      <c r="F648" s="1492"/>
      <c r="G648" s="1493"/>
      <c r="H648" s="1493"/>
      <c r="I648" s="1493"/>
      <c r="J648" s="1493"/>
      <c r="K648" s="1493"/>
      <c r="L648" s="1493"/>
      <c r="M648" s="1493"/>
      <c r="N648" s="1493"/>
      <c r="O648" s="1493"/>
      <c r="P648" s="1241"/>
      <c r="Q648" s="1241"/>
      <c r="R648" s="1241"/>
      <c r="S648" s="1241"/>
      <c r="T648" s="1241"/>
      <c r="U648" s="1241"/>
      <c r="V648" s="1241"/>
      <c r="W648" s="1241"/>
      <c r="X648" s="1241"/>
      <c r="Y648" s="1241"/>
      <c r="Z648" s="1241"/>
      <c r="AA648" s="1241"/>
      <c r="AB648" s="1241"/>
      <c r="AC648" s="1241"/>
      <c r="AD648" s="1241"/>
      <c r="AE648" s="1241"/>
      <c r="AF648" s="1241"/>
      <c r="AG648" s="1241"/>
      <c r="AH648" s="1241"/>
      <c r="AI648" s="1241"/>
      <c r="AJ648" s="1241"/>
      <c r="AK648" s="1241"/>
      <c r="AL648" s="1241"/>
      <c r="AM648" s="1241"/>
      <c r="AN648" s="1241"/>
      <c r="AO648" s="1241"/>
      <c r="AP648" s="1241"/>
      <c r="AQ648" s="1241"/>
      <c r="AR648" s="1241"/>
      <c r="AS648" s="1241"/>
      <c r="AT648" s="1241"/>
      <c r="AU648" s="1241"/>
      <c r="AV648" s="1241"/>
      <c r="AW648" s="1241"/>
      <c r="AX648" s="1241"/>
      <c r="AY648" s="1241"/>
      <c r="AZ648" s="1241"/>
      <c r="BA648" s="1241"/>
      <c r="BB648" s="1241"/>
      <c r="BC648" s="1241"/>
      <c r="BD648" s="1241"/>
      <c r="BE648" s="1241"/>
      <c r="BF648" s="1241"/>
      <c r="BG648" s="1241"/>
      <c r="BH648" s="1241"/>
      <c r="BI648" s="1241"/>
      <c r="BJ648" s="1241"/>
      <c r="BK648" s="1241"/>
      <c r="BL648" s="1241"/>
      <c r="BM648" s="1241"/>
      <c r="BN648" s="1241"/>
      <c r="BO648" s="1241"/>
      <c r="BP648" s="1241"/>
      <c r="BQ648" s="1241"/>
      <c r="BR648" s="1241"/>
      <c r="BS648" s="1241"/>
      <c r="BT648" s="1241"/>
      <c r="BU648" s="1241"/>
      <c r="BV648" s="1241"/>
      <c r="BW648" s="1241"/>
      <c r="BX648" s="1241"/>
      <c r="BY648" s="1241"/>
      <c r="BZ648" s="1241"/>
      <c r="CA648" s="1241"/>
      <c r="CB648" s="1241"/>
      <c r="CC648" s="1241"/>
      <c r="CD648" s="1241"/>
      <c r="CE648" s="1241"/>
      <c r="CF648" s="1241"/>
      <c r="CG648" s="1241"/>
      <c r="CH648" s="1241"/>
      <c r="CI648" s="1241"/>
      <c r="CJ648" s="1241"/>
      <c r="CK648" s="1241"/>
      <c r="CL648" s="1241"/>
      <c r="CM648" s="1241"/>
      <c r="CN648" s="1241"/>
      <c r="CO648" s="1241"/>
      <c r="CP648" s="1241"/>
      <c r="CQ648" s="1241"/>
      <c r="CR648" s="1241"/>
      <c r="CS648" s="1241"/>
      <c r="CT648" s="1241"/>
      <c r="CU648" s="1241"/>
      <c r="CV648" s="1241"/>
      <c r="CW648" s="1241"/>
      <c r="CX648" s="1241"/>
      <c r="CY648" s="1241"/>
      <c r="CZ648" s="1241"/>
      <c r="DA648" s="1241"/>
      <c r="DB648" s="1241"/>
      <c r="DC648" s="1241"/>
      <c r="DD648" s="1241"/>
      <c r="DE648" s="1241"/>
      <c r="DF648" s="1241"/>
      <c r="DG648" s="1241"/>
      <c r="DH648" s="1241"/>
      <c r="DI648" s="1241"/>
      <c r="DJ648" s="1241"/>
      <c r="DK648" s="1241"/>
      <c r="DL648" s="1241"/>
      <c r="DM648" s="1241"/>
    </row>
    <row r="649" spans="1:117" s="1302" customFormat="1" hidden="1">
      <c r="A649" s="1243"/>
      <c r="B649" s="1495" t="s">
        <v>4274</v>
      </c>
      <c r="C649" s="1496"/>
      <c r="D649" s="1497"/>
      <c r="E649" s="1224"/>
      <c r="F649" s="1492"/>
      <c r="G649" s="1493"/>
      <c r="H649" s="1493"/>
      <c r="I649" s="1493"/>
      <c r="J649" s="1493"/>
      <c r="K649" s="1493"/>
      <c r="L649" s="1493"/>
      <c r="M649" s="1493"/>
      <c r="N649" s="1493"/>
      <c r="O649" s="1493"/>
      <c r="P649" s="1241"/>
      <c r="Q649" s="1241"/>
      <c r="R649" s="1241"/>
      <c r="S649" s="1241"/>
      <c r="T649" s="1241"/>
      <c r="U649" s="1241"/>
      <c r="V649" s="1241"/>
      <c r="W649" s="1241"/>
      <c r="X649" s="1241"/>
      <c r="Y649" s="1241"/>
      <c r="Z649" s="1241"/>
      <c r="AA649" s="1241"/>
      <c r="AB649" s="1241"/>
      <c r="AC649" s="1241"/>
      <c r="AD649" s="1241"/>
      <c r="AE649" s="1241"/>
      <c r="AF649" s="1241"/>
      <c r="AG649" s="1241"/>
      <c r="AH649" s="1241"/>
      <c r="AI649" s="1241"/>
      <c r="AJ649" s="1241"/>
      <c r="AK649" s="1241"/>
      <c r="AL649" s="1241"/>
      <c r="AM649" s="1241"/>
      <c r="AN649" s="1241"/>
      <c r="AO649" s="1241"/>
      <c r="AP649" s="1241"/>
      <c r="AQ649" s="1241"/>
      <c r="AR649" s="1241"/>
      <c r="AS649" s="1241"/>
      <c r="AT649" s="1241"/>
      <c r="AU649" s="1241"/>
      <c r="AV649" s="1241"/>
      <c r="AW649" s="1241"/>
      <c r="AX649" s="1241"/>
      <c r="AY649" s="1241"/>
      <c r="AZ649" s="1241"/>
      <c r="BA649" s="1241"/>
      <c r="BB649" s="1241"/>
      <c r="BC649" s="1241"/>
      <c r="BD649" s="1241"/>
      <c r="BE649" s="1241"/>
      <c r="BF649" s="1241"/>
      <c r="BG649" s="1241"/>
      <c r="BH649" s="1241"/>
      <c r="BI649" s="1241"/>
      <c r="BJ649" s="1241"/>
      <c r="BK649" s="1241"/>
      <c r="BL649" s="1241"/>
      <c r="BM649" s="1241"/>
      <c r="BN649" s="1241"/>
      <c r="BO649" s="1241"/>
      <c r="BP649" s="1241"/>
      <c r="BQ649" s="1241"/>
      <c r="BR649" s="1241"/>
      <c r="BS649" s="1241"/>
      <c r="BT649" s="1241"/>
      <c r="BU649" s="1241"/>
      <c r="BV649" s="1241"/>
      <c r="BW649" s="1241"/>
      <c r="BX649" s="1241"/>
      <c r="BY649" s="1241"/>
      <c r="BZ649" s="1241"/>
      <c r="CA649" s="1241"/>
      <c r="CB649" s="1241"/>
      <c r="CC649" s="1241"/>
      <c r="CD649" s="1241"/>
      <c r="CE649" s="1241"/>
      <c r="CF649" s="1241"/>
      <c r="CG649" s="1241"/>
      <c r="CH649" s="1241"/>
      <c r="CI649" s="1241"/>
      <c r="CJ649" s="1241"/>
      <c r="CK649" s="1241"/>
      <c r="CL649" s="1241"/>
      <c r="CM649" s="1241"/>
      <c r="CN649" s="1241"/>
      <c r="CO649" s="1241"/>
      <c r="CP649" s="1241"/>
      <c r="CQ649" s="1241"/>
      <c r="CR649" s="1241"/>
      <c r="CS649" s="1241"/>
      <c r="CT649" s="1241"/>
      <c r="CU649" s="1241"/>
      <c r="CV649" s="1241"/>
      <c r="CW649" s="1241"/>
      <c r="CX649" s="1241"/>
      <c r="CY649" s="1241"/>
      <c r="CZ649" s="1241"/>
      <c r="DA649" s="1241"/>
      <c r="DB649" s="1241"/>
      <c r="DC649" s="1241"/>
      <c r="DD649" s="1241"/>
      <c r="DE649" s="1241"/>
      <c r="DF649" s="1241"/>
      <c r="DG649" s="1241"/>
      <c r="DH649" s="1241"/>
      <c r="DI649" s="1241"/>
      <c r="DJ649" s="1241"/>
      <c r="DK649" s="1241"/>
      <c r="DL649" s="1241"/>
      <c r="DM649" s="1241"/>
    </row>
    <row r="650" spans="1:117" s="1302" customFormat="1" hidden="1">
      <c r="A650" s="1243"/>
      <c r="B650" s="1496"/>
      <c r="C650" s="1496"/>
      <c r="D650" s="1497"/>
      <c r="E650" s="1224"/>
      <c r="F650" s="1492"/>
      <c r="G650" s="1493"/>
      <c r="H650" s="1493"/>
      <c r="I650" s="1493"/>
      <c r="J650" s="1493"/>
      <c r="K650" s="1493"/>
      <c r="L650" s="1493"/>
      <c r="M650" s="1493"/>
      <c r="N650" s="1493"/>
      <c r="O650" s="1493"/>
      <c r="P650" s="1241"/>
      <c r="Q650" s="1241"/>
      <c r="R650" s="1241"/>
      <c r="S650" s="1241"/>
      <c r="T650" s="1241"/>
      <c r="U650" s="1241"/>
      <c r="V650" s="1241"/>
      <c r="W650" s="1241"/>
      <c r="X650" s="1241"/>
      <c r="Y650" s="1241"/>
      <c r="Z650" s="1241"/>
      <c r="AA650" s="1241"/>
      <c r="AB650" s="1241"/>
      <c r="AC650" s="1241"/>
      <c r="AD650" s="1241"/>
      <c r="AE650" s="1241"/>
      <c r="AF650" s="1241"/>
      <c r="AG650" s="1241"/>
      <c r="AH650" s="1241"/>
      <c r="AI650" s="1241"/>
      <c r="AJ650" s="1241"/>
      <c r="AK650" s="1241"/>
      <c r="AL650" s="1241"/>
      <c r="AM650" s="1241"/>
      <c r="AN650" s="1241"/>
      <c r="AO650" s="1241"/>
      <c r="AP650" s="1241"/>
      <c r="AQ650" s="1241"/>
      <c r="AR650" s="1241"/>
      <c r="AS650" s="1241"/>
      <c r="AT650" s="1241"/>
      <c r="AU650" s="1241"/>
      <c r="AV650" s="1241"/>
      <c r="AW650" s="1241"/>
      <c r="AX650" s="1241"/>
      <c r="AY650" s="1241"/>
      <c r="AZ650" s="1241"/>
      <c r="BA650" s="1241"/>
      <c r="BB650" s="1241"/>
      <c r="BC650" s="1241"/>
      <c r="BD650" s="1241"/>
      <c r="BE650" s="1241"/>
      <c r="BF650" s="1241"/>
      <c r="BG650" s="1241"/>
      <c r="BH650" s="1241"/>
      <c r="BI650" s="1241"/>
      <c r="BJ650" s="1241"/>
      <c r="BK650" s="1241"/>
      <c r="BL650" s="1241"/>
      <c r="BM650" s="1241"/>
      <c r="BN650" s="1241"/>
      <c r="BO650" s="1241"/>
      <c r="BP650" s="1241"/>
      <c r="BQ650" s="1241"/>
      <c r="BR650" s="1241"/>
      <c r="BS650" s="1241"/>
      <c r="BT650" s="1241"/>
      <c r="BU650" s="1241"/>
      <c r="BV650" s="1241"/>
      <c r="BW650" s="1241"/>
      <c r="BX650" s="1241"/>
      <c r="BY650" s="1241"/>
      <c r="BZ650" s="1241"/>
      <c r="CA650" s="1241"/>
      <c r="CB650" s="1241"/>
      <c r="CC650" s="1241"/>
      <c r="CD650" s="1241"/>
      <c r="CE650" s="1241"/>
      <c r="CF650" s="1241"/>
      <c r="CG650" s="1241"/>
      <c r="CH650" s="1241"/>
      <c r="CI650" s="1241"/>
      <c r="CJ650" s="1241"/>
      <c r="CK650" s="1241"/>
      <c r="CL650" s="1241"/>
      <c r="CM650" s="1241"/>
      <c r="CN650" s="1241"/>
      <c r="CO650" s="1241"/>
      <c r="CP650" s="1241"/>
      <c r="CQ650" s="1241"/>
      <c r="CR650" s="1241"/>
      <c r="CS650" s="1241"/>
      <c r="CT650" s="1241"/>
      <c r="CU650" s="1241"/>
      <c r="CV650" s="1241"/>
      <c r="CW650" s="1241"/>
      <c r="CX650" s="1241"/>
      <c r="CY650" s="1241"/>
      <c r="CZ650" s="1241"/>
      <c r="DA650" s="1241"/>
      <c r="DB650" s="1241"/>
      <c r="DC650" s="1241"/>
      <c r="DD650" s="1241"/>
      <c r="DE650" s="1241"/>
      <c r="DF650" s="1241"/>
      <c r="DG650" s="1241"/>
      <c r="DH650" s="1241"/>
      <c r="DI650" s="1241"/>
      <c r="DJ650" s="1241"/>
      <c r="DK650" s="1241"/>
      <c r="DL650" s="1241"/>
      <c r="DM650" s="1241"/>
    </row>
    <row r="651" spans="1:117" s="1302" customFormat="1" hidden="1">
      <c r="A651" s="1243"/>
      <c r="B651" s="1495" t="s">
        <v>4275</v>
      </c>
      <c r="C651" s="1496"/>
      <c r="D651" s="1497"/>
      <c r="E651" s="1224"/>
      <c r="F651" s="1492"/>
      <c r="G651" s="1493"/>
      <c r="H651" s="1493"/>
      <c r="I651" s="1493"/>
      <c r="J651" s="1493"/>
      <c r="K651" s="1493"/>
      <c r="L651" s="1493"/>
      <c r="M651" s="1493"/>
      <c r="N651" s="1493"/>
      <c r="O651" s="1493"/>
      <c r="P651" s="1241"/>
      <c r="Q651" s="1241"/>
      <c r="R651" s="1241"/>
      <c r="S651" s="1241"/>
      <c r="T651" s="1241"/>
      <c r="U651" s="1241"/>
      <c r="V651" s="1241"/>
      <c r="W651" s="1241"/>
      <c r="X651" s="1241"/>
      <c r="Y651" s="1241"/>
      <c r="Z651" s="1241"/>
      <c r="AA651" s="1241"/>
      <c r="AB651" s="1241"/>
      <c r="AC651" s="1241"/>
      <c r="AD651" s="1241"/>
      <c r="AE651" s="1241"/>
      <c r="AF651" s="1241"/>
      <c r="AG651" s="1241"/>
      <c r="AH651" s="1241"/>
      <c r="AI651" s="1241"/>
      <c r="AJ651" s="1241"/>
      <c r="AK651" s="1241"/>
      <c r="AL651" s="1241"/>
      <c r="AM651" s="1241"/>
      <c r="AN651" s="1241"/>
      <c r="AO651" s="1241"/>
      <c r="AP651" s="1241"/>
      <c r="AQ651" s="1241"/>
      <c r="AR651" s="1241"/>
      <c r="AS651" s="1241"/>
      <c r="AT651" s="1241"/>
      <c r="AU651" s="1241"/>
      <c r="AV651" s="1241"/>
      <c r="AW651" s="1241"/>
      <c r="AX651" s="1241"/>
      <c r="AY651" s="1241"/>
      <c r="AZ651" s="1241"/>
      <c r="BA651" s="1241"/>
      <c r="BB651" s="1241"/>
      <c r="BC651" s="1241"/>
      <c r="BD651" s="1241"/>
      <c r="BE651" s="1241"/>
      <c r="BF651" s="1241"/>
      <c r="BG651" s="1241"/>
      <c r="BH651" s="1241"/>
      <c r="BI651" s="1241"/>
      <c r="BJ651" s="1241"/>
      <c r="BK651" s="1241"/>
      <c r="BL651" s="1241"/>
      <c r="BM651" s="1241"/>
      <c r="BN651" s="1241"/>
      <c r="BO651" s="1241"/>
      <c r="BP651" s="1241"/>
      <c r="BQ651" s="1241"/>
      <c r="BR651" s="1241"/>
      <c r="BS651" s="1241"/>
      <c r="BT651" s="1241"/>
      <c r="BU651" s="1241"/>
      <c r="BV651" s="1241"/>
      <c r="BW651" s="1241"/>
      <c r="BX651" s="1241"/>
      <c r="BY651" s="1241"/>
      <c r="BZ651" s="1241"/>
      <c r="CA651" s="1241"/>
      <c r="CB651" s="1241"/>
      <c r="CC651" s="1241"/>
      <c r="CD651" s="1241"/>
      <c r="CE651" s="1241"/>
      <c r="CF651" s="1241"/>
      <c r="CG651" s="1241"/>
      <c r="CH651" s="1241"/>
      <c r="CI651" s="1241"/>
      <c r="CJ651" s="1241"/>
      <c r="CK651" s="1241"/>
      <c r="CL651" s="1241"/>
      <c r="CM651" s="1241"/>
      <c r="CN651" s="1241"/>
      <c r="CO651" s="1241"/>
      <c r="CP651" s="1241"/>
      <c r="CQ651" s="1241"/>
      <c r="CR651" s="1241"/>
      <c r="CS651" s="1241"/>
      <c r="CT651" s="1241"/>
      <c r="CU651" s="1241"/>
      <c r="CV651" s="1241"/>
      <c r="CW651" s="1241"/>
      <c r="CX651" s="1241"/>
      <c r="CY651" s="1241"/>
      <c r="CZ651" s="1241"/>
      <c r="DA651" s="1241"/>
      <c r="DB651" s="1241"/>
      <c r="DC651" s="1241"/>
      <c r="DD651" s="1241"/>
      <c r="DE651" s="1241"/>
      <c r="DF651" s="1241"/>
      <c r="DG651" s="1241"/>
      <c r="DH651" s="1241"/>
      <c r="DI651" s="1241"/>
      <c r="DJ651" s="1241"/>
      <c r="DK651" s="1241"/>
      <c r="DL651" s="1241"/>
      <c r="DM651" s="1241"/>
    </row>
    <row r="652" spans="1:117" s="1302" customFormat="1" hidden="1">
      <c r="A652" s="1243"/>
      <c r="B652" s="1496" t="s">
        <v>4269</v>
      </c>
      <c r="C652" s="1496"/>
      <c r="D652" s="1497"/>
      <c r="E652" s="1224"/>
      <c r="F652" s="1492"/>
      <c r="G652" s="1493"/>
      <c r="H652" s="1498">
        <v>111.66474720000001</v>
      </c>
      <c r="I652" s="1498">
        <v>111.66474720000001</v>
      </c>
      <c r="J652" s="1498">
        <v>111.66474720000001</v>
      </c>
      <c r="K652" s="1498">
        <v>111.66474720000001</v>
      </c>
      <c r="L652" s="1498">
        <v>111.66474720000001</v>
      </c>
      <c r="M652" s="1498">
        <v>111.66474720000001</v>
      </c>
      <c r="N652" s="1498">
        <v>111.66474720000001</v>
      </c>
      <c r="O652" s="1498">
        <v>111.66474720000001</v>
      </c>
      <c r="P652" s="1241"/>
      <c r="Q652" s="1241"/>
      <c r="R652" s="1241"/>
      <c r="S652" s="1241"/>
      <c r="T652" s="1241"/>
      <c r="U652" s="1241"/>
      <c r="V652" s="1241"/>
      <c r="W652" s="1241"/>
      <c r="X652" s="1241"/>
      <c r="Y652" s="1241"/>
      <c r="Z652" s="1241"/>
      <c r="AA652" s="1241"/>
      <c r="AB652" s="1241"/>
      <c r="AC652" s="1241"/>
      <c r="AD652" s="1241"/>
      <c r="AE652" s="1241"/>
      <c r="AF652" s="1241"/>
      <c r="AG652" s="1241"/>
      <c r="AH652" s="1241"/>
      <c r="AI652" s="1241"/>
      <c r="AJ652" s="1241"/>
      <c r="AK652" s="1241"/>
      <c r="AL652" s="1241"/>
      <c r="AM652" s="1241"/>
      <c r="AN652" s="1241"/>
      <c r="AO652" s="1241"/>
      <c r="AP652" s="1241"/>
      <c r="AQ652" s="1241"/>
      <c r="AR652" s="1241"/>
      <c r="AS652" s="1241"/>
      <c r="AT652" s="1241"/>
      <c r="AU652" s="1241"/>
      <c r="AV652" s="1241"/>
      <c r="AW652" s="1241"/>
      <c r="AX652" s="1241"/>
      <c r="AY652" s="1241"/>
      <c r="AZ652" s="1241"/>
      <c r="BA652" s="1241"/>
      <c r="BB652" s="1241"/>
      <c r="BC652" s="1241"/>
      <c r="BD652" s="1241"/>
      <c r="BE652" s="1241"/>
      <c r="BF652" s="1241"/>
      <c r="BG652" s="1241"/>
      <c r="BH652" s="1241"/>
      <c r="BI652" s="1241"/>
      <c r="BJ652" s="1241"/>
      <c r="BK652" s="1241"/>
      <c r="BL652" s="1241"/>
      <c r="BM652" s="1241"/>
      <c r="BN652" s="1241"/>
      <c r="BO652" s="1241"/>
      <c r="BP652" s="1241"/>
      <c r="BQ652" s="1241"/>
      <c r="BR652" s="1241"/>
      <c r="BS652" s="1241"/>
      <c r="BT652" s="1241"/>
      <c r="BU652" s="1241"/>
      <c r="BV652" s="1241"/>
      <c r="BW652" s="1241"/>
      <c r="BX652" s="1241"/>
      <c r="BY652" s="1241"/>
      <c r="BZ652" s="1241"/>
      <c r="CA652" s="1241"/>
      <c r="CB652" s="1241"/>
      <c r="CC652" s="1241"/>
      <c r="CD652" s="1241"/>
      <c r="CE652" s="1241"/>
      <c r="CF652" s="1241"/>
      <c r="CG652" s="1241"/>
      <c r="CH652" s="1241"/>
      <c r="CI652" s="1241"/>
      <c r="CJ652" s="1241"/>
      <c r="CK652" s="1241"/>
      <c r="CL652" s="1241"/>
      <c r="CM652" s="1241"/>
      <c r="CN652" s="1241"/>
      <c r="CO652" s="1241"/>
      <c r="CP652" s="1241"/>
      <c r="CQ652" s="1241"/>
      <c r="CR652" s="1241"/>
      <c r="CS652" s="1241"/>
      <c r="CT652" s="1241"/>
      <c r="CU652" s="1241"/>
      <c r="CV652" s="1241"/>
      <c r="CW652" s="1241"/>
      <c r="CX652" s="1241"/>
      <c r="CY652" s="1241"/>
      <c r="CZ652" s="1241"/>
      <c r="DA652" s="1241"/>
      <c r="DB652" s="1241"/>
      <c r="DC652" s="1241"/>
      <c r="DD652" s="1241"/>
      <c r="DE652" s="1241"/>
      <c r="DF652" s="1241"/>
      <c r="DG652" s="1241"/>
      <c r="DH652" s="1241"/>
      <c r="DI652" s="1241"/>
      <c r="DJ652" s="1241"/>
      <c r="DK652" s="1241"/>
      <c r="DL652" s="1241"/>
      <c r="DM652" s="1241"/>
    </row>
    <row r="653" spans="1:117" s="1302" customFormat="1" hidden="1">
      <c r="A653" s="1243"/>
      <c r="B653" s="1496" t="s">
        <v>4270</v>
      </c>
      <c r="C653" s="1496"/>
      <c r="D653" s="1497"/>
      <c r="E653" s="1224"/>
      <c r="F653" s="1492"/>
      <c r="G653" s="1493"/>
      <c r="H653" s="1498">
        <v>55.832373600000004</v>
      </c>
      <c r="I653" s="1498">
        <v>55.832373600000004</v>
      </c>
      <c r="J653" s="1498">
        <v>55.832373600000004</v>
      </c>
      <c r="K653" s="1498">
        <v>55.832373600000004</v>
      </c>
      <c r="L653" s="1498">
        <v>55.832373600000004</v>
      </c>
      <c r="M653" s="1498">
        <v>55.832373600000004</v>
      </c>
      <c r="N653" s="1498">
        <v>55.832373600000004</v>
      </c>
      <c r="O653" s="1498">
        <v>55.832373600000004</v>
      </c>
      <c r="P653" s="1241"/>
      <c r="Q653" s="1241"/>
      <c r="R653" s="1241"/>
      <c r="S653" s="1241"/>
      <c r="T653" s="1241"/>
      <c r="U653" s="1241"/>
      <c r="V653" s="1241"/>
      <c r="W653" s="1241"/>
      <c r="X653" s="1241"/>
      <c r="Y653" s="1241"/>
      <c r="Z653" s="1241"/>
      <c r="AA653" s="1241"/>
      <c r="AB653" s="1241"/>
      <c r="AC653" s="1241"/>
      <c r="AD653" s="1241"/>
      <c r="AE653" s="1241"/>
      <c r="AF653" s="1241"/>
      <c r="AG653" s="1241"/>
      <c r="AH653" s="1241"/>
      <c r="AI653" s="1241"/>
      <c r="AJ653" s="1241"/>
      <c r="AK653" s="1241"/>
      <c r="AL653" s="1241"/>
      <c r="AM653" s="1241"/>
      <c r="AN653" s="1241"/>
      <c r="AO653" s="1241"/>
      <c r="AP653" s="1241"/>
      <c r="AQ653" s="1241"/>
      <c r="AR653" s="1241"/>
      <c r="AS653" s="1241"/>
      <c r="AT653" s="1241"/>
      <c r="AU653" s="1241"/>
      <c r="AV653" s="1241"/>
      <c r="AW653" s="1241"/>
      <c r="AX653" s="1241"/>
      <c r="AY653" s="1241"/>
      <c r="AZ653" s="1241"/>
      <c r="BA653" s="1241"/>
      <c r="BB653" s="1241"/>
      <c r="BC653" s="1241"/>
      <c r="BD653" s="1241"/>
      <c r="BE653" s="1241"/>
      <c r="BF653" s="1241"/>
      <c r="BG653" s="1241"/>
      <c r="BH653" s="1241"/>
      <c r="BI653" s="1241"/>
      <c r="BJ653" s="1241"/>
      <c r="BK653" s="1241"/>
      <c r="BL653" s="1241"/>
      <c r="BM653" s="1241"/>
      <c r="BN653" s="1241"/>
      <c r="BO653" s="1241"/>
      <c r="BP653" s="1241"/>
      <c r="BQ653" s="1241"/>
      <c r="BR653" s="1241"/>
      <c r="BS653" s="1241"/>
      <c r="BT653" s="1241"/>
      <c r="BU653" s="1241"/>
      <c r="BV653" s="1241"/>
      <c r="BW653" s="1241"/>
      <c r="BX653" s="1241"/>
      <c r="BY653" s="1241"/>
      <c r="BZ653" s="1241"/>
      <c r="CA653" s="1241"/>
      <c r="CB653" s="1241"/>
      <c r="CC653" s="1241"/>
      <c r="CD653" s="1241"/>
      <c r="CE653" s="1241"/>
      <c r="CF653" s="1241"/>
      <c r="CG653" s="1241"/>
      <c r="CH653" s="1241"/>
      <c r="CI653" s="1241"/>
      <c r="CJ653" s="1241"/>
      <c r="CK653" s="1241"/>
      <c r="CL653" s="1241"/>
      <c r="CM653" s="1241"/>
      <c r="CN653" s="1241"/>
      <c r="CO653" s="1241"/>
      <c r="CP653" s="1241"/>
      <c r="CQ653" s="1241"/>
      <c r="CR653" s="1241"/>
      <c r="CS653" s="1241"/>
      <c r="CT653" s="1241"/>
      <c r="CU653" s="1241"/>
      <c r="CV653" s="1241"/>
      <c r="CW653" s="1241"/>
      <c r="CX653" s="1241"/>
      <c r="CY653" s="1241"/>
      <c r="CZ653" s="1241"/>
      <c r="DA653" s="1241"/>
      <c r="DB653" s="1241"/>
      <c r="DC653" s="1241"/>
      <c r="DD653" s="1241"/>
      <c r="DE653" s="1241"/>
      <c r="DF653" s="1241"/>
      <c r="DG653" s="1241"/>
      <c r="DH653" s="1241"/>
      <c r="DI653" s="1241"/>
      <c r="DJ653" s="1241"/>
      <c r="DK653" s="1241"/>
      <c r="DL653" s="1241"/>
      <c r="DM653" s="1241"/>
    </row>
    <row r="654" spans="1:117" s="1302" customFormat="1" hidden="1">
      <c r="A654" s="1243"/>
      <c r="B654" s="1496" t="s">
        <v>4271</v>
      </c>
      <c r="C654" s="1496"/>
      <c r="D654" s="1497"/>
      <c r="E654" s="1224"/>
      <c r="F654" s="1492"/>
      <c r="G654" s="1493"/>
      <c r="H654" s="1498">
        <v>66.998848320000008</v>
      </c>
      <c r="I654" s="1498">
        <v>66.998848320000008</v>
      </c>
      <c r="J654" s="1498">
        <v>66.998848320000008</v>
      </c>
      <c r="K654" s="1498">
        <v>66.998848320000008</v>
      </c>
      <c r="L654" s="1498">
        <v>66.998848320000008</v>
      </c>
      <c r="M654" s="1498">
        <v>66.998848320000008</v>
      </c>
      <c r="N654" s="1498">
        <v>66.998848320000008</v>
      </c>
      <c r="O654" s="1498">
        <v>66.998848320000008</v>
      </c>
      <c r="P654" s="1241"/>
      <c r="Q654" s="1241"/>
      <c r="R654" s="1241"/>
      <c r="S654" s="1241"/>
      <c r="T654" s="1241"/>
      <c r="U654" s="1241"/>
      <c r="V654" s="1241"/>
      <c r="W654" s="1241"/>
      <c r="X654" s="1241"/>
      <c r="Y654" s="1241"/>
      <c r="Z654" s="1241"/>
      <c r="AA654" s="1241"/>
      <c r="AB654" s="1241"/>
      <c r="AC654" s="1241"/>
      <c r="AD654" s="1241"/>
      <c r="AE654" s="1241"/>
      <c r="AF654" s="1241"/>
      <c r="AG654" s="1241"/>
      <c r="AH654" s="1241"/>
      <c r="AI654" s="1241"/>
      <c r="AJ654" s="1241"/>
      <c r="AK654" s="1241"/>
      <c r="AL654" s="1241"/>
      <c r="AM654" s="1241"/>
      <c r="AN654" s="1241"/>
      <c r="AO654" s="1241"/>
      <c r="AP654" s="1241"/>
      <c r="AQ654" s="1241"/>
      <c r="AR654" s="1241"/>
      <c r="AS654" s="1241"/>
      <c r="AT654" s="1241"/>
      <c r="AU654" s="1241"/>
      <c r="AV654" s="1241"/>
      <c r="AW654" s="1241"/>
      <c r="AX654" s="1241"/>
      <c r="AY654" s="1241"/>
      <c r="AZ654" s="1241"/>
      <c r="BA654" s="1241"/>
      <c r="BB654" s="1241"/>
      <c r="BC654" s="1241"/>
      <c r="BD654" s="1241"/>
      <c r="BE654" s="1241"/>
      <c r="BF654" s="1241"/>
      <c r="BG654" s="1241"/>
      <c r="BH654" s="1241"/>
      <c r="BI654" s="1241"/>
      <c r="BJ654" s="1241"/>
      <c r="BK654" s="1241"/>
      <c r="BL654" s="1241"/>
      <c r="BM654" s="1241"/>
      <c r="BN654" s="1241"/>
      <c r="BO654" s="1241"/>
      <c r="BP654" s="1241"/>
      <c r="BQ654" s="1241"/>
      <c r="BR654" s="1241"/>
      <c r="BS654" s="1241"/>
      <c r="BT654" s="1241"/>
      <c r="BU654" s="1241"/>
      <c r="BV654" s="1241"/>
      <c r="BW654" s="1241"/>
      <c r="BX654" s="1241"/>
      <c r="BY654" s="1241"/>
      <c r="BZ654" s="1241"/>
      <c r="CA654" s="1241"/>
      <c r="CB654" s="1241"/>
      <c r="CC654" s="1241"/>
      <c r="CD654" s="1241"/>
      <c r="CE654" s="1241"/>
      <c r="CF654" s="1241"/>
      <c r="CG654" s="1241"/>
      <c r="CH654" s="1241"/>
      <c r="CI654" s="1241"/>
      <c r="CJ654" s="1241"/>
      <c r="CK654" s="1241"/>
      <c r="CL654" s="1241"/>
      <c r="CM654" s="1241"/>
      <c r="CN654" s="1241"/>
      <c r="CO654" s="1241"/>
      <c r="CP654" s="1241"/>
      <c r="CQ654" s="1241"/>
      <c r="CR654" s="1241"/>
      <c r="CS654" s="1241"/>
      <c r="CT654" s="1241"/>
      <c r="CU654" s="1241"/>
      <c r="CV654" s="1241"/>
      <c r="CW654" s="1241"/>
      <c r="CX654" s="1241"/>
      <c r="CY654" s="1241"/>
      <c r="CZ654" s="1241"/>
      <c r="DA654" s="1241"/>
      <c r="DB654" s="1241"/>
      <c r="DC654" s="1241"/>
      <c r="DD654" s="1241"/>
      <c r="DE654" s="1241"/>
      <c r="DF654" s="1241"/>
      <c r="DG654" s="1241"/>
      <c r="DH654" s="1241"/>
      <c r="DI654" s="1241"/>
      <c r="DJ654" s="1241"/>
      <c r="DK654" s="1241"/>
      <c r="DL654" s="1241"/>
      <c r="DM654" s="1241"/>
    </row>
    <row r="655" spans="1:117" s="1302" customFormat="1" hidden="1">
      <c r="A655" s="1243"/>
      <c r="B655" s="1496" t="s">
        <v>4272</v>
      </c>
      <c r="C655" s="1496"/>
      <c r="D655" s="1497"/>
      <c r="E655" s="1224"/>
      <c r="F655" s="1492"/>
      <c r="G655" s="1493"/>
      <c r="H655" s="1498">
        <v>97.706653800000012</v>
      </c>
      <c r="I655" s="1498">
        <v>97.706653800000012</v>
      </c>
      <c r="J655" s="1498">
        <v>97.706653800000012</v>
      </c>
      <c r="K655" s="1498">
        <v>97.706653800000012</v>
      </c>
      <c r="L655" s="1498">
        <v>97.706653800000012</v>
      </c>
      <c r="M655" s="1498">
        <v>97.706653800000012</v>
      </c>
      <c r="N655" s="1498">
        <v>97.706653800000012</v>
      </c>
      <c r="O655" s="1498">
        <v>97.706653800000012</v>
      </c>
      <c r="P655" s="1241"/>
      <c r="Q655" s="1241"/>
      <c r="R655" s="1241"/>
      <c r="S655" s="1241"/>
      <c r="T655" s="1241"/>
      <c r="U655" s="1241"/>
      <c r="V655" s="1241"/>
      <c r="W655" s="1241"/>
      <c r="X655" s="1241"/>
      <c r="Y655" s="1241"/>
      <c r="Z655" s="1241"/>
      <c r="AA655" s="1241"/>
      <c r="AB655" s="1241"/>
      <c r="AC655" s="1241"/>
      <c r="AD655" s="1241"/>
      <c r="AE655" s="1241"/>
      <c r="AF655" s="1241"/>
      <c r="AG655" s="1241"/>
      <c r="AH655" s="1241"/>
      <c r="AI655" s="1241"/>
      <c r="AJ655" s="1241"/>
      <c r="AK655" s="1241"/>
      <c r="AL655" s="1241"/>
      <c r="AM655" s="1241"/>
      <c r="AN655" s="1241"/>
      <c r="AO655" s="1241"/>
      <c r="AP655" s="1241"/>
      <c r="AQ655" s="1241"/>
      <c r="AR655" s="1241"/>
      <c r="AS655" s="1241"/>
      <c r="AT655" s="1241"/>
      <c r="AU655" s="1241"/>
      <c r="AV655" s="1241"/>
      <c r="AW655" s="1241"/>
      <c r="AX655" s="1241"/>
      <c r="AY655" s="1241"/>
      <c r="AZ655" s="1241"/>
      <c r="BA655" s="1241"/>
      <c r="BB655" s="1241"/>
      <c r="BC655" s="1241"/>
      <c r="BD655" s="1241"/>
      <c r="BE655" s="1241"/>
      <c r="BF655" s="1241"/>
      <c r="BG655" s="1241"/>
      <c r="BH655" s="1241"/>
      <c r="BI655" s="1241"/>
      <c r="BJ655" s="1241"/>
      <c r="BK655" s="1241"/>
      <c r="BL655" s="1241"/>
      <c r="BM655" s="1241"/>
      <c r="BN655" s="1241"/>
      <c r="BO655" s="1241"/>
      <c r="BP655" s="1241"/>
      <c r="BQ655" s="1241"/>
      <c r="BR655" s="1241"/>
      <c r="BS655" s="1241"/>
      <c r="BT655" s="1241"/>
      <c r="BU655" s="1241"/>
      <c r="BV655" s="1241"/>
      <c r="BW655" s="1241"/>
      <c r="BX655" s="1241"/>
      <c r="BY655" s="1241"/>
      <c r="BZ655" s="1241"/>
      <c r="CA655" s="1241"/>
      <c r="CB655" s="1241"/>
      <c r="CC655" s="1241"/>
      <c r="CD655" s="1241"/>
      <c r="CE655" s="1241"/>
      <c r="CF655" s="1241"/>
      <c r="CG655" s="1241"/>
      <c r="CH655" s="1241"/>
      <c r="CI655" s="1241"/>
      <c r="CJ655" s="1241"/>
      <c r="CK655" s="1241"/>
      <c r="CL655" s="1241"/>
      <c r="CM655" s="1241"/>
      <c r="CN655" s="1241"/>
      <c r="CO655" s="1241"/>
      <c r="CP655" s="1241"/>
      <c r="CQ655" s="1241"/>
      <c r="CR655" s="1241"/>
      <c r="CS655" s="1241"/>
      <c r="CT655" s="1241"/>
      <c r="CU655" s="1241"/>
      <c r="CV655" s="1241"/>
      <c r="CW655" s="1241"/>
      <c r="CX655" s="1241"/>
      <c r="CY655" s="1241"/>
      <c r="CZ655" s="1241"/>
      <c r="DA655" s="1241"/>
      <c r="DB655" s="1241"/>
      <c r="DC655" s="1241"/>
      <c r="DD655" s="1241"/>
      <c r="DE655" s="1241"/>
      <c r="DF655" s="1241"/>
      <c r="DG655" s="1241"/>
      <c r="DH655" s="1241"/>
      <c r="DI655" s="1241"/>
      <c r="DJ655" s="1241"/>
      <c r="DK655" s="1241"/>
      <c r="DL655" s="1241"/>
      <c r="DM655" s="1241"/>
    </row>
    <row r="656" spans="1:117" s="1302" customFormat="1" hidden="1">
      <c r="A656" s="1243"/>
      <c r="B656" s="1496" t="s">
        <v>4273</v>
      </c>
      <c r="C656" s="1496"/>
      <c r="D656" s="1497"/>
      <c r="E656" s="1224"/>
      <c r="F656" s="1492"/>
      <c r="G656" s="1493"/>
      <c r="H656" s="1498">
        <v>34.895233500000003</v>
      </c>
      <c r="I656" s="1498">
        <v>34.895233500000003</v>
      </c>
      <c r="J656" s="1498">
        <v>34.895233500000003</v>
      </c>
      <c r="K656" s="1498">
        <v>34.895233500000003</v>
      </c>
      <c r="L656" s="1498">
        <v>34.895233500000003</v>
      </c>
      <c r="M656" s="1498">
        <v>34.895233500000003</v>
      </c>
      <c r="N656" s="1498">
        <v>34.895233500000003</v>
      </c>
      <c r="O656" s="1498">
        <v>34.895233500000003</v>
      </c>
      <c r="P656" s="1241"/>
      <c r="Q656" s="1241"/>
      <c r="R656" s="1241"/>
      <c r="S656" s="1241"/>
      <c r="T656" s="1241"/>
      <c r="U656" s="1241"/>
      <c r="V656" s="1241"/>
      <c r="W656" s="1241"/>
      <c r="X656" s="1241"/>
      <c r="Y656" s="1241"/>
      <c r="Z656" s="1241"/>
      <c r="AA656" s="1241"/>
      <c r="AB656" s="1241"/>
      <c r="AC656" s="1241"/>
      <c r="AD656" s="1241"/>
      <c r="AE656" s="1241"/>
      <c r="AF656" s="1241"/>
      <c r="AG656" s="1241"/>
      <c r="AH656" s="1241"/>
      <c r="AI656" s="1241"/>
      <c r="AJ656" s="1241"/>
      <c r="AK656" s="1241"/>
      <c r="AL656" s="1241"/>
      <c r="AM656" s="1241"/>
      <c r="AN656" s="1241"/>
      <c r="AO656" s="1241"/>
      <c r="AP656" s="1241"/>
      <c r="AQ656" s="1241"/>
      <c r="AR656" s="1241"/>
      <c r="AS656" s="1241"/>
      <c r="AT656" s="1241"/>
      <c r="AU656" s="1241"/>
      <c r="AV656" s="1241"/>
      <c r="AW656" s="1241"/>
      <c r="AX656" s="1241"/>
      <c r="AY656" s="1241"/>
      <c r="AZ656" s="1241"/>
      <c r="BA656" s="1241"/>
      <c r="BB656" s="1241"/>
      <c r="BC656" s="1241"/>
      <c r="BD656" s="1241"/>
      <c r="BE656" s="1241"/>
      <c r="BF656" s="1241"/>
      <c r="BG656" s="1241"/>
      <c r="BH656" s="1241"/>
      <c r="BI656" s="1241"/>
      <c r="BJ656" s="1241"/>
      <c r="BK656" s="1241"/>
      <c r="BL656" s="1241"/>
      <c r="BM656" s="1241"/>
      <c r="BN656" s="1241"/>
      <c r="BO656" s="1241"/>
      <c r="BP656" s="1241"/>
      <c r="BQ656" s="1241"/>
      <c r="BR656" s="1241"/>
      <c r="BS656" s="1241"/>
      <c r="BT656" s="1241"/>
      <c r="BU656" s="1241"/>
      <c r="BV656" s="1241"/>
      <c r="BW656" s="1241"/>
      <c r="BX656" s="1241"/>
      <c r="BY656" s="1241"/>
      <c r="BZ656" s="1241"/>
      <c r="CA656" s="1241"/>
      <c r="CB656" s="1241"/>
      <c r="CC656" s="1241"/>
      <c r="CD656" s="1241"/>
      <c r="CE656" s="1241"/>
      <c r="CF656" s="1241"/>
      <c r="CG656" s="1241"/>
      <c r="CH656" s="1241"/>
      <c r="CI656" s="1241"/>
      <c r="CJ656" s="1241"/>
      <c r="CK656" s="1241"/>
      <c r="CL656" s="1241"/>
      <c r="CM656" s="1241"/>
      <c r="CN656" s="1241"/>
      <c r="CO656" s="1241"/>
      <c r="CP656" s="1241"/>
      <c r="CQ656" s="1241"/>
      <c r="CR656" s="1241"/>
      <c r="CS656" s="1241"/>
      <c r="CT656" s="1241"/>
      <c r="CU656" s="1241"/>
      <c r="CV656" s="1241"/>
      <c r="CW656" s="1241"/>
      <c r="CX656" s="1241"/>
      <c r="CY656" s="1241"/>
      <c r="CZ656" s="1241"/>
      <c r="DA656" s="1241"/>
      <c r="DB656" s="1241"/>
      <c r="DC656" s="1241"/>
      <c r="DD656" s="1241"/>
      <c r="DE656" s="1241"/>
      <c r="DF656" s="1241"/>
      <c r="DG656" s="1241"/>
      <c r="DH656" s="1241"/>
      <c r="DI656" s="1241"/>
      <c r="DJ656" s="1241"/>
      <c r="DK656" s="1241"/>
      <c r="DL656" s="1241"/>
      <c r="DM656" s="1241"/>
    </row>
    <row r="657" spans="1:117" s="1302" customFormat="1" hidden="1">
      <c r="A657" s="1243"/>
      <c r="B657" s="1496"/>
      <c r="C657" s="1496"/>
      <c r="D657" s="1497"/>
      <c r="E657" s="1224"/>
      <c r="F657" s="1492"/>
      <c r="G657" s="1493"/>
      <c r="H657" s="1498"/>
      <c r="I657" s="1498"/>
      <c r="J657" s="1498"/>
      <c r="K657" s="1498"/>
      <c r="L657" s="1498"/>
      <c r="M657" s="1498"/>
      <c r="N657" s="1498"/>
      <c r="O657" s="1498"/>
      <c r="P657" s="1241"/>
      <c r="Q657" s="1241"/>
      <c r="R657" s="1241"/>
      <c r="S657" s="1241"/>
      <c r="T657" s="1241"/>
      <c r="U657" s="1241"/>
      <c r="V657" s="1241"/>
      <c r="W657" s="1241"/>
      <c r="X657" s="1241"/>
      <c r="Y657" s="1241"/>
      <c r="Z657" s="1241"/>
      <c r="AA657" s="1241"/>
      <c r="AB657" s="1241"/>
      <c r="AC657" s="1241"/>
      <c r="AD657" s="1241"/>
      <c r="AE657" s="1241"/>
      <c r="AF657" s="1241"/>
      <c r="AG657" s="1241"/>
      <c r="AH657" s="1241"/>
      <c r="AI657" s="1241"/>
      <c r="AJ657" s="1241"/>
      <c r="AK657" s="1241"/>
      <c r="AL657" s="1241"/>
      <c r="AM657" s="1241"/>
      <c r="AN657" s="1241"/>
      <c r="AO657" s="1241"/>
      <c r="AP657" s="1241"/>
      <c r="AQ657" s="1241"/>
      <c r="AR657" s="1241"/>
      <c r="AS657" s="1241"/>
      <c r="AT657" s="1241"/>
      <c r="AU657" s="1241"/>
      <c r="AV657" s="1241"/>
      <c r="AW657" s="1241"/>
      <c r="AX657" s="1241"/>
      <c r="AY657" s="1241"/>
      <c r="AZ657" s="1241"/>
      <c r="BA657" s="1241"/>
      <c r="BB657" s="1241"/>
      <c r="BC657" s="1241"/>
      <c r="BD657" s="1241"/>
      <c r="BE657" s="1241"/>
      <c r="BF657" s="1241"/>
      <c r="BG657" s="1241"/>
      <c r="BH657" s="1241"/>
      <c r="BI657" s="1241"/>
      <c r="BJ657" s="1241"/>
      <c r="BK657" s="1241"/>
      <c r="BL657" s="1241"/>
      <c r="BM657" s="1241"/>
      <c r="BN657" s="1241"/>
      <c r="BO657" s="1241"/>
      <c r="BP657" s="1241"/>
      <c r="BQ657" s="1241"/>
      <c r="BR657" s="1241"/>
      <c r="BS657" s="1241"/>
      <c r="BT657" s="1241"/>
      <c r="BU657" s="1241"/>
      <c r="BV657" s="1241"/>
      <c r="BW657" s="1241"/>
      <c r="BX657" s="1241"/>
      <c r="BY657" s="1241"/>
      <c r="BZ657" s="1241"/>
      <c r="CA657" s="1241"/>
      <c r="CB657" s="1241"/>
      <c r="CC657" s="1241"/>
      <c r="CD657" s="1241"/>
      <c r="CE657" s="1241"/>
      <c r="CF657" s="1241"/>
      <c r="CG657" s="1241"/>
      <c r="CH657" s="1241"/>
      <c r="CI657" s="1241"/>
      <c r="CJ657" s="1241"/>
      <c r="CK657" s="1241"/>
      <c r="CL657" s="1241"/>
      <c r="CM657" s="1241"/>
      <c r="CN657" s="1241"/>
      <c r="CO657" s="1241"/>
      <c r="CP657" s="1241"/>
      <c r="CQ657" s="1241"/>
      <c r="CR657" s="1241"/>
      <c r="CS657" s="1241"/>
      <c r="CT657" s="1241"/>
      <c r="CU657" s="1241"/>
      <c r="CV657" s="1241"/>
      <c r="CW657" s="1241"/>
      <c r="CX657" s="1241"/>
      <c r="CY657" s="1241"/>
      <c r="CZ657" s="1241"/>
      <c r="DA657" s="1241"/>
      <c r="DB657" s="1241"/>
      <c r="DC657" s="1241"/>
      <c r="DD657" s="1241"/>
      <c r="DE657" s="1241"/>
      <c r="DF657" s="1241"/>
      <c r="DG657" s="1241"/>
      <c r="DH657" s="1241"/>
      <c r="DI657" s="1241"/>
      <c r="DJ657" s="1241"/>
      <c r="DK657" s="1241"/>
      <c r="DL657" s="1241"/>
      <c r="DM657" s="1241"/>
    </row>
    <row r="658" spans="1:117" s="1302" customFormat="1" hidden="1">
      <c r="A658" s="1243"/>
      <c r="B658" s="1495" t="s">
        <v>4276</v>
      </c>
      <c r="C658" s="1496"/>
      <c r="D658" s="1497"/>
      <c r="E658" s="1224"/>
      <c r="F658" s="1492"/>
      <c r="G658" s="1493"/>
      <c r="H658" s="1498"/>
      <c r="I658" s="1498"/>
      <c r="J658" s="1498"/>
      <c r="K658" s="1498"/>
      <c r="L658" s="1498"/>
      <c r="M658" s="1498"/>
      <c r="N658" s="1498"/>
      <c r="O658" s="1498"/>
      <c r="P658" s="1241"/>
      <c r="Q658" s="1241"/>
      <c r="R658" s="1241"/>
      <c r="S658" s="1241"/>
      <c r="T658" s="1241"/>
      <c r="U658" s="1241"/>
      <c r="V658" s="1241"/>
      <c r="W658" s="1241"/>
      <c r="X658" s="1241"/>
      <c r="Y658" s="1241"/>
      <c r="Z658" s="1241"/>
      <c r="AA658" s="1241"/>
      <c r="AB658" s="1241"/>
      <c r="AC658" s="1241"/>
      <c r="AD658" s="1241"/>
      <c r="AE658" s="1241"/>
      <c r="AF658" s="1241"/>
      <c r="AG658" s="1241"/>
      <c r="AH658" s="1241"/>
      <c r="AI658" s="1241"/>
      <c r="AJ658" s="1241"/>
      <c r="AK658" s="1241"/>
      <c r="AL658" s="1241"/>
      <c r="AM658" s="1241"/>
      <c r="AN658" s="1241"/>
      <c r="AO658" s="1241"/>
      <c r="AP658" s="1241"/>
      <c r="AQ658" s="1241"/>
      <c r="AR658" s="1241"/>
      <c r="AS658" s="1241"/>
      <c r="AT658" s="1241"/>
      <c r="AU658" s="1241"/>
      <c r="AV658" s="1241"/>
      <c r="AW658" s="1241"/>
      <c r="AX658" s="1241"/>
      <c r="AY658" s="1241"/>
      <c r="AZ658" s="1241"/>
      <c r="BA658" s="1241"/>
      <c r="BB658" s="1241"/>
      <c r="BC658" s="1241"/>
      <c r="BD658" s="1241"/>
      <c r="BE658" s="1241"/>
      <c r="BF658" s="1241"/>
      <c r="BG658" s="1241"/>
      <c r="BH658" s="1241"/>
      <c r="BI658" s="1241"/>
      <c r="BJ658" s="1241"/>
      <c r="BK658" s="1241"/>
      <c r="BL658" s="1241"/>
      <c r="BM658" s="1241"/>
      <c r="BN658" s="1241"/>
      <c r="BO658" s="1241"/>
      <c r="BP658" s="1241"/>
      <c r="BQ658" s="1241"/>
      <c r="BR658" s="1241"/>
      <c r="BS658" s="1241"/>
      <c r="BT658" s="1241"/>
      <c r="BU658" s="1241"/>
      <c r="BV658" s="1241"/>
      <c r="BW658" s="1241"/>
      <c r="BX658" s="1241"/>
      <c r="BY658" s="1241"/>
      <c r="BZ658" s="1241"/>
      <c r="CA658" s="1241"/>
      <c r="CB658" s="1241"/>
      <c r="CC658" s="1241"/>
      <c r="CD658" s="1241"/>
      <c r="CE658" s="1241"/>
      <c r="CF658" s="1241"/>
      <c r="CG658" s="1241"/>
      <c r="CH658" s="1241"/>
      <c r="CI658" s="1241"/>
      <c r="CJ658" s="1241"/>
      <c r="CK658" s="1241"/>
      <c r="CL658" s="1241"/>
      <c r="CM658" s="1241"/>
      <c r="CN658" s="1241"/>
      <c r="CO658" s="1241"/>
      <c r="CP658" s="1241"/>
      <c r="CQ658" s="1241"/>
      <c r="CR658" s="1241"/>
      <c r="CS658" s="1241"/>
      <c r="CT658" s="1241"/>
      <c r="CU658" s="1241"/>
      <c r="CV658" s="1241"/>
      <c r="CW658" s="1241"/>
      <c r="CX658" s="1241"/>
      <c r="CY658" s="1241"/>
      <c r="CZ658" s="1241"/>
      <c r="DA658" s="1241"/>
      <c r="DB658" s="1241"/>
      <c r="DC658" s="1241"/>
      <c r="DD658" s="1241"/>
      <c r="DE658" s="1241"/>
      <c r="DF658" s="1241"/>
      <c r="DG658" s="1241"/>
      <c r="DH658" s="1241"/>
      <c r="DI658" s="1241"/>
      <c r="DJ658" s="1241"/>
      <c r="DK658" s="1241"/>
      <c r="DL658" s="1241"/>
      <c r="DM658" s="1241"/>
    </row>
    <row r="659" spans="1:117" s="1302" customFormat="1" hidden="1">
      <c r="A659" s="1243"/>
      <c r="B659" s="1496" t="s">
        <v>4269</v>
      </c>
      <c r="C659" s="1496"/>
      <c r="D659" s="1497"/>
      <c r="E659" s="1224"/>
      <c r="F659" s="1492"/>
      <c r="G659" s="1493"/>
      <c r="H659" s="1498">
        <v>0</v>
      </c>
      <c r="I659" s="1498">
        <v>6.553992324751797</v>
      </c>
      <c r="J659" s="1498">
        <v>4.1501466052355607</v>
      </c>
      <c r="K659" s="1498">
        <v>5.3082239808384548</v>
      </c>
      <c r="L659" s="1498">
        <v>6.4373895940422035</v>
      </c>
      <c r="M659" s="1498">
        <v>7.2242953209746821</v>
      </c>
      <c r="N659" s="1498">
        <v>8.04285008702219</v>
      </c>
      <c r="O659" s="1498">
        <v>3.206346661046267</v>
      </c>
      <c r="P659" s="1241"/>
      <c r="Q659" s="1241"/>
      <c r="R659" s="1241"/>
      <c r="S659" s="1241"/>
      <c r="T659" s="1241"/>
      <c r="U659" s="1241"/>
      <c r="V659" s="1241"/>
      <c r="W659" s="1241"/>
      <c r="X659" s="1241"/>
      <c r="Y659" s="1241"/>
      <c r="Z659" s="1241"/>
      <c r="AA659" s="1241"/>
      <c r="AB659" s="1241"/>
      <c r="AC659" s="1241"/>
      <c r="AD659" s="1241"/>
      <c r="AE659" s="1241"/>
      <c r="AF659" s="1241"/>
      <c r="AG659" s="1241"/>
      <c r="AH659" s="1241"/>
      <c r="AI659" s="1241"/>
      <c r="AJ659" s="1241"/>
      <c r="AK659" s="1241"/>
      <c r="AL659" s="1241"/>
      <c r="AM659" s="1241"/>
      <c r="AN659" s="1241"/>
      <c r="AO659" s="1241"/>
      <c r="AP659" s="1241"/>
      <c r="AQ659" s="1241"/>
      <c r="AR659" s="1241"/>
      <c r="AS659" s="1241"/>
      <c r="AT659" s="1241"/>
      <c r="AU659" s="1241"/>
      <c r="AV659" s="1241"/>
      <c r="AW659" s="1241"/>
      <c r="AX659" s="1241"/>
      <c r="AY659" s="1241"/>
      <c r="AZ659" s="1241"/>
      <c r="BA659" s="1241"/>
      <c r="BB659" s="1241"/>
      <c r="BC659" s="1241"/>
      <c r="BD659" s="1241"/>
      <c r="BE659" s="1241"/>
      <c r="BF659" s="1241"/>
      <c r="BG659" s="1241"/>
      <c r="BH659" s="1241"/>
      <c r="BI659" s="1241"/>
      <c r="BJ659" s="1241"/>
      <c r="BK659" s="1241"/>
      <c r="BL659" s="1241"/>
      <c r="BM659" s="1241"/>
      <c r="BN659" s="1241"/>
      <c r="BO659" s="1241"/>
      <c r="BP659" s="1241"/>
      <c r="BQ659" s="1241"/>
      <c r="BR659" s="1241"/>
      <c r="BS659" s="1241"/>
      <c r="BT659" s="1241"/>
      <c r="BU659" s="1241"/>
      <c r="BV659" s="1241"/>
      <c r="BW659" s="1241"/>
      <c r="BX659" s="1241"/>
      <c r="BY659" s="1241"/>
      <c r="BZ659" s="1241"/>
      <c r="CA659" s="1241"/>
      <c r="CB659" s="1241"/>
      <c r="CC659" s="1241"/>
      <c r="CD659" s="1241"/>
      <c r="CE659" s="1241"/>
      <c r="CF659" s="1241"/>
      <c r="CG659" s="1241"/>
      <c r="CH659" s="1241"/>
      <c r="CI659" s="1241"/>
      <c r="CJ659" s="1241"/>
      <c r="CK659" s="1241"/>
      <c r="CL659" s="1241"/>
      <c r="CM659" s="1241"/>
      <c r="CN659" s="1241"/>
      <c r="CO659" s="1241"/>
      <c r="CP659" s="1241"/>
      <c r="CQ659" s="1241"/>
      <c r="CR659" s="1241"/>
      <c r="CS659" s="1241"/>
      <c r="CT659" s="1241"/>
      <c r="CU659" s="1241"/>
      <c r="CV659" s="1241"/>
      <c r="CW659" s="1241"/>
      <c r="CX659" s="1241"/>
      <c r="CY659" s="1241"/>
      <c r="CZ659" s="1241"/>
      <c r="DA659" s="1241"/>
      <c r="DB659" s="1241"/>
      <c r="DC659" s="1241"/>
      <c r="DD659" s="1241"/>
      <c r="DE659" s="1241"/>
      <c r="DF659" s="1241"/>
      <c r="DG659" s="1241"/>
      <c r="DH659" s="1241"/>
      <c r="DI659" s="1241"/>
      <c r="DJ659" s="1241"/>
      <c r="DK659" s="1241"/>
      <c r="DL659" s="1241"/>
      <c r="DM659" s="1241"/>
    </row>
    <row r="660" spans="1:117" s="1302" customFormat="1" hidden="1">
      <c r="A660" s="1243"/>
      <c r="B660" s="1496" t="s">
        <v>4270</v>
      </c>
      <c r="C660" s="1496"/>
      <c r="D660" s="1497"/>
      <c r="E660" s="1224"/>
      <c r="F660" s="1492"/>
      <c r="G660" s="1493"/>
      <c r="H660" s="1498">
        <v>0</v>
      </c>
      <c r="I660" s="1498">
        <v>19.661976974255388</v>
      </c>
      <c r="J660" s="1498">
        <v>12.450439815706682</v>
      </c>
      <c r="K660" s="1498">
        <v>15.924671942515364</v>
      </c>
      <c r="L660" s="1498">
        <v>19.312168782126609</v>
      </c>
      <c r="M660" s="1498">
        <v>21.672885962924042</v>
      </c>
      <c r="N660" s="1498">
        <v>24.128550261066565</v>
      </c>
      <c r="O660" s="1498">
        <v>9.6190399831388014</v>
      </c>
      <c r="P660" s="1241"/>
      <c r="Q660" s="1241"/>
      <c r="R660" s="1241"/>
      <c r="S660" s="1241"/>
      <c r="T660" s="1241"/>
      <c r="U660" s="1241"/>
      <c r="V660" s="1241"/>
      <c r="W660" s="1241"/>
      <c r="X660" s="1241"/>
      <c r="Y660" s="1241"/>
      <c r="Z660" s="1241"/>
      <c r="AA660" s="1241"/>
      <c r="AB660" s="1241"/>
      <c r="AC660" s="1241"/>
      <c r="AD660" s="1241"/>
      <c r="AE660" s="1241"/>
      <c r="AF660" s="1241"/>
      <c r="AG660" s="1241"/>
      <c r="AH660" s="1241"/>
      <c r="AI660" s="1241"/>
      <c r="AJ660" s="1241"/>
      <c r="AK660" s="1241"/>
      <c r="AL660" s="1241"/>
      <c r="AM660" s="1241"/>
      <c r="AN660" s="1241"/>
      <c r="AO660" s="1241"/>
      <c r="AP660" s="1241"/>
      <c r="AQ660" s="1241"/>
      <c r="AR660" s="1241"/>
      <c r="AS660" s="1241"/>
      <c r="AT660" s="1241"/>
      <c r="AU660" s="1241"/>
      <c r="AV660" s="1241"/>
      <c r="AW660" s="1241"/>
      <c r="AX660" s="1241"/>
      <c r="AY660" s="1241"/>
      <c r="AZ660" s="1241"/>
      <c r="BA660" s="1241"/>
      <c r="BB660" s="1241"/>
      <c r="BC660" s="1241"/>
      <c r="BD660" s="1241"/>
      <c r="BE660" s="1241"/>
      <c r="BF660" s="1241"/>
      <c r="BG660" s="1241"/>
      <c r="BH660" s="1241"/>
      <c r="BI660" s="1241"/>
      <c r="BJ660" s="1241"/>
      <c r="BK660" s="1241"/>
      <c r="BL660" s="1241"/>
      <c r="BM660" s="1241"/>
      <c r="BN660" s="1241"/>
      <c r="BO660" s="1241"/>
      <c r="BP660" s="1241"/>
      <c r="BQ660" s="1241"/>
      <c r="BR660" s="1241"/>
      <c r="BS660" s="1241"/>
      <c r="BT660" s="1241"/>
      <c r="BU660" s="1241"/>
      <c r="BV660" s="1241"/>
      <c r="BW660" s="1241"/>
      <c r="BX660" s="1241"/>
      <c r="BY660" s="1241"/>
      <c r="BZ660" s="1241"/>
      <c r="CA660" s="1241"/>
      <c r="CB660" s="1241"/>
      <c r="CC660" s="1241"/>
      <c r="CD660" s="1241"/>
      <c r="CE660" s="1241"/>
      <c r="CF660" s="1241"/>
      <c r="CG660" s="1241"/>
      <c r="CH660" s="1241"/>
      <c r="CI660" s="1241"/>
      <c r="CJ660" s="1241"/>
      <c r="CK660" s="1241"/>
      <c r="CL660" s="1241"/>
      <c r="CM660" s="1241"/>
      <c r="CN660" s="1241"/>
      <c r="CO660" s="1241"/>
      <c r="CP660" s="1241"/>
      <c r="CQ660" s="1241"/>
      <c r="CR660" s="1241"/>
      <c r="CS660" s="1241"/>
      <c r="CT660" s="1241"/>
      <c r="CU660" s="1241"/>
      <c r="CV660" s="1241"/>
      <c r="CW660" s="1241"/>
      <c r="CX660" s="1241"/>
      <c r="CY660" s="1241"/>
      <c r="CZ660" s="1241"/>
      <c r="DA660" s="1241"/>
      <c r="DB660" s="1241"/>
      <c r="DC660" s="1241"/>
      <c r="DD660" s="1241"/>
      <c r="DE660" s="1241"/>
      <c r="DF660" s="1241"/>
      <c r="DG660" s="1241"/>
      <c r="DH660" s="1241"/>
      <c r="DI660" s="1241"/>
      <c r="DJ660" s="1241"/>
      <c r="DK660" s="1241"/>
      <c r="DL660" s="1241"/>
      <c r="DM660" s="1241"/>
    </row>
    <row r="661" spans="1:117" s="1302" customFormat="1" hidden="1">
      <c r="A661" s="1243"/>
      <c r="B661" s="1496" t="s">
        <v>4271</v>
      </c>
      <c r="C661" s="1496"/>
      <c r="D661" s="1497"/>
      <c r="E661" s="1224"/>
      <c r="F661" s="1492"/>
      <c r="G661" s="1493"/>
      <c r="H661" s="1498">
        <v>0</v>
      </c>
      <c r="I661" s="1498">
        <v>19.661976974255392</v>
      </c>
      <c r="J661" s="1498">
        <v>12.450439815706682</v>
      </c>
      <c r="K661" s="1498">
        <v>15.924671942515365</v>
      </c>
      <c r="L661" s="1498">
        <v>19.312168782126612</v>
      </c>
      <c r="M661" s="1498">
        <v>21.672885962924045</v>
      </c>
      <c r="N661" s="1498">
        <v>24.128550261066568</v>
      </c>
      <c r="O661" s="1498">
        <v>9.6190399831388014</v>
      </c>
      <c r="P661" s="1241"/>
      <c r="Q661" s="1241"/>
      <c r="R661" s="1241"/>
      <c r="S661" s="1241"/>
      <c r="T661" s="1241"/>
      <c r="U661" s="1241"/>
      <c r="V661" s="1241"/>
      <c r="W661" s="1241"/>
      <c r="X661" s="1241"/>
      <c r="Y661" s="1241"/>
      <c r="Z661" s="1241"/>
      <c r="AA661" s="1241"/>
      <c r="AB661" s="1241"/>
      <c r="AC661" s="1241"/>
      <c r="AD661" s="1241"/>
      <c r="AE661" s="1241"/>
      <c r="AF661" s="1241"/>
      <c r="AG661" s="1241"/>
      <c r="AH661" s="1241"/>
      <c r="AI661" s="1241"/>
      <c r="AJ661" s="1241"/>
      <c r="AK661" s="1241"/>
      <c r="AL661" s="1241"/>
      <c r="AM661" s="1241"/>
      <c r="AN661" s="1241"/>
      <c r="AO661" s="1241"/>
      <c r="AP661" s="1241"/>
      <c r="AQ661" s="1241"/>
      <c r="AR661" s="1241"/>
      <c r="AS661" s="1241"/>
      <c r="AT661" s="1241"/>
      <c r="AU661" s="1241"/>
      <c r="AV661" s="1241"/>
      <c r="AW661" s="1241"/>
      <c r="AX661" s="1241"/>
      <c r="AY661" s="1241"/>
      <c r="AZ661" s="1241"/>
      <c r="BA661" s="1241"/>
      <c r="BB661" s="1241"/>
      <c r="BC661" s="1241"/>
      <c r="BD661" s="1241"/>
      <c r="BE661" s="1241"/>
      <c r="BF661" s="1241"/>
      <c r="BG661" s="1241"/>
      <c r="BH661" s="1241"/>
      <c r="BI661" s="1241"/>
      <c r="BJ661" s="1241"/>
      <c r="BK661" s="1241"/>
      <c r="BL661" s="1241"/>
      <c r="BM661" s="1241"/>
      <c r="BN661" s="1241"/>
      <c r="BO661" s="1241"/>
      <c r="BP661" s="1241"/>
      <c r="BQ661" s="1241"/>
      <c r="BR661" s="1241"/>
      <c r="BS661" s="1241"/>
      <c r="BT661" s="1241"/>
      <c r="BU661" s="1241"/>
      <c r="BV661" s="1241"/>
      <c r="BW661" s="1241"/>
      <c r="BX661" s="1241"/>
      <c r="BY661" s="1241"/>
      <c r="BZ661" s="1241"/>
      <c r="CA661" s="1241"/>
      <c r="CB661" s="1241"/>
      <c r="CC661" s="1241"/>
      <c r="CD661" s="1241"/>
      <c r="CE661" s="1241"/>
      <c r="CF661" s="1241"/>
      <c r="CG661" s="1241"/>
      <c r="CH661" s="1241"/>
      <c r="CI661" s="1241"/>
      <c r="CJ661" s="1241"/>
      <c r="CK661" s="1241"/>
      <c r="CL661" s="1241"/>
      <c r="CM661" s="1241"/>
      <c r="CN661" s="1241"/>
      <c r="CO661" s="1241"/>
      <c r="CP661" s="1241"/>
      <c r="CQ661" s="1241"/>
      <c r="CR661" s="1241"/>
      <c r="CS661" s="1241"/>
      <c r="CT661" s="1241"/>
      <c r="CU661" s="1241"/>
      <c r="CV661" s="1241"/>
      <c r="CW661" s="1241"/>
      <c r="CX661" s="1241"/>
      <c r="CY661" s="1241"/>
      <c r="CZ661" s="1241"/>
      <c r="DA661" s="1241"/>
      <c r="DB661" s="1241"/>
      <c r="DC661" s="1241"/>
      <c r="DD661" s="1241"/>
      <c r="DE661" s="1241"/>
      <c r="DF661" s="1241"/>
      <c r="DG661" s="1241"/>
      <c r="DH661" s="1241"/>
      <c r="DI661" s="1241"/>
      <c r="DJ661" s="1241"/>
      <c r="DK661" s="1241"/>
      <c r="DL661" s="1241"/>
      <c r="DM661" s="1241"/>
    </row>
    <row r="662" spans="1:117" s="1302" customFormat="1" hidden="1">
      <c r="A662" s="1243"/>
      <c r="B662" s="1496" t="s">
        <v>4272</v>
      </c>
      <c r="C662" s="1496"/>
      <c r="D662" s="1497"/>
      <c r="E662" s="1224"/>
      <c r="F662" s="1492"/>
      <c r="G662" s="1493"/>
      <c r="H662" s="1498">
        <v>0</v>
      </c>
      <c r="I662" s="1498">
        <v>22.93897313663129</v>
      </c>
      <c r="J662" s="1498">
        <v>14.525513118324463</v>
      </c>
      <c r="K662" s="1498">
        <v>18.578783932934591</v>
      </c>
      <c r="L662" s="1498">
        <v>22.530863579147713</v>
      </c>
      <c r="M662" s="1498">
        <v>25.285033623411387</v>
      </c>
      <c r="N662" s="1498">
        <v>28.149975304577666</v>
      </c>
      <c r="O662" s="1498">
        <v>11.222213313661936</v>
      </c>
      <c r="P662" s="1241"/>
      <c r="Q662" s="1241"/>
      <c r="R662" s="1241"/>
      <c r="S662" s="1241"/>
      <c r="T662" s="1241"/>
      <c r="U662" s="1241"/>
      <c r="V662" s="1241"/>
      <c r="W662" s="1241"/>
      <c r="X662" s="1241"/>
      <c r="Y662" s="1241"/>
      <c r="Z662" s="1241"/>
      <c r="AA662" s="1241"/>
      <c r="AB662" s="1241"/>
      <c r="AC662" s="1241"/>
      <c r="AD662" s="1241"/>
      <c r="AE662" s="1241"/>
      <c r="AF662" s="1241"/>
      <c r="AG662" s="1241"/>
      <c r="AH662" s="1241"/>
      <c r="AI662" s="1241"/>
      <c r="AJ662" s="1241"/>
      <c r="AK662" s="1241"/>
      <c r="AL662" s="1241"/>
      <c r="AM662" s="1241"/>
      <c r="AN662" s="1241"/>
      <c r="AO662" s="1241"/>
      <c r="AP662" s="1241"/>
      <c r="AQ662" s="1241"/>
      <c r="AR662" s="1241"/>
      <c r="AS662" s="1241"/>
      <c r="AT662" s="1241"/>
      <c r="AU662" s="1241"/>
      <c r="AV662" s="1241"/>
      <c r="AW662" s="1241"/>
      <c r="AX662" s="1241"/>
      <c r="AY662" s="1241"/>
      <c r="AZ662" s="1241"/>
      <c r="BA662" s="1241"/>
      <c r="BB662" s="1241"/>
      <c r="BC662" s="1241"/>
      <c r="BD662" s="1241"/>
      <c r="BE662" s="1241"/>
      <c r="BF662" s="1241"/>
      <c r="BG662" s="1241"/>
      <c r="BH662" s="1241"/>
      <c r="BI662" s="1241"/>
      <c r="BJ662" s="1241"/>
      <c r="BK662" s="1241"/>
      <c r="BL662" s="1241"/>
      <c r="BM662" s="1241"/>
      <c r="BN662" s="1241"/>
      <c r="BO662" s="1241"/>
      <c r="BP662" s="1241"/>
      <c r="BQ662" s="1241"/>
      <c r="BR662" s="1241"/>
      <c r="BS662" s="1241"/>
      <c r="BT662" s="1241"/>
      <c r="BU662" s="1241"/>
      <c r="BV662" s="1241"/>
      <c r="BW662" s="1241"/>
      <c r="BX662" s="1241"/>
      <c r="BY662" s="1241"/>
      <c r="BZ662" s="1241"/>
      <c r="CA662" s="1241"/>
      <c r="CB662" s="1241"/>
      <c r="CC662" s="1241"/>
      <c r="CD662" s="1241"/>
      <c r="CE662" s="1241"/>
      <c r="CF662" s="1241"/>
      <c r="CG662" s="1241"/>
      <c r="CH662" s="1241"/>
      <c r="CI662" s="1241"/>
      <c r="CJ662" s="1241"/>
      <c r="CK662" s="1241"/>
      <c r="CL662" s="1241"/>
      <c r="CM662" s="1241"/>
      <c r="CN662" s="1241"/>
      <c r="CO662" s="1241"/>
      <c r="CP662" s="1241"/>
      <c r="CQ662" s="1241"/>
      <c r="CR662" s="1241"/>
      <c r="CS662" s="1241"/>
      <c r="CT662" s="1241"/>
      <c r="CU662" s="1241"/>
      <c r="CV662" s="1241"/>
      <c r="CW662" s="1241"/>
      <c r="CX662" s="1241"/>
      <c r="CY662" s="1241"/>
      <c r="CZ662" s="1241"/>
      <c r="DA662" s="1241"/>
      <c r="DB662" s="1241"/>
      <c r="DC662" s="1241"/>
      <c r="DD662" s="1241"/>
      <c r="DE662" s="1241"/>
      <c r="DF662" s="1241"/>
      <c r="DG662" s="1241"/>
      <c r="DH662" s="1241"/>
      <c r="DI662" s="1241"/>
      <c r="DJ662" s="1241"/>
      <c r="DK662" s="1241"/>
      <c r="DL662" s="1241"/>
      <c r="DM662" s="1241"/>
    </row>
    <row r="663" spans="1:117" s="1302" customFormat="1" hidden="1">
      <c r="A663" s="1243"/>
      <c r="B663" s="1499" t="s">
        <v>4273</v>
      </c>
      <c r="C663" s="1499"/>
      <c r="D663" s="1500"/>
      <c r="E663" s="1501"/>
      <c r="F663" s="1502"/>
      <c r="G663" s="1503"/>
      <c r="H663" s="1504">
        <v>0</v>
      </c>
      <c r="I663" s="1504">
        <v>8.192490405939747</v>
      </c>
      <c r="J663" s="1504">
        <v>5.1876832565444513</v>
      </c>
      <c r="K663" s="1504">
        <v>6.6352799760480687</v>
      </c>
      <c r="L663" s="1504">
        <v>8.0467369925527539</v>
      </c>
      <c r="M663" s="1504">
        <v>9.0303691512183519</v>
      </c>
      <c r="N663" s="1504">
        <v>10.053562608777737</v>
      </c>
      <c r="O663" s="1504">
        <v>4.0079333263078336</v>
      </c>
      <c r="P663" s="1241"/>
      <c r="Q663" s="1241"/>
      <c r="R663" s="1241"/>
      <c r="S663" s="1241"/>
      <c r="T663" s="1241"/>
      <c r="U663" s="1241"/>
      <c r="V663" s="1241"/>
      <c r="W663" s="1241"/>
      <c r="X663" s="1241"/>
      <c r="Y663" s="1241"/>
      <c r="Z663" s="1241"/>
      <c r="AA663" s="1241"/>
      <c r="AB663" s="1241"/>
      <c r="AC663" s="1241"/>
      <c r="AD663" s="1241"/>
      <c r="AE663" s="1241"/>
      <c r="AF663" s="1241"/>
      <c r="AG663" s="1241"/>
      <c r="AH663" s="1241"/>
      <c r="AI663" s="1241"/>
      <c r="AJ663" s="1241"/>
      <c r="AK663" s="1241"/>
      <c r="AL663" s="1241"/>
      <c r="AM663" s="1241"/>
      <c r="AN663" s="1241"/>
      <c r="AO663" s="1241"/>
      <c r="AP663" s="1241"/>
      <c r="AQ663" s="1241"/>
      <c r="AR663" s="1241"/>
      <c r="AS663" s="1241"/>
      <c r="AT663" s="1241"/>
      <c r="AU663" s="1241"/>
      <c r="AV663" s="1241"/>
      <c r="AW663" s="1241"/>
      <c r="AX663" s="1241"/>
      <c r="AY663" s="1241"/>
      <c r="AZ663" s="1241"/>
      <c r="BA663" s="1241"/>
      <c r="BB663" s="1241"/>
      <c r="BC663" s="1241"/>
      <c r="BD663" s="1241"/>
      <c r="BE663" s="1241"/>
      <c r="BF663" s="1241"/>
      <c r="BG663" s="1241"/>
      <c r="BH663" s="1241"/>
      <c r="BI663" s="1241"/>
      <c r="BJ663" s="1241"/>
      <c r="BK663" s="1241"/>
      <c r="BL663" s="1241"/>
      <c r="BM663" s="1241"/>
      <c r="BN663" s="1241"/>
      <c r="BO663" s="1241"/>
      <c r="BP663" s="1241"/>
      <c r="BQ663" s="1241"/>
      <c r="BR663" s="1241"/>
      <c r="BS663" s="1241"/>
      <c r="BT663" s="1241"/>
      <c r="BU663" s="1241"/>
      <c r="BV663" s="1241"/>
      <c r="BW663" s="1241"/>
      <c r="BX663" s="1241"/>
      <c r="BY663" s="1241"/>
      <c r="BZ663" s="1241"/>
      <c r="CA663" s="1241"/>
      <c r="CB663" s="1241"/>
      <c r="CC663" s="1241"/>
      <c r="CD663" s="1241"/>
      <c r="CE663" s="1241"/>
      <c r="CF663" s="1241"/>
      <c r="CG663" s="1241"/>
      <c r="CH663" s="1241"/>
      <c r="CI663" s="1241"/>
      <c r="CJ663" s="1241"/>
      <c r="CK663" s="1241"/>
      <c r="CL663" s="1241"/>
      <c r="CM663" s="1241"/>
      <c r="CN663" s="1241"/>
      <c r="CO663" s="1241"/>
      <c r="CP663" s="1241"/>
      <c r="CQ663" s="1241"/>
      <c r="CR663" s="1241"/>
      <c r="CS663" s="1241"/>
      <c r="CT663" s="1241"/>
      <c r="CU663" s="1241"/>
      <c r="CV663" s="1241"/>
      <c r="CW663" s="1241"/>
      <c r="CX663" s="1241"/>
      <c r="CY663" s="1241"/>
      <c r="CZ663" s="1241"/>
      <c r="DA663" s="1241"/>
      <c r="DB663" s="1241"/>
      <c r="DC663" s="1241"/>
      <c r="DD663" s="1241"/>
      <c r="DE663" s="1241"/>
      <c r="DF663" s="1241"/>
      <c r="DG663" s="1241"/>
      <c r="DH663" s="1241"/>
      <c r="DI663" s="1241"/>
      <c r="DJ663" s="1241"/>
      <c r="DK663" s="1241"/>
      <c r="DL663" s="1241"/>
      <c r="DM663" s="1241"/>
    </row>
    <row r="664" spans="1:117" s="1302" customFormat="1" hidden="1">
      <c r="A664" s="1243"/>
      <c r="B664" s="1496"/>
      <c r="C664" s="1496"/>
      <c r="D664" s="1497"/>
      <c r="E664" s="1224"/>
      <c r="F664" s="1492"/>
      <c r="G664" s="1493"/>
      <c r="H664" s="1493"/>
      <c r="I664" s="1493"/>
      <c r="J664" s="1493"/>
      <c r="K664" s="1493"/>
      <c r="L664" s="1493"/>
      <c r="M664" s="1493"/>
      <c r="N664" s="1493"/>
      <c r="O664" s="1493"/>
      <c r="P664" s="1241"/>
      <c r="Q664" s="1241"/>
      <c r="R664" s="1241"/>
      <c r="S664" s="1241"/>
      <c r="T664" s="1241"/>
      <c r="U664" s="1241"/>
      <c r="V664" s="1241"/>
      <c r="W664" s="1241"/>
      <c r="X664" s="1241"/>
      <c r="Y664" s="1241"/>
      <c r="Z664" s="1241"/>
      <c r="AA664" s="1241"/>
      <c r="AB664" s="1241"/>
      <c r="AC664" s="1241"/>
      <c r="AD664" s="1241"/>
      <c r="AE664" s="1241"/>
      <c r="AF664" s="1241"/>
      <c r="AG664" s="1241"/>
      <c r="AH664" s="1241"/>
      <c r="AI664" s="1241"/>
      <c r="AJ664" s="1241"/>
      <c r="AK664" s="1241"/>
      <c r="AL664" s="1241"/>
      <c r="AM664" s="1241"/>
      <c r="AN664" s="1241"/>
      <c r="AO664" s="1241"/>
      <c r="AP664" s="1241"/>
      <c r="AQ664" s="1241"/>
      <c r="AR664" s="1241"/>
      <c r="AS664" s="1241"/>
      <c r="AT664" s="1241"/>
      <c r="AU664" s="1241"/>
      <c r="AV664" s="1241"/>
      <c r="AW664" s="1241"/>
      <c r="AX664" s="1241"/>
      <c r="AY664" s="1241"/>
      <c r="AZ664" s="1241"/>
      <c r="BA664" s="1241"/>
      <c r="BB664" s="1241"/>
      <c r="BC664" s="1241"/>
      <c r="BD664" s="1241"/>
      <c r="BE664" s="1241"/>
      <c r="BF664" s="1241"/>
      <c r="BG664" s="1241"/>
      <c r="BH664" s="1241"/>
      <c r="BI664" s="1241"/>
      <c r="BJ664" s="1241"/>
      <c r="BK664" s="1241"/>
      <c r="BL664" s="1241"/>
      <c r="BM664" s="1241"/>
      <c r="BN664" s="1241"/>
      <c r="BO664" s="1241"/>
      <c r="BP664" s="1241"/>
      <c r="BQ664" s="1241"/>
      <c r="BR664" s="1241"/>
      <c r="BS664" s="1241"/>
      <c r="BT664" s="1241"/>
      <c r="BU664" s="1241"/>
      <c r="BV664" s="1241"/>
      <c r="BW664" s="1241"/>
      <c r="BX664" s="1241"/>
      <c r="BY664" s="1241"/>
      <c r="BZ664" s="1241"/>
      <c r="CA664" s="1241"/>
      <c r="CB664" s="1241"/>
      <c r="CC664" s="1241"/>
      <c r="CD664" s="1241"/>
      <c r="CE664" s="1241"/>
      <c r="CF664" s="1241"/>
      <c r="CG664" s="1241"/>
      <c r="CH664" s="1241"/>
      <c r="CI664" s="1241"/>
      <c r="CJ664" s="1241"/>
      <c r="CK664" s="1241"/>
      <c r="CL664" s="1241"/>
      <c r="CM664" s="1241"/>
      <c r="CN664" s="1241"/>
      <c r="CO664" s="1241"/>
      <c r="CP664" s="1241"/>
      <c r="CQ664" s="1241"/>
      <c r="CR664" s="1241"/>
      <c r="CS664" s="1241"/>
      <c r="CT664" s="1241"/>
      <c r="CU664" s="1241"/>
      <c r="CV664" s="1241"/>
      <c r="CW664" s="1241"/>
      <c r="CX664" s="1241"/>
      <c r="CY664" s="1241"/>
      <c r="CZ664" s="1241"/>
      <c r="DA664" s="1241"/>
      <c r="DB664" s="1241"/>
      <c r="DC664" s="1241"/>
      <c r="DD664" s="1241"/>
      <c r="DE664" s="1241"/>
      <c r="DF664" s="1241"/>
      <c r="DG664" s="1241"/>
      <c r="DH664" s="1241"/>
      <c r="DI664" s="1241"/>
      <c r="DJ664" s="1241"/>
      <c r="DK664" s="1241"/>
      <c r="DL664" s="1241"/>
      <c r="DM664" s="1241"/>
    </row>
    <row r="665" spans="1:117" s="1302" customFormat="1" hidden="1">
      <c r="A665" s="1243"/>
      <c r="B665" s="1495" t="s">
        <v>4277</v>
      </c>
      <c r="C665" s="1496"/>
      <c r="D665" s="1497"/>
      <c r="E665" s="1224"/>
      <c r="F665" s="1492"/>
      <c r="G665" s="1493"/>
      <c r="H665" s="1493"/>
      <c r="I665" s="1493"/>
      <c r="J665" s="1493"/>
      <c r="K665" s="1493"/>
      <c r="L665" s="1493"/>
      <c r="M665" s="1493"/>
      <c r="N665" s="1493"/>
      <c r="O665" s="1493"/>
      <c r="P665" s="1241"/>
      <c r="Q665" s="1241"/>
      <c r="R665" s="1241"/>
      <c r="S665" s="1241"/>
      <c r="T665" s="1241"/>
      <c r="U665" s="1241"/>
      <c r="V665" s="1241"/>
      <c r="W665" s="1241"/>
      <c r="X665" s="1241"/>
      <c r="Y665" s="1241"/>
      <c r="Z665" s="1241"/>
      <c r="AA665" s="1241"/>
      <c r="AB665" s="1241"/>
      <c r="AC665" s="1241"/>
      <c r="AD665" s="1241"/>
      <c r="AE665" s="1241"/>
      <c r="AF665" s="1241"/>
      <c r="AG665" s="1241"/>
      <c r="AH665" s="1241"/>
      <c r="AI665" s="1241"/>
      <c r="AJ665" s="1241"/>
      <c r="AK665" s="1241"/>
      <c r="AL665" s="1241"/>
      <c r="AM665" s="1241"/>
      <c r="AN665" s="1241"/>
      <c r="AO665" s="1241"/>
      <c r="AP665" s="1241"/>
      <c r="AQ665" s="1241"/>
      <c r="AR665" s="1241"/>
      <c r="AS665" s="1241"/>
      <c r="AT665" s="1241"/>
      <c r="AU665" s="1241"/>
      <c r="AV665" s="1241"/>
      <c r="AW665" s="1241"/>
      <c r="AX665" s="1241"/>
      <c r="AY665" s="1241"/>
      <c r="AZ665" s="1241"/>
      <c r="BA665" s="1241"/>
      <c r="BB665" s="1241"/>
      <c r="BC665" s="1241"/>
      <c r="BD665" s="1241"/>
      <c r="BE665" s="1241"/>
      <c r="BF665" s="1241"/>
      <c r="BG665" s="1241"/>
      <c r="BH665" s="1241"/>
      <c r="BI665" s="1241"/>
      <c r="BJ665" s="1241"/>
      <c r="BK665" s="1241"/>
      <c r="BL665" s="1241"/>
      <c r="BM665" s="1241"/>
      <c r="BN665" s="1241"/>
      <c r="BO665" s="1241"/>
      <c r="BP665" s="1241"/>
      <c r="BQ665" s="1241"/>
      <c r="BR665" s="1241"/>
      <c r="BS665" s="1241"/>
      <c r="BT665" s="1241"/>
      <c r="BU665" s="1241"/>
      <c r="BV665" s="1241"/>
      <c r="BW665" s="1241"/>
      <c r="BX665" s="1241"/>
      <c r="BY665" s="1241"/>
      <c r="BZ665" s="1241"/>
      <c r="CA665" s="1241"/>
      <c r="CB665" s="1241"/>
      <c r="CC665" s="1241"/>
      <c r="CD665" s="1241"/>
      <c r="CE665" s="1241"/>
      <c r="CF665" s="1241"/>
      <c r="CG665" s="1241"/>
      <c r="CH665" s="1241"/>
      <c r="CI665" s="1241"/>
      <c r="CJ665" s="1241"/>
      <c r="CK665" s="1241"/>
      <c r="CL665" s="1241"/>
      <c r="CM665" s="1241"/>
      <c r="CN665" s="1241"/>
      <c r="CO665" s="1241"/>
      <c r="CP665" s="1241"/>
      <c r="CQ665" s="1241"/>
      <c r="CR665" s="1241"/>
      <c r="CS665" s="1241"/>
      <c r="CT665" s="1241"/>
      <c r="CU665" s="1241"/>
      <c r="CV665" s="1241"/>
      <c r="CW665" s="1241"/>
      <c r="CX665" s="1241"/>
      <c r="CY665" s="1241"/>
      <c r="CZ665" s="1241"/>
      <c r="DA665" s="1241"/>
      <c r="DB665" s="1241"/>
      <c r="DC665" s="1241"/>
      <c r="DD665" s="1241"/>
      <c r="DE665" s="1241"/>
      <c r="DF665" s="1241"/>
      <c r="DG665" s="1241"/>
      <c r="DH665" s="1241"/>
      <c r="DI665" s="1241"/>
      <c r="DJ665" s="1241"/>
      <c r="DK665" s="1241"/>
      <c r="DL665" s="1241"/>
      <c r="DM665" s="1241"/>
    </row>
    <row r="666" spans="1:117" s="1302" customFormat="1" hidden="1">
      <c r="A666" s="1243"/>
      <c r="B666" s="1496"/>
      <c r="C666" s="1496"/>
      <c r="D666" s="1497"/>
      <c r="E666" s="1224"/>
      <c r="F666" s="1492"/>
      <c r="G666" s="1493"/>
      <c r="H666" s="1493"/>
      <c r="I666" s="1493"/>
      <c r="J666" s="1493"/>
      <c r="K666" s="1493"/>
      <c r="L666" s="1493"/>
      <c r="M666" s="1493"/>
      <c r="N666" s="1493"/>
      <c r="O666" s="1493"/>
      <c r="P666" s="1241"/>
      <c r="Q666" s="1241"/>
      <c r="R666" s="1241"/>
      <c r="S666" s="1241"/>
      <c r="T666" s="1241"/>
      <c r="U666" s="1241"/>
      <c r="V666" s="1241"/>
      <c r="W666" s="1241"/>
      <c r="X666" s="1241"/>
      <c r="Y666" s="1241"/>
      <c r="Z666" s="1241"/>
      <c r="AA666" s="1241"/>
      <c r="AB666" s="1241"/>
      <c r="AC666" s="1241"/>
      <c r="AD666" s="1241"/>
      <c r="AE666" s="1241"/>
      <c r="AF666" s="1241"/>
      <c r="AG666" s="1241"/>
      <c r="AH666" s="1241"/>
      <c r="AI666" s="1241"/>
      <c r="AJ666" s="1241"/>
      <c r="AK666" s="1241"/>
      <c r="AL666" s="1241"/>
      <c r="AM666" s="1241"/>
      <c r="AN666" s="1241"/>
      <c r="AO666" s="1241"/>
      <c r="AP666" s="1241"/>
      <c r="AQ666" s="1241"/>
      <c r="AR666" s="1241"/>
      <c r="AS666" s="1241"/>
      <c r="AT666" s="1241"/>
      <c r="AU666" s="1241"/>
      <c r="AV666" s="1241"/>
      <c r="AW666" s="1241"/>
      <c r="AX666" s="1241"/>
      <c r="AY666" s="1241"/>
      <c r="AZ666" s="1241"/>
      <c r="BA666" s="1241"/>
      <c r="BB666" s="1241"/>
      <c r="BC666" s="1241"/>
      <c r="BD666" s="1241"/>
      <c r="BE666" s="1241"/>
      <c r="BF666" s="1241"/>
      <c r="BG666" s="1241"/>
      <c r="BH666" s="1241"/>
      <c r="BI666" s="1241"/>
      <c r="BJ666" s="1241"/>
      <c r="BK666" s="1241"/>
      <c r="BL666" s="1241"/>
      <c r="BM666" s="1241"/>
      <c r="BN666" s="1241"/>
      <c r="BO666" s="1241"/>
      <c r="BP666" s="1241"/>
      <c r="BQ666" s="1241"/>
      <c r="BR666" s="1241"/>
      <c r="BS666" s="1241"/>
      <c r="BT666" s="1241"/>
      <c r="BU666" s="1241"/>
      <c r="BV666" s="1241"/>
      <c r="BW666" s="1241"/>
      <c r="BX666" s="1241"/>
      <c r="BY666" s="1241"/>
      <c r="BZ666" s="1241"/>
      <c r="CA666" s="1241"/>
      <c r="CB666" s="1241"/>
      <c r="CC666" s="1241"/>
      <c r="CD666" s="1241"/>
      <c r="CE666" s="1241"/>
      <c r="CF666" s="1241"/>
      <c r="CG666" s="1241"/>
      <c r="CH666" s="1241"/>
      <c r="CI666" s="1241"/>
      <c r="CJ666" s="1241"/>
      <c r="CK666" s="1241"/>
      <c r="CL666" s="1241"/>
      <c r="CM666" s="1241"/>
      <c r="CN666" s="1241"/>
      <c r="CO666" s="1241"/>
      <c r="CP666" s="1241"/>
      <c r="CQ666" s="1241"/>
      <c r="CR666" s="1241"/>
      <c r="CS666" s="1241"/>
      <c r="CT666" s="1241"/>
      <c r="CU666" s="1241"/>
      <c r="CV666" s="1241"/>
      <c r="CW666" s="1241"/>
      <c r="CX666" s="1241"/>
      <c r="CY666" s="1241"/>
      <c r="CZ666" s="1241"/>
      <c r="DA666" s="1241"/>
      <c r="DB666" s="1241"/>
      <c r="DC666" s="1241"/>
      <c r="DD666" s="1241"/>
      <c r="DE666" s="1241"/>
      <c r="DF666" s="1241"/>
      <c r="DG666" s="1241"/>
      <c r="DH666" s="1241"/>
      <c r="DI666" s="1241"/>
      <c r="DJ666" s="1241"/>
      <c r="DK666" s="1241"/>
      <c r="DL666" s="1241"/>
      <c r="DM666" s="1241"/>
    </row>
    <row r="667" spans="1:117" s="1302" customFormat="1" hidden="1">
      <c r="A667" s="1243"/>
      <c r="B667" s="1495" t="s">
        <v>4275</v>
      </c>
      <c r="C667" s="1496"/>
      <c r="D667" s="1497"/>
      <c r="E667" s="1224"/>
      <c r="F667" s="1492"/>
      <c r="G667" s="1493"/>
      <c r="H667" s="1493"/>
      <c r="I667" s="1493"/>
      <c r="J667" s="1493"/>
      <c r="K667" s="1493"/>
      <c r="L667" s="1493"/>
      <c r="M667" s="1493"/>
      <c r="N667" s="1493"/>
      <c r="O667" s="1493"/>
      <c r="P667" s="1241"/>
      <c r="Q667" s="1241"/>
      <c r="R667" s="1241"/>
      <c r="S667" s="1241"/>
      <c r="T667" s="1241"/>
      <c r="U667" s="1241"/>
      <c r="V667" s="1241"/>
      <c r="W667" s="1241"/>
      <c r="X667" s="1241"/>
      <c r="Y667" s="1241"/>
      <c r="Z667" s="1241"/>
      <c r="AA667" s="1241"/>
      <c r="AB667" s="1241"/>
      <c r="AC667" s="1241"/>
      <c r="AD667" s="1241"/>
      <c r="AE667" s="1241"/>
      <c r="AF667" s="1241"/>
      <c r="AG667" s="1241"/>
      <c r="AH667" s="1241"/>
      <c r="AI667" s="1241"/>
      <c r="AJ667" s="1241"/>
      <c r="AK667" s="1241"/>
      <c r="AL667" s="1241"/>
      <c r="AM667" s="1241"/>
      <c r="AN667" s="1241"/>
      <c r="AO667" s="1241"/>
      <c r="AP667" s="1241"/>
      <c r="AQ667" s="1241"/>
      <c r="AR667" s="1241"/>
      <c r="AS667" s="1241"/>
      <c r="AT667" s="1241"/>
      <c r="AU667" s="1241"/>
      <c r="AV667" s="1241"/>
      <c r="AW667" s="1241"/>
      <c r="AX667" s="1241"/>
      <c r="AY667" s="1241"/>
      <c r="AZ667" s="1241"/>
      <c r="BA667" s="1241"/>
      <c r="BB667" s="1241"/>
      <c r="BC667" s="1241"/>
      <c r="BD667" s="1241"/>
      <c r="BE667" s="1241"/>
      <c r="BF667" s="1241"/>
      <c r="BG667" s="1241"/>
      <c r="BH667" s="1241"/>
      <c r="BI667" s="1241"/>
      <c r="BJ667" s="1241"/>
      <c r="BK667" s="1241"/>
      <c r="BL667" s="1241"/>
      <c r="BM667" s="1241"/>
      <c r="BN667" s="1241"/>
      <c r="BO667" s="1241"/>
      <c r="BP667" s="1241"/>
      <c r="BQ667" s="1241"/>
      <c r="BR667" s="1241"/>
      <c r="BS667" s="1241"/>
      <c r="BT667" s="1241"/>
      <c r="BU667" s="1241"/>
      <c r="BV667" s="1241"/>
      <c r="BW667" s="1241"/>
      <c r="BX667" s="1241"/>
      <c r="BY667" s="1241"/>
      <c r="BZ667" s="1241"/>
      <c r="CA667" s="1241"/>
      <c r="CB667" s="1241"/>
      <c r="CC667" s="1241"/>
      <c r="CD667" s="1241"/>
      <c r="CE667" s="1241"/>
      <c r="CF667" s="1241"/>
      <c r="CG667" s="1241"/>
      <c r="CH667" s="1241"/>
      <c r="CI667" s="1241"/>
      <c r="CJ667" s="1241"/>
      <c r="CK667" s="1241"/>
      <c r="CL667" s="1241"/>
      <c r="CM667" s="1241"/>
      <c r="CN667" s="1241"/>
      <c r="CO667" s="1241"/>
      <c r="CP667" s="1241"/>
      <c r="CQ667" s="1241"/>
      <c r="CR667" s="1241"/>
      <c r="CS667" s="1241"/>
      <c r="CT667" s="1241"/>
      <c r="CU667" s="1241"/>
      <c r="CV667" s="1241"/>
      <c r="CW667" s="1241"/>
      <c r="CX667" s="1241"/>
      <c r="CY667" s="1241"/>
      <c r="CZ667" s="1241"/>
      <c r="DA667" s="1241"/>
      <c r="DB667" s="1241"/>
      <c r="DC667" s="1241"/>
      <c r="DD667" s="1241"/>
      <c r="DE667" s="1241"/>
      <c r="DF667" s="1241"/>
      <c r="DG667" s="1241"/>
      <c r="DH667" s="1241"/>
      <c r="DI667" s="1241"/>
      <c r="DJ667" s="1241"/>
      <c r="DK667" s="1241"/>
      <c r="DL667" s="1241"/>
      <c r="DM667" s="1241"/>
    </row>
    <row r="668" spans="1:117" s="1302" customFormat="1" hidden="1">
      <c r="A668" s="1243"/>
      <c r="B668" s="1496" t="s">
        <v>4269</v>
      </c>
      <c r="C668" s="1496"/>
      <c r="D668" s="1497"/>
      <c r="E668" s="1224"/>
      <c r="F668" s="1492"/>
      <c r="G668" s="1493"/>
      <c r="H668" s="1498">
        <v>90.727607100000014</v>
      </c>
      <c r="I668" s="1498">
        <v>90.727607100000014</v>
      </c>
      <c r="J668" s="1498">
        <v>90.727607100000014</v>
      </c>
      <c r="K668" s="1498">
        <v>90.727607100000014</v>
      </c>
      <c r="L668" s="1498">
        <v>90.727607100000014</v>
      </c>
      <c r="M668" s="1498">
        <v>90.727607100000014</v>
      </c>
      <c r="N668" s="1498">
        <v>90.727607100000014</v>
      </c>
      <c r="O668" s="1498">
        <v>90.727607100000014</v>
      </c>
      <c r="P668" s="1241"/>
      <c r="Q668" s="1241"/>
      <c r="R668" s="1241"/>
      <c r="S668" s="1241"/>
      <c r="T668" s="1241"/>
      <c r="U668" s="1241"/>
      <c r="V668" s="1241"/>
      <c r="W668" s="1241"/>
      <c r="X668" s="1241"/>
      <c r="Y668" s="1241"/>
      <c r="Z668" s="1241"/>
      <c r="AA668" s="1241"/>
      <c r="AB668" s="1241"/>
      <c r="AC668" s="1241"/>
      <c r="AD668" s="1241"/>
      <c r="AE668" s="1241"/>
      <c r="AF668" s="1241"/>
      <c r="AG668" s="1241"/>
      <c r="AH668" s="1241"/>
      <c r="AI668" s="1241"/>
      <c r="AJ668" s="1241"/>
      <c r="AK668" s="1241"/>
      <c r="AL668" s="1241"/>
      <c r="AM668" s="1241"/>
      <c r="AN668" s="1241"/>
      <c r="AO668" s="1241"/>
      <c r="AP668" s="1241"/>
      <c r="AQ668" s="1241"/>
      <c r="AR668" s="1241"/>
      <c r="AS668" s="1241"/>
      <c r="AT668" s="1241"/>
      <c r="AU668" s="1241"/>
      <c r="AV668" s="1241"/>
      <c r="AW668" s="1241"/>
      <c r="AX668" s="1241"/>
      <c r="AY668" s="1241"/>
      <c r="AZ668" s="1241"/>
      <c r="BA668" s="1241"/>
      <c r="BB668" s="1241"/>
      <c r="BC668" s="1241"/>
      <c r="BD668" s="1241"/>
      <c r="BE668" s="1241"/>
      <c r="BF668" s="1241"/>
      <c r="BG668" s="1241"/>
      <c r="BH668" s="1241"/>
      <c r="BI668" s="1241"/>
      <c r="BJ668" s="1241"/>
      <c r="BK668" s="1241"/>
      <c r="BL668" s="1241"/>
      <c r="BM668" s="1241"/>
      <c r="BN668" s="1241"/>
      <c r="BO668" s="1241"/>
      <c r="BP668" s="1241"/>
      <c r="BQ668" s="1241"/>
      <c r="BR668" s="1241"/>
      <c r="BS668" s="1241"/>
      <c r="BT668" s="1241"/>
      <c r="BU668" s="1241"/>
      <c r="BV668" s="1241"/>
      <c r="BW668" s="1241"/>
      <c r="BX668" s="1241"/>
      <c r="BY668" s="1241"/>
      <c r="BZ668" s="1241"/>
      <c r="CA668" s="1241"/>
      <c r="CB668" s="1241"/>
      <c r="CC668" s="1241"/>
      <c r="CD668" s="1241"/>
      <c r="CE668" s="1241"/>
      <c r="CF668" s="1241"/>
      <c r="CG668" s="1241"/>
      <c r="CH668" s="1241"/>
      <c r="CI668" s="1241"/>
      <c r="CJ668" s="1241"/>
      <c r="CK668" s="1241"/>
      <c r="CL668" s="1241"/>
      <c r="CM668" s="1241"/>
      <c r="CN668" s="1241"/>
      <c r="CO668" s="1241"/>
      <c r="CP668" s="1241"/>
      <c r="CQ668" s="1241"/>
      <c r="CR668" s="1241"/>
      <c r="CS668" s="1241"/>
      <c r="CT668" s="1241"/>
      <c r="CU668" s="1241"/>
      <c r="CV668" s="1241"/>
      <c r="CW668" s="1241"/>
      <c r="CX668" s="1241"/>
      <c r="CY668" s="1241"/>
      <c r="CZ668" s="1241"/>
      <c r="DA668" s="1241"/>
      <c r="DB668" s="1241"/>
      <c r="DC668" s="1241"/>
      <c r="DD668" s="1241"/>
      <c r="DE668" s="1241"/>
      <c r="DF668" s="1241"/>
      <c r="DG668" s="1241"/>
      <c r="DH668" s="1241"/>
      <c r="DI668" s="1241"/>
      <c r="DJ668" s="1241"/>
      <c r="DK668" s="1241"/>
      <c r="DL668" s="1241"/>
      <c r="DM668" s="1241"/>
    </row>
    <row r="669" spans="1:117" s="1302" customFormat="1" hidden="1">
      <c r="A669" s="1243"/>
      <c r="B669" s="1496" t="s">
        <v>4270</v>
      </c>
      <c r="C669" s="1496"/>
      <c r="D669" s="1497"/>
      <c r="E669" s="1224"/>
      <c r="F669" s="1492"/>
      <c r="G669" s="1493"/>
      <c r="H669" s="1498">
        <v>39.082661520000009</v>
      </c>
      <c r="I669" s="1498">
        <v>39.082661520000009</v>
      </c>
      <c r="J669" s="1498">
        <v>39.082661520000009</v>
      </c>
      <c r="K669" s="1498">
        <v>39.082661520000009</v>
      </c>
      <c r="L669" s="1498">
        <v>39.082661520000009</v>
      </c>
      <c r="M669" s="1498">
        <v>39.082661520000009</v>
      </c>
      <c r="N669" s="1498">
        <v>39.082661520000009</v>
      </c>
      <c r="O669" s="1498">
        <v>39.082661520000009</v>
      </c>
      <c r="P669" s="1241"/>
      <c r="Q669" s="1241"/>
      <c r="R669" s="1241"/>
      <c r="S669" s="1241"/>
      <c r="T669" s="1241"/>
      <c r="U669" s="1241"/>
      <c r="V669" s="1241"/>
      <c r="W669" s="1241"/>
      <c r="X669" s="1241"/>
      <c r="Y669" s="1241"/>
      <c r="Z669" s="1241"/>
      <c r="AA669" s="1241"/>
      <c r="AB669" s="1241"/>
      <c r="AC669" s="1241"/>
      <c r="AD669" s="1241"/>
      <c r="AE669" s="1241"/>
      <c r="AF669" s="1241"/>
      <c r="AG669" s="1241"/>
      <c r="AH669" s="1241"/>
      <c r="AI669" s="1241"/>
      <c r="AJ669" s="1241"/>
      <c r="AK669" s="1241"/>
      <c r="AL669" s="1241"/>
      <c r="AM669" s="1241"/>
      <c r="AN669" s="1241"/>
      <c r="AO669" s="1241"/>
      <c r="AP669" s="1241"/>
      <c r="AQ669" s="1241"/>
      <c r="AR669" s="1241"/>
      <c r="AS669" s="1241"/>
      <c r="AT669" s="1241"/>
      <c r="AU669" s="1241"/>
      <c r="AV669" s="1241"/>
      <c r="AW669" s="1241"/>
      <c r="AX669" s="1241"/>
      <c r="AY669" s="1241"/>
      <c r="AZ669" s="1241"/>
      <c r="BA669" s="1241"/>
      <c r="BB669" s="1241"/>
      <c r="BC669" s="1241"/>
      <c r="BD669" s="1241"/>
      <c r="BE669" s="1241"/>
      <c r="BF669" s="1241"/>
      <c r="BG669" s="1241"/>
      <c r="BH669" s="1241"/>
      <c r="BI669" s="1241"/>
      <c r="BJ669" s="1241"/>
      <c r="BK669" s="1241"/>
      <c r="BL669" s="1241"/>
      <c r="BM669" s="1241"/>
      <c r="BN669" s="1241"/>
      <c r="BO669" s="1241"/>
      <c r="BP669" s="1241"/>
      <c r="BQ669" s="1241"/>
      <c r="BR669" s="1241"/>
      <c r="BS669" s="1241"/>
      <c r="BT669" s="1241"/>
      <c r="BU669" s="1241"/>
      <c r="BV669" s="1241"/>
      <c r="BW669" s="1241"/>
      <c r="BX669" s="1241"/>
      <c r="BY669" s="1241"/>
      <c r="BZ669" s="1241"/>
      <c r="CA669" s="1241"/>
      <c r="CB669" s="1241"/>
      <c r="CC669" s="1241"/>
      <c r="CD669" s="1241"/>
      <c r="CE669" s="1241"/>
      <c r="CF669" s="1241"/>
      <c r="CG669" s="1241"/>
      <c r="CH669" s="1241"/>
      <c r="CI669" s="1241"/>
      <c r="CJ669" s="1241"/>
      <c r="CK669" s="1241"/>
      <c r="CL669" s="1241"/>
      <c r="CM669" s="1241"/>
      <c r="CN669" s="1241"/>
      <c r="CO669" s="1241"/>
      <c r="CP669" s="1241"/>
      <c r="CQ669" s="1241"/>
      <c r="CR669" s="1241"/>
      <c r="CS669" s="1241"/>
      <c r="CT669" s="1241"/>
      <c r="CU669" s="1241"/>
      <c r="CV669" s="1241"/>
      <c r="CW669" s="1241"/>
      <c r="CX669" s="1241"/>
      <c r="CY669" s="1241"/>
      <c r="CZ669" s="1241"/>
      <c r="DA669" s="1241"/>
      <c r="DB669" s="1241"/>
      <c r="DC669" s="1241"/>
      <c r="DD669" s="1241"/>
      <c r="DE669" s="1241"/>
      <c r="DF669" s="1241"/>
      <c r="DG669" s="1241"/>
      <c r="DH669" s="1241"/>
      <c r="DI669" s="1241"/>
      <c r="DJ669" s="1241"/>
      <c r="DK669" s="1241"/>
      <c r="DL669" s="1241"/>
      <c r="DM669" s="1241"/>
    </row>
    <row r="670" spans="1:117" s="1302" customFormat="1" hidden="1">
      <c r="A670" s="1243"/>
      <c r="B670" s="1496" t="s">
        <v>4271</v>
      </c>
      <c r="C670" s="1496"/>
      <c r="D670" s="1497"/>
      <c r="E670" s="1224"/>
      <c r="F670" s="1492"/>
      <c r="G670" s="1493"/>
      <c r="H670" s="1498">
        <v>45.363803550000007</v>
      </c>
      <c r="I670" s="1498">
        <v>45.363803550000007</v>
      </c>
      <c r="J670" s="1498">
        <v>45.363803550000007</v>
      </c>
      <c r="K670" s="1498">
        <v>45.363803550000007</v>
      </c>
      <c r="L670" s="1498">
        <v>45.363803550000007</v>
      </c>
      <c r="M670" s="1498">
        <v>45.363803550000007</v>
      </c>
      <c r="N670" s="1498">
        <v>45.363803550000007</v>
      </c>
      <c r="O670" s="1498">
        <v>45.363803550000007</v>
      </c>
      <c r="P670" s="1241"/>
      <c r="Q670" s="1241"/>
      <c r="R670" s="1241"/>
      <c r="S670" s="1241"/>
      <c r="T670" s="1241"/>
      <c r="U670" s="1241"/>
      <c r="V670" s="1241"/>
      <c r="W670" s="1241"/>
      <c r="X670" s="1241"/>
      <c r="Y670" s="1241"/>
      <c r="Z670" s="1241"/>
      <c r="AA670" s="1241"/>
      <c r="AB670" s="1241"/>
      <c r="AC670" s="1241"/>
      <c r="AD670" s="1241"/>
      <c r="AE670" s="1241"/>
      <c r="AF670" s="1241"/>
      <c r="AG670" s="1241"/>
      <c r="AH670" s="1241"/>
      <c r="AI670" s="1241"/>
      <c r="AJ670" s="1241"/>
      <c r="AK670" s="1241"/>
      <c r="AL670" s="1241"/>
      <c r="AM670" s="1241"/>
      <c r="AN670" s="1241"/>
      <c r="AO670" s="1241"/>
      <c r="AP670" s="1241"/>
      <c r="AQ670" s="1241"/>
      <c r="AR670" s="1241"/>
      <c r="AS670" s="1241"/>
      <c r="AT670" s="1241"/>
      <c r="AU670" s="1241"/>
      <c r="AV670" s="1241"/>
      <c r="AW670" s="1241"/>
      <c r="AX670" s="1241"/>
      <c r="AY670" s="1241"/>
      <c r="AZ670" s="1241"/>
      <c r="BA670" s="1241"/>
      <c r="BB670" s="1241"/>
      <c r="BC670" s="1241"/>
      <c r="BD670" s="1241"/>
      <c r="BE670" s="1241"/>
      <c r="BF670" s="1241"/>
      <c r="BG670" s="1241"/>
      <c r="BH670" s="1241"/>
      <c r="BI670" s="1241"/>
      <c r="BJ670" s="1241"/>
      <c r="BK670" s="1241"/>
      <c r="BL670" s="1241"/>
      <c r="BM670" s="1241"/>
      <c r="BN670" s="1241"/>
      <c r="BO670" s="1241"/>
      <c r="BP670" s="1241"/>
      <c r="BQ670" s="1241"/>
      <c r="BR670" s="1241"/>
      <c r="BS670" s="1241"/>
      <c r="BT670" s="1241"/>
      <c r="BU670" s="1241"/>
      <c r="BV670" s="1241"/>
      <c r="BW670" s="1241"/>
      <c r="BX670" s="1241"/>
      <c r="BY670" s="1241"/>
      <c r="BZ670" s="1241"/>
      <c r="CA670" s="1241"/>
      <c r="CB670" s="1241"/>
      <c r="CC670" s="1241"/>
      <c r="CD670" s="1241"/>
      <c r="CE670" s="1241"/>
      <c r="CF670" s="1241"/>
      <c r="CG670" s="1241"/>
      <c r="CH670" s="1241"/>
      <c r="CI670" s="1241"/>
      <c r="CJ670" s="1241"/>
      <c r="CK670" s="1241"/>
      <c r="CL670" s="1241"/>
      <c r="CM670" s="1241"/>
      <c r="CN670" s="1241"/>
      <c r="CO670" s="1241"/>
      <c r="CP670" s="1241"/>
      <c r="CQ670" s="1241"/>
      <c r="CR670" s="1241"/>
      <c r="CS670" s="1241"/>
      <c r="CT670" s="1241"/>
      <c r="CU670" s="1241"/>
      <c r="CV670" s="1241"/>
      <c r="CW670" s="1241"/>
      <c r="CX670" s="1241"/>
      <c r="CY670" s="1241"/>
      <c r="CZ670" s="1241"/>
      <c r="DA670" s="1241"/>
      <c r="DB670" s="1241"/>
      <c r="DC670" s="1241"/>
      <c r="DD670" s="1241"/>
      <c r="DE670" s="1241"/>
      <c r="DF670" s="1241"/>
      <c r="DG670" s="1241"/>
      <c r="DH670" s="1241"/>
      <c r="DI670" s="1241"/>
      <c r="DJ670" s="1241"/>
      <c r="DK670" s="1241"/>
      <c r="DL670" s="1241"/>
      <c r="DM670" s="1241"/>
    </row>
    <row r="671" spans="1:117" s="1302" customFormat="1" hidden="1">
      <c r="A671" s="1243"/>
      <c r="B671" s="1496" t="s">
        <v>4272</v>
      </c>
      <c r="C671" s="1496"/>
      <c r="D671" s="1497"/>
      <c r="E671" s="1224"/>
      <c r="F671" s="1492"/>
      <c r="G671" s="1493"/>
      <c r="H671" s="1498">
        <v>68.394657660000007</v>
      </c>
      <c r="I671" s="1498">
        <v>68.394657660000007</v>
      </c>
      <c r="J671" s="1498">
        <v>68.394657660000007</v>
      </c>
      <c r="K671" s="1498">
        <v>68.394657660000007</v>
      </c>
      <c r="L671" s="1498">
        <v>68.394657660000007</v>
      </c>
      <c r="M671" s="1498">
        <v>68.394657660000007</v>
      </c>
      <c r="N671" s="1498">
        <v>68.394657660000007</v>
      </c>
      <c r="O671" s="1498">
        <v>68.394657660000007</v>
      </c>
      <c r="P671" s="1241"/>
      <c r="Q671" s="1241"/>
      <c r="R671" s="1241"/>
      <c r="S671" s="1241"/>
      <c r="T671" s="1241"/>
      <c r="U671" s="1241"/>
      <c r="V671" s="1241"/>
      <c r="W671" s="1241"/>
      <c r="X671" s="1241"/>
      <c r="Y671" s="1241"/>
      <c r="Z671" s="1241"/>
      <c r="AA671" s="1241"/>
      <c r="AB671" s="1241"/>
      <c r="AC671" s="1241"/>
      <c r="AD671" s="1241"/>
      <c r="AE671" s="1241"/>
      <c r="AF671" s="1241"/>
      <c r="AG671" s="1241"/>
      <c r="AH671" s="1241"/>
      <c r="AI671" s="1241"/>
      <c r="AJ671" s="1241"/>
      <c r="AK671" s="1241"/>
      <c r="AL671" s="1241"/>
      <c r="AM671" s="1241"/>
      <c r="AN671" s="1241"/>
      <c r="AO671" s="1241"/>
      <c r="AP671" s="1241"/>
      <c r="AQ671" s="1241"/>
      <c r="AR671" s="1241"/>
      <c r="AS671" s="1241"/>
      <c r="AT671" s="1241"/>
      <c r="AU671" s="1241"/>
      <c r="AV671" s="1241"/>
      <c r="AW671" s="1241"/>
      <c r="AX671" s="1241"/>
      <c r="AY671" s="1241"/>
      <c r="AZ671" s="1241"/>
      <c r="BA671" s="1241"/>
      <c r="BB671" s="1241"/>
      <c r="BC671" s="1241"/>
      <c r="BD671" s="1241"/>
      <c r="BE671" s="1241"/>
      <c r="BF671" s="1241"/>
      <c r="BG671" s="1241"/>
      <c r="BH671" s="1241"/>
      <c r="BI671" s="1241"/>
      <c r="BJ671" s="1241"/>
      <c r="BK671" s="1241"/>
      <c r="BL671" s="1241"/>
      <c r="BM671" s="1241"/>
      <c r="BN671" s="1241"/>
      <c r="BO671" s="1241"/>
      <c r="BP671" s="1241"/>
      <c r="BQ671" s="1241"/>
      <c r="BR671" s="1241"/>
      <c r="BS671" s="1241"/>
      <c r="BT671" s="1241"/>
      <c r="BU671" s="1241"/>
      <c r="BV671" s="1241"/>
      <c r="BW671" s="1241"/>
      <c r="BX671" s="1241"/>
      <c r="BY671" s="1241"/>
      <c r="BZ671" s="1241"/>
      <c r="CA671" s="1241"/>
      <c r="CB671" s="1241"/>
      <c r="CC671" s="1241"/>
      <c r="CD671" s="1241"/>
      <c r="CE671" s="1241"/>
      <c r="CF671" s="1241"/>
      <c r="CG671" s="1241"/>
      <c r="CH671" s="1241"/>
      <c r="CI671" s="1241"/>
      <c r="CJ671" s="1241"/>
      <c r="CK671" s="1241"/>
      <c r="CL671" s="1241"/>
      <c r="CM671" s="1241"/>
      <c r="CN671" s="1241"/>
      <c r="CO671" s="1241"/>
      <c r="CP671" s="1241"/>
      <c r="CQ671" s="1241"/>
      <c r="CR671" s="1241"/>
      <c r="CS671" s="1241"/>
      <c r="CT671" s="1241"/>
      <c r="CU671" s="1241"/>
      <c r="CV671" s="1241"/>
      <c r="CW671" s="1241"/>
      <c r="CX671" s="1241"/>
      <c r="CY671" s="1241"/>
      <c r="CZ671" s="1241"/>
      <c r="DA671" s="1241"/>
      <c r="DB671" s="1241"/>
      <c r="DC671" s="1241"/>
      <c r="DD671" s="1241"/>
      <c r="DE671" s="1241"/>
      <c r="DF671" s="1241"/>
      <c r="DG671" s="1241"/>
      <c r="DH671" s="1241"/>
      <c r="DI671" s="1241"/>
      <c r="DJ671" s="1241"/>
      <c r="DK671" s="1241"/>
      <c r="DL671" s="1241"/>
      <c r="DM671" s="1241"/>
    </row>
    <row r="672" spans="1:117" s="1302" customFormat="1" hidden="1">
      <c r="A672" s="1243"/>
      <c r="B672" s="1496" t="s">
        <v>4273</v>
      </c>
      <c r="C672" s="1496"/>
      <c r="D672" s="1497"/>
      <c r="E672" s="1224"/>
      <c r="F672" s="1492"/>
      <c r="G672" s="1493"/>
      <c r="H672" s="1498">
        <v>31.405710150000004</v>
      </c>
      <c r="I672" s="1498">
        <v>31.405710150000004</v>
      </c>
      <c r="J672" s="1498">
        <v>31.405710150000004</v>
      </c>
      <c r="K672" s="1498">
        <v>31.405710150000004</v>
      </c>
      <c r="L672" s="1498">
        <v>31.405710150000004</v>
      </c>
      <c r="M672" s="1498">
        <v>31.405710150000004</v>
      </c>
      <c r="N672" s="1498">
        <v>31.405710150000004</v>
      </c>
      <c r="O672" s="1498">
        <v>31.405710150000004</v>
      </c>
      <c r="P672" s="1241"/>
      <c r="Q672" s="1241"/>
      <c r="R672" s="1241"/>
      <c r="S672" s="1241"/>
      <c r="T672" s="1241"/>
      <c r="U672" s="1241"/>
      <c r="V672" s="1241"/>
      <c r="W672" s="1241"/>
      <c r="X672" s="1241"/>
      <c r="Y672" s="1241"/>
      <c r="Z672" s="1241"/>
      <c r="AA672" s="1241"/>
      <c r="AB672" s="1241"/>
      <c r="AC672" s="1241"/>
      <c r="AD672" s="1241"/>
      <c r="AE672" s="1241"/>
      <c r="AF672" s="1241"/>
      <c r="AG672" s="1241"/>
      <c r="AH672" s="1241"/>
      <c r="AI672" s="1241"/>
      <c r="AJ672" s="1241"/>
      <c r="AK672" s="1241"/>
      <c r="AL672" s="1241"/>
      <c r="AM672" s="1241"/>
      <c r="AN672" s="1241"/>
      <c r="AO672" s="1241"/>
      <c r="AP672" s="1241"/>
      <c r="AQ672" s="1241"/>
      <c r="AR672" s="1241"/>
      <c r="AS672" s="1241"/>
      <c r="AT672" s="1241"/>
      <c r="AU672" s="1241"/>
      <c r="AV672" s="1241"/>
      <c r="AW672" s="1241"/>
      <c r="AX672" s="1241"/>
      <c r="AY672" s="1241"/>
      <c r="AZ672" s="1241"/>
      <c r="BA672" s="1241"/>
      <c r="BB672" s="1241"/>
      <c r="BC672" s="1241"/>
      <c r="BD672" s="1241"/>
      <c r="BE672" s="1241"/>
      <c r="BF672" s="1241"/>
      <c r="BG672" s="1241"/>
      <c r="BH672" s="1241"/>
      <c r="BI672" s="1241"/>
      <c r="BJ672" s="1241"/>
      <c r="BK672" s="1241"/>
      <c r="BL672" s="1241"/>
      <c r="BM672" s="1241"/>
      <c r="BN672" s="1241"/>
      <c r="BO672" s="1241"/>
      <c r="BP672" s="1241"/>
      <c r="BQ672" s="1241"/>
      <c r="BR672" s="1241"/>
      <c r="BS672" s="1241"/>
      <c r="BT672" s="1241"/>
      <c r="BU672" s="1241"/>
      <c r="BV672" s="1241"/>
      <c r="BW672" s="1241"/>
      <c r="BX672" s="1241"/>
      <c r="BY672" s="1241"/>
      <c r="BZ672" s="1241"/>
      <c r="CA672" s="1241"/>
      <c r="CB672" s="1241"/>
      <c r="CC672" s="1241"/>
      <c r="CD672" s="1241"/>
      <c r="CE672" s="1241"/>
      <c r="CF672" s="1241"/>
      <c r="CG672" s="1241"/>
      <c r="CH672" s="1241"/>
      <c r="CI672" s="1241"/>
      <c r="CJ672" s="1241"/>
      <c r="CK672" s="1241"/>
      <c r="CL672" s="1241"/>
      <c r="CM672" s="1241"/>
      <c r="CN672" s="1241"/>
      <c r="CO672" s="1241"/>
      <c r="CP672" s="1241"/>
      <c r="CQ672" s="1241"/>
      <c r="CR672" s="1241"/>
      <c r="CS672" s="1241"/>
      <c r="CT672" s="1241"/>
      <c r="CU672" s="1241"/>
      <c r="CV672" s="1241"/>
      <c r="CW672" s="1241"/>
      <c r="CX672" s="1241"/>
      <c r="CY672" s="1241"/>
      <c r="CZ672" s="1241"/>
      <c r="DA672" s="1241"/>
      <c r="DB672" s="1241"/>
      <c r="DC672" s="1241"/>
      <c r="DD672" s="1241"/>
      <c r="DE672" s="1241"/>
      <c r="DF672" s="1241"/>
      <c r="DG672" s="1241"/>
      <c r="DH672" s="1241"/>
      <c r="DI672" s="1241"/>
      <c r="DJ672" s="1241"/>
      <c r="DK672" s="1241"/>
      <c r="DL672" s="1241"/>
      <c r="DM672" s="1241"/>
    </row>
    <row r="673" spans="1:117" s="1302" customFormat="1" hidden="1">
      <c r="A673" s="1243"/>
      <c r="B673" s="1496"/>
      <c r="C673" s="1496"/>
      <c r="D673" s="1497"/>
      <c r="E673" s="1224"/>
      <c r="F673" s="1492"/>
      <c r="G673" s="1493"/>
      <c r="H673" s="1493"/>
      <c r="I673" s="1493"/>
      <c r="J673" s="1493"/>
      <c r="K673" s="1493"/>
      <c r="L673" s="1493"/>
      <c r="M673" s="1493"/>
      <c r="N673" s="1493"/>
      <c r="O673" s="1493"/>
      <c r="P673" s="1241"/>
      <c r="Q673" s="1241"/>
      <c r="R673" s="1241"/>
      <c r="S673" s="1241"/>
      <c r="T673" s="1241"/>
      <c r="U673" s="1241"/>
      <c r="V673" s="1241"/>
      <c r="W673" s="1241"/>
      <c r="X673" s="1241"/>
      <c r="Y673" s="1241"/>
      <c r="Z673" s="1241"/>
      <c r="AA673" s="1241"/>
      <c r="AB673" s="1241"/>
      <c r="AC673" s="1241"/>
      <c r="AD673" s="1241"/>
      <c r="AE673" s="1241"/>
      <c r="AF673" s="1241"/>
      <c r="AG673" s="1241"/>
      <c r="AH673" s="1241"/>
      <c r="AI673" s="1241"/>
      <c r="AJ673" s="1241"/>
      <c r="AK673" s="1241"/>
      <c r="AL673" s="1241"/>
      <c r="AM673" s="1241"/>
      <c r="AN673" s="1241"/>
      <c r="AO673" s="1241"/>
      <c r="AP673" s="1241"/>
      <c r="AQ673" s="1241"/>
      <c r="AR673" s="1241"/>
      <c r="AS673" s="1241"/>
      <c r="AT673" s="1241"/>
      <c r="AU673" s="1241"/>
      <c r="AV673" s="1241"/>
      <c r="AW673" s="1241"/>
      <c r="AX673" s="1241"/>
      <c r="AY673" s="1241"/>
      <c r="AZ673" s="1241"/>
      <c r="BA673" s="1241"/>
      <c r="BB673" s="1241"/>
      <c r="BC673" s="1241"/>
      <c r="BD673" s="1241"/>
      <c r="BE673" s="1241"/>
      <c r="BF673" s="1241"/>
      <c r="BG673" s="1241"/>
      <c r="BH673" s="1241"/>
      <c r="BI673" s="1241"/>
      <c r="BJ673" s="1241"/>
      <c r="BK673" s="1241"/>
      <c r="BL673" s="1241"/>
      <c r="BM673" s="1241"/>
      <c r="BN673" s="1241"/>
      <c r="BO673" s="1241"/>
      <c r="BP673" s="1241"/>
      <c r="BQ673" s="1241"/>
      <c r="BR673" s="1241"/>
      <c r="BS673" s="1241"/>
      <c r="BT673" s="1241"/>
      <c r="BU673" s="1241"/>
      <c r="BV673" s="1241"/>
      <c r="BW673" s="1241"/>
      <c r="BX673" s="1241"/>
      <c r="BY673" s="1241"/>
      <c r="BZ673" s="1241"/>
      <c r="CA673" s="1241"/>
      <c r="CB673" s="1241"/>
      <c r="CC673" s="1241"/>
      <c r="CD673" s="1241"/>
      <c r="CE673" s="1241"/>
      <c r="CF673" s="1241"/>
      <c r="CG673" s="1241"/>
      <c r="CH673" s="1241"/>
      <c r="CI673" s="1241"/>
      <c r="CJ673" s="1241"/>
      <c r="CK673" s="1241"/>
      <c r="CL673" s="1241"/>
      <c r="CM673" s="1241"/>
      <c r="CN673" s="1241"/>
      <c r="CO673" s="1241"/>
      <c r="CP673" s="1241"/>
      <c r="CQ673" s="1241"/>
      <c r="CR673" s="1241"/>
      <c r="CS673" s="1241"/>
      <c r="CT673" s="1241"/>
      <c r="CU673" s="1241"/>
      <c r="CV673" s="1241"/>
      <c r="CW673" s="1241"/>
      <c r="CX673" s="1241"/>
      <c r="CY673" s="1241"/>
      <c r="CZ673" s="1241"/>
      <c r="DA673" s="1241"/>
      <c r="DB673" s="1241"/>
      <c r="DC673" s="1241"/>
      <c r="DD673" s="1241"/>
      <c r="DE673" s="1241"/>
      <c r="DF673" s="1241"/>
      <c r="DG673" s="1241"/>
      <c r="DH673" s="1241"/>
      <c r="DI673" s="1241"/>
      <c r="DJ673" s="1241"/>
      <c r="DK673" s="1241"/>
      <c r="DL673" s="1241"/>
      <c r="DM673" s="1241"/>
    </row>
    <row r="674" spans="1:117" s="1302" customFormat="1" hidden="1">
      <c r="A674" s="1243"/>
      <c r="B674" s="1495" t="s">
        <v>4278</v>
      </c>
      <c r="C674" s="1496"/>
      <c r="D674" s="1497"/>
      <c r="E674" s="1224"/>
      <c r="F674" s="1492"/>
      <c r="G674" s="1493"/>
      <c r="H674" s="1493"/>
      <c r="I674" s="1493"/>
      <c r="J674" s="1493"/>
      <c r="K674" s="1493"/>
      <c r="L674" s="1493"/>
      <c r="M674" s="1493"/>
      <c r="N674" s="1493"/>
      <c r="O674" s="1493"/>
      <c r="P674" s="1241"/>
      <c r="Q674" s="1241"/>
      <c r="R674" s="1241"/>
      <c r="S674" s="1241"/>
      <c r="T674" s="1241"/>
      <c r="U674" s="1241"/>
      <c r="V674" s="1241"/>
      <c r="W674" s="1241"/>
      <c r="X674" s="1241"/>
      <c r="Y674" s="1241"/>
      <c r="Z674" s="1241"/>
      <c r="AA674" s="1241"/>
      <c r="AB674" s="1241"/>
      <c r="AC674" s="1241"/>
      <c r="AD674" s="1241"/>
      <c r="AE674" s="1241"/>
      <c r="AF674" s="1241"/>
      <c r="AG674" s="1241"/>
      <c r="AH674" s="1241"/>
      <c r="AI674" s="1241"/>
      <c r="AJ674" s="1241"/>
      <c r="AK674" s="1241"/>
      <c r="AL674" s="1241"/>
      <c r="AM674" s="1241"/>
      <c r="AN674" s="1241"/>
      <c r="AO674" s="1241"/>
      <c r="AP674" s="1241"/>
      <c r="AQ674" s="1241"/>
      <c r="AR674" s="1241"/>
      <c r="AS674" s="1241"/>
      <c r="AT674" s="1241"/>
      <c r="AU674" s="1241"/>
      <c r="AV674" s="1241"/>
      <c r="AW674" s="1241"/>
      <c r="AX674" s="1241"/>
      <c r="AY674" s="1241"/>
      <c r="AZ674" s="1241"/>
      <c r="BA674" s="1241"/>
      <c r="BB674" s="1241"/>
      <c r="BC674" s="1241"/>
      <c r="BD674" s="1241"/>
      <c r="BE674" s="1241"/>
      <c r="BF674" s="1241"/>
      <c r="BG674" s="1241"/>
      <c r="BH674" s="1241"/>
      <c r="BI674" s="1241"/>
      <c r="BJ674" s="1241"/>
      <c r="BK674" s="1241"/>
      <c r="BL674" s="1241"/>
      <c r="BM674" s="1241"/>
      <c r="BN674" s="1241"/>
      <c r="BO674" s="1241"/>
      <c r="BP674" s="1241"/>
      <c r="BQ674" s="1241"/>
      <c r="BR674" s="1241"/>
      <c r="BS674" s="1241"/>
      <c r="BT674" s="1241"/>
      <c r="BU674" s="1241"/>
      <c r="BV674" s="1241"/>
      <c r="BW674" s="1241"/>
      <c r="BX674" s="1241"/>
      <c r="BY674" s="1241"/>
      <c r="BZ674" s="1241"/>
      <c r="CA674" s="1241"/>
      <c r="CB674" s="1241"/>
      <c r="CC674" s="1241"/>
      <c r="CD674" s="1241"/>
      <c r="CE674" s="1241"/>
      <c r="CF674" s="1241"/>
      <c r="CG674" s="1241"/>
      <c r="CH674" s="1241"/>
      <c r="CI674" s="1241"/>
      <c r="CJ674" s="1241"/>
      <c r="CK674" s="1241"/>
      <c r="CL674" s="1241"/>
      <c r="CM674" s="1241"/>
      <c r="CN674" s="1241"/>
      <c r="CO674" s="1241"/>
      <c r="CP674" s="1241"/>
      <c r="CQ674" s="1241"/>
      <c r="CR674" s="1241"/>
      <c r="CS674" s="1241"/>
      <c r="CT674" s="1241"/>
      <c r="CU674" s="1241"/>
      <c r="CV674" s="1241"/>
      <c r="CW674" s="1241"/>
      <c r="CX674" s="1241"/>
      <c r="CY674" s="1241"/>
      <c r="CZ674" s="1241"/>
      <c r="DA674" s="1241"/>
      <c r="DB674" s="1241"/>
      <c r="DC674" s="1241"/>
      <c r="DD674" s="1241"/>
      <c r="DE674" s="1241"/>
      <c r="DF674" s="1241"/>
      <c r="DG674" s="1241"/>
      <c r="DH674" s="1241"/>
      <c r="DI674" s="1241"/>
      <c r="DJ674" s="1241"/>
      <c r="DK674" s="1241"/>
      <c r="DL674" s="1241"/>
      <c r="DM674" s="1241"/>
    </row>
    <row r="675" spans="1:117" s="1302" customFormat="1" hidden="1">
      <c r="A675" s="1243"/>
      <c r="B675" s="1496" t="s">
        <v>4269</v>
      </c>
      <c r="C675" s="1496"/>
      <c r="D675" s="1497"/>
      <c r="E675" s="1224"/>
      <c r="F675" s="1492"/>
      <c r="G675" s="1493"/>
      <c r="H675" s="1493"/>
      <c r="I675" s="1505">
        <v>5.3251187638608357</v>
      </c>
      <c r="J675" s="1505">
        <v>3.3719941167538932</v>
      </c>
      <c r="K675" s="1505">
        <v>4.3129319844312448</v>
      </c>
      <c r="L675" s="1505">
        <v>5.2303790451592906</v>
      </c>
      <c r="M675" s="1505">
        <v>5.8697399482919295</v>
      </c>
      <c r="N675" s="1505">
        <v>6.5348156957055297</v>
      </c>
      <c r="O675" s="1505">
        <v>2.6051566621000921</v>
      </c>
      <c r="P675" s="1241"/>
      <c r="Q675" s="1241"/>
      <c r="R675" s="1241"/>
      <c r="S675" s="1241"/>
      <c r="T675" s="1241"/>
      <c r="U675" s="1241"/>
      <c r="V675" s="1241"/>
      <c r="W675" s="1241"/>
      <c r="X675" s="1241"/>
      <c r="Y675" s="1241"/>
      <c r="Z675" s="1241"/>
      <c r="AA675" s="1241"/>
      <c r="AB675" s="1241"/>
      <c r="AC675" s="1241"/>
      <c r="AD675" s="1241"/>
      <c r="AE675" s="1241"/>
      <c r="AF675" s="1241"/>
      <c r="AG675" s="1241"/>
      <c r="AH675" s="1241"/>
      <c r="AI675" s="1241"/>
      <c r="AJ675" s="1241"/>
      <c r="AK675" s="1241"/>
      <c r="AL675" s="1241"/>
      <c r="AM675" s="1241"/>
      <c r="AN675" s="1241"/>
      <c r="AO675" s="1241"/>
      <c r="AP675" s="1241"/>
      <c r="AQ675" s="1241"/>
      <c r="AR675" s="1241"/>
      <c r="AS675" s="1241"/>
      <c r="AT675" s="1241"/>
      <c r="AU675" s="1241"/>
      <c r="AV675" s="1241"/>
      <c r="AW675" s="1241"/>
      <c r="AX675" s="1241"/>
      <c r="AY675" s="1241"/>
      <c r="AZ675" s="1241"/>
      <c r="BA675" s="1241"/>
      <c r="BB675" s="1241"/>
      <c r="BC675" s="1241"/>
      <c r="BD675" s="1241"/>
      <c r="BE675" s="1241"/>
      <c r="BF675" s="1241"/>
      <c r="BG675" s="1241"/>
      <c r="BH675" s="1241"/>
      <c r="BI675" s="1241"/>
      <c r="BJ675" s="1241"/>
      <c r="BK675" s="1241"/>
      <c r="BL675" s="1241"/>
      <c r="BM675" s="1241"/>
      <c r="BN675" s="1241"/>
      <c r="BO675" s="1241"/>
      <c r="BP675" s="1241"/>
      <c r="BQ675" s="1241"/>
      <c r="BR675" s="1241"/>
      <c r="BS675" s="1241"/>
      <c r="BT675" s="1241"/>
      <c r="BU675" s="1241"/>
      <c r="BV675" s="1241"/>
      <c r="BW675" s="1241"/>
      <c r="BX675" s="1241"/>
      <c r="BY675" s="1241"/>
      <c r="BZ675" s="1241"/>
      <c r="CA675" s="1241"/>
      <c r="CB675" s="1241"/>
      <c r="CC675" s="1241"/>
      <c r="CD675" s="1241"/>
      <c r="CE675" s="1241"/>
      <c r="CF675" s="1241"/>
      <c r="CG675" s="1241"/>
      <c r="CH675" s="1241"/>
      <c r="CI675" s="1241"/>
      <c r="CJ675" s="1241"/>
      <c r="CK675" s="1241"/>
      <c r="CL675" s="1241"/>
      <c r="CM675" s="1241"/>
      <c r="CN675" s="1241"/>
      <c r="CO675" s="1241"/>
      <c r="CP675" s="1241"/>
      <c r="CQ675" s="1241"/>
      <c r="CR675" s="1241"/>
      <c r="CS675" s="1241"/>
      <c r="CT675" s="1241"/>
      <c r="CU675" s="1241"/>
      <c r="CV675" s="1241"/>
      <c r="CW675" s="1241"/>
      <c r="CX675" s="1241"/>
      <c r="CY675" s="1241"/>
      <c r="CZ675" s="1241"/>
      <c r="DA675" s="1241"/>
      <c r="DB675" s="1241"/>
      <c r="DC675" s="1241"/>
      <c r="DD675" s="1241"/>
      <c r="DE675" s="1241"/>
      <c r="DF675" s="1241"/>
      <c r="DG675" s="1241"/>
      <c r="DH675" s="1241"/>
      <c r="DI675" s="1241"/>
      <c r="DJ675" s="1241"/>
      <c r="DK675" s="1241"/>
      <c r="DL675" s="1241"/>
      <c r="DM675" s="1241"/>
    </row>
    <row r="676" spans="1:117" s="1302" customFormat="1" hidden="1">
      <c r="A676" s="1243"/>
      <c r="B676" s="1496" t="s">
        <v>4270</v>
      </c>
      <c r="C676" s="1496"/>
      <c r="D676" s="1497"/>
      <c r="E676" s="1224"/>
      <c r="F676" s="1492"/>
      <c r="G676" s="1493"/>
      <c r="H676" s="1493"/>
      <c r="I676" s="1505">
        <v>13.763383881978774</v>
      </c>
      <c r="J676" s="1505">
        <v>8.7153078709946783</v>
      </c>
      <c r="K676" s="1505">
        <v>11.147270359760755</v>
      </c>
      <c r="L676" s="1505">
        <v>13.518518147488628</v>
      </c>
      <c r="M676" s="1505">
        <v>15.171020174046832</v>
      </c>
      <c r="N676" s="1505">
        <v>16.889985182746599</v>
      </c>
      <c r="O676" s="1505">
        <v>6.7333279881971624</v>
      </c>
      <c r="P676" s="1241"/>
      <c r="Q676" s="1241"/>
      <c r="R676" s="1241"/>
      <c r="S676" s="1241"/>
      <c r="T676" s="1241"/>
      <c r="U676" s="1241"/>
      <c r="V676" s="1241"/>
      <c r="W676" s="1241"/>
      <c r="X676" s="1241"/>
      <c r="Y676" s="1241"/>
      <c r="Z676" s="1241"/>
      <c r="AA676" s="1241"/>
      <c r="AB676" s="1241"/>
      <c r="AC676" s="1241"/>
      <c r="AD676" s="1241"/>
      <c r="AE676" s="1241"/>
      <c r="AF676" s="1241"/>
      <c r="AG676" s="1241"/>
      <c r="AH676" s="1241"/>
      <c r="AI676" s="1241"/>
      <c r="AJ676" s="1241"/>
      <c r="AK676" s="1241"/>
      <c r="AL676" s="1241"/>
      <c r="AM676" s="1241"/>
      <c r="AN676" s="1241"/>
      <c r="AO676" s="1241"/>
      <c r="AP676" s="1241"/>
      <c r="AQ676" s="1241"/>
      <c r="AR676" s="1241"/>
      <c r="AS676" s="1241"/>
      <c r="AT676" s="1241"/>
      <c r="AU676" s="1241"/>
      <c r="AV676" s="1241"/>
      <c r="AW676" s="1241"/>
      <c r="AX676" s="1241"/>
      <c r="AY676" s="1241"/>
      <c r="AZ676" s="1241"/>
      <c r="BA676" s="1241"/>
      <c r="BB676" s="1241"/>
      <c r="BC676" s="1241"/>
      <c r="BD676" s="1241"/>
      <c r="BE676" s="1241"/>
      <c r="BF676" s="1241"/>
      <c r="BG676" s="1241"/>
      <c r="BH676" s="1241"/>
      <c r="BI676" s="1241"/>
      <c r="BJ676" s="1241"/>
      <c r="BK676" s="1241"/>
      <c r="BL676" s="1241"/>
      <c r="BM676" s="1241"/>
      <c r="BN676" s="1241"/>
      <c r="BO676" s="1241"/>
      <c r="BP676" s="1241"/>
      <c r="BQ676" s="1241"/>
      <c r="BR676" s="1241"/>
      <c r="BS676" s="1241"/>
      <c r="BT676" s="1241"/>
      <c r="BU676" s="1241"/>
      <c r="BV676" s="1241"/>
      <c r="BW676" s="1241"/>
      <c r="BX676" s="1241"/>
      <c r="BY676" s="1241"/>
      <c r="BZ676" s="1241"/>
      <c r="CA676" s="1241"/>
      <c r="CB676" s="1241"/>
      <c r="CC676" s="1241"/>
      <c r="CD676" s="1241"/>
      <c r="CE676" s="1241"/>
      <c r="CF676" s="1241"/>
      <c r="CG676" s="1241"/>
      <c r="CH676" s="1241"/>
      <c r="CI676" s="1241"/>
      <c r="CJ676" s="1241"/>
      <c r="CK676" s="1241"/>
      <c r="CL676" s="1241"/>
      <c r="CM676" s="1241"/>
      <c r="CN676" s="1241"/>
      <c r="CO676" s="1241"/>
      <c r="CP676" s="1241"/>
      <c r="CQ676" s="1241"/>
      <c r="CR676" s="1241"/>
      <c r="CS676" s="1241"/>
      <c r="CT676" s="1241"/>
      <c r="CU676" s="1241"/>
      <c r="CV676" s="1241"/>
      <c r="CW676" s="1241"/>
      <c r="CX676" s="1241"/>
      <c r="CY676" s="1241"/>
      <c r="CZ676" s="1241"/>
      <c r="DA676" s="1241"/>
      <c r="DB676" s="1241"/>
      <c r="DC676" s="1241"/>
      <c r="DD676" s="1241"/>
      <c r="DE676" s="1241"/>
      <c r="DF676" s="1241"/>
      <c r="DG676" s="1241"/>
      <c r="DH676" s="1241"/>
      <c r="DI676" s="1241"/>
      <c r="DJ676" s="1241"/>
      <c r="DK676" s="1241"/>
      <c r="DL676" s="1241"/>
      <c r="DM676" s="1241"/>
    </row>
    <row r="677" spans="1:117" s="1302" customFormat="1" hidden="1">
      <c r="A677" s="1243"/>
      <c r="B677" s="1496" t="s">
        <v>4271</v>
      </c>
      <c r="C677" s="1496"/>
      <c r="D677" s="1497"/>
      <c r="E677" s="1224"/>
      <c r="F677" s="1492"/>
      <c r="G677" s="1493"/>
      <c r="H677" s="1493"/>
      <c r="I677" s="1505">
        <v>13.312796909652088</v>
      </c>
      <c r="J677" s="1505">
        <v>8.4299852918847336</v>
      </c>
      <c r="K677" s="1505">
        <v>10.782329961078112</v>
      </c>
      <c r="L677" s="1505">
        <v>13.075947612898227</v>
      </c>
      <c r="M677" s="1505">
        <v>14.674349870729824</v>
      </c>
      <c r="N677" s="1505">
        <v>16.337039239263824</v>
      </c>
      <c r="O677" s="1505">
        <v>6.5128916552502307</v>
      </c>
      <c r="P677" s="1241"/>
      <c r="Q677" s="1241"/>
      <c r="R677" s="1241"/>
      <c r="S677" s="1241"/>
      <c r="T677" s="1241"/>
      <c r="U677" s="1241"/>
      <c r="V677" s="1241"/>
      <c r="W677" s="1241"/>
      <c r="X677" s="1241"/>
      <c r="Y677" s="1241"/>
      <c r="Z677" s="1241"/>
      <c r="AA677" s="1241"/>
      <c r="AB677" s="1241"/>
      <c r="AC677" s="1241"/>
      <c r="AD677" s="1241"/>
      <c r="AE677" s="1241"/>
      <c r="AF677" s="1241"/>
      <c r="AG677" s="1241"/>
      <c r="AH677" s="1241"/>
      <c r="AI677" s="1241"/>
      <c r="AJ677" s="1241"/>
      <c r="AK677" s="1241"/>
      <c r="AL677" s="1241"/>
      <c r="AM677" s="1241"/>
      <c r="AN677" s="1241"/>
      <c r="AO677" s="1241"/>
      <c r="AP677" s="1241"/>
      <c r="AQ677" s="1241"/>
      <c r="AR677" s="1241"/>
      <c r="AS677" s="1241"/>
      <c r="AT677" s="1241"/>
      <c r="AU677" s="1241"/>
      <c r="AV677" s="1241"/>
      <c r="AW677" s="1241"/>
      <c r="AX677" s="1241"/>
      <c r="AY677" s="1241"/>
      <c r="AZ677" s="1241"/>
      <c r="BA677" s="1241"/>
      <c r="BB677" s="1241"/>
      <c r="BC677" s="1241"/>
      <c r="BD677" s="1241"/>
      <c r="BE677" s="1241"/>
      <c r="BF677" s="1241"/>
      <c r="BG677" s="1241"/>
      <c r="BH677" s="1241"/>
      <c r="BI677" s="1241"/>
      <c r="BJ677" s="1241"/>
      <c r="BK677" s="1241"/>
      <c r="BL677" s="1241"/>
      <c r="BM677" s="1241"/>
      <c r="BN677" s="1241"/>
      <c r="BO677" s="1241"/>
      <c r="BP677" s="1241"/>
      <c r="BQ677" s="1241"/>
      <c r="BR677" s="1241"/>
      <c r="BS677" s="1241"/>
      <c r="BT677" s="1241"/>
      <c r="BU677" s="1241"/>
      <c r="BV677" s="1241"/>
      <c r="BW677" s="1241"/>
      <c r="BX677" s="1241"/>
      <c r="BY677" s="1241"/>
      <c r="BZ677" s="1241"/>
      <c r="CA677" s="1241"/>
      <c r="CB677" s="1241"/>
      <c r="CC677" s="1241"/>
      <c r="CD677" s="1241"/>
      <c r="CE677" s="1241"/>
      <c r="CF677" s="1241"/>
      <c r="CG677" s="1241"/>
      <c r="CH677" s="1241"/>
      <c r="CI677" s="1241"/>
      <c r="CJ677" s="1241"/>
      <c r="CK677" s="1241"/>
      <c r="CL677" s="1241"/>
      <c r="CM677" s="1241"/>
      <c r="CN677" s="1241"/>
      <c r="CO677" s="1241"/>
      <c r="CP677" s="1241"/>
      <c r="CQ677" s="1241"/>
      <c r="CR677" s="1241"/>
      <c r="CS677" s="1241"/>
      <c r="CT677" s="1241"/>
      <c r="CU677" s="1241"/>
      <c r="CV677" s="1241"/>
      <c r="CW677" s="1241"/>
      <c r="CX677" s="1241"/>
      <c r="CY677" s="1241"/>
      <c r="CZ677" s="1241"/>
      <c r="DA677" s="1241"/>
      <c r="DB677" s="1241"/>
      <c r="DC677" s="1241"/>
      <c r="DD677" s="1241"/>
      <c r="DE677" s="1241"/>
      <c r="DF677" s="1241"/>
      <c r="DG677" s="1241"/>
      <c r="DH677" s="1241"/>
      <c r="DI677" s="1241"/>
      <c r="DJ677" s="1241"/>
      <c r="DK677" s="1241"/>
      <c r="DL677" s="1241"/>
      <c r="DM677" s="1241"/>
    </row>
    <row r="678" spans="1:117" s="1302" customFormat="1" hidden="1">
      <c r="A678" s="1243"/>
      <c r="B678" s="1496" t="s">
        <v>4272</v>
      </c>
      <c r="C678" s="1496"/>
      <c r="D678" s="1497"/>
      <c r="E678" s="1224"/>
      <c r="F678" s="1492"/>
      <c r="G678" s="1493"/>
      <c r="H678" s="1493"/>
      <c r="I678" s="1505">
        <v>16.057281195641902</v>
      </c>
      <c r="J678" s="1505">
        <v>10.167859182827124</v>
      </c>
      <c r="K678" s="1505">
        <v>13.005148753054215</v>
      </c>
      <c r="L678" s="1505">
        <v>15.771604505403399</v>
      </c>
      <c r="M678" s="1505">
        <v>17.699523536387971</v>
      </c>
      <c r="N678" s="1505">
        <v>19.704982713204366</v>
      </c>
      <c r="O678" s="1505">
        <v>7.8555493195633543</v>
      </c>
      <c r="P678" s="1241"/>
      <c r="Q678" s="1241"/>
      <c r="R678" s="1241"/>
      <c r="S678" s="1241"/>
      <c r="T678" s="1241"/>
      <c r="U678" s="1241"/>
      <c r="V678" s="1241"/>
      <c r="W678" s="1241"/>
      <c r="X678" s="1241"/>
      <c r="Y678" s="1241"/>
      <c r="Z678" s="1241"/>
      <c r="AA678" s="1241"/>
      <c r="AB678" s="1241"/>
      <c r="AC678" s="1241"/>
      <c r="AD678" s="1241"/>
      <c r="AE678" s="1241"/>
      <c r="AF678" s="1241"/>
      <c r="AG678" s="1241"/>
      <c r="AH678" s="1241"/>
      <c r="AI678" s="1241"/>
      <c r="AJ678" s="1241"/>
      <c r="AK678" s="1241"/>
      <c r="AL678" s="1241"/>
      <c r="AM678" s="1241"/>
      <c r="AN678" s="1241"/>
      <c r="AO678" s="1241"/>
      <c r="AP678" s="1241"/>
      <c r="AQ678" s="1241"/>
      <c r="AR678" s="1241"/>
      <c r="AS678" s="1241"/>
      <c r="AT678" s="1241"/>
      <c r="AU678" s="1241"/>
      <c r="AV678" s="1241"/>
      <c r="AW678" s="1241"/>
      <c r="AX678" s="1241"/>
      <c r="AY678" s="1241"/>
      <c r="AZ678" s="1241"/>
      <c r="BA678" s="1241"/>
      <c r="BB678" s="1241"/>
      <c r="BC678" s="1241"/>
      <c r="BD678" s="1241"/>
      <c r="BE678" s="1241"/>
      <c r="BF678" s="1241"/>
      <c r="BG678" s="1241"/>
      <c r="BH678" s="1241"/>
      <c r="BI678" s="1241"/>
      <c r="BJ678" s="1241"/>
      <c r="BK678" s="1241"/>
      <c r="BL678" s="1241"/>
      <c r="BM678" s="1241"/>
      <c r="BN678" s="1241"/>
      <c r="BO678" s="1241"/>
      <c r="BP678" s="1241"/>
      <c r="BQ678" s="1241"/>
      <c r="BR678" s="1241"/>
      <c r="BS678" s="1241"/>
      <c r="BT678" s="1241"/>
      <c r="BU678" s="1241"/>
      <c r="BV678" s="1241"/>
      <c r="BW678" s="1241"/>
      <c r="BX678" s="1241"/>
      <c r="BY678" s="1241"/>
      <c r="BZ678" s="1241"/>
      <c r="CA678" s="1241"/>
      <c r="CB678" s="1241"/>
      <c r="CC678" s="1241"/>
      <c r="CD678" s="1241"/>
      <c r="CE678" s="1241"/>
      <c r="CF678" s="1241"/>
      <c r="CG678" s="1241"/>
      <c r="CH678" s="1241"/>
      <c r="CI678" s="1241"/>
      <c r="CJ678" s="1241"/>
      <c r="CK678" s="1241"/>
      <c r="CL678" s="1241"/>
      <c r="CM678" s="1241"/>
      <c r="CN678" s="1241"/>
      <c r="CO678" s="1241"/>
      <c r="CP678" s="1241"/>
      <c r="CQ678" s="1241"/>
      <c r="CR678" s="1241"/>
      <c r="CS678" s="1241"/>
      <c r="CT678" s="1241"/>
      <c r="CU678" s="1241"/>
      <c r="CV678" s="1241"/>
      <c r="CW678" s="1241"/>
      <c r="CX678" s="1241"/>
      <c r="CY678" s="1241"/>
      <c r="CZ678" s="1241"/>
      <c r="DA678" s="1241"/>
      <c r="DB678" s="1241"/>
      <c r="DC678" s="1241"/>
      <c r="DD678" s="1241"/>
      <c r="DE678" s="1241"/>
      <c r="DF678" s="1241"/>
      <c r="DG678" s="1241"/>
      <c r="DH678" s="1241"/>
      <c r="DI678" s="1241"/>
      <c r="DJ678" s="1241"/>
      <c r="DK678" s="1241"/>
      <c r="DL678" s="1241"/>
      <c r="DM678" s="1241"/>
    </row>
    <row r="679" spans="1:117" s="1302" customFormat="1" hidden="1">
      <c r="A679" s="1243"/>
      <c r="B679" s="1496" t="s">
        <v>4273</v>
      </c>
      <c r="C679" s="1496"/>
      <c r="D679" s="1497"/>
      <c r="E679" s="1224"/>
      <c r="F679" s="1492"/>
      <c r="G679" s="1493"/>
      <c r="H679" s="1493"/>
      <c r="I679" s="1505">
        <v>7.3732413653457725</v>
      </c>
      <c r="J679" s="1505">
        <v>4.668914930890006</v>
      </c>
      <c r="K679" s="1505">
        <v>5.9717519784432618</v>
      </c>
      <c r="L679" s="1505">
        <v>7.2420632932974796</v>
      </c>
      <c r="M679" s="1505">
        <v>8.1273322360965174</v>
      </c>
      <c r="N679" s="1505">
        <v>9.0482063478999635</v>
      </c>
      <c r="O679" s="1505">
        <v>3.607139993677051</v>
      </c>
      <c r="P679" s="1241"/>
      <c r="Q679" s="1241"/>
      <c r="R679" s="1241"/>
      <c r="S679" s="1241"/>
      <c r="T679" s="1241"/>
      <c r="U679" s="1241"/>
      <c r="V679" s="1241"/>
      <c r="W679" s="1241"/>
      <c r="X679" s="1241"/>
      <c r="Y679" s="1241"/>
      <c r="Z679" s="1241"/>
      <c r="AA679" s="1241"/>
      <c r="AB679" s="1241"/>
      <c r="AC679" s="1241"/>
      <c r="AD679" s="1241"/>
      <c r="AE679" s="1241"/>
      <c r="AF679" s="1241"/>
      <c r="AG679" s="1241"/>
      <c r="AH679" s="1241"/>
      <c r="AI679" s="1241"/>
      <c r="AJ679" s="1241"/>
      <c r="AK679" s="1241"/>
      <c r="AL679" s="1241"/>
      <c r="AM679" s="1241"/>
      <c r="AN679" s="1241"/>
      <c r="AO679" s="1241"/>
      <c r="AP679" s="1241"/>
      <c r="AQ679" s="1241"/>
      <c r="AR679" s="1241"/>
      <c r="AS679" s="1241"/>
      <c r="AT679" s="1241"/>
      <c r="AU679" s="1241"/>
      <c r="AV679" s="1241"/>
      <c r="AW679" s="1241"/>
      <c r="AX679" s="1241"/>
      <c r="AY679" s="1241"/>
      <c r="AZ679" s="1241"/>
      <c r="BA679" s="1241"/>
      <c r="BB679" s="1241"/>
      <c r="BC679" s="1241"/>
      <c r="BD679" s="1241"/>
      <c r="BE679" s="1241"/>
      <c r="BF679" s="1241"/>
      <c r="BG679" s="1241"/>
      <c r="BH679" s="1241"/>
      <c r="BI679" s="1241"/>
      <c r="BJ679" s="1241"/>
      <c r="BK679" s="1241"/>
      <c r="BL679" s="1241"/>
      <c r="BM679" s="1241"/>
      <c r="BN679" s="1241"/>
      <c r="BO679" s="1241"/>
      <c r="BP679" s="1241"/>
      <c r="BQ679" s="1241"/>
      <c r="BR679" s="1241"/>
      <c r="BS679" s="1241"/>
      <c r="BT679" s="1241"/>
      <c r="BU679" s="1241"/>
      <c r="BV679" s="1241"/>
      <c r="BW679" s="1241"/>
      <c r="BX679" s="1241"/>
      <c r="BY679" s="1241"/>
      <c r="BZ679" s="1241"/>
      <c r="CA679" s="1241"/>
      <c r="CB679" s="1241"/>
      <c r="CC679" s="1241"/>
      <c r="CD679" s="1241"/>
      <c r="CE679" s="1241"/>
      <c r="CF679" s="1241"/>
      <c r="CG679" s="1241"/>
      <c r="CH679" s="1241"/>
      <c r="CI679" s="1241"/>
      <c r="CJ679" s="1241"/>
      <c r="CK679" s="1241"/>
      <c r="CL679" s="1241"/>
      <c r="CM679" s="1241"/>
      <c r="CN679" s="1241"/>
      <c r="CO679" s="1241"/>
      <c r="CP679" s="1241"/>
      <c r="CQ679" s="1241"/>
      <c r="CR679" s="1241"/>
      <c r="CS679" s="1241"/>
      <c r="CT679" s="1241"/>
      <c r="CU679" s="1241"/>
      <c r="CV679" s="1241"/>
      <c r="CW679" s="1241"/>
      <c r="CX679" s="1241"/>
      <c r="CY679" s="1241"/>
      <c r="CZ679" s="1241"/>
      <c r="DA679" s="1241"/>
      <c r="DB679" s="1241"/>
      <c r="DC679" s="1241"/>
      <c r="DD679" s="1241"/>
      <c r="DE679" s="1241"/>
      <c r="DF679" s="1241"/>
      <c r="DG679" s="1241"/>
      <c r="DH679" s="1241"/>
      <c r="DI679" s="1241"/>
      <c r="DJ679" s="1241"/>
      <c r="DK679" s="1241"/>
      <c r="DL679" s="1241"/>
      <c r="DM679" s="1241"/>
    </row>
    <row r="680" spans="1:117" s="1302" customFormat="1" hidden="1">
      <c r="A680" s="1243"/>
      <c r="B680" s="1496"/>
      <c r="C680" s="1496"/>
      <c r="D680" s="1497"/>
      <c r="E680" s="1224"/>
      <c r="F680" s="1492"/>
      <c r="G680" s="1493"/>
      <c r="H680" s="1493"/>
      <c r="I680" s="1493"/>
      <c r="J680" s="1493"/>
      <c r="K680" s="1493"/>
      <c r="L680" s="1493"/>
      <c r="M680" s="1493"/>
      <c r="N680" s="1493"/>
      <c r="O680" s="1493"/>
      <c r="P680" s="1241"/>
      <c r="Q680" s="1241"/>
      <c r="R680" s="1241"/>
      <c r="S680" s="1241"/>
      <c r="T680" s="1241"/>
      <c r="U680" s="1241"/>
      <c r="V680" s="1241"/>
      <c r="W680" s="1241"/>
      <c r="X680" s="1241"/>
      <c r="Y680" s="1241"/>
      <c r="Z680" s="1241"/>
      <c r="AA680" s="1241"/>
      <c r="AB680" s="1241"/>
      <c r="AC680" s="1241"/>
      <c r="AD680" s="1241"/>
      <c r="AE680" s="1241"/>
      <c r="AF680" s="1241"/>
      <c r="AG680" s="1241"/>
      <c r="AH680" s="1241"/>
      <c r="AI680" s="1241"/>
      <c r="AJ680" s="1241"/>
      <c r="AK680" s="1241"/>
      <c r="AL680" s="1241"/>
      <c r="AM680" s="1241"/>
      <c r="AN680" s="1241"/>
      <c r="AO680" s="1241"/>
      <c r="AP680" s="1241"/>
      <c r="AQ680" s="1241"/>
      <c r="AR680" s="1241"/>
      <c r="AS680" s="1241"/>
      <c r="AT680" s="1241"/>
      <c r="AU680" s="1241"/>
      <c r="AV680" s="1241"/>
      <c r="AW680" s="1241"/>
      <c r="AX680" s="1241"/>
      <c r="AY680" s="1241"/>
      <c r="AZ680" s="1241"/>
      <c r="BA680" s="1241"/>
      <c r="BB680" s="1241"/>
      <c r="BC680" s="1241"/>
      <c r="BD680" s="1241"/>
      <c r="BE680" s="1241"/>
      <c r="BF680" s="1241"/>
      <c r="BG680" s="1241"/>
      <c r="BH680" s="1241"/>
      <c r="BI680" s="1241"/>
      <c r="BJ680" s="1241"/>
      <c r="BK680" s="1241"/>
      <c r="BL680" s="1241"/>
      <c r="BM680" s="1241"/>
      <c r="BN680" s="1241"/>
      <c r="BO680" s="1241"/>
      <c r="BP680" s="1241"/>
      <c r="BQ680" s="1241"/>
      <c r="BR680" s="1241"/>
      <c r="BS680" s="1241"/>
      <c r="BT680" s="1241"/>
      <c r="BU680" s="1241"/>
      <c r="BV680" s="1241"/>
      <c r="BW680" s="1241"/>
      <c r="BX680" s="1241"/>
      <c r="BY680" s="1241"/>
      <c r="BZ680" s="1241"/>
      <c r="CA680" s="1241"/>
      <c r="CB680" s="1241"/>
      <c r="CC680" s="1241"/>
      <c r="CD680" s="1241"/>
      <c r="CE680" s="1241"/>
      <c r="CF680" s="1241"/>
      <c r="CG680" s="1241"/>
      <c r="CH680" s="1241"/>
      <c r="CI680" s="1241"/>
      <c r="CJ680" s="1241"/>
      <c r="CK680" s="1241"/>
      <c r="CL680" s="1241"/>
      <c r="CM680" s="1241"/>
      <c r="CN680" s="1241"/>
      <c r="CO680" s="1241"/>
      <c r="CP680" s="1241"/>
      <c r="CQ680" s="1241"/>
      <c r="CR680" s="1241"/>
      <c r="CS680" s="1241"/>
      <c r="CT680" s="1241"/>
      <c r="CU680" s="1241"/>
      <c r="CV680" s="1241"/>
      <c r="CW680" s="1241"/>
      <c r="CX680" s="1241"/>
      <c r="CY680" s="1241"/>
      <c r="CZ680" s="1241"/>
      <c r="DA680" s="1241"/>
      <c r="DB680" s="1241"/>
      <c r="DC680" s="1241"/>
      <c r="DD680" s="1241"/>
      <c r="DE680" s="1241"/>
      <c r="DF680" s="1241"/>
      <c r="DG680" s="1241"/>
      <c r="DH680" s="1241"/>
      <c r="DI680" s="1241"/>
      <c r="DJ680" s="1241"/>
      <c r="DK680" s="1241"/>
      <c r="DL680" s="1241"/>
      <c r="DM680" s="1241"/>
    </row>
    <row r="681" spans="1:117">
      <c r="A681" s="1243"/>
      <c r="B681" s="1491"/>
      <c r="C681" s="1490"/>
      <c r="D681" s="1491"/>
      <c r="E681" s="1215"/>
      <c r="F681" s="1506"/>
      <c r="G681" s="1498"/>
      <c r="H681" s="1498"/>
      <c r="I681" s="1498"/>
      <c r="J681" s="1498"/>
      <c r="K681" s="1498"/>
      <c r="L681" s="1498"/>
      <c r="M681" s="1498"/>
      <c r="N681" s="1498"/>
      <c r="O681" s="1498"/>
    </row>
    <row r="682" spans="1:117" s="1302" customFormat="1">
      <c r="A682" s="1459" t="s">
        <v>4279</v>
      </c>
      <c r="B682" s="1459"/>
      <c r="C682" s="1241" t="s">
        <v>4280</v>
      </c>
      <c r="D682" s="1459"/>
      <c r="E682" s="1460"/>
      <c r="F682" s="1507"/>
      <c r="G682" s="1473"/>
      <c r="H682" s="1473"/>
      <c r="I682" s="1473"/>
      <c r="J682" s="1473"/>
      <c r="K682" s="1473"/>
      <c r="L682" s="1473"/>
      <c r="M682" s="1473"/>
      <c r="N682" s="1473"/>
      <c r="O682" s="1473"/>
      <c r="P682" s="1241"/>
      <c r="Q682" s="1241"/>
      <c r="R682" s="1241"/>
      <c r="S682" s="1241"/>
      <c r="T682" s="1241"/>
      <c r="U682" s="1241"/>
      <c r="V682" s="1241"/>
      <c r="W682" s="1241"/>
      <c r="X682" s="1241"/>
      <c r="Y682" s="1241"/>
      <c r="Z682" s="1241"/>
      <c r="AA682" s="1241"/>
      <c r="AB682" s="1241"/>
      <c r="AC682" s="1241"/>
      <c r="AD682" s="1241"/>
      <c r="AE682" s="1241"/>
      <c r="AF682" s="1241"/>
      <c r="AG682" s="1241"/>
      <c r="AH682" s="1241"/>
      <c r="AI682" s="1241"/>
      <c r="AJ682" s="1241"/>
      <c r="AK682" s="1241"/>
      <c r="AL682" s="1241"/>
      <c r="AM682" s="1241"/>
      <c r="AN682" s="1241"/>
      <c r="AO682" s="1241"/>
      <c r="AP682" s="1241"/>
      <c r="AQ682" s="1241"/>
      <c r="AR682" s="1241"/>
      <c r="AS682" s="1241"/>
      <c r="AT682" s="1241"/>
      <c r="AU682" s="1241"/>
      <c r="AV682" s="1241"/>
      <c r="AW682" s="1241"/>
      <c r="AX682" s="1241"/>
      <c r="AY682" s="1241"/>
      <c r="AZ682" s="1241"/>
      <c r="BA682" s="1241"/>
      <c r="BB682" s="1241"/>
      <c r="BC682" s="1241"/>
      <c r="BD682" s="1241"/>
      <c r="BE682" s="1241"/>
      <c r="BF682" s="1241"/>
      <c r="BG682" s="1241"/>
      <c r="BH682" s="1241"/>
      <c r="BI682" s="1241"/>
      <c r="BJ682" s="1241"/>
      <c r="BK682" s="1241"/>
      <c r="BL682" s="1241"/>
      <c r="BM682" s="1241"/>
      <c r="BN682" s="1241"/>
      <c r="BO682" s="1241"/>
      <c r="BP682" s="1241"/>
      <c r="BQ682" s="1241"/>
      <c r="BR682" s="1241"/>
      <c r="BS682" s="1241"/>
      <c r="BT682" s="1241"/>
      <c r="BU682" s="1241"/>
      <c r="BV682" s="1241"/>
      <c r="BW682" s="1241"/>
      <c r="BX682" s="1241"/>
      <c r="BY682" s="1241"/>
      <c r="BZ682" s="1241"/>
      <c r="CA682" s="1241"/>
      <c r="CB682" s="1241"/>
      <c r="CC682" s="1241"/>
      <c r="CD682" s="1241"/>
      <c r="CE682" s="1241"/>
      <c r="CF682" s="1241"/>
      <c r="CG682" s="1241"/>
      <c r="CH682" s="1241"/>
      <c r="CI682" s="1241"/>
      <c r="CJ682" s="1241"/>
      <c r="CK682" s="1241"/>
      <c r="CL682" s="1241"/>
      <c r="CM682" s="1241"/>
      <c r="CN682" s="1241"/>
      <c r="CO682" s="1241"/>
      <c r="CP682" s="1241"/>
      <c r="CQ682" s="1241"/>
      <c r="CR682" s="1241"/>
      <c r="CS682" s="1241"/>
      <c r="CT682" s="1241"/>
      <c r="CU682" s="1241"/>
      <c r="CV682" s="1241"/>
      <c r="CW682" s="1241"/>
      <c r="CX682" s="1241"/>
      <c r="CY682" s="1241"/>
      <c r="CZ682" s="1241"/>
      <c r="DA682" s="1241"/>
      <c r="DB682" s="1241"/>
      <c r="DC682" s="1241"/>
      <c r="DD682" s="1241"/>
      <c r="DE682" s="1241"/>
      <c r="DF682" s="1241"/>
      <c r="DG682" s="1241"/>
      <c r="DH682" s="1241"/>
      <c r="DI682" s="1241"/>
      <c r="DJ682" s="1241"/>
      <c r="DK682" s="1241"/>
      <c r="DL682" s="1241"/>
      <c r="DM682" s="1241"/>
    </row>
    <row r="683" spans="1:117" s="1302" customFormat="1">
      <c r="A683" s="1241"/>
      <c r="B683" s="1508" t="s">
        <v>4032</v>
      </c>
      <c r="C683" s="1241" t="s">
        <v>4033</v>
      </c>
      <c r="D683" s="1241"/>
      <c r="E683" s="1509" t="s">
        <v>420</v>
      </c>
      <c r="F683" s="1470"/>
      <c r="G683" s="1471"/>
      <c r="H683" s="1471">
        <v>0.39224226636799997</v>
      </c>
      <c r="I683" s="1471">
        <v>0.53551597259891892</v>
      </c>
      <c r="J683" s="1471">
        <v>1.0730950962824024</v>
      </c>
      <c r="K683" s="1471">
        <v>1.7691249090594698</v>
      </c>
      <c r="L683" s="1471">
        <v>2.5069336530686961</v>
      </c>
      <c r="M683" s="1471">
        <v>3.3677690433395884</v>
      </c>
      <c r="N683" s="1471">
        <v>4.3569115761471107</v>
      </c>
      <c r="O683" s="1471">
        <v>1.5077409554031838</v>
      </c>
      <c r="P683" s="1241"/>
      <c r="Q683" s="1241"/>
      <c r="R683" s="1241"/>
      <c r="S683" s="1241"/>
      <c r="T683" s="1241"/>
      <c r="U683" s="1241"/>
      <c r="V683" s="1241"/>
      <c r="W683" s="1241"/>
      <c r="X683" s="1241"/>
      <c r="Y683" s="1241"/>
      <c r="Z683" s="1241"/>
      <c r="AA683" s="1241"/>
      <c r="AB683" s="1241"/>
      <c r="AC683" s="1241"/>
      <c r="AD683" s="1241"/>
      <c r="AE683" s="1241"/>
      <c r="AF683" s="1241"/>
      <c r="AG683" s="1241"/>
      <c r="AH683" s="1241"/>
      <c r="AI683" s="1241"/>
      <c r="AJ683" s="1241"/>
      <c r="AK683" s="1241"/>
      <c r="AL683" s="1241"/>
      <c r="AM683" s="1241"/>
      <c r="AN683" s="1241"/>
      <c r="AO683" s="1241"/>
      <c r="AP683" s="1241"/>
      <c r="AQ683" s="1241"/>
      <c r="AR683" s="1241"/>
      <c r="AS683" s="1241"/>
      <c r="AT683" s="1241"/>
      <c r="AU683" s="1241"/>
      <c r="AV683" s="1241"/>
      <c r="AW683" s="1241"/>
      <c r="AX683" s="1241"/>
      <c r="AY683" s="1241"/>
      <c r="AZ683" s="1241"/>
      <c r="BA683" s="1241"/>
      <c r="BB683" s="1241"/>
      <c r="BC683" s="1241"/>
      <c r="BD683" s="1241"/>
      <c r="BE683" s="1241"/>
      <c r="BF683" s="1241"/>
      <c r="BG683" s="1241"/>
      <c r="BH683" s="1241"/>
      <c r="BI683" s="1241"/>
      <c r="BJ683" s="1241"/>
      <c r="BK683" s="1241"/>
      <c r="BL683" s="1241"/>
      <c r="BM683" s="1241"/>
      <c r="BN683" s="1241"/>
      <c r="BO683" s="1241"/>
      <c r="BP683" s="1241"/>
      <c r="BQ683" s="1241"/>
      <c r="BR683" s="1241"/>
      <c r="BS683" s="1241"/>
      <c r="BT683" s="1241"/>
      <c r="BU683" s="1241"/>
      <c r="BV683" s="1241"/>
      <c r="BW683" s="1241"/>
      <c r="BX683" s="1241"/>
      <c r="BY683" s="1241"/>
      <c r="BZ683" s="1241"/>
      <c r="CA683" s="1241"/>
      <c r="CB683" s="1241"/>
      <c r="CC683" s="1241"/>
      <c r="CD683" s="1241"/>
      <c r="CE683" s="1241"/>
      <c r="CF683" s="1241"/>
      <c r="CG683" s="1241"/>
      <c r="CH683" s="1241"/>
      <c r="CI683" s="1241"/>
      <c r="CJ683" s="1241"/>
      <c r="CK683" s="1241"/>
      <c r="CL683" s="1241"/>
      <c r="CM683" s="1241"/>
      <c r="CN683" s="1241"/>
      <c r="CO683" s="1241"/>
      <c r="CP683" s="1241"/>
      <c r="CQ683" s="1241"/>
      <c r="CR683" s="1241"/>
      <c r="CS683" s="1241"/>
      <c r="CT683" s="1241"/>
      <c r="CU683" s="1241"/>
      <c r="CV683" s="1241"/>
      <c r="CW683" s="1241"/>
      <c r="CX683" s="1241"/>
      <c r="CY683" s="1241"/>
      <c r="CZ683" s="1241"/>
      <c r="DA683" s="1241"/>
      <c r="DB683" s="1241"/>
      <c r="DC683" s="1241"/>
      <c r="DD683" s="1241"/>
      <c r="DE683" s="1241"/>
      <c r="DF683" s="1241"/>
      <c r="DG683" s="1241"/>
      <c r="DH683" s="1241"/>
      <c r="DI683" s="1241"/>
      <c r="DJ683" s="1241"/>
      <c r="DK683" s="1241"/>
      <c r="DL683" s="1241"/>
      <c r="DM683" s="1241"/>
    </row>
    <row r="684" spans="1:117" s="1302" customFormat="1">
      <c r="A684" s="1241"/>
      <c r="B684" s="1508" t="s">
        <v>3997</v>
      </c>
      <c r="C684" s="1241" t="s">
        <v>3998</v>
      </c>
      <c r="D684" s="1241"/>
      <c r="E684" s="1509" t="s">
        <v>420</v>
      </c>
      <c r="F684" s="1470"/>
      <c r="G684" s="1471"/>
      <c r="H684" s="1471">
        <v>19.023749918847997</v>
      </c>
      <c r="I684" s="1471">
        <v>19.88294303977986</v>
      </c>
      <c r="J684" s="1471">
        <v>24.866540003853121</v>
      </c>
      <c r="K684" s="1471">
        <v>29.473620984930772</v>
      </c>
      <c r="L684" s="1471">
        <v>32.313055349290714</v>
      </c>
      <c r="M684" s="1471">
        <v>35.127295369442059</v>
      </c>
      <c r="N684" s="1471">
        <v>37.90513071247986</v>
      </c>
      <c r="O684" s="1471">
        <v>28.343279601944918</v>
      </c>
      <c r="P684" s="1241"/>
      <c r="Q684" s="1241"/>
      <c r="R684" s="1241"/>
      <c r="S684" s="1241"/>
      <c r="T684" s="1241"/>
      <c r="U684" s="1241"/>
      <c r="V684" s="1241"/>
      <c r="W684" s="1241"/>
      <c r="X684" s="1241"/>
      <c r="Y684" s="1241"/>
      <c r="Z684" s="1241"/>
      <c r="AA684" s="1241"/>
      <c r="AB684" s="1241"/>
      <c r="AC684" s="1241"/>
      <c r="AD684" s="1241"/>
      <c r="AE684" s="1241"/>
      <c r="AF684" s="1241"/>
      <c r="AG684" s="1241"/>
      <c r="AH684" s="1241"/>
      <c r="AI684" s="1241"/>
      <c r="AJ684" s="1241"/>
      <c r="AK684" s="1241"/>
      <c r="AL684" s="1241"/>
      <c r="AM684" s="1241"/>
      <c r="AN684" s="1241"/>
      <c r="AO684" s="1241"/>
      <c r="AP684" s="1241"/>
      <c r="AQ684" s="1241"/>
      <c r="AR684" s="1241"/>
      <c r="AS684" s="1241"/>
      <c r="AT684" s="1241"/>
      <c r="AU684" s="1241"/>
      <c r="AV684" s="1241"/>
      <c r="AW684" s="1241"/>
      <c r="AX684" s="1241"/>
      <c r="AY684" s="1241"/>
      <c r="AZ684" s="1241"/>
      <c r="BA684" s="1241"/>
      <c r="BB684" s="1241"/>
      <c r="BC684" s="1241"/>
      <c r="BD684" s="1241"/>
      <c r="BE684" s="1241"/>
      <c r="BF684" s="1241"/>
      <c r="BG684" s="1241"/>
      <c r="BH684" s="1241"/>
      <c r="BI684" s="1241"/>
      <c r="BJ684" s="1241"/>
      <c r="BK684" s="1241"/>
      <c r="BL684" s="1241"/>
      <c r="BM684" s="1241"/>
      <c r="BN684" s="1241"/>
      <c r="BO684" s="1241"/>
      <c r="BP684" s="1241"/>
      <c r="BQ684" s="1241"/>
      <c r="BR684" s="1241"/>
      <c r="BS684" s="1241"/>
      <c r="BT684" s="1241"/>
      <c r="BU684" s="1241"/>
      <c r="BV684" s="1241"/>
      <c r="BW684" s="1241"/>
      <c r="BX684" s="1241"/>
      <c r="BY684" s="1241"/>
      <c r="BZ684" s="1241"/>
      <c r="CA684" s="1241"/>
      <c r="CB684" s="1241"/>
      <c r="CC684" s="1241"/>
      <c r="CD684" s="1241"/>
      <c r="CE684" s="1241"/>
      <c r="CF684" s="1241"/>
      <c r="CG684" s="1241"/>
      <c r="CH684" s="1241"/>
      <c r="CI684" s="1241"/>
      <c r="CJ684" s="1241"/>
      <c r="CK684" s="1241"/>
      <c r="CL684" s="1241"/>
      <c r="CM684" s="1241"/>
      <c r="CN684" s="1241"/>
      <c r="CO684" s="1241"/>
      <c r="CP684" s="1241"/>
      <c r="CQ684" s="1241"/>
      <c r="CR684" s="1241"/>
      <c r="CS684" s="1241"/>
      <c r="CT684" s="1241"/>
      <c r="CU684" s="1241"/>
      <c r="CV684" s="1241"/>
      <c r="CW684" s="1241"/>
      <c r="CX684" s="1241"/>
      <c r="CY684" s="1241"/>
      <c r="CZ684" s="1241"/>
      <c r="DA684" s="1241"/>
      <c r="DB684" s="1241"/>
      <c r="DC684" s="1241"/>
      <c r="DD684" s="1241"/>
      <c r="DE684" s="1241"/>
      <c r="DF684" s="1241"/>
      <c r="DG684" s="1241"/>
      <c r="DH684" s="1241"/>
      <c r="DI684" s="1241"/>
      <c r="DJ684" s="1241"/>
      <c r="DK684" s="1241"/>
      <c r="DL684" s="1241"/>
      <c r="DM684" s="1241"/>
    </row>
    <row r="685" spans="1:117" s="1302" customFormat="1">
      <c r="A685" s="1241"/>
      <c r="B685" s="1508" t="s">
        <v>3999</v>
      </c>
      <c r="C685" s="1241" t="s">
        <v>4000</v>
      </c>
      <c r="D685" s="1241"/>
      <c r="E685" s="1509" t="s">
        <v>420</v>
      </c>
      <c r="F685" s="1470"/>
      <c r="G685" s="1471"/>
      <c r="H685" s="1471">
        <v>0.19612113318399998</v>
      </c>
      <c r="I685" s="1471">
        <v>0.206556160859583</v>
      </c>
      <c r="J685" s="1471">
        <v>0.26339606908749874</v>
      </c>
      <c r="K685" s="1471">
        <v>0.3184424836307046</v>
      </c>
      <c r="L685" s="1471">
        <v>0.35624846648870945</v>
      </c>
      <c r="M685" s="1471">
        <v>0.39534680073986472</v>
      </c>
      <c r="N685" s="1471">
        <v>0.43569115761471106</v>
      </c>
      <c r="O685" s="1471">
        <v>0.30379855071556683</v>
      </c>
      <c r="P685" s="1241"/>
      <c r="Q685" s="1241"/>
      <c r="R685" s="1241"/>
      <c r="S685" s="1241"/>
      <c r="T685" s="1241"/>
      <c r="U685" s="1241"/>
      <c r="V685" s="1241"/>
      <c r="W685" s="1241"/>
      <c r="X685" s="1241"/>
      <c r="Y685" s="1241"/>
      <c r="Z685" s="1241"/>
      <c r="AA685" s="1241"/>
      <c r="AB685" s="1241"/>
      <c r="AC685" s="1241"/>
      <c r="AD685" s="1241"/>
      <c r="AE685" s="1241"/>
      <c r="AF685" s="1241"/>
      <c r="AG685" s="1241"/>
      <c r="AH685" s="1241"/>
      <c r="AI685" s="1241"/>
      <c r="AJ685" s="1241"/>
      <c r="AK685" s="1241"/>
      <c r="AL685" s="1241"/>
      <c r="AM685" s="1241"/>
      <c r="AN685" s="1241"/>
      <c r="AO685" s="1241"/>
      <c r="AP685" s="1241"/>
      <c r="AQ685" s="1241"/>
      <c r="AR685" s="1241"/>
      <c r="AS685" s="1241"/>
      <c r="AT685" s="1241"/>
      <c r="AU685" s="1241"/>
      <c r="AV685" s="1241"/>
      <c r="AW685" s="1241"/>
      <c r="AX685" s="1241"/>
      <c r="AY685" s="1241"/>
      <c r="AZ685" s="1241"/>
      <c r="BA685" s="1241"/>
      <c r="BB685" s="1241"/>
      <c r="BC685" s="1241"/>
      <c r="BD685" s="1241"/>
      <c r="BE685" s="1241"/>
      <c r="BF685" s="1241"/>
      <c r="BG685" s="1241"/>
      <c r="BH685" s="1241"/>
      <c r="BI685" s="1241"/>
      <c r="BJ685" s="1241"/>
      <c r="BK685" s="1241"/>
      <c r="BL685" s="1241"/>
      <c r="BM685" s="1241"/>
      <c r="BN685" s="1241"/>
      <c r="BO685" s="1241"/>
      <c r="BP685" s="1241"/>
      <c r="BQ685" s="1241"/>
      <c r="BR685" s="1241"/>
      <c r="BS685" s="1241"/>
      <c r="BT685" s="1241"/>
      <c r="BU685" s="1241"/>
      <c r="BV685" s="1241"/>
      <c r="BW685" s="1241"/>
      <c r="BX685" s="1241"/>
      <c r="BY685" s="1241"/>
      <c r="BZ685" s="1241"/>
      <c r="CA685" s="1241"/>
      <c r="CB685" s="1241"/>
      <c r="CC685" s="1241"/>
      <c r="CD685" s="1241"/>
      <c r="CE685" s="1241"/>
      <c r="CF685" s="1241"/>
      <c r="CG685" s="1241"/>
      <c r="CH685" s="1241"/>
      <c r="CI685" s="1241"/>
      <c r="CJ685" s="1241"/>
      <c r="CK685" s="1241"/>
      <c r="CL685" s="1241"/>
      <c r="CM685" s="1241"/>
      <c r="CN685" s="1241"/>
      <c r="CO685" s="1241"/>
      <c r="CP685" s="1241"/>
      <c r="CQ685" s="1241"/>
      <c r="CR685" s="1241"/>
      <c r="CS685" s="1241"/>
      <c r="CT685" s="1241"/>
      <c r="CU685" s="1241"/>
      <c r="CV685" s="1241"/>
      <c r="CW685" s="1241"/>
      <c r="CX685" s="1241"/>
      <c r="CY685" s="1241"/>
      <c r="CZ685" s="1241"/>
      <c r="DA685" s="1241"/>
      <c r="DB685" s="1241"/>
      <c r="DC685" s="1241"/>
      <c r="DD685" s="1241"/>
      <c r="DE685" s="1241"/>
      <c r="DF685" s="1241"/>
      <c r="DG685" s="1241"/>
      <c r="DH685" s="1241"/>
      <c r="DI685" s="1241"/>
      <c r="DJ685" s="1241"/>
      <c r="DK685" s="1241"/>
      <c r="DL685" s="1241"/>
      <c r="DM685" s="1241"/>
    </row>
    <row r="686" spans="1:117" s="1302" customFormat="1">
      <c r="A686" s="1241"/>
      <c r="B686" s="1508" t="s">
        <v>4001</v>
      </c>
      <c r="C686" s="1241" t="s">
        <v>4002</v>
      </c>
      <c r="D686" s="1241"/>
      <c r="E686" s="1509" t="s">
        <v>420</v>
      </c>
      <c r="F686" s="1470"/>
      <c r="G686" s="1471"/>
      <c r="H686" s="1471">
        <v>0</v>
      </c>
      <c r="I686" s="1471">
        <v>3.0600912719938221E-2</v>
      </c>
      <c r="J686" s="1471">
        <v>0.13657573952685123</v>
      </c>
      <c r="K686" s="1471">
        <v>0.28305998544951522</v>
      </c>
      <c r="L686" s="1471">
        <v>0.4486091800228193</v>
      </c>
      <c r="M686" s="1471">
        <v>0.64426886046496468</v>
      </c>
      <c r="N686" s="1471">
        <v>0.87138231522942211</v>
      </c>
      <c r="O686" s="1471">
        <v>0.22503596349301247</v>
      </c>
      <c r="P686" s="1241"/>
      <c r="Q686" s="1241"/>
      <c r="R686" s="1241"/>
      <c r="S686" s="1241"/>
      <c r="T686" s="1241"/>
      <c r="U686" s="1241"/>
      <c r="V686" s="1241"/>
      <c r="W686" s="1241"/>
      <c r="X686" s="1241"/>
      <c r="Y686" s="1241"/>
      <c r="Z686" s="1241"/>
      <c r="AA686" s="1241"/>
      <c r="AB686" s="1241"/>
      <c r="AC686" s="1241"/>
      <c r="AD686" s="1241"/>
      <c r="AE686" s="1241"/>
      <c r="AF686" s="1241"/>
      <c r="AG686" s="1241"/>
      <c r="AH686" s="1241"/>
      <c r="AI686" s="1241"/>
      <c r="AJ686" s="1241"/>
      <c r="AK686" s="1241"/>
      <c r="AL686" s="1241"/>
      <c r="AM686" s="1241"/>
      <c r="AN686" s="1241"/>
      <c r="AO686" s="1241"/>
      <c r="AP686" s="1241"/>
      <c r="AQ686" s="1241"/>
      <c r="AR686" s="1241"/>
      <c r="AS686" s="1241"/>
      <c r="AT686" s="1241"/>
      <c r="AU686" s="1241"/>
      <c r="AV686" s="1241"/>
      <c r="AW686" s="1241"/>
      <c r="AX686" s="1241"/>
      <c r="AY686" s="1241"/>
      <c r="AZ686" s="1241"/>
      <c r="BA686" s="1241"/>
      <c r="BB686" s="1241"/>
      <c r="BC686" s="1241"/>
      <c r="BD686" s="1241"/>
      <c r="BE686" s="1241"/>
      <c r="BF686" s="1241"/>
      <c r="BG686" s="1241"/>
      <c r="BH686" s="1241"/>
      <c r="BI686" s="1241"/>
      <c r="BJ686" s="1241"/>
      <c r="BK686" s="1241"/>
      <c r="BL686" s="1241"/>
      <c r="BM686" s="1241"/>
      <c r="BN686" s="1241"/>
      <c r="BO686" s="1241"/>
      <c r="BP686" s="1241"/>
      <c r="BQ686" s="1241"/>
      <c r="BR686" s="1241"/>
      <c r="BS686" s="1241"/>
      <c r="BT686" s="1241"/>
      <c r="BU686" s="1241"/>
      <c r="BV686" s="1241"/>
      <c r="BW686" s="1241"/>
      <c r="BX686" s="1241"/>
      <c r="BY686" s="1241"/>
      <c r="BZ686" s="1241"/>
      <c r="CA686" s="1241"/>
      <c r="CB686" s="1241"/>
      <c r="CC686" s="1241"/>
      <c r="CD686" s="1241"/>
      <c r="CE686" s="1241"/>
      <c r="CF686" s="1241"/>
      <c r="CG686" s="1241"/>
      <c r="CH686" s="1241"/>
      <c r="CI686" s="1241"/>
      <c r="CJ686" s="1241"/>
      <c r="CK686" s="1241"/>
      <c r="CL686" s="1241"/>
      <c r="CM686" s="1241"/>
      <c r="CN686" s="1241"/>
      <c r="CO686" s="1241"/>
      <c r="CP686" s="1241"/>
      <c r="CQ686" s="1241"/>
      <c r="CR686" s="1241"/>
      <c r="CS686" s="1241"/>
      <c r="CT686" s="1241"/>
      <c r="CU686" s="1241"/>
      <c r="CV686" s="1241"/>
      <c r="CW686" s="1241"/>
      <c r="CX686" s="1241"/>
      <c r="CY686" s="1241"/>
      <c r="CZ686" s="1241"/>
      <c r="DA686" s="1241"/>
      <c r="DB686" s="1241"/>
      <c r="DC686" s="1241"/>
      <c r="DD686" s="1241"/>
      <c r="DE686" s="1241"/>
      <c r="DF686" s="1241"/>
      <c r="DG686" s="1241"/>
      <c r="DH686" s="1241"/>
      <c r="DI686" s="1241"/>
      <c r="DJ686" s="1241"/>
      <c r="DK686" s="1241"/>
      <c r="DL686" s="1241"/>
      <c r="DM686" s="1241"/>
    </row>
    <row r="687" spans="1:117" s="1302" customFormat="1">
      <c r="A687" s="1241"/>
      <c r="B687" s="1508" t="s">
        <v>4011</v>
      </c>
      <c r="C687" s="1241" t="s">
        <v>4012</v>
      </c>
      <c r="D687" s="1241"/>
      <c r="E687" s="1509" t="s">
        <v>420</v>
      </c>
      <c r="F687" s="1470"/>
      <c r="G687" s="1471"/>
      <c r="H687" s="1471">
        <v>0</v>
      </c>
      <c r="I687" s="1471">
        <v>0</v>
      </c>
      <c r="J687" s="1471">
        <v>0</v>
      </c>
      <c r="K687" s="1471">
        <v>0</v>
      </c>
      <c r="L687" s="1471">
        <v>0</v>
      </c>
      <c r="M687" s="1471">
        <v>0</v>
      </c>
      <c r="N687" s="1471">
        <v>0</v>
      </c>
      <c r="O687" s="1471">
        <v>0</v>
      </c>
      <c r="P687" s="1241"/>
      <c r="Q687" s="1241"/>
      <c r="R687" s="1241"/>
      <c r="S687" s="1241"/>
      <c r="T687" s="1241"/>
      <c r="U687" s="1241"/>
      <c r="V687" s="1241"/>
      <c r="W687" s="1241"/>
      <c r="X687" s="1241"/>
      <c r="Y687" s="1241"/>
      <c r="Z687" s="1241"/>
      <c r="AA687" s="1241"/>
      <c r="AB687" s="1241"/>
      <c r="AC687" s="1241"/>
      <c r="AD687" s="1241"/>
      <c r="AE687" s="1241"/>
      <c r="AF687" s="1241"/>
      <c r="AG687" s="1241"/>
      <c r="AH687" s="1241"/>
      <c r="AI687" s="1241"/>
      <c r="AJ687" s="1241"/>
      <c r="AK687" s="1241"/>
      <c r="AL687" s="1241"/>
      <c r="AM687" s="1241"/>
      <c r="AN687" s="1241"/>
      <c r="AO687" s="1241"/>
      <c r="AP687" s="1241"/>
      <c r="AQ687" s="1241"/>
      <c r="AR687" s="1241"/>
      <c r="AS687" s="1241"/>
      <c r="AT687" s="1241"/>
      <c r="AU687" s="1241"/>
      <c r="AV687" s="1241"/>
      <c r="AW687" s="1241"/>
      <c r="AX687" s="1241"/>
      <c r="AY687" s="1241"/>
      <c r="AZ687" s="1241"/>
      <c r="BA687" s="1241"/>
      <c r="BB687" s="1241"/>
      <c r="BC687" s="1241"/>
      <c r="BD687" s="1241"/>
      <c r="BE687" s="1241"/>
      <c r="BF687" s="1241"/>
      <c r="BG687" s="1241"/>
      <c r="BH687" s="1241"/>
      <c r="BI687" s="1241"/>
      <c r="BJ687" s="1241"/>
      <c r="BK687" s="1241"/>
      <c r="BL687" s="1241"/>
      <c r="BM687" s="1241"/>
      <c r="BN687" s="1241"/>
      <c r="BO687" s="1241"/>
      <c r="BP687" s="1241"/>
      <c r="BQ687" s="1241"/>
      <c r="BR687" s="1241"/>
      <c r="BS687" s="1241"/>
      <c r="BT687" s="1241"/>
      <c r="BU687" s="1241"/>
      <c r="BV687" s="1241"/>
      <c r="BW687" s="1241"/>
      <c r="BX687" s="1241"/>
      <c r="BY687" s="1241"/>
      <c r="BZ687" s="1241"/>
      <c r="CA687" s="1241"/>
      <c r="CB687" s="1241"/>
      <c r="CC687" s="1241"/>
      <c r="CD687" s="1241"/>
      <c r="CE687" s="1241"/>
      <c r="CF687" s="1241"/>
      <c r="CG687" s="1241"/>
      <c r="CH687" s="1241"/>
      <c r="CI687" s="1241"/>
      <c r="CJ687" s="1241"/>
      <c r="CK687" s="1241"/>
      <c r="CL687" s="1241"/>
      <c r="CM687" s="1241"/>
      <c r="CN687" s="1241"/>
      <c r="CO687" s="1241"/>
      <c r="CP687" s="1241"/>
      <c r="CQ687" s="1241"/>
      <c r="CR687" s="1241"/>
      <c r="CS687" s="1241"/>
      <c r="CT687" s="1241"/>
      <c r="CU687" s="1241"/>
      <c r="CV687" s="1241"/>
      <c r="CW687" s="1241"/>
      <c r="CX687" s="1241"/>
      <c r="CY687" s="1241"/>
      <c r="CZ687" s="1241"/>
      <c r="DA687" s="1241"/>
      <c r="DB687" s="1241"/>
      <c r="DC687" s="1241"/>
      <c r="DD687" s="1241"/>
      <c r="DE687" s="1241"/>
      <c r="DF687" s="1241"/>
      <c r="DG687" s="1241"/>
      <c r="DH687" s="1241"/>
      <c r="DI687" s="1241"/>
      <c r="DJ687" s="1241"/>
      <c r="DK687" s="1241"/>
      <c r="DL687" s="1241"/>
      <c r="DM687" s="1241"/>
    </row>
    <row r="688" spans="1:117" s="1302" customFormat="1">
      <c r="A688" s="1241"/>
      <c r="B688" s="1508" t="s">
        <v>4025</v>
      </c>
      <c r="C688" s="1241" t="s">
        <v>4026</v>
      </c>
      <c r="D688" s="1241"/>
      <c r="E688" s="1509" t="s">
        <v>420</v>
      </c>
      <c r="F688" s="1470"/>
      <c r="G688" s="1471"/>
      <c r="H688" s="1471">
        <v>0</v>
      </c>
      <c r="I688" s="1471">
        <v>0</v>
      </c>
      <c r="J688" s="1471">
        <v>0</v>
      </c>
      <c r="K688" s="1471">
        <v>0</v>
      </c>
      <c r="L688" s="1471">
        <v>0</v>
      </c>
      <c r="M688" s="1471">
        <v>0</v>
      </c>
      <c r="N688" s="1471">
        <v>0</v>
      </c>
      <c r="O688" s="1471">
        <v>0</v>
      </c>
      <c r="P688" s="1241"/>
      <c r="Q688" s="1241"/>
      <c r="R688" s="1241"/>
      <c r="S688" s="1241"/>
      <c r="T688" s="1241"/>
      <c r="U688" s="1241"/>
      <c r="V688" s="1241"/>
      <c r="W688" s="1241"/>
      <c r="X688" s="1241"/>
      <c r="Y688" s="1241"/>
      <c r="Z688" s="1241"/>
      <c r="AA688" s="1241"/>
      <c r="AB688" s="1241"/>
      <c r="AC688" s="1241"/>
      <c r="AD688" s="1241"/>
      <c r="AE688" s="1241"/>
      <c r="AF688" s="1241"/>
      <c r="AG688" s="1241"/>
      <c r="AH688" s="1241"/>
      <c r="AI688" s="1241"/>
      <c r="AJ688" s="1241"/>
      <c r="AK688" s="1241"/>
      <c r="AL688" s="1241"/>
      <c r="AM688" s="1241"/>
      <c r="AN688" s="1241"/>
      <c r="AO688" s="1241"/>
      <c r="AP688" s="1241"/>
      <c r="AQ688" s="1241"/>
      <c r="AR688" s="1241"/>
      <c r="AS688" s="1241"/>
      <c r="AT688" s="1241"/>
      <c r="AU688" s="1241"/>
      <c r="AV688" s="1241"/>
      <c r="AW688" s="1241"/>
      <c r="AX688" s="1241"/>
      <c r="AY688" s="1241"/>
      <c r="AZ688" s="1241"/>
      <c r="BA688" s="1241"/>
      <c r="BB688" s="1241"/>
      <c r="BC688" s="1241"/>
      <c r="BD688" s="1241"/>
      <c r="BE688" s="1241"/>
      <c r="BF688" s="1241"/>
      <c r="BG688" s="1241"/>
      <c r="BH688" s="1241"/>
      <c r="BI688" s="1241"/>
      <c r="BJ688" s="1241"/>
      <c r="BK688" s="1241"/>
      <c r="BL688" s="1241"/>
      <c r="BM688" s="1241"/>
      <c r="BN688" s="1241"/>
      <c r="BO688" s="1241"/>
      <c r="BP688" s="1241"/>
      <c r="BQ688" s="1241"/>
      <c r="BR688" s="1241"/>
      <c r="BS688" s="1241"/>
      <c r="BT688" s="1241"/>
      <c r="BU688" s="1241"/>
      <c r="BV688" s="1241"/>
      <c r="BW688" s="1241"/>
      <c r="BX688" s="1241"/>
      <c r="BY688" s="1241"/>
      <c r="BZ688" s="1241"/>
      <c r="CA688" s="1241"/>
      <c r="CB688" s="1241"/>
      <c r="CC688" s="1241"/>
      <c r="CD688" s="1241"/>
      <c r="CE688" s="1241"/>
      <c r="CF688" s="1241"/>
      <c r="CG688" s="1241"/>
      <c r="CH688" s="1241"/>
      <c r="CI688" s="1241"/>
      <c r="CJ688" s="1241"/>
      <c r="CK688" s="1241"/>
      <c r="CL688" s="1241"/>
      <c r="CM688" s="1241"/>
      <c r="CN688" s="1241"/>
      <c r="CO688" s="1241"/>
      <c r="CP688" s="1241"/>
      <c r="CQ688" s="1241"/>
      <c r="CR688" s="1241"/>
      <c r="CS688" s="1241"/>
      <c r="CT688" s="1241"/>
      <c r="CU688" s="1241"/>
      <c r="CV688" s="1241"/>
      <c r="CW688" s="1241"/>
      <c r="CX688" s="1241"/>
      <c r="CY688" s="1241"/>
      <c r="CZ688" s="1241"/>
      <c r="DA688" s="1241"/>
      <c r="DB688" s="1241"/>
      <c r="DC688" s="1241"/>
      <c r="DD688" s="1241"/>
      <c r="DE688" s="1241"/>
      <c r="DF688" s="1241"/>
      <c r="DG688" s="1241"/>
      <c r="DH688" s="1241"/>
      <c r="DI688" s="1241"/>
      <c r="DJ688" s="1241"/>
      <c r="DK688" s="1241"/>
      <c r="DL688" s="1241"/>
      <c r="DM688" s="1241"/>
    </row>
    <row r="689" spans="1:117" s="1302" customFormat="1">
      <c r="A689" s="1241"/>
      <c r="B689" s="1508"/>
      <c r="C689" s="1241"/>
      <c r="D689" s="1241"/>
      <c r="E689" s="1509"/>
      <c r="F689" s="1470"/>
      <c r="G689" s="1471"/>
      <c r="H689" s="1471"/>
      <c r="I689" s="1471"/>
      <c r="J689" s="1471"/>
      <c r="K689" s="1471"/>
      <c r="L689" s="1471"/>
      <c r="M689" s="1471"/>
      <c r="N689" s="1471"/>
      <c r="O689" s="1471"/>
      <c r="P689" s="1241"/>
      <c r="Q689" s="1241"/>
      <c r="R689" s="1241"/>
      <c r="S689" s="1241"/>
      <c r="T689" s="1241"/>
      <c r="U689" s="1241"/>
      <c r="V689" s="1241"/>
      <c r="W689" s="1241"/>
      <c r="X689" s="1241"/>
      <c r="Y689" s="1241"/>
      <c r="Z689" s="1241"/>
      <c r="AA689" s="1241"/>
      <c r="AB689" s="1241"/>
      <c r="AC689" s="1241"/>
      <c r="AD689" s="1241"/>
      <c r="AE689" s="1241"/>
      <c r="AF689" s="1241"/>
      <c r="AG689" s="1241"/>
      <c r="AH689" s="1241"/>
      <c r="AI689" s="1241"/>
      <c r="AJ689" s="1241"/>
      <c r="AK689" s="1241"/>
      <c r="AL689" s="1241"/>
      <c r="AM689" s="1241"/>
      <c r="AN689" s="1241"/>
      <c r="AO689" s="1241"/>
      <c r="AP689" s="1241"/>
      <c r="AQ689" s="1241"/>
      <c r="AR689" s="1241"/>
      <c r="AS689" s="1241"/>
      <c r="AT689" s="1241"/>
      <c r="AU689" s="1241"/>
      <c r="AV689" s="1241"/>
      <c r="AW689" s="1241"/>
      <c r="AX689" s="1241"/>
      <c r="AY689" s="1241"/>
      <c r="AZ689" s="1241"/>
      <c r="BA689" s="1241"/>
      <c r="BB689" s="1241"/>
      <c r="BC689" s="1241"/>
      <c r="BD689" s="1241"/>
      <c r="BE689" s="1241"/>
      <c r="BF689" s="1241"/>
      <c r="BG689" s="1241"/>
      <c r="BH689" s="1241"/>
      <c r="BI689" s="1241"/>
      <c r="BJ689" s="1241"/>
      <c r="BK689" s="1241"/>
      <c r="BL689" s="1241"/>
      <c r="BM689" s="1241"/>
      <c r="BN689" s="1241"/>
      <c r="BO689" s="1241"/>
      <c r="BP689" s="1241"/>
      <c r="BQ689" s="1241"/>
      <c r="BR689" s="1241"/>
      <c r="BS689" s="1241"/>
      <c r="BT689" s="1241"/>
      <c r="BU689" s="1241"/>
      <c r="BV689" s="1241"/>
      <c r="BW689" s="1241"/>
      <c r="BX689" s="1241"/>
      <c r="BY689" s="1241"/>
      <c r="BZ689" s="1241"/>
      <c r="CA689" s="1241"/>
      <c r="CB689" s="1241"/>
      <c r="CC689" s="1241"/>
      <c r="CD689" s="1241"/>
      <c r="CE689" s="1241"/>
      <c r="CF689" s="1241"/>
      <c r="CG689" s="1241"/>
      <c r="CH689" s="1241"/>
      <c r="CI689" s="1241"/>
      <c r="CJ689" s="1241"/>
      <c r="CK689" s="1241"/>
      <c r="CL689" s="1241"/>
      <c r="CM689" s="1241"/>
      <c r="CN689" s="1241"/>
      <c r="CO689" s="1241"/>
      <c r="CP689" s="1241"/>
      <c r="CQ689" s="1241"/>
      <c r="CR689" s="1241"/>
      <c r="CS689" s="1241"/>
      <c r="CT689" s="1241"/>
      <c r="CU689" s="1241"/>
      <c r="CV689" s="1241"/>
      <c r="CW689" s="1241"/>
      <c r="CX689" s="1241"/>
      <c r="CY689" s="1241"/>
      <c r="CZ689" s="1241"/>
      <c r="DA689" s="1241"/>
      <c r="DB689" s="1241"/>
      <c r="DC689" s="1241"/>
      <c r="DD689" s="1241"/>
      <c r="DE689" s="1241"/>
      <c r="DF689" s="1241"/>
      <c r="DG689" s="1241"/>
      <c r="DH689" s="1241"/>
      <c r="DI689" s="1241"/>
      <c r="DJ689" s="1241"/>
      <c r="DK689" s="1241"/>
      <c r="DL689" s="1241"/>
      <c r="DM689" s="1241"/>
    </row>
    <row r="690" spans="1:117" s="1302" customFormat="1">
      <c r="A690" s="1459" t="s">
        <v>4279</v>
      </c>
      <c r="B690" s="1508"/>
      <c r="C690" s="1241" t="s">
        <v>4281</v>
      </c>
      <c r="D690" s="1241"/>
      <c r="F690" s="1470"/>
      <c r="G690" s="1471"/>
      <c r="H690" s="1471"/>
      <c r="I690" s="1471"/>
      <c r="J690" s="1471"/>
      <c r="K690" s="1471"/>
      <c r="L690" s="1471"/>
      <c r="M690" s="1471"/>
      <c r="N690" s="1471"/>
      <c r="O690" s="1471"/>
      <c r="P690" s="1241"/>
      <c r="Q690" s="1241"/>
      <c r="R690" s="1241"/>
      <c r="S690" s="1241"/>
      <c r="T690" s="1241"/>
      <c r="U690" s="1241"/>
      <c r="V690" s="1241"/>
      <c r="W690" s="1241"/>
      <c r="X690" s="1241"/>
      <c r="Y690" s="1241"/>
      <c r="Z690" s="1241"/>
      <c r="AA690" s="1241"/>
      <c r="AB690" s="1241"/>
      <c r="AC690" s="1241"/>
      <c r="AD690" s="1241"/>
      <c r="AE690" s="1241"/>
      <c r="AF690" s="1241"/>
      <c r="AG690" s="1241"/>
      <c r="AH690" s="1241"/>
      <c r="AI690" s="1241"/>
      <c r="AJ690" s="1241"/>
      <c r="AK690" s="1241"/>
      <c r="AL690" s="1241"/>
      <c r="AM690" s="1241"/>
      <c r="AN690" s="1241"/>
      <c r="AO690" s="1241"/>
      <c r="AP690" s="1241"/>
      <c r="AQ690" s="1241"/>
      <c r="AR690" s="1241"/>
      <c r="AS690" s="1241"/>
      <c r="AT690" s="1241"/>
      <c r="AU690" s="1241"/>
      <c r="AV690" s="1241"/>
      <c r="AW690" s="1241"/>
      <c r="AX690" s="1241"/>
      <c r="AY690" s="1241"/>
      <c r="AZ690" s="1241"/>
      <c r="BA690" s="1241"/>
      <c r="BB690" s="1241"/>
      <c r="BC690" s="1241"/>
      <c r="BD690" s="1241"/>
      <c r="BE690" s="1241"/>
      <c r="BF690" s="1241"/>
      <c r="BG690" s="1241"/>
      <c r="BH690" s="1241"/>
      <c r="BI690" s="1241"/>
      <c r="BJ690" s="1241"/>
      <c r="BK690" s="1241"/>
      <c r="BL690" s="1241"/>
      <c r="BM690" s="1241"/>
      <c r="BN690" s="1241"/>
      <c r="BO690" s="1241"/>
      <c r="BP690" s="1241"/>
      <c r="BQ690" s="1241"/>
      <c r="BR690" s="1241"/>
      <c r="BS690" s="1241"/>
      <c r="BT690" s="1241"/>
      <c r="BU690" s="1241"/>
      <c r="BV690" s="1241"/>
      <c r="BW690" s="1241"/>
      <c r="BX690" s="1241"/>
      <c r="BY690" s="1241"/>
      <c r="BZ690" s="1241"/>
      <c r="CA690" s="1241"/>
      <c r="CB690" s="1241"/>
      <c r="CC690" s="1241"/>
      <c r="CD690" s="1241"/>
      <c r="CE690" s="1241"/>
      <c r="CF690" s="1241"/>
      <c r="CG690" s="1241"/>
      <c r="CH690" s="1241"/>
      <c r="CI690" s="1241"/>
      <c r="CJ690" s="1241"/>
      <c r="CK690" s="1241"/>
      <c r="CL690" s="1241"/>
      <c r="CM690" s="1241"/>
      <c r="CN690" s="1241"/>
      <c r="CO690" s="1241"/>
      <c r="CP690" s="1241"/>
      <c r="CQ690" s="1241"/>
      <c r="CR690" s="1241"/>
      <c r="CS690" s="1241"/>
      <c r="CT690" s="1241"/>
      <c r="CU690" s="1241"/>
      <c r="CV690" s="1241"/>
      <c r="CW690" s="1241"/>
      <c r="CX690" s="1241"/>
      <c r="CY690" s="1241"/>
      <c r="CZ690" s="1241"/>
      <c r="DA690" s="1241"/>
      <c r="DB690" s="1241"/>
      <c r="DC690" s="1241"/>
      <c r="DD690" s="1241"/>
      <c r="DE690" s="1241"/>
      <c r="DF690" s="1241"/>
      <c r="DG690" s="1241"/>
      <c r="DH690" s="1241"/>
      <c r="DI690" s="1241"/>
      <c r="DJ690" s="1241"/>
      <c r="DK690" s="1241"/>
      <c r="DL690" s="1241"/>
      <c r="DM690" s="1241"/>
    </row>
    <row r="691" spans="1:117" s="1302" customFormat="1">
      <c r="A691" s="1241"/>
      <c r="B691" s="1508"/>
      <c r="C691" s="1241" t="s">
        <v>4282</v>
      </c>
      <c r="D691" s="1241"/>
      <c r="E691" s="1509" t="s">
        <v>1065</v>
      </c>
      <c r="F691" s="1470"/>
      <c r="G691" s="1471"/>
      <c r="H691" s="1471">
        <v>4.5617775578598403</v>
      </c>
      <c r="I691" s="1471">
        <v>6.2280507613254272</v>
      </c>
      <c r="J691" s="1471">
        <v>12.48009596976434</v>
      </c>
      <c r="K691" s="1471">
        <v>20.574922692361636</v>
      </c>
      <c r="L691" s="1471">
        <v>29.155638385188936</v>
      </c>
      <c r="M691" s="1471">
        <v>39.167153974039415</v>
      </c>
      <c r="N691" s="1471">
        <v>50.670881630590898</v>
      </c>
      <c r="O691" s="1471">
        <v>17.535027311339029</v>
      </c>
      <c r="P691" s="1241"/>
      <c r="Q691" s="1241"/>
      <c r="R691" s="1241"/>
      <c r="S691" s="1241"/>
      <c r="T691" s="1241"/>
      <c r="U691" s="1241"/>
      <c r="V691" s="1241"/>
      <c r="W691" s="1241"/>
      <c r="X691" s="1241"/>
      <c r="Y691" s="1241"/>
      <c r="Z691" s="1241"/>
      <c r="AA691" s="1241"/>
      <c r="AB691" s="1241"/>
      <c r="AC691" s="1241"/>
      <c r="AD691" s="1241"/>
      <c r="AE691" s="1241"/>
      <c r="AF691" s="1241"/>
      <c r="AG691" s="1241"/>
      <c r="AH691" s="1241"/>
      <c r="AI691" s="1241"/>
      <c r="AJ691" s="1241"/>
      <c r="AK691" s="1241"/>
      <c r="AL691" s="1241"/>
      <c r="AM691" s="1241"/>
      <c r="AN691" s="1241"/>
      <c r="AO691" s="1241"/>
      <c r="AP691" s="1241"/>
      <c r="AQ691" s="1241"/>
      <c r="AR691" s="1241"/>
      <c r="AS691" s="1241"/>
      <c r="AT691" s="1241"/>
      <c r="AU691" s="1241"/>
      <c r="AV691" s="1241"/>
      <c r="AW691" s="1241"/>
      <c r="AX691" s="1241"/>
      <c r="AY691" s="1241"/>
      <c r="AZ691" s="1241"/>
      <c r="BA691" s="1241"/>
      <c r="BB691" s="1241"/>
      <c r="BC691" s="1241"/>
      <c r="BD691" s="1241"/>
      <c r="BE691" s="1241"/>
      <c r="BF691" s="1241"/>
      <c r="BG691" s="1241"/>
      <c r="BH691" s="1241"/>
      <c r="BI691" s="1241"/>
      <c r="BJ691" s="1241"/>
      <c r="BK691" s="1241"/>
      <c r="BL691" s="1241"/>
      <c r="BM691" s="1241"/>
      <c r="BN691" s="1241"/>
      <c r="BO691" s="1241"/>
      <c r="BP691" s="1241"/>
      <c r="BQ691" s="1241"/>
      <c r="BR691" s="1241"/>
      <c r="BS691" s="1241"/>
      <c r="BT691" s="1241"/>
      <c r="BU691" s="1241"/>
      <c r="BV691" s="1241"/>
      <c r="BW691" s="1241"/>
      <c r="BX691" s="1241"/>
      <c r="BY691" s="1241"/>
      <c r="BZ691" s="1241"/>
      <c r="CA691" s="1241"/>
      <c r="CB691" s="1241"/>
      <c r="CC691" s="1241"/>
      <c r="CD691" s="1241"/>
      <c r="CE691" s="1241"/>
      <c r="CF691" s="1241"/>
      <c r="CG691" s="1241"/>
      <c r="CH691" s="1241"/>
      <c r="CI691" s="1241"/>
      <c r="CJ691" s="1241"/>
      <c r="CK691" s="1241"/>
      <c r="CL691" s="1241"/>
      <c r="CM691" s="1241"/>
      <c r="CN691" s="1241"/>
      <c r="CO691" s="1241"/>
      <c r="CP691" s="1241"/>
      <c r="CQ691" s="1241"/>
      <c r="CR691" s="1241"/>
      <c r="CS691" s="1241"/>
      <c r="CT691" s="1241"/>
      <c r="CU691" s="1241"/>
      <c r="CV691" s="1241"/>
      <c r="CW691" s="1241"/>
      <c r="CX691" s="1241"/>
      <c r="CY691" s="1241"/>
      <c r="CZ691" s="1241"/>
      <c r="DA691" s="1241"/>
      <c r="DB691" s="1241"/>
      <c r="DC691" s="1241"/>
      <c r="DD691" s="1241"/>
      <c r="DE691" s="1241"/>
      <c r="DF691" s="1241"/>
      <c r="DG691" s="1241"/>
      <c r="DH691" s="1241"/>
      <c r="DI691" s="1241"/>
      <c r="DJ691" s="1241"/>
      <c r="DK691" s="1241"/>
      <c r="DL691" s="1241"/>
      <c r="DM691" s="1241"/>
    </row>
    <row r="692" spans="1:117" s="1302" customFormat="1">
      <c r="A692" s="1241"/>
      <c r="B692" s="1508"/>
      <c r="C692" s="1241" t="s">
        <v>1255</v>
      </c>
      <c r="D692" s="1241"/>
      <c r="E692" s="1509" t="s">
        <v>4283</v>
      </c>
      <c r="F692" s="1470"/>
      <c r="G692" s="1471"/>
      <c r="H692" s="1471">
        <v>50.213488942272598</v>
      </c>
      <c r="I692" s="1471">
        <v>52.481342780828598</v>
      </c>
      <c r="J692" s="1471">
        <v>65.635625827847846</v>
      </c>
      <c r="K692" s="1471">
        <v>77.796088979768101</v>
      </c>
      <c r="L692" s="1471">
        <v>85.290820915653995</v>
      </c>
      <c r="M692" s="1471">
        <v>92.719051981326459</v>
      </c>
      <c r="N692" s="1471">
        <v>100.05119232569076</v>
      </c>
      <c r="O692" s="1471">
        <v>74.812535012875415</v>
      </c>
      <c r="P692" s="1241"/>
      <c r="Q692" s="1241"/>
      <c r="R692" s="1241"/>
      <c r="S692" s="1241"/>
      <c r="T692" s="1241"/>
      <c r="U692" s="1241"/>
      <c r="V692" s="1241"/>
      <c r="W692" s="1241"/>
      <c r="X692" s="1241"/>
      <c r="Y692" s="1241"/>
      <c r="Z692" s="1241"/>
      <c r="AA692" s="1241"/>
      <c r="AB692" s="1241"/>
      <c r="AC692" s="1241"/>
      <c r="AD692" s="1241"/>
      <c r="AE692" s="1241"/>
      <c r="AF692" s="1241"/>
      <c r="AG692" s="1241"/>
      <c r="AH692" s="1241"/>
      <c r="AI692" s="1241"/>
      <c r="AJ692" s="1241"/>
      <c r="AK692" s="1241"/>
      <c r="AL692" s="1241"/>
      <c r="AM692" s="1241"/>
      <c r="AN692" s="1241"/>
      <c r="AO692" s="1241"/>
      <c r="AP692" s="1241"/>
      <c r="AQ692" s="1241"/>
      <c r="AR692" s="1241"/>
      <c r="AS692" s="1241"/>
      <c r="AT692" s="1241"/>
      <c r="AU692" s="1241"/>
      <c r="AV692" s="1241"/>
      <c r="AW692" s="1241"/>
      <c r="AX692" s="1241"/>
      <c r="AY692" s="1241"/>
      <c r="AZ692" s="1241"/>
      <c r="BA692" s="1241"/>
      <c r="BB692" s="1241"/>
      <c r="BC692" s="1241"/>
      <c r="BD692" s="1241"/>
      <c r="BE692" s="1241"/>
      <c r="BF692" s="1241"/>
      <c r="BG692" s="1241"/>
      <c r="BH692" s="1241"/>
      <c r="BI692" s="1241"/>
      <c r="BJ692" s="1241"/>
      <c r="BK692" s="1241"/>
      <c r="BL692" s="1241"/>
      <c r="BM692" s="1241"/>
      <c r="BN692" s="1241"/>
      <c r="BO692" s="1241"/>
      <c r="BP692" s="1241"/>
      <c r="BQ692" s="1241"/>
      <c r="BR692" s="1241"/>
      <c r="BS692" s="1241"/>
      <c r="BT692" s="1241"/>
      <c r="BU692" s="1241"/>
      <c r="BV692" s="1241"/>
      <c r="BW692" s="1241"/>
      <c r="BX692" s="1241"/>
      <c r="BY692" s="1241"/>
      <c r="BZ692" s="1241"/>
      <c r="CA692" s="1241"/>
      <c r="CB692" s="1241"/>
      <c r="CC692" s="1241"/>
      <c r="CD692" s="1241"/>
      <c r="CE692" s="1241"/>
      <c r="CF692" s="1241"/>
      <c r="CG692" s="1241"/>
      <c r="CH692" s="1241"/>
      <c r="CI692" s="1241"/>
      <c r="CJ692" s="1241"/>
      <c r="CK692" s="1241"/>
      <c r="CL692" s="1241"/>
      <c r="CM692" s="1241"/>
      <c r="CN692" s="1241"/>
      <c r="CO692" s="1241"/>
      <c r="CP692" s="1241"/>
      <c r="CQ692" s="1241"/>
      <c r="CR692" s="1241"/>
      <c r="CS692" s="1241"/>
      <c r="CT692" s="1241"/>
      <c r="CU692" s="1241"/>
      <c r="CV692" s="1241"/>
      <c r="CW692" s="1241"/>
      <c r="CX692" s="1241"/>
      <c r="CY692" s="1241"/>
      <c r="CZ692" s="1241"/>
      <c r="DA692" s="1241"/>
      <c r="DB692" s="1241"/>
      <c r="DC692" s="1241"/>
      <c r="DD692" s="1241"/>
      <c r="DE692" s="1241"/>
      <c r="DF692" s="1241"/>
      <c r="DG692" s="1241"/>
      <c r="DH692" s="1241"/>
      <c r="DI692" s="1241"/>
      <c r="DJ692" s="1241"/>
      <c r="DK692" s="1241"/>
      <c r="DL692" s="1241"/>
      <c r="DM692" s="1241"/>
    </row>
    <row r="693" spans="1:117" s="1302" customFormat="1">
      <c r="A693" s="1241"/>
      <c r="B693" s="1508"/>
      <c r="C693" s="1241" t="s">
        <v>3861</v>
      </c>
      <c r="D693" s="1241"/>
      <c r="E693" s="1509" t="s">
        <v>3925</v>
      </c>
      <c r="F693" s="1470"/>
      <c r="G693" s="1471"/>
      <c r="H693" s="1471">
        <v>0.19612113318399998</v>
      </c>
      <c r="I693" s="1471">
        <v>0.206556160859583</v>
      </c>
      <c r="J693" s="1471">
        <v>0.26339606908749874</v>
      </c>
      <c r="K693" s="1471">
        <v>0.3184424836307046</v>
      </c>
      <c r="L693" s="1471">
        <v>0.35624846648870945</v>
      </c>
      <c r="M693" s="1471">
        <v>0.39534680073986472</v>
      </c>
      <c r="N693" s="1471">
        <v>0.43569115761471106</v>
      </c>
      <c r="O693" s="1471">
        <v>0.30379855071556683</v>
      </c>
      <c r="P693" s="1241"/>
      <c r="Q693" s="1241"/>
      <c r="R693" s="1241"/>
      <c r="S693" s="1241"/>
      <c r="T693" s="1241"/>
      <c r="U693" s="1241"/>
      <c r="V693" s="1241"/>
      <c r="W693" s="1241"/>
      <c r="X693" s="1241"/>
      <c r="Y693" s="1241"/>
      <c r="Z693" s="1241"/>
      <c r="AA693" s="1241"/>
      <c r="AB693" s="1241"/>
      <c r="AC693" s="1241"/>
      <c r="AD693" s="1241"/>
      <c r="AE693" s="1241"/>
      <c r="AF693" s="1241"/>
      <c r="AG693" s="1241"/>
      <c r="AH693" s="1241"/>
      <c r="AI693" s="1241"/>
      <c r="AJ693" s="1241"/>
      <c r="AK693" s="1241"/>
      <c r="AL693" s="1241"/>
      <c r="AM693" s="1241"/>
      <c r="AN693" s="1241"/>
      <c r="AO693" s="1241"/>
      <c r="AP693" s="1241"/>
      <c r="AQ693" s="1241"/>
      <c r="AR693" s="1241"/>
      <c r="AS693" s="1241"/>
      <c r="AT693" s="1241"/>
      <c r="AU693" s="1241"/>
      <c r="AV693" s="1241"/>
      <c r="AW693" s="1241"/>
      <c r="AX693" s="1241"/>
      <c r="AY693" s="1241"/>
      <c r="AZ693" s="1241"/>
      <c r="BA693" s="1241"/>
      <c r="BB693" s="1241"/>
      <c r="BC693" s="1241"/>
      <c r="BD693" s="1241"/>
      <c r="BE693" s="1241"/>
      <c r="BF693" s="1241"/>
      <c r="BG693" s="1241"/>
      <c r="BH693" s="1241"/>
      <c r="BI693" s="1241"/>
      <c r="BJ693" s="1241"/>
      <c r="BK693" s="1241"/>
      <c r="BL693" s="1241"/>
      <c r="BM693" s="1241"/>
      <c r="BN693" s="1241"/>
      <c r="BO693" s="1241"/>
      <c r="BP693" s="1241"/>
      <c r="BQ693" s="1241"/>
      <c r="BR693" s="1241"/>
      <c r="BS693" s="1241"/>
      <c r="BT693" s="1241"/>
      <c r="BU693" s="1241"/>
      <c r="BV693" s="1241"/>
      <c r="BW693" s="1241"/>
      <c r="BX693" s="1241"/>
      <c r="BY693" s="1241"/>
      <c r="BZ693" s="1241"/>
      <c r="CA693" s="1241"/>
      <c r="CB693" s="1241"/>
      <c r="CC693" s="1241"/>
      <c r="CD693" s="1241"/>
      <c r="CE693" s="1241"/>
      <c r="CF693" s="1241"/>
      <c r="CG693" s="1241"/>
      <c r="CH693" s="1241"/>
      <c r="CI693" s="1241"/>
      <c r="CJ693" s="1241"/>
      <c r="CK693" s="1241"/>
      <c r="CL693" s="1241"/>
      <c r="CM693" s="1241"/>
      <c r="CN693" s="1241"/>
      <c r="CO693" s="1241"/>
      <c r="CP693" s="1241"/>
      <c r="CQ693" s="1241"/>
      <c r="CR693" s="1241"/>
      <c r="CS693" s="1241"/>
      <c r="CT693" s="1241"/>
      <c r="CU693" s="1241"/>
      <c r="CV693" s="1241"/>
      <c r="CW693" s="1241"/>
      <c r="CX693" s="1241"/>
      <c r="CY693" s="1241"/>
      <c r="CZ693" s="1241"/>
      <c r="DA693" s="1241"/>
      <c r="DB693" s="1241"/>
      <c r="DC693" s="1241"/>
      <c r="DD693" s="1241"/>
      <c r="DE693" s="1241"/>
      <c r="DF693" s="1241"/>
      <c r="DG693" s="1241"/>
      <c r="DH693" s="1241"/>
      <c r="DI693" s="1241"/>
      <c r="DJ693" s="1241"/>
      <c r="DK693" s="1241"/>
      <c r="DL693" s="1241"/>
      <c r="DM693" s="1241"/>
    </row>
    <row r="694" spans="1:117" s="1302" customFormat="1">
      <c r="A694" s="1241"/>
      <c r="B694" s="1508"/>
      <c r="C694" s="1241" t="s">
        <v>524</v>
      </c>
      <c r="D694" s="1241"/>
      <c r="E694" s="1509" t="s">
        <v>3923</v>
      </c>
      <c r="F694" s="1470"/>
      <c r="G694" s="1471"/>
      <c r="H694" s="1471">
        <v>0</v>
      </c>
      <c r="I694" s="1471">
        <v>3.4056326787835552E-2</v>
      </c>
      <c r="J694" s="1471">
        <v>0.15199768906194064</v>
      </c>
      <c r="K694" s="1471">
        <v>0.31502273978735523</v>
      </c>
      <c r="L694" s="1471">
        <v>0.49926552762348214</v>
      </c>
      <c r="M694" s="1471">
        <v>0.71701883705335301</v>
      </c>
      <c r="N694" s="1471">
        <v>0.96977763886298363</v>
      </c>
      <c r="O694" s="1471">
        <v>0.250446723007056</v>
      </c>
      <c r="P694" s="1241"/>
      <c r="Q694" s="1241"/>
      <c r="R694" s="1241"/>
      <c r="S694" s="1241"/>
      <c r="T694" s="1241"/>
      <c r="U694" s="1241"/>
      <c r="V694" s="1241"/>
      <c r="W694" s="1241"/>
      <c r="X694" s="1241"/>
      <c r="Y694" s="1241"/>
      <c r="Z694" s="1241"/>
      <c r="AA694" s="1241"/>
      <c r="AB694" s="1241"/>
      <c r="AC694" s="1241"/>
      <c r="AD694" s="1241"/>
      <c r="AE694" s="1241"/>
      <c r="AF694" s="1241"/>
      <c r="AG694" s="1241"/>
      <c r="AH694" s="1241"/>
      <c r="AI694" s="1241"/>
      <c r="AJ694" s="1241"/>
      <c r="AK694" s="1241"/>
      <c r="AL694" s="1241"/>
      <c r="AM694" s="1241"/>
      <c r="AN694" s="1241"/>
      <c r="AO694" s="1241"/>
      <c r="AP694" s="1241"/>
      <c r="AQ694" s="1241"/>
      <c r="AR694" s="1241"/>
      <c r="AS694" s="1241"/>
      <c r="AT694" s="1241"/>
      <c r="AU694" s="1241"/>
      <c r="AV694" s="1241"/>
      <c r="AW694" s="1241"/>
      <c r="AX694" s="1241"/>
      <c r="AY694" s="1241"/>
      <c r="AZ694" s="1241"/>
      <c r="BA694" s="1241"/>
      <c r="BB694" s="1241"/>
      <c r="BC694" s="1241"/>
      <c r="BD694" s="1241"/>
      <c r="BE694" s="1241"/>
      <c r="BF694" s="1241"/>
      <c r="BG694" s="1241"/>
      <c r="BH694" s="1241"/>
      <c r="BI694" s="1241"/>
      <c r="BJ694" s="1241"/>
      <c r="BK694" s="1241"/>
      <c r="BL694" s="1241"/>
      <c r="BM694" s="1241"/>
      <c r="BN694" s="1241"/>
      <c r="BO694" s="1241"/>
      <c r="BP694" s="1241"/>
      <c r="BQ694" s="1241"/>
      <c r="BR694" s="1241"/>
      <c r="BS694" s="1241"/>
      <c r="BT694" s="1241"/>
      <c r="BU694" s="1241"/>
      <c r="BV694" s="1241"/>
      <c r="BW694" s="1241"/>
      <c r="BX694" s="1241"/>
      <c r="BY694" s="1241"/>
      <c r="BZ694" s="1241"/>
      <c r="CA694" s="1241"/>
      <c r="CB694" s="1241"/>
      <c r="CC694" s="1241"/>
      <c r="CD694" s="1241"/>
      <c r="CE694" s="1241"/>
      <c r="CF694" s="1241"/>
      <c r="CG694" s="1241"/>
      <c r="CH694" s="1241"/>
      <c r="CI694" s="1241"/>
      <c r="CJ694" s="1241"/>
      <c r="CK694" s="1241"/>
      <c r="CL694" s="1241"/>
      <c r="CM694" s="1241"/>
      <c r="CN694" s="1241"/>
      <c r="CO694" s="1241"/>
      <c r="CP694" s="1241"/>
      <c r="CQ694" s="1241"/>
      <c r="CR694" s="1241"/>
      <c r="CS694" s="1241"/>
      <c r="CT694" s="1241"/>
      <c r="CU694" s="1241"/>
      <c r="CV694" s="1241"/>
      <c r="CW694" s="1241"/>
      <c r="CX694" s="1241"/>
      <c r="CY694" s="1241"/>
      <c r="CZ694" s="1241"/>
      <c r="DA694" s="1241"/>
      <c r="DB694" s="1241"/>
      <c r="DC694" s="1241"/>
      <c r="DD694" s="1241"/>
      <c r="DE694" s="1241"/>
      <c r="DF694" s="1241"/>
      <c r="DG694" s="1241"/>
      <c r="DH694" s="1241"/>
      <c r="DI694" s="1241"/>
      <c r="DJ694" s="1241"/>
      <c r="DK694" s="1241"/>
      <c r="DL694" s="1241"/>
      <c r="DM694" s="1241"/>
    </row>
    <row r="695" spans="1:117" s="1302" customFormat="1">
      <c r="A695" s="1241"/>
      <c r="B695" s="1508"/>
      <c r="C695" s="1241" t="s">
        <v>3867</v>
      </c>
      <c r="D695" s="1241"/>
      <c r="E695" s="1509" t="s">
        <v>3925</v>
      </c>
      <c r="F695" s="1470"/>
      <c r="G695" s="1471"/>
      <c r="H695" s="1471">
        <v>0</v>
      </c>
      <c r="I695" s="1471">
        <v>0</v>
      </c>
      <c r="J695" s="1471">
        <v>0</v>
      </c>
      <c r="K695" s="1471">
        <v>0</v>
      </c>
      <c r="L695" s="1471">
        <v>0</v>
      </c>
      <c r="M695" s="1471">
        <v>0</v>
      </c>
      <c r="N695" s="1471">
        <v>0</v>
      </c>
      <c r="O695" s="1471">
        <v>0</v>
      </c>
      <c r="P695" s="1241"/>
      <c r="Q695" s="1241"/>
      <c r="R695" s="1241"/>
      <c r="S695" s="1241"/>
      <c r="T695" s="1241"/>
      <c r="U695" s="1241"/>
      <c r="V695" s="1241"/>
      <c r="W695" s="1241"/>
      <c r="X695" s="1241"/>
      <c r="Y695" s="1241"/>
      <c r="Z695" s="1241"/>
      <c r="AA695" s="1241"/>
      <c r="AB695" s="1241"/>
      <c r="AC695" s="1241"/>
      <c r="AD695" s="1241"/>
      <c r="AE695" s="1241"/>
      <c r="AF695" s="1241"/>
      <c r="AG695" s="1241"/>
      <c r="AH695" s="1241"/>
      <c r="AI695" s="1241"/>
      <c r="AJ695" s="1241"/>
      <c r="AK695" s="1241"/>
      <c r="AL695" s="1241"/>
      <c r="AM695" s="1241"/>
      <c r="AN695" s="1241"/>
      <c r="AO695" s="1241"/>
      <c r="AP695" s="1241"/>
      <c r="AQ695" s="1241"/>
      <c r="AR695" s="1241"/>
      <c r="AS695" s="1241"/>
      <c r="AT695" s="1241"/>
      <c r="AU695" s="1241"/>
      <c r="AV695" s="1241"/>
      <c r="AW695" s="1241"/>
      <c r="AX695" s="1241"/>
      <c r="AY695" s="1241"/>
      <c r="AZ695" s="1241"/>
      <c r="BA695" s="1241"/>
      <c r="BB695" s="1241"/>
      <c r="BC695" s="1241"/>
      <c r="BD695" s="1241"/>
      <c r="BE695" s="1241"/>
      <c r="BF695" s="1241"/>
      <c r="BG695" s="1241"/>
      <c r="BH695" s="1241"/>
      <c r="BI695" s="1241"/>
      <c r="BJ695" s="1241"/>
      <c r="BK695" s="1241"/>
      <c r="BL695" s="1241"/>
      <c r="BM695" s="1241"/>
      <c r="BN695" s="1241"/>
      <c r="BO695" s="1241"/>
      <c r="BP695" s="1241"/>
      <c r="BQ695" s="1241"/>
      <c r="BR695" s="1241"/>
      <c r="BS695" s="1241"/>
      <c r="BT695" s="1241"/>
      <c r="BU695" s="1241"/>
      <c r="BV695" s="1241"/>
      <c r="BW695" s="1241"/>
      <c r="BX695" s="1241"/>
      <c r="BY695" s="1241"/>
      <c r="BZ695" s="1241"/>
      <c r="CA695" s="1241"/>
      <c r="CB695" s="1241"/>
      <c r="CC695" s="1241"/>
      <c r="CD695" s="1241"/>
      <c r="CE695" s="1241"/>
      <c r="CF695" s="1241"/>
      <c r="CG695" s="1241"/>
      <c r="CH695" s="1241"/>
      <c r="CI695" s="1241"/>
      <c r="CJ695" s="1241"/>
      <c r="CK695" s="1241"/>
      <c r="CL695" s="1241"/>
      <c r="CM695" s="1241"/>
      <c r="CN695" s="1241"/>
      <c r="CO695" s="1241"/>
      <c r="CP695" s="1241"/>
      <c r="CQ695" s="1241"/>
      <c r="CR695" s="1241"/>
      <c r="CS695" s="1241"/>
      <c r="CT695" s="1241"/>
      <c r="CU695" s="1241"/>
      <c r="CV695" s="1241"/>
      <c r="CW695" s="1241"/>
      <c r="CX695" s="1241"/>
      <c r="CY695" s="1241"/>
      <c r="CZ695" s="1241"/>
      <c r="DA695" s="1241"/>
      <c r="DB695" s="1241"/>
      <c r="DC695" s="1241"/>
      <c r="DD695" s="1241"/>
      <c r="DE695" s="1241"/>
      <c r="DF695" s="1241"/>
      <c r="DG695" s="1241"/>
      <c r="DH695" s="1241"/>
      <c r="DI695" s="1241"/>
      <c r="DJ695" s="1241"/>
      <c r="DK695" s="1241"/>
      <c r="DL695" s="1241"/>
      <c r="DM695" s="1241"/>
    </row>
    <row r="696" spans="1:117" s="1302" customFormat="1">
      <c r="A696" s="1241"/>
      <c r="B696" s="1508"/>
      <c r="C696" s="1241" t="s">
        <v>4284</v>
      </c>
      <c r="D696" s="1241"/>
      <c r="E696" s="1509" t="s">
        <v>3925</v>
      </c>
      <c r="F696" s="1470"/>
      <c r="G696" s="1471"/>
      <c r="H696" s="1471">
        <v>0</v>
      </c>
      <c r="I696" s="1471">
        <v>0</v>
      </c>
      <c r="J696" s="1471">
        <v>0</v>
      </c>
      <c r="K696" s="1471">
        <v>0</v>
      </c>
      <c r="L696" s="1471">
        <v>0</v>
      </c>
      <c r="M696" s="1471">
        <v>0</v>
      </c>
      <c r="N696" s="1471">
        <v>0</v>
      </c>
      <c r="O696" s="1471">
        <v>0</v>
      </c>
      <c r="P696" s="1241"/>
      <c r="Q696" s="1241"/>
      <c r="R696" s="1241"/>
      <c r="S696" s="1241"/>
      <c r="T696" s="1241"/>
      <c r="U696" s="1241"/>
      <c r="V696" s="1241"/>
      <c r="W696" s="1241"/>
      <c r="X696" s="1241"/>
      <c r="Y696" s="1241"/>
      <c r="Z696" s="1241"/>
      <c r="AA696" s="1241"/>
      <c r="AB696" s="1241"/>
      <c r="AC696" s="1241"/>
      <c r="AD696" s="1241"/>
      <c r="AE696" s="1241"/>
      <c r="AF696" s="1241"/>
      <c r="AG696" s="1241"/>
      <c r="AH696" s="1241"/>
      <c r="AI696" s="1241"/>
      <c r="AJ696" s="1241"/>
      <c r="AK696" s="1241"/>
      <c r="AL696" s="1241"/>
      <c r="AM696" s="1241"/>
      <c r="AN696" s="1241"/>
      <c r="AO696" s="1241"/>
      <c r="AP696" s="1241"/>
      <c r="AQ696" s="1241"/>
      <c r="AR696" s="1241"/>
      <c r="AS696" s="1241"/>
      <c r="AT696" s="1241"/>
      <c r="AU696" s="1241"/>
      <c r="AV696" s="1241"/>
      <c r="AW696" s="1241"/>
      <c r="AX696" s="1241"/>
      <c r="AY696" s="1241"/>
      <c r="AZ696" s="1241"/>
      <c r="BA696" s="1241"/>
      <c r="BB696" s="1241"/>
      <c r="BC696" s="1241"/>
      <c r="BD696" s="1241"/>
      <c r="BE696" s="1241"/>
      <c r="BF696" s="1241"/>
      <c r="BG696" s="1241"/>
      <c r="BH696" s="1241"/>
      <c r="BI696" s="1241"/>
      <c r="BJ696" s="1241"/>
      <c r="BK696" s="1241"/>
      <c r="BL696" s="1241"/>
      <c r="BM696" s="1241"/>
      <c r="BN696" s="1241"/>
      <c r="BO696" s="1241"/>
      <c r="BP696" s="1241"/>
      <c r="BQ696" s="1241"/>
      <c r="BR696" s="1241"/>
      <c r="BS696" s="1241"/>
      <c r="BT696" s="1241"/>
      <c r="BU696" s="1241"/>
      <c r="BV696" s="1241"/>
      <c r="BW696" s="1241"/>
      <c r="BX696" s="1241"/>
      <c r="BY696" s="1241"/>
      <c r="BZ696" s="1241"/>
      <c r="CA696" s="1241"/>
      <c r="CB696" s="1241"/>
      <c r="CC696" s="1241"/>
      <c r="CD696" s="1241"/>
      <c r="CE696" s="1241"/>
      <c r="CF696" s="1241"/>
      <c r="CG696" s="1241"/>
      <c r="CH696" s="1241"/>
      <c r="CI696" s="1241"/>
      <c r="CJ696" s="1241"/>
      <c r="CK696" s="1241"/>
      <c r="CL696" s="1241"/>
      <c r="CM696" s="1241"/>
      <c r="CN696" s="1241"/>
      <c r="CO696" s="1241"/>
      <c r="CP696" s="1241"/>
      <c r="CQ696" s="1241"/>
      <c r="CR696" s="1241"/>
      <c r="CS696" s="1241"/>
      <c r="CT696" s="1241"/>
      <c r="CU696" s="1241"/>
      <c r="CV696" s="1241"/>
      <c r="CW696" s="1241"/>
      <c r="CX696" s="1241"/>
      <c r="CY696" s="1241"/>
      <c r="CZ696" s="1241"/>
      <c r="DA696" s="1241"/>
      <c r="DB696" s="1241"/>
      <c r="DC696" s="1241"/>
      <c r="DD696" s="1241"/>
      <c r="DE696" s="1241"/>
      <c r="DF696" s="1241"/>
      <c r="DG696" s="1241"/>
      <c r="DH696" s="1241"/>
      <c r="DI696" s="1241"/>
      <c r="DJ696" s="1241"/>
      <c r="DK696" s="1241"/>
      <c r="DL696" s="1241"/>
      <c r="DM696" s="1241"/>
    </row>
    <row r="697" spans="1:117" s="1302" customFormat="1">
      <c r="A697" s="1241"/>
      <c r="B697" s="1508"/>
      <c r="C697" s="1241"/>
      <c r="D697" s="1241"/>
      <c r="E697" s="1509"/>
      <c r="F697" s="1470"/>
      <c r="G697" s="1471"/>
      <c r="H697" s="1471"/>
      <c r="I697" s="1471"/>
      <c r="J697" s="1471"/>
      <c r="K697" s="1471"/>
      <c r="L697" s="1471"/>
      <c r="M697" s="1471"/>
      <c r="N697" s="1471"/>
      <c r="O697" s="1471"/>
      <c r="P697" s="1241"/>
      <c r="Q697" s="1241"/>
      <c r="R697" s="1241"/>
      <c r="S697" s="1241"/>
      <c r="T697" s="1241"/>
      <c r="U697" s="1241"/>
      <c r="V697" s="1241"/>
      <c r="W697" s="1241"/>
      <c r="X697" s="1241"/>
      <c r="Y697" s="1241"/>
      <c r="Z697" s="1241"/>
      <c r="AA697" s="1241"/>
      <c r="AB697" s="1241"/>
      <c r="AC697" s="1241"/>
      <c r="AD697" s="1241"/>
      <c r="AE697" s="1241"/>
      <c r="AF697" s="1241"/>
      <c r="AG697" s="1241"/>
      <c r="AH697" s="1241"/>
      <c r="AI697" s="1241"/>
      <c r="AJ697" s="1241"/>
      <c r="AK697" s="1241"/>
      <c r="AL697" s="1241"/>
      <c r="AM697" s="1241"/>
      <c r="AN697" s="1241"/>
      <c r="AO697" s="1241"/>
      <c r="AP697" s="1241"/>
      <c r="AQ697" s="1241"/>
      <c r="AR697" s="1241"/>
      <c r="AS697" s="1241"/>
      <c r="AT697" s="1241"/>
      <c r="AU697" s="1241"/>
      <c r="AV697" s="1241"/>
      <c r="AW697" s="1241"/>
      <c r="AX697" s="1241"/>
      <c r="AY697" s="1241"/>
      <c r="AZ697" s="1241"/>
      <c r="BA697" s="1241"/>
      <c r="BB697" s="1241"/>
      <c r="BC697" s="1241"/>
      <c r="BD697" s="1241"/>
      <c r="BE697" s="1241"/>
      <c r="BF697" s="1241"/>
      <c r="BG697" s="1241"/>
      <c r="BH697" s="1241"/>
      <c r="BI697" s="1241"/>
      <c r="BJ697" s="1241"/>
      <c r="BK697" s="1241"/>
      <c r="BL697" s="1241"/>
      <c r="BM697" s="1241"/>
      <c r="BN697" s="1241"/>
      <c r="BO697" s="1241"/>
      <c r="BP697" s="1241"/>
      <c r="BQ697" s="1241"/>
      <c r="BR697" s="1241"/>
      <c r="BS697" s="1241"/>
      <c r="BT697" s="1241"/>
      <c r="BU697" s="1241"/>
      <c r="BV697" s="1241"/>
      <c r="BW697" s="1241"/>
      <c r="BX697" s="1241"/>
      <c r="BY697" s="1241"/>
      <c r="BZ697" s="1241"/>
      <c r="CA697" s="1241"/>
      <c r="CB697" s="1241"/>
      <c r="CC697" s="1241"/>
      <c r="CD697" s="1241"/>
      <c r="CE697" s="1241"/>
      <c r="CF697" s="1241"/>
      <c r="CG697" s="1241"/>
      <c r="CH697" s="1241"/>
      <c r="CI697" s="1241"/>
      <c r="CJ697" s="1241"/>
      <c r="CK697" s="1241"/>
      <c r="CL697" s="1241"/>
      <c r="CM697" s="1241"/>
      <c r="CN697" s="1241"/>
      <c r="CO697" s="1241"/>
      <c r="CP697" s="1241"/>
      <c r="CQ697" s="1241"/>
      <c r="CR697" s="1241"/>
      <c r="CS697" s="1241"/>
      <c r="CT697" s="1241"/>
      <c r="CU697" s="1241"/>
      <c r="CV697" s="1241"/>
      <c r="CW697" s="1241"/>
      <c r="CX697" s="1241"/>
      <c r="CY697" s="1241"/>
      <c r="CZ697" s="1241"/>
      <c r="DA697" s="1241"/>
      <c r="DB697" s="1241"/>
      <c r="DC697" s="1241"/>
      <c r="DD697" s="1241"/>
      <c r="DE697" s="1241"/>
      <c r="DF697" s="1241"/>
      <c r="DG697" s="1241"/>
      <c r="DH697" s="1241"/>
      <c r="DI697" s="1241"/>
      <c r="DJ697" s="1241"/>
      <c r="DK697" s="1241"/>
      <c r="DL697" s="1241"/>
      <c r="DM697" s="1241"/>
    </row>
    <row r="698" spans="1:117" s="1302" customFormat="1">
      <c r="A698" s="1459" t="s">
        <v>4285</v>
      </c>
      <c r="B698" s="1508"/>
      <c r="C698" s="1241"/>
      <c r="D698" s="1241"/>
      <c r="E698" s="1509"/>
      <c r="F698" s="1470"/>
      <c r="G698" s="1471"/>
      <c r="H698" s="1471"/>
      <c r="I698" s="1471"/>
      <c r="J698" s="1471"/>
      <c r="K698" s="1471"/>
      <c r="L698" s="1471"/>
      <c r="M698" s="1471"/>
      <c r="N698" s="1471"/>
      <c r="O698" s="1471"/>
      <c r="P698" s="1241"/>
      <c r="Q698" s="1241"/>
      <c r="R698" s="1241"/>
      <c r="S698" s="1241"/>
      <c r="T698" s="1241"/>
      <c r="U698" s="1241"/>
      <c r="V698" s="1241"/>
      <c r="W698" s="1241"/>
      <c r="X698" s="1241"/>
      <c r="Y698" s="1241"/>
      <c r="Z698" s="1241"/>
      <c r="AA698" s="1241"/>
      <c r="AB698" s="1241"/>
      <c r="AC698" s="1241"/>
      <c r="AD698" s="1241"/>
      <c r="AE698" s="1241"/>
      <c r="AF698" s="1241"/>
      <c r="AG698" s="1241"/>
      <c r="AH698" s="1241"/>
      <c r="AI698" s="1241"/>
      <c r="AJ698" s="1241"/>
      <c r="AK698" s="1241"/>
      <c r="AL698" s="1241"/>
      <c r="AM698" s="1241"/>
      <c r="AN698" s="1241"/>
      <c r="AO698" s="1241"/>
      <c r="AP698" s="1241"/>
      <c r="AQ698" s="1241"/>
      <c r="AR698" s="1241"/>
      <c r="AS698" s="1241"/>
      <c r="AT698" s="1241"/>
      <c r="AU698" s="1241"/>
      <c r="AV698" s="1241"/>
      <c r="AW698" s="1241"/>
      <c r="AX698" s="1241"/>
      <c r="AY698" s="1241"/>
      <c r="AZ698" s="1241"/>
      <c r="BA698" s="1241"/>
      <c r="BB698" s="1241"/>
      <c r="BC698" s="1241"/>
      <c r="BD698" s="1241"/>
      <c r="BE698" s="1241"/>
      <c r="BF698" s="1241"/>
      <c r="BG698" s="1241"/>
      <c r="BH698" s="1241"/>
      <c r="BI698" s="1241"/>
      <c r="BJ698" s="1241"/>
      <c r="BK698" s="1241"/>
      <c r="BL698" s="1241"/>
      <c r="BM698" s="1241"/>
      <c r="BN698" s="1241"/>
      <c r="BO698" s="1241"/>
      <c r="BP698" s="1241"/>
      <c r="BQ698" s="1241"/>
      <c r="BR698" s="1241"/>
      <c r="BS698" s="1241"/>
      <c r="BT698" s="1241"/>
      <c r="BU698" s="1241"/>
      <c r="BV698" s="1241"/>
      <c r="BW698" s="1241"/>
      <c r="BX698" s="1241"/>
      <c r="BY698" s="1241"/>
      <c r="BZ698" s="1241"/>
      <c r="CA698" s="1241"/>
      <c r="CB698" s="1241"/>
      <c r="CC698" s="1241"/>
      <c r="CD698" s="1241"/>
      <c r="CE698" s="1241"/>
      <c r="CF698" s="1241"/>
      <c r="CG698" s="1241"/>
      <c r="CH698" s="1241"/>
      <c r="CI698" s="1241"/>
      <c r="CJ698" s="1241"/>
      <c r="CK698" s="1241"/>
      <c r="CL698" s="1241"/>
      <c r="CM698" s="1241"/>
      <c r="CN698" s="1241"/>
      <c r="CO698" s="1241"/>
      <c r="CP698" s="1241"/>
      <c r="CQ698" s="1241"/>
      <c r="CR698" s="1241"/>
      <c r="CS698" s="1241"/>
      <c r="CT698" s="1241"/>
      <c r="CU698" s="1241"/>
      <c r="CV698" s="1241"/>
      <c r="CW698" s="1241"/>
      <c r="CX698" s="1241"/>
      <c r="CY698" s="1241"/>
      <c r="CZ698" s="1241"/>
      <c r="DA698" s="1241"/>
      <c r="DB698" s="1241"/>
      <c r="DC698" s="1241"/>
      <c r="DD698" s="1241"/>
      <c r="DE698" s="1241"/>
      <c r="DF698" s="1241"/>
      <c r="DG698" s="1241"/>
      <c r="DH698" s="1241"/>
      <c r="DI698" s="1241"/>
      <c r="DJ698" s="1241"/>
      <c r="DK698" s="1241"/>
      <c r="DL698" s="1241"/>
      <c r="DM698" s="1241"/>
    </row>
    <row r="699" spans="1:117" s="1302" customFormat="1">
      <c r="A699" s="1241" t="s">
        <v>4286</v>
      </c>
      <c r="C699" s="1242"/>
      <c r="D699" s="1241"/>
      <c r="E699" s="1509"/>
      <c r="F699" s="1470"/>
      <c r="H699" s="1510"/>
      <c r="I699" s="1510"/>
      <c r="J699" s="1510"/>
      <c r="K699" s="1510"/>
      <c r="L699" s="1510"/>
      <c r="M699" s="1510"/>
      <c r="N699" s="1510"/>
      <c r="O699" s="1510"/>
      <c r="P699" s="1241"/>
      <c r="Q699" s="1241"/>
      <c r="R699" s="1241"/>
      <c r="S699" s="1241"/>
      <c r="T699" s="1241"/>
      <c r="U699" s="1241"/>
      <c r="V699" s="1241"/>
      <c r="W699" s="1241"/>
      <c r="X699" s="1241"/>
      <c r="Y699" s="1241"/>
      <c r="Z699" s="1241"/>
      <c r="AA699" s="1241"/>
      <c r="AB699" s="1241"/>
      <c r="AC699" s="1241"/>
      <c r="AD699" s="1241"/>
      <c r="AE699" s="1241"/>
      <c r="AF699" s="1241"/>
      <c r="AG699" s="1241"/>
      <c r="AH699" s="1241"/>
      <c r="AI699" s="1241"/>
      <c r="AJ699" s="1241"/>
      <c r="AK699" s="1241"/>
      <c r="AL699" s="1241"/>
      <c r="AM699" s="1241"/>
      <c r="AN699" s="1241"/>
      <c r="AO699" s="1241"/>
      <c r="AP699" s="1241"/>
      <c r="AQ699" s="1241"/>
      <c r="AR699" s="1241"/>
      <c r="AS699" s="1241"/>
      <c r="AT699" s="1241"/>
      <c r="AU699" s="1241"/>
      <c r="AV699" s="1241"/>
      <c r="AW699" s="1241"/>
      <c r="AX699" s="1241"/>
      <c r="AY699" s="1241"/>
      <c r="AZ699" s="1241"/>
      <c r="BA699" s="1241"/>
      <c r="BB699" s="1241"/>
      <c r="BC699" s="1241"/>
      <c r="BD699" s="1241"/>
      <c r="BE699" s="1241"/>
      <c r="BF699" s="1241"/>
      <c r="BG699" s="1241"/>
      <c r="BH699" s="1241"/>
      <c r="BI699" s="1241"/>
      <c r="BJ699" s="1241"/>
      <c r="BK699" s="1241"/>
      <c r="BL699" s="1241"/>
      <c r="BM699" s="1241"/>
      <c r="BN699" s="1241"/>
      <c r="BO699" s="1241"/>
      <c r="BP699" s="1241"/>
      <c r="BQ699" s="1241"/>
      <c r="BR699" s="1241"/>
      <c r="BS699" s="1241"/>
      <c r="BT699" s="1241"/>
      <c r="BU699" s="1241"/>
      <c r="BV699" s="1241"/>
      <c r="BW699" s="1241"/>
      <c r="BX699" s="1241"/>
      <c r="BY699" s="1241"/>
      <c r="BZ699" s="1241"/>
      <c r="CA699" s="1241"/>
      <c r="CB699" s="1241"/>
      <c r="CC699" s="1241"/>
      <c r="CD699" s="1241"/>
      <c r="CE699" s="1241"/>
      <c r="CF699" s="1241"/>
      <c r="CG699" s="1241"/>
      <c r="CH699" s="1241"/>
      <c r="CI699" s="1241"/>
      <c r="CJ699" s="1241"/>
      <c r="CK699" s="1241"/>
      <c r="CL699" s="1241"/>
      <c r="CM699" s="1241"/>
      <c r="CN699" s="1241"/>
      <c r="CO699" s="1241"/>
      <c r="CP699" s="1241"/>
      <c r="CQ699" s="1241"/>
      <c r="CR699" s="1241"/>
      <c r="CS699" s="1241"/>
      <c r="CT699" s="1241"/>
      <c r="CU699" s="1241"/>
      <c r="CV699" s="1241"/>
      <c r="CW699" s="1241"/>
      <c r="CX699" s="1241"/>
      <c r="CY699" s="1241"/>
      <c r="CZ699" s="1241"/>
      <c r="DA699" s="1241"/>
      <c r="DB699" s="1241"/>
      <c r="DC699" s="1241"/>
      <c r="DD699" s="1241"/>
      <c r="DE699" s="1241"/>
      <c r="DF699" s="1241"/>
      <c r="DG699" s="1241"/>
      <c r="DH699" s="1241"/>
      <c r="DI699" s="1241"/>
      <c r="DJ699" s="1241"/>
      <c r="DK699" s="1241"/>
      <c r="DL699" s="1241"/>
      <c r="DM699" s="1241"/>
    </row>
    <row r="700" spans="1:117" s="1302" customFormat="1">
      <c r="A700" s="1241" t="s">
        <v>4287</v>
      </c>
      <c r="C700" s="1242"/>
      <c r="D700" s="1241"/>
      <c r="E700" s="1509"/>
      <c r="F700" s="1470"/>
      <c r="H700" s="1510"/>
      <c r="I700" s="1510"/>
      <c r="J700" s="1510"/>
      <c r="K700" s="1510"/>
      <c r="L700" s="1510"/>
      <c r="M700" s="1510"/>
      <c r="N700" s="1510"/>
      <c r="O700" s="1510"/>
      <c r="P700" s="1241"/>
      <c r="Q700" s="1241"/>
      <c r="R700" s="1241"/>
      <c r="S700" s="1241"/>
      <c r="T700" s="1241"/>
      <c r="U700" s="1241"/>
      <c r="V700" s="1241"/>
      <c r="W700" s="1241"/>
      <c r="X700" s="1241"/>
      <c r="Y700" s="1241"/>
      <c r="Z700" s="1241"/>
      <c r="AA700" s="1241"/>
      <c r="AB700" s="1241"/>
      <c r="AC700" s="1241"/>
      <c r="AD700" s="1241"/>
      <c r="AE700" s="1241"/>
      <c r="AF700" s="1241"/>
      <c r="AG700" s="1241"/>
      <c r="AH700" s="1241"/>
      <c r="AI700" s="1241"/>
      <c r="AJ700" s="1241"/>
      <c r="AK700" s="1241"/>
      <c r="AL700" s="1241"/>
      <c r="AM700" s="1241"/>
      <c r="AN700" s="1241"/>
      <c r="AO700" s="1241"/>
      <c r="AP700" s="1241"/>
      <c r="AQ700" s="1241"/>
      <c r="AR700" s="1241"/>
      <c r="AS700" s="1241"/>
      <c r="AT700" s="1241"/>
      <c r="AU700" s="1241"/>
      <c r="AV700" s="1241"/>
      <c r="AW700" s="1241"/>
      <c r="AX700" s="1241"/>
      <c r="AY700" s="1241"/>
      <c r="AZ700" s="1241"/>
      <c r="BA700" s="1241"/>
      <c r="BB700" s="1241"/>
      <c r="BC700" s="1241"/>
      <c r="BD700" s="1241"/>
      <c r="BE700" s="1241"/>
      <c r="BF700" s="1241"/>
      <c r="BG700" s="1241"/>
      <c r="BH700" s="1241"/>
      <c r="BI700" s="1241"/>
      <c r="BJ700" s="1241"/>
      <c r="BK700" s="1241"/>
      <c r="BL700" s="1241"/>
      <c r="BM700" s="1241"/>
      <c r="BN700" s="1241"/>
      <c r="BO700" s="1241"/>
      <c r="BP700" s="1241"/>
      <c r="BQ700" s="1241"/>
      <c r="BR700" s="1241"/>
      <c r="BS700" s="1241"/>
      <c r="BT700" s="1241"/>
      <c r="BU700" s="1241"/>
      <c r="BV700" s="1241"/>
      <c r="BW700" s="1241"/>
      <c r="BX700" s="1241"/>
      <c r="BY700" s="1241"/>
      <c r="BZ700" s="1241"/>
      <c r="CA700" s="1241"/>
      <c r="CB700" s="1241"/>
      <c r="CC700" s="1241"/>
      <c r="CD700" s="1241"/>
      <c r="CE700" s="1241"/>
      <c r="CF700" s="1241"/>
      <c r="CG700" s="1241"/>
      <c r="CH700" s="1241"/>
      <c r="CI700" s="1241"/>
      <c r="CJ700" s="1241"/>
      <c r="CK700" s="1241"/>
      <c r="CL700" s="1241"/>
      <c r="CM700" s="1241"/>
      <c r="CN700" s="1241"/>
      <c r="CO700" s="1241"/>
      <c r="CP700" s="1241"/>
      <c r="CQ700" s="1241"/>
      <c r="CR700" s="1241"/>
      <c r="CS700" s="1241"/>
      <c r="CT700" s="1241"/>
      <c r="CU700" s="1241"/>
      <c r="CV700" s="1241"/>
      <c r="CW700" s="1241"/>
      <c r="CX700" s="1241"/>
      <c r="CY700" s="1241"/>
      <c r="CZ700" s="1241"/>
      <c r="DA700" s="1241"/>
      <c r="DB700" s="1241"/>
      <c r="DC700" s="1241"/>
      <c r="DD700" s="1241"/>
      <c r="DE700" s="1241"/>
      <c r="DF700" s="1241"/>
      <c r="DG700" s="1241"/>
      <c r="DH700" s="1241"/>
      <c r="DI700" s="1241"/>
      <c r="DJ700" s="1241"/>
      <c r="DK700" s="1241"/>
      <c r="DL700" s="1241"/>
      <c r="DM700" s="1241"/>
    </row>
    <row r="701" spans="1:117" s="1302" customFormat="1">
      <c r="A701" s="1241"/>
      <c r="C701" s="1242"/>
      <c r="D701" s="1241"/>
      <c r="E701" s="1509"/>
      <c r="F701" s="1470"/>
      <c r="H701" s="1510"/>
      <c r="I701" s="1510"/>
      <c r="J701" s="1510"/>
      <c r="K701" s="1510"/>
      <c r="L701" s="1510"/>
      <c r="M701" s="1510"/>
      <c r="N701" s="1510"/>
      <c r="O701" s="1510"/>
      <c r="P701" s="1241"/>
      <c r="Q701" s="1241"/>
      <c r="R701" s="1241"/>
      <c r="S701" s="1241"/>
      <c r="T701" s="1241"/>
      <c r="U701" s="1241"/>
      <c r="V701" s="1241"/>
      <c r="W701" s="1241"/>
      <c r="X701" s="1241"/>
      <c r="Y701" s="1241"/>
      <c r="Z701" s="1241"/>
      <c r="AA701" s="1241"/>
      <c r="AB701" s="1241"/>
      <c r="AC701" s="1241"/>
      <c r="AD701" s="1241"/>
      <c r="AE701" s="1241"/>
      <c r="AF701" s="1241"/>
      <c r="AG701" s="1241"/>
      <c r="AH701" s="1241"/>
      <c r="AI701" s="1241"/>
      <c r="AJ701" s="1241"/>
      <c r="AK701" s="1241"/>
      <c r="AL701" s="1241"/>
      <c r="AM701" s="1241"/>
      <c r="AN701" s="1241"/>
      <c r="AO701" s="1241"/>
      <c r="AP701" s="1241"/>
      <c r="AQ701" s="1241"/>
      <c r="AR701" s="1241"/>
      <c r="AS701" s="1241"/>
      <c r="AT701" s="1241"/>
      <c r="AU701" s="1241"/>
      <c r="AV701" s="1241"/>
      <c r="AW701" s="1241"/>
      <c r="AX701" s="1241"/>
      <c r="AY701" s="1241"/>
      <c r="AZ701" s="1241"/>
      <c r="BA701" s="1241"/>
      <c r="BB701" s="1241"/>
      <c r="BC701" s="1241"/>
      <c r="BD701" s="1241"/>
      <c r="BE701" s="1241"/>
      <c r="BF701" s="1241"/>
      <c r="BG701" s="1241"/>
      <c r="BH701" s="1241"/>
      <c r="BI701" s="1241"/>
      <c r="BJ701" s="1241"/>
      <c r="BK701" s="1241"/>
      <c r="BL701" s="1241"/>
      <c r="BM701" s="1241"/>
      <c r="BN701" s="1241"/>
      <c r="BO701" s="1241"/>
      <c r="BP701" s="1241"/>
      <c r="BQ701" s="1241"/>
      <c r="BR701" s="1241"/>
      <c r="BS701" s="1241"/>
      <c r="BT701" s="1241"/>
      <c r="BU701" s="1241"/>
      <c r="BV701" s="1241"/>
      <c r="BW701" s="1241"/>
      <c r="BX701" s="1241"/>
      <c r="BY701" s="1241"/>
      <c r="BZ701" s="1241"/>
      <c r="CA701" s="1241"/>
      <c r="CB701" s="1241"/>
      <c r="CC701" s="1241"/>
      <c r="CD701" s="1241"/>
      <c r="CE701" s="1241"/>
      <c r="CF701" s="1241"/>
      <c r="CG701" s="1241"/>
      <c r="CH701" s="1241"/>
      <c r="CI701" s="1241"/>
      <c r="CJ701" s="1241"/>
      <c r="CK701" s="1241"/>
      <c r="CL701" s="1241"/>
      <c r="CM701" s="1241"/>
      <c r="CN701" s="1241"/>
      <c r="CO701" s="1241"/>
      <c r="CP701" s="1241"/>
      <c r="CQ701" s="1241"/>
      <c r="CR701" s="1241"/>
      <c r="CS701" s="1241"/>
      <c r="CT701" s="1241"/>
      <c r="CU701" s="1241"/>
      <c r="CV701" s="1241"/>
      <c r="CW701" s="1241"/>
      <c r="CX701" s="1241"/>
      <c r="CY701" s="1241"/>
      <c r="CZ701" s="1241"/>
      <c r="DA701" s="1241"/>
      <c r="DB701" s="1241"/>
      <c r="DC701" s="1241"/>
      <c r="DD701" s="1241"/>
      <c r="DE701" s="1241"/>
      <c r="DF701" s="1241"/>
      <c r="DG701" s="1241"/>
      <c r="DH701" s="1241"/>
      <c r="DI701" s="1241"/>
      <c r="DJ701" s="1241"/>
      <c r="DK701" s="1241"/>
      <c r="DL701" s="1241"/>
      <c r="DM701" s="1241"/>
    </row>
    <row r="702" spans="1:117" s="1302" customFormat="1">
      <c r="A702" s="1241"/>
      <c r="B702" s="1508"/>
      <c r="C702" s="1241"/>
      <c r="D702" s="1241"/>
      <c r="E702" s="1509"/>
      <c r="F702" s="1470"/>
      <c r="G702" s="1471"/>
      <c r="H702" s="1471"/>
      <c r="I702" s="1471"/>
      <c r="J702" s="1471"/>
      <c r="K702" s="1471"/>
      <c r="L702" s="1471"/>
      <c r="M702" s="1471"/>
      <c r="N702" s="1471"/>
      <c r="O702" s="1471"/>
      <c r="P702" s="1241"/>
      <c r="Q702" s="1241"/>
      <c r="R702" s="1241"/>
      <c r="S702" s="1241"/>
      <c r="T702" s="1241"/>
      <c r="U702" s="1241"/>
      <c r="V702" s="1241"/>
      <c r="W702" s="1241"/>
      <c r="X702" s="1241"/>
      <c r="Y702" s="1241"/>
      <c r="Z702" s="1241"/>
      <c r="AA702" s="1241"/>
      <c r="AB702" s="1241"/>
      <c r="AC702" s="1241"/>
      <c r="AD702" s="1241"/>
      <c r="AE702" s="1241"/>
      <c r="AF702" s="1241"/>
      <c r="AG702" s="1241"/>
      <c r="AH702" s="1241"/>
      <c r="AI702" s="1241"/>
      <c r="AJ702" s="1241"/>
      <c r="AK702" s="1241"/>
      <c r="AL702" s="1241"/>
      <c r="AM702" s="1241"/>
      <c r="AN702" s="1241"/>
      <c r="AO702" s="1241"/>
      <c r="AP702" s="1241"/>
      <c r="AQ702" s="1241"/>
      <c r="AR702" s="1241"/>
      <c r="AS702" s="1241"/>
      <c r="AT702" s="1241"/>
      <c r="AU702" s="1241"/>
      <c r="AV702" s="1241"/>
      <c r="AW702" s="1241"/>
      <c r="AX702" s="1241"/>
      <c r="AY702" s="1241"/>
      <c r="AZ702" s="1241"/>
      <c r="BA702" s="1241"/>
      <c r="BB702" s="1241"/>
      <c r="BC702" s="1241"/>
      <c r="BD702" s="1241"/>
      <c r="BE702" s="1241"/>
      <c r="BF702" s="1241"/>
      <c r="BG702" s="1241"/>
      <c r="BH702" s="1241"/>
      <c r="BI702" s="1241"/>
      <c r="BJ702" s="1241"/>
      <c r="BK702" s="1241"/>
      <c r="BL702" s="1241"/>
      <c r="BM702" s="1241"/>
      <c r="BN702" s="1241"/>
      <c r="BO702" s="1241"/>
      <c r="BP702" s="1241"/>
      <c r="BQ702" s="1241"/>
      <c r="BR702" s="1241"/>
      <c r="BS702" s="1241"/>
      <c r="BT702" s="1241"/>
      <c r="BU702" s="1241"/>
      <c r="BV702" s="1241"/>
      <c r="BW702" s="1241"/>
      <c r="BX702" s="1241"/>
      <c r="BY702" s="1241"/>
      <c r="BZ702" s="1241"/>
      <c r="CA702" s="1241"/>
      <c r="CB702" s="1241"/>
      <c r="CC702" s="1241"/>
      <c r="CD702" s="1241"/>
      <c r="CE702" s="1241"/>
      <c r="CF702" s="1241"/>
      <c r="CG702" s="1241"/>
      <c r="CH702" s="1241"/>
      <c r="CI702" s="1241"/>
      <c r="CJ702" s="1241"/>
      <c r="CK702" s="1241"/>
      <c r="CL702" s="1241"/>
      <c r="CM702" s="1241"/>
      <c r="CN702" s="1241"/>
      <c r="CO702" s="1241"/>
      <c r="CP702" s="1241"/>
      <c r="CQ702" s="1241"/>
      <c r="CR702" s="1241"/>
      <c r="CS702" s="1241"/>
      <c r="CT702" s="1241"/>
      <c r="CU702" s="1241"/>
      <c r="CV702" s="1241"/>
      <c r="CW702" s="1241"/>
      <c r="CX702" s="1241"/>
      <c r="CY702" s="1241"/>
      <c r="CZ702" s="1241"/>
      <c r="DA702" s="1241"/>
      <c r="DB702" s="1241"/>
      <c r="DC702" s="1241"/>
      <c r="DD702" s="1241"/>
      <c r="DE702" s="1241"/>
      <c r="DF702" s="1241"/>
      <c r="DG702" s="1241"/>
      <c r="DH702" s="1241"/>
      <c r="DI702" s="1241"/>
      <c r="DJ702" s="1241"/>
      <c r="DK702" s="1241"/>
      <c r="DL702" s="1241"/>
      <c r="DM702" s="1241"/>
    </row>
    <row r="703" spans="1:117" s="1302" customFormat="1" ht="15">
      <c r="A703" s="1511" t="s">
        <v>4288</v>
      </c>
      <c r="E703" s="1242" t="s">
        <v>4289</v>
      </c>
      <c r="F703" s="1242" t="s">
        <v>4290</v>
      </c>
      <c r="G703" s="1242" t="s">
        <v>4291</v>
      </c>
      <c r="H703" s="1512"/>
      <c r="I703" s="1471"/>
      <c r="J703" s="1471" t="s">
        <v>3912</v>
      </c>
      <c r="K703" s="1471" t="s">
        <v>524</v>
      </c>
      <c r="L703" s="1473" t="s">
        <v>4292</v>
      </c>
      <c r="M703" s="1513">
        <v>760000000</v>
      </c>
      <c r="N703" s="1471" t="s">
        <v>4293</v>
      </c>
      <c r="O703" s="1471"/>
      <c r="P703" s="1241"/>
      <c r="Q703" s="1241"/>
      <c r="R703" s="1241"/>
      <c r="S703" s="1241"/>
      <c r="T703" s="1241"/>
      <c r="U703" s="1241"/>
      <c r="V703" s="1241"/>
      <c r="W703" s="1241"/>
      <c r="X703" s="1241"/>
      <c r="Y703" s="1241"/>
      <c r="Z703" s="1241"/>
      <c r="AA703" s="1241"/>
      <c r="AB703" s="1241"/>
      <c r="AC703" s="1241"/>
      <c r="AD703" s="1241"/>
      <c r="AE703" s="1241"/>
      <c r="AF703" s="1241"/>
      <c r="AG703" s="1241"/>
      <c r="AH703" s="1241"/>
      <c r="AI703" s="1241"/>
      <c r="AJ703" s="1241"/>
      <c r="AK703" s="1241"/>
      <c r="AL703" s="1241"/>
      <c r="AM703" s="1241"/>
      <c r="AN703" s="1241"/>
      <c r="AO703" s="1241"/>
      <c r="AP703" s="1241"/>
      <c r="AQ703" s="1241"/>
      <c r="AR703" s="1241"/>
      <c r="AS703" s="1241"/>
      <c r="AT703" s="1241"/>
      <c r="AU703" s="1241"/>
      <c r="AV703" s="1241"/>
      <c r="AW703" s="1241"/>
      <c r="AX703" s="1241"/>
      <c r="AY703" s="1241"/>
      <c r="AZ703" s="1241"/>
      <c r="BA703" s="1241"/>
      <c r="BB703" s="1241"/>
      <c r="BC703" s="1241"/>
      <c r="BD703" s="1241"/>
      <c r="BE703" s="1241"/>
      <c r="BF703" s="1241"/>
      <c r="BG703" s="1241"/>
      <c r="BH703" s="1241"/>
      <c r="BI703" s="1241"/>
      <c r="BJ703" s="1241"/>
      <c r="BK703" s="1241"/>
      <c r="BL703" s="1241"/>
      <c r="BM703" s="1241"/>
      <c r="BN703" s="1241"/>
      <c r="BO703" s="1241"/>
      <c r="BP703" s="1241"/>
      <c r="BQ703" s="1241"/>
      <c r="BR703" s="1241"/>
      <c r="BS703" s="1241"/>
      <c r="BT703" s="1241"/>
      <c r="BU703" s="1241"/>
      <c r="BV703" s="1241"/>
      <c r="BW703" s="1241"/>
      <c r="BX703" s="1241"/>
      <c r="BY703" s="1241"/>
      <c r="BZ703" s="1241"/>
      <c r="CA703" s="1241"/>
      <c r="CB703" s="1241"/>
      <c r="CC703" s="1241"/>
      <c r="CD703" s="1241"/>
      <c r="CE703" s="1241"/>
      <c r="CF703" s="1241"/>
      <c r="CG703" s="1241"/>
      <c r="CH703" s="1241"/>
      <c r="CI703" s="1241"/>
      <c r="CJ703" s="1241"/>
      <c r="CK703" s="1241"/>
      <c r="CL703" s="1241"/>
      <c r="CM703" s="1241"/>
      <c r="CN703" s="1241"/>
      <c r="CO703" s="1241"/>
      <c r="CP703" s="1241"/>
      <c r="CQ703" s="1241"/>
      <c r="CR703" s="1241"/>
      <c r="CS703" s="1241"/>
      <c r="CT703" s="1241"/>
      <c r="CU703" s="1241"/>
      <c r="CV703" s="1241"/>
      <c r="CW703" s="1241"/>
      <c r="CX703" s="1241"/>
      <c r="CY703" s="1241"/>
      <c r="CZ703" s="1241"/>
      <c r="DA703" s="1241"/>
      <c r="DB703" s="1241"/>
      <c r="DC703" s="1241"/>
      <c r="DD703" s="1241"/>
      <c r="DE703" s="1241"/>
      <c r="DF703" s="1241"/>
      <c r="DG703" s="1241"/>
      <c r="DH703" s="1241"/>
      <c r="DI703" s="1241"/>
      <c r="DJ703" s="1241"/>
      <c r="DK703" s="1241"/>
      <c r="DL703" s="1241"/>
      <c r="DM703" s="1241"/>
    </row>
    <row r="704" spans="1:117" s="1302" customFormat="1">
      <c r="B704" s="1241" t="s">
        <v>122</v>
      </c>
      <c r="C704" s="1508" t="s">
        <v>4294</v>
      </c>
      <c r="E704" s="1514">
        <v>1.5885</v>
      </c>
      <c r="F704" s="1514">
        <v>0.95330000000000004</v>
      </c>
      <c r="G704" s="1514">
        <v>2.5344000000000002</v>
      </c>
      <c r="H704" s="1515"/>
      <c r="I704" s="1516"/>
      <c r="J704" s="1516">
        <v>3.0871066768994626</v>
      </c>
      <c r="K704" s="1516">
        <v>2.7320000000000002</v>
      </c>
      <c r="L704" s="1517" t="s">
        <v>4295</v>
      </c>
      <c r="M704" s="1516">
        <v>0.96153846153846145</v>
      </c>
      <c r="N704" s="1516" t="s">
        <v>4296</v>
      </c>
      <c r="O704" s="1516"/>
      <c r="P704" s="1241"/>
      <c r="Q704" s="1241"/>
      <c r="R704" s="1241"/>
      <c r="S704" s="1241"/>
      <c r="T704" s="1241"/>
      <c r="U704" s="1241"/>
      <c r="V704" s="1241"/>
      <c r="W704" s="1241"/>
      <c r="X704" s="1241"/>
      <c r="Y704" s="1241"/>
      <c r="Z704" s="1241"/>
      <c r="AA704" s="1241"/>
      <c r="AB704" s="1241"/>
      <c r="AC704" s="1241"/>
      <c r="AD704" s="1241"/>
      <c r="AE704" s="1241"/>
      <c r="AF704" s="1241"/>
      <c r="AG704" s="1241"/>
      <c r="AH704" s="1241"/>
      <c r="AI704" s="1241"/>
      <c r="AJ704" s="1241"/>
      <c r="AK704" s="1241"/>
      <c r="AL704" s="1241"/>
      <c r="AM704" s="1241"/>
      <c r="AN704" s="1241"/>
      <c r="AO704" s="1241"/>
      <c r="AP704" s="1241"/>
      <c r="AQ704" s="1241"/>
      <c r="AR704" s="1241"/>
      <c r="AS704" s="1241"/>
      <c r="AT704" s="1241"/>
      <c r="AU704" s="1241"/>
      <c r="AV704" s="1241"/>
      <c r="AW704" s="1241"/>
      <c r="AX704" s="1241"/>
      <c r="AY704" s="1241"/>
      <c r="AZ704" s="1241"/>
      <c r="BA704" s="1241"/>
      <c r="BB704" s="1241"/>
      <c r="BC704" s="1241"/>
      <c r="BD704" s="1241"/>
      <c r="BE704" s="1241"/>
      <c r="BF704" s="1241"/>
      <c r="BG704" s="1241"/>
      <c r="BH704" s="1241"/>
      <c r="BI704" s="1241"/>
      <c r="BJ704" s="1241"/>
      <c r="BK704" s="1241"/>
      <c r="BL704" s="1241"/>
      <c r="BM704" s="1241"/>
      <c r="BN704" s="1241"/>
      <c r="BO704" s="1241"/>
      <c r="BP704" s="1241"/>
      <c r="BQ704" s="1241"/>
      <c r="BR704" s="1241"/>
      <c r="BS704" s="1241"/>
      <c r="BT704" s="1241"/>
      <c r="BU704" s="1241"/>
      <c r="BV704" s="1241"/>
      <c r="BW704" s="1241"/>
      <c r="BX704" s="1241"/>
      <c r="BY704" s="1241"/>
      <c r="BZ704" s="1241"/>
      <c r="CA704" s="1241"/>
      <c r="CB704" s="1241"/>
      <c r="CC704" s="1241"/>
      <c r="CD704" s="1241"/>
      <c r="CE704" s="1241"/>
      <c r="CF704" s="1241"/>
      <c r="CG704" s="1241"/>
      <c r="CH704" s="1241"/>
      <c r="CI704" s="1241"/>
      <c r="CJ704" s="1241"/>
      <c r="CK704" s="1241"/>
      <c r="CL704" s="1241"/>
      <c r="CM704" s="1241"/>
      <c r="CN704" s="1241"/>
      <c r="CO704" s="1241"/>
      <c r="CP704" s="1241"/>
      <c r="CQ704" s="1241"/>
      <c r="CR704" s="1241"/>
      <c r="CS704" s="1241"/>
      <c r="CT704" s="1241"/>
      <c r="CU704" s="1241"/>
      <c r="CV704" s="1241"/>
      <c r="CW704" s="1241"/>
      <c r="CX704" s="1241"/>
      <c r="CY704" s="1241"/>
      <c r="CZ704" s="1241"/>
      <c r="DA704" s="1241"/>
      <c r="DB704" s="1241"/>
      <c r="DC704" s="1241"/>
      <c r="DD704" s="1241"/>
      <c r="DE704" s="1241"/>
      <c r="DF704" s="1241"/>
      <c r="DG704" s="1241"/>
      <c r="DH704" s="1241"/>
      <c r="DI704" s="1241"/>
      <c r="DJ704" s="1241"/>
      <c r="DK704" s="1241"/>
      <c r="DL704" s="1241"/>
      <c r="DM704" s="1241"/>
    </row>
    <row r="705" spans="1:117" s="1302" customFormat="1">
      <c r="B705" s="1241" t="s">
        <v>4297</v>
      </c>
      <c r="C705" s="1508" t="s">
        <v>4294</v>
      </c>
      <c r="E705" s="1514">
        <v>0</v>
      </c>
      <c r="F705" s="1514">
        <v>0</v>
      </c>
      <c r="G705" s="1514">
        <v>0</v>
      </c>
      <c r="H705" s="1515"/>
      <c r="I705" s="1516"/>
      <c r="J705" s="1323">
        <v>4.0400000000000001E-4</v>
      </c>
      <c r="K705" s="1323">
        <v>2.4000000000000001E-4</v>
      </c>
      <c r="L705" s="1516"/>
      <c r="M705" s="1516"/>
      <c r="N705" s="1516"/>
      <c r="O705" s="1516"/>
      <c r="P705" s="1241"/>
      <c r="Q705" s="1241"/>
      <c r="R705" s="1241"/>
      <c r="S705" s="1241"/>
      <c r="T705" s="1241"/>
      <c r="U705" s="1241"/>
      <c r="V705" s="1241"/>
      <c r="W705" s="1241"/>
      <c r="X705" s="1241"/>
      <c r="Y705" s="1241"/>
      <c r="Z705" s="1241"/>
      <c r="AA705" s="1241"/>
      <c r="AB705" s="1241"/>
      <c r="AC705" s="1241"/>
      <c r="AD705" s="1241"/>
      <c r="AE705" s="1241"/>
      <c r="AF705" s="1241"/>
      <c r="AG705" s="1241"/>
      <c r="AH705" s="1241"/>
      <c r="AI705" s="1241"/>
      <c r="AJ705" s="1241"/>
      <c r="AK705" s="1241"/>
      <c r="AL705" s="1241"/>
      <c r="AM705" s="1241"/>
      <c r="AN705" s="1241"/>
      <c r="AO705" s="1241"/>
      <c r="AP705" s="1241"/>
      <c r="AQ705" s="1241"/>
      <c r="AR705" s="1241"/>
      <c r="AS705" s="1241"/>
      <c r="AT705" s="1241"/>
      <c r="AU705" s="1241"/>
      <c r="AV705" s="1241"/>
      <c r="AW705" s="1241"/>
      <c r="AX705" s="1241"/>
      <c r="AY705" s="1241"/>
      <c r="AZ705" s="1241"/>
      <c r="BA705" s="1241"/>
      <c r="BB705" s="1241"/>
      <c r="BC705" s="1241"/>
      <c r="BD705" s="1241"/>
      <c r="BE705" s="1241"/>
      <c r="BF705" s="1241"/>
      <c r="BG705" s="1241"/>
      <c r="BH705" s="1241"/>
      <c r="BI705" s="1241"/>
      <c r="BJ705" s="1241"/>
      <c r="BK705" s="1241"/>
      <c r="BL705" s="1241"/>
      <c r="BM705" s="1241"/>
      <c r="BN705" s="1241"/>
      <c r="BO705" s="1241"/>
      <c r="BP705" s="1241"/>
      <c r="BQ705" s="1241"/>
      <c r="BR705" s="1241"/>
      <c r="BS705" s="1241"/>
      <c r="BT705" s="1241"/>
      <c r="BU705" s="1241"/>
      <c r="BV705" s="1241"/>
      <c r="BW705" s="1241"/>
      <c r="BX705" s="1241"/>
      <c r="BY705" s="1241"/>
      <c r="BZ705" s="1241"/>
      <c r="CA705" s="1241"/>
      <c r="CB705" s="1241"/>
      <c r="CC705" s="1241"/>
      <c r="CD705" s="1241"/>
      <c r="CE705" s="1241"/>
      <c r="CF705" s="1241"/>
      <c r="CG705" s="1241"/>
      <c r="CH705" s="1241"/>
      <c r="CI705" s="1241"/>
      <c r="CJ705" s="1241"/>
      <c r="CK705" s="1241"/>
      <c r="CL705" s="1241"/>
      <c r="CM705" s="1241"/>
      <c r="CN705" s="1241"/>
      <c r="CO705" s="1241"/>
      <c r="CP705" s="1241"/>
      <c r="CQ705" s="1241"/>
      <c r="CR705" s="1241"/>
      <c r="CS705" s="1241"/>
      <c r="CT705" s="1241"/>
      <c r="CU705" s="1241"/>
      <c r="CV705" s="1241"/>
      <c r="CW705" s="1241"/>
      <c r="CX705" s="1241"/>
      <c r="CY705" s="1241"/>
      <c r="CZ705" s="1241"/>
      <c r="DA705" s="1241"/>
      <c r="DB705" s="1241"/>
      <c r="DC705" s="1241"/>
      <c r="DD705" s="1241"/>
      <c r="DE705" s="1241"/>
      <c r="DF705" s="1241"/>
      <c r="DG705" s="1241"/>
      <c r="DH705" s="1241"/>
      <c r="DI705" s="1241"/>
      <c r="DJ705" s="1241"/>
      <c r="DK705" s="1241"/>
      <c r="DL705" s="1241"/>
      <c r="DM705" s="1241"/>
    </row>
    <row r="706" spans="1:117" s="1302" customFormat="1">
      <c r="B706" s="1241" t="s">
        <v>4298</v>
      </c>
      <c r="C706" s="1508" t="s">
        <v>4294</v>
      </c>
      <c r="E706" s="1514">
        <v>2.9999999999999997E-5</v>
      </c>
      <c r="F706" s="1514">
        <v>0</v>
      </c>
      <c r="G706" s="1514">
        <v>0</v>
      </c>
      <c r="H706" s="1515"/>
      <c r="I706" s="1516"/>
      <c r="J706" s="1516">
        <v>8.0000000000000007E-5</v>
      </c>
      <c r="K706" s="1323">
        <v>3.0000000000000001E-6</v>
      </c>
      <c r="L706" s="1518" t="s">
        <v>4299</v>
      </c>
      <c r="M706" s="1516"/>
      <c r="N706" s="1516"/>
      <c r="O706" s="1516"/>
      <c r="P706" s="1241"/>
      <c r="Q706" s="1241"/>
      <c r="R706" s="1241"/>
      <c r="S706" s="1241"/>
      <c r="T706" s="1241"/>
      <c r="U706" s="1241"/>
      <c r="V706" s="1241"/>
      <c r="W706" s="1241"/>
      <c r="X706" s="1241"/>
      <c r="Y706" s="1241"/>
      <c r="Z706" s="1241"/>
      <c r="AA706" s="1241"/>
      <c r="AB706" s="1241"/>
      <c r="AC706" s="1241"/>
      <c r="AD706" s="1241"/>
      <c r="AE706" s="1241"/>
      <c r="AF706" s="1241"/>
      <c r="AG706" s="1241"/>
      <c r="AH706" s="1241"/>
      <c r="AI706" s="1241"/>
      <c r="AJ706" s="1241"/>
      <c r="AK706" s="1241"/>
      <c r="AL706" s="1241"/>
      <c r="AM706" s="1241"/>
      <c r="AN706" s="1241"/>
      <c r="AO706" s="1241"/>
      <c r="AP706" s="1241"/>
      <c r="AQ706" s="1241"/>
      <c r="AR706" s="1241"/>
      <c r="AS706" s="1241"/>
      <c r="AT706" s="1241"/>
      <c r="AU706" s="1241"/>
      <c r="AV706" s="1241"/>
      <c r="AW706" s="1241"/>
      <c r="AX706" s="1241"/>
      <c r="AY706" s="1241"/>
      <c r="AZ706" s="1241"/>
      <c r="BA706" s="1241"/>
      <c r="BB706" s="1241"/>
      <c r="BC706" s="1241"/>
      <c r="BD706" s="1241"/>
      <c r="BE706" s="1241"/>
      <c r="BF706" s="1241"/>
      <c r="BG706" s="1241"/>
      <c r="BH706" s="1241"/>
      <c r="BI706" s="1241"/>
      <c r="BJ706" s="1241"/>
      <c r="BK706" s="1241"/>
      <c r="BL706" s="1241"/>
      <c r="BM706" s="1241"/>
      <c r="BN706" s="1241"/>
      <c r="BO706" s="1241"/>
      <c r="BP706" s="1241"/>
      <c r="BQ706" s="1241"/>
      <c r="BR706" s="1241"/>
      <c r="BS706" s="1241"/>
      <c r="BT706" s="1241"/>
      <c r="BU706" s="1241"/>
      <c r="BV706" s="1241"/>
      <c r="BW706" s="1241"/>
      <c r="BX706" s="1241"/>
      <c r="BY706" s="1241"/>
      <c r="BZ706" s="1241"/>
      <c r="CA706" s="1241"/>
      <c r="CB706" s="1241"/>
      <c r="CC706" s="1241"/>
      <c r="CD706" s="1241"/>
      <c r="CE706" s="1241"/>
      <c r="CF706" s="1241"/>
      <c r="CG706" s="1241"/>
      <c r="CH706" s="1241"/>
      <c r="CI706" s="1241"/>
      <c r="CJ706" s="1241"/>
      <c r="CK706" s="1241"/>
      <c r="CL706" s="1241"/>
      <c r="CM706" s="1241"/>
      <c r="CN706" s="1241"/>
      <c r="CO706" s="1241"/>
      <c r="CP706" s="1241"/>
      <c r="CQ706" s="1241"/>
      <c r="CR706" s="1241"/>
      <c r="CS706" s="1241"/>
      <c r="CT706" s="1241"/>
      <c r="CU706" s="1241"/>
      <c r="CV706" s="1241"/>
      <c r="CW706" s="1241"/>
      <c r="CX706" s="1241"/>
      <c r="CY706" s="1241"/>
      <c r="CZ706" s="1241"/>
      <c r="DA706" s="1241"/>
      <c r="DB706" s="1241"/>
      <c r="DC706" s="1241"/>
      <c r="DD706" s="1241"/>
      <c r="DE706" s="1241"/>
      <c r="DF706" s="1241"/>
      <c r="DG706" s="1241"/>
      <c r="DH706" s="1241"/>
      <c r="DI706" s="1241"/>
      <c r="DJ706" s="1241"/>
      <c r="DK706" s="1241"/>
      <c r="DL706" s="1241"/>
      <c r="DM706" s="1241"/>
    </row>
    <row r="707" spans="1:117" s="1302" customFormat="1">
      <c r="B707" s="1241" t="s">
        <v>4300</v>
      </c>
      <c r="C707" s="1508" t="s">
        <v>4294</v>
      </c>
      <c r="E707" s="1514">
        <v>1.8499999999999999E-2</v>
      </c>
      <c r="F707" s="1514">
        <v>3.8E-3</v>
      </c>
      <c r="G707" s="1514">
        <v>2.92E-2</v>
      </c>
      <c r="H707" s="1515"/>
      <c r="I707" s="1516"/>
      <c r="J707" s="1516">
        <v>1.7399999999999999E-2</v>
      </c>
      <c r="K707" s="1516">
        <v>1.77E-2</v>
      </c>
      <c r="L707" s="1516"/>
      <c r="M707" s="1516"/>
      <c r="N707" s="1516"/>
      <c r="O707" s="1516"/>
      <c r="P707" s="1241"/>
      <c r="Q707" s="1241"/>
      <c r="R707" s="1241"/>
      <c r="S707" s="1241"/>
      <c r="T707" s="1241"/>
      <c r="U707" s="1241"/>
      <c r="V707" s="1241"/>
      <c r="W707" s="1241"/>
      <c r="X707" s="1241"/>
      <c r="Y707" s="1241"/>
      <c r="Z707" s="1241"/>
      <c r="AA707" s="1241"/>
      <c r="AB707" s="1241"/>
      <c r="AC707" s="1241"/>
      <c r="AD707" s="1241"/>
      <c r="AE707" s="1241"/>
      <c r="AF707" s="1241"/>
      <c r="AG707" s="1241"/>
      <c r="AH707" s="1241"/>
      <c r="AI707" s="1241"/>
      <c r="AJ707" s="1241"/>
      <c r="AK707" s="1241"/>
      <c r="AL707" s="1241"/>
      <c r="AM707" s="1241"/>
      <c r="AN707" s="1241"/>
      <c r="AO707" s="1241"/>
      <c r="AP707" s="1241"/>
      <c r="AQ707" s="1241"/>
      <c r="AR707" s="1241"/>
      <c r="AS707" s="1241"/>
      <c r="AT707" s="1241"/>
      <c r="AU707" s="1241"/>
      <c r="AV707" s="1241"/>
      <c r="AW707" s="1241"/>
      <c r="AX707" s="1241"/>
      <c r="AY707" s="1241"/>
      <c r="AZ707" s="1241"/>
      <c r="BA707" s="1241"/>
      <c r="BB707" s="1241"/>
      <c r="BC707" s="1241"/>
      <c r="BD707" s="1241"/>
      <c r="BE707" s="1241"/>
      <c r="BF707" s="1241"/>
      <c r="BG707" s="1241"/>
      <c r="BH707" s="1241"/>
      <c r="BI707" s="1241"/>
      <c r="BJ707" s="1241"/>
      <c r="BK707" s="1241"/>
      <c r="BL707" s="1241"/>
      <c r="BM707" s="1241"/>
      <c r="BN707" s="1241"/>
      <c r="BO707" s="1241"/>
      <c r="BP707" s="1241"/>
      <c r="BQ707" s="1241"/>
      <c r="BR707" s="1241"/>
      <c r="BS707" s="1241"/>
      <c r="BT707" s="1241"/>
      <c r="BU707" s="1241"/>
      <c r="BV707" s="1241"/>
      <c r="BW707" s="1241"/>
      <c r="BX707" s="1241"/>
      <c r="BY707" s="1241"/>
      <c r="BZ707" s="1241"/>
      <c r="CA707" s="1241"/>
      <c r="CB707" s="1241"/>
      <c r="CC707" s="1241"/>
      <c r="CD707" s="1241"/>
      <c r="CE707" s="1241"/>
      <c r="CF707" s="1241"/>
      <c r="CG707" s="1241"/>
      <c r="CH707" s="1241"/>
      <c r="CI707" s="1241"/>
      <c r="CJ707" s="1241"/>
      <c r="CK707" s="1241"/>
      <c r="CL707" s="1241"/>
      <c r="CM707" s="1241"/>
      <c r="CN707" s="1241"/>
      <c r="CO707" s="1241"/>
      <c r="CP707" s="1241"/>
      <c r="CQ707" s="1241"/>
      <c r="CR707" s="1241"/>
      <c r="CS707" s="1241"/>
      <c r="CT707" s="1241"/>
      <c r="CU707" s="1241"/>
      <c r="CV707" s="1241"/>
      <c r="CW707" s="1241"/>
      <c r="CX707" s="1241"/>
      <c r="CY707" s="1241"/>
      <c r="CZ707" s="1241"/>
      <c r="DA707" s="1241"/>
      <c r="DB707" s="1241"/>
      <c r="DC707" s="1241"/>
      <c r="DD707" s="1241"/>
      <c r="DE707" s="1241"/>
      <c r="DF707" s="1241"/>
      <c r="DG707" s="1241"/>
      <c r="DH707" s="1241"/>
      <c r="DI707" s="1241"/>
      <c r="DJ707" s="1241"/>
      <c r="DK707" s="1241"/>
      <c r="DL707" s="1241"/>
      <c r="DM707" s="1241"/>
    </row>
    <row r="708" spans="1:117" s="1302" customFormat="1">
      <c r="A708" s="1241"/>
      <c r="B708" s="1508"/>
      <c r="C708" s="1241"/>
      <c r="D708" s="1241"/>
      <c r="E708" s="1509"/>
      <c r="F708" s="1470"/>
      <c r="G708" s="1471"/>
      <c r="H708" s="1471"/>
      <c r="I708" s="1471"/>
      <c r="J708" s="1471"/>
      <c r="K708" s="1471"/>
      <c r="L708" s="1471"/>
      <c r="M708" s="1471"/>
      <c r="N708" s="1471"/>
      <c r="O708" s="1471"/>
      <c r="P708" s="1241"/>
      <c r="Q708" s="1241"/>
      <c r="R708" s="1241"/>
      <c r="S708" s="1241"/>
      <c r="T708" s="1241"/>
      <c r="U708" s="1241"/>
      <c r="V708" s="1241"/>
      <c r="W708" s="1241"/>
      <c r="X708" s="1241"/>
      <c r="Y708" s="1241"/>
      <c r="Z708" s="1241"/>
      <c r="AA708" s="1241"/>
      <c r="AB708" s="1241"/>
      <c r="AC708" s="1241"/>
      <c r="AD708" s="1241"/>
      <c r="AE708" s="1241"/>
      <c r="AF708" s="1241"/>
      <c r="AG708" s="1241"/>
      <c r="AH708" s="1241"/>
      <c r="AI708" s="1241"/>
      <c r="AJ708" s="1241"/>
      <c r="AK708" s="1241"/>
      <c r="AL708" s="1241"/>
      <c r="AM708" s="1241"/>
      <c r="AN708" s="1241"/>
      <c r="AO708" s="1241"/>
      <c r="AP708" s="1241"/>
      <c r="AQ708" s="1241"/>
      <c r="AR708" s="1241"/>
      <c r="AS708" s="1241"/>
      <c r="AT708" s="1241"/>
      <c r="AU708" s="1241"/>
      <c r="AV708" s="1241"/>
      <c r="AW708" s="1241"/>
      <c r="AX708" s="1241"/>
      <c r="AY708" s="1241"/>
      <c r="AZ708" s="1241"/>
      <c r="BA708" s="1241"/>
      <c r="BB708" s="1241"/>
      <c r="BC708" s="1241"/>
      <c r="BD708" s="1241"/>
      <c r="BE708" s="1241"/>
      <c r="BF708" s="1241"/>
      <c r="BG708" s="1241"/>
      <c r="BH708" s="1241"/>
      <c r="BI708" s="1241"/>
      <c r="BJ708" s="1241"/>
      <c r="BK708" s="1241"/>
      <c r="BL708" s="1241"/>
      <c r="BM708" s="1241"/>
      <c r="BN708" s="1241"/>
      <c r="BO708" s="1241"/>
      <c r="BP708" s="1241"/>
      <c r="BQ708" s="1241"/>
      <c r="BR708" s="1241"/>
      <c r="BS708" s="1241"/>
      <c r="BT708" s="1241"/>
      <c r="BU708" s="1241"/>
      <c r="BV708" s="1241"/>
      <c r="BW708" s="1241"/>
      <c r="BX708" s="1241"/>
      <c r="BY708" s="1241"/>
      <c r="BZ708" s="1241"/>
      <c r="CA708" s="1241"/>
      <c r="CB708" s="1241"/>
      <c r="CC708" s="1241"/>
      <c r="CD708" s="1241"/>
      <c r="CE708" s="1241"/>
      <c r="CF708" s="1241"/>
      <c r="CG708" s="1241"/>
      <c r="CH708" s="1241"/>
      <c r="CI708" s="1241"/>
      <c r="CJ708" s="1241"/>
      <c r="CK708" s="1241"/>
      <c r="CL708" s="1241"/>
      <c r="CM708" s="1241"/>
      <c r="CN708" s="1241"/>
      <c r="CO708" s="1241"/>
      <c r="CP708" s="1241"/>
      <c r="CQ708" s="1241"/>
      <c r="CR708" s="1241"/>
      <c r="CS708" s="1241"/>
      <c r="CT708" s="1241"/>
      <c r="CU708" s="1241"/>
      <c r="CV708" s="1241"/>
      <c r="CW708" s="1241"/>
      <c r="CX708" s="1241"/>
      <c r="CY708" s="1241"/>
      <c r="CZ708" s="1241"/>
      <c r="DA708" s="1241"/>
      <c r="DB708" s="1241"/>
      <c r="DC708" s="1241"/>
      <c r="DD708" s="1241"/>
      <c r="DE708" s="1241"/>
      <c r="DF708" s="1241"/>
      <c r="DG708" s="1241"/>
      <c r="DH708" s="1241"/>
      <c r="DI708" s="1241"/>
      <c r="DJ708" s="1241"/>
      <c r="DK708" s="1241"/>
      <c r="DL708" s="1241"/>
      <c r="DM708" s="1241"/>
    </row>
    <row r="709" spans="1:117" s="1302" customFormat="1" ht="16">
      <c r="A709" s="1459" t="s">
        <v>4106</v>
      </c>
      <c r="B709" s="1508"/>
      <c r="C709" s="1241" t="s">
        <v>122</v>
      </c>
      <c r="D709" s="1243"/>
      <c r="E709" s="1242" t="s">
        <v>4680</v>
      </c>
      <c r="F709" s="1470"/>
      <c r="G709" s="1471"/>
      <c r="H709" s="1471">
        <v>79.960248317984011</v>
      </c>
      <c r="I709" s="1471">
        <v>83.643881000641926</v>
      </c>
      <c r="J709" s="1471">
        <v>104.84118353837691</v>
      </c>
      <c r="K709" s="1471">
        <v>124.55161784306762</v>
      </c>
      <c r="L709" s="1471">
        <v>136.87735249132029</v>
      </c>
      <c r="M709" s="1471">
        <v>149.16832142482758</v>
      </c>
      <c r="N709" s="1471">
        <v>161.38057887409849</v>
      </c>
      <c r="O709" s="1471">
        <v>119.66351795858218</v>
      </c>
      <c r="P709" s="1241"/>
      <c r="Q709" s="1241"/>
      <c r="R709" s="1241"/>
      <c r="S709" s="1241"/>
      <c r="T709" s="1241"/>
      <c r="U709" s="1241"/>
      <c r="V709" s="1241"/>
      <c r="W709" s="1241"/>
      <c r="X709" s="1241"/>
      <c r="Y709" s="1241"/>
      <c r="Z709" s="1241"/>
      <c r="AA709" s="1241"/>
      <c r="AB709" s="1241"/>
      <c r="AC709" s="1241"/>
      <c r="AD709" s="1241"/>
      <c r="AE709" s="1241"/>
      <c r="AF709" s="1241"/>
      <c r="AG709" s="1241"/>
      <c r="AH709" s="1241"/>
      <c r="AI709" s="1241"/>
      <c r="AJ709" s="1241"/>
      <c r="AK709" s="1241"/>
      <c r="AL709" s="1241"/>
      <c r="AM709" s="1241"/>
      <c r="AN709" s="1241"/>
      <c r="AO709" s="1241"/>
      <c r="AP709" s="1241"/>
      <c r="AQ709" s="1241"/>
      <c r="AR709" s="1241"/>
      <c r="AS709" s="1241"/>
      <c r="AT709" s="1241"/>
      <c r="AU709" s="1241"/>
      <c r="AV709" s="1241"/>
      <c r="AW709" s="1241"/>
      <c r="AX709" s="1241"/>
      <c r="AY709" s="1241"/>
      <c r="AZ709" s="1241"/>
      <c r="BA709" s="1241"/>
      <c r="BB709" s="1241"/>
      <c r="BC709" s="1241"/>
      <c r="BD709" s="1241"/>
      <c r="BE709" s="1241"/>
      <c r="BF709" s="1241"/>
      <c r="BG709" s="1241"/>
      <c r="BH709" s="1241"/>
      <c r="BI709" s="1241"/>
      <c r="BJ709" s="1241"/>
      <c r="BK709" s="1241"/>
      <c r="BL709" s="1241"/>
      <c r="BM709" s="1241"/>
      <c r="BN709" s="1241"/>
      <c r="BO709" s="1241"/>
      <c r="BP709" s="1241"/>
      <c r="BQ709" s="1241"/>
      <c r="BR709" s="1241"/>
      <c r="BS709" s="1241"/>
      <c r="BT709" s="1241"/>
      <c r="BU709" s="1241"/>
      <c r="BV709" s="1241"/>
      <c r="BW709" s="1241"/>
      <c r="BX709" s="1241"/>
      <c r="BY709" s="1241"/>
      <c r="BZ709" s="1241"/>
      <c r="CA709" s="1241"/>
      <c r="CB709" s="1241"/>
      <c r="CC709" s="1241"/>
      <c r="CD709" s="1241"/>
      <c r="CE709" s="1241"/>
      <c r="CF709" s="1241"/>
      <c r="CG709" s="1241"/>
      <c r="CH709" s="1241"/>
      <c r="CI709" s="1241"/>
      <c r="CJ709" s="1241"/>
      <c r="CK709" s="1241"/>
      <c r="CL709" s="1241"/>
      <c r="CM709" s="1241"/>
      <c r="CN709" s="1241"/>
      <c r="CO709" s="1241"/>
      <c r="CP709" s="1241"/>
      <c r="CQ709" s="1241"/>
      <c r="CR709" s="1241"/>
      <c r="CS709" s="1241"/>
      <c r="CT709" s="1241"/>
      <c r="CU709" s="1241"/>
      <c r="CV709" s="1241"/>
      <c r="CW709" s="1241"/>
      <c r="CX709" s="1241"/>
      <c r="CY709" s="1241"/>
      <c r="CZ709" s="1241"/>
      <c r="DA709" s="1241"/>
      <c r="DB709" s="1241"/>
      <c r="DC709" s="1241"/>
      <c r="DD709" s="1241"/>
      <c r="DE709" s="1241"/>
      <c r="DF709" s="1241"/>
      <c r="DG709" s="1241"/>
      <c r="DH709" s="1241"/>
      <c r="DI709" s="1241"/>
      <c r="DJ709" s="1241"/>
      <c r="DK709" s="1241"/>
      <c r="DL709" s="1241"/>
      <c r="DM709" s="1241"/>
    </row>
    <row r="710" spans="1:117" s="1302" customFormat="1" ht="16">
      <c r="A710" s="1459"/>
      <c r="B710" s="1459"/>
      <c r="C710" s="1241" t="s">
        <v>4297</v>
      </c>
      <c r="D710" s="1243"/>
      <c r="E710" s="1242" t="s">
        <v>4680</v>
      </c>
      <c r="F710" s="1470"/>
      <c r="G710" s="1471"/>
      <c r="H710" s="1471">
        <v>1.6638916939330558E-3</v>
      </c>
      <c r="I710" s="1471">
        <v>1.8828718228608276E-3</v>
      </c>
      <c r="J710" s="1471">
        <v>2.8168641983211972E-3</v>
      </c>
      <c r="K710" s="1471">
        <v>3.9083291336043831E-3</v>
      </c>
      <c r="L710" s="1471">
        <v>4.9347986666991965E-3</v>
      </c>
      <c r="M710" s="1471">
        <v>6.1005912109261765E-3</v>
      </c>
      <c r="N710" s="1471">
        <v>7.411040049103982E-3</v>
      </c>
      <c r="O710" s="1471">
        <v>3.5367380320770964E-3</v>
      </c>
      <c r="P710" s="1241"/>
      <c r="Q710" s="1241"/>
      <c r="R710" s="1241"/>
      <c r="S710" s="1241"/>
      <c r="T710" s="1241"/>
      <c r="U710" s="1241"/>
      <c r="V710" s="1241"/>
      <c r="W710" s="1241"/>
      <c r="X710" s="1241"/>
      <c r="Y710" s="1241"/>
      <c r="Z710" s="1241"/>
      <c r="AA710" s="1241"/>
      <c r="AB710" s="1241"/>
      <c r="AC710" s="1241"/>
      <c r="AD710" s="1241"/>
      <c r="AE710" s="1241"/>
      <c r="AF710" s="1241"/>
      <c r="AG710" s="1241"/>
      <c r="AH710" s="1241"/>
      <c r="AI710" s="1241"/>
      <c r="AJ710" s="1241"/>
      <c r="AK710" s="1241"/>
      <c r="AL710" s="1241"/>
      <c r="AM710" s="1241"/>
      <c r="AN710" s="1241"/>
      <c r="AO710" s="1241"/>
      <c r="AP710" s="1241"/>
      <c r="AQ710" s="1241"/>
      <c r="AR710" s="1241"/>
      <c r="AS710" s="1241"/>
      <c r="AT710" s="1241"/>
      <c r="AU710" s="1241"/>
      <c r="AV710" s="1241"/>
      <c r="AW710" s="1241"/>
      <c r="AX710" s="1241"/>
      <c r="AY710" s="1241"/>
      <c r="AZ710" s="1241"/>
      <c r="BA710" s="1241"/>
      <c r="BB710" s="1241"/>
      <c r="BC710" s="1241"/>
      <c r="BD710" s="1241"/>
      <c r="BE710" s="1241"/>
      <c r="BF710" s="1241"/>
      <c r="BG710" s="1241"/>
      <c r="BH710" s="1241"/>
      <c r="BI710" s="1241"/>
      <c r="BJ710" s="1241"/>
      <c r="BK710" s="1241"/>
      <c r="BL710" s="1241"/>
      <c r="BM710" s="1241"/>
      <c r="BN710" s="1241"/>
      <c r="BO710" s="1241"/>
      <c r="BP710" s="1241"/>
      <c r="BQ710" s="1241"/>
      <c r="BR710" s="1241"/>
      <c r="BS710" s="1241"/>
      <c r="BT710" s="1241"/>
      <c r="BU710" s="1241"/>
      <c r="BV710" s="1241"/>
      <c r="BW710" s="1241"/>
      <c r="BX710" s="1241"/>
      <c r="BY710" s="1241"/>
      <c r="BZ710" s="1241"/>
      <c r="CA710" s="1241"/>
      <c r="CB710" s="1241"/>
      <c r="CC710" s="1241"/>
      <c r="CD710" s="1241"/>
      <c r="CE710" s="1241"/>
      <c r="CF710" s="1241"/>
      <c r="CG710" s="1241"/>
      <c r="CH710" s="1241"/>
      <c r="CI710" s="1241"/>
      <c r="CJ710" s="1241"/>
      <c r="CK710" s="1241"/>
      <c r="CL710" s="1241"/>
      <c r="CM710" s="1241"/>
      <c r="CN710" s="1241"/>
      <c r="CO710" s="1241"/>
      <c r="CP710" s="1241"/>
      <c r="CQ710" s="1241"/>
      <c r="CR710" s="1241"/>
      <c r="CS710" s="1241"/>
      <c r="CT710" s="1241"/>
      <c r="CU710" s="1241"/>
      <c r="CV710" s="1241"/>
      <c r="CW710" s="1241"/>
      <c r="CX710" s="1241"/>
      <c r="CY710" s="1241"/>
      <c r="CZ710" s="1241"/>
      <c r="DA710" s="1241"/>
      <c r="DB710" s="1241"/>
      <c r="DC710" s="1241"/>
      <c r="DD710" s="1241"/>
      <c r="DE710" s="1241"/>
      <c r="DF710" s="1241"/>
      <c r="DG710" s="1241"/>
      <c r="DH710" s="1241"/>
      <c r="DI710" s="1241"/>
      <c r="DJ710" s="1241"/>
      <c r="DK710" s="1241"/>
      <c r="DL710" s="1241"/>
      <c r="DM710" s="1241"/>
    </row>
    <row r="711" spans="1:117" s="1302" customFormat="1" ht="16">
      <c r="A711" s="1241"/>
      <c r="B711" s="1508"/>
      <c r="C711" s="1241" t="s">
        <v>4298</v>
      </c>
      <c r="D711" s="1243"/>
      <c r="E711" s="1242" t="s">
        <v>4680</v>
      </c>
      <c r="F711" s="1470"/>
      <c r="G711" s="1471"/>
      <c r="H711" s="1471">
        <v>0.47184925126609834</v>
      </c>
      <c r="I711" s="1471">
        <v>0.49322315166279723</v>
      </c>
      <c r="J711" s="1471">
        <v>0.61705097467898384</v>
      </c>
      <c r="K711" s="1471">
        <v>0.73162365917836658</v>
      </c>
      <c r="L711" s="1471">
        <v>0.80239247735942631</v>
      </c>
      <c r="M711" s="1471">
        <v>0.87259857299871391</v>
      </c>
      <c r="N711" s="1471">
        <v>0.94196666817291719</v>
      </c>
      <c r="O711" s="1471">
        <v>0.70346779542130866</v>
      </c>
      <c r="P711" s="1241"/>
      <c r="Q711" s="1241"/>
      <c r="R711" s="1241"/>
      <c r="S711" s="1241"/>
      <c r="T711" s="1241"/>
      <c r="U711" s="1241"/>
      <c r="V711" s="1241"/>
      <c r="W711" s="1241"/>
      <c r="X711" s="1241"/>
      <c r="Y711" s="1241"/>
      <c r="Z711" s="1241"/>
      <c r="AA711" s="1241"/>
      <c r="AB711" s="1241"/>
      <c r="AC711" s="1241"/>
      <c r="AD711" s="1241"/>
      <c r="AE711" s="1241"/>
      <c r="AF711" s="1241"/>
      <c r="AG711" s="1241"/>
      <c r="AH711" s="1241"/>
      <c r="AI711" s="1241"/>
      <c r="AJ711" s="1241"/>
      <c r="AK711" s="1241"/>
      <c r="AL711" s="1241"/>
      <c r="AM711" s="1241"/>
      <c r="AN711" s="1241"/>
      <c r="AO711" s="1241"/>
      <c r="AP711" s="1241"/>
      <c r="AQ711" s="1241"/>
      <c r="AR711" s="1241"/>
      <c r="AS711" s="1241"/>
      <c r="AT711" s="1241"/>
      <c r="AU711" s="1241"/>
      <c r="AV711" s="1241"/>
      <c r="AW711" s="1241"/>
      <c r="AX711" s="1241"/>
      <c r="AY711" s="1241"/>
      <c r="AZ711" s="1241"/>
      <c r="BA711" s="1241"/>
      <c r="BB711" s="1241"/>
      <c r="BC711" s="1241"/>
      <c r="BD711" s="1241"/>
      <c r="BE711" s="1241"/>
      <c r="BF711" s="1241"/>
      <c r="BG711" s="1241"/>
      <c r="BH711" s="1241"/>
      <c r="BI711" s="1241"/>
      <c r="BJ711" s="1241"/>
      <c r="BK711" s="1241"/>
      <c r="BL711" s="1241"/>
      <c r="BM711" s="1241"/>
      <c r="BN711" s="1241"/>
      <c r="BO711" s="1241"/>
      <c r="BP711" s="1241"/>
      <c r="BQ711" s="1241"/>
      <c r="BR711" s="1241"/>
      <c r="BS711" s="1241"/>
      <c r="BT711" s="1241"/>
      <c r="BU711" s="1241"/>
      <c r="BV711" s="1241"/>
      <c r="BW711" s="1241"/>
      <c r="BX711" s="1241"/>
      <c r="BY711" s="1241"/>
      <c r="BZ711" s="1241"/>
      <c r="CA711" s="1241"/>
      <c r="CB711" s="1241"/>
      <c r="CC711" s="1241"/>
      <c r="CD711" s="1241"/>
      <c r="CE711" s="1241"/>
      <c r="CF711" s="1241"/>
      <c r="CG711" s="1241"/>
      <c r="CH711" s="1241"/>
      <c r="CI711" s="1241"/>
      <c r="CJ711" s="1241"/>
      <c r="CK711" s="1241"/>
      <c r="CL711" s="1241"/>
      <c r="CM711" s="1241"/>
      <c r="CN711" s="1241"/>
      <c r="CO711" s="1241"/>
      <c r="CP711" s="1241"/>
      <c r="CQ711" s="1241"/>
      <c r="CR711" s="1241"/>
      <c r="CS711" s="1241"/>
      <c r="CT711" s="1241"/>
      <c r="CU711" s="1241"/>
      <c r="CV711" s="1241"/>
      <c r="CW711" s="1241"/>
      <c r="CX711" s="1241"/>
      <c r="CY711" s="1241"/>
      <c r="CZ711" s="1241"/>
      <c r="DA711" s="1241"/>
      <c r="DB711" s="1241"/>
      <c r="DC711" s="1241"/>
      <c r="DD711" s="1241"/>
      <c r="DE711" s="1241"/>
      <c r="DF711" s="1241"/>
      <c r="DG711" s="1241"/>
      <c r="DH711" s="1241"/>
      <c r="DI711" s="1241"/>
      <c r="DJ711" s="1241"/>
      <c r="DK711" s="1241"/>
      <c r="DL711" s="1241"/>
      <c r="DM711" s="1241"/>
    </row>
    <row r="712" spans="1:117" s="1302" customFormat="1">
      <c r="A712" s="1241"/>
      <c r="B712" s="1508"/>
      <c r="C712" s="1241"/>
      <c r="D712" s="1243"/>
      <c r="E712" s="1242"/>
      <c r="F712" s="1519"/>
      <c r="G712" s="1471"/>
      <c r="H712" s="1471"/>
      <c r="I712" s="1471"/>
      <c r="J712" s="1471"/>
      <c r="K712" s="1471"/>
      <c r="L712" s="1471"/>
      <c r="M712" s="1471"/>
      <c r="N712" s="1471"/>
      <c r="O712" s="1471"/>
      <c r="P712" s="1241"/>
      <c r="Q712" s="1241"/>
      <c r="R712" s="1241"/>
      <c r="S712" s="1241"/>
      <c r="T712" s="1241"/>
      <c r="U712" s="1241"/>
      <c r="V712" s="1241"/>
      <c r="W712" s="1241"/>
      <c r="X712" s="1241"/>
      <c r="Y712" s="1241"/>
      <c r="Z712" s="1241"/>
      <c r="AA712" s="1241"/>
      <c r="AB712" s="1241"/>
      <c r="AC712" s="1241"/>
      <c r="AD712" s="1241"/>
      <c r="AE712" s="1241"/>
      <c r="AF712" s="1241"/>
      <c r="AG712" s="1241"/>
      <c r="AH712" s="1241"/>
      <c r="AI712" s="1241"/>
      <c r="AJ712" s="1241"/>
      <c r="AK712" s="1241"/>
      <c r="AL712" s="1241"/>
      <c r="AM712" s="1241"/>
      <c r="AN712" s="1241"/>
      <c r="AO712" s="1241"/>
      <c r="AP712" s="1241"/>
      <c r="AQ712" s="1241"/>
      <c r="AR712" s="1241"/>
      <c r="AS712" s="1241"/>
      <c r="AT712" s="1241"/>
      <c r="AU712" s="1241"/>
      <c r="AV712" s="1241"/>
      <c r="AW712" s="1241"/>
      <c r="AX712" s="1241"/>
      <c r="AY712" s="1241"/>
      <c r="AZ712" s="1241"/>
      <c r="BA712" s="1241"/>
      <c r="BB712" s="1241"/>
      <c r="BC712" s="1241"/>
      <c r="BD712" s="1241"/>
      <c r="BE712" s="1241"/>
      <c r="BF712" s="1241"/>
      <c r="BG712" s="1241"/>
      <c r="BH712" s="1241"/>
      <c r="BI712" s="1241"/>
      <c r="BJ712" s="1241"/>
      <c r="BK712" s="1241"/>
      <c r="BL712" s="1241"/>
      <c r="BM712" s="1241"/>
      <c r="BN712" s="1241"/>
      <c r="BO712" s="1241"/>
      <c r="BP712" s="1241"/>
      <c r="BQ712" s="1241"/>
      <c r="BR712" s="1241"/>
      <c r="BS712" s="1241"/>
      <c r="BT712" s="1241"/>
      <c r="BU712" s="1241"/>
      <c r="BV712" s="1241"/>
      <c r="BW712" s="1241"/>
      <c r="BX712" s="1241"/>
      <c r="BY712" s="1241"/>
      <c r="BZ712" s="1241"/>
      <c r="CA712" s="1241"/>
      <c r="CB712" s="1241"/>
      <c r="CC712" s="1241"/>
      <c r="CD712" s="1241"/>
      <c r="CE712" s="1241"/>
      <c r="CF712" s="1241"/>
      <c r="CG712" s="1241"/>
      <c r="CH712" s="1241"/>
      <c r="CI712" s="1241"/>
      <c r="CJ712" s="1241"/>
      <c r="CK712" s="1241"/>
      <c r="CL712" s="1241"/>
      <c r="CM712" s="1241"/>
      <c r="CN712" s="1241"/>
      <c r="CO712" s="1241"/>
      <c r="CP712" s="1241"/>
      <c r="CQ712" s="1241"/>
      <c r="CR712" s="1241"/>
      <c r="CS712" s="1241"/>
      <c r="CT712" s="1241"/>
      <c r="CU712" s="1241"/>
      <c r="CV712" s="1241"/>
      <c r="CW712" s="1241"/>
      <c r="CX712" s="1241"/>
      <c r="CY712" s="1241"/>
      <c r="CZ712" s="1241"/>
      <c r="DA712" s="1241"/>
      <c r="DB712" s="1241"/>
      <c r="DC712" s="1241"/>
      <c r="DD712" s="1241"/>
      <c r="DE712" s="1241"/>
      <c r="DF712" s="1241"/>
      <c r="DG712" s="1241"/>
      <c r="DH712" s="1241"/>
      <c r="DI712" s="1241"/>
      <c r="DJ712" s="1241"/>
      <c r="DK712" s="1241"/>
      <c r="DL712" s="1241"/>
      <c r="DM712" s="1241"/>
    </row>
    <row r="713" spans="1:117" s="1302" customFormat="1" ht="16">
      <c r="A713" s="1243"/>
      <c r="B713" s="1520" t="s">
        <v>4301</v>
      </c>
      <c r="C713" s="1520"/>
      <c r="D713" s="1521"/>
      <c r="E713" s="1522" t="s">
        <v>4681</v>
      </c>
      <c r="F713" s="1523"/>
      <c r="G713" s="1487">
        <v>0</v>
      </c>
      <c r="H713" s="1487">
        <v>0.25017494899513798</v>
      </c>
      <c r="I713" s="1487">
        <v>0.23360606802374378</v>
      </c>
      <c r="J713" s="1487">
        <v>0.22135581337687665</v>
      </c>
      <c r="K713" s="1487">
        <v>0.2096609888725374</v>
      </c>
      <c r="L713" s="1487">
        <v>0.19849907156258498</v>
      </c>
      <c r="M713" s="1487">
        <v>0.18784838258446981</v>
      </c>
      <c r="N713" s="1487">
        <v>0.17768805727764997</v>
      </c>
      <c r="O713" s="1487">
        <v>0.21427372776098433</v>
      </c>
      <c r="P713" s="1241"/>
      <c r="Q713" s="1241"/>
      <c r="R713" s="1241"/>
      <c r="S713" s="1241"/>
      <c r="T713" s="1241"/>
      <c r="U713" s="1241"/>
      <c r="V713" s="1241"/>
      <c r="W713" s="1241"/>
      <c r="X713" s="1241"/>
      <c r="Y713" s="1241"/>
      <c r="Z713" s="1241"/>
      <c r="AA713" s="1241"/>
      <c r="AB713" s="1241"/>
      <c r="AC713" s="1241"/>
      <c r="AD713" s="1241"/>
      <c r="AE713" s="1241"/>
      <c r="AF713" s="1241"/>
      <c r="AG713" s="1241"/>
      <c r="AH713" s="1241"/>
      <c r="AI713" s="1241"/>
      <c r="AJ713" s="1241"/>
      <c r="AK713" s="1241"/>
      <c r="AL713" s="1241"/>
      <c r="AM713" s="1241"/>
      <c r="AN713" s="1241"/>
      <c r="AO713" s="1241"/>
      <c r="AP713" s="1241"/>
      <c r="AQ713" s="1241"/>
      <c r="AR713" s="1241"/>
      <c r="AS713" s="1241"/>
      <c r="AT713" s="1241"/>
      <c r="AU713" s="1241"/>
      <c r="AV713" s="1241"/>
      <c r="AW713" s="1241"/>
      <c r="AX713" s="1241"/>
      <c r="AY713" s="1241"/>
      <c r="AZ713" s="1241"/>
      <c r="BA713" s="1241"/>
      <c r="BB713" s="1241"/>
      <c r="BC713" s="1241"/>
      <c r="BD713" s="1241"/>
      <c r="BE713" s="1241"/>
      <c r="BF713" s="1241"/>
      <c r="BG713" s="1241"/>
      <c r="BH713" s="1241"/>
      <c r="BI713" s="1241"/>
      <c r="BJ713" s="1241"/>
      <c r="BK713" s="1241"/>
      <c r="BL713" s="1241"/>
      <c r="BM713" s="1241"/>
      <c r="BN713" s="1241"/>
      <c r="BO713" s="1241"/>
      <c r="BP713" s="1241"/>
      <c r="BQ713" s="1241"/>
      <c r="BR713" s="1241"/>
      <c r="BS713" s="1241"/>
      <c r="BT713" s="1241"/>
      <c r="BU713" s="1241"/>
      <c r="BV713" s="1241"/>
      <c r="BW713" s="1241"/>
      <c r="BX713" s="1241"/>
      <c r="BY713" s="1241"/>
      <c r="BZ713" s="1241"/>
      <c r="CA713" s="1241"/>
      <c r="CB713" s="1241"/>
      <c r="CC713" s="1241"/>
      <c r="CD713" s="1241"/>
      <c r="CE713" s="1241"/>
      <c r="CF713" s="1241"/>
      <c r="CG713" s="1241"/>
      <c r="CH713" s="1241"/>
      <c r="CI713" s="1241"/>
      <c r="CJ713" s="1241"/>
      <c r="CK713" s="1241"/>
      <c r="CL713" s="1241"/>
      <c r="CM713" s="1241"/>
      <c r="CN713" s="1241"/>
      <c r="CO713" s="1241"/>
      <c r="CP713" s="1241"/>
      <c r="CQ713" s="1241"/>
      <c r="CR713" s="1241"/>
      <c r="CS713" s="1241"/>
      <c r="CT713" s="1241"/>
      <c r="CU713" s="1241"/>
      <c r="CV713" s="1241"/>
      <c r="CW713" s="1241"/>
      <c r="CX713" s="1241"/>
      <c r="CY713" s="1241"/>
      <c r="CZ713" s="1241"/>
      <c r="DA713" s="1241"/>
      <c r="DB713" s="1241"/>
      <c r="DC713" s="1241"/>
      <c r="DD713" s="1241"/>
      <c r="DE713" s="1241"/>
      <c r="DF713" s="1241"/>
      <c r="DG713" s="1241"/>
      <c r="DH713" s="1241"/>
      <c r="DI713" s="1241"/>
      <c r="DJ713" s="1241"/>
      <c r="DK713" s="1241"/>
      <c r="DL713" s="1241"/>
      <c r="DM713" s="1241"/>
    </row>
    <row r="714" spans="1:117" s="1302" customFormat="1" ht="16">
      <c r="A714" s="1241"/>
      <c r="B714" s="2207" t="s">
        <v>4302</v>
      </c>
      <c r="C714" s="2207"/>
      <c r="D714" s="2207"/>
      <c r="E714" s="1522" t="s">
        <v>4682</v>
      </c>
      <c r="F714" s="1484">
        <v>0.52</v>
      </c>
      <c r="G714" s="1487"/>
      <c r="H714" s="1487">
        <v>0.52</v>
      </c>
      <c r="I714" s="1487">
        <v>0.51481481481481484</v>
      </c>
      <c r="J714" s="1487">
        <v>0.50185185185185188</v>
      </c>
      <c r="K714" s="1487">
        <v>0.48888888888888893</v>
      </c>
      <c r="L714" s="1487">
        <v>0.47592592592592592</v>
      </c>
      <c r="M714" s="1487">
        <v>0.46296296296296297</v>
      </c>
      <c r="N714" s="1487">
        <v>0.45</v>
      </c>
      <c r="O714" s="1487">
        <v>0.49407407407407411</v>
      </c>
      <c r="P714" s="1241"/>
      <c r="Q714" s="1241"/>
      <c r="R714" s="1241"/>
      <c r="S714" s="1241"/>
      <c r="T714" s="1241"/>
      <c r="U714" s="1241"/>
      <c r="V714" s="1241"/>
      <c r="W714" s="1241"/>
      <c r="X714" s="1241"/>
      <c r="Y714" s="1241"/>
      <c r="Z714" s="1241"/>
      <c r="AA714" s="1241"/>
      <c r="AB714" s="1241"/>
      <c r="AC714" s="1241"/>
      <c r="AD714" s="1241"/>
      <c r="AE714" s="1241"/>
      <c r="AF714" s="1241"/>
      <c r="AG714" s="1241"/>
      <c r="AH714" s="1241"/>
      <c r="AI714" s="1241"/>
      <c r="AJ714" s="1241"/>
      <c r="AK714" s="1241"/>
      <c r="AL714" s="1241"/>
      <c r="AM714" s="1241"/>
      <c r="AN714" s="1241"/>
      <c r="AO714" s="1241"/>
      <c r="AP714" s="1241"/>
      <c r="AQ714" s="1241"/>
      <c r="AR714" s="1241"/>
      <c r="AS714" s="1241"/>
      <c r="AT714" s="1241"/>
      <c r="AU714" s="1241"/>
      <c r="AV714" s="1241"/>
      <c r="AW714" s="1241"/>
      <c r="AX714" s="1241"/>
      <c r="AY714" s="1241"/>
      <c r="AZ714" s="1241"/>
      <c r="BA714" s="1241"/>
      <c r="BB714" s="1241"/>
      <c r="BC714" s="1241"/>
      <c r="BD714" s="1241"/>
      <c r="BE714" s="1241"/>
      <c r="BF714" s="1241"/>
      <c r="BG714" s="1241"/>
      <c r="BH714" s="1241"/>
      <c r="BI714" s="1241"/>
      <c r="BJ714" s="1241"/>
      <c r="BK714" s="1241"/>
      <c r="BL714" s="1241"/>
      <c r="BM714" s="1241"/>
      <c r="BN714" s="1241"/>
      <c r="BO714" s="1241"/>
      <c r="BP714" s="1241"/>
      <c r="BQ714" s="1241"/>
      <c r="BR714" s="1241"/>
      <c r="BS714" s="1241"/>
      <c r="BT714" s="1241"/>
      <c r="BU714" s="1241"/>
      <c r="BV714" s="1241"/>
      <c r="BW714" s="1241"/>
      <c r="BX714" s="1241"/>
      <c r="BY714" s="1241"/>
      <c r="BZ714" s="1241"/>
      <c r="CA714" s="1241"/>
      <c r="CB714" s="1241"/>
      <c r="CC714" s="1241"/>
      <c r="CD714" s="1241"/>
      <c r="CE714" s="1241"/>
      <c r="CF714" s="1241"/>
      <c r="CG714" s="1241"/>
      <c r="CH714" s="1241"/>
      <c r="CI714" s="1241"/>
      <c r="CJ714" s="1241"/>
      <c r="CK714" s="1241"/>
      <c r="CL714" s="1241"/>
      <c r="CM714" s="1241"/>
      <c r="CN714" s="1241"/>
      <c r="CO714" s="1241"/>
      <c r="CP714" s="1241"/>
      <c r="CQ714" s="1241"/>
      <c r="CR714" s="1241"/>
      <c r="CS714" s="1241"/>
      <c r="CT714" s="1241"/>
      <c r="CU714" s="1241"/>
      <c r="CV714" s="1241"/>
      <c r="CW714" s="1241"/>
      <c r="CX714" s="1241"/>
      <c r="CY714" s="1241"/>
      <c r="CZ714" s="1241"/>
      <c r="DA714" s="1241"/>
      <c r="DB714" s="1241"/>
      <c r="DC714" s="1241"/>
      <c r="DD714" s="1241"/>
      <c r="DE714" s="1241"/>
      <c r="DF714" s="1241"/>
      <c r="DG714" s="1241"/>
      <c r="DH714" s="1241"/>
      <c r="DI714" s="1241"/>
      <c r="DJ714" s="1241"/>
      <c r="DK714" s="1241"/>
      <c r="DL714" s="1241"/>
      <c r="DM714" s="1241"/>
    </row>
    <row r="715" spans="1:117" s="1302" customFormat="1">
      <c r="A715" s="1241"/>
      <c r="B715" s="2207" t="s">
        <v>4303</v>
      </c>
      <c r="C715" s="2207"/>
      <c r="D715" s="2207"/>
      <c r="E715" s="1522" t="s">
        <v>4304</v>
      </c>
      <c r="F715" s="1524">
        <v>-6.9371363737806835E-3</v>
      </c>
      <c r="G715" s="1487">
        <v>0.73199999999999998</v>
      </c>
      <c r="H715" s="1487">
        <v>0.71199999999999997</v>
      </c>
      <c r="I715" s="1487">
        <v>0.70215578199281703</v>
      </c>
      <c r="J715" s="1487">
        <v>0.67813659841915597</v>
      </c>
      <c r="K715" s="1487">
        <v>0.65493905755547577</v>
      </c>
      <c r="L715" s="1487">
        <v>0.63253505283683853</v>
      </c>
      <c r="M715" s="1487">
        <v>0.61089743916121864</v>
      </c>
      <c r="N715" s="1487">
        <v>0.59</v>
      </c>
      <c r="O715" s="1487">
        <v>0.66412129749330917</v>
      </c>
      <c r="P715" s="1241"/>
      <c r="Q715" s="1241"/>
      <c r="R715" s="1241"/>
      <c r="S715" s="1241"/>
      <c r="T715" s="1241"/>
      <c r="U715" s="1241"/>
      <c r="V715" s="1241"/>
      <c r="W715" s="1241"/>
      <c r="X715" s="1241"/>
      <c r="Y715" s="1241"/>
      <c r="Z715" s="1241"/>
      <c r="AA715" s="1241"/>
      <c r="AB715" s="1241"/>
      <c r="AC715" s="1241"/>
      <c r="AD715" s="1241"/>
      <c r="AE715" s="1241"/>
      <c r="AF715" s="1241"/>
      <c r="AG715" s="1241"/>
      <c r="AH715" s="1241"/>
      <c r="AI715" s="1241"/>
      <c r="AJ715" s="1241"/>
      <c r="AK715" s="1241"/>
      <c r="AL715" s="1241"/>
      <c r="AM715" s="1241"/>
      <c r="AN715" s="1241"/>
      <c r="AO715" s="1241"/>
      <c r="AP715" s="1241"/>
      <c r="AQ715" s="1241"/>
      <c r="AR715" s="1241"/>
      <c r="AS715" s="1241"/>
      <c r="AT715" s="1241"/>
      <c r="AU715" s="1241"/>
      <c r="AV715" s="1241"/>
      <c r="AW715" s="1241"/>
      <c r="AX715" s="1241"/>
      <c r="AY715" s="1241"/>
      <c r="AZ715" s="1241"/>
      <c r="BA715" s="1241"/>
      <c r="BB715" s="1241"/>
      <c r="BC715" s="1241"/>
      <c r="BD715" s="1241"/>
      <c r="BE715" s="1241"/>
      <c r="BF715" s="1241"/>
      <c r="BG715" s="1241"/>
      <c r="BH715" s="1241"/>
      <c r="BI715" s="1241"/>
      <c r="BJ715" s="1241"/>
      <c r="BK715" s="1241"/>
      <c r="BL715" s="1241"/>
      <c r="BM715" s="1241"/>
      <c r="BN715" s="1241"/>
      <c r="BO715" s="1241"/>
      <c r="BP715" s="1241"/>
      <c r="BQ715" s="1241"/>
      <c r="BR715" s="1241"/>
      <c r="BS715" s="1241"/>
      <c r="BT715" s="1241"/>
      <c r="BU715" s="1241"/>
      <c r="BV715" s="1241"/>
      <c r="BW715" s="1241"/>
      <c r="BX715" s="1241"/>
      <c r="BY715" s="1241"/>
      <c r="BZ715" s="1241"/>
      <c r="CA715" s="1241"/>
      <c r="CB715" s="1241"/>
      <c r="CC715" s="1241"/>
      <c r="CD715" s="1241"/>
      <c r="CE715" s="1241"/>
      <c r="CF715" s="1241"/>
      <c r="CG715" s="1241"/>
      <c r="CH715" s="1241"/>
      <c r="CI715" s="1241"/>
      <c r="CJ715" s="1241"/>
      <c r="CK715" s="1241"/>
      <c r="CL715" s="1241"/>
      <c r="CM715" s="1241"/>
      <c r="CN715" s="1241"/>
      <c r="CO715" s="1241"/>
      <c r="CP715" s="1241"/>
      <c r="CQ715" s="1241"/>
      <c r="CR715" s="1241"/>
      <c r="CS715" s="1241"/>
      <c r="CT715" s="1241"/>
      <c r="CU715" s="1241"/>
      <c r="CV715" s="1241"/>
      <c r="CW715" s="1241"/>
      <c r="CX715" s="1241"/>
      <c r="CY715" s="1241"/>
      <c r="CZ715" s="1241"/>
      <c r="DA715" s="1241"/>
      <c r="DB715" s="1241"/>
      <c r="DC715" s="1241"/>
      <c r="DD715" s="1241"/>
      <c r="DE715" s="1241"/>
      <c r="DF715" s="1241"/>
      <c r="DG715" s="1241"/>
      <c r="DH715" s="1241"/>
      <c r="DI715" s="1241"/>
      <c r="DJ715" s="1241"/>
      <c r="DK715" s="1241"/>
      <c r="DL715" s="1241"/>
      <c r="DM715" s="1241"/>
    </row>
    <row r="716" spans="1:117" s="1302" customFormat="1" ht="16">
      <c r="A716" s="1241"/>
      <c r="B716" s="2207" t="s">
        <v>4305</v>
      </c>
      <c r="C716" s="2207"/>
      <c r="D716" s="2207"/>
      <c r="E716" s="1522" t="s">
        <v>4683</v>
      </c>
      <c r="F716" s="1525"/>
      <c r="G716" s="1526"/>
      <c r="H716" s="1526">
        <v>119.035882541056</v>
      </c>
      <c r="I716" s="1526">
        <v>130.19600911978685</v>
      </c>
      <c r="J716" s="1526">
        <v>162.14138523037093</v>
      </c>
      <c r="K716" s="1526">
        <v>191.33743923823789</v>
      </c>
      <c r="L716" s="1526">
        <v>208.80990707480211</v>
      </c>
      <c r="M716" s="1526">
        <v>225.90948716214049</v>
      </c>
      <c r="N716" s="1526">
        <v>242.55205517420632</v>
      </c>
      <c r="O716" s="1526">
        <v>184.3277380008102</v>
      </c>
      <c r="P716" s="1241"/>
      <c r="Q716" s="1241"/>
      <c r="R716" s="1241"/>
      <c r="S716" s="1241"/>
      <c r="T716" s="1241"/>
      <c r="U716" s="1241"/>
      <c r="V716" s="1241"/>
      <c r="W716" s="1241"/>
      <c r="X716" s="1241"/>
      <c r="Y716" s="1241"/>
      <c r="Z716" s="1241"/>
      <c r="AA716" s="1241"/>
      <c r="AB716" s="1241"/>
      <c r="AC716" s="1241"/>
      <c r="AD716" s="1241"/>
      <c r="AE716" s="1241"/>
      <c r="AF716" s="1241"/>
      <c r="AG716" s="1241"/>
      <c r="AH716" s="1241"/>
      <c r="AI716" s="1241"/>
      <c r="AJ716" s="1241"/>
      <c r="AK716" s="1241"/>
      <c r="AL716" s="1241"/>
      <c r="AM716" s="1241"/>
      <c r="AN716" s="1241"/>
      <c r="AO716" s="1241"/>
      <c r="AP716" s="1241"/>
      <c r="AQ716" s="1241"/>
      <c r="AR716" s="1241"/>
      <c r="AS716" s="1241"/>
      <c r="AT716" s="1241"/>
      <c r="AU716" s="1241"/>
      <c r="AV716" s="1241"/>
      <c r="AW716" s="1241"/>
      <c r="AX716" s="1241"/>
      <c r="AY716" s="1241"/>
      <c r="AZ716" s="1241"/>
      <c r="BA716" s="1241"/>
      <c r="BB716" s="1241"/>
      <c r="BC716" s="1241"/>
      <c r="BD716" s="1241"/>
      <c r="BE716" s="1241"/>
      <c r="BF716" s="1241"/>
      <c r="BG716" s="1241"/>
      <c r="BH716" s="1241"/>
      <c r="BI716" s="1241"/>
      <c r="BJ716" s="1241"/>
      <c r="BK716" s="1241"/>
      <c r="BL716" s="1241"/>
      <c r="BM716" s="1241"/>
      <c r="BN716" s="1241"/>
      <c r="BO716" s="1241"/>
      <c r="BP716" s="1241"/>
      <c r="BQ716" s="1241"/>
      <c r="BR716" s="1241"/>
      <c r="BS716" s="1241"/>
      <c r="BT716" s="1241"/>
      <c r="BU716" s="1241"/>
      <c r="BV716" s="1241"/>
      <c r="BW716" s="1241"/>
      <c r="BX716" s="1241"/>
      <c r="BY716" s="1241"/>
      <c r="BZ716" s="1241"/>
      <c r="CA716" s="1241"/>
      <c r="CB716" s="1241"/>
      <c r="CC716" s="1241"/>
      <c r="CD716" s="1241"/>
      <c r="CE716" s="1241"/>
      <c r="CF716" s="1241"/>
      <c r="CG716" s="1241"/>
      <c r="CH716" s="1241"/>
      <c r="CI716" s="1241"/>
      <c r="CJ716" s="1241"/>
      <c r="CK716" s="1241"/>
      <c r="CL716" s="1241"/>
      <c r="CM716" s="1241"/>
      <c r="CN716" s="1241"/>
      <c r="CO716" s="1241"/>
      <c r="CP716" s="1241"/>
      <c r="CQ716" s="1241"/>
      <c r="CR716" s="1241"/>
      <c r="CS716" s="1241"/>
      <c r="CT716" s="1241"/>
      <c r="CU716" s="1241"/>
      <c r="CV716" s="1241"/>
      <c r="CW716" s="1241"/>
      <c r="CX716" s="1241"/>
      <c r="CY716" s="1241"/>
      <c r="CZ716" s="1241"/>
      <c r="DA716" s="1241"/>
      <c r="DB716" s="1241"/>
      <c r="DC716" s="1241"/>
      <c r="DD716" s="1241"/>
      <c r="DE716" s="1241"/>
      <c r="DF716" s="1241"/>
      <c r="DG716" s="1241"/>
      <c r="DH716" s="1241"/>
      <c r="DI716" s="1241"/>
      <c r="DJ716" s="1241"/>
      <c r="DK716" s="1241"/>
      <c r="DL716" s="1241"/>
      <c r="DM716" s="1241"/>
    </row>
    <row r="717" spans="1:117" s="1302" customFormat="1" ht="16">
      <c r="A717" s="1241"/>
      <c r="B717" s="2207" t="s">
        <v>4306</v>
      </c>
      <c r="C717" s="2207"/>
      <c r="D717" s="2207"/>
      <c r="E717" s="1522" t="s">
        <v>4683</v>
      </c>
      <c r="F717" s="1525"/>
      <c r="G717" s="1526"/>
      <c r="H717" s="1526">
        <v>198.99613085904002</v>
      </c>
      <c r="I717" s="1526">
        <v>213.83989012042878</v>
      </c>
      <c r="J717" s="1526">
        <v>266.98256876874785</v>
      </c>
      <c r="K717" s="1526">
        <v>315.88905708130551</v>
      </c>
      <c r="L717" s="1526">
        <v>345.68725956612241</v>
      </c>
      <c r="M717" s="1526">
        <v>375.0778085869681</v>
      </c>
      <c r="N717" s="1526">
        <v>403.93263404830481</v>
      </c>
      <c r="O717" s="1526">
        <v>303.99125595939239</v>
      </c>
      <c r="P717" s="1241"/>
      <c r="Q717" s="1241"/>
      <c r="R717" s="1241"/>
      <c r="S717" s="1241"/>
      <c r="T717" s="1241"/>
      <c r="U717" s="1241"/>
      <c r="V717" s="1241"/>
      <c r="W717" s="1241"/>
      <c r="X717" s="1241"/>
      <c r="Y717" s="1241"/>
      <c r="Z717" s="1241"/>
      <c r="AA717" s="1241"/>
      <c r="AB717" s="1241"/>
      <c r="AC717" s="1241"/>
      <c r="AD717" s="1241"/>
      <c r="AE717" s="1241"/>
      <c r="AF717" s="1241"/>
      <c r="AG717" s="1241"/>
      <c r="AH717" s="1241"/>
      <c r="AI717" s="1241"/>
      <c r="AJ717" s="1241"/>
      <c r="AK717" s="1241"/>
      <c r="AL717" s="1241"/>
      <c r="AM717" s="1241"/>
      <c r="AN717" s="1241"/>
      <c r="AO717" s="1241"/>
      <c r="AP717" s="1241"/>
      <c r="AQ717" s="1241"/>
      <c r="AR717" s="1241"/>
      <c r="AS717" s="1241"/>
      <c r="AT717" s="1241"/>
      <c r="AU717" s="1241"/>
      <c r="AV717" s="1241"/>
      <c r="AW717" s="1241"/>
      <c r="AX717" s="1241"/>
      <c r="AY717" s="1241"/>
      <c r="AZ717" s="1241"/>
      <c r="BA717" s="1241"/>
      <c r="BB717" s="1241"/>
      <c r="BC717" s="1241"/>
      <c r="BD717" s="1241"/>
      <c r="BE717" s="1241"/>
      <c r="BF717" s="1241"/>
      <c r="BG717" s="1241"/>
      <c r="BH717" s="1241"/>
      <c r="BI717" s="1241"/>
      <c r="BJ717" s="1241"/>
      <c r="BK717" s="1241"/>
      <c r="BL717" s="1241"/>
      <c r="BM717" s="1241"/>
      <c r="BN717" s="1241"/>
      <c r="BO717" s="1241"/>
      <c r="BP717" s="1241"/>
      <c r="BQ717" s="1241"/>
      <c r="BR717" s="1241"/>
      <c r="BS717" s="1241"/>
      <c r="BT717" s="1241"/>
      <c r="BU717" s="1241"/>
      <c r="BV717" s="1241"/>
      <c r="BW717" s="1241"/>
      <c r="BX717" s="1241"/>
      <c r="BY717" s="1241"/>
      <c r="BZ717" s="1241"/>
      <c r="CA717" s="1241"/>
      <c r="CB717" s="1241"/>
      <c r="CC717" s="1241"/>
      <c r="CD717" s="1241"/>
      <c r="CE717" s="1241"/>
      <c r="CF717" s="1241"/>
      <c r="CG717" s="1241"/>
      <c r="CH717" s="1241"/>
      <c r="CI717" s="1241"/>
      <c r="CJ717" s="1241"/>
      <c r="CK717" s="1241"/>
      <c r="CL717" s="1241"/>
      <c r="CM717" s="1241"/>
      <c r="CN717" s="1241"/>
      <c r="CO717" s="1241"/>
      <c r="CP717" s="1241"/>
      <c r="CQ717" s="1241"/>
      <c r="CR717" s="1241"/>
      <c r="CS717" s="1241"/>
      <c r="CT717" s="1241"/>
      <c r="CU717" s="1241"/>
      <c r="CV717" s="1241"/>
      <c r="CW717" s="1241"/>
      <c r="CX717" s="1241"/>
      <c r="CY717" s="1241"/>
      <c r="CZ717" s="1241"/>
      <c r="DA717" s="1241"/>
      <c r="DB717" s="1241"/>
      <c r="DC717" s="1241"/>
      <c r="DD717" s="1241"/>
      <c r="DE717" s="1241"/>
      <c r="DF717" s="1241"/>
      <c r="DG717" s="1241"/>
      <c r="DH717" s="1241"/>
      <c r="DI717" s="1241"/>
      <c r="DJ717" s="1241"/>
      <c r="DK717" s="1241"/>
      <c r="DL717" s="1241"/>
      <c r="DM717" s="1241"/>
    </row>
    <row r="718" spans="1:117" s="1302" customFormat="1" ht="16">
      <c r="A718" s="1241"/>
      <c r="B718" s="2207" t="s">
        <v>4307</v>
      </c>
      <c r="C718" s="2207"/>
      <c r="D718" s="2207"/>
      <c r="E718" s="1522" t="s">
        <v>4681</v>
      </c>
      <c r="F718" s="1525"/>
      <c r="G718" s="1487"/>
      <c r="H718" s="1487">
        <v>0.61894217034800147</v>
      </c>
      <c r="I718" s="1487">
        <v>0.59371163933002846</v>
      </c>
      <c r="J718" s="1487">
        <v>0.56037885926102515</v>
      </c>
      <c r="K718" s="1487">
        <v>0.52862254565465394</v>
      </c>
      <c r="L718" s="1487">
        <v>0.49837498399123514</v>
      </c>
      <c r="M718" s="1487">
        <v>0.46957120114611006</v>
      </c>
      <c r="N718" s="1487">
        <v>0.44214885857305886</v>
      </c>
      <c r="O718" s="1487">
        <v>0.5411402914320026</v>
      </c>
      <c r="P718" s="1241"/>
      <c r="Q718" s="1241"/>
      <c r="R718" s="1241"/>
      <c r="S718" s="1241"/>
      <c r="T718" s="1241"/>
      <c r="U718" s="1241"/>
      <c r="V718" s="1241"/>
      <c r="W718" s="1241"/>
      <c r="X718" s="1241"/>
      <c r="Y718" s="1241"/>
      <c r="Z718" s="1241"/>
      <c r="AA718" s="1241"/>
      <c r="AB718" s="1241"/>
      <c r="AC718" s="1241"/>
      <c r="AD718" s="1241"/>
      <c r="AE718" s="1241"/>
      <c r="AF718" s="1241"/>
      <c r="AG718" s="1241"/>
      <c r="AH718" s="1241"/>
      <c r="AI718" s="1241"/>
      <c r="AJ718" s="1241"/>
      <c r="AK718" s="1241"/>
      <c r="AL718" s="1241"/>
      <c r="AM718" s="1241"/>
      <c r="AN718" s="1241"/>
      <c r="AO718" s="1241"/>
      <c r="AP718" s="1241"/>
      <c r="AQ718" s="1241"/>
      <c r="AR718" s="1241"/>
      <c r="AS718" s="1241"/>
      <c r="AT718" s="1241"/>
      <c r="AU718" s="1241"/>
      <c r="AV718" s="1241"/>
      <c r="AW718" s="1241"/>
      <c r="AX718" s="1241"/>
      <c r="AY718" s="1241"/>
      <c r="AZ718" s="1241"/>
      <c r="BA718" s="1241"/>
      <c r="BB718" s="1241"/>
      <c r="BC718" s="1241"/>
      <c r="BD718" s="1241"/>
      <c r="BE718" s="1241"/>
      <c r="BF718" s="1241"/>
      <c r="BG718" s="1241"/>
      <c r="BH718" s="1241"/>
      <c r="BI718" s="1241"/>
      <c r="BJ718" s="1241"/>
      <c r="BK718" s="1241"/>
      <c r="BL718" s="1241"/>
      <c r="BM718" s="1241"/>
      <c r="BN718" s="1241"/>
      <c r="BO718" s="1241"/>
      <c r="BP718" s="1241"/>
      <c r="BQ718" s="1241"/>
      <c r="BR718" s="1241"/>
      <c r="BS718" s="1241"/>
      <c r="BT718" s="1241"/>
      <c r="BU718" s="1241"/>
      <c r="BV718" s="1241"/>
      <c r="BW718" s="1241"/>
      <c r="BX718" s="1241"/>
      <c r="BY718" s="1241"/>
      <c r="BZ718" s="1241"/>
      <c r="CA718" s="1241"/>
      <c r="CB718" s="1241"/>
      <c r="CC718" s="1241"/>
      <c r="CD718" s="1241"/>
      <c r="CE718" s="1241"/>
      <c r="CF718" s="1241"/>
      <c r="CG718" s="1241"/>
      <c r="CH718" s="1241"/>
      <c r="CI718" s="1241"/>
      <c r="CJ718" s="1241"/>
      <c r="CK718" s="1241"/>
      <c r="CL718" s="1241"/>
      <c r="CM718" s="1241"/>
      <c r="CN718" s="1241"/>
      <c r="CO718" s="1241"/>
      <c r="CP718" s="1241"/>
      <c r="CQ718" s="1241"/>
      <c r="CR718" s="1241"/>
      <c r="CS718" s="1241"/>
      <c r="CT718" s="1241"/>
      <c r="CU718" s="1241"/>
      <c r="CV718" s="1241"/>
      <c r="CW718" s="1241"/>
      <c r="CX718" s="1241"/>
      <c r="CY718" s="1241"/>
      <c r="CZ718" s="1241"/>
      <c r="DA718" s="1241"/>
      <c r="DB718" s="1241"/>
      <c r="DC718" s="1241"/>
      <c r="DD718" s="1241"/>
      <c r="DE718" s="1241"/>
      <c r="DF718" s="1241"/>
      <c r="DG718" s="1241"/>
      <c r="DH718" s="1241"/>
      <c r="DI718" s="1241"/>
      <c r="DJ718" s="1241"/>
      <c r="DK718" s="1241"/>
      <c r="DL718" s="1241"/>
      <c r="DM718" s="1241"/>
    </row>
    <row r="719" spans="1:117" s="1302" customFormat="1">
      <c r="A719" s="1241"/>
      <c r="B719" s="1508"/>
      <c r="C719" s="1241"/>
      <c r="D719" s="1243"/>
      <c r="E719" s="1242"/>
      <c r="F719" s="1519"/>
      <c r="G719" s="1471"/>
      <c r="H719" s="1471"/>
      <c r="I719" s="1471"/>
      <c r="J719" s="1471"/>
      <c r="K719" s="1471"/>
      <c r="L719" s="1471"/>
      <c r="M719" s="1471"/>
      <c r="N719" s="1471"/>
      <c r="O719" s="1471"/>
      <c r="P719" s="1241"/>
      <c r="Q719" s="1241"/>
      <c r="R719" s="1241"/>
      <c r="S719" s="1241"/>
      <c r="T719" s="1241"/>
      <c r="U719" s="1241"/>
      <c r="V719" s="1241"/>
      <c r="W719" s="1241"/>
      <c r="X719" s="1241"/>
      <c r="Y719" s="1241"/>
      <c r="Z719" s="1241"/>
      <c r="AA719" s="1241"/>
      <c r="AB719" s="1241"/>
      <c r="AC719" s="1241"/>
      <c r="AD719" s="1241"/>
      <c r="AE719" s="1241"/>
      <c r="AF719" s="1241"/>
      <c r="AG719" s="1241"/>
      <c r="AH719" s="1241"/>
      <c r="AI719" s="1241"/>
      <c r="AJ719" s="1241"/>
      <c r="AK719" s="1241"/>
      <c r="AL719" s="1241"/>
      <c r="AM719" s="1241"/>
      <c r="AN719" s="1241"/>
      <c r="AO719" s="1241"/>
      <c r="AP719" s="1241"/>
      <c r="AQ719" s="1241"/>
      <c r="AR719" s="1241"/>
      <c r="AS719" s="1241"/>
      <c r="AT719" s="1241"/>
      <c r="AU719" s="1241"/>
      <c r="AV719" s="1241"/>
      <c r="AW719" s="1241"/>
      <c r="AX719" s="1241"/>
      <c r="AY719" s="1241"/>
      <c r="AZ719" s="1241"/>
      <c r="BA719" s="1241"/>
      <c r="BB719" s="1241"/>
      <c r="BC719" s="1241"/>
      <c r="BD719" s="1241"/>
      <c r="BE719" s="1241"/>
      <c r="BF719" s="1241"/>
      <c r="BG719" s="1241"/>
      <c r="BH719" s="1241"/>
      <c r="BI719" s="1241"/>
      <c r="BJ719" s="1241"/>
      <c r="BK719" s="1241"/>
      <c r="BL719" s="1241"/>
      <c r="BM719" s="1241"/>
      <c r="BN719" s="1241"/>
      <c r="BO719" s="1241"/>
      <c r="BP719" s="1241"/>
      <c r="BQ719" s="1241"/>
      <c r="BR719" s="1241"/>
      <c r="BS719" s="1241"/>
      <c r="BT719" s="1241"/>
      <c r="BU719" s="1241"/>
      <c r="BV719" s="1241"/>
      <c r="BW719" s="1241"/>
      <c r="BX719" s="1241"/>
      <c r="BY719" s="1241"/>
      <c r="BZ719" s="1241"/>
      <c r="CA719" s="1241"/>
      <c r="CB719" s="1241"/>
      <c r="CC719" s="1241"/>
      <c r="CD719" s="1241"/>
      <c r="CE719" s="1241"/>
      <c r="CF719" s="1241"/>
      <c r="CG719" s="1241"/>
      <c r="CH719" s="1241"/>
      <c r="CI719" s="1241"/>
      <c r="CJ719" s="1241"/>
      <c r="CK719" s="1241"/>
      <c r="CL719" s="1241"/>
      <c r="CM719" s="1241"/>
      <c r="CN719" s="1241"/>
      <c r="CO719" s="1241"/>
      <c r="CP719" s="1241"/>
      <c r="CQ719" s="1241"/>
      <c r="CR719" s="1241"/>
      <c r="CS719" s="1241"/>
      <c r="CT719" s="1241"/>
      <c r="CU719" s="1241"/>
      <c r="CV719" s="1241"/>
      <c r="CW719" s="1241"/>
      <c r="CX719" s="1241"/>
      <c r="CY719" s="1241"/>
      <c r="CZ719" s="1241"/>
      <c r="DA719" s="1241"/>
      <c r="DB719" s="1241"/>
      <c r="DC719" s="1241"/>
      <c r="DD719" s="1241"/>
      <c r="DE719" s="1241"/>
      <c r="DF719" s="1241"/>
      <c r="DG719" s="1241"/>
      <c r="DH719" s="1241"/>
      <c r="DI719" s="1241"/>
      <c r="DJ719" s="1241"/>
      <c r="DK719" s="1241"/>
      <c r="DL719" s="1241"/>
      <c r="DM719" s="1241"/>
    </row>
    <row r="720" spans="1:117" s="1302" customFormat="1">
      <c r="A720" s="1241"/>
      <c r="B720" s="1508"/>
      <c r="C720" s="1241"/>
      <c r="D720" s="1241"/>
      <c r="E720" s="1508"/>
      <c r="F720" s="1519"/>
      <c r="G720" s="1471"/>
      <c r="H720" s="1471"/>
      <c r="I720" s="1471"/>
      <c r="J720" s="1471"/>
      <c r="K720" s="1471"/>
      <c r="L720" s="1471"/>
      <c r="M720" s="1471"/>
      <c r="N720" s="1471"/>
      <c r="O720" s="1471"/>
      <c r="P720" s="1241"/>
      <c r="Q720" s="1241"/>
      <c r="R720" s="1241"/>
      <c r="S720" s="1241"/>
      <c r="T720" s="1241"/>
      <c r="U720" s="1241"/>
      <c r="V720" s="1241"/>
      <c r="W720" s="1241"/>
      <c r="X720" s="1241"/>
      <c r="Y720" s="1241"/>
      <c r="Z720" s="1241"/>
      <c r="AA720" s="1241"/>
      <c r="AB720" s="1241"/>
      <c r="AC720" s="1241"/>
      <c r="AD720" s="1241"/>
      <c r="AE720" s="1241"/>
      <c r="AF720" s="1241"/>
      <c r="AG720" s="1241"/>
      <c r="AH720" s="1241"/>
      <c r="AI720" s="1241"/>
      <c r="AJ720" s="1241"/>
      <c r="AK720" s="1241"/>
      <c r="AL720" s="1241"/>
      <c r="AM720" s="1241"/>
      <c r="AN720" s="1241"/>
      <c r="AO720" s="1241"/>
      <c r="AP720" s="1241"/>
      <c r="AQ720" s="1241"/>
      <c r="AR720" s="1241"/>
      <c r="AS720" s="1241"/>
      <c r="AT720" s="1241"/>
      <c r="AU720" s="1241"/>
      <c r="AV720" s="1241"/>
      <c r="AW720" s="1241"/>
      <c r="AX720" s="1241"/>
      <c r="AY720" s="1241"/>
      <c r="AZ720" s="1241"/>
      <c r="BA720" s="1241"/>
      <c r="BB720" s="1241"/>
      <c r="BC720" s="1241"/>
      <c r="BD720" s="1241"/>
      <c r="BE720" s="1241"/>
      <c r="BF720" s="1241"/>
      <c r="BG720" s="1241"/>
      <c r="BH720" s="1241"/>
      <c r="BI720" s="1241"/>
      <c r="BJ720" s="1241"/>
      <c r="BK720" s="1241"/>
      <c r="BL720" s="1241"/>
      <c r="BM720" s="1241"/>
      <c r="BN720" s="1241"/>
      <c r="BO720" s="1241"/>
      <c r="BP720" s="1241"/>
      <c r="BQ720" s="1241"/>
      <c r="BR720" s="1241"/>
      <c r="BS720" s="1241"/>
      <c r="BT720" s="1241"/>
      <c r="BU720" s="1241"/>
      <c r="BV720" s="1241"/>
      <c r="BW720" s="1241"/>
      <c r="BX720" s="1241"/>
      <c r="BY720" s="1241"/>
      <c r="BZ720" s="1241"/>
      <c r="CA720" s="1241"/>
      <c r="CB720" s="1241"/>
      <c r="CC720" s="1241"/>
      <c r="CD720" s="1241"/>
      <c r="CE720" s="1241"/>
      <c r="CF720" s="1241"/>
      <c r="CG720" s="1241"/>
      <c r="CH720" s="1241"/>
      <c r="CI720" s="1241"/>
      <c r="CJ720" s="1241"/>
      <c r="CK720" s="1241"/>
      <c r="CL720" s="1241"/>
      <c r="CM720" s="1241"/>
      <c r="CN720" s="1241"/>
      <c r="CO720" s="1241"/>
      <c r="CP720" s="1241"/>
      <c r="CQ720" s="1241"/>
      <c r="CR720" s="1241"/>
      <c r="CS720" s="1241"/>
      <c r="CT720" s="1241"/>
      <c r="CU720" s="1241"/>
      <c r="CV720" s="1241"/>
      <c r="CW720" s="1241"/>
      <c r="CX720" s="1241"/>
      <c r="CY720" s="1241"/>
      <c r="CZ720" s="1241"/>
      <c r="DA720" s="1241"/>
      <c r="DB720" s="1241"/>
      <c r="DC720" s="1241"/>
      <c r="DD720" s="1241"/>
      <c r="DE720" s="1241"/>
      <c r="DF720" s="1241"/>
      <c r="DG720" s="1241"/>
      <c r="DH720" s="1241"/>
      <c r="DI720" s="1241"/>
      <c r="DJ720" s="1241"/>
      <c r="DK720" s="1241"/>
      <c r="DL720" s="1241"/>
      <c r="DM720" s="1241"/>
    </row>
    <row r="721" spans="1:117" s="1302" customFormat="1">
      <c r="A721" s="1241"/>
      <c r="B721" s="1508"/>
      <c r="C721" s="1241"/>
      <c r="D721" s="1241"/>
      <c r="E721" s="1508"/>
      <c r="F721" s="1527"/>
      <c r="G721" s="1471"/>
      <c r="H721" s="1471"/>
      <c r="I721" s="1471"/>
      <c r="J721" s="1471"/>
      <c r="K721" s="1471"/>
      <c r="L721" s="1471"/>
      <c r="M721" s="1471"/>
      <c r="N721" s="1471"/>
      <c r="O721" s="1471"/>
      <c r="P721" s="1241"/>
      <c r="Q721" s="1241"/>
      <c r="R721" s="1241"/>
      <c r="S721" s="1241"/>
      <c r="T721" s="1241"/>
      <c r="U721" s="1241"/>
      <c r="V721" s="1241"/>
      <c r="W721" s="1241"/>
      <c r="X721" s="1241"/>
      <c r="Y721" s="1241"/>
      <c r="Z721" s="1241"/>
      <c r="AA721" s="1241"/>
      <c r="AB721" s="1241"/>
      <c r="AC721" s="1241"/>
      <c r="AD721" s="1241"/>
      <c r="AE721" s="1241"/>
      <c r="AF721" s="1241"/>
      <c r="AG721" s="1241"/>
      <c r="AH721" s="1241"/>
      <c r="AI721" s="1241"/>
      <c r="AJ721" s="1241"/>
      <c r="AK721" s="1241"/>
      <c r="AL721" s="1241"/>
      <c r="AM721" s="1241"/>
      <c r="AN721" s="1241"/>
      <c r="AO721" s="1241"/>
      <c r="AP721" s="1241"/>
      <c r="AQ721" s="1241"/>
      <c r="AR721" s="1241"/>
      <c r="AS721" s="1241"/>
      <c r="AT721" s="1241"/>
      <c r="AU721" s="1241"/>
      <c r="AV721" s="1241"/>
      <c r="AW721" s="1241"/>
      <c r="AX721" s="1241"/>
      <c r="AY721" s="1241"/>
      <c r="AZ721" s="1241"/>
      <c r="BA721" s="1241"/>
      <c r="BB721" s="1241"/>
      <c r="BC721" s="1241"/>
      <c r="BD721" s="1241"/>
      <c r="BE721" s="1241"/>
      <c r="BF721" s="1241"/>
      <c r="BG721" s="1241"/>
      <c r="BH721" s="1241"/>
      <c r="BI721" s="1241"/>
      <c r="BJ721" s="1241"/>
      <c r="BK721" s="1241"/>
      <c r="BL721" s="1241"/>
      <c r="BM721" s="1241"/>
      <c r="BN721" s="1241"/>
      <c r="BO721" s="1241"/>
      <c r="BP721" s="1241"/>
      <c r="BQ721" s="1241"/>
      <c r="BR721" s="1241"/>
      <c r="BS721" s="1241"/>
      <c r="BT721" s="1241"/>
      <c r="BU721" s="1241"/>
      <c r="BV721" s="1241"/>
      <c r="BW721" s="1241"/>
      <c r="BX721" s="1241"/>
      <c r="BY721" s="1241"/>
      <c r="BZ721" s="1241"/>
      <c r="CA721" s="1241"/>
      <c r="CB721" s="1241"/>
      <c r="CC721" s="1241"/>
      <c r="CD721" s="1241"/>
      <c r="CE721" s="1241"/>
      <c r="CF721" s="1241"/>
      <c r="CG721" s="1241"/>
      <c r="CH721" s="1241"/>
      <c r="CI721" s="1241"/>
      <c r="CJ721" s="1241"/>
      <c r="CK721" s="1241"/>
      <c r="CL721" s="1241"/>
      <c r="CM721" s="1241"/>
      <c r="CN721" s="1241"/>
      <c r="CO721" s="1241"/>
      <c r="CP721" s="1241"/>
      <c r="CQ721" s="1241"/>
      <c r="CR721" s="1241"/>
      <c r="CS721" s="1241"/>
      <c r="CT721" s="1241"/>
      <c r="CU721" s="1241"/>
      <c r="CV721" s="1241"/>
      <c r="CW721" s="1241"/>
      <c r="CX721" s="1241"/>
      <c r="CY721" s="1241"/>
      <c r="CZ721" s="1241"/>
      <c r="DA721" s="1241"/>
      <c r="DB721" s="1241"/>
      <c r="DC721" s="1241"/>
      <c r="DD721" s="1241"/>
      <c r="DE721" s="1241"/>
      <c r="DF721" s="1241"/>
      <c r="DG721" s="1241"/>
      <c r="DH721" s="1241"/>
      <c r="DI721" s="1241"/>
      <c r="DJ721" s="1241"/>
      <c r="DK721" s="1241"/>
      <c r="DL721" s="1241"/>
      <c r="DM721" s="1241"/>
    </row>
    <row r="722" spans="1:117" s="1302" customFormat="1">
      <c r="A722" s="1459">
        <v>1.2</v>
      </c>
      <c r="B722" s="1459" t="s">
        <v>4308</v>
      </c>
      <c r="C722" s="1241"/>
      <c r="D722" s="1241"/>
      <c r="E722" s="1528" t="s">
        <v>840</v>
      </c>
      <c r="F722" s="1467"/>
      <c r="G722" s="1224">
        <v>2015</v>
      </c>
      <c r="H722" s="1224">
        <v>2020</v>
      </c>
      <c r="I722" s="1224">
        <v>2022</v>
      </c>
      <c r="J722" s="1224">
        <v>2027</v>
      </c>
      <c r="K722" s="1224">
        <v>2032</v>
      </c>
      <c r="L722" s="1224">
        <v>2037</v>
      </c>
      <c r="M722" s="1224">
        <v>2042</v>
      </c>
      <c r="N722" s="1224">
        <v>2047</v>
      </c>
      <c r="O722" s="1224">
        <v>2030</v>
      </c>
      <c r="P722" s="1241"/>
      <c r="Q722" s="1241"/>
      <c r="R722" s="1241"/>
      <c r="S722" s="1241"/>
      <c r="T722" s="1241"/>
      <c r="U722" s="1241"/>
      <c r="V722" s="1241"/>
      <c r="W722" s="1241"/>
      <c r="X722" s="1241"/>
      <c r="Y722" s="1241"/>
      <c r="Z722" s="1241"/>
      <c r="AA722" s="1241"/>
      <c r="AB722" s="1241"/>
      <c r="AC722" s="1241"/>
      <c r="AD722" s="1241"/>
      <c r="AE722" s="1241"/>
      <c r="AF722" s="1241"/>
      <c r="AG722" s="1241"/>
      <c r="AH722" s="1241"/>
      <c r="AI722" s="1241"/>
      <c r="AJ722" s="1241"/>
      <c r="AK722" s="1241"/>
      <c r="AL722" s="1241"/>
      <c r="AM722" s="1241"/>
      <c r="AN722" s="1241"/>
      <c r="AO722" s="1241"/>
      <c r="AP722" s="1241"/>
      <c r="AQ722" s="1241"/>
      <c r="AR722" s="1241"/>
      <c r="AS722" s="1241"/>
      <c r="AT722" s="1241"/>
      <c r="AU722" s="1241"/>
      <c r="AV722" s="1241"/>
      <c r="AW722" s="1241"/>
      <c r="AX722" s="1241"/>
      <c r="AY722" s="1241"/>
      <c r="AZ722" s="1241"/>
      <c r="BA722" s="1241"/>
      <c r="BB722" s="1241"/>
      <c r="BC722" s="1241"/>
      <c r="BD722" s="1241"/>
      <c r="BE722" s="1241"/>
      <c r="BF722" s="1241"/>
      <c r="BG722" s="1241"/>
      <c r="BH722" s="1241"/>
      <c r="BI722" s="1241"/>
      <c r="BJ722" s="1241"/>
      <c r="BK722" s="1241"/>
      <c r="BL722" s="1241"/>
      <c r="BM722" s="1241"/>
      <c r="BN722" s="1241"/>
      <c r="BO722" s="1241"/>
      <c r="BP722" s="1241"/>
      <c r="BQ722" s="1241"/>
      <c r="BR722" s="1241"/>
      <c r="BS722" s="1241"/>
      <c r="BT722" s="1241"/>
      <c r="BU722" s="1241"/>
      <c r="BV722" s="1241"/>
      <c r="BW722" s="1241"/>
      <c r="BX722" s="1241"/>
      <c r="BY722" s="1241"/>
      <c r="BZ722" s="1241"/>
      <c r="CA722" s="1241"/>
      <c r="CB722" s="1241"/>
      <c r="CC722" s="1241"/>
      <c r="CD722" s="1241"/>
      <c r="CE722" s="1241"/>
      <c r="CF722" s="1241"/>
      <c r="CG722" s="1241"/>
      <c r="CH722" s="1241"/>
      <c r="CI722" s="1241"/>
      <c r="CJ722" s="1241"/>
      <c r="CK722" s="1241"/>
      <c r="CL722" s="1241"/>
      <c r="CM722" s="1241"/>
      <c r="CN722" s="1241"/>
      <c r="CO722" s="1241"/>
      <c r="CP722" s="1241"/>
      <c r="CQ722" s="1241"/>
      <c r="CR722" s="1241"/>
      <c r="CS722" s="1241"/>
      <c r="CT722" s="1241"/>
      <c r="CU722" s="1241"/>
      <c r="CV722" s="1241"/>
      <c r="CW722" s="1241"/>
      <c r="CX722" s="1241"/>
      <c r="CY722" s="1241"/>
      <c r="CZ722" s="1241"/>
      <c r="DA722" s="1241"/>
      <c r="DB722" s="1241"/>
      <c r="DC722" s="1241"/>
      <c r="DD722" s="1241"/>
      <c r="DE722" s="1241"/>
      <c r="DF722" s="1241"/>
      <c r="DG722" s="1241"/>
      <c r="DH722" s="1241"/>
      <c r="DI722" s="1241"/>
      <c r="DJ722" s="1241"/>
      <c r="DK722" s="1241"/>
      <c r="DL722" s="1241"/>
      <c r="DM722" s="1241"/>
    </row>
    <row r="723" spans="1:117" s="1302" customFormat="1">
      <c r="A723" s="1241"/>
      <c r="B723" s="1459"/>
      <c r="C723" s="1466"/>
      <c r="D723" s="1241"/>
      <c r="E723" s="1460"/>
      <c r="F723" s="1467"/>
      <c r="G723" s="1224"/>
      <c r="H723" s="1224"/>
      <c r="I723" s="1224"/>
      <c r="J723" s="1224"/>
      <c r="K723" s="1224"/>
      <c r="L723" s="1224"/>
      <c r="M723" s="1224"/>
      <c r="N723" s="1224"/>
      <c r="O723" s="1224"/>
      <c r="P723" s="1241"/>
      <c r="Q723" s="1241"/>
      <c r="R723" s="1241"/>
      <c r="S723" s="1241"/>
      <c r="T723" s="1241"/>
      <c r="U723" s="1241"/>
      <c r="V723" s="1241"/>
      <c r="W723" s="1241"/>
      <c r="X723" s="1241"/>
      <c r="Y723" s="1241"/>
      <c r="Z723" s="1241"/>
      <c r="AA723" s="1241"/>
      <c r="AB723" s="1241"/>
      <c r="AC723" s="1241"/>
      <c r="AD723" s="1241"/>
      <c r="AE723" s="1241"/>
      <c r="AF723" s="1241"/>
      <c r="AG723" s="1241"/>
      <c r="AH723" s="1241"/>
      <c r="AI723" s="1241"/>
      <c r="AJ723" s="1241"/>
      <c r="AK723" s="1241"/>
      <c r="AL723" s="1241"/>
      <c r="AM723" s="1241"/>
      <c r="AN723" s="1241"/>
      <c r="AO723" s="1241"/>
      <c r="AP723" s="1241"/>
      <c r="AQ723" s="1241"/>
      <c r="AR723" s="1241"/>
      <c r="AS723" s="1241"/>
      <c r="AT723" s="1241"/>
      <c r="AU723" s="1241"/>
      <c r="AV723" s="1241"/>
      <c r="AW723" s="1241"/>
      <c r="AX723" s="1241"/>
      <c r="AY723" s="1241"/>
      <c r="AZ723" s="1241"/>
      <c r="BA723" s="1241"/>
      <c r="BB723" s="1241"/>
      <c r="BC723" s="1241"/>
      <c r="BD723" s="1241"/>
      <c r="BE723" s="1241"/>
      <c r="BF723" s="1241"/>
      <c r="BG723" s="1241"/>
      <c r="BH723" s="1241"/>
      <c r="BI723" s="1241"/>
      <c r="BJ723" s="1241"/>
      <c r="BK723" s="1241"/>
      <c r="BL723" s="1241"/>
      <c r="BM723" s="1241"/>
      <c r="BN723" s="1241"/>
      <c r="BO723" s="1241"/>
      <c r="BP723" s="1241"/>
      <c r="BQ723" s="1241"/>
      <c r="BR723" s="1241"/>
      <c r="BS723" s="1241"/>
      <c r="BT723" s="1241"/>
      <c r="BU723" s="1241"/>
      <c r="BV723" s="1241"/>
      <c r="BW723" s="1241"/>
      <c r="BX723" s="1241"/>
      <c r="BY723" s="1241"/>
      <c r="BZ723" s="1241"/>
      <c r="CA723" s="1241"/>
      <c r="CB723" s="1241"/>
      <c r="CC723" s="1241"/>
      <c r="CD723" s="1241"/>
      <c r="CE723" s="1241"/>
      <c r="CF723" s="1241"/>
      <c r="CG723" s="1241"/>
      <c r="CH723" s="1241"/>
      <c r="CI723" s="1241"/>
      <c r="CJ723" s="1241"/>
      <c r="CK723" s="1241"/>
      <c r="CL723" s="1241"/>
      <c r="CM723" s="1241"/>
      <c r="CN723" s="1241"/>
      <c r="CO723" s="1241"/>
      <c r="CP723" s="1241"/>
      <c r="CQ723" s="1241"/>
      <c r="CR723" s="1241"/>
      <c r="CS723" s="1241"/>
      <c r="CT723" s="1241"/>
      <c r="CU723" s="1241"/>
      <c r="CV723" s="1241"/>
      <c r="CW723" s="1241"/>
      <c r="CX723" s="1241"/>
      <c r="CY723" s="1241"/>
      <c r="CZ723" s="1241"/>
      <c r="DA723" s="1241"/>
      <c r="DB723" s="1241"/>
      <c r="DC723" s="1241"/>
      <c r="DD723" s="1241"/>
      <c r="DE723" s="1241"/>
      <c r="DF723" s="1241"/>
      <c r="DG723" s="1241"/>
      <c r="DH723" s="1241"/>
      <c r="DI723" s="1241"/>
      <c r="DJ723" s="1241"/>
      <c r="DK723" s="1241"/>
      <c r="DL723" s="1241"/>
      <c r="DM723" s="1241"/>
    </row>
    <row r="724" spans="1:117" s="1302" customFormat="1">
      <c r="A724" s="1241"/>
      <c r="B724" s="1468" t="s">
        <v>4309</v>
      </c>
      <c r="C724" s="1241"/>
      <c r="D724" s="1241"/>
      <c r="E724" s="1469" t="s">
        <v>3925</v>
      </c>
      <c r="F724" s="1529"/>
      <c r="G724" s="1471">
        <v>30.6</v>
      </c>
      <c r="H724" s="1471">
        <v>24.450000000000003</v>
      </c>
      <c r="I724" s="1471">
        <v>25.47777154205556</v>
      </c>
      <c r="J724" s="1471">
        <v>28.205205597054913</v>
      </c>
      <c r="K724" s="1471">
        <v>31.172863414850081</v>
      </c>
      <c r="L724" s="1471">
        <v>34.400045913260435</v>
      </c>
      <c r="M724" s="1471">
        <v>37.907523744360418</v>
      </c>
      <c r="N724" s="1471">
        <v>41.717645338919922</v>
      </c>
      <c r="O724" s="1471">
        <v>29.95576998301685</v>
      </c>
      <c r="P724" s="1241"/>
      <c r="Q724" s="1241"/>
      <c r="R724" s="1241"/>
      <c r="S724" s="1241"/>
      <c r="T724" s="1241"/>
      <c r="U724" s="1241"/>
      <c r="V724" s="1241"/>
      <c r="W724" s="1241"/>
      <c r="X724" s="1241"/>
      <c r="Y724" s="1241"/>
      <c r="Z724" s="1241"/>
      <c r="AA724" s="1241"/>
      <c r="AB724" s="1241"/>
      <c r="AC724" s="1241"/>
      <c r="AD724" s="1241"/>
      <c r="AE724" s="1241"/>
      <c r="AF724" s="1241"/>
      <c r="AG724" s="1241"/>
      <c r="AH724" s="1241"/>
      <c r="AI724" s="1241"/>
      <c r="AJ724" s="1241"/>
      <c r="AK724" s="1241"/>
      <c r="AL724" s="1241"/>
      <c r="AM724" s="1241"/>
      <c r="AN724" s="1241"/>
      <c r="AO724" s="1241"/>
      <c r="AP724" s="1241"/>
      <c r="AQ724" s="1241"/>
      <c r="AR724" s="1241"/>
      <c r="AS724" s="1241"/>
      <c r="AT724" s="1241"/>
      <c r="AU724" s="1241"/>
      <c r="AV724" s="1241"/>
      <c r="AW724" s="1241"/>
      <c r="AX724" s="1241"/>
      <c r="AY724" s="1241"/>
      <c r="AZ724" s="1241"/>
      <c r="BA724" s="1241"/>
      <c r="BB724" s="1241"/>
      <c r="BC724" s="1241"/>
      <c r="BD724" s="1241"/>
      <c r="BE724" s="1241"/>
      <c r="BF724" s="1241"/>
      <c r="BG724" s="1241"/>
      <c r="BH724" s="1241"/>
      <c r="BI724" s="1241"/>
      <c r="BJ724" s="1241"/>
      <c r="BK724" s="1241"/>
      <c r="BL724" s="1241"/>
      <c r="BM724" s="1241"/>
      <c r="BN724" s="1241"/>
      <c r="BO724" s="1241"/>
      <c r="BP724" s="1241"/>
      <c r="BQ724" s="1241"/>
      <c r="BR724" s="1241"/>
      <c r="BS724" s="1241"/>
      <c r="BT724" s="1241"/>
      <c r="BU724" s="1241"/>
      <c r="BV724" s="1241"/>
      <c r="BW724" s="1241"/>
      <c r="BX724" s="1241"/>
      <c r="BY724" s="1241"/>
      <c r="BZ724" s="1241"/>
      <c r="CA724" s="1241"/>
      <c r="CB724" s="1241"/>
      <c r="CC724" s="1241"/>
      <c r="CD724" s="1241"/>
      <c r="CE724" s="1241"/>
      <c r="CF724" s="1241"/>
      <c r="CG724" s="1241"/>
      <c r="CH724" s="1241"/>
      <c r="CI724" s="1241"/>
      <c r="CJ724" s="1241"/>
      <c r="CK724" s="1241"/>
      <c r="CL724" s="1241"/>
      <c r="CM724" s="1241"/>
      <c r="CN724" s="1241"/>
      <c r="CO724" s="1241"/>
      <c r="CP724" s="1241"/>
      <c r="CQ724" s="1241"/>
      <c r="CR724" s="1241"/>
      <c r="CS724" s="1241"/>
      <c r="CT724" s="1241"/>
      <c r="CU724" s="1241"/>
      <c r="CV724" s="1241"/>
      <c r="CW724" s="1241"/>
      <c r="CX724" s="1241"/>
      <c r="CY724" s="1241"/>
      <c r="CZ724" s="1241"/>
      <c r="DA724" s="1241"/>
      <c r="DB724" s="1241"/>
      <c r="DC724" s="1241"/>
      <c r="DD724" s="1241"/>
      <c r="DE724" s="1241"/>
      <c r="DF724" s="1241"/>
      <c r="DG724" s="1241"/>
      <c r="DH724" s="1241"/>
      <c r="DI724" s="1241"/>
      <c r="DJ724" s="1241"/>
      <c r="DK724" s="1241"/>
      <c r="DL724" s="1241"/>
      <c r="DM724" s="1241"/>
    </row>
    <row r="725" spans="1:117" s="1302" customFormat="1">
      <c r="A725" s="1241"/>
      <c r="B725" s="1468" t="s">
        <v>3849</v>
      </c>
      <c r="C725" s="1241"/>
      <c r="D725" s="1241"/>
      <c r="E725" s="1469" t="s">
        <v>420</v>
      </c>
      <c r="F725" s="1529"/>
      <c r="G725" s="1471">
        <v>18.583379999999998</v>
      </c>
      <c r="H725" s="1471">
        <v>14.474400000000001</v>
      </c>
      <c r="I725" s="1471">
        <v>14.935391052524977</v>
      </c>
      <c r="J725" s="1471">
        <v>16.133108708381709</v>
      </c>
      <c r="K725" s="1471">
        <v>17.39799165752925</v>
      </c>
      <c r="L725" s="1471">
        <v>18.733333944025905</v>
      </c>
      <c r="M725" s="1471">
        <v>20.14258011411868</v>
      </c>
      <c r="N725" s="1471">
        <v>21.6293317970228</v>
      </c>
      <c r="O725" s="1471">
        <v>16.883771126006362</v>
      </c>
      <c r="P725" s="1241"/>
      <c r="Q725" s="1241"/>
      <c r="R725" s="1241"/>
      <c r="S725" s="1241"/>
      <c r="T725" s="1241"/>
      <c r="U725" s="1241"/>
      <c r="V725" s="1241"/>
      <c r="W725" s="1241"/>
      <c r="X725" s="1241"/>
      <c r="Y725" s="1241"/>
      <c r="Z725" s="1241"/>
      <c r="AA725" s="1241"/>
      <c r="AB725" s="1241"/>
      <c r="AC725" s="1241"/>
      <c r="AD725" s="1241"/>
      <c r="AE725" s="1241"/>
      <c r="AF725" s="1241"/>
      <c r="AG725" s="1241"/>
      <c r="AH725" s="1241"/>
      <c r="AI725" s="1241"/>
      <c r="AJ725" s="1241"/>
      <c r="AK725" s="1241"/>
      <c r="AL725" s="1241"/>
      <c r="AM725" s="1241"/>
      <c r="AN725" s="1241"/>
      <c r="AO725" s="1241"/>
      <c r="AP725" s="1241"/>
      <c r="AQ725" s="1241"/>
      <c r="AR725" s="1241"/>
      <c r="AS725" s="1241"/>
      <c r="AT725" s="1241"/>
      <c r="AU725" s="1241"/>
      <c r="AV725" s="1241"/>
      <c r="AW725" s="1241"/>
      <c r="AX725" s="1241"/>
      <c r="AY725" s="1241"/>
      <c r="AZ725" s="1241"/>
      <c r="BA725" s="1241"/>
      <c r="BB725" s="1241"/>
      <c r="BC725" s="1241"/>
      <c r="BD725" s="1241"/>
      <c r="BE725" s="1241"/>
      <c r="BF725" s="1241"/>
      <c r="BG725" s="1241"/>
      <c r="BH725" s="1241"/>
      <c r="BI725" s="1241"/>
      <c r="BJ725" s="1241"/>
      <c r="BK725" s="1241"/>
      <c r="BL725" s="1241"/>
      <c r="BM725" s="1241"/>
      <c r="BN725" s="1241"/>
      <c r="BO725" s="1241"/>
      <c r="BP725" s="1241"/>
      <c r="BQ725" s="1241"/>
      <c r="BR725" s="1241"/>
      <c r="BS725" s="1241"/>
      <c r="BT725" s="1241"/>
      <c r="BU725" s="1241"/>
      <c r="BV725" s="1241"/>
      <c r="BW725" s="1241"/>
      <c r="BX725" s="1241"/>
      <c r="BY725" s="1241"/>
      <c r="BZ725" s="1241"/>
      <c r="CA725" s="1241"/>
      <c r="CB725" s="1241"/>
      <c r="CC725" s="1241"/>
      <c r="CD725" s="1241"/>
      <c r="CE725" s="1241"/>
      <c r="CF725" s="1241"/>
      <c r="CG725" s="1241"/>
      <c r="CH725" s="1241"/>
      <c r="CI725" s="1241"/>
      <c r="CJ725" s="1241"/>
      <c r="CK725" s="1241"/>
      <c r="CL725" s="1241"/>
      <c r="CM725" s="1241"/>
      <c r="CN725" s="1241"/>
      <c r="CO725" s="1241"/>
      <c r="CP725" s="1241"/>
      <c r="CQ725" s="1241"/>
      <c r="CR725" s="1241"/>
      <c r="CS725" s="1241"/>
      <c r="CT725" s="1241"/>
      <c r="CU725" s="1241"/>
      <c r="CV725" s="1241"/>
      <c r="CW725" s="1241"/>
      <c r="CX725" s="1241"/>
      <c r="CY725" s="1241"/>
      <c r="CZ725" s="1241"/>
      <c r="DA725" s="1241"/>
      <c r="DB725" s="1241"/>
      <c r="DC725" s="1241"/>
      <c r="DD725" s="1241"/>
      <c r="DE725" s="1241"/>
      <c r="DF725" s="1241"/>
      <c r="DG725" s="1241"/>
      <c r="DH725" s="1241"/>
      <c r="DI725" s="1241"/>
      <c r="DJ725" s="1241"/>
      <c r="DK725" s="1241"/>
      <c r="DL725" s="1241"/>
      <c r="DM725" s="1241"/>
    </row>
    <row r="726" spans="1:117" s="1302" customFormat="1">
      <c r="A726" s="1243"/>
      <c r="B726" s="1243"/>
      <c r="C726" s="1214"/>
      <c r="D726" s="1243"/>
      <c r="E726" s="1215"/>
      <c r="F726" s="1472"/>
      <c r="G726" s="1473"/>
      <c r="H726" s="1473"/>
      <c r="I726" s="1473"/>
      <c r="J726" s="1473"/>
      <c r="K726" s="1473"/>
      <c r="L726" s="1473"/>
      <c r="M726" s="1473"/>
      <c r="N726" s="1473"/>
      <c r="O726" s="1473"/>
      <c r="P726" s="1241"/>
      <c r="Q726" s="1241"/>
      <c r="R726" s="1241"/>
      <c r="S726" s="1241"/>
      <c r="T726" s="1241"/>
      <c r="U726" s="1241"/>
      <c r="V726" s="1241"/>
      <c r="W726" s="1241"/>
      <c r="X726" s="1241"/>
      <c r="Y726" s="1241"/>
      <c r="Z726" s="1241"/>
      <c r="AA726" s="1241"/>
      <c r="AB726" s="1241"/>
      <c r="AC726" s="1241"/>
      <c r="AD726" s="1241"/>
      <c r="AE726" s="1241"/>
      <c r="AF726" s="1241"/>
      <c r="AG726" s="1241"/>
      <c r="AH726" s="1241"/>
      <c r="AI726" s="1241"/>
      <c r="AJ726" s="1241"/>
      <c r="AK726" s="1241"/>
      <c r="AL726" s="1241"/>
      <c r="AM726" s="1241"/>
      <c r="AN726" s="1241"/>
      <c r="AO726" s="1241"/>
      <c r="AP726" s="1241"/>
      <c r="AQ726" s="1241"/>
      <c r="AR726" s="1241"/>
      <c r="AS726" s="1241"/>
      <c r="AT726" s="1241"/>
      <c r="AU726" s="1241"/>
      <c r="AV726" s="1241"/>
      <c r="AW726" s="1241"/>
      <c r="AX726" s="1241"/>
      <c r="AY726" s="1241"/>
      <c r="AZ726" s="1241"/>
      <c r="BA726" s="1241"/>
      <c r="BB726" s="1241"/>
      <c r="BC726" s="1241"/>
      <c r="BD726" s="1241"/>
      <c r="BE726" s="1241"/>
      <c r="BF726" s="1241"/>
      <c r="BG726" s="1241"/>
      <c r="BH726" s="1241"/>
      <c r="BI726" s="1241"/>
      <c r="BJ726" s="1241"/>
      <c r="BK726" s="1241"/>
      <c r="BL726" s="1241"/>
      <c r="BM726" s="1241"/>
      <c r="BN726" s="1241"/>
      <c r="BO726" s="1241"/>
      <c r="BP726" s="1241"/>
      <c r="BQ726" s="1241"/>
      <c r="BR726" s="1241"/>
      <c r="BS726" s="1241"/>
      <c r="BT726" s="1241"/>
      <c r="BU726" s="1241"/>
      <c r="BV726" s="1241"/>
      <c r="BW726" s="1241"/>
      <c r="BX726" s="1241"/>
      <c r="BY726" s="1241"/>
      <c r="BZ726" s="1241"/>
      <c r="CA726" s="1241"/>
      <c r="CB726" s="1241"/>
      <c r="CC726" s="1241"/>
      <c r="CD726" s="1241"/>
      <c r="CE726" s="1241"/>
      <c r="CF726" s="1241"/>
      <c r="CG726" s="1241"/>
      <c r="CH726" s="1241"/>
      <c r="CI726" s="1241"/>
      <c r="CJ726" s="1241"/>
      <c r="CK726" s="1241"/>
      <c r="CL726" s="1241"/>
      <c r="CM726" s="1241"/>
      <c r="CN726" s="1241"/>
      <c r="CO726" s="1241"/>
      <c r="CP726" s="1241"/>
      <c r="CQ726" s="1241"/>
      <c r="CR726" s="1241"/>
      <c r="CS726" s="1241"/>
      <c r="CT726" s="1241"/>
      <c r="CU726" s="1241"/>
      <c r="CV726" s="1241"/>
      <c r="CW726" s="1241"/>
      <c r="CX726" s="1241"/>
      <c r="CY726" s="1241"/>
      <c r="CZ726" s="1241"/>
      <c r="DA726" s="1241"/>
      <c r="DB726" s="1241"/>
      <c r="DC726" s="1241"/>
      <c r="DD726" s="1241"/>
      <c r="DE726" s="1241"/>
      <c r="DF726" s="1241"/>
      <c r="DG726" s="1241"/>
      <c r="DH726" s="1241"/>
      <c r="DI726" s="1241"/>
      <c r="DJ726" s="1241"/>
      <c r="DK726" s="1241"/>
      <c r="DL726" s="1241"/>
      <c r="DM726" s="1241"/>
    </row>
    <row r="727" spans="1:117">
      <c r="A727" s="1459"/>
      <c r="B727" s="1530" t="s">
        <v>4310</v>
      </c>
      <c r="C727" s="1531"/>
      <c r="D727" s="1531"/>
      <c r="E727" s="1532" t="s">
        <v>840</v>
      </c>
      <c r="F727" s="1533"/>
      <c r="G727" s="1534">
        <v>2015</v>
      </c>
      <c r="H727" s="1534">
        <v>2020</v>
      </c>
      <c r="I727" s="1534">
        <v>2022</v>
      </c>
      <c r="J727" s="1534">
        <v>2027</v>
      </c>
      <c r="K727" s="1534">
        <v>2032</v>
      </c>
      <c r="L727" s="1534">
        <v>2037</v>
      </c>
      <c r="M727" s="1534">
        <v>2042</v>
      </c>
      <c r="N727" s="1534">
        <v>2047</v>
      </c>
      <c r="O727" s="1534">
        <v>2030</v>
      </c>
    </row>
    <row r="728" spans="1:117">
      <c r="A728" s="1243"/>
      <c r="B728" s="1475" t="s">
        <v>4264</v>
      </c>
      <c r="C728" s="1476"/>
      <c r="D728" s="1475"/>
      <c r="E728" s="1477"/>
      <c r="F728" s="1478"/>
      <c r="G728" s="1535"/>
      <c r="H728" s="1535"/>
      <c r="I728" s="1535"/>
      <c r="J728" s="1535"/>
      <c r="K728" s="1535"/>
      <c r="L728" s="1535"/>
      <c r="M728" s="1535"/>
      <c r="N728" s="1535"/>
      <c r="O728" s="1535"/>
    </row>
    <row r="729" spans="1:117">
      <c r="A729" s="1243"/>
      <c r="B729" s="1480" t="s">
        <v>4311</v>
      </c>
      <c r="C729" s="1480"/>
      <c r="D729" s="1481"/>
      <c r="E729" s="1482" t="s">
        <v>4689</v>
      </c>
      <c r="F729" s="1483"/>
      <c r="G729" s="1522">
        <v>0.60729999999999995</v>
      </c>
      <c r="H729" s="1522">
        <v>0.59199999999999997</v>
      </c>
      <c r="I729" s="1522">
        <v>0.5862126139199999</v>
      </c>
      <c r="J729" s="1522">
        <v>0.57199046654232755</v>
      </c>
      <c r="K729" s="1522">
        <v>0.55811336372908305</v>
      </c>
      <c r="L729" s="1522">
        <v>0.54457293432869025</v>
      </c>
      <c r="M729" s="1522">
        <v>0.53136101028269711</v>
      </c>
      <c r="N729" s="1522">
        <v>0.51846962169851907</v>
      </c>
      <c r="O729" s="1522">
        <v>0.56362333986335389</v>
      </c>
    </row>
    <row r="730" spans="1:117">
      <c r="A730" s="1243"/>
      <c r="B730" s="1480"/>
      <c r="C730" s="1480"/>
      <c r="D730" s="1481"/>
      <c r="E730" s="1482"/>
      <c r="F730" s="1483"/>
      <c r="G730" s="1522"/>
      <c r="H730" s="1522"/>
      <c r="I730" s="1522"/>
      <c r="J730" s="1522"/>
      <c r="K730" s="1522"/>
      <c r="L730" s="1522"/>
      <c r="M730" s="1522"/>
      <c r="N730" s="1522"/>
      <c r="O730" s="1522"/>
    </row>
    <row r="731" spans="1:117">
      <c r="A731" s="1243"/>
      <c r="B731" s="1480" t="s">
        <v>4266</v>
      </c>
      <c r="C731" s="1480"/>
      <c r="D731" s="1481"/>
      <c r="E731" s="1482" t="s">
        <v>420</v>
      </c>
      <c r="F731" s="1536"/>
      <c r="G731" s="1522">
        <v>0</v>
      </c>
      <c r="H731" s="1522">
        <v>18.115200000000002</v>
      </c>
      <c r="I731" s="1522">
        <v>14.332898410343999</v>
      </c>
      <c r="J731" s="1522">
        <v>14.573042430799196</v>
      </c>
      <c r="K731" s="1522">
        <v>15.741702170442677</v>
      </c>
      <c r="L731" s="1522">
        <v>16.975897701252386</v>
      </c>
      <c r="M731" s="1522">
        <v>18.278843150241229</v>
      </c>
      <c r="N731" s="1522">
        <v>19.653899495266174</v>
      </c>
      <c r="O731" s="1522">
        <v>15.897112180144653</v>
      </c>
    </row>
    <row r="732" spans="1:117">
      <c r="A732" s="1243"/>
      <c r="B732" s="1481"/>
      <c r="C732" s="1480"/>
      <c r="D732" s="1481"/>
      <c r="E732" s="1537"/>
      <c r="F732" s="1522"/>
      <c r="G732" s="1522"/>
      <c r="H732" s="1522"/>
      <c r="I732" s="1522"/>
      <c r="J732" s="1522"/>
      <c r="K732" s="1522"/>
      <c r="L732" s="1522"/>
      <c r="M732" s="1522"/>
      <c r="N732" s="1522"/>
      <c r="O732" s="1522"/>
    </row>
    <row r="733" spans="1:117" s="1302" customFormat="1">
      <c r="A733" s="1243"/>
      <c r="B733" s="1480" t="s">
        <v>4267</v>
      </c>
      <c r="C733" s="1480"/>
      <c r="D733" s="1481"/>
      <c r="E733" s="1482" t="s">
        <v>1065</v>
      </c>
      <c r="F733" s="1522"/>
      <c r="G733" s="1522">
        <v>0</v>
      </c>
      <c r="H733" s="1522">
        <v>0.46817999999999671</v>
      </c>
      <c r="I733" s="1522">
        <v>0.14150158965600212</v>
      </c>
      <c r="J733" s="1522">
        <v>0.36234862172578097</v>
      </c>
      <c r="K733" s="1522">
        <v>0.39140653793903191</v>
      </c>
      <c r="L733" s="1522">
        <v>0.42209395627686419</v>
      </c>
      <c r="M733" s="1522">
        <v>0.45449079378467516</v>
      </c>
      <c r="N733" s="1522">
        <v>0.48868061885250569</v>
      </c>
      <c r="O733" s="1484">
        <v>0.23599652823705597</v>
      </c>
      <c r="P733" s="1241"/>
      <c r="Q733" s="1241"/>
      <c r="R733" s="1241"/>
      <c r="S733" s="1241"/>
      <c r="T733" s="1241"/>
      <c r="U733" s="1241"/>
      <c r="V733" s="1241"/>
      <c r="W733" s="1241"/>
      <c r="X733" s="1241"/>
      <c r="Y733" s="1241"/>
      <c r="Z733" s="1241"/>
      <c r="AA733" s="1241"/>
      <c r="AB733" s="1241"/>
      <c r="AC733" s="1241"/>
      <c r="AD733" s="1241"/>
      <c r="AE733" s="1241"/>
      <c r="AF733" s="1241"/>
      <c r="AG733" s="1241"/>
      <c r="AH733" s="1241"/>
      <c r="AI733" s="1241"/>
      <c r="AJ733" s="1241"/>
      <c r="AK733" s="1241"/>
      <c r="AL733" s="1241"/>
      <c r="AM733" s="1241"/>
      <c r="AN733" s="1241"/>
      <c r="AO733" s="1241"/>
      <c r="AP733" s="1241"/>
      <c r="AQ733" s="1241"/>
      <c r="AR733" s="1241"/>
      <c r="AS733" s="1241"/>
      <c r="AT733" s="1241"/>
      <c r="AU733" s="1241"/>
      <c r="AV733" s="1241"/>
      <c r="AW733" s="1241"/>
      <c r="AX733" s="1241"/>
      <c r="AY733" s="1241"/>
      <c r="AZ733" s="1241"/>
      <c r="BA733" s="1241"/>
      <c r="BB733" s="1241"/>
      <c r="BC733" s="1241"/>
      <c r="BD733" s="1241"/>
      <c r="BE733" s="1241"/>
      <c r="BF733" s="1241"/>
      <c r="BG733" s="1241"/>
      <c r="BH733" s="1241"/>
      <c r="BI733" s="1241"/>
      <c r="BJ733" s="1241"/>
      <c r="BK733" s="1241"/>
      <c r="BL733" s="1241"/>
      <c r="BM733" s="1241"/>
      <c r="BN733" s="1241"/>
      <c r="BO733" s="1241"/>
      <c r="BP733" s="1241"/>
      <c r="BQ733" s="1241"/>
      <c r="BR733" s="1241"/>
      <c r="BS733" s="1241"/>
      <c r="BT733" s="1241"/>
      <c r="BU733" s="1241"/>
      <c r="BV733" s="1241"/>
      <c r="BW733" s="1241"/>
      <c r="BX733" s="1241"/>
      <c r="BY733" s="1241"/>
      <c r="BZ733" s="1241"/>
      <c r="CA733" s="1241"/>
      <c r="CB733" s="1241"/>
      <c r="CC733" s="1241"/>
      <c r="CD733" s="1241"/>
      <c r="CE733" s="1241"/>
      <c r="CF733" s="1241"/>
      <c r="CG733" s="1241"/>
      <c r="CH733" s="1241"/>
      <c r="CI733" s="1241"/>
      <c r="CJ733" s="1241"/>
      <c r="CK733" s="1241"/>
      <c r="CL733" s="1241"/>
      <c r="CM733" s="1241"/>
      <c r="CN733" s="1241"/>
      <c r="CO733" s="1241"/>
      <c r="CP733" s="1241"/>
      <c r="CQ733" s="1241"/>
      <c r="CR733" s="1241"/>
      <c r="CS733" s="1241"/>
      <c r="CT733" s="1241"/>
      <c r="CU733" s="1241"/>
      <c r="CV733" s="1241"/>
      <c r="CW733" s="1241"/>
      <c r="CX733" s="1241"/>
      <c r="CY733" s="1241"/>
      <c r="CZ733" s="1241"/>
      <c r="DA733" s="1241"/>
      <c r="DB733" s="1241"/>
      <c r="DC733" s="1241"/>
      <c r="DD733" s="1241"/>
      <c r="DE733" s="1241"/>
      <c r="DF733" s="1241"/>
      <c r="DG733" s="1241"/>
      <c r="DH733" s="1241"/>
      <c r="DI733" s="1241"/>
      <c r="DJ733" s="1241"/>
      <c r="DK733" s="1241"/>
      <c r="DL733" s="1241"/>
      <c r="DM733" s="1241"/>
    </row>
    <row r="734" spans="1:117">
      <c r="A734" s="1243"/>
      <c r="B734" s="1491"/>
      <c r="C734" s="1490"/>
      <c r="D734" s="1491"/>
      <c r="E734" s="1215"/>
      <c r="F734" s="1506"/>
      <c r="G734" s="1498"/>
      <c r="H734" s="1498"/>
      <c r="I734" s="1498"/>
      <c r="J734" s="1498"/>
      <c r="K734" s="1498"/>
      <c r="L734" s="1498"/>
      <c r="M734" s="1498"/>
      <c r="N734" s="1498"/>
      <c r="O734" s="1506"/>
    </row>
    <row r="735" spans="1:117" hidden="1">
      <c r="A735" s="1243"/>
      <c r="B735" s="1495" t="s">
        <v>4274</v>
      </c>
      <c r="C735" s="1496"/>
      <c r="D735" s="1497"/>
      <c r="E735" s="1215"/>
      <c r="F735" s="1506"/>
      <c r="G735" s="1498"/>
      <c r="H735" s="1498"/>
      <c r="I735" s="1498"/>
      <c r="J735" s="1498"/>
      <c r="K735" s="1498"/>
      <c r="L735" s="1498"/>
      <c r="M735" s="1498"/>
      <c r="N735" s="1498"/>
      <c r="O735" s="1506"/>
    </row>
    <row r="736" spans="1:117" hidden="1">
      <c r="A736" s="1243"/>
      <c r="B736" s="1497"/>
      <c r="C736" s="1496"/>
      <c r="D736" s="1497"/>
      <c r="E736" s="1215"/>
      <c r="F736" s="1506"/>
      <c r="G736" s="1498"/>
      <c r="H736" s="1498"/>
      <c r="I736" s="1498"/>
      <c r="J736" s="1498"/>
      <c r="K736" s="1498"/>
      <c r="L736" s="1498"/>
      <c r="M736" s="1498"/>
      <c r="N736" s="1498"/>
      <c r="O736" s="1506"/>
    </row>
    <row r="737" spans="1:117" hidden="1">
      <c r="A737" s="1243"/>
      <c r="B737" s="1496" t="s">
        <v>4312</v>
      </c>
      <c r="C737" s="1496"/>
      <c r="D737" s="1497"/>
      <c r="E737" s="1215"/>
      <c r="F737" s="1506"/>
      <c r="G737" s="1498">
        <v>0</v>
      </c>
      <c r="H737" s="1498">
        <v>0</v>
      </c>
      <c r="I737" s="1498">
        <v>111.66474720000001</v>
      </c>
      <c r="J737" s="1498">
        <v>111.66474720000001</v>
      </c>
      <c r="K737" s="1498">
        <v>111.66474720000001</v>
      </c>
      <c r="L737" s="1498">
        <v>111.66474720000001</v>
      </c>
      <c r="M737" s="1498">
        <v>111.66474720000001</v>
      </c>
      <c r="N737" s="1498">
        <v>111.66474720000001</v>
      </c>
      <c r="O737" s="1498">
        <v>111.66474720000001</v>
      </c>
    </row>
    <row r="738" spans="1:117" hidden="1">
      <c r="A738" s="1243"/>
      <c r="B738" s="1497"/>
      <c r="C738" s="1496"/>
      <c r="D738" s="1497"/>
      <c r="E738" s="1215"/>
      <c r="F738" s="1506"/>
      <c r="G738" s="1498"/>
      <c r="H738" s="1498"/>
      <c r="I738" s="1498"/>
      <c r="J738" s="1498"/>
      <c r="K738" s="1498"/>
      <c r="L738" s="1498"/>
      <c r="M738" s="1498"/>
      <c r="N738" s="1498"/>
      <c r="O738" s="1506"/>
    </row>
    <row r="739" spans="1:117" hidden="1">
      <c r="A739" s="1243"/>
      <c r="B739" s="1496" t="s">
        <v>4278</v>
      </c>
      <c r="C739" s="1499"/>
      <c r="D739" s="1500"/>
      <c r="E739" s="1538"/>
      <c r="F739" s="1539"/>
      <c r="G739" s="1504"/>
      <c r="H739" s="1504">
        <v>0</v>
      </c>
      <c r="I739" s="1504">
        <v>15.800739237335613</v>
      </c>
      <c r="J739" s="1504">
        <v>40.461567243277763</v>
      </c>
      <c r="K739" s="1504">
        <v>43.706312111389209</v>
      </c>
      <c r="L739" s="1504">
        <v>47.133014922303893</v>
      </c>
      <c r="M739" s="1504">
        <v>50.750599592693085</v>
      </c>
      <c r="N739" s="1504">
        <v>54.568397765704603</v>
      </c>
      <c r="O739" s="1504">
        <v>26.352492665668517</v>
      </c>
    </row>
    <row r="740" spans="1:117" hidden="1">
      <c r="A740" s="1243"/>
      <c r="B740" s="1496"/>
      <c r="C740" s="1496"/>
      <c r="D740" s="1497"/>
      <c r="E740" s="1215"/>
      <c r="F740" s="1506"/>
      <c r="G740" s="1498"/>
      <c r="H740" s="1498"/>
      <c r="I740" s="1498"/>
      <c r="J740" s="1498"/>
      <c r="K740" s="1498"/>
      <c r="L740" s="1498"/>
      <c r="M740" s="1498"/>
      <c r="N740" s="1498"/>
      <c r="O740" s="1506"/>
    </row>
    <row r="741" spans="1:117" hidden="1">
      <c r="A741" s="1243"/>
      <c r="B741" s="1495" t="s">
        <v>4277</v>
      </c>
      <c r="C741" s="1496"/>
      <c r="D741" s="1497"/>
      <c r="E741" s="1215"/>
      <c r="F741" s="1506"/>
      <c r="G741" s="1498"/>
      <c r="H741" s="1498"/>
      <c r="I741" s="1498"/>
      <c r="J741" s="1498"/>
      <c r="K741" s="1498"/>
      <c r="L741" s="1498"/>
      <c r="M741" s="1498"/>
      <c r="N741" s="1498"/>
      <c r="O741" s="1506"/>
    </row>
    <row r="742" spans="1:117" hidden="1">
      <c r="A742" s="1243"/>
      <c r="B742" s="1495"/>
      <c r="C742" s="1496"/>
      <c r="D742" s="1497"/>
      <c r="E742" s="1215"/>
      <c r="F742" s="1506"/>
      <c r="G742" s="1498"/>
      <c r="H742" s="1498"/>
      <c r="I742" s="1498"/>
      <c r="J742" s="1498"/>
      <c r="K742" s="1498"/>
      <c r="L742" s="1498"/>
      <c r="M742" s="1498"/>
      <c r="N742" s="1498"/>
      <c r="O742" s="1506"/>
    </row>
    <row r="743" spans="1:117" hidden="1">
      <c r="A743" s="1243"/>
      <c r="B743" s="1496" t="s">
        <v>4312</v>
      </c>
      <c r="C743" s="1496"/>
      <c r="D743" s="1497"/>
      <c r="E743" s="1215"/>
      <c r="F743" s="1506"/>
      <c r="G743" s="1498"/>
      <c r="H743" s="1498">
        <v>0</v>
      </c>
      <c r="I743" s="1498">
        <v>41.874280200000008</v>
      </c>
      <c r="J743" s="1498">
        <v>41.874280200000008</v>
      </c>
      <c r="K743" s="1498">
        <v>41.874280200000008</v>
      </c>
      <c r="L743" s="1498">
        <v>41.874280200000008</v>
      </c>
      <c r="M743" s="1498">
        <v>41.874280200000008</v>
      </c>
      <c r="N743" s="1498">
        <v>41.874280200000008</v>
      </c>
      <c r="O743" s="1498">
        <v>41.874280200000008</v>
      </c>
    </row>
    <row r="744" spans="1:117" hidden="1">
      <c r="A744" s="1243"/>
      <c r="B744" s="1497"/>
      <c r="C744" s="1496"/>
      <c r="D744" s="1497"/>
      <c r="E744" s="1215"/>
      <c r="F744" s="1506"/>
      <c r="G744" s="1498"/>
      <c r="H744" s="1498"/>
      <c r="I744" s="1498"/>
      <c r="J744" s="1498"/>
      <c r="K744" s="1498"/>
      <c r="L744" s="1498"/>
      <c r="M744" s="1498"/>
      <c r="N744" s="1498"/>
      <c r="O744" s="1506"/>
    </row>
    <row r="745" spans="1:117" hidden="1">
      <c r="A745" s="1243"/>
      <c r="B745" s="1496" t="s">
        <v>4278</v>
      </c>
      <c r="C745" s="1499"/>
      <c r="D745" s="1500"/>
      <c r="E745" s="1538"/>
      <c r="F745" s="1539"/>
      <c r="G745" s="1504"/>
      <c r="H745" s="1504">
        <v>0</v>
      </c>
      <c r="I745" s="1504">
        <v>5.9252772140008556</v>
      </c>
      <c r="J745" s="1504">
        <v>15.173087716229164</v>
      </c>
      <c r="K745" s="1504">
        <v>16.389867041770955</v>
      </c>
      <c r="L745" s="1504">
        <v>17.674880595863964</v>
      </c>
      <c r="M745" s="1504">
        <v>19.031474847259911</v>
      </c>
      <c r="N745" s="1504">
        <v>20.463149162139231</v>
      </c>
      <c r="O745" s="1504">
        <v>9.8821847496256954</v>
      </c>
    </row>
    <row r="746" spans="1:117" s="1302" customFormat="1">
      <c r="A746" s="1241"/>
      <c r="B746" s="1459"/>
      <c r="C746" s="1241"/>
      <c r="D746" s="1459"/>
      <c r="E746" s="1460"/>
      <c r="F746" s="1540"/>
      <c r="G746" s="1473"/>
      <c r="H746" s="1473"/>
      <c r="I746" s="1473"/>
      <c r="J746" s="1473"/>
      <c r="K746" s="1473"/>
      <c r="L746" s="1473"/>
      <c r="M746" s="1473"/>
      <c r="N746" s="1473"/>
      <c r="O746" s="1540"/>
      <c r="P746" s="1241"/>
      <c r="Q746" s="1241"/>
      <c r="R746" s="1241"/>
      <c r="S746" s="1241"/>
      <c r="T746" s="1241"/>
      <c r="U746" s="1241"/>
      <c r="V746" s="1241"/>
      <c r="W746" s="1241"/>
      <c r="X746" s="1241"/>
      <c r="Y746" s="1241"/>
      <c r="Z746" s="1241"/>
      <c r="AA746" s="1241"/>
      <c r="AB746" s="1241"/>
      <c r="AC746" s="1241"/>
      <c r="AD746" s="1241"/>
      <c r="AE746" s="1241"/>
      <c r="AF746" s="1241"/>
      <c r="AG746" s="1241"/>
      <c r="AH746" s="1241"/>
      <c r="AI746" s="1241"/>
      <c r="AJ746" s="1241"/>
      <c r="AK746" s="1241"/>
      <c r="AL746" s="1241"/>
      <c r="AM746" s="1241"/>
      <c r="AN746" s="1241"/>
      <c r="AO746" s="1241"/>
      <c r="AP746" s="1241"/>
      <c r="AQ746" s="1241"/>
      <c r="AR746" s="1241"/>
      <c r="AS746" s="1241"/>
      <c r="AT746" s="1241"/>
      <c r="AU746" s="1241"/>
      <c r="AV746" s="1241"/>
      <c r="AW746" s="1241"/>
      <c r="AX746" s="1241"/>
      <c r="AY746" s="1241"/>
      <c r="AZ746" s="1241"/>
      <c r="BA746" s="1241"/>
      <c r="BB746" s="1241"/>
      <c r="BC746" s="1241"/>
      <c r="BD746" s="1241"/>
      <c r="BE746" s="1241"/>
      <c r="BF746" s="1241"/>
      <c r="BG746" s="1241"/>
      <c r="BH746" s="1241"/>
      <c r="BI746" s="1241"/>
      <c r="BJ746" s="1241"/>
      <c r="BK746" s="1241"/>
      <c r="BL746" s="1241"/>
      <c r="BM746" s="1241"/>
      <c r="BN746" s="1241"/>
      <c r="BO746" s="1241"/>
      <c r="BP746" s="1241"/>
      <c r="BQ746" s="1241"/>
      <c r="BR746" s="1241"/>
      <c r="BS746" s="1241"/>
      <c r="BT746" s="1241"/>
      <c r="BU746" s="1241"/>
      <c r="BV746" s="1241"/>
      <c r="BW746" s="1241"/>
      <c r="BX746" s="1241"/>
      <c r="BY746" s="1241"/>
      <c r="BZ746" s="1241"/>
      <c r="CA746" s="1241"/>
      <c r="CB746" s="1241"/>
      <c r="CC746" s="1241"/>
      <c r="CD746" s="1241"/>
      <c r="CE746" s="1241"/>
      <c r="CF746" s="1241"/>
      <c r="CG746" s="1241"/>
      <c r="CH746" s="1241"/>
      <c r="CI746" s="1241"/>
      <c r="CJ746" s="1241"/>
      <c r="CK746" s="1241"/>
      <c r="CL746" s="1241"/>
      <c r="CM746" s="1241"/>
      <c r="CN746" s="1241"/>
      <c r="CO746" s="1241"/>
      <c r="CP746" s="1241"/>
      <c r="CQ746" s="1241"/>
      <c r="CR746" s="1241"/>
      <c r="CS746" s="1241"/>
      <c r="CT746" s="1241"/>
      <c r="CU746" s="1241"/>
      <c r="CV746" s="1241"/>
      <c r="CW746" s="1241"/>
      <c r="CX746" s="1241"/>
      <c r="CY746" s="1241"/>
      <c r="CZ746" s="1241"/>
      <c r="DA746" s="1241"/>
      <c r="DB746" s="1241"/>
      <c r="DC746" s="1241"/>
      <c r="DD746" s="1241"/>
      <c r="DE746" s="1241"/>
      <c r="DF746" s="1241"/>
      <c r="DG746" s="1241"/>
      <c r="DH746" s="1241"/>
      <c r="DI746" s="1241"/>
      <c r="DJ746" s="1241"/>
      <c r="DK746" s="1241"/>
      <c r="DL746" s="1241"/>
      <c r="DM746" s="1241"/>
    </row>
    <row r="747" spans="1:117" s="1302" customFormat="1">
      <c r="A747" s="1459" t="s">
        <v>4279</v>
      </c>
      <c r="B747" s="1459"/>
      <c r="C747" s="1466" t="s">
        <v>4280</v>
      </c>
      <c r="D747" s="1459"/>
      <c r="E747" s="1460"/>
      <c r="F747" s="1507"/>
      <c r="G747" s="1473"/>
      <c r="H747" s="1473"/>
      <c r="I747" s="1473"/>
      <c r="J747" s="1473"/>
      <c r="K747" s="1473"/>
      <c r="L747" s="1473"/>
      <c r="M747" s="1473"/>
      <c r="N747" s="1473"/>
      <c r="O747" s="1507"/>
      <c r="P747" s="1241"/>
      <c r="Q747" s="1241"/>
      <c r="R747" s="1241"/>
      <c r="S747" s="1241"/>
      <c r="T747" s="1241"/>
      <c r="U747" s="1241"/>
      <c r="V747" s="1241"/>
      <c r="W747" s="1241"/>
      <c r="X747" s="1241"/>
      <c r="Y747" s="1241"/>
      <c r="Z747" s="1241"/>
      <c r="AA747" s="1241"/>
      <c r="AB747" s="1241"/>
      <c r="AC747" s="1241"/>
      <c r="AD747" s="1241"/>
      <c r="AE747" s="1241"/>
      <c r="AF747" s="1241"/>
      <c r="AG747" s="1241"/>
      <c r="AH747" s="1241"/>
      <c r="AI747" s="1241"/>
      <c r="AJ747" s="1241"/>
      <c r="AK747" s="1241"/>
      <c r="AL747" s="1241"/>
      <c r="AM747" s="1241"/>
      <c r="AN747" s="1241"/>
      <c r="AO747" s="1241"/>
      <c r="AP747" s="1241"/>
      <c r="AQ747" s="1241"/>
      <c r="AR747" s="1241"/>
      <c r="AS747" s="1241"/>
      <c r="AT747" s="1241"/>
      <c r="AU747" s="1241"/>
      <c r="AV747" s="1241"/>
      <c r="AW747" s="1241"/>
      <c r="AX747" s="1241"/>
      <c r="AY747" s="1241"/>
      <c r="AZ747" s="1241"/>
      <c r="BA747" s="1241"/>
      <c r="BB747" s="1241"/>
      <c r="BC747" s="1241"/>
      <c r="BD747" s="1241"/>
      <c r="BE747" s="1241"/>
      <c r="BF747" s="1241"/>
      <c r="BG747" s="1241"/>
      <c r="BH747" s="1241"/>
      <c r="BI747" s="1241"/>
      <c r="BJ747" s="1241"/>
      <c r="BK747" s="1241"/>
      <c r="BL747" s="1241"/>
      <c r="BM747" s="1241"/>
      <c r="BN747" s="1241"/>
      <c r="BO747" s="1241"/>
      <c r="BP747" s="1241"/>
      <c r="BQ747" s="1241"/>
      <c r="BR747" s="1241"/>
      <c r="BS747" s="1241"/>
      <c r="BT747" s="1241"/>
      <c r="BU747" s="1241"/>
      <c r="BV747" s="1241"/>
      <c r="BW747" s="1241"/>
      <c r="BX747" s="1241"/>
      <c r="BY747" s="1241"/>
      <c r="BZ747" s="1241"/>
      <c r="CA747" s="1241"/>
      <c r="CB747" s="1241"/>
      <c r="CC747" s="1241"/>
      <c r="CD747" s="1241"/>
      <c r="CE747" s="1241"/>
      <c r="CF747" s="1241"/>
      <c r="CG747" s="1241"/>
      <c r="CH747" s="1241"/>
      <c r="CI747" s="1241"/>
      <c r="CJ747" s="1241"/>
      <c r="CK747" s="1241"/>
      <c r="CL747" s="1241"/>
      <c r="CM747" s="1241"/>
      <c r="CN747" s="1241"/>
      <c r="CO747" s="1241"/>
      <c r="CP747" s="1241"/>
      <c r="CQ747" s="1241"/>
      <c r="CR747" s="1241"/>
      <c r="CS747" s="1241"/>
      <c r="CT747" s="1241"/>
      <c r="CU747" s="1241"/>
      <c r="CV747" s="1241"/>
      <c r="CW747" s="1241"/>
      <c r="CX747" s="1241"/>
      <c r="CY747" s="1241"/>
      <c r="CZ747" s="1241"/>
      <c r="DA747" s="1241"/>
      <c r="DB747" s="1241"/>
      <c r="DC747" s="1241"/>
      <c r="DD747" s="1241"/>
      <c r="DE747" s="1241"/>
      <c r="DF747" s="1241"/>
      <c r="DG747" s="1241"/>
      <c r="DH747" s="1241"/>
      <c r="DI747" s="1241"/>
      <c r="DJ747" s="1241"/>
      <c r="DK747" s="1241"/>
      <c r="DL747" s="1241"/>
      <c r="DM747" s="1241"/>
    </row>
    <row r="748" spans="1:117" s="1302" customFormat="1">
      <c r="A748" s="1241"/>
      <c r="B748" s="1508" t="s">
        <v>4032</v>
      </c>
      <c r="C748" s="1241" t="s">
        <v>4033</v>
      </c>
      <c r="D748" s="1241"/>
      <c r="E748" s="1509" t="s">
        <v>420</v>
      </c>
      <c r="F748" s="1529"/>
      <c r="G748" s="1471"/>
      <c r="H748" s="1541">
        <v>0.28948800000000002</v>
      </c>
      <c r="I748" s="1541">
        <v>0.33189757894499949</v>
      </c>
      <c r="J748" s="1541">
        <v>0.4481419085661586</v>
      </c>
      <c r="K748" s="1541">
        <v>0.57993305525097494</v>
      </c>
      <c r="L748" s="1541">
        <v>0.7285185422676741</v>
      </c>
      <c r="M748" s="1541">
        <v>0.8952257828497191</v>
      </c>
      <c r="N748" s="1541">
        <v>1.08146658985114</v>
      </c>
      <c r="O748" s="1541">
        <v>0.52527287947575352</v>
      </c>
      <c r="P748" s="1241"/>
      <c r="Q748" s="1241"/>
      <c r="R748" s="1241"/>
      <c r="S748" s="1241"/>
      <c r="T748" s="1241"/>
      <c r="U748" s="1241"/>
      <c r="V748" s="1241"/>
      <c r="W748" s="1241"/>
      <c r="X748" s="1241"/>
      <c r="Y748" s="1241"/>
      <c r="Z748" s="1241"/>
      <c r="AA748" s="1241"/>
      <c r="AB748" s="1241"/>
      <c r="AC748" s="1241"/>
      <c r="AD748" s="1241"/>
      <c r="AE748" s="1241"/>
      <c r="AF748" s="1241"/>
      <c r="AG748" s="1241"/>
      <c r="AH748" s="1241"/>
      <c r="AI748" s="1241"/>
      <c r="AJ748" s="1241"/>
      <c r="AK748" s="1241"/>
      <c r="AL748" s="1241"/>
      <c r="AM748" s="1241"/>
      <c r="AN748" s="1241"/>
      <c r="AO748" s="1241"/>
      <c r="AP748" s="1241"/>
      <c r="AQ748" s="1241"/>
      <c r="AR748" s="1241"/>
      <c r="AS748" s="1241"/>
      <c r="AT748" s="1241"/>
      <c r="AU748" s="1241"/>
      <c r="AV748" s="1241"/>
      <c r="AW748" s="1241"/>
      <c r="AX748" s="1241"/>
      <c r="AY748" s="1241"/>
      <c r="AZ748" s="1241"/>
      <c r="BA748" s="1241"/>
      <c r="BB748" s="1241"/>
      <c r="BC748" s="1241"/>
      <c r="BD748" s="1241"/>
      <c r="BE748" s="1241"/>
      <c r="BF748" s="1241"/>
      <c r="BG748" s="1241"/>
      <c r="BH748" s="1241"/>
      <c r="BI748" s="1241"/>
      <c r="BJ748" s="1241"/>
      <c r="BK748" s="1241"/>
      <c r="BL748" s="1241"/>
      <c r="BM748" s="1241"/>
      <c r="BN748" s="1241"/>
      <c r="BO748" s="1241"/>
      <c r="BP748" s="1241"/>
      <c r="BQ748" s="1241"/>
      <c r="BR748" s="1241"/>
      <c r="BS748" s="1241"/>
      <c r="BT748" s="1241"/>
      <c r="BU748" s="1241"/>
      <c r="BV748" s="1241"/>
      <c r="BW748" s="1241"/>
      <c r="BX748" s="1241"/>
      <c r="BY748" s="1241"/>
      <c r="BZ748" s="1241"/>
      <c r="CA748" s="1241"/>
      <c r="CB748" s="1241"/>
      <c r="CC748" s="1241"/>
      <c r="CD748" s="1241"/>
      <c r="CE748" s="1241"/>
      <c r="CF748" s="1241"/>
      <c r="CG748" s="1241"/>
      <c r="CH748" s="1241"/>
      <c r="CI748" s="1241"/>
      <c r="CJ748" s="1241"/>
      <c r="CK748" s="1241"/>
      <c r="CL748" s="1241"/>
      <c r="CM748" s="1241"/>
      <c r="CN748" s="1241"/>
      <c r="CO748" s="1241"/>
      <c r="CP748" s="1241"/>
      <c r="CQ748" s="1241"/>
      <c r="CR748" s="1241"/>
      <c r="CS748" s="1241"/>
      <c r="CT748" s="1241"/>
      <c r="CU748" s="1241"/>
      <c r="CV748" s="1241"/>
      <c r="CW748" s="1241"/>
      <c r="CX748" s="1241"/>
      <c r="CY748" s="1241"/>
      <c r="CZ748" s="1241"/>
      <c r="DA748" s="1241"/>
      <c r="DB748" s="1241"/>
      <c r="DC748" s="1241"/>
      <c r="DD748" s="1241"/>
      <c r="DE748" s="1241"/>
      <c r="DF748" s="1241"/>
      <c r="DG748" s="1241"/>
      <c r="DH748" s="1241"/>
      <c r="DI748" s="1241"/>
      <c r="DJ748" s="1241"/>
      <c r="DK748" s="1241"/>
      <c r="DL748" s="1241"/>
      <c r="DM748" s="1241"/>
    </row>
    <row r="749" spans="1:117" s="1302" customFormat="1">
      <c r="A749" s="1241"/>
      <c r="B749" s="1508" t="s">
        <v>3997</v>
      </c>
      <c r="C749" s="1241" t="s">
        <v>3998</v>
      </c>
      <c r="D749" s="1241"/>
      <c r="E749" s="1509" t="s">
        <v>420</v>
      </c>
      <c r="F749" s="1529"/>
      <c r="G749" s="1471"/>
      <c r="H749" s="1541">
        <v>1.1579519999999994</v>
      </c>
      <c r="I749" s="1541">
        <v>1.1616415263074977</v>
      </c>
      <c r="J749" s="1541">
        <v>1.1651689622720118</v>
      </c>
      <c r="K749" s="1541">
        <v>1.1598661105019497</v>
      </c>
      <c r="L749" s="1541">
        <v>1.1448148521349162</v>
      </c>
      <c r="M749" s="1541">
        <v>1.1190322285621488</v>
      </c>
      <c r="N749" s="1541">
        <v>1.08146658985114</v>
      </c>
      <c r="O749" s="1541">
        <v>1.1631042331248822</v>
      </c>
      <c r="P749" s="1241"/>
      <c r="Q749" s="1241"/>
      <c r="R749" s="1241"/>
      <c r="S749" s="1241"/>
      <c r="T749" s="1241"/>
      <c r="U749" s="1241"/>
      <c r="V749" s="1241"/>
      <c r="W749" s="1241"/>
      <c r="X749" s="1241"/>
      <c r="Y749" s="1241"/>
      <c r="Z749" s="1241"/>
      <c r="AA749" s="1241"/>
      <c r="AB749" s="1241"/>
      <c r="AC749" s="1241"/>
      <c r="AD749" s="1241"/>
      <c r="AE749" s="1241"/>
      <c r="AF749" s="1241"/>
      <c r="AG749" s="1241"/>
      <c r="AH749" s="1241"/>
      <c r="AI749" s="1241"/>
      <c r="AJ749" s="1241"/>
      <c r="AK749" s="1241"/>
      <c r="AL749" s="1241"/>
      <c r="AM749" s="1241"/>
      <c r="AN749" s="1241"/>
      <c r="AO749" s="1241"/>
      <c r="AP749" s="1241"/>
      <c r="AQ749" s="1241"/>
      <c r="AR749" s="1241"/>
      <c r="AS749" s="1241"/>
      <c r="AT749" s="1241"/>
      <c r="AU749" s="1241"/>
      <c r="AV749" s="1241"/>
      <c r="AW749" s="1241"/>
      <c r="AX749" s="1241"/>
      <c r="AY749" s="1241"/>
      <c r="AZ749" s="1241"/>
      <c r="BA749" s="1241"/>
      <c r="BB749" s="1241"/>
      <c r="BC749" s="1241"/>
      <c r="BD749" s="1241"/>
      <c r="BE749" s="1241"/>
      <c r="BF749" s="1241"/>
      <c r="BG749" s="1241"/>
      <c r="BH749" s="1241"/>
      <c r="BI749" s="1241"/>
      <c r="BJ749" s="1241"/>
      <c r="BK749" s="1241"/>
      <c r="BL749" s="1241"/>
      <c r="BM749" s="1241"/>
      <c r="BN749" s="1241"/>
      <c r="BO749" s="1241"/>
      <c r="BP749" s="1241"/>
      <c r="BQ749" s="1241"/>
      <c r="BR749" s="1241"/>
      <c r="BS749" s="1241"/>
      <c r="BT749" s="1241"/>
      <c r="BU749" s="1241"/>
      <c r="BV749" s="1241"/>
      <c r="BW749" s="1241"/>
      <c r="BX749" s="1241"/>
      <c r="BY749" s="1241"/>
      <c r="BZ749" s="1241"/>
      <c r="CA749" s="1241"/>
      <c r="CB749" s="1241"/>
      <c r="CC749" s="1241"/>
      <c r="CD749" s="1241"/>
      <c r="CE749" s="1241"/>
      <c r="CF749" s="1241"/>
      <c r="CG749" s="1241"/>
      <c r="CH749" s="1241"/>
      <c r="CI749" s="1241"/>
      <c r="CJ749" s="1241"/>
      <c r="CK749" s="1241"/>
      <c r="CL749" s="1241"/>
      <c r="CM749" s="1241"/>
      <c r="CN749" s="1241"/>
      <c r="CO749" s="1241"/>
      <c r="CP749" s="1241"/>
      <c r="CQ749" s="1241"/>
      <c r="CR749" s="1241"/>
      <c r="CS749" s="1241"/>
      <c r="CT749" s="1241"/>
      <c r="CU749" s="1241"/>
      <c r="CV749" s="1241"/>
      <c r="CW749" s="1241"/>
      <c r="CX749" s="1241"/>
      <c r="CY749" s="1241"/>
      <c r="CZ749" s="1241"/>
      <c r="DA749" s="1241"/>
      <c r="DB749" s="1241"/>
      <c r="DC749" s="1241"/>
      <c r="DD749" s="1241"/>
      <c r="DE749" s="1241"/>
      <c r="DF749" s="1241"/>
      <c r="DG749" s="1241"/>
      <c r="DH749" s="1241"/>
      <c r="DI749" s="1241"/>
      <c r="DJ749" s="1241"/>
      <c r="DK749" s="1241"/>
      <c r="DL749" s="1241"/>
      <c r="DM749" s="1241"/>
    </row>
    <row r="750" spans="1:117" s="1302" customFormat="1">
      <c r="A750" s="1241"/>
      <c r="B750" s="1508" t="s">
        <v>3999</v>
      </c>
      <c r="C750" s="1241" t="s">
        <v>4000</v>
      </c>
      <c r="D750" s="1241"/>
      <c r="E750" s="1509" t="s">
        <v>420</v>
      </c>
      <c r="F750" s="1529"/>
      <c r="G750" s="1471"/>
      <c r="H750" s="1541">
        <v>0</v>
      </c>
      <c r="I750" s="1541">
        <v>0</v>
      </c>
      <c r="J750" s="1541">
        <v>0</v>
      </c>
      <c r="K750" s="1541">
        <v>0</v>
      </c>
      <c r="L750" s="1541">
        <v>0</v>
      </c>
      <c r="M750" s="1541">
        <v>0</v>
      </c>
      <c r="N750" s="1541">
        <v>0</v>
      </c>
      <c r="O750" s="1541">
        <v>0</v>
      </c>
      <c r="P750" s="1241"/>
      <c r="Q750" s="1241"/>
      <c r="R750" s="1241"/>
      <c r="S750" s="1241"/>
      <c r="T750" s="1241"/>
      <c r="U750" s="1241"/>
      <c r="V750" s="1241"/>
      <c r="W750" s="1241"/>
      <c r="X750" s="1241"/>
      <c r="Y750" s="1241"/>
      <c r="Z750" s="1241"/>
      <c r="AA750" s="1241"/>
      <c r="AB750" s="1241"/>
      <c r="AC750" s="1241"/>
      <c r="AD750" s="1241"/>
      <c r="AE750" s="1241"/>
      <c r="AF750" s="1241"/>
      <c r="AG750" s="1241"/>
      <c r="AH750" s="1241"/>
      <c r="AI750" s="1241"/>
      <c r="AJ750" s="1241"/>
      <c r="AK750" s="1241"/>
      <c r="AL750" s="1241"/>
      <c r="AM750" s="1241"/>
      <c r="AN750" s="1241"/>
      <c r="AO750" s="1241"/>
      <c r="AP750" s="1241"/>
      <c r="AQ750" s="1241"/>
      <c r="AR750" s="1241"/>
      <c r="AS750" s="1241"/>
      <c r="AT750" s="1241"/>
      <c r="AU750" s="1241"/>
      <c r="AV750" s="1241"/>
      <c r="AW750" s="1241"/>
      <c r="AX750" s="1241"/>
      <c r="AY750" s="1241"/>
      <c r="AZ750" s="1241"/>
      <c r="BA750" s="1241"/>
      <c r="BB750" s="1241"/>
      <c r="BC750" s="1241"/>
      <c r="BD750" s="1241"/>
      <c r="BE750" s="1241"/>
      <c r="BF750" s="1241"/>
      <c r="BG750" s="1241"/>
      <c r="BH750" s="1241"/>
      <c r="BI750" s="1241"/>
      <c r="BJ750" s="1241"/>
      <c r="BK750" s="1241"/>
      <c r="BL750" s="1241"/>
      <c r="BM750" s="1241"/>
      <c r="BN750" s="1241"/>
      <c r="BO750" s="1241"/>
      <c r="BP750" s="1241"/>
      <c r="BQ750" s="1241"/>
      <c r="BR750" s="1241"/>
      <c r="BS750" s="1241"/>
      <c r="BT750" s="1241"/>
      <c r="BU750" s="1241"/>
      <c r="BV750" s="1241"/>
      <c r="BW750" s="1241"/>
      <c r="BX750" s="1241"/>
      <c r="BY750" s="1241"/>
      <c r="BZ750" s="1241"/>
      <c r="CA750" s="1241"/>
      <c r="CB750" s="1241"/>
      <c r="CC750" s="1241"/>
      <c r="CD750" s="1241"/>
      <c r="CE750" s="1241"/>
      <c r="CF750" s="1241"/>
      <c r="CG750" s="1241"/>
      <c r="CH750" s="1241"/>
      <c r="CI750" s="1241"/>
      <c r="CJ750" s="1241"/>
      <c r="CK750" s="1241"/>
      <c r="CL750" s="1241"/>
      <c r="CM750" s="1241"/>
      <c r="CN750" s="1241"/>
      <c r="CO750" s="1241"/>
      <c r="CP750" s="1241"/>
      <c r="CQ750" s="1241"/>
      <c r="CR750" s="1241"/>
      <c r="CS750" s="1241"/>
      <c r="CT750" s="1241"/>
      <c r="CU750" s="1241"/>
      <c r="CV750" s="1241"/>
      <c r="CW750" s="1241"/>
      <c r="CX750" s="1241"/>
      <c r="CY750" s="1241"/>
      <c r="CZ750" s="1241"/>
      <c r="DA750" s="1241"/>
      <c r="DB750" s="1241"/>
      <c r="DC750" s="1241"/>
      <c r="DD750" s="1241"/>
      <c r="DE750" s="1241"/>
      <c r="DF750" s="1241"/>
      <c r="DG750" s="1241"/>
      <c r="DH750" s="1241"/>
      <c r="DI750" s="1241"/>
      <c r="DJ750" s="1241"/>
      <c r="DK750" s="1241"/>
      <c r="DL750" s="1241"/>
      <c r="DM750" s="1241"/>
    </row>
    <row r="751" spans="1:117" s="1302" customFormat="1">
      <c r="A751" s="1241"/>
      <c r="B751" s="1508" t="s">
        <v>4001</v>
      </c>
      <c r="C751" s="1241" t="s">
        <v>4002</v>
      </c>
      <c r="D751" s="1241"/>
      <c r="E751" s="1509" t="s">
        <v>420</v>
      </c>
      <c r="F751" s="1529"/>
      <c r="G751" s="1471"/>
      <c r="H751" s="1541">
        <v>13.026960000000001</v>
      </c>
      <c r="I751" s="1541">
        <v>13.441851947272481</v>
      </c>
      <c r="J751" s="1541">
        <v>13.874473489208269</v>
      </c>
      <c r="K751" s="1541">
        <v>14.266353159173986</v>
      </c>
      <c r="L751" s="1541">
        <v>14.612000476340206</v>
      </c>
      <c r="M751" s="1541">
        <v>14.905509284447822</v>
      </c>
      <c r="N751" s="1541">
        <v>15.140532257915959</v>
      </c>
      <c r="O751" s="1541">
        <v>14.114832661341319</v>
      </c>
      <c r="P751" s="1241"/>
      <c r="Q751" s="1241"/>
      <c r="R751" s="1241"/>
      <c r="S751" s="1241"/>
      <c r="T751" s="1241"/>
      <c r="U751" s="1241"/>
      <c r="V751" s="1241"/>
      <c r="W751" s="1241"/>
      <c r="X751" s="1241"/>
      <c r="Y751" s="1241"/>
      <c r="Z751" s="1241"/>
      <c r="AA751" s="1241"/>
      <c r="AB751" s="1241"/>
      <c r="AC751" s="1241"/>
      <c r="AD751" s="1241"/>
      <c r="AE751" s="1241"/>
      <c r="AF751" s="1241"/>
      <c r="AG751" s="1241"/>
      <c r="AH751" s="1241"/>
      <c r="AI751" s="1241"/>
      <c r="AJ751" s="1241"/>
      <c r="AK751" s="1241"/>
      <c r="AL751" s="1241"/>
      <c r="AM751" s="1241"/>
      <c r="AN751" s="1241"/>
      <c r="AO751" s="1241"/>
      <c r="AP751" s="1241"/>
      <c r="AQ751" s="1241"/>
      <c r="AR751" s="1241"/>
      <c r="AS751" s="1241"/>
      <c r="AT751" s="1241"/>
      <c r="AU751" s="1241"/>
      <c r="AV751" s="1241"/>
      <c r="AW751" s="1241"/>
      <c r="AX751" s="1241"/>
      <c r="AY751" s="1241"/>
      <c r="AZ751" s="1241"/>
      <c r="BA751" s="1241"/>
      <c r="BB751" s="1241"/>
      <c r="BC751" s="1241"/>
      <c r="BD751" s="1241"/>
      <c r="BE751" s="1241"/>
      <c r="BF751" s="1241"/>
      <c r="BG751" s="1241"/>
      <c r="BH751" s="1241"/>
      <c r="BI751" s="1241"/>
      <c r="BJ751" s="1241"/>
      <c r="BK751" s="1241"/>
      <c r="BL751" s="1241"/>
      <c r="BM751" s="1241"/>
      <c r="BN751" s="1241"/>
      <c r="BO751" s="1241"/>
      <c r="BP751" s="1241"/>
      <c r="BQ751" s="1241"/>
      <c r="BR751" s="1241"/>
      <c r="BS751" s="1241"/>
      <c r="BT751" s="1241"/>
      <c r="BU751" s="1241"/>
      <c r="BV751" s="1241"/>
      <c r="BW751" s="1241"/>
      <c r="BX751" s="1241"/>
      <c r="BY751" s="1241"/>
      <c r="BZ751" s="1241"/>
      <c r="CA751" s="1241"/>
      <c r="CB751" s="1241"/>
      <c r="CC751" s="1241"/>
      <c r="CD751" s="1241"/>
      <c r="CE751" s="1241"/>
      <c r="CF751" s="1241"/>
      <c r="CG751" s="1241"/>
      <c r="CH751" s="1241"/>
      <c r="CI751" s="1241"/>
      <c r="CJ751" s="1241"/>
      <c r="CK751" s="1241"/>
      <c r="CL751" s="1241"/>
      <c r="CM751" s="1241"/>
      <c r="CN751" s="1241"/>
      <c r="CO751" s="1241"/>
      <c r="CP751" s="1241"/>
      <c r="CQ751" s="1241"/>
      <c r="CR751" s="1241"/>
      <c r="CS751" s="1241"/>
      <c r="CT751" s="1241"/>
      <c r="CU751" s="1241"/>
      <c r="CV751" s="1241"/>
      <c r="CW751" s="1241"/>
      <c r="CX751" s="1241"/>
      <c r="CY751" s="1241"/>
      <c r="CZ751" s="1241"/>
      <c r="DA751" s="1241"/>
      <c r="DB751" s="1241"/>
      <c r="DC751" s="1241"/>
      <c r="DD751" s="1241"/>
      <c r="DE751" s="1241"/>
      <c r="DF751" s="1241"/>
      <c r="DG751" s="1241"/>
      <c r="DH751" s="1241"/>
      <c r="DI751" s="1241"/>
      <c r="DJ751" s="1241"/>
      <c r="DK751" s="1241"/>
      <c r="DL751" s="1241"/>
      <c r="DM751" s="1241"/>
    </row>
    <row r="752" spans="1:117" s="1302" customFormat="1">
      <c r="A752" s="1241"/>
      <c r="B752" s="1508" t="s">
        <v>4011</v>
      </c>
      <c r="C752" s="1241" t="s">
        <v>4012</v>
      </c>
      <c r="D752" s="1241"/>
      <c r="E752" s="1509" t="s">
        <v>420</v>
      </c>
      <c r="F752" s="1529"/>
      <c r="G752" s="1471"/>
      <c r="H752" s="1541">
        <v>0</v>
      </c>
      <c r="I752" s="1541">
        <v>0</v>
      </c>
      <c r="J752" s="1541">
        <v>0</v>
      </c>
      <c r="K752" s="1541">
        <v>0</v>
      </c>
      <c r="L752" s="1541">
        <v>0</v>
      </c>
      <c r="M752" s="1541">
        <v>0</v>
      </c>
      <c r="N752" s="1541">
        <v>0</v>
      </c>
      <c r="O752" s="1541">
        <v>0</v>
      </c>
      <c r="P752" s="1241"/>
      <c r="Q752" s="1241"/>
      <c r="R752" s="1241"/>
      <c r="S752" s="1241"/>
      <c r="T752" s="1241"/>
      <c r="U752" s="1241"/>
      <c r="V752" s="1241"/>
      <c r="W752" s="1241"/>
      <c r="X752" s="1241"/>
      <c r="Y752" s="1241"/>
      <c r="Z752" s="1241"/>
      <c r="AA752" s="1241"/>
      <c r="AB752" s="1241"/>
      <c r="AC752" s="1241"/>
      <c r="AD752" s="1241"/>
      <c r="AE752" s="1241"/>
      <c r="AF752" s="1241"/>
      <c r="AG752" s="1241"/>
      <c r="AH752" s="1241"/>
      <c r="AI752" s="1241"/>
      <c r="AJ752" s="1241"/>
      <c r="AK752" s="1241"/>
      <c r="AL752" s="1241"/>
      <c r="AM752" s="1241"/>
      <c r="AN752" s="1241"/>
      <c r="AO752" s="1241"/>
      <c r="AP752" s="1241"/>
      <c r="AQ752" s="1241"/>
      <c r="AR752" s="1241"/>
      <c r="AS752" s="1241"/>
      <c r="AT752" s="1241"/>
      <c r="AU752" s="1241"/>
      <c r="AV752" s="1241"/>
      <c r="AW752" s="1241"/>
      <c r="AX752" s="1241"/>
      <c r="AY752" s="1241"/>
      <c r="AZ752" s="1241"/>
      <c r="BA752" s="1241"/>
      <c r="BB752" s="1241"/>
      <c r="BC752" s="1241"/>
      <c r="BD752" s="1241"/>
      <c r="BE752" s="1241"/>
      <c r="BF752" s="1241"/>
      <c r="BG752" s="1241"/>
      <c r="BH752" s="1241"/>
      <c r="BI752" s="1241"/>
      <c r="BJ752" s="1241"/>
      <c r="BK752" s="1241"/>
      <c r="BL752" s="1241"/>
      <c r="BM752" s="1241"/>
      <c r="BN752" s="1241"/>
      <c r="BO752" s="1241"/>
      <c r="BP752" s="1241"/>
      <c r="BQ752" s="1241"/>
      <c r="BR752" s="1241"/>
      <c r="BS752" s="1241"/>
      <c r="BT752" s="1241"/>
      <c r="BU752" s="1241"/>
      <c r="BV752" s="1241"/>
      <c r="BW752" s="1241"/>
      <c r="BX752" s="1241"/>
      <c r="BY752" s="1241"/>
      <c r="BZ752" s="1241"/>
      <c r="CA752" s="1241"/>
      <c r="CB752" s="1241"/>
      <c r="CC752" s="1241"/>
      <c r="CD752" s="1241"/>
      <c r="CE752" s="1241"/>
      <c r="CF752" s="1241"/>
      <c r="CG752" s="1241"/>
      <c r="CH752" s="1241"/>
      <c r="CI752" s="1241"/>
      <c r="CJ752" s="1241"/>
      <c r="CK752" s="1241"/>
      <c r="CL752" s="1241"/>
      <c r="CM752" s="1241"/>
      <c r="CN752" s="1241"/>
      <c r="CO752" s="1241"/>
      <c r="CP752" s="1241"/>
      <c r="CQ752" s="1241"/>
      <c r="CR752" s="1241"/>
      <c r="CS752" s="1241"/>
      <c r="CT752" s="1241"/>
      <c r="CU752" s="1241"/>
      <c r="CV752" s="1241"/>
      <c r="CW752" s="1241"/>
      <c r="CX752" s="1241"/>
      <c r="CY752" s="1241"/>
      <c r="CZ752" s="1241"/>
      <c r="DA752" s="1241"/>
      <c r="DB752" s="1241"/>
      <c r="DC752" s="1241"/>
      <c r="DD752" s="1241"/>
      <c r="DE752" s="1241"/>
      <c r="DF752" s="1241"/>
      <c r="DG752" s="1241"/>
      <c r="DH752" s="1241"/>
      <c r="DI752" s="1241"/>
      <c r="DJ752" s="1241"/>
      <c r="DK752" s="1241"/>
      <c r="DL752" s="1241"/>
      <c r="DM752" s="1241"/>
    </row>
    <row r="753" spans="1:117" s="1302" customFormat="1">
      <c r="A753" s="1241"/>
      <c r="B753" s="1508" t="s">
        <v>4025</v>
      </c>
      <c r="C753" s="1241" t="s">
        <v>4026</v>
      </c>
      <c r="D753" s="1241"/>
      <c r="E753" s="1509" t="s">
        <v>420</v>
      </c>
      <c r="F753" s="1529"/>
      <c r="G753" s="1471"/>
      <c r="H753" s="1541">
        <v>0</v>
      </c>
      <c r="I753" s="1541">
        <v>0</v>
      </c>
      <c r="J753" s="1541">
        <v>0.64532434833526842</v>
      </c>
      <c r="K753" s="1541">
        <v>1.3918393326023399</v>
      </c>
      <c r="L753" s="1541">
        <v>2.2480000732831082</v>
      </c>
      <c r="M753" s="1541">
        <v>3.2228128182589888</v>
      </c>
      <c r="N753" s="1541">
        <v>4.3258663594045599</v>
      </c>
      <c r="O753" s="1541">
        <v>1.0805613520644073</v>
      </c>
      <c r="P753" s="1241"/>
      <c r="Q753" s="1241"/>
      <c r="R753" s="1241"/>
      <c r="S753" s="1241"/>
      <c r="T753" s="1241"/>
      <c r="U753" s="1241"/>
      <c r="V753" s="1241"/>
      <c r="W753" s="1241"/>
      <c r="X753" s="1241"/>
      <c r="Y753" s="1241"/>
      <c r="Z753" s="1241"/>
      <c r="AA753" s="1241"/>
      <c r="AB753" s="1241"/>
      <c r="AC753" s="1241"/>
      <c r="AD753" s="1241"/>
      <c r="AE753" s="1241"/>
      <c r="AF753" s="1241"/>
      <c r="AG753" s="1241"/>
      <c r="AH753" s="1241"/>
      <c r="AI753" s="1241"/>
      <c r="AJ753" s="1241"/>
      <c r="AK753" s="1241"/>
      <c r="AL753" s="1241"/>
      <c r="AM753" s="1241"/>
      <c r="AN753" s="1241"/>
      <c r="AO753" s="1241"/>
      <c r="AP753" s="1241"/>
      <c r="AQ753" s="1241"/>
      <c r="AR753" s="1241"/>
      <c r="AS753" s="1241"/>
      <c r="AT753" s="1241"/>
      <c r="AU753" s="1241"/>
      <c r="AV753" s="1241"/>
      <c r="AW753" s="1241"/>
      <c r="AX753" s="1241"/>
      <c r="AY753" s="1241"/>
      <c r="AZ753" s="1241"/>
      <c r="BA753" s="1241"/>
      <c r="BB753" s="1241"/>
      <c r="BC753" s="1241"/>
      <c r="BD753" s="1241"/>
      <c r="BE753" s="1241"/>
      <c r="BF753" s="1241"/>
      <c r="BG753" s="1241"/>
      <c r="BH753" s="1241"/>
      <c r="BI753" s="1241"/>
      <c r="BJ753" s="1241"/>
      <c r="BK753" s="1241"/>
      <c r="BL753" s="1241"/>
      <c r="BM753" s="1241"/>
      <c r="BN753" s="1241"/>
      <c r="BO753" s="1241"/>
      <c r="BP753" s="1241"/>
      <c r="BQ753" s="1241"/>
      <c r="BR753" s="1241"/>
      <c r="BS753" s="1241"/>
      <c r="BT753" s="1241"/>
      <c r="BU753" s="1241"/>
      <c r="BV753" s="1241"/>
      <c r="BW753" s="1241"/>
      <c r="BX753" s="1241"/>
      <c r="BY753" s="1241"/>
      <c r="BZ753" s="1241"/>
      <c r="CA753" s="1241"/>
      <c r="CB753" s="1241"/>
      <c r="CC753" s="1241"/>
      <c r="CD753" s="1241"/>
      <c r="CE753" s="1241"/>
      <c r="CF753" s="1241"/>
      <c r="CG753" s="1241"/>
      <c r="CH753" s="1241"/>
      <c r="CI753" s="1241"/>
      <c r="CJ753" s="1241"/>
      <c r="CK753" s="1241"/>
      <c r="CL753" s="1241"/>
      <c r="CM753" s="1241"/>
      <c r="CN753" s="1241"/>
      <c r="CO753" s="1241"/>
      <c r="CP753" s="1241"/>
      <c r="CQ753" s="1241"/>
      <c r="CR753" s="1241"/>
      <c r="CS753" s="1241"/>
      <c r="CT753" s="1241"/>
      <c r="CU753" s="1241"/>
      <c r="CV753" s="1241"/>
      <c r="CW753" s="1241"/>
      <c r="CX753" s="1241"/>
      <c r="CY753" s="1241"/>
      <c r="CZ753" s="1241"/>
      <c r="DA753" s="1241"/>
      <c r="DB753" s="1241"/>
      <c r="DC753" s="1241"/>
      <c r="DD753" s="1241"/>
      <c r="DE753" s="1241"/>
      <c r="DF753" s="1241"/>
      <c r="DG753" s="1241"/>
      <c r="DH753" s="1241"/>
      <c r="DI753" s="1241"/>
      <c r="DJ753" s="1241"/>
      <c r="DK753" s="1241"/>
      <c r="DL753" s="1241"/>
      <c r="DM753" s="1241"/>
    </row>
    <row r="754" spans="1:117" s="1302" customFormat="1">
      <c r="A754" s="1241"/>
      <c r="B754" s="1508"/>
      <c r="C754" s="1241"/>
      <c r="D754" s="1241"/>
      <c r="E754" s="1509"/>
      <c r="F754" s="1529"/>
      <c r="G754" s="1471"/>
      <c r="H754" s="1541"/>
      <c r="I754" s="1541"/>
      <c r="J754" s="1541"/>
      <c r="K754" s="1541"/>
      <c r="L754" s="1541"/>
      <c r="M754" s="1541"/>
      <c r="N754" s="1541"/>
      <c r="O754" s="1541"/>
      <c r="P754" s="1241"/>
      <c r="Q754" s="1241"/>
      <c r="R754" s="1241"/>
      <c r="S754" s="1241"/>
      <c r="T754" s="1241"/>
      <c r="U754" s="1241"/>
      <c r="V754" s="1241"/>
      <c r="W754" s="1241"/>
      <c r="X754" s="1241"/>
      <c r="Y754" s="1241"/>
      <c r="Z754" s="1241"/>
      <c r="AA754" s="1241"/>
      <c r="AB754" s="1241"/>
      <c r="AC754" s="1241"/>
      <c r="AD754" s="1241"/>
      <c r="AE754" s="1241"/>
      <c r="AF754" s="1241"/>
      <c r="AG754" s="1241"/>
      <c r="AH754" s="1241"/>
      <c r="AI754" s="1241"/>
      <c r="AJ754" s="1241"/>
      <c r="AK754" s="1241"/>
      <c r="AL754" s="1241"/>
      <c r="AM754" s="1241"/>
      <c r="AN754" s="1241"/>
      <c r="AO754" s="1241"/>
      <c r="AP754" s="1241"/>
      <c r="AQ754" s="1241"/>
      <c r="AR754" s="1241"/>
      <c r="AS754" s="1241"/>
      <c r="AT754" s="1241"/>
      <c r="AU754" s="1241"/>
      <c r="AV754" s="1241"/>
      <c r="AW754" s="1241"/>
      <c r="AX754" s="1241"/>
      <c r="AY754" s="1241"/>
      <c r="AZ754" s="1241"/>
      <c r="BA754" s="1241"/>
      <c r="BB754" s="1241"/>
      <c r="BC754" s="1241"/>
      <c r="BD754" s="1241"/>
      <c r="BE754" s="1241"/>
      <c r="BF754" s="1241"/>
      <c r="BG754" s="1241"/>
      <c r="BH754" s="1241"/>
      <c r="BI754" s="1241"/>
      <c r="BJ754" s="1241"/>
      <c r="BK754" s="1241"/>
      <c r="BL754" s="1241"/>
      <c r="BM754" s="1241"/>
      <c r="BN754" s="1241"/>
      <c r="BO754" s="1241"/>
      <c r="BP754" s="1241"/>
      <c r="BQ754" s="1241"/>
      <c r="BR754" s="1241"/>
      <c r="BS754" s="1241"/>
      <c r="BT754" s="1241"/>
      <c r="BU754" s="1241"/>
      <c r="BV754" s="1241"/>
      <c r="BW754" s="1241"/>
      <c r="BX754" s="1241"/>
      <c r="BY754" s="1241"/>
      <c r="BZ754" s="1241"/>
      <c r="CA754" s="1241"/>
      <c r="CB754" s="1241"/>
      <c r="CC754" s="1241"/>
      <c r="CD754" s="1241"/>
      <c r="CE754" s="1241"/>
      <c r="CF754" s="1241"/>
      <c r="CG754" s="1241"/>
      <c r="CH754" s="1241"/>
      <c r="CI754" s="1241"/>
      <c r="CJ754" s="1241"/>
      <c r="CK754" s="1241"/>
      <c r="CL754" s="1241"/>
      <c r="CM754" s="1241"/>
      <c r="CN754" s="1241"/>
      <c r="CO754" s="1241"/>
      <c r="CP754" s="1241"/>
      <c r="CQ754" s="1241"/>
      <c r="CR754" s="1241"/>
      <c r="CS754" s="1241"/>
      <c r="CT754" s="1241"/>
      <c r="CU754" s="1241"/>
      <c r="CV754" s="1241"/>
      <c r="CW754" s="1241"/>
      <c r="CX754" s="1241"/>
      <c r="CY754" s="1241"/>
      <c r="CZ754" s="1241"/>
      <c r="DA754" s="1241"/>
      <c r="DB754" s="1241"/>
      <c r="DC754" s="1241"/>
      <c r="DD754" s="1241"/>
      <c r="DE754" s="1241"/>
      <c r="DF754" s="1241"/>
      <c r="DG754" s="1241"/>
      <c r="DH754" s="1241"/>
      <c r="DI754" s="1241"/>
      <c r="DJ754" s="1241"/>
      <c r="DK754" s="1241"/>
      <c r="DL754" s="1241"/>
      <c r="DM754" s="1241"/>
    </row>
    <row r="755" spans="1:117" s="1302" customFormat="1">
      <c r="A755" s="1459" t="s">
        <v>4279</v>
      </c>
      <c r="B755" s="1508"/>
      <c r="C755" s="1241" t="s">
        <v>4281</v>
      </c>
      <c r="D755" s="1241"/>
      <c r="F755" s="1470"/>
      <c r="G755" s="1471"/>
      <c r="H755" s="1471"/>
      <c r="I755" s="1471"/>
      <c r="J755" s="1471"/>
      <c r="K755" s="1471"/>
      <c r="L755" s="1471"/>
      <c r="M755" s="1471"/>
      <c r="N755" s="1471"/>
      <c r="O755" s="1471"/>
      <c r="P755" s="1241"/>
      <c r="Q755" s="1241"/>
      <c r="R755" s="1241"/>
      <c r="S755" s="1241"/>
      <c r="T755" s="1241"/>
      <c r="U755" s="1241"/>
      <c r="V755" s="1241"/>
      <c r="W755" s="1241"/>
      <c r="X755" s="1241"/>
      <c r="Y755" s="1241"/>
      <c r="Z755" s="1241"/>
      <c r="AA755" s="1241"/>
      <c r="AB755" s="1241"/>
      <c r="AC755" s="1241"/>
      <c r="AD755" s="1241"/>
      <c r="AE755" s="1241"/>
      <c r="AF755" s="1241"/>
      <c r="AG755" s="1241"/>
      <c r="AH755" s="1241"/>
      <c r="AI755" s="1241"/>
      <c r="AJ755" s="1241"/>
      <c r="AK755" s="1241"/>
      <c r="AL755" s="1241"/>
      <c r="AM755" s="1241"/>
      <c r="AN755" s="1241"/>
      <c r="AO755" s="1241"/>
      <c r="AP755" s="1241"/>
      <c r="AQ755" s="1241"/>
      <c r="AR755" s="1241"/>
      <c r="AS755" s="1241"/>
      <c r="AT755" s="1241"/>
      <c r="AU755" s="1241"/>
      <c r="AV755" s="1241"/>
      <c r="AW755" s="1241"/>
      <c r="AX755" s="1241"/>
      <c r="AY755" s="1241"/>
      <c r="AZ755" s="1241"/>
      <c r="BA755" s="1241"/>
      <c r="BB755" s="1241"/>
      <c r="BC755" s="1241"/>
      <c r="BD755" s="1241"/>
      <c r="BE755" s="1241"/>
      <c r="BF755" s="1241"/>
      <c r="BG755" s="1241"/>
      <c r="BH755" s="1241"/>
      <c r="BI755" s="1241"/>
      <c r="BJ755" s="1241"/>
      <c r="BK755" s="1241"/>
      <c r="BL755" s="1241"/>
      <c r="BM755" s="1241"/>
      <c r="BN755" s="1241"/>
      <c r="BO755" s="1241"/>
      <c r="BP755" s="1241"/>
      <c r="BQ755" s="1241"/>
      <c r="BR755" s="1241"/>
      <c r="BS755" s="1241"/>
      <c r="BT755" s="1241"/>
      <c r="BU755" s="1241"/>
      <c r="BV755" s="1241"/>
      <c r="BW755" s="1241"/>
      <c r="BX755" s="1241"/>
      <c r="BY755" s="1241"/>
      <c r="BZ755" s="1241"/>
      <c r="CA755" s="1241"/>
      <c r="CB755" s="1241"/>
      <c r="CC755" s="1241"/>
      <c r="CD755" s="1241"/>
      <c r="CE755" s="1241"/>
      <c r="CF755" s="1241"/>
      <c r="CG755" s="1241"/>
      <c r="CH755" s="1241"/>
      <c r="CI755" s="1241"/>
      <c r="CJ755" s="1241"/>
      <c r="CK755" s="1241"/>
      <c r="CL755" s="1241"/>
      <c r="CM755" s="1241"/>
      <c r="CN755" s="1241"/>
      <c r="CO755" s="1241"/>
      <c r="CP755" s="1241"/>
      <c r="CQ755" s="1241"/>
      <c r="CR755" s="1241"/>
      <c r="CS755" s="1241"/>
      <c r="CT755" s="1241"/>
      <c r="CU755" s="1241"/>
      <c r="CV755" s="1241"/>
      <c r="CW755" s="1241"/>
      <c r="CX755" s="1241"/>
      <c r="CY755" s="1241"/>
      <c r="CZ755" s="1241"/>
      <c r="DA755" s="1241"/>
      <c r="DB755" s="1241"/>
      <c r="DC755" s="1241"/>
      <c r="DD755" s="1241"/>
      <c r="DE755" s="1241"/>
      <c r="DF755" s="1241"/>
      <c r="DG755" s="1241"/>
      <c r="DH755" s="1241"/>
      <c r="DI755" s="1241"/>
      <c r="DJ755" s="1241"/>
      <c r="DK755" s="1241"/>
      <c r="DL755" s="1241"/>
      <c r="DM755" s="1241"/>
    </row>
    <row r="756" spans="1:117" s="1302" customFormat="1">
      <c r="A756" s="1241"/>
      <c r="B756" s="1508"/>
      <c r="C756" s="1241" t="s">
        <v>4282</v>
      </c>
      <c r="D756" s="1241"/>
      <c r="E756" s="1509" t="s">
        <v>1065</v>
      </c>
      <c r="F756" s="1470"/>
      <c r="G756" s="1471"/>
      <c r="H756" s="1471">
        <v>3.3667454400000003</v>
      </c>
      <c r="I756" s="1471">
        <v>3.8599688431303445</v>
      </c>
      <c r="J756" s="1471">
        <v>5.2118903966244243</v>
      </c>
      <c r="K756" s="1471">
        <v>6.7446214325688389</v>
      </c>
      <c r="L756" s="1471">
        <v>8.4726706465730501</v>
      </c>
      <c r="M756" s="1471">
        <v>10.411475854542234</v>
      </c>
      <c r="N756" s="1471">
        <v>12.577456439968758</v>
      </c>
      <c r="O756" s="1471">
        <v>6.1089235883030133</v>
      </c>
      <c r="P756" s="1241"/>
      <c r="Q756" s="1241"/>
      <c r="R756" s="1241"/>
      <c r="S756" s="1241"/>
      <c r="T756" s="1241"/>
      <c r="U756" s="1241"/>
      <c r="V756" s="1241"/>
      <c r="W756" s="1241"/>
      <c r="X756" s="1241"/>
      <c r="Y756" s="1241"/>
      <c r="Z756" s="1241"/>
      <c r="AA756" s="1241"/>
      <c r="AB756" s="1241"/>
      <c r="AC756" s="1241"/>
      <c r="AD756" s="1241"/>
      <c r="AE756" s="1241"/>
      <c r="AF756" s="1241"/>
      <c r="AG756" s="1241"/>
      <c r="AH756" s="1241"/>
      <c r="AI756" s="1241"/>
      <c r="AJ756" s="1241"/>
      <c r="AK756" s="1241"/>
      <c r="AL756" s="1241"/>
      <c r="AM756" s="1241"/>
      <c r="AN756" s="1241"/>
      <c r="AO756" s="1241"/>
      <c r="AP756" s="1241"/>
      <c r="AQ756" s="1241"/>
      <c r="AR756" s="1241"/>
      <c r="AS756" s="1241"/>
      <c r="AT756" s="1241"/>
      <c r="AU756" s="1241"/>
      <c r="AV756" s="1241"/>
      <c r="AW756" s="1241"/>
      <c r="AX756" s="1241"/>
      <c r="AY756" s="1241"/>
      <c r="AZ756" s="1241"/>
      <c r="BA756" s="1241"/>
      <c r="BB756" s="1241"/>
      <c r="BC756" s="1241"/>
      <c r="BD756" s="1241"/>
      <c r="BE756" s="1241"/>
      <c r="BF756" s="1241"/>
      <c r="BG756" s="1241"/>
      <c r="BH756" s="1241"/>
      <c r="BI756" s="1241"/>
      <c r="BJ756" s="1241"/>
      <c r="BK756" s="1241"/>
      <c r="BL756" s="1241"/>
      <c r="BM756" s="1241"/>
      <c r="BN756" s="1241"/>
      <c r="BO756" s="1241"/>
      <c r="BP756" s="1241"/>
      <c r="BQ756" s="1241"/>
      <c r="BR756" s="1241"/>
      <c r="BS756" s="1241"/>
      <c r="BT756" s="1241"/>
      <c r="BU756" s="1241"/>
      <c r="BV756" s="1241"/>
      <c r="BW756" s="1241"/>
      <c r="BX756" s="1241"/>
      <c r="BY756" s="1241"/>
      <c r="BZ756" s="1241"/>
      <c r="CA756" s="1241"/>
      <c r="CB756" s="1241"/>
      <c r="CC756" s="1241"/>
      <c r="CD756" s="1241"/>
      <c r="CE756" s="1241"/>
      <c r="CF756" s="1241"/>
      <c r="CG756" s="1241"/>
      <c r="CH756" s="1241"/>
      <c r="CI756" s="1241"/>
      <c r="CJ756" s="1241"/>
      <c r="CK756" s="1241"/>
      <c r="CL756" s="1241"/>
      <c r="CM756" s="1241"/>
      <c r="CN756" s="1241"/>
      <c r="CO756" s="1241"/>
      <c r="CP756" s="1241"/>
      <c r="CQ756" s="1241"/>
      <c r="CR756" s="1241"/>
      <c r="CS756" s="1241"/>
      <c r="CT756" s="1241"/>
      <c r="CU756" s="1241"/>
      <c r="CV756" s="1241"/>
      <c r="CW756" s="1241"/>
      <c r="CX756" s="1241"/>
      <c r="CY756" s="1241"/>
      <c r="CZ756" s="1241"/>
      <c r="DA756" s="1241"/>
      <c r="DB756" s="1241"/>
      <c r="DC756" s="1241"/>
      <c r="DD756" s="1241"/>
      <c r="DE756" s="1241"/>
      <c r="DF756" s="1241"/>
      <c r="DG756" s="1241"/>
      <c r="DH756" s="1241"/>
      <c r="DI756" s="1241"/>
      <c r="DJ756" s="1241"/>
      <c r="DK756" s="1241"/>
      <c r="DL756" s="1241"/>
      <c r="DM756" s="1241"/>
    </row>
    <row r="757" spans="1:117" s="1302" customFormat="1">
      <c r="A757" s="1241"/>
      <c r="B757" s="1508"/>
      <c r="C757" s="1241" t="s">
        <v>1255</v>
      </c>
      <c r="D757" s="1241"/>
      <c r="E757" s="1509" t="s">
        <v>4283</v>
      </c>
      <c r="F757" s="1470"/>
      <c r="G757" s="1471"/>
      <c r="H757" s="1471">
        <v>3.056432627411422</v>
      </c>
      <c r="I757" s="1471">
        <v>3.0661711904830611</v>
      </c>
      <c r="J757" s="1471">
        <v>3.0754819135294791</v>
      </c>
      <c r="K757" s="1471">
        <v>3.0614849523701695</v>
      </c>
      <c r="L757" s="1471">
        <v>3.0217569177395456</v>
      </c>
      <c r="M757" s="1471">
        <v>2.9537032748354588</v>
      </c>
      <c r="N757" s="1471">
        <v>2.8545481770197663</v>
      </c>
      <c r="O757" s="1471">
        <v>3.0700320282733937</v>
      </c>
      <c r="P757" s="1241"/>
      <c r="Q757" s="1241"/>
      <c r="R757" s="1241"/>
      <c r="S757" s="1241"/>
      <c r="T757" s="1241"/>
      <c r="U757" s="1241"/>
      <c r="V757" s="1241"/>
      <c r="W757" s="1241"/>
      <c r="X757" s="1241"/>
      <c r="Y757" s="1241"/>
      <c r="Z757" s="1241"/>
      <c r="AA757" s="1241"/>
      <c r="AB757" s="1241"/>
      <c r="AC757" s="1241"/>
      <c r="AD757" s="1241"/>
      <c r="AE757" s="1241"/>
      <c r="AF757" s="1241"/>
      <c r="AG757" s="1241"/>
      <c r="AH757" s="1241"/>
      <c r="AI757" s="1241"/>
      <c r="AJ757" s="1241"/>
      <c r="AK757" s="1241"/>
      <c r="AL757" s="1241"/>
      <c r="AM757" s="1241"/>
      <c r="AN757" s="1241"/>
      <c r="AO757" s="1241"/>
      <c r="AP757" s="1241"/>
      <c r="AQ757" s="1241"/>
      <c r="AR757" s="1241"/>
      <c r="AS757" s="1241"/>
      <c r="AT757" s="1241"/>
      <c r="AU757" s="1241"/>
      <c r="AV757" s="1241"/>
      <c r="AW757" s="1241"/>
      <c r="AX757" s="1241"/>
      <c r="AY757" s="1241"/>
      <c r="AZ757" s="1241"/>
      <c r="BA757" s="1241"/>
      <c r="BB757" s="1241"/>
      <c r="BC757" s="1241"/>
      <c r="BD757" s="1241"/>
      <c r="BE757" s="1241"/>
      <c r="BF757" s="1241"/>
      <c r="BG757" s="1241"/>
      <c r="BH757" s="1241"/>
      <c r="BI757" s="1241"/>
      <c r="BJ757" s="1241"/>
      <c r="BK757" s="1241"/>
      <c r="BL757" s="1241"/>
      <c r="BM757" s="1241"/>
      <c r="BN757" s="1241"/>
      <c r="BO757" s="1241"/>
      <c r="BP757" s="1241"/>
      <c r="BQ757" s="1241"/>
      <c r="BR757" s="1241"/>
      <c r="BS757" s="1241"/>
      <c r="BT757" s="1241"/>
      <c r="BU757" s="1241"/>
      <c r="BV757" s="1241"/>
      <c r="BW757" s="1241"/>
      <c r="BX757" s="1241"/>
      <c r="BY757" s="1241"/>
      <c r="BZ757" s="1241"/>
      <c r="CA757" s="1241"/>
      <c r="CB757" s="1241"/>
      <c r="CC757" s="1241"/>
      <c r="CD757" s="1241"/>
      <c r="CE757" s="1241"/>
      <c r="CF757" s="1241"/>
      <c r="CG757" s="1241"/>
      <c r="CH757" s="1241"/>
      <c r="CI757" s="1241"/>
      <c r="CJ757" s="1241"/>
      <c r="CK757" s="1241"/>
      <c r="CL757" s="1241"/>
      <c r="CM757" s="1241"/>
      <c r="CN757" s="1241"/>
      <c r="CO757" s="1241"/>
      <c r="CP757" s="1241"/>
      <c r="CQ757" s="1241"/>
      <c r="CR757" s="1241"/>
      <c r="CS757" s="1241"/>
      <c r="CT757" s="1241"/>
      <c r="CU757" s="1241"/>
      <c r="CV757" s="1241"/>
      <c r="CW757" s="1241"/>
      <c r="CX757" s="1241"/>
      <c r="CY757" s="1241"/>
      <c r="CZ757" s="1241"/>
      <c r="DA757" s="1241"/>
      <c r="DB757" s="1241"/>
      <c r="DC757" s="1241"/>
      <c r="DD757" s="1241"/>
      <c r="DE757" s="1241"/>
      <c r="DF757" s="1241"/>
      <c r="DG757" s="1241"/>
      <c r="DH757" s="1241"/>
      <c r="DI757" s="1241"/>
      <c r="DJ757" s="1241"/>
      <c r="DK757" s="1241"/>
      <c r="DL757" s="1241"/>
      <c r="DM757" s="1241"/>
    </row>
    <row r="758" spans="1:117" s="1302" customFormat="1">
      <c r="A758" s="1241"/>
      <c r="B758" s="1508"/>
      <c r="C758" s="1241" t="s">
        <v>3861</v>
      </c>
      <c r="D758" s="1241"/>
      <c r="E758" s="1509" t="s">
        <v>3925</v>
      </c>
      <c r="F758" s="1470"/>
      <c r="G758" s="1471"/>
      <c r="H758" s="1471">
        <v>0</v>
      </c>
      <c r="I758" s="1471">
        <v>0</v>
      </c>
      <c r="J758" s="1471">
        <v>0</v>
      </c>
      <c r="K758" s="1471">
        <v>0</v>
      </c>
      <c r="L758" s="1471">
        <v>0</v>
      </c>
      <c r="M758" s="1471">
        <v>0</v>
      </c>
      <c r="N758" s="1471">
        <v>0</v>
      </c>
      <c r="O758" s="1471">
        <v>0</v>
      </c>
      <c r="P758" s="1241"/>
      <c r="Q758" s="1241"/>
      <c r="R758" s="1241"/>
      <c r="S758" s="1241"/>
      <c r="T758" s="1241"/>
      <c r="U758" s="1241"/>
      <c r="V758" s="1241"/>
      <c r="W758" s="1241"/>
      <c r="X758" s="1241"/>
      <c r="Y758" s="1241"/>
      <c r="Z758" s="1241"/>
      <c r="AA758" s="1241"/>
      <c r="AB758" s="1241"/>
      <c r="AC758" s="1241"/>
      <c r="AD758" s="1241"/>
      <c r="AE758" s="1241"/>
      <c r="AF758" s="1241"/>
      <c r="AG758" s="1241"/>
      <c r="AH758" s="1241"/>
      <c r="AI758" s="1241"/>
      <c r="AJ758" s="1241"/>
      <c r="AK758" s="1241"/>
      <c r="AL758" s="1241"/>
      <c r="AM758" s="1241"/>
      <c r="AN758" s="1241"/>
      <c r="AO758" s="1241"/>
      <c r="AP758" s="1241"/>
      <c r="AQ758" s="1241"/>
      <c r="AR758" s="1241"/>
      <c r="AS758" s="1241"/>
      <c r="AT758" s="1241"/>
      <c r="AU758" s="1241"/>
      <c r="AV758" s="1241"/>
      <c r="AW758" s="1241"/>
      <c r="AX758" s="1241"/>
      <c r="AY758" s="1241"/>
      <c r="AZ758" s="1241"/>
      <c r="BA758" s="1241"/>
      <c r="BB758" s="1241"/>
      <c r="BC758" s="1241"/>
      <c r="BD758" s="1241"/>
      <c r="BE758" s="1241"/>
      <c r="BF758" s="1241"/>
      <c r="BG758" s="1241"/>
      <c r="BH758" s="1241"/>
      <c r="BI758" s="1241"/>
      <c r="BJ758" s="1241"/>
      <c r="BK758" s="1241"/>
      <c r="BL758" s="1241"/>
      <c r="BM758" s="1241"/>
      <c r="BN758" s="1241"/>
      <c r="BO758" s="1241"/>
      <c r="BP758" s="1241"/>
      <c r="BQ758" s="1241"/>
      <c r="BR758" s="1241"/>
      <c r="BS758" s="1241"/>
      <c r="BT758" s="1241"/>
      <c r="BU758" s="1241"/>
      <c r="BV758" s="1241"/>
      <c r="BW758" s="1241"/>
      <c r="BX758" s="1241"/>
      <c r="BY758" s="1241"/>
      <c r="BZ758" s="1241"/>
      <c r="CA758" s="1241"/>
      <c r="CB758" s="1241"/>
      <c r="CC758" s="1241"/>
      <c r="CD758" s="1241"/>
      <c r="CE758" s="1241"/>
      <c r="CF758" s="1241"/>
      <c r="CG758" s="1241"/>
      <c r="CH758" s="1241"/>
      <c r="CI758" s="1241"/>
      <c r="CJ758" s="1241"/>
      <c r="CK758" s="1241"/>
      <c r="CL758" s="1241"/>
      <c r="CM758" s="1241"/>
      <c r="CN758" s="1241"/>
      <c r="CO758" s="1241"/>
      <c r="CP758" s="1241"/>
      <c r="CQ758" s="1241"/>
      <c r="CR758" s="1241"/>
      <c r="CS758" s="1241"/>
      <c r="CT758" s="1241"/>
      <c r="CU758" s="1241"/>
      <c r="CV758" s="1241"/>
      <c r="CW758" s="1241"/>
      <c r="CX758" s="1241"/>
      <c r="CY758" s="1241"/>
      <c r="CZ758" s="1241"/>
      <c r="DA758" s="1241"/>
      <c r="DB758" s="1241"/>
      <c r="DC758" s="1241"/>
      <c r="DD758" s="1241"/>
      <c r="DE758" s="1241"/>
      <c r="DF758" s="1241"/>
      <c r="DG758" s="1241"/>
      <c r="DH758" s="1241"/>
      <c r="DI758" s="1241"/>
      <c r="DJ758" s="1241"/>
      <c r="DK758" s="1241"/>
      <c r="DL758" s="1241"/>
      <c r="DM758" s="1241"/>
    </row>
    <row r="759" spans="1:117" s="1302" customFormat="1">
      <c r="A759" s="1241"/>
      <c r="B759" s="1508"/>
      <c r="C759" s="1241" t="s">
        <v>524</v>
      </c>
      <c r="D759" s="1241"/>
      <c r="E759" s="1509" t="s">
        <v>3923</v>
      </c>
      <c r="F759" s="1470"/>
      <c r="G759" s="1471"/>
      <c r="H759" s="1471">
        <v>14.497946870813397</v>
      </c>
      <c r="I759" s="1471">
        <v>14.959687860935784</v>
      </c>
      <c r="J759" s="1471">
        <v>15.441160447798293</v>
      </c>
      <c r="K759" s="1471">
        <v>15.877290645090284</v>
      </c>
      <c r="L759" s="1471">
        <v>16.261967994242738</v>
      </c>
      <c r="M759" s="1471">
        <v>16.588619423744323</v>
      </c>
      <c r="N759" s="1471">
        <v>16.850180876513168</v>
      </c>
      <c r="O759" s="1471">
        <v>15.70866065563632</v>
      </c>
      <c r="P759" s="1241"/>
      <c r="Q759" s="1241"/>
      <c r="R759" s="1241"/>
      <c r="S759" s="1241"/>
      <c r="T759" s="1241"/>
      <c r="U759" s="1241"/>
      <c r="V759" s="1241"/>
      <c r="W759" s="1241"/>
      <c r="X759" s="1241"/>
      <c r="Y759" s="1241"/>
      <c r="Z759" s="1241"/>
      <c r="AA759" s="1241"/>
      <c r="AB759" s="1241"/>
      <c r="AC759" s="1241"/>
      <c r="AD759" s="1241"/>
      <c r="AE759" s="1241"/>
      <c r="AF759" s="1241"/>
      <c r="AG759" s="1241"/>
      <c r="AH759" s="1241"/>
      <c r="AI759" s="1241"/>
      <c r="AJ759" s="1241"/>
      <c r="AK759" s="1241"/>
      <c r="AL759" s="1241"/>
      <c r="AM759" s="1241"/>
      <c r="AN759" s="1241"/>
      <c r="AO759" s="1241"/>
      <c r="AP759" s="1241"/>
      <c r="AQ759" s="1241"/>
      <c r="AR759" s="1241"/>
      <c r="AS759" s="1241"/>
      <c r="AT759" s="1241"/>
      <c r="AU759" s="1241"/>
      <c r="AV759" s="1241"/>
      <c r="AW759" s="1241"/>
      <c r="AX759" s="1241"/>
      <c r="AY759" s="1241"/>
      <c r="AZ759" s="1241"/>
      <c r="BA759" s="1241"/>
      <c r="BB759" s="1241"/>
      <c r="BC759" s="1241"/>
      <c r="BD759" s="1241"/>
      <c r="BE759" s="1241"/>
      <c r="BF759" s="1241"/>
      <c r="BG759" s="1241"/>
      <c r="BH759" s="1241"/>
      <c r="BI759" s="1241"/>
      <c r="BJ759" s="1241"/>
      <c r="BK759" s="1241"/>
      <c r="BL759" s="1241"/>
      <c r="BM759" s="1241"/>
      <c r="BN759" s="1241"/>
      <c r="BO759" s="1241"/>
      <c r="BP759" s="1241"/>
      <c r="BQ759" s="1241"/>
      <c r="BR759" s="1241"/>
      <c r="BS759" s="1241"/>
      <c r="BT759" s="1241"/>
      <c r="BU759" s="1241"/>
      <c r="BV759" s="1241"/>
      <c r="BW759" s="1241"/>
      <c r="BX759" s="1241"/>
      <c r="BY759" s="1241"/>
      <c r="BZ759" s="1241"/>
      <c r="CA759" s="1241"/>
      <c r="CB759" s="1241"/>
      <c r="CC759" s="1241"/>
      <c r="CD759" s="1241"/>
      <c r="CE759" s="1241"/>
      <c r="CF759" s="1241"/>
      <c r="CG759" s="1241"/>
      <c r="CH759" s="1241"/>
      <c r="CI759" s="1241"/>
      <c r="CJ759" s="1241"/>
      <c r="CK759" s="1241"/>
      <c r="CL759" s="1241"/>
      <c r="CM759" s="1241"/>
      <c r="CN759" s="1241"/>
      <c r="CO759" s="1241"/>
      <c r="CP759" s="1241"/>
      <c r="CQ759" s="1241"/>
      <c r="CR759" s="1241"/>
      <c r="CS759" s="1241"/>
      <c r="CT759" s="1241"/>
      <c r="CU759" s="1241"/>
      <c r="CV759" s="1241"/>
      <c r="CW759" s="1241"/>
      <c r="CX759" s="1241"/>
      <c r="CY759" s="1241"/>
      <c r="CZ759" s="1241"/>
      <c r="DA759" s="1241"/>
      <c r="DB759" s="1241"/>
      <c r="DC759" s="1241"/>
      <c r="DD759" s="1241"/>
      <c r="DE759" s="1241"/>
      <c r="DF759" s="1241"/>
      <c r="DG759" s="1241"/>
      <c r="DH759" s="1241"/>
      <c r="DI759" s="1241"/>
      <c r="DJ759" s="1241"/>
      <c r="DK759" s="1241"/>
      <c r="DL759" s="1241"/>
      <c r="DM759" s="1241"/>
    </row>
    <row r="760" spans="1:117" s="1302" customFormat="1">
      <c r="A760" s="1241"/>
      <c r="B760" s="1508"/>
      <c r="C760" s="1241" t="s">
        <v>3867</v>
      </c>
      <c r="D760" s="1241"/>
      <c r="E760" s="1509" t="s">
        <v>3925</v>
      </c>
      <c r="F760" s="1470"/>
      <c r="G760" s="1471"/>
      <c r="H760" s="1471">
        <v>0</v>
      </c>
      <c r="I760" s="1471">
        <v>0</v>
      </c>
      <c r="J760" s="1471">
        <v>0</v>
      </c>
      <c r="K760" s="1471">
        <v>0</v>
      </c>
      <c r="L760" s="1471">
        <v>0</v>
      </c>
      <c r="M760" s="1471">
        <v>0</v>
      </c>
      <c r="N760" s="1471">
        <v>0</v>
      </c>
      <c r="O760" s="1471">
        <v>0</v>
      </c>
      <c r="P760" s="1241"/>
      <c r="Q760" s="1241"/>
      <c r="R760" s="1241"/>
      <c r="S760" s="1241"/>
      <c r="T760" s="1241"/>
      <c r="U760" s="1241"/>
      <c r="V760" s="1241"/>
      <c r="W760" s="1241"/>
      <c r="X760" s="1241"/>
      <c r="Y760" s="1241"/>
      <c r="Z760" s="1241"/>
      <c r="AA760" s="1241"/>
      <c r="AB760" s="1241"/>
      <c r="AC760" s="1241"/>
      <c r="AD760" s="1241"/>
      <c r="AE760" s="1241"/>
      <c r="AF760" s="1241"/>
      <c r="AG760" s="1241"/>
      <c r="AH760" s="1241"/>
      <c r="AI760" s="1241"/>
      <c r="AJ760" s="1241"/>
      <c r="AK760" s="1241"/>
      <c r="AL760" s="1241"/>
      <c r="AM760" s="1241"/>
      <c r="AN760" s="1241"/>
      <c r="AO760" s="1241"/>
      <c r="AP760" s="1241"/>
      <c r="AQ760" s="1241"/>
      <c r="AR760" s="1241"/>
      <c r="AS760" s="1241"/>
      <c r="AT760" s="1241"/>
      <c r="AU760" s="1241"/>
      <c r="AV760" s="1241"/>
      <c r="AW760" s="1241"/>
      <c r="AX760" s="1241"/>
      <c r="AY760" s="1241"/>
      <c r="AZ760" s="1241"/>
      <c r="BA760" s="1241"/>
      <c r="BB760" s="1241"/>
      <c r="BC760" s="1241"/>
      <c r="BD760" s="1241"/>
      <c r="BE760" s="1241"/>
      <c r="BF760" s="1241"/>
      <c r="BG760" s="1241"/>
      <c r="BH760" s="1241"/>
      <c r="BI760" s="1241"/>
      <c r="BJ760" s="1241"/>
      <c r="BK760" s="1241"/>
      <c r="BL760" s="1241"/>
      <c r="BM760" s="1241"/>
      <c r="BN760" s="1241"/>
      <c r="BO760" s="1241"/>
      <c r="BP760" s="1241"/>
      <c r="BQ760" s="1241"/>
      <c r="BR760" s="1241"/>
      <c r="BS760" s="1241"/>
      <c r="BT760" s="1241"/>
      <c r="BU760" s="1241"/>
      <c r="BV760" s="1241"/>
      <c r="BW760" s="1241"/>
      <c r="BX760" s="1241"/>
      <c r="BY760" s="1241"/>
      <c r="BZ760" s="1241"/>
      <c r="CA760" s="1241"/>
      <c r="CB760" s="1241"/>
      <c r="CC760" s="1241"/>
      <c r="CD760" s="1241"/>
      <c r="CE760" s="1241"/>
      <c r="CF760" s="1241"/>
      <c r="CG760" s="1241"/>
      <c r="CH760" s="1241"/>
      <c r="CI760" s="1241"/>
      <c r="CJ760" s="1241"/>
      <c r="CK760" s="1241"/>
      <c r="CL760" s="1241"/>
      <c r="CM760" s="1241"/>
      <c r="CN760" s="1241"/>
      <c r="CO760" s="1241"/>
      <c r="CP760" s="1241"/>
      <c r="CQ760" s="1241"/>
      <c r="CR760" s="1241"/>
      <c r="CS760" s="1241"/>
      <c r="CT760" s="1241"/>
      <c r="CU760" s="1241"/>
      <c r="CV760" s="1241"/>
      <c r="CW760" s="1241"/>
      <c r="CX760" s="1241"/>
      <c r="CY760" s="1241"/>
      <c r="CZ760" s="1241"/>
      <c r="DA760" s="1241"/>
      <c r="DB760" s="1241"/>
      <c r="DC760" s="1241"/>
      <c r="DD760" s="1241"/>
      <c r="DE760" s="1241"/>
      <c r="DF760" s="1241"/>
      <c r="DG760" s="1241"/>
      <c r="DH760" s="1241"/>
      <c r="DI760" s="1241"/>
      <c r="DJ760" s="1241"/>
      <c r="DK760" s="1241"/>
      <c r="DL760" s="1241"/>
      <c r="DM760" s="1241"/>
    </row>
    <row r="761" spans="1:117" s="1302" customFormat="1">
      <c r="A761" s="1241"/>
      <c r="B761" s="1508"/>
      <c r="C761" s="1241" t="s">
        <v>4284</v>
      </c>
      <c r="D761" s="1241"/>
      <c r="E761" s="1509" t="s">
        <v>3925</v>
      </c>
      <c r="F761" s="1529"/>
      <c r="G761" s="1471"/>
      <c r="H761" s="1471">
        <v>0</v>
      </c>
      <c r="I761" s="1471">
        <v>0</v>
      </c>
      <c r="J761" s="1471">
        <v>0.22496619330641981</v>
      </c>
      <c r="K761" s="1471">
        <v>0.48520840280928201</v>
      </c>
      <c r="L761" s="1471">
        <v>0.78367416376533861</v>
      </c>
      <c r="M761" s="1471">
        <v>1.1235031396741662</v>
      </c>
      <c r="N761" s="1471">
        <v>1.5080380744009168</v>
      </c>
      <c r="O761" s="1471">
        <v>0.37669394411517571</v>
      </c>
      <c r="P761" s="1241"/>
      <c r="Q761" s="1241"/>
      <c r="R761" s="1241"/>
      <c r="S761" s="1241"/>
      <c r="T761" s="1241"/>
      <c r="U761" s="1241"/>
      <c r="V761" s="1241"/>
      <c r="W761" s="1241"/>
      <c r="X761" s="1241"/>
      <c r="Y761" s="1241"/>
      <c r="Z761" s="1241"/>
      <c r="AA761" s="1241"/>
      <c r="AB761" s="1241"/>
      <c r="AC761" s="1241"/>
      <c r="AD761" s="1241"/>
      <c r="AE761" s="1241"/>
      <c r="AF761" s="1241"/>
      <c r="AG761" s="1241"/>
      <c r="AH761" s="1241"/>
      <c r="AI761" s="1241"/>
      <c r="AJ761" s="1241"/>
      <c r="AK761" s="1241"/>
      <c r="AL761" s="1241"/>
      <c r="AM761" s="1241"/>
      <c r="AN761" s="1241"/>
      <c r="AO761" s="1241"/>
      <c r="AP761" s="1241"/>
      <c r="AQ761" s="1241"/>
      <c r="AR761" s="1241"/>
      <c r="AS761" s="1241"/>
      <c r="AT761" s="1241"/>
      <c r="AU761" s="1241"/>
      <c r="AV761" s="1241"/>
      <c r="AW761" s="1241"/>
      <c r="AX761" s="1241"/>
      <c r="AY761" s="1241"/>
      <c r="AZ761" s="1241"/>
      <c r="BA761" s="1241"/>
      <c r="BB761" s="1241"/>
      <c r="BC761" s="1241"/>
      <c r="BD761" s="1241"/>
      <c r="BE761" s="1241"/>
      <c r="BF761" s="1241"/>
      <c r="BG761" s="1241"/>
      <c r="BH761" s="1241"/>
      <c r="BI761" s="1241"/>
      <c r="BJ761" s="1241"/>
      <c r="BK761" s="1241"/>
      <c r="BL761" s="1241"/>
      <c r="BM761" s="1241"/>
      <c r="BN761" s="1241"/>
      <c r="BO761" s="1241"/>
      <c r="BP761" s="1241"/>
      <c r="BQ761" s="1241"/>
      <c r="BR761" s="1241"/>
      <c r="BS761" s="1241"/>
      <c r="BT761" s="1241"/>
      <c r="BU761" s="1241"/>
      <c r="BV761" s="1241"/>
      <c r="BW761" s="1241"/>
      <c r="BX761" s="1241"/>
      <c r="BY761" s="1241"/>
      <c r="BZ761" s="1241"/>
      <c r="CA761" s="1241"/>
      <c r="CB761" s="1241"/>
      <c r="CC761" s="1241"/>
      <c r="CD761" s="1241"/>
      <c r="CE761" s="1241"/>
      <c r="CF761" s="1241"/>
      <c r="CG761" s="1241"/>
      <c r="CH761" s="1241"/>
      <c r="CI761" s="1241"/>
      <c r="CJ761" s="1241"/>
      <c r="CK761" s="1241"/>
      <c r="CL761" s="1241"/>
      <c r="CM761" s="1241"/>
      <c r="CN761" s="1241"/>
      <c r="CO761" s="1241"/>
      <c r="CP761" s="1241"/>
      <c r="CQ761" s="1241"/>
      <c r="CR761" s="1241"/>
      <c r="CS761" s="1241"/>
      <c r="CT761" s="1241"/>
      <c r="CU761" s="1241"/>
      <c r="CV761" s="1241"/>
      <c r="CW761" s="1241"/>
      <c r="CX761" s="1241"/>
      <c r="CY761" s="1241"/>
      <c r="CZ761" s="1241"/>
      <c r="DA761" s="1241"/>
      <c r="DB761" s="1241"/>
      <c r="DC761" s="1241"/>
      <c r="DD761" s="1241"/>
      <c r="DE761" s="1241"/>
      <c r="DF761" s="1241"/>
      <c r="DG761" s="1241"/>
      <c r="DH761" s="1241"/>
      <c r="DI761" s="1241"/>
      <c r="DJ761" s="1241"/>
      <c r="DK761" s="1241"/>
      <c r="DL761" s="1241"/>
      <c r="DM761" s="1241"/>
    </row>
    <row r="762" spans="1:117" s="1302" customFormat="1">
      <c r="A762" s="1241"/>
      <c r="B762" s="1508"/>
      <c r="C762" s="1241"/>
      <c r="D762" s="1241"/>
      <c r="E762" s="1509"/>
      <c r="F762" s="1529"/>
      <c r="G762" s="1471"/>
      <c r="H762" s="1471"/>
      <c r="I762" s="1513"/>
      <c r="J762" s="1513"/>
      <c r="K762" s="1513"/>
      <c r="L762" s="1513"/>
      <c r="M762" s="1513"/>
      <c r="N762" s="1513"/>
      <c r="O762" s="1513"/>
      <c r="P762" s="1241"/>
      <c r="Q762" s="1241"/>
      <c r="R762" s="1241"/>
      <c r="S762" s="1241"/>
      <c r="T762" s="1241"/>
      <c r="U762" s="1241"/>
      <c r="V762" s="1241"/>
      <c r="W762" s="1241"/>
      <c r="X762" s="1241"/>
      <c r="Y762" s="1241"/>
      <c r="Z762" s="1241"/>
      <c r="AA762" s="1241"/>
      <c r="AB762" s="1241"/>
      <c r="AC762" s="1241"/>
      <c r="AD762" s="1241"/>
      <c r="AE762" s="1241"/>
      <c r="AF762" s="1241"/>
      <c r="AG762" s="1241"/>
      <c r="AH762" s="1241"/>
      <c r="AI762" s="1241"/>
      <c r="AJ762" s="1241"/>
      <c r="AK762" s="1241"/>
      <c r="AL762" s="1241"/>
      <c r="AM762" s="1241"/>
      <c r="AN762" s="1241"/>
      <c r="AO762" s="1241"/>
      <c r="AP762" s="1241"/>
      <c r="AQ762" s="1241"/>
      <c r="AR762" s="1241"/>
      <c r="AS762" s="1241"/>
      <c r="AT762" s="1241"/>
      <c r="AU762" s="1241"/>
      <c r="AV762" s="1241"/>
      <c r="AW762" s="1241"/>
      <c r="AX762" s="1241"/>
      <c r="AY762" s="1241"/>
      <c r="AZ762" s="1241"/>
      <c r="BA762" s="1241"/>
      <c r="BB762" s="1241"/>
      <c r="BC762" s="1241"/>
      <c r="BD762" s="1241"/>
      <c r="BE762" s="1241"/>
      <c r="BF762" s="1241"/>
      <c r="BG762" s="1241"/>
      <c r="BH762" s="1241"/>
      <c r="BI762" s="1241"/>
      <c r="BJ762" s="1241"/>
      <c r="BK762" s="1241"/>
      <c r="BL762" s="1241"/>
      <c r="BM762" s="1241"/>
      <c r="BN762" s="1241"/>
      <c r="BO762" s="1241"/>
      <c r="BP762" s="1241"/>
      <c r="BQ762" s="1241"/>
      <c r="BR762" s="1241"/>
      <c r="BS762" s="1241"/>
      <c r="BT762" s="1241"/>
      <c r="BU762" s="1241"/>
      <c r="BV762" s="1241"/>
      <c r="BW762" s="1241"/>
      <c r="BX762" s="1241"/>
      <c r="BY762" s="1241"/>
      <c r="BZ762" s="1241"/>
      <c r="CA762" s="1241"/>
      <c r="CB762" s="1241"/>
      <c r="CC762" s="1241"/>
      <c r="CD762" s="1241"/>
      <c r="CE762" s="1241"/>
      <c r="CF762" s="1241"/>
      <c r="CG762" s="1241"/>
      <c r="CH762" s="1241"/>
      <c r="CI762" s="1241"/>
      <c r="CJ762" s="1241"/>
      <c r="CK762" s="1241"/>
      <c r="CL762" s="1241"/>
      <c r="CM762" s="1241"/>
      <c r="CN762" s="1241"/>
      <c r="CO762" s="1241"/>
      <c r="CP762" s="1241"/>
      <c r="CQ762" s="1241"/>
      <c r="CR762" s="1241"/>
      <c r="CS762" s="1241"/>
      <c r="CT762" s="1241"/>
      <c r="CU762" s="1241"/>
      <c r="CV762" s="1241"/>
      <c r="CW762" s="1241"/>
      <c r="CX762" s="1241"/>
      <c r="CY762" s="1241"/>
      <c r="CZ762" s="1241"/>
      <c r="DA762" s="1241"/>
      <c r="DB762" s="1241"/>
      <c r="DC762" s="1241"/>
      <c r="DD762" s="1241"/>
      <c r="DE762" s="1241"/>
      <c r="DF762" s="1241"/>
      <c r="DG762" s="1241"/>
      <c r="DH762" s="1241"/>
      <c r="DI762" s="1241"/>
      <c r="DJ762" s="1241"/>
      <c r="DK762" s="1241"/>
      <c r="DL762" s="1241"/>
      <c r="DM762" s="1241"/>
    </row>
    <row r="763" spans="1:117" s="1302" customFormat="1" ht="16">
      <c r="A763" s="1459" t="s">
        <v>4106</v>
      </c>
      <c r="B763" s="1508"/>
      <c r="C763" s="1241" t="s">
        <v>122</v>
      </c>
      <c r="D763" s="1243"/>
      <c r="E763" s="1242" t="s">
        <v>4680</v>
      </c>
      <c r="F763" s="1529"/>
      <c r="G763" s="1471"/>
      <c r="H763" s="1471">
        <v>34.957520275450321</v>
      </c>
      <c r="I763" s="1471">
        <v>35.931712035500531</v>
      </c>
      <c r="J763" s="1471">
        <v>36.946193280614132</v>
      </c>
      <c r="K763" s="1471">
        <v>37.829504959053871</v>
      </c>
      <c r="L763" s="1471">
        <v>38.565110249635353</v>
      </c>
      <c r="M763" s="1471">
        <v>39.135239933984941</v>
      </c>
      <c r="N763" s="1471">
        <v>39.520817336717712</v>
      </c>
      <c r="O763" s="1471">
        <v>37.492952169423098</v>
      </c>
      <c r="P763" s="1241"/>
      <c r="Q763" s="1241"/>
      <c r="R763" s="1241"/>
      <c r="S763" s="1241"/>
      <c r="T763" s="1241"/>
      <c r="U763" s="1241"/>
      <c r="V763" s="1241"/>
      <c r="W763" s="1241"/>
      <c r="X763" s="1241"/>
      <c r="Y763" s="1241"/>
      <c r="Z763" s="1241"/>
      <c r="AA763" s="1241"/>
      <c r="AB763" s="1241"/>
      <c r="AC763" s="1241"/>
      <c r="AD763" s="1241"/>
      <c r="AE763" s="1241"/>
      <c r="AF763" s="1241"/>
      <c r="AG763" s="1241"/>
      <c r="AH763" s="1241"/>
      <c r="AI763" s="1241"/>
      <c r="AJ763" s="1241"/>
      <c r="AK763" s="1241"/>
      <c r="AL763" s="1241"/>
      <c r="AM763" s="1241"/>
      <c r="AN763" s="1241"/>
      <c r="AO763" s="1241"/>
      <c r="AP763" s="1241"/>
      <c r="AQ763" s="1241"/>
      <c r="AR763" s="1241"/>
      <c r="AS763" s="1241"/>
      <c r="AT763" s="1241"/>
      <c r="AU763" s="1241"/>
      <c r="AV763" s="1241"/>
      <c r="AW763" s="1241"/>
      <c r="AX763" s="1241"/>
      <c r="AY763" s="1241"/>
      <c r="AZ763" s="1241"/>
      <c r="BA763" s="1241"/>
      <c r="BB763" s="1241"/>
      <c r="BC763" s="1241"/>
      <c r="BD763" s="1241"/>
      <c r="BE763" s="1241"/>
      <c r="BF763" s="1241"/>
      <c r="BG763" s="1241"/>
      <c r="BH763" s="1241"/>
      <c r="BI763" s="1241"/>
      <c r="BJ763" s="1241"/>
      <c r="BK763" s="1241"/>
      <c r="BL763" s="1241"/>
      <c r="BM763" s="1241"/>
      <c r="BN763" s="1241"/>
      <c r="BO763" s="1241"/>
      <c r="BP763" s="1241"/>
      <c r="BQ763" s="1241"/>
      <c r="BR763" s="1241"/>
      <c r="BS763" s="1241"/>
      <c r="BT763" s="1241"/>
      <c r="BU763" s="1241"/>
      <c r="BV763" s="1241"/>
      <c r="BW763" s="1241"/>
      <c r="BX763" s="1241"/>
      <c r="BY763" s="1241"/>
      <c r="BZ763" s="1241"/>
      <c r="CA763" s="1241"/>
      <c r="CB763" s="1241"/>
      <c r="CC763" s="1241"/>
      <c r="CD763" s="1241"/>
      <c r="CE763" s="1241"/>
      <c r="CF763" s="1241"/>
      <c r="CG763" s="1241"/>
      <c r="CH763" s="1241"/>
      <c r="CI763" s="1241"/>
      <c r="CJ763" s="1241"/>
      <c r="CK763" s="1241"/>
      <c r="CL763" s="1241"/>
      <c r="CM763" s="1241"/>
      <c r="CN763" s="1241"/>
      <c r="CO763" s="1241"/>
      <c r="CP763" s="1241"/>
      <c r="CQ763" s="1241"/>
      <c r="CR763" s="1241"/>
      <c r="CS763" s="1241"/>
      <c r="CT763" s="1241"/>
      <c r="CU763" s="1241"/>
      <c r="CV763" s="1241"/>
      <c r="CW763" s="1241"/>
      <c r="CX763" s="1241"/>
      <c r="CY763" s="1241"/>
      <c r="CZ763" s="1241"/>
      <c r="DA763" s="1241"/>
      <c r="DB763" s="1241"/>
      <c r="DC763" s="1241"/>
      <c r="DD763" s="1241"/>
      <c r="DE763" s="1241"/>
      <c r="DF763" s="1241"/>
      <c r="DG763" s="1241"/>
      <c r="DH763" s="1241"/>
      <c r="DI763" s="1241"/>
      <c r="DJ763" s="1241"/>
      <c r="DK763" s="1241"/>
      <c r="DL763" s="1241"/>
      <c r="DM763" s="1241"/>
    </row>
    <row r="764" spans="1:117" s="1302" customFormat="1" ht="16">
      <c r="A764" s="1459"/>
      <c r="B764" s="1459"/>
      <c r="C764" s="1241" t="s">
        <v>4297</v>
      </c>
      <c r="D764" s="1243"/>
      <c r="E764" s="1242" t="s">
        <v>4680</v>
      </c>
      <c r="F764" s="1529"/>
      <c r="G764" s="1471"/>
      <c r="H764" s="1471">
        <v>5.5532935693963642E-2</v>
      </c>
      <c r="I764" s="1471">
        <v>5.7301588382528426E-2</v>
      </c>
      <c r="J764" s="1471">
        <v>5.9145820979246581E-2</v>
      </c>
      <c r="K764" s="1471">
        <v>6.0816374086953832E-2</v>
      </c>
      <c r="L764" s="1471">
        <v>6.228984220514739E-2</v>
      </c>
      <c r="M764" s="1471">
        <v>6.3541047840710255E-2</v>
      </c>
      <c r="N764" s="1471">
        <v>6.4542932829396035E-2</v>
      </c>
      <c r="O764" s="1471">
        <v>6.017045377534936E-2</v>
      </c>
      <c r="P764" s="1241"/>
      <c r="Q764" s="1241"/>
      <c r="R764" s="1241"/>
      <c r="S764" s="1241"/>
      <c r="T764" s="1241"/>
      <c r="U764" s="1241"/>
      <c r="V764" s="1241"/>
      <c r="W764" s="1241"/>
      <c r="X764" s="1241"/>
      <c r="Y764" s="1241"/>
      <c r="Z764" s="1241"/>
      <c r="AA764" s="1241"/>
      <c r="AB764" s="1241"/>
      <c r="AC764" s="1241"/>
      <c r="AD764" s="1241"/>
      <c r="AE764" s="1241"/>
      <c r="AF764" s="1241"/>
      <c r="AG764" s="1241"/>
      <c r="AH764" s="1241"/>
      <c r="AI764" s="1241"/>
      <c r="AJ764" s="1241"/>
      <c r="AK764" s="1241"/>
      <c r="AL764" s="1241"/>
      <c r="AM764" s="1241"/>
      <c r="AN764" s="1241"/>
      <c r="AO764" s="1241"/>
      <c r="AP764" s="1241"/>
      <c r="AQ764" s="1241"/>
      <c r="AR764" s="1241"/>
      <c r="AS764" s="1241"/>
      <c r="AT764" s="1241"/>
      <c r="AU764" s="1241"/>
      <c r="AV764" s="1241"/>
      <c r="AW764" s="1241"/>
      <c r="AX764" s="1241"/>
      <c r="AY764" s="1241"/>
      <c r="AZ764" s="1241"/>
      <c r="BA764" s="1241"/>
      <c r="BB764" s="1241"/>
      <c r="BC764" s="1241"/>
      <c r="BD764" s="1241"/>
      <c r="BE764" s="1241"/>
      <c r="BF764" s="1241"/>
      <c r="BG764" s="1241"/>
      <c r="BH764" s="1241"/>
      <c r="BI764" s="1241"/>
      <c r="BJ764" s="1241"/>
      <c r="BK764" s="1241"/>
      <c r="BL764" s="1241"/>
      <c r="BM764" s="1241"/>
      <c r="BN764" s="1241"/>
      <c r="BO764" s="1241"/>
      <c r="BP764" s="1241"/>
      <c r="BQ764" s="1241"/>
      <c r="BR764" s="1241"/>
      <c r="BS764" s="1241"/>
      <c r="BT764" s="1241"/>
      <c r="BU764" s="1241"/>
      <c r="BV764" s="1241"/>
      <c r="BW764" s="1241"/>
      <c r="BX764" s="1241"/>
      <c r="BY764" s="1241"/>
      <c r="BZ764" s="1241"/>
      <c r="CA764" s="1241"/>
      <c r="CB764" s="1241"/>
      <c r="CC764" s="1241"/>
      <c r="CD764" s="1241"/>
      <c r="CE764" s="1241"/>
      <c r="CF764" s="1241"/>
      <c r="CG764" s="1241"/>
      <c r="CH764" s="1241"/>
      <c r="CI764" s="1241"/>
      <c r="CJ764" s="1241"/>
      <c r="CK764" s="1241"/>
      <c r="CL764" s="1241"/>
      <c r="CM764" s="1241"/>
      <c r="CN764" s="1241"/>
      <c r="CO764" s="1241"/>
      <c r="CP764" s="1241"/>
      <c r="CQ764" s="1241"/>
      <c r="CR764" s="1241"/>
      <c r="CS764" s="1241"/>
      <c r="CT764" s="1241"/>
      <c r="CU764" s="1241"/>
      <c r="CV764" s="1241"/>
      <c r="CW764" s="1241"/>
      <c r="CX764" s="1241"/>
      <c r="CY764" s="1241"/>
      <c r="CZ764" s="1241"/>
      <c r="DA764" s="1241"/>
      <c r="DB764" s="1241"/>
      <c r="DC764" s="1241"/>
      <c r="DD764" s="1241"/>
      <c r="DE764" s="1241"/>
      <c r="DF764" s="1241"/>
      <c r="DG764" s="1241"/>
      <c r="DH764" s="1241"/>
      <c r="DI764" s="1241"/>
      <c r="DJ764" s="1241"/>
      <c r="DK764" s="1241"/>
      <c r="DL764" s="1241"/>
      <c r="DM764" s="1241"/>
    </row>
    <row r="765" spans="1:117" s="1302" customFormat="1" ht="16">
      <c r="A765" s="1241"/>
      <c r="B765" s="1508"/>
      <c r="C765" s="1241" t="s">
        <v>4298</v>
      </c>
      <c r="D765" s="1243"/>
      <c r="E765" s="1242" t="s">
        <v>4680</v>
      </c>
      <c r="F765" s="1529"/>
      <c r="G765" s="1471"/>
      <c r="H765" s="1471">
        <v>3.8671972283217129E-2</v>
      </c>
      <c r="I765" s="1471">
        <v>3.9088899451601877E-2</v>
      </c>
      <c r="J765" s="1471">
        <v>3.9515794000327988E-2</v>
      </c>
      <c r="K765" s="1471">
        <v>3.9693879084992396E-2</v>
      </c>
      <c r="L765" s="1471">
        <v>3.9596298313308541E-2</v>
      </c>
      <c r="M765" s="1471">
        <v>3.9194276664672248E-2</v>
      </c>
      <c r="N765" s="1471">
        <v>3.8457005889803338E-2</v>
      </c>
      <c r="O765" s="1471">
        <v>3.9654179214346309E-2</v>
      </c>
      <c r="P765" s="1241"/>
      <c r="Q765" s="1241"/>
      <c r="R765" s="1241"/>
      <c r="S765" s="1241"/>
      <c r="T765" s="1241"/>
      <c r="U765" s="1241"/>
      <c r="V765" s="1241"/>
      <c r="W765" s="1241"/>
      <c r="X765" s="1241"/>
      <c r="Y765" s="1241"/>
      <c r="Z765" s="1241"/>
      <c r="AA765" s="1241"/>
      <c r="AB765" s="1241"/>
      <c r="AC765" s="1241"/>
      <c r="AD765" s="1241"/>
      <c r="AE765" s="1241"/>
      <c r="AF765" s="1241"/>
      <c r="AG765" s="1241"/>
      <c r="AH765" s="1241"/>
      <c r="AI765" s="1241"/>
      <c r="AJ765" s="1241"/>
      <c r="AK765" s="1241"/>
      <c r="AL765" s="1241"/>
      <c r="AM765" s="1241"/>
      <c r="AN765" s="1241"/>
      <c r="AO765" s="1241"/>
      <c r="AP765" s="1241"/>
      <c r="AQ765" s="1241"/>
      <c r="AR765" s="1241"/>
      <c r="AS765" s="1241"/>
      <c r="AT765" s="1241"/>
      <c r="AU765" s="1241"/>
      <c r="AV765" s="1241"/>
      <c r="AW765" s="1241"/>
      <c r="AX765" s="1241"/>
      <c r="AY765" s="1241"/>
      <c r="AZ765" s="1241"/>
      <c r="BA765" s="1241"/>
      <c r="BB765" s="1241"/>
      <c r="BC765" s="1241"/>
      <c r="BD765" s="1241"/>
      <c r="BE765" s="1241"/>
      <c r="BF765" s="1241"/>
      <c r="BG765" s="1241"/>
      <c r="BH765" s="1241"/>
      <c r="BI765" s="1241"/>
      <c r="BJ765" s="1241"/>
      <c r="BK765" s="1241"/>
      <c r="BL765" s="1241"/>
      <c r="BM765" s="1241"/>
      <c r="BN765" s="1241"/>
      <c r="BO765" s="1241"/>
      <c r="BP765" s="1241"/>
      <c r="BQ765" s="1241"/>
      <c r="BR765" s="1241"/>
      <c r="BS765" s="1241"/>
      <c r="BT765" s="1241"/>
      <c r="BU765" s="1241"/>
      <c r="BV765" s="1241"/>
      <c r="BW765" s="1241"/>
      <c r="BX765" s="1241"/>
      <c r="BY765" s="1241"/>
      <c r="BZ765" s="1241"/>
      <c r="CA765" s="1241"/>
      <c r="CB765" s="1241"/>
      <c r="CC765" s="1241"/>
      <c r="CD765" s="1241"/>
      <c r="CE765" s="1241"/>
      <c r="CF765" s="1241"/>
      <c r="CG765" s="1241"/>
      <c r="CH765" s="1241"/>
      <c r="CI765" s="1241"/>
      <c r="CJ765" s="1241"/>
      <c r="CK765" s="1241"/>
      <c r="CL765" s="1241"/>
      <c r="CM765" s="1241"/>
      <c r="CN765" s="1241"/>
      <c r="CO765" s="1241"/>
      <c r="CP765" s="1241"/>
      <c r="CQ765" s="1241"/>
      <c r="CR765" s="1241"/>
      <c r="CS765" s="1241"/>
      <c r="CT765" s="1241"/>
      <c r="CU765" s="1241"/>
      <c r="CV765" s="1241"/>
      <c r="CW765" s="1241"/>
      <c r="CX765" s="1241"/>
      <c r="CY765" s="1241"/>
      <c r="CZ765" s="1241"/>
      <c r="DA765" s="1241"/>
      <c r="DB765" s="1241"/>
      <c r="DC765" s="1241"/>
      <c r="DD765" s="1241"/>
      <c r="DE765" s="1241"/>
      <c r="DF765" s="1241"/>
      <c r="DG765" s="1241"/>
      <c r="DH765" s="1241"/>
      <c r="DI765" s="1241"/>
      <c r="DJ765" s="1241"/>
      <c r="DK765" s="1241"/>
      <c r="DL765" s="1241"/>
      <c r="DM765" s="1241"/>
    </row>
    <row r="766" spans="1:117" s="1302" customFormat="1">
      <c r="A766" s="1241"/>
      <c r="B766" s="1508"/>
      <c r="C766" s="1241"/>
      <c r="D766" s="1241"/>
      <c r="E766" s="1508"/>
      <c r="F766" s="1542"/>
      <c r="G766" s="1471"/>
      <c r="H766" s="1471"/>
      <c r="I766" s="1471"/>
      <c r="J766" s="1471"/>
      <c r="K766" s="1471"/>
      <c r="L766" s="1471"/>
      <c r="M766" s="1471"/>
      <c r="N766" s="1471"/>
      <c r="O766" s="1543"/>
      <c r="P766" s="1241"/>
      <c r="Q766" s="1241"/>
      <c r="R766" s="1241"/>
      <c r="S766" s="1241"/>
      <c r="T766" s="1241"/>
      <c r="U766" s="1241"/>
      <c r="V766" s="1241"/>
      <c r="W766" s="1241"/>
      <c r="X766" s="1241"/>
      <c r="Y766" s="1241"/>
      <c r="Z766" s="1241"/>
      <c r="AA766" s="1241"/>
      <c r="AB766" s="1241"/>
      <c r="AC766" s="1241"/>
      <c r="AD766" s="1241"/>
      <c r="AE766" s="1241"/>
      <c r="AF766" s="1241"/>
      <c r="AG766" s="1241"/>
      <c r="AH766" s="1241"/>
      <c r="AI766" s="1241"/>
      <c r="AJ766" s="1241"/>
      <c r="AK766" s="1241"/>
      <c r="AL766" s="1241"/>
      <c r="AM766" s="1241"/>
      <c r="AN766" s="1241"/>
      <c r="AO766" s="1241"/>
      <c r="AP766" s="1241"/>
      <c r="AQ766" s="1241"/>
      <c r="AR766" s="1241"/>
      <c r="AS766" s="1241"/>
      <c r="AT766" s="1241"/>
      <c r="AU766" s="1241"/>
      <c r="AV766" s="1241"/>
      <c r="AW766" s="1241"/>
      <c r="AX766" s="1241"/>
      <c r="AY766" s="1241"/>
      <c r="AZ766" s="1241"/>
      <c r="BA766" s="1241"/>
      <c r="BB766" s="1241"/>
      <c r="BC766" s="1241"/>
      <c r="BD766" s="1241"/>
      <c r="BE766" s="1241"/>
      <c r="BF766" s="1241"/>
      <c r="BG766" s="1241"/>
      <c r="BH766" s="1241"/>
      <c r="BI766" s="1241"/>
      <c r="BJ766" s="1241"/>
      <c r="BK766" s="1241"/>
      <c r="BL766" s="1241"/>
      <c r="BM766" s="1241"/>
      <c r="BN766" s="1241"/>
      <c r="BO766" s="1241"/>
      <c r="BP766" s="1241"/>
      <c r="BQ766" s="1241"/>
      <c r="BR766" s="1241"/>
      <c r="BS766" s="1241"/>
      <c r="BT766" s="1241"/>
      <c r="BU766" s="1241"/>
      <c r="BV766" s="1241"/>
      <c r="BW766" s="1241"/>
      <c r="BX766" s="1241"/>
      <c r="BY766" s="1241"/>
      <c r="BZ766" s="1241"/>
      <c r="CA766" s="1241"/>
      <c r="CB766" s="1241"/>
      <c r="CC766" s="1241"/>
      <c r="CD766" s="1241"/>
      <c r="CE766" s="1241"/>
      <c r="CF766" s="1241"/>
      <c r="CG766" s="1241"/>
      <c r="CH766" s="1241"/>
      <c r="CI766" s="1241"/>
      <c r="CJ766" s="1241"/>
      <c r="CK766" s="1241"/>
      <c r="CL766" s="1241"/>
      <c r="CM766" s="1241"/>
      <c r="CN766" s="1241"/>
      <c r="CO766" s="1241"/>
      <c r="CP766" s="1241"/>
      <c r="CQ766" s="1241"/>
      <c r="CR766" s="1241"/>
      <c r="CS766" s="1241"/>
      <c r="CT766" s="1241"/>
      <c r="CU766" s="1241"/>
      <c r="CV766" s="1241"/>
      <c r="CW766" s="1241"/>
      <c r="CX766" s="1241"/>
      <c r="CY766" s="1241"/>
      <c r="CZ766" s="1241"/>
      <c r="DA766" s="1241"/>
      <c r="DB766" s="1241"/>
      <c r="DC766" s="1241"/>
      <c r="DD766" s="1241"/>
      <c r="DE766" s="1241"/>
      <c r="DF766" s="1241"/>
      <c r="DG766" s="1241"/>
      <c r="DH766" s="1241"/>
      <c r="DI766" s="1241"/>
      <c r="DJ766" s="1241"/>
      <c r="DK766" s="1241"/>
      <c r="DL766" s="1241"/>
      <c r="DM766" s="1241"/>
    </row>
    <row r="767" spans="1:117" ht="16">
      <c r="A767" s="1243"/>
      <c r="B767" s="1520" t="s">
        <v>4313</v>
      </c>
      <c r="C767" s="1520"/>
      <c r="D767" s="1521"/>
      <c r="E767" s="1242" t="s">
        <v>4684</v>
      </c>
      <c r="F767" s="1522"/>
      <c r="G767" s="1489"/>
      <c r="H767" s="1489">
        <v>1.4336083919602247</v>
      </c>
      <c r="I767" s="1489">
        <v>1.4140994420906834</v>
      </c>
      <c r="J767" s="1489">
        <v>1.3134048879069968</v>
      </c>
      <c r="K767" s="1489">
        <v>1.2167639112086437</v>
      </c>
      <c r="L767" s="1489">
        <v>1.1240390924957619</v>
      </c>
      <c r="M767" s="1489">
        <v>1.0350972942232302</v>
      </c>
      <c r="N767" s="1489">
        <v>0.94980953391610523</v>
      </c>
      <c r="O767" s="1489">
        <v>1.2549427647403379</v>
      </c>
    </row>
    <row r="768" spans="1:117" s="1302" customFormat="1">
      <c r="A768" s="1459"/>
      <c r="B768" s="1459"/>
      <c r="C768" s="1459"/>
      <c r="D768" s="1459"/>
      <c r="E768" s="1459"/>
      <c r="F768" s="1544"/>
      <c r="G768" s="1473"/>
      <c r="H768" s="1473"/>
      <c r="I768" s="1473"/>
      <c r="J768" s="1473"/>
      <c r="K768" s="1473"/>
      <c r="L768" s="1473"/>
      <c r="M768" s="1473"/>
      <c r="N768" s="1473"/>
      <c r="O768" s="1545"/>
      <c r="P768" s="1241"/>
      <c r="Q768" s="1241"/>
      <c r="R768" s="1241"/>
      <c r="S768" s="1241"/>
      <c r="T768" s="1241"/>
      <c r="U768" s="1241"/>
      <c r="V768" s="1241"/>
      <c r="W768" s="1241"/>
      <c r="X768" s="1241"/>
      <c r="Y768" s="1241"/>
      <c r="Z768" s="1241"/>
      <c r="AA768" s="1241"/>
      <c r="AB768" s="1241"/>
      <c r="AC768" s="1241"/>
      <c r="AD768" s="1241"/>
      <c r="AE768" s="1241"/>
      <c r="AF768" s="1241"/>
      <c r="AG768" s="1241"/>
      <c r="AH768" s="1241"/>
      <c r="AI768" s="1241"/>
      <c r="AJ768" s="1241"/>
      <c r="AK768" s="1241"/>
      <c r="AL768" s="1241"/>
      <c r="AM768" s="1241"/>
      <c r="AN768" s="1241"/>
      <c r="AO768" s="1241"/>
      <c r="AP768" s="1241"/>
      <c r="AQ768" s="1241"/>
      <c r="AR768" s="1241"/>
      <c r="AS768" s="1241"/>
      <c r="AT768" s="1241"/>
      <c r="AU768" s="1241"/>
      <c r="AV768" s="1241"/>
      <c r="AW768" s="1241"/>
      <c r="AX768" s="1241"/>
      <c r="AY768" s="1241"/>
      <c r="AZ768" s="1241"/>
      <c r="BA768" s="1241"/>
      <c r="BB768" s="1241"/>
      <c r="BC768" s="1241"/>
      <c r="BD768" s="1241"/>
      <c r="BE768" s="1241"/>
      <c r="BF768" s="1241"/>
      <c r="BG768" s="1241"/>
      <c r="BH768" s="1241"/>
      <c r="BI768" s="1241"/>
      <c r="BJ768" s="1241"/>
      <c r="BK768" s="1241"/>
      <c r="BL768" s="1241"/>
      <c r="BM768" s="1241"/>
      <c r="BN768" s="1241"/>
      <c r="BO768" s="1241"/>
      <c r="BP768" s="1241"/>
      <c r="BQ768" s="1241"/>
      <c r="BR768" s="1241"/>
      <c r="BS768" s="1241"/>
      <c r="BT768" s="1241"/>
      <c r="BU768" s="1241"/>
      <c r="BV768" s="1241"/>
      <c r="BW768" s="1241"/>
      <c r="BX768" s="1241"/>
      <c r="BY768" s="1241"/>
      <c r="BZ768" s="1241"/>
      <c r="CA768" s="1241"/>
      <c r="CB768" s="1241"/>
      <c r="CC768" s="1241"/>
      <c r="CD768" s="1241"/>
      <c r="CE768" s="1241"/>
      <c r="CF768" s="1241"/>
      <c r="CG768" s="1241"/>
      <c r="CH768" s="1241"/>
      <c r="CI768" s="1241"/>
      <c r="CJ768" s="1241"/>
      <c r="CK768" s="1241"/>
      <c r="CL768" s="1241"/>
      <c r="CM768" s="1241"/>
      <c r="CN768" s="1241"/>
      <c r="CO768" s="1241"/>
      <c r="CP768" s="1241"/>
      <c r="CQ768" s="1241"/>
      <c r="CR768" s="1241"/>
      <c r="CS768" s="1241"/>
      <c r="CT768" s="1241"/>
      <c r="CU768" s="1241"/>
      <c r="CV768" s="1241"/>
      <c r="CW768" s="1241"/>
      <c r="CX768" s="1241"/>
      <c r="CY768" s="1241"/>
      <c r="CZ768" s="1241"/>
      <c r="DA768" s="1241"/>
      <c r="DB768" s="1241"/>
      <c r="DC768" s="1241"/>
      <c r="DD768" s="1241"/>
      <c r="DE768" s="1241"/>
      <c r="DF768" s="1241"/>
      <c r="DG768" s="1241"/>
      <c r="DH768" s="1241"/>
      <c r="DI768" s="1241"/>
      <c r="DJ768" s="1241"/>
      <c r="DK768" s="1241"/>
      <c r="DL768" s="1241"/>
      <c r="DM768" s="1241"/>
    </row>
    <row r="769" spans="1:117" s="1302" customFormat="1">
      <c r="A769" s="1459">
        <v>1.3</v>
      </c>
      <c r="B769" s="1459" t="s">
        <v>4314</v>
      </c>
      <c r="C769" s="1241"/>
      <c r="D769" s="1241"/>
      <c r="E769" s="1528" t="s">
        <v>840</v>
      </c>
      <c r="F769" s="1467"/>
      <c r="G769" s="1224">
        <v>2015</v>
      </c>
      <c r="H769" s="1224">
        <v>2020</v>
      </c>
      <c r="I769" s="1224">
        <v>2022</v>
      </c>
      <c r="J769" s="1224">
        <v>2027</v>
      </c>
      <c r="K769" s="1224">
        <v>2032</v>
      </c>
      <c r="L769" s="1224">
        <v>2037</v>
      </c>
      <c r="M769" s="1224">
        <v>2042</v>
      </c>
      <c r="N769" s="1224">
        <v>2047</v>
      </c>
      <c r="O769" s="1546">
        <v>2030</v>
      </c>
      <c r="P769" s="1241"/>
      <c r="Q769" s="1241"/>
      <c r="R769" s="1241"/>
      <c r="S769" s="1241"/>
      <c r="T769" s="1241"/>
      <c r="U769" s="1241"/>
      <c r="V769" s="1241"/>
      <c r="W769" s="1241"/>
      <c r="X769" s="1241"/>
      <c r="Y769" s="1241"/>
      <c r="Z769" s="1241"/>
      <c r="AA769" s="1241"/>
      <c r="AB769" s="1241"/>
      <c r="AC769" s="1241"/>
      <c r="AD769" s="1241"/>
      <c r="AE769" s="1241"/>
      <c r="AF769" s="1241"/>
      <c r="AG769" s="1241"/>
      <c r="AH769" s="1241"/>
      <c r="AI769" s="1241"/>
      <c r="AJ769" s="1241"/>
      <c r="AK769" s="1241"/>
      <c r="AL769" s="1241"/>
      <c r="AM769" s="1241"/>
      <c r="AN769" s="1241"/>
      <c r="AO769" s="1241"/>
      <c r="AP769" s="1241"/>
      <c r="AQ769" s="1241"/>
      <c r="AR769" s="1241"/>
      <c r="AS769" s="1241"/>
      <c r="AT769" s="1241"/>
      <c r="AU769" s="1241"/>
      <c r="AV769" s="1241"/>
      <c r="AW769" s="1241"/>
      <c r="AX769" s="1241"/>
      <c r="AY769" s="1241"/>
      <c r="AZ769" s="1241"/>
      <c r="BA769" s="1241"/>
      <c r="BB769" s="1241"/>
      <c r="BC769" s="1241"/>
      <c r="BD769" s="1241"/>
      <c r="BE769" s="1241"/>
      <c r="BF769" s="1241"/>
      <c r="BG769" s="1241"/>
      <c r="BH769" s="1241"/>
      <c r="BI769" s="1241"/>
      <c r="BJ769" s="1241"/>
      <c r="BK769" s="1241"/>
      <c r="BL769" s="1241"/>
      <c r="BM769" s="1241"/>
      <c r="BN769" s="1241"/>
      <c r="BO769" s="1241"/>
      <c r="BP769" s="1241"/>
      <c r="BQ769" s="1241"/>
      <c r="BR769" s="1241"/>
      <c r="BS769" s="1241"/>
      <c r="BT769" s="1241"/>
      <c r="BU769" s="1241"/>
      <c r="BV769" s="1241"/>
      <c r="BW769" s="1241"/>
      <c r="BX769" s="1241"/>
      <c r="BY769" s="1241"/>
      <c r="BZ769" s="1241"/>
      <c r="CA769" s="1241"/>
      <c r="CB769" s="1241"/>
      <c r="CC769" s="1241"/>
      <c r="CD769" s="1241"/>
      <c r="CE769" s="1241"/>
      <c r="CF769" s="1241"/>
      <c r="CG769" s="1241"/>
      <c r="CH769" s="1241"/>
      <c r="CI769" s="1241"/>
      <c r="CJ769" s="1241"/>
      <c r="CK769" s="1241"/>
      <c r="CL769" s="1241"/>
      <c r="CM769" s="1241"/>
      <c r="CN769" s="1241"/>
      <c r="CO769" s="1241"/>
      <c r="CP769" s="1241"/>
      <c r="CQ769" s="1241"/>
      <c r="CR769" s="1241"/>
      <c r="CS769" s="1241"/>
      <c r="CT769" s="1241"/>
      <c r="CU769" s="1241"/>
      <c r="CV769" s="1241"/>
      <c r="CW769" s="1241"/>
      <c r="CX769" s="1241"/>
      <c r="CY769" s="1241"/>
      <c r="CZ769" s="1241"/>
      <c r="DA769" s="1241"/>
      <c r="DB769" s="1241"/>
      <c r="DC769" s="1241"/>
      <c r="DD769" s="1241"/>
      <c r="DE769" s="1241"/>
      <c r="DF769" s="1241"/>
      <c r="DG769" s="1241"/>
      <c r="DH769" s="1241"/>
      <c r="DI769" s="1241"/>
      <c r="DJ769" s="1241"/>
      <c r="DK769" s="1241"/>
      <c r="DL769" s="1241"/>
      <c r="DM769" s="1241"/>
    </row>
    <row r="770" spans="1:117" s="1302" customFormat="1">
      <c r="A770" s="1241"/>
      <c r="B770" s="1459"/>
      <c r="C770" s="1466"/>
      <c r="D770" s="1241"/>
      <c r="E770" s="1460"/>
      <c r="F770" s="1467"/>
      <c r="G770" s="1224"/>
      <c r="H770" s="1224"/>
      <c r="I770" s="1224"/>
      <c r="J770" s="1224"/>
      <c r="K770" s="1224"/>
      <c r="L770" s="1224"/>
      <c r="M770" s="1224"/>
      <c r="N770" s="1224"/>
      <c r="O770" s="1546"/>
      <c r="P770" s="1241"/>
      <c r="Q770" s="1241"/>
      <c r="R770" s="1241"/>
      <c r="S770" s="1241"/>
      <c r="T770" s="1241"/>
      <c r="U770" s="1241"/>
      <c r="V770" s="1241"/>
      <c r="W770" s="1241"/>
      <c r="X770" s="1241"/>
      <c r="Y770" s="1241"/>
      <c r="Z770" s="1241"/>
      <c r="AA770" s="1241"/>
      <c r="AB770" s="1241"/>
      <c r="AC770" s="1241"/>
      <c r="AD770" s="1241"/>
      <c r="AE770" s="1241"/>
      <c r="AF770" s="1241"/>
      <c r="AG770" s="1241"/>
      <c r="AH770" s="1241"/>
      <c r="AI770" s="1241"/>
      <c r="AJ770" s="1241"/>
      <c r="AK770" s="1241"/>
      <c r="AL770" s="1241"/>
      <c r="AM770" s="1241"/>
      <c r="AN770" s="1241"/>
      <c r="AO770" s="1241"/>
      <c r="AP770" s="1241"/>
      <c r="AQ770" s="1241"/>
      <c r="AR770" s="1241"/>
      <c r="AS770" s="1241"/>
      <c r="AT770" s="1241"/>
      <c r="AU770" s="1241"/>
      <c r="AV770" s="1241"/>
      <c r="AW770" s="1241"/>
      <c r="AX770" s="1241"/>
      <c r="AY770" s="1241"/>
      <c r="AZ770" s="1241"/>
      <c r="BA770" s="1241"/>
      <c r="BB770" s="1241"/>
      <c r="BC770" s="1241"/>
      <c r="BD770" s="1241"/>
      <c r="BE770" s="1241"/>
      <c r="BF770" s="1241"/>
      <c r="BG770" s="1241"/>
      <c r="BH770" s="1241"/>
      <c r="BI770" s="1241"/>
      <c r="BJ770" s="1241"/>
      <c r="BK770" s="1241"/>
      <c r="BL770" s="1241"/>
      <c r="BM770" s="1241"/>
      <c r="BN770" s="1241"/>
      <c r="BO770" s="1241"/>
      <c r="BP770" s="1241"/>
      <c r="BQ770" s="1241"/>
      <c r="BR770" s="1241"/>
      <c r="BS770" s="1241"/>
      <c r="BT770" s="1241"/>
      <c r="BU770" s="1241"/>
      <c r="BV770" s="1241"/>
      <c r="BW770" s="1241"/>
      <c r="BX770" s="1241"/>
      <c r="BY770" s="1241"/>
      <c r="BZ770" s="1241"/>
      <c r="CA770" s="1241"/>
      <c r="CB770" s="1241"/>
      <c r="CC770" s="1241"/>
      <c r="CD770" s="1241"/>
      <c r="CE770" s="1241"/>
      <c r="CF770" s="1241"/>
      <c r="CG770" s="1241"/>
      <c r="CH770" s="1241"/>
      <c r="CI770" s="1241"/>
      <c r="CJ770" s="1241"/>
      <c r="CK770" s="1241"/>
      <c r="CL770" s="1241"/>
      <c r="CM770" s="1241"/>
      <c r="CN770" s="1241"/>
      <c r="CO770" s="1241"/>
      <c r="CP770" s="1241"/>
      <c r="CQ770" s="1241"/>
      <c r="CR770" s="1241"/>
      <c r="CS770" s="1241"/>
      <c r="CT770" s="1241"/>
      <c r="CU770" s="1241"/>
      <c r="CV770" s="1241"/>
      <c r="CW770" s="1241"/>
      <c r="CX770" s="1241"/>
      <c r="CY770" s="1241"/>
      <c r="CZ770" s="1241"/>
      <c r="DA770" s="1241"/>
      <c r="DB770" s="1241"/>
      <c r="DC770" s="1241"/>
      <c r="DD770" s="1241"/>
      <c r="DE770" s="1241"/>
      <c r="DF770" s="1241"/>
      <c r="DG770" s="1241"/>
      <c r="DH770" s="1241"/>
      <c r="DI770" s="1241"/>
      <c r="DJ770" s="1241"/>
      <c r="DK770" s="1241"/>
      <c r="DL770" s="1241"/>
      <c r="DM770" s="1241"/>
    </row>
    <row r="771" spans="1:117" s="1302" customFormat="1">
      <c r="A771" s="1241"/>
      <c r="B771" s="1468" t="s">
        <v>4315</v>
      </c>
      <c r="C771" s="1241"/>
      <c r="D771" s="1241"/>
      <c r="E771" s="1469" t="s">
        <v>3925</v>
      </c>
      <c r="F771" s="1470"/>
      <c r="G771" s="1471">
        <v>2.35</v>
      </c>
      <c r="H771" s="1471">
        <v>3.5767993552000004</v>
      </c>
      <c r="I771" s="1471">
        <v>4.7708458263999995</v>
      </c>
      <c r="J771" s="1471">
        <v>7.0934874042919391</v>
      </c>
      <c r="K771" s="1471">
        <v>10.377009251336156</v>
      </c>
      <c r="L771" s="1471">
        <v>15.007911126484323</v>
      </c>
      <c r="M771" s="1471">
        <v>21.526833421586041</v>
      </c>
      <c r="N771" s="1471">
        <v>30.689356745012343</v>
      </c>
      <c r="O771" s="1471">
        <v>8.9265057959653049</v>
      </c>
      <c r="P771" s="1241"/>
      <c r="Q771" s="1241"/>
      <c r="R771" s="1241"/>
      <c r="S771" s="1241"/>
      <c r="T771" s="1241"/>
      <c r="U771" s="1241"/>
      <c r="V771" s="1241"/>
      <c r="W771" s="1241"/>
      <c r="X771" s="1241"/>
      <c r="Y771" s="1241"/>
      <c r="Z771" s="1241"/>
      <c r="AA771" s="1241"/>
      <c r="AB771" s="1241"/>
      <c r="AC771" s="1241"/>
      <c r="AD771" s="1241"/>
      <c r="AE771" s="1241"/>
      <c r="AF771" s="1241"/>
      <c r="AG771" s="1241"/>
      <c r="AH771" s="1241"/>
      <c r="AI771" s="1241"/>
      <c r="AJ771" s="1241"/>
      <c r="AK771" s="1241"/>
      <c r="AL771" s="1241"/>
      <c r="AM771" s="1241"/>
      <c r="AN771" s="1241"/>
      <c r="AO771" s="1241"/>
      <c r="AP771" s="1241"/>
      <c r="AQ771" s="1241"/>
      <c r="AR771" s="1241"/>
      <c r="AS771" s="1241"/>
      <c r="AT771" s="1241"/>
      <c r="AU771" s="1241"/>
      <c r="AV771" s="1241"/>
      <c r="AW771" s="1241"/>
      <c r="AX771" s="1241"/>
      <c r="AY771" s="1241"/>
      <c r="AZ771" s="1241"/>
      <c r="BA771" s="1241"/>
      <c r="BB771" s="1241"/>
      <c r="BC771" s="1241"/>
      <c r="BD771" s="1241"/>
      <c r="BE771" s="1241"/>
      <c r="BF771" s="1241"/>
      <c r="BG771" s="1241"/>
      <c r="BH771" s="1241"/>
      <c r="BI771" s="1241"/>
      <c r="BJ771" s="1241"/>
      <c r="BK771" s="1241"/>
      <c r="BL771" s="1241"/>
      <c r="BM771" s="1241"/>
      <c r="BN771" s="1241"/>
      <c r="BO771" s="1241"/>
      <c r="BP771" s="1241"/>
      <c r="BQ771" s="1241"/>
      <c r="BR771" s="1241"/>
      <c r="BS771" s="1241"/>
      <c r="BT771" s="1241"/>
      <c r="BU771" s="1241"/>
      <c r="BV771" s="1241"/>
      <c r="BW771" s="1241"/>
      <c r="BX771" s="1241"/>
      <c r="BY771" s="1241"/>
      <c r="BZ771" s="1241"/>
      <c r="CA771" s="1241"/>
      <c r="CB771" s="1241"/>
      <c r="CC771" s="1241"/>
      <c r="CD771" s="1241"/>
      <c r="CE771" s="1241"/>
      <c r="CF771" s="1241"/>
      <c r="CG771" s="1241"/>
      <c r="CH771" s="1241"/>
      <c r="CI771" s="1241"/>
      <c r="CJ771" s="1241"/>
      <c r="CK771" s="1241"/>
      <c r="CL771" s="1241"/>
      <c r="CM771" s="1241"/>
      <c r="CN771" s="1241"/>
      <c r="CO771" s="1241"/>
      <c r="CP771" s="1241"/>
      <c r="CQ771" s="1241"/>
      <c r="CR771" s="1241"/>
      <c r="CS771" s="1241"/>
      <c r="CT771" s="1241"/>
      <c r="CU771" s="1241"/>
      <c r="CV771" s="1241"/>
      <c r="CW771" s="1241"/>
      <c r="CX771" s="1241"/>
      <c r="CY771" s="1241"/>
      <c r="CZ771" s="1241"/>
      <c r="DA771" s="1241"/>
      <c r="DB771" s="1241"/>
      <c r="DC771" s="1241"/>
      <c r="DD771" s="1241"/>
      <c r="DE771" s="1241"/>
      <c r="DF771" s="1241"/>
      <c r="DG771" s="1241"/>
      <c r="DH771" s="1241"/>
      <c r="DI771" s="1241"/>
      <c r="DJ771" s="1241"/>
      <c r="DK771" s="1241"/>
      <c r="DL771" s="1241"/>
      <c r="DM771" s="1241"/>
    </row>
    <row r="772" spans="1:117" s="1302" customFormat="1">
      <c r="A772" s="1241"/>
      <c r="B772" s="1468" t="s">
        <v>3849</v>
      </c>
      <c r="C772" s="1241"/>
      <c r="D772" s="1241"/>
      <c r="E772" s="1469" t="s">
        <v>420</v>
      </c>
      <c r="F772" s="1470"/>
      <c r="G772" s="1471">
        <v>8.8343550000000004</v>
      </c>
      <c r="H772" s="1471">
        <v>13.867251100110401</v>
      </c>
      <c r="I772" s="1471">
        <v>18.308385358176167</v>
      </c>
      <c r="J772" s="1471">
        <v>26.534543410889533</v>
      </c>
      <c r="K772" s="1471">
        <v>37.837390341219624</v>
      </c>
      <c r="L772" s="1471">
        <v>53.341641343057631</v>
      </c>
      <c r="M772" s="1471">
        <v>74.580180520721228</v>
      </c>
      <c r="N772" s="1471">
        <v>103.64019465726305</v>
      </c>
      <c r="O772" s="1471">
        <v>32.883012758221284</v>
      </c>
      <c r="P772" s="1241"/>
      <c r="Q772" s="1241"/>
      <c r="R772" s="1241"/>
      <c r="S772" s="1241"/>
      <c r="T772" s="1241"/>
      <c r="U772" s="1241"/>
      <c r="V772" s="1241"/>
      <c r="W772" s="1241"/>
      <c r="X772" s="1241"/>
      <c r="Y772" s="1241"/>
      <c r="Z772" s="1241"/>
      <c r="AA772" s="1241"/>
      <c r="AB772" s="1241"/>
      <c r="AC772" s="1241"/>
      <c r="AD772" s="1241"/>
      <c r="AE772" s="1241"/>
      <c r="AF772" s="1241"/>
      <c r="AG772" s="1241"/>
      <c r="AH772" s="1241"/>
      <c r="AI772" s="1241"/>
      <c r="AJ772" s="1241"/>
      <c r="AK772" s="1241"/>
      <c r="AL772" s="1241"/>
      <c r="AM772" s="1241"/>
      <c r="AN772" s="1241"/>
      <c r="AO772" s="1241"/>
      <c r="AP772" s="1241"/>
      <c r="AQ772" s="1241"/>
      <c r="AR772" s="1241"/>
      <c r="AS772" s="1241"/>
      <c r="AT772" s="1241"/>
      <c r="AU772" s="1241"/>
      <c r="AV772" s="1241"/>
      <c r="AW772" s="1241"/>
      <c r="AX772" s="1241"/>
      <c r="AY772" s="1241"/>
      <c r="AZ772" s="1241"/>
      <c r="BA772" s="1241"/>
      <c r="BB772" s="1241"/>
      <c r="BC772" s="1241"/>
      <c r="BD772" s="1241"/>
      <c r="BE772" s="1241"/>
      <c r="BF772" s="1241"/>
      <c r="BG772" s="1241"/>
      <c r="BH772" s="1241"/>
      <c r="BI772" s="1241"/>
      <c r="BJ772" s="1241"/>
      <c r="BK772" s="1241"/>
      <c r="BL772" s="1241"/>
      <c r="BM772" s="1241"/>
      <c r="BN772" s="1241"/>
      <c r="BO772" s="1241"/>
      <c r="BP772" s="1241"/>
      <c r="BQ772" s="1241"/>
      <c r="BR772" s="1241"/>
      <c r="BS772" s="1241"/>
      <c r="BT772" s="1241"/>
      <c r="BU772" s="1241"/>
      <c r="BV772" s="1241"/>
      <c r="BW772" s="1241"/>
      <c r="BX772" s="1241"/>
      <c r="BY772" s="1241"/>
      <c r="BZ772" s="1241"/>
      <c r="CA772" s="1241"/>
      <c r="CB772" s="1241"/>
      <c r="CC772" s="1241"/>
      <c r="CD772" s="1241"/>
      <c r="CE772" s="1241"/>
      <c r="CF772" s="1241"/>
      <c r="CG772" s="1241"/>
      <c r="CH772" s="1241"/>
      <c r="CI772" s="1241"/>
      <c r="CJ772" s="1241"/>
      <c r="CK772" s="1241"/>
      <c r="CL772" s="1241"/>
      <c r="CM772" s="1241"/>
      <c r="CN772" s="1241"/>
      <c r="CO772" s="1241"/>
      <c r="CP772" s="1241"/>
      <c r="CQ772" s="1241"/>
      <c r="CR772" s="1241"/>
      <c r="CS772" s="1241"/>
      <c r="CT772" s="1241"/>
      <c r="CU772" s="1241"/>
      <c r="CV772" s="1241"/>
      <c r="CW772" s="1241"/>
      <c r="CX772" s="1241"/>
      <c r="CY772" s="1241"/>
      <c r="CZ772" s="1241"/>
      <c r="DA772" s="1241"/>
      <c r="DB772" s="1241"/>
      <c r="DC772" s="1241"/>
      <c r="DD772" s="1241"/>
      <c r="DE772" s="1241"/>
      <c r="DF772" s="1241"/>
      <c r="DG772" s="1241"/>
      <c r="DH772" s="1241"/>
      <c r="DI772" s="1241"/>
      <c r="DJ772" s="1241"/>
      <c r="DK772" s="1241"/>
      <c r="DL772" s="1241"/>
      <c r="DM772" s="1241"/>
    </row>
    <row r="773" spans="1:117" s="1302" customFormat="1">
      <c r="A773" s="1243"/>
      <c r="B773" s="1243"/>
      <c r="C773" s="1214"/>
      <c r="D773" s="1243"/>
      <c r="E773" s="1215"/>
      <c r="F773" s="1472"/>
      <c r="G773" s="1473"/>
      <c r="H773" s="1473"/>
      <c r="I773" s="1473"/>
      <c r="J773" s="1473"/>
      <c r="K773" s="1473"/>
      <c r="L773" s="1473"/>
      <c r="M773" s="1473"/>
      <c r="N773" s="1473"/>
      <c r="O773" s="1472"/>
      <c r="P773" s="1241"/>
      <c r="Q773" s="1241"/>
      <c r="R773" s="1241"/>
      <c r="S773" s="1241"/>
      <c r="T773" s="1241"/>
      <c r="U773" s="1241"/>
      <c r="V773" s="1241"/>
      <c r="W773" s="1241"/>
      <c r="X773" s="1241"/>
      <c r="Y773" s="1241"/>
      <c r="Z773" s="1241"/>
      <c r="AA773" s="1241"/>
      <c r="AB773" s="1241"/>
      <c r="AC773" s="1241"/>
      <c r="AD773" s="1241"/>
      <c r="AE773" s="1241"/>
      <c r="AF773" s="1241"/>
      <c r="AG773" s="1241"/>
      <c r="AH773" s="1241"/>
      <c r="AI773" s="1241"/>
      <c r="AJ773" s="1241"/>
      <c r="AK773" s="1241"/>
      <c r="AL773" s="1241"/>
      <c r="AM773" s="1241"/>
      <c r="AN773" s="1241"/>
      <c r="AO773" s="1241"/>
      <c r="AP773" s="1241"/>
      <c r="AQ773" s="1241"/>
      <c r="AR773" s="1241"/>
      <c r="AS773" s="1241"/>
      <c r="AT773" s="1241"/>
      <c r="AU773" s="1241"/>
      <c r="AV773" s="1241"/>
      <c r="AW773" s="1241"/>
      <c r="AX773" s="1241"/>
      <c r="AY773" s="1241"/>
      <c r="AZ773" s="1241"/>
      <c r="BA773" s="1241"/>
      <c r="BB773" s="1241"/>
      <c r="BC773" s="1241"/>
      <c r="BD773" s="1241"/>
      <c r="BE773" s="1241"/>
      <c r="BF773" s="1241"/>
      <c r="BG773" s="1241"/>
      <c r="BH773" s="1241"/>
      <c r="BI773" s="1241"/>
      <c r="BJ773" s="1241"/>
      <c r="BK773" s="1241"/>
      <c r="BL773" s="1241"/>
      <c r="BM773" s="1241"/>
      <c r="BN773" s="1241"/>
      <c r="BO773" s="1241"/>
      <c r="BP773" s="1241"/>
      <c r="BQ773" s="1241"/>
      <c r="BR773" s="1241"/>
      <c r="BS773" s="1241"/>
      <c r="BT773" s="1241"/>
      <c r="BU773" s="1241"/>
      <c r="BV773" s="1241"/>
      <c r="BW773" s="1241"/>
      <c r="BX773" s="1241"/>
      <c r="BY773" s="1241"/>
      <c r="BZ773" s="1241"/>
      <c r="CA773" s="1241"/>
      <c r="CB773" s="1241"/>
      <c r="CC773" s="1241"/>
      <c r="CD773" s="1241"/>
      <c r="CE773" s="1241"/>
      <c r="CF773" s="1241"/>
      <c r="CG773" s="1241"/>
      <c r="CH773" s="1241"/>
      <c r="CI773" s="1241"/>
      <c r="CJ773" s="1241"/>
      <c r="CK773" s="1241"/>
      <c r="CL773" s="1241"/>
      <c r="CM773" s="1241"/>
      <c r="CN773" s="1241"/>
      <c r="CO773" s="1241"/>
      <c r="CP773" s="1241"/>
      <c r="CQ773" s="1241"/>
      <c r="CR773" s="1241"/>
      <c r="CS773" s="1241"/>
      <c r="CT773" s="1241"/>
      <c r="CU773" s="1241"/>
      <c r="CV773" s="1241"/>
      <c r="CW773" s="1241"/>
      <c r="CX773" s="1241"/>
      <c r="CY773" s="1241"/>
      <c r="CZ773" s="1241"/>
      <c r="DA773" s="1241"/>
      <c r="DB773" s="1241"/>
      <c r="DC773" s="1241"/>
      <c r="DD773" s="1241"/>
      <c r="DE773" s="1241"/>
      <c r="DF773" s="1241"/>
      <c r="DG773" s="1241"/>
      <c r="DH773" s="1241"/>
      <c r="DI773" s="1241"/>
      <c r="DJ773" s="1241"/>
      <c r="DK773" s="1241"/>
      <c r="DL773" s="1241"/>
      <c r="DM773" s="1241"/>
    </row>
    <row r="774" spans="1:117">
      <c r="A774" s="1459"/>
      <c r="B774" s="1530" t="s">
        <v>4316</v>
      </c>
      <c r="C774" s="1531"/>
      <c r="D774" s="1531"/>
      <c r="E774" s="1532" t="s">
        <v>840</v>
      </c>
      <c r="F774" s="1533"/>
      <c r="G774" s="1534">
        <v>2015</v>
      </c>
      <c r="H774" s="1534">
        <v>2020</v>
      </c>
      <c r="I774" s="1534">
        <v>2022</v>
      </c>
      <c r="J774" s="1534">
        <v>2027</v>
      </c>
      <c r="K774" s="1534">
        <v>2032</v>
      </c>
      <c r="L774" s="1534">
        <v>2037</v>
      </c>
      <c r="M774" s="1534">
        <v>2042</v>
      </c>
      <c r="N774" s="1534">
        <v>2047</v>
      </c>
      <c r="O774" s="1534">
        <v>2030</v>
      </c>
    </row>
    <row r="775" spans="1:117">
      <c r="A775" s="1243"/>
      <c r="B775" s="1475" t="s">
        <v>4264</v>
      </c>
      <c r="C775" s="1476"/>
      <c r="D775" s="1475"/>
      <c r="E775" s="1477"/>
      <c r="F775" s="1478"/>
      <c r="G775" s="1479"/>
      <c r="H775" s="1479"/>
      <c r="I775" s="1479"/>
      <c r="J775" s="1479"/>
      <c r="K775" s="1479"/>
      <c r="L775" s="1479"/>
      <c r="M775" s="1479"/>
      <c r="N775" s="1479"/>
      <c r="O775" s="1478"/>
    </row>
    <row r="776" spans="1:117">
      <c r="A776" s="1243"/>
      <c r="B776" s="1480" t="s">
        <v>4317</v>
      </c>
      <c r="C776" s="1480"/>
      <c r="D776" s="1481"/>
      <c r="E776" s="1482" t="s">
        <v>4689</v>
      </c>
      <c r="F776" s="1483"/>
      <c r="G776" s="1487">
        <v>3.7593000000000001</v>
      </c>
      <c r="H776" s="1487">
        <v>3.8769999999999998</v>
      </c>
      <c r="I776" s="1487">
        <v>3.8375554407700005</v>
      </c>
      <c r="J776" s="1487">
        <v>3.7406908476125178</v>
      </c>
      <c r="K776" s="1487">
        <v>3.6462712352644031</v>
      </c>
      <c r="L776" s="1487">
        <v>3.5542348894194959</v>
      </c>
      <c r="M776" s="1487">
        <v>3.4645216535162073</v>
      </c>
      <c r="N776" s="1487">
        <v>3.3770728894181445</v>
      </c>
      <c r="O776" s="1487">
        <v>3.6837496675445043</v>
      </c>
    </row>
    <row r="777" spans="1:117" s="1302" customFormat="1">
      <c r="A777" s="1243"/>
      <c r="B777" s="1480"/>
      <c r="C777" s="1480"/>
      <c r="D777" s="1481"/>
      <c r="E777" s="1482"/>
      <c r="F777" s="1483"/>
      <c r="G777" s="1483"/>
      <c r="H777" s="1483"/>
      <c r="I777" s="1483"/>
      <c r="J777" s="1483"/>
      <c r="K777" s="1483"/>
      <c r="L777" s="1483"/>
      <c r="M777" s="1483"/>
      <c r="N777" s="1483"/>
      <c r="O777" s="1547"/>
      <c r="P777" s="1241"/>
      <c r="Q777" s="1241"/>
      <c r="R777" s="1241"/>
      <c r="S777" s="1241"/>
      <c r="T777" s="1241"/>
      <c r="U777" s="1241"/>
      <c r="V777" s="1241"/>
      <c r="W777" s="1241"/>
      <c r="X777" s="1241"/>
      <c r="Y777" s="1241"/>
      <c r="Z777" s="1241"/>
      <c r="AA777" s="1241"/>
      <c r="AB777" s="1241"/>
      <c r="AC777" s="1241"/>
      <c r="AD777" s="1241"/>
      <c r="AE777" s="1241"/>
      <c r="AF777" s="1241"/>
      <c r="AG777" s="1241"/>
      <c r="AH777" s="1241"/>
      <c r="AI777" s="1241"/>
      <c r="AJ777" s="1241"/>
      <c r="AK777" s="1241"/>
      <c r="AL777" s="1241"/>
      <c r="AM777" s="1241"/>
      <c r="AN777" s="1241"/>
      <c r="AO777" s="1241"/>
      <c r="AP777" s="1241"/>
      <c r="AQ777" s="1241"/>
      <c r="AR777" s="1241"/>
      <c r="AS777" s="1241"/>
      <c r="AT777" s="1241"/>
      <c r="AU777" s="1241"/>
      <c r="AV777" s="1241"/>
      <c r="AW777" s="1241"/>
      <c r="AX777" s="1241"/>
      <c r="AY777" s="1241"/>
      <c r="AZ777" s="1241"/>
      <c r="BA777" s="1241"/>
      <c r="BB777" s="1241"/>
      <c r="BC777" s="1241"/>
      <c r="BD777" s="1241"/>
      <c r="BE777" s="1241"/>
      <c r="BF777" s="1241"/>
      <c r="BG777" s="1241"/>
      <c r="BH777" s="1241"/>
      <c r="BI777" s="1241"/>
      <c r="BJ777" s="1241"/>
      <c r="BK777" s="1241"/>
      <c r="BL777" s="1241"/>
      <c r="BM777" s="1241"/>
      <c r="BN777" s="1241"/>
      <c r="BO777" s="1241"/>
      <c r="BP777" s="1241"/>
      <c r="BQ777" s="1241"/>
      <c r="BR777" s="1241"/>
      <c r="BS777" s="1241"/>
      <c r="BT777" s="1241"/>
      <c r="BU777" s="1241"/>
      <c r="BV777" s="1241"/>
      <c r="BW777" s="1241"/>
      <c r="BX777" s="1241"/>
      <c r="BY777" s="1241"/>
      <c r="BZ777" s="1241"/>
      <c r="CA777" s="1241"/>
      <c r="CB777" s="1241"/>
      <c r="CC777" s="1241"/>
      <c r="CD777" s="1241"/>
      <c r="CE777" s="1241"/>
      <c r="CF777" s="1241"/>
      <c r="CG777" s="1241"/>
      <c r="CH777" s="1241"/>
      <c r="CI777" s="1241"/>
      <c r="CJ777" s="1241"/>
      <c r="CK777" s="1241"/>
      <c r="CL777" s="1241"/>
      <c r="CM777" s="1241"/>
      <c r="CN777" s="1241"/>
      <c r="CO777" s="1241"/>
      <c r="CP777" s="1241"/>
      <c r="CQ777" s="1241"/>
      <c r="CR777" s="1241"/>
      <c r="CS777" s="1241"/>
      <c r="CT777" s="1241"/>
      <c r="CU777" s="1241"/>
      <c r="CV777" s="1241"/>
      <c r="CW777" s="1241"/>
      <c r="CX777" s="1241"/>
      <c r="CY777" s="1241"/>
      <c r="CZ777" s="1241"/>
      <c r="DA777" s="1241"/>
      <c r="DB777" s="1241"/>
      <c r="DC777" s="1241"/>
      <c r="DD777" s="1241"/>
      <c r="DE777" s="1241"/>
      <c r="DF777" s="1241"/>
      <c r="DG777" s="1241"/>
      <c r="DH777" s="1241"/>
      <c r="DI777" s="1241"/>
      <c r="DJ777" s="1241"/>
      <c r="DK777" s="1241"/>
      <c r="DL777" s="1241"/>
      <c r="DM777" s="1241"/>
    </row>
    <row r="778" spans="1:117" s="1302" customFormat="1">
      <c r="A778" s="1243"/>
      <c r="B778" s="1480" t="s">
        <v>4266</v>
      </c>
      <c r="C778" s="1480"/>
      <c r="D778" s="1481"/>
      <c r="E778" s="1482" t="s">
        <v>420</v>
      </c>
      <c r="F778" s="1536"/>
      <c r="G778" s="1487">
        <v>0</v>
      </c>
      <c r="H778" s="1487">
        <v>9.110949999999999</v>
      </c>
      <c r="I778" s="1487">
        <v>13.726165826090391</v>
      </c>
      <c r="J778" s="1487">
        <v>17.846259318184856</v>
      </c>
      <c r="K778" s="1487">
        <v>25.864779079980053</v>
      </c>
      <c r="L778" s="1487">
        <v>36.882328328927848</v>
      </c>
      <c r="M778" s="1487">
        <v>51.995233071751755</v>
      </c>
      <c r="N778" s="1487">
        <v>72.697685543058654</v>
      </c>
      <c r="O778" s="1487">
        <v>26.130631867291559</v>
      </c>
      <c r="P778" s="1241"/>
      <c r="Q778" s="1241"/>
      <c r="R778" s="1241"/>
      <c r="S778" s="1241"/>
      <c r="T778" s="1241"/>
      <c r="U778" s="1241"/>
      <c r="V778" s="1241"/>
      <c r="W778" s="1241"/>
      <c r="X778" s="1241"/>
      <c r="Y778" s="1241"/>
      <c r="Z778" s="1241"/>
      <c r="AA778" s="1241"/>
      <c r="AB778" s="1241"/>
      <c r="AC778" s="1241"/>
      <c r="AD778" s="1241"/>
      <c r="AE778" s="1241"/>
      <c r="AF778" s="1241"/>
      <c r="AG778" s="1241"/>
      <c r="AH778" s="1241"/>
      <c r="AI778" s="1241"/>
      <c r="AJ778" s="1241"/>
      <c r="AK778" s="1241"/>
      <c r="AL778" s="1241"/>
      <c r="AM778" s="1241"/>
      <c r="AN778" s="1241"/>
      <c r="AO778" s="1241"/>
      <c r="AP778" s="1241"/>
      <c r="AQ778" s="1241"/>
      <c r="AR778" s="1241"/>
      <c r="AS778" s="1241"/>
      <c r="AT778" s="1241"/>
      <c r="AU778" s="1241"/>
      <c r="AV778" s="1241"/>
      <c r="AW778" s="1241"/>
      <c r="AX778" s="1241"/>
      <c r="AY778" s="1241"/>
      <c r="AZ778" s="1241"/>
      <c r="BA778" s="1241"/>
      <c r="BB778" s="1241"/>
      <c r="BC778" s="1241"/>
      <c r="BD778" s="1241"/>
      <c r="BE778" s="1241"/>
      <c r="BF778" s="1241"/>
      <c r="BG778" s="1241"/>
      <c r="BH778" s="1241"/>
      <c r="BI778" s="1241"/>
      <c r="BJ778" s="1241"/>
      <c r="BK778" s="1241"/>
      <c r="BL778" s="1241"/>
      <c r="BM778" s="1241"/>
      <c r="BN778" s="1241"/>
      <c r="BO778" s="1241"/>
      <c r="BP778" s="1241"/>
      <c r="BQ778" s="1241"/>
      <c r="BR778" s="1241"/>
      <c r="BS778" s="1241"/>
      <c r="BT778" s="1241"/>
      <c r="BU778" s="1241"/>
      <c r="BV778" s="1241"/>
      <c r="BW778" s="1241"/>
      <c r="BX778" s="1241"/>
      <c r="BY778" s="1241"/>
      <c r="BZ778" s="1241"/>
      <c r="CA778" s="1241"/>
      <c r="CB778" s="1241"/>
      <c r="CC778" s="1241"/>
      <c r="CD778" s="1241"/>
      <c r="CE778" s="1241"/>
      <c r="CF778" s="1241"/>
      <c r="CG778" s="1241"/>
      <c r="CH778" s="1241"/>
      <c r="CI778" s="1241"/>
      <c r="CJ778" s="1241"/>
      <c r="CK778" s="1241"/>
      <c r="CL778" s="1241"/>
      <c r="CM778" s="1241"/>
      <c r="CN778" s="1241"/>
      <c r="CO778" s="1241"/>
      <c r="CP778" s="1241"/>
      <c r="CQ778" s="1241"/>
      <c r="CR778" s="1241"/>
      <c r="CS778" s="1241"/>
      <c r="CT778" s="1241"/>
      <c r="CU778" s="1241"/>
      <c r="CV778" s="1241"/>
      <c r="CW778" s="1241"/>
      <c r="CX778" s="1241"/>
      <c r="CY778" s="1241"/>
      <c r="CZ778" s="1241"/>
      <c r="DA778" s="1241"/>
      <c r="DB778" s="1241"/>
      <c r="DC778" s="1241"/>
      <c r="DD778" s="1241"/>
      <c r="DE778" s="1241"/>
      <c r="DF778" s="1241"/>
      <c r="DG778" s="1241"/>
      <c r="DH778" s="1241"/>
      <c r="DI778" s="1241"/>
      <c r="DJ778" s="1241"/>
      <c r="DK778" s="1241"/>
      <c r="DL778" s="1241"/>
      <c r="DM778" s="1241"/>
    </row>
    <row r="779" spans="1:117" s="1302" customFormat="1">
      <c r="A779" s="1243"/>
      <c r="B779" s="1481"/>
      <c r="C779" s="1480"/>
      <c r="D779" s="1481"/>
      <c r="E779" s="1537"/>
      <c r="F779" s="1487"/>
      <c r="G779" s="1522"/>
      <c r="H779" s="1487"/>
      <c r="I779" s="1487"/>
      <c r="J779" s="1487"/>
      <c r="K779" s="1487"/>
      <c r="L779" s="1487"/>
      <c r="M779" s="1487"/>
      <c r="N779" s="1487"/>
      <c r="O779" s="1487"/>
      <c r="P779" s="1241"/>
      <c r="Q779" s="1241"/>
      <c r="R779" s="1241"/>
      <c r="S779" s="1241"/>
      <c r="T779" s="1241"/>
      <c r="U779" s="1241"/>
      <c r="V779" s="1241"/>
      <c r="W779" s="1241"/>
      <c r="X779" s="1241"/>
      <c r="Y779" s="1241"/>
      <c r="Z779" s="1241"/>
      <c r="AA779" s="1241"/>
      <c r="AB779" s="1241"/>
      <c r="AC779" s="1241"/>
      <c r="AD779" s="1241"/>
      <c r="AE779" s="1241"/>
      <c r="AF779" s="1241"/>
      <c r="AG779" s="1241"/>
      <c r="AH779" s="1241"/>
      <c r="AI779" s="1241"/>
      <c r="AJ779" s="1241"/>
      <c r="AK779" s="1241"/>
      <c r="AL779" s="1241"/>
      <c r="AM779" s="1241"/>
      <c r="AN779" s="1241"/>
      <c r="AO779" s="1241"/>
      <c r="AP779" s="1241"/>
      <c r="AQ779" s="1241"/>
      <c r="AR779" s="1241"/>
      <c r="AS779" s="1241"/>
      <c r="AT779" s="1241"/>
      <c r="AU779" s="1241"/>
      <c r="AV779" s="1241"/>
      <c r="AW779" s="1241"/>
      <c r="AX779" s="1241"/>
      <c r="AY779" s="1241"/>
      <c r="AZ779" s="1241"/>
      <c r="BA779" s="1241"/>
      <c r="BB779" s="1241"/>
      <c r="BC779" s="1241"/>
      <c r="BD779" s="1241"/>
      <c r="BE779" s="1241"/>
      <c r="BF779" s="1241"/>
      <c r="BG779" s="1241"/>
      <c r="BH779" s="1241"/>
      <c r="BI779" s="1241"/>
      <c r="BJ779" s="1241"/>
      <c r="BK779" s="1241"/>
      <c r="BL779" s="1241"/>
      <c r="BM779" s="1241"/>
      <c r="BN779" s="1241"/>
      <c r="BO779" s="1241"/>
      <c r="BP779" s="1241"/>
      <c r="BQ779" s="1241"/>
      <c r="BR779" s="1241"/>
      <c r="BS779" s="1241"/>
      <c r="BT779" s="1241"/>
      <c r="BU779" s="1241"/>
      <c r="BV779" s="1241"/>
      <c r="BW779" s="1241"/>
      <c r="BX779" s="1241"/>
      <c r="BY779" s="1241"/>
      <c r="BZ779" s="1241"/>
      <c r="CA779" s="1241"/>
      <c r="CB779" s="1241"/>
      <c r="CC779" s="1241"/>
      <c r="CD779" s="1241"/>
      <c r="CE779" s="1241"/>
      <c r="CF779" s="1241"/>
      <c r="CG779" s="1241"/>
      <c r="CH779" s="1241"/>
      <c r="CI779" s="1241"/>
      <c r="CJ779" s="1241"/>
      <c r="CK779" s="1241"/>
      <c r="CL779" s="1241"/>
      <c r="CM779" s="1241"/>
      <c r="CN779" s="1241"/>
      <c r="CO779" s="1241"/>
      <c r="CP779" s="1241"/>
      <c r="CQ779" s="1241"/>
      <c r="CR779" s="1241"/>
      <c r="CS779" s="1241"/>
      <c r="CT779" s="1241"/>
      <c r="CU779" s="1241"/>
      <c r="CV779" s="1241"/>
      <c r="CW779" s="1241"/>
      <c r="CX779" s="1241"/>
      <c r="CY779" s="1241"/>
      <c r="CZ779" s="1241"/>
      <c r="DA779" s="1241"/>
      <c r="DB779" s="1241"/>
      <c r="DC779" s="1241"/>
      <c r="DD779" s="1241"/>
      <c r="DE779" s="1241"/>
      <c r="DF779" s="1241"/>
      <c r="DG779" s="1241"/>
      <c r="DH779" s="1241"/>
      <c r="DI779" s="1241"/>
      <c r="DJ779" s="1241"/>
      <c r="DK779" s="1241"/>
      <c r="DL779" s="1241"/>
      <c r="DM779" s="1241"/>
    </row>
    <row r="780" spans="1:117" s="1302" customFormat="1">
      <c r="A780" s="1243"/>
      <c r="B780" s="1480" t="s">
        <v>4267</v>
      </c>
      <c r="C780" s="1480"/>
      <c r="D780" s="1481"/>
      <c r="E780" s="1482" t="s">
        <v>1065</v>
      </c>
      <c r="F780" s="1522"/>
      <c r="G780" s="1489" t="s">
        <v>3878</v>
      </c>
      <c r="H780" s="1487">
        <v>-0.27659499999999859</v>
      </c>
      <c r="I780" s="1487">
        <v>0.14108527402001059</v>
      </c>
      <c r="J780" s="1487">
        <v>0.46212603999131119</v>
      </c>
      <c r="K780" s="1487">
        <v>0.66976433090948007</v>
      </c>
      <c r="L780" s="1487">
        <v>0.95506201229177634</v>
      </c>
      <c r="M780" s="1487">
        <v>1.3464082713058758</v>
      </c>
      <c r="N780" s="1487">
        <v>1.8824949776625743</v>
      </c>
      <c r="O780" s="1487">
        <v>0.40391154359797454</v>
      </c>
      <c r="P780" s="1241"/>
      <c r="Q780" s="1241"/>
      <c r="R780" s="1241"/>
      <c r="S780" s="1241"/>
      <c r="T780" s="1241"/>
      <c r="U780" s="1241"/>
      <c r="V780" s="1241"/>
      <c r="W780" s="1241"/>
      <c r="X780" s="1241"/>
      <c r="Y780" s="1241"/>
      <c r="Z780" s="1241"/>
      <c r="AA780" s="1241"/>
      <c r="AB780" s="1241"/>
      <c r="AC780" s="1241"/>
      <c r="AD780" s="1241"/>
      <c r="AE780" s="1241"/>
      <c r="AF780" s="1241"/>
      <c r="AG780" s="1241"/>
      <c r="AH780" s="1241"/>
      <c r="AI780" s="1241"/>
      <c r="AJ780" s="1241"/>
      <c r="AK780" s="1241"/>
      <c r="AL780" s="1241"/>
      <c r="AM780" s="1241"/>
      <c r="AN780" s="1241"/>
      <c r="AO780" s="1241"/>
      <c r="AP780" s="1241"/>
      <c r="AQ780" s="1241"/>
      <c r="AR780" s="1241"/>
      <c r="AS780" s="1241"/>
      <c r="AT780" s="1241"/>
      <c r="AU780" s="1241"/>
      <c r="AV780" s="1241"/>
      <c r="AW780" s="1241"/>
      <c r="AX780" s="1241"/>
      <c r="AY780" s="1241"/>
      <c r="AZ780" s="1241"/>
      <c r="BA780" s="1241"/>
      <c r="BB780" s="1241"/>
      <c r="BC780" s="1241"/>
      <c r="BD780" s="1241"/>
      <c r="BE780" s="1241"/>
      <c r="BF780" s="1241"/>
      <c r="BG780" s="1241"/>
      <c r="BH780" s="1241"/>
      <c r="BI780" s="1241"/>
      <c r="BJ780" s="1241"/>
      <c r="BK780" s="1241"/>
      <c r="BL780" s="1241"/>
      <c r="BM780" s="1241"/>
      <c r="BN780" s="1241"/>
      <c r="BO780" s="1241"/>
      <c r="BP780" s="1241"/>
      <c r="BQ780" s="1241"/>
      <c r="BR780" s="1241"/>
      <c r="BS780" s="1241"/>
      <c r="BT780" s="1241"/>
      <c r="BU780" s="1241"/>
      <c r="BV780" s="1241"/>
      <c r="BW780" s="1241"/>
      <c r="BX780" s="1241"/>
      <c r="BY780" s="1241"/>
      <c r="BZ780" s="1241"/>
      <c r="CA780" s="1241"/>
      <c r="CB780" s="1241"/>
      <c r="CC780" s="1241"/>
      <c r="CD780" s="1241"/>
      <c r="CE780" s="1241"/>
      <c r="CF780" s="1241"/>
      <c r="CG780" s="1241"/>
      <c r="CH780" s="1241"/>
      <c r="CI780" s="1241"/>
      <c r="CJ780" s="1241"/>
      <c r="CK780" s="1241"/>
      <c r="CL780" s="1241"/>
      <c r="CM780" s="1241"/>
      <c r="CN780" s="1241"/>
      <c r="CO780" s="1241"/>
      <c r="CP780" s="1241"/>
      <c r="CQ780" s="1241"/>
      <c r="CR780" s="1241"/>
      <c r="CS780" s="1241"/>
      <c r="CT780" s="1241"/>
      <c r="CU780" s="1241"/>
      <c r="CV780" s="1241"/>
      <c r="CW780" s="1241"/>
      <c r="CX780" s="1241"/>
      <c r="CY780" s="1241"/>
      <c r="CZ780" s="1241"/>
      <c r="DA780" s="1241"/>
      <c r="DB780" s="1241"/>
      <c r="DC780" s="1241"/>
      <c r="DD780" s="1241"/>
      <c r="DE780" s="1241"/>
      <c r="DF780" s="1241"/>
      <c r="DG780" s="1241"/>
      <c r="DH780" s="1241"/>
      <c r="DI780" s="1241"/>
      <c r="DJ780" s="1241"/>
      <c r="DK780" s="1241"/>
      <c r="DL780" s="1241"/>
      <c r="DM780" s="1241"/>
    </row>
    <row r="781" spans="1:117" hidden="1">
      <c r="A781" s="1243"/>
      <c r="B781" s="1491"/>
      <c r="C781" s="1490"/>
      <c r="D781" s="1491"/>
      <c r="E781" s="1215"/>
      <c r="F781" s="1506"/>
      <c r="G781" s="1498"/>
      <c r="H781" s="1498"/>
      <c r="I781" s="1498"/>
      <c r="J781" s="1498"/>
      <c r="K781" s="1498"/>
      <c r="L781" s="1498"/>
      <c r="M781" s="1498"/>
      <c r="N781" s="1498"/>
      <c r="O781" s="1548"/>
    </row>
    <row r="782" spans="1:117" hidden="1">
      <c r="A782" s="1243"/>
      <c r="B782" s="1495" t="s">
        <v>4274</v>
      </c>
      <c r="C782" s="1496"/>
      <c r="D782" s="1497"/>
      <c r="E782" s="1215"/>
      <c r="F782" s="1506"/>
      <c r="G782" s="1498"/>
      <c r="H782" s="1498"/>
      <c r="I782" s="1498"/>
      <c r="J782" s="1498"/>
      <c r="K782" s="1498"/>
      <c r="L782" s="1498"/>
      <c r="M782" s="1498"/>
      <c r="N782" s="1498"/>
      <c r="O782" s="1548"/>
    </row>
    <row r="783" spans="1:117" hidden="1">
      <c r="A783" s="1243"/>
      <c r="B783" s="1497"/>
      <c r="C783" s="1496"/>
      <c r="D783" s="1497"/>
      <c r="E783" s="1215"/>
      <c r="F783" s="1506"/>
      <c r="G783" s="1498"/>
      <c r="H783" s="1498"/>
      <c r="I783" s="1498"/>
      <c r="J783" s="1498"/>
      <c r="K783" s="1498"/>
      <c r="L783" s="1498"/>
      <c r="M783" s="1498"/>
      <c r="N783" s="1498"/>
      <c r="O783" s="1548"/>
    </row>
    <row r="784" spans="1:117" hidden="1">
      <c r="A784" s="1243"/>
      <c r="B784" s="1496" t="s">
        <v>4312</v>
      </c>
      <c r="C784" s="1496"/>
      <c r="D784" s="1497"/>
      <c r="E784" s="1215"/>
      <c r="F784" s="1506"/>
      <c r="G784" s="1498"/>
      <c r="H784" s="1498">
        <v>0</v>
      </c>
      <c r="I784" s="1498">
        <v>111.66474720000001</v>
      </c>
      <c r="J784" s="1498">
        <v>111.66474720000001</v>
      </c>
      <c r="K784" s="1498">
        <v>111.66474720000001</v>
      </c>
      <c r="L784" s="1498">
        <v>111.66474720000001</v>
      </c>
      <c r="M784" s="1498">
        <v>111.66474720000001</v>
      </c>
      <c r="N784" s="1498">
        <v>111.66474720000001</v>
      </c>
      <c r="O784" s="1498">
        <v>111.66474720000001</v>
      </c>
    </row>
    <row r="785" spans="1:117" hidden="1">
      <c r="A785" s="1243"/>
      <c r="B785" s="1497"/>
      <c r="C785" s="1496"/>
      <c r="D785" s="1497"/>
      <c r="E785" s="1215"/>
      <c r="F785" s="1506"/>
      <c r="G785" s="1498"/>
      <c r="H785" s="1498"/>
      <c r="I785" s="1498"/>
      <c r="J785" s="1498"/>
      <c r="K785" s="1498"/>
      <c r="L785" s="1498"/>
      <c r="M785" s="1498"/>
      <c r="N785" s="1498"/>
      <c r="O785" s="1548"/>
    </row>
    <row r="786" spans="1:117" hidden="1">
      <c r="A786" s="1243"/>
      <c r="B786" s="1499" t="s">
        <v>4278</v>
      </c>
      <c r="C786" s="1499"/>
      <c r="D786" s="1500"/>
      <c r="E786" s="1538"/>
      <c r="F786" s="1539"/>
      <c r="G786" s="1504"/>
      <c r="H786" s="1504" t="s">
        <v>3878</v>
      </c>
      <c r="I786" s="1504">
        <v>15.754251457087211</v>
      </c>
      <c r="J786" s="1504">
        <v>51.603187430166855</v>
      </c>
      <c r="K786" s="1504">
        <v>74.789064694584241</v>
      </c>
      <c r="L786" s="1504">
        <v>106.64675816288451</v>
      </c>
      <c r="M786" s="1504">
        <v>150.34633924335964</v>
      </c>
      <c r="N786" s="1504">
        <v>210.20832578596102</v>
      </c>
      <c r="O786" s="1504">
        <v>45.102680407029609</v>
      </c>
    </row>
    <row r="787" spans="1:117" hidden="1">
      <c r="A787" s="1243"/>
      <c r="B787" s="1497"/>
      <c r="C787" s="1496"/>
      <c r="D787" s="1497"/>
      <c r="E787" s="1215"/>
      <c r="F787" s="1506"/>
      <c r="G787" s="1498"/>
      <c r="H787" s="1498"/>
      <c r="I787" s="1498"/>
      <c r="J787" s="1498"/>
      <c r="K787" s="1498"/>
      <c r="L787" s="1498"/>
      <c r="M787" s="1498"/>
      <c r="N787" s="1498"/>
      <c r="O787" s="1548"/>
    </row>
    <row r="788" spans="1:117" hidden="1">
      <c r="A788" s="1243"/>
      <c r="B788" s="1495" t="s">
        <v>4277</v>
      </c>
      <c r="C788" s="1496"/>
      <c r="D788" s="1497"/>
      <c r="E788" s="1215"/>
      <c r="F788" s="1506"/>
      <c r="G788" s="1498"/>
      <c r="H788" s="1498"/>
      <c r="I788" s="1498"/>
      <c r="J788" s="1498"/>
      <c r="K788" s="1498"/>
      <c r="L788" s="1498"/>
      <c r="M788" s="1498"/>
      <c r="N788" s="1498"/>
      <c r="O788" s="1548"/>
    </row>
    <row r="789" spans="1:117" hidden="1">
      <c r="A789" s="1243"/>
      <c r="B789" s="1496"/>
      <c r="C789" s="1496"/>
      <c r="D789" s="1497"/>
      <c r="E789" s="1215"/>
      <c r="F789" s="1506"/>
      <c r="G789" s="1498"/>
      <c r="H789" s="1498"/>
      <c r="I789" s="1498"/>
      <c r="J789" s="1498"/>
      <c r="K789" s="1498"/>
      <c r="L789" s="1498"/>
      <c r="M789" s="1498"/>
      <c r="N789" s="1498"/>
      <c r="O789" s="1548"/>
    </row>
    <row r="790" spans="1:117" hidden="1">
      <c r="A790" s="1243"/>
      <c r="B790" s="1496" t="s">
        <v>4312</v>
      </c>
      <c r="C790" s="1496"/>
      <c r="D790" s="1497"/>
      <c r="E790" s="1215"/>
      <c r="F790" s="1506"/>
      <c r="G790" s="1498"/>
      <c r="H790" s="1498" t="s">
        <v>3878</v>
      </c>
      <c r="I790" s="1498">
        <v>41.874280200000008</v>
      </c>
      <c r="J790" s="1498">
        <v>41.874280200000008</v>
      </c>
      <c r="K790" s="1498">
        <v>41.874280200000008</v>
      </c>
      <c r="L790" s="1498">
        <v>41.874280200000008</v>
      </c>
      <c r="M790" s="1498">
        <v>41.874280200000008</v>
      </c>
      <c r="N790" s="1498">
        <v>41.874280200000008</v>
      </c>
      <c r="O790" s="1498">
        <v>41.874280200000008</v>
      </c>
    </row>
    <row r="791" spans="1:117" hidden="1">
      <c r="A791" s="1243"/>
      <c r="B791" s="1496"/>
      <c r="C791" s="1496"/>
      <c r="D791" s="1497"/>
      <c r="E791" s="1215"/>
      <c r="F791" s="1506"/>
      <c r="G791" s="1498"/>
      <c r="H791" s="1498"/>
      <c r="I791" s="1498"/>
      <c r="J791" s="1498"/>
      <c r="K791" s="1498"/>
      <c r="L791" s="1498"/>
      <c r="M791" s="1498"/>
      <c r="N791" s="1498"/>
      <c r="O791" s="1548"/>
    </row>
    <row r="792" spans="1:117" hidden="1">
      <c r="A792" s="1243"/>
      <c r="B792" s="1499" t="s">
        <v>4278</v>
      </c>
      <c r="C792" s="1499"/>
      <c r="D792" s="1500"/>
      <c r="E792" s="1538"/>
      <c r="F792" s="1539"/>
      <c r="G792" s="1504"/>
      <c r="H792" s="1504" t="s">
        <v>3878</v>
      </c>
      <c r="I792" s="1504">
        <v>5.9078442964077045</v>
      </c>
      <c r="J792" s="1504">
        <v>19.351195286312574</v>
      </c>
      <c r="K792" s="1504">
        <v>28.045899260469096</v>
      </c>
      <c r="L792" s="1504">
        <v>39.992534311081691</v>
      </c>
      <c r="M792" s="1504">
        <v>56.379877216259878</v>
      </c>
      <c r="N792" s="1504">
        <v>78.828122169735394</v>
      </c>
      <c r="O792" s="1504">
        <v>16.913505152636105</v>
      </c>
    </row>
    <row r="793" spans="1:117" s="1302" customFormat="1">
      <c r="A793" s="1241"/>
      <c r="B793" s="1459"/>
      <c r="C793" s="1241"/>
      <c r="D793" s="1459"/>
      <c r="E793" s="1460"/>
      <c r="F793" s="1540"/>
      <c r="G793" s="1473"/>
      <c r="H793" s="1473"/>
      <c r="I793" s="1473"/>
      <c r="J793" s="1473"/>
      <c r="K793" s="1473"/>
      <c r="L793" s="1473"/>
      <c r="M793" s="1473"/>
      <c r="N793" s="1473"/>
      <c r="O793" s="1540"/>
      <c r="P793" s="1241"/>
      <c r="Q793" s="1241"/>
      <c r="R793" s="1241"/>
      <c r="S793" s="1241"/>
      <c r="T793" s="1241"/>
      <c r="U793" s="1241"/>
      <c r="V793" s="1241"/>
      <c r="W793" s="1241"/>
      <c r="X793" s="1241"/>
      <c r="Y793" s="1241"/>
      <c r="Z793" s="1241"/>
      <c r="AA793" s="1241"/>
      <c r="AB793" s="1241"/>
      <c r="AC793" s="1241"/>
      <c r="AD793" s="1241"/>
      <c r="AE793" s="1241"/>
      <c r="AF793" s="1241"/>
      <c r="AG793" s="1241"/>
      <c r="AH793" s="1241"/>
      <c r="AI793" s="1241"/>
      <c r="AJ793" s="1241"/>
      <c r="AK793" s="1241"/>
      <c r="AL793" s="1241"/>
      <c r="AM793" s="1241"/>
      <c r="AN793" s="1241"/>
      <c r="AO793" s="1241"/>
      <c r="AP793" s="1241"/>
      <c r="AQ793" s="1241"/>
      <c r="AR793" s="1241"/>
      <c r="AS793" s="1241"/>
      <c r="AT793" s="1241"/>
      <c r="AU793" s="1241"/>
      <c r="AV793" s="1241"/>
      <c r="AW793" s="1241"/>
      <c r="AX793" s="1241"/>
      <c r="AY793" s="1241"/>
      <c r="AZ793" s="1241"/>
      <c r="BA793" s="1241"/>
      <c r="BB793" s="1241"/>
      <c r="BC793" s="1241"/>
      <c r="BD793" s="1241"/>
      <c r="BE793" s="1241"/>
      <c r="BF793" s="1241"/>
      <c r="BG793" s="1241"/>
      <c r="BH793" s="1241"/>
      <c r="BI793" s="1241"/>
      <c r="BJ793" s="1241"/>
      <c r="BK793" s="1241"/>
      <c r="BL793" s="1241"/>
      <c r="BM793" s="1241"/>
      <c r="BN793" s="1241"/>
      <c r="BO793" s="1241"/>
      <c r="BP793" s="1241"/>
      <c r="BQ793" s="1241"/>
      <c r="BR793" s="1241"/>
      <c r="BS793" s="1241"/>
      <c r="BT793" s="1241"/>
      <c r="BU793" s="1241"/>
      <c r="BV793" s="1241"/>
      <c r="BW793" s="1241"/>
      <c r="BX793" s="1241"/>
      <c r="BY793" s="1241"/>
      <c r="BZ793" s="1241"/>
      <c r="CA793" s="1241"/>
      <c r="CB793" s="1241"/>
      <c r="CC793" s="1241"/>
      <c r="CD793" s="1241"/>
      <c r="CE793" s="1241"/>
      <c r="CF793" s="1241"/>
      <c r="CG793" s="1241"/>
      <c r="CH793" s="1241"/>
      <c r="CI793" s="1241"/>
      <c r="CJ793" s="1241"/>
      <c r="CK793" s="1241"/>
      <c r="CL793" s="1241"/>
      <c r="CM793" s="1241"/>
      <c r="CN793" s="1241"/>
      <c r="CO793" s="1241"/>
      <c r="CP793" s="1241"/>
      <c r="CQ793" s="1241"/>
      <c r="CR793" s="1241"/>
      <c r="CS793" s="1241"/>
      <c r="CT793" s="1241"/>
      <c r="CU793" s="1241"/>
      <c r="CV793" s="1241"/>
      <c r="CW793" s="1241"/>
      <c r="CX793" s="1241"/>
      <c r="CY793" s="1241"/>
      <c r="CZ793" s="1241"/>
      <c r="DA793" s="1241"/>
      <c r="DB793" s="1241"/>
      <c r="DC793" s="1241"/>
      <c r="DD793" s="1241"/>
      <c r="DE793" s="1241"/>
      <c r="DF793" s="1241"/>
      <c r="DG793" s="1241"/>
      <c r="DH793" s="1241"/>
      <c r="DI793" s="1241"/>
      <c r="DJ793" s="1241"/>
      <c r="DK793" s="1241"/>
      <c r="DL793" s="1241"/>
      <c r="DM793" s="1241"/>
    </row>
    <row r="794" spans="1:117" s="1302" customFormat="1">
      <c r="A794" s="1459" t="s">
        <v>4279</v>
      </c>
      <c r="B794" s="1459"/>
      <c r="C794" s="1466" t="s">
        <v>4280</v>
      </c>
      <c r="D794" s="1459"/>
      <c r="E794" s="1460"/>
      <c r="F794" s="1507"/>
      <c r="G794" s="1473"/>
      <c r="H794" s="1473"/>
      <c r="I794" s="1473"/>
      <c r="J794" s="1473"/>
      <c r="K794" s="1473"/>
      <c r="L794" s="1473"/>
      <c r="M794" s="1473"/>
      <c r="N794" s="1473"/>
      <c r="O794" s="1507"/>
      <c r="P794" s="1241"/>
      <c r="Q794" s="1241"/>
      <c r="R794" s="1241"/>
      <c r="S794" s="1241"/>
      <c r="T794" s="1241"/>
      <c r="U794" s="1241"/>
      <c r="V794" s="1241"/>
      <c r="W794" s="1241"/>
      <c r="X794" s="1241"/>
      <c r="Y794" s="1241"/>
      <c r="Z794" s="1241"/>
      <c r="AA794" s="1241"/>
      <c r="AB794" s="1241"/>
      <c r="AC794" s="1241"/>
      <c r="AD794" s="1241"/>
      <c r="AE794" s="1241"/>
      <c r="AF794" s="1241"/>
      <c r="AG794" s="1241"/>
      <c r="AH794" s="1241"/>
      <c r="AI794" s="1241"/>
      <c r="AJ794" s="1241"/>
      <c r="AK794" s="1241"/>
      <c r="AL794" s="1241"/>
      <c r="AM794" s="1241"/>
      <c r="AN794" s="1241"/>
      <c r="AO794" s="1241"/>
      <c r="AP794" s="1241"/>
      <c r="AQ794" s="1241"/>
      <c r="AR794" s="1241"/>
      <c r="AS794" s="1241"/>
      <c r="AT794" s="1241"/>
      <c r="AU794" s="1241"/>
      <c r="AV794" s="1241"/>
      <c r="AW794" s="1241"/>
      <c r="AX794" s="1241"/>
      <c r="AY794" s="1241"/>
      <c r="AZ794" s="1241"/>
      <c r="BA794" s="1241"/>
      <c r="BB794" s="1241"/>
      <c r="BC794" s="1241"/>
      <c r="BD794" s="1241"/>
      <c r="BE794" s="1241"/>
      <c r="BF794" s="1241"/>
      <c r="BG794" s="1241"/>
      <c r="BH794" s="1241"/>
      <c r="BI794" s="1241"/>
      <c r="BJ794" s="1241"/>
      <c r="BK794" s="1241"/>
      <c r="BL794" s="1241"/>
      <c r="BM794" s="1241"/>
      <c r="BN794" s="1241"/>
      <c r="BO794" s="1241"/>
      <c r="BP794" s="1241"/>
      <c r="BQ794" s="1241"/>
      <c r="BR794" s="1241"/>
      <c r="BS794" s="1241"/>
      <c r="BT794" s="1241"/>
      <c r="BU794" s="1241"/>
      <c r="BV794" s="1241"/>
      <c r="BW794" s="1241"/>
      <c r="BX794" s="1241"/>
      <c r="BY794" s="1241"/>
      <c r="BZ794" s="1241"/>
      <c r="CA794" s="1241"/>
      <c r="CB794" s="1241"/>
      <c r="CC794" s="1241"/>
      <c r="CD794" s="1241"/>
      <c r="CE794" s="1241"/>
      <c r="CF794" s="1241"/>
      <c r="CG794" s="1241"/>
      <c r="CH794" s="1241"/>
      <c r="CI794" s="1241"/>
      <c r="CJ794" s="1241"/>
      <c r="CK794" s="1241"/>
      <c r="CL794" s="1241"/>
      <c r="CM794" s="1241"/>
      <c r="CN794" s="1241"/>
      <c r="CO794" s="1241"/>
      <c r="CP794" s="1241"/>
      <c r="CQ794" s="1241"/>
      <c r="CR794" s="1241"/>
      <c r="CS794" s="1241"/>
      <c r="CT794" s="1241"/>
      <c r="CU794" s="1241"/>
      <c r="CV794" s="1241"/>
      <c r="CW794" s="1241"/>
      <c r="CX794" s="1241"/>
      <c r="CY794" s="1241"/>
      <c r="CZ794" s="1241"/>
      <c r="DA794" s="1241"/>
      <c r="DB794" s="1241"/>
      <c r="DC794" s="1241"/>
      <c r="DD794" s="1241"/>
      <c r="DE794" s="1241"/>
      <c r="DF794" s="1241"/>
      <c r="DG794" s="1241"/>
      <c r="DH794" s="1241"/>
      <c r="DI794" s="1241"/>
      <c r="DJ794" s="1241"/>
      <c r="DK794" s="1241"/>
      <c r="DL794" s="1241"/>
      <c r="DM794" s="1241"/>
    </row>
    <row r="795" spans="1:117" s="1302" customFormat="1">
      <c r="A795" s="1241"/>
      <c r="B795" s="1508" t="s">
        <v>4032</v>
      </c>
      <c r="C795" s="1241" t="s">
        <v>4033</v>
      </c>
      <c r="D795" s="1241"/>
      <c r="E795" s="1509" t="s">
        <v>420</v>
      </c>
      <c r="F795" s="1470"/>
      <c r="G795" s="1471">
        <v>0</v>
      </c>
      <c r="H795" s="1471">
        <v>0.138672511001104</v>
      </c>
      <c r="I795" s="1471">
        <v>0.3051397559696028</v>
      </c>
      <c r="J795" s="1471">
        <v>0.88448478036298461</v>
      </c>
      <c r="K795" s="1471">
        <v>1.8918695170609814</v>
      </c>
      <c r="L795" s="1471">
        <v>3.5561094228705095</v>
      </c>
      <c r="M795" s="1471">
        <v>6.2150150433934366</v>
      </c>
      <c r="N795" s="1471">
        <v>10.364019465726306</v>
      </c>
      <c r="O795" s="1471">
        <v>1.4249305528562559</v>
      </c>
      <c r="P795" s="1241"/>
      <c r="Q795" s="1241"/>
      <c r="R795" s="1241"/>
      <c r="S795" s="1241"/>
      <c r="T795" s="1241"/>
      <c r="U795" s="1241"/>
      <c r="V795" s="1241"/>
      <c r="W795" s="1241"/>
      <c r="X795" s="1241"/>
      <c r="Y795" s="1241"/>
      <c r="Z795" s="1241"/>
      <c r="AA795" s="1241"/>
      <c r="AB795" s="1241"/>
      <c r="AC795" s="1241"/>
      <c r="AD795" s="1241"/>
      <c r="AE795" s="1241"/>
      <c r="AF795" s="1241"/>
      <c r="AG795" s="1241"/>
      <c r="AH795" s="1241"/>
      <c r="AI795" s="1241"/>
      <c r="AJ795" s="1241"/>
      <c r="AK795" s="1241"/>
      <c r="AL795" s="1241"/>
      <c r="AM795" s="1241"/>
      <c r="AN795" s="1241"/>
      <c r="AO795" s="1241"/>
      <c r="AP795" s="1241"/>
      <c r="AQ795" s="1241"/>
      <c r="AR795" s="1241"/>
      <c r="AS795" s="1241"/>
      <c r="AT795" s="1241"/>
      <c r="AU795" s="1241"/>
      <c r="AV795" s="1241"/>
      <c r="AW795" s="1241"/>
      <c r="AX795" s="1241"/>
      <c r="AY795" s="1241"/>
      <c r="AZ795" s="1241"/>
      <c r="BA795" s="1241"/>
      <c r="BB795" s="1241"/>
      <c r="BC795" s="1241"/>
      <c r="BD795" s="1241"/>
      <c r="BE795" s="1241"/>
      <c r="BF795" s="1241"/>
      <c r="BG795" s="1241"/>
      <c r="BH795" s="1241"/>
      <c r="BI795" s="1241"/>
      <c r="BJ795" s="1241"/>
      <c r="BK795" s="1241"/>
      <c r="BL795" s="1241"/>
      <c r="BM795" s="1241"/>
      <c r="BN795" s="1241"/>
      <c r="BO795" s="1241"/>
      <c r="BP795" s="1241"/>
      <c r="BQ795" s="1241"/>
      <c r="BR795" s="1241"/>
      <c r="BS795" s="1241"/>
      <c r="BT795" s="1241"/>
      <c r="BU795" s="1241"/>
      <c r="BV795" s="1241"/>
      <c r="BW795" s="1241"/>
      <c r="BX795" s="1241"/>
      <c r="BY795" s="1241"/>
      <c r="BZ795" s="1241"/>
      <c r="CA795" s="1241"/>
      <c r="CB795" s="1241"/>
      <c r="CC795" s="1241"/>
      <c r="CD795" s="1241"/>
      <c r="CE795" s="1241"/>
      <c r="CF795" s="1241"/>
      <c r="CG795" s="1241"/>
      <c r="CH795" s="1241"/>
      <c r="CI795" s="1241"/>
      <c r="CJ795" s="1241"/>
      <c r="CK795" s="1241"/>
      <c r="CL795" s="1241"/>
      <c r="CM795" s="1241"/>
      <c r="CN795" s="1241"/>
      <c r="CO795" s="1241"/>
      <c r="CP795" s="1241"/>
      <c r="CQ795" s="1241"/>
      <c r="CR795" s="1241"/>
      <c r="CS795" s="1241"/>
      <c r="CT795" s="1241"/>
      <c r="CU795" s="1241"/>
      <c r="CV795" s="1241"/>
      <c r="CW795" s="1241"/>
      <c r="CX795" s="1241"/>
      <c r="CY795" s="1241"/>
      <c r="CZ795" s="1241"/>
      <c r="DA795" s="1241"/>
      <c r="DB795" s="1241"/>
      <c r="DC795" s="1241"/>
      <c r="DD795" s="1241"/>
      <c r="DE795" s="1241"/>
      <c r="DF795" s="1241"/>
      <c r="DG795" s="1241"/>
      <c r="DH795" s="1241"/>
      <c r="DI795" s="1241"/>
      <c r="DJ795" s="1241"/>
      <c r="DK795" s="1241"/>
      <c r="DL795" s="1241"/>
      <c r="DM795" s="1241"/>
    </row>
    <row r="796" spans="1:117" s="1302" customFormat="1">
      <c r="A796" s="1241"/>
      <c r="B796" s="1508" t="s">
        <v>3997</v>
      </c>
      <c r="C796" s="1241" t="s">
        <v>3998</v>
      </c>
      <c r="D796" s="1241"/>
      <c r="E796" s="1509" t="s">
        <v>420</v>
      </c>
      <c r="F796" s="1470"/>
      <c r="G796" s="1471">
        <v>0</v>
      </c>
      <c r="H796" s="1471">
        <v>13.035216034103776</v>
      </c>
      <c r="I796" s="1471">
        <v>17.053921916967798</v>
      </c>
      <c r="J796" s="1471">
        <v>24.151348308244827</v>
      </c>
      <c r="K796" s="1471">
        <v>33.633235858861887</v>
      </c>
      <c r="L796" s="1471">
        <v>46.278812905967591</v>
      </c>
      <c r="M796" s="1471">
        <v>63.116930551795555</v>
      </c>
      <c r="N796" s="1471">
        <v>85.503160592242011</v>
      </c>
      <c r="O796" s="1471">
        <v>29.509459227100059</v>
      </c>
      <c r="P796" s="1241"/>
      <c r="Q796" s="1241"/>
      <c r="R796" s="1241"/>
      <c r="S796" s="1241"/>
      <c r="T796" s="1241"/>
      <c r="U796" s="1241"/>
      <c r="V796" s="1241"/>
      <c r="W796" s="1241"/>
      <c r="X796" s="1241"/>
      <c r="Y796" s="1241"/>
      <c r="Z796" s="1241"/>
      <c r="AA796" s="1241"/>
      <c r="AB796" s="1241"/>
      <c r="AC796" s="1241"/>
      <c r="AD796" s="1241"/>
      <c r="AE796" s="1241"/>
      <c r="AF796" s="1241"/>
      <c r="AG796" s="1241"/>
      <c r="AH796" s="1241"/>
      <c r="AI796" s="1241"/>
      <c r="AJ796" s="1241"/>
      <c r="AK796" s="1241"/>
      <c r="AL796" s="1241"/>
      <c r="AM796" s="1241"/>
      <c r="AN796" s="1241"/>
      <c r="AO796" s="1241"/>
      <c r="AP796" s="1241"/>
      <c r="AQ796" s="1241"/>
      <c r="AR796" s="1241"/>
      <c r="AS796" s="1241"/>
      <c r="AT796" s="1241"/>
      <c r="AU796" s="1241"/>
      <c r="AV796" s="1241"/>
      <c r="AW796" s="1241"/>
      <c r="AX796" s="1241"/>
      <c r="AY796" s="1241"/>
      <c r="AZ796" s="1241"/>
      <c r="BA796" s="1241"/>
      <c r="BB796" s="1241"/>
      <c r="BC796" s="1241"/>
      <c r="BD796" s="1241"/>
      <c r="BE796" s="1241"/>
      <c r="BF796" s="1241"/>
      <c r="BG796" s="1241"/>
      <c r="BH796" s="1241"/>
      <c r="BI796" s="1241"/>
      <c r="BJ796" s="1241"/>
      <c r="BK796" s="1241"/>
      <c r="BL796" s="1241"/>
      <c r="BM796" s="1241"/>
      <c r="BN796" s="1241"/>
      <c r="BO796" s="1241"/>
      <c r="BP796" s="1241"/>
      <c r="BQ796" s="1241"/>
      <c r="BR796" s="1241"/>
      <c r="BS796" s="1241"/>
      <c r="BT796" s="1241"/>
      <c r="BU796" s="1241"/>
      <c r="BV796" s="1241"/>
      <c r="BW796" s="1241"/>
      <c r="BX796" s="1241"/>
      <c r="BY796" s="1241"/>
      <c r="BZ796" s="1241"/>
      <c r="CA796" s="1241"/>
      <c r="CB796" s="1241"/>
      <c r="CC796" s="1241"/>
      <c r="CD796" s="1241"/>
      <c r="CE796" s="1241"/>
      <c r="CF796" s="1241"/>
      <c r="CG796" s="1241"/>
      <c r="CH796" s="1241"/>
      <c r="CI796" s="1241"/>
      <c r="CJ796" s="1241"/>
      <c r="CK796" s="1241"/>
      <c r="CL796" s="1241"/>
      <c r="CM796" s="1241"/>
      <c r="CN796" s="1241"/>
      <c r="CO796" s="1241"/>
      <c r="CP796" s="1241"/>
      <c r="CQ796" s="1241"/>
      <c r="CR796" s="1241"/>
      <c r="CS796" s="1241"/>
      <c r="CT796" s="1241"/>
      <c r="CU796" s="1241"/>
      <c r="CV796" s="1241"/>
      <c r="CW796" s="1241"/>
      <c r="CX796" s="1241"/>
      <c r="CY796" s="1241"/>
      <c r="CZ796" s="1241"/>
      <c r="DA796" s="1241"/>
      <c r="DB796" s="1241"/>
      <c r="DC796" s="1241"/>
      <c r="DD796" s="1241"/>
      <c r="DE796" s="1241"/>
      <c r="DF796" s="1241"/>
      <c r="DG796" s="1241"/>
      <c r="DH796" s="1241"/>
      <c r="DI796" s="1241"/>
      <c r="DJ796" s="1241"/>
      <c r="DK796" s="1241"/>
      <c r="DL796" s="1241"/>
      <c r="DM796" s="1241"/>
    </row>
    <row r="797" spans="1:117" s="1302" customFormat="1">
      <c r="A797" s="1241"/>
      <c r="B797" s="1508" t="s">
        <v>3999</v>
      </c>
      <c r="C797" s="1241" t="s">
        <v>4000</v>
      </c>
      <c r="D797" s="1241"/>
      <c r="E797" s="1509" t="s">
        <v>420</v>
      </c>
      <c r="F797" s="1470"/>
      <c r="G797" s="1471">
        <v>0</v>
      </c>
      <c r="H797" s="1471">
        <v>0.62402629950496802</v>
      </c>
      <c r="I797" s="1471">
        <v>0.82387734111792754</v>
      </c>
      <c r="J797" s="1471">
        <v>1.194054453490029</v>
      </c>
      <c r="K797" s="1471">
        <v>1.7026825653548829</v>
      </c>
      <c r="L797" s="1471">
        <v>2.4003738604375933</v>
      </c>
      <c r="M797" s="1471">
        <v>3.3561081234324552</v>
      </c>
      <c r="N797" s="1471">
        <v>4.6638087595768374</v>
      </c>
      <c r="O797" s="1471">
        <v>1.4797355741199578</v>
      </c>
      <c r="P797" s="1241"/>
      <c r="Q797" s="1241"/>
      <c r="R797" s="1241"/>
      <c r="S797" s="1241"/>
      <c r="T797" s="1241"/>
      <c r="U797" s="1241"/>
      <c r="V797" s="1241"/>
      <c r="W797" s="1241"/>
      <c r="X797" s="1241"/>
      <c r="Y797" s="1241"/>
      <c r="Z797" s="1241"/>
      <c r="AA797" s="1241"/>
      <c r="AB797" s="1241"/>
      <c r="AC797" s="1241"/>
      <c r="AD797" s="1241"/>
      <c r="AE797" s="1241"/>
      <c r="AF797" s="1241"/>
      <c r="AG797" s="1241"/>
      <c r="AH797" s="1241"/>
      <c r="AI797" s="1241"/>
      <c r="AJ797" s="1241"/>
      <c r="AK797" s="1241"/>
      <c r="AL797" s="1241"/>
      <c r="AM797" s="1241"/>
      <c r="AN797" s="1241"/>
      <c r="AO797" s="1241"/>
      <c r="AP797" s="1241"/>
      <c r="AQ797" s="1241"/>
      <c r="AR797" s="1241"/>
      <c r="AS797" s="1241"/>
      <c r="AT797" s="1241"/>
      <c r="AU797" s="1241"/>
      <c r="AV797" s="1241"/>
      <c r="AW797" s="1241"/>
      <c r="AX797" s="1241"/>
      <c r="AY797" s="1241"/>
      <c r="AZ797" s="1241"/>
      <c r="BA797" s="1241"/>
      <c r="BB797" s="1241"/>
      <c r="BC797" s="1241"/>
      <c r="BD797" s="1241"/>
      <c r="BE797" s="1241"/>
      <c r="BF797" s="1241"/>
      <c r="BG797" s="1241"/>
      <c r="BH797" s="1241"/>
      <c r="BI797" s="1241"/>
      <c r="BJ797" s="1241"/>
      <c r="BK797" s="1241"/>
      <c r="BL797" s="1241"/>
      <c r="BM797" s="1241"/>
      <c r="BN797" s="1241"/>
      <c r="BO797" s="1241"/>
      <c r="BP797" s="1241"/>
      <c r="BQ797" s="1241"/>
      <c r="BR797" s="1241"/>
      <c r="BS797" s="1241"/>
      <c r="BT797" s="1241"/>
      <c r="BU797" s="1241"/>
      <c r="BV797" s="1241"/>
      <c r="BW797" s="1241"/>
      <c r="BX797" s="1241"/>
      <c r="BY797" s="1241"/>
      <c r="BZ797" s="1241"/>
      <c r="CA797" s="1241"/>
      <c r="CB797" s="1241"/>
      <c r="CC797" s="1241"/>
      <c r="CD797" s="1241"/>
      <c r="CE797" s="1241"/>
      <c r="CF797" s="1241"/>
      <c r="CG797" s="1241"/>
      <c r="CH797" s="1241"/>
      <c r="CI797" s="1241"/>
      <c r="CJ797" s="1241"/>
      <c r="CK797" s="1241"/>
      <c r="CL797" s="1241"/>
      <c r="CM797" s="1241"/>
      <c r="CN797" s="1241"/>
      <c r="CO797" s="1241"/>
      <c r="CP797" s="1241"/>
      <c r="CQ797" s="1241"/>
      <c r="CR797" s="1241"/>
      <c r="CS797" s="1241"/>
      <c r="CT797" s="1241"/>
      <c r="CU797" s="1241"/>
      <c r="CV797" s="1241"/>
      <c r="CW797" s="1241"/>
      <c r="CX797" s="1241"/>
      <c r="CY797" s="1241"/>
      <c r="CZ797" s="1241"/>
      <c r="DA797" s="1241"/>
      <c r="DB797" s="1241"/>
      <c r="DC797" s="1241"/>
      <c r="DD797" s="1241"/>
      <c r="DE797" s="1241"/>
      <c r="DF797" s="1241"/>
      <c r="DG797" s="1241"/>
      <c r="DH797" s="1241"/>
      <c r="DI797" s="1241"/>
      <c r="DJ797" s="1241"/>
      <c r="DK797" s="1241"/>
      <c r="DL797" s="1241"/>
      <c r="DM797" s="1241"/>
    </row>
    <row r="798" spans="1:117" s="1302" customFormat="1">
      <c r="A798" s="1241"/>
      <c r="B798" s="1508" t="s">
        <v>4001</v>
      </c>
      <c r="C798" s="1241" t="s">
        <v>4002</v>
      </c>
      <c r="D798" s="1241"/>
      <c r="E798" s="1509" t="s">
        <v>420</v>
      </c>
      <c r="F798" s="1470"/>
      <c r="G798" s="1471">
        <v>0</v>
      </c>
      <c r="H798" s="1541">
        <v>6.9336255500552002E-2</v>
      </c>
      <c r="I798" s="1541">
        <v>0.12544634412083672</v>
      </c>
      <c r="J798" s="1471">
        <v>0.30465586879169465</v>
      </c>
      <c r="K798" s="1471">
        <v>0.60960239994187171</v>
      </c>
      <c r="L798" s="1471">
        <v>1.106345153781936</v>
      </c>
      <c r="M798" s="1471">
        <v>1.8921268020997792</v>
      </c>
      <c r="N798" s="1471">
        <v>3.1092058397178914</v>
      </c>
      <c r="O798" s="1471">
        <v>0.46888740414500724</v>
      </c>
      <c r="P798" s="1241"/>
      <c r="Q798" s="1241"/>
      <c r="R798" s="1241"/>
      <c r="S798" s="1241"/>
      <c r="T798" s="1241"/>
      <c r="U798" s="1241"/>
      <c r="V798" s="1241"/>
      <c r="W798" s="1241"/>
      <c r="X798" s="1241"/>
      <c r="Y798" s="1241"/>
      <c r="Z798" s="1241"/>
      <c r="AA798" s="1241"/>
      <c r="AB798" s="1241"/>
      <c r="AC798" s="1241"/>
      <c r="AD798" s="1241"/>
      <c r="AE798" s="1241"/>
      <c r="AF798" s="1241"/>
      <c r="AG798" s="1241"/>
      <c r="AH798" s="1241"/>
      <c r="AI798" s="1241"/>
      <c r="AJ798" s="1241"/>
      <c r="AK798" s="1241"/>
      <c r="AL798" s="1241"/>
      <c r="AM798" s="1241"/>
      <c r="AN798" s="1241"/>
      <c r="AO798" s="1241"/>
      <c r="AP798" s="1241"/>
      <c r="AQ798" s="1241"/>
      <c r="AR798" s="1241"/>
      <c r="AS798" s="1241"/>
      <c r="AT798" s="1241"/>
      <c r="AU798" s="1241"/>
      <c r="AV798" s="1241"/>
      <c r="AW798" s="1241"/>
      <c r="AX798" s="1241"/>
      <c r="AY798" s="1241"/>
      <c r="AZ798" s="1241"/>
      <c r="BA798" s="1241"/>
      <c r="BB798" s="1241"/>
      <c r="BC798" s="1241"/>
      <c r="BD798" s="1241"/>
      <c r="BE798" s="1241"/>
      <c r="BF798" s="1241"/>
      <c r="BG798" s="1241"/>
      <c r="BH798" s="1241"/>
      <c r="BI798" s="1241"/>
      <c r="BJ798" s="1241"/>
      <c r="BK798" s="1241"/>
      <c r="BL798" s="1241"/>
      <c r="BM798" s="1241"/>
      <c r="BN798" s="1241"/>
      <c r="BO798" s="1241"/>
      <c r="BP798" s="1241"/>
      <c r="BQ798" s="1241"/>
      <c r="BR798" s="1241"/>
      <c r="BS798" s="1241"/>
      <c r="BT798" s="1241"/>
      <c r="BU798" s="1241"/>
      <c r="BV798" s="1241"/>
      <c r="BW798" s="1241"/>
      <c r="BX798" s="1241"/>
      <c r="BY798" s="1241"/>
      <c r="BZ798" s="1241"/>
      <c r="CA798" s="1241"/>
      <c r="CB798" s="1241"/>
      <c r="CC798" s="1241"/>
      <c r="CD798" s="1241"/>
      <c r="CE798" s="1241"/>
      <c r="CF798" s="1241"/>
      <c r="CG798" s="1241"/>
      <c r="CH798" s="1241"/>
      <c r="CI798" s="1241"/>
      <c r="CJ798" s="1241"/>
      <c r="CK798" s="1241"/>
      <c r="CL798" s="1241"/>
      <c r="CM798" s="1241"/>
      <c r="CN798" s="1241"/>
      <c r="CO798" s="1241"/>
      <c r="CP798" s="1241"/>
      <c r="CQ798" s="1241"/>
      <c r="CR798" s="1241"/>
      <c r="CS798" s="1241"/>
      <c r="CT798" s="1241"/>
      <c r="CU798" s="1241"/>
      <c r="CV798" s="1241"/>
      <c r="CW798" s="1241"/>
      <c r="CX798" s="1241"/>
      <c r="CY798" s="1241"/>
      <c r="CZ798" s="1241"/>
      <c r="DA798" s="1241"/>
      <c r="DB798" s="1241"/>
      <c r="DC798" s="1241"/>
      <c r="DD798" s="1241"/>
      <c r="DE798" s="1241"/>
      <c r="DF798" s="1241"/>
      <c r="DG798" s="1241"/>
      <c r="DH798" s="1241"/>
      <c r="DI798" s="1241"/>
      <c r="DJ798" s="1241"/>
      <c r="DK798" s="1241"/>
      <c r="DL798" s="1241"/>
      <c r="DM798" s="1241"/>
    </row>
    <row r="799" spans="1:117" s="1302" customFormat="1">
      <c r="A799" s="1241"/>
      <c r="B799" s="1508" t="s">
        <v>4011</v>
      </c>
      <c r="C799" s="1241" t="s">
        <v>4012</v>
      </c>
      <c r="D799" s="1241"/>
      <c r="E799" s="1509" t="s">
        <v>420</v>
      </c>
      <c r="F799" s="1470"/>
      <c r="G799" s="1471">
        <v>0</v>
      </c>
      <c r="H799" s="1471">
        <v>0</v>
      </c>
      <c r="I799" s="1471">
        <v>0</v>
      </c>
      <c r="J799" s="1471">
        <v>0</v>
      </c>
      <c r="K799" s="1471">
        <v>0</v>
      </c>
      <c r="L799" s="1471">
        <v>0</v>
      </c>
      <c r="M799" s="1471">
        <v>0</v>
      </c>
      <c r="N799" s="1471">
        <v>0</v>
      </c>
      <c r="O799" s="1471">
        <v>0</v>
      </c>
      <c r="P799" s="1241"/>
      <c r="Q799" s="1241"/>
      <c r="R799" s="1241"/>
      <c r="S799" s="1241"/>
      <c r="T799" s="1241"/>
      <c r="U799" s="1241"/>
      <c r="V799" s="1241"/>
      <c r="W799" s="1241"/>
      <c r="X799" s="1241"/>
      <c r="Y799" s="1241"/>
      <c r="Z799" s="1241"/>
      <c r="AA799" s="1241"/>
      <c r="AB799" s="1241"/>
      <c r="AC799" s="1241"/>
      <c r="AD799" s="1241"/>
      <c r="AE799" s="1241"/>
      <c r="AF799" s="1241"/>
      <c r="AG799" s="1241"/>
      <c r="AH799" s="1241"/>
      <c r="AI799" s="1241"/>
      <c r="AJ799" s="1241"/>
      <c r="AK799" s="1241"/>
      <c r="AL799" s="1241"/>
      <c r="AM799" s="1241"/>
      <c r="AN799" s="1241"/>
      <c r="AO799" s="1241"/>
      <c r="AP799" s="1241"/>
      <c r="AQ799" s="1241"/>
      <c r="AR799" s="1241"/>
      <c r="AS799" s="1241"/>
      <c r="AT799" s="1241"/>
      <c r="AU799" s="1241"/>
      <c r="AV799" s="1241"/>
      <c r="AW799" s="1241"/>
      <c r="AX799" s="1241"/>
      <c r="AY799" s="1241"/>
      <c r="AZ799" s="1241"/>
      <c r="BA799" s="1241"/>
      <c r="BB799" s="1241"/>
      <c r="BC799" s="1241"/>
      <c r="BD799" s="1241"/>
      <c r="BE799" s="1241"/>
      <c r="BF799" s="1241"/>
      <c r="BG799" s="1241"/>
      <c r="BH799" s="1241"/>
      <c r="BI799" s="1241"/>
      <c r="BJ799" s="1241"/>
      <c r="BK799" s="1241"/>
      <c r="BL799" s="1241"/>
      <c r="BM799" s="1241"/>
      <c r="BN799" s="1241"/>
      <c r="BO799" s="1241"/>
      <c r="BP799" s="1241"/>
      <c r="BQ799" s="1241"/>
      <c r="BR799" s="1241"/>
      <c r="BS799" s="1241"/>
      <c r="BT799" s="1241"/>
      <c r="BU799" s="1241"/>
      <c r="BV799" s="1241"/>
      <c r="BW799" s="1241"/>
      <c r="BX799" s="1241"/>
      <c r="BY799" s="1241"/>
      <c r="BZ799" s="1241"/>
      <c r="CA799" s="1241"/>
      <c r="CB799" s="1241"/>
      <c r="CC799" s="1241"/>
      <c r="CD799" s="1241"/>
      <c r="CE799" s="1241"/>
      <c r="CF799" s="1241"/>
      <c r="CG799" s="1241"/>
      <c r="CH799" s="1241"/>
      <c r="CI799" s="1241"/>
      <c r="CJ799" s="1241"/>
      <c r="CK799" s="1241"/>
      <c r="CL799" s="1241"/>
      <c r="CM799" s="1241"/>
      <c r="CN799" s="1241"/>
      <c r="CO799" s="1241"/>
      <c r="CP799" s="1241"/>
      <c r="CQ799" s="1241"/>
      <c r="CR799" s="1241"/>
      <c r="CS799" s="1241"/>
      <c r="CT799" s="1241"/>
      <c r="CU799" s="1241"/>
      <c r="CV799" s="1241"/>
      <c r="CW799" s="1241"/>
      <c r="CX799" s="1241"/>
      <c r="CY799" s="1241"/>
      <c r="CZ799" s="1241"/>
      <c r="DA799" s="1241"/>
      <c r="DB799" s="1241"/>
      <c r="DC799" s="1241"/>
      <c r="DD799" s="1241"/>
      <c r="DE799" s="1241"/>
      <c r="DF799" s="1241"/>
      <c r="DG799" s="1241"/>
      <c r="DH799" s="1241"/>
      <c r="DI799" s="1241"/>
      <c r="DJ799" s="1241"/>
      <c r="DK799" s="1241"/>
      <c r="DL799" s="1241"/>
      <c r="DM799" s="1241"/>
    </row>
    <row r="800" spans="1:117" s="1302" customFormat="1">
      <c r="A800" s="1241"/>
      <c r="B800" s="1508" t="s">
        <v>4025</v>
      </c>
      <c r="C800" s="1241" t="s">
        <v>4026</v>
      </c>
      <c r="D800" s="1241"/>
      <c r="E800" s="1509" t="s">
        <v>420</v>
      </c>
      <c r="F800" s="1470"/>
      <c r="G800" s="1471">
        <v>0</v>
      </c>
      <c r="H800" s="1471">
        <v>0</v>
      </c>
      <c r="I800" s="1471">
        <v>0</v>
      </c>
      <c r="J800" s="1471">
        <v>0</v>
      </c>
      <c r="K800" s="1471">
        <v>0</v>
      </c>
      <c r="L800" s="1471">
        <v>0</v>
      </c>
      <c r="M800" s="1471">
        <v>0</v>
      </c>
      <c r="N800" s="1471">
        <v>0</v>
      </c>
      <c r="O800" s="1471">
        <v>0</v>
      </c>
      <c r="P800" s="1241"/>
      <c r="Q800" s="1241"/>
      <c r="R800" s="1241"/>
      <c r="S800" s="1241"/>
      <c r="T800" s="1241"/>
      <c r="U800" s="1241"/>
      <c r="V800" s="1241"/>
      <c r="W800" s="1241"/>
      <c r="X800" s="1241"/>
      <c r="Y800" s="1241"/>
      <c r="Z800" s="1241"/>
      <c r="AA800" s="1241"/>
      <c r="AB800" s="1241"/>
      <c r="AC800" s="1241"/>
      <c r="AD800" s="1241"/>
      <c r="AE800" s="1241"/>
      <c r="AF800" s="1241"/>
      <c r="AG800" s="1241"/>
      <c r="AH800" s="1241"/>
      <c r="AI800" s="1241"/>
      <c r="AJ800" s="1241"/>
      <c r="AK800" s="1241"/>
      <c r="AL800" s="1241"/>
      <c r="AM800" s="1241"/>
      <c r="AN800" s="1241"/>
      <c r="AO800" s="1241"/>
      <c r="AP800" s="1241"/>
      <c r="AQ800" s="1241"/>
      <c r="AR800" s="1241"/>
      <c r="AS800" s="1241"/>
      <c r="AT800" s="1241"/>
      <c r="AU800" s="1241"/>
      <c r="AV800" s="1241"/>
      <c r="AW800" s="1241"/>
      <c r="AX800" s="1241"/>
      <c r="AY800" s="1241"/>
      <c r="AZ800" s="1241"/>
      <c r="BA800" s="1241"/>
      <c r="BB800" s="1241"/>
      <c r="BC800" s="1241"/>
      <c r="BD800" s="1241"/>
      <c r="BE800" s="1241"/>
      <c r="BF800" s="1241"/>
      <c r="BG800" s="1241"/>
      <c r="BH800" s="1241"/>
      <c r="BI800" s="1241"/>
      <c r="BJ800" s="1241"/>
      <c r="BK800" s="1241"/>
      <c r="BL800" s="1241"/>
      <c r="BM800" s="1241"/>
      <c r="BN800" s="1241"/>
      <c r="BO800" s="1241"/>
      <c r="BP800" s="1241"/>
      <c r="BQ800" s="1241"/>
      <c r="BR800" s="1241"/>
      <c r="BS800" s="1241"/>
      <c r="BT800" s="1241"/>
      <c r="BU800" s="1241"/>
      <c r="BV800" s="1241"/>
      <c r="BW800" s="1241"/>
      <c r="BX800" s="1241"/>
      <c r="BY800" s="1241"/>
      <c r="BZ800" s="1241"/>
      <c r="CA800" s="1241"/>
      <c r="CB800" s="1241"/>
      <c r="CC800" s="1241"/>
      <c r="CD800" s="1241"/>
      <c r="CE800" s="1241"/>
      <c r="CF800" s="1241"/>
      <c r="CG800" s="1241"/>
      <c r="CH800" s="1241"/>
      <c r="CI800" s="1241"/>
      <c r="CJ800" s="1241"/>
      <c r="CK800" s="1241"/>
      <c r="CL800" s="1241"/>
      <c r="CM800" s="1241"/>
      <c r="CN800" s="1241"/>
      <c r="CO800" s="1241"/>
      <c r="CP800" s="1241"/>
      <c r="CQ800" s="1241"/>
      <c r="CR800" s="1241"/>
      <c r="CS800" s="1241"/>
      <c r="CT800" s="1241"/>
      <c r="CU800" s="1241"/>
      <c r="CV800" s="1241"/>
      <c r="CW800" s="1241"/>
      <c r="CX800" s="1241"/>
      <c r="CY800" s="1241"/>
      <c r="CZ800" s="1241"/>
      <c r="DA800" s="1241"/>
      <c r="DB800" s="1241"/>
      <c r="DC800" s="1241"/>
      <c r="DD800" s="1241"/>
      <c r="DE800" s="1241"/>
      <c r="DF800" s="1241"/>
      <c r="DG800" s="1241"/>
      <c r="DH800" s="1241"/>
      <c r="DI800" s="1241"/>
      <c r="DJ800" s="1241"/>
      <c r="DK800" s="1241"/>
      <c r="DL800" s="1241"/>
      <c r="DM800" s="1241"/>
    </row>
    <row r="801" spans="1:117" s="1302" customFormat="1">
      <c r="A801" s="1241"/>
      <c r="B801" s="1508"/>
      <c r="C801" s="1241"/>
      <c r="D801" s="1241"/>
      <c r="E801" s="1509"/>
      <c r="F801" s="1470"/>
      <c r="G801" s="1471"/>
      <c r="H801" s="1471"/>
      <c r="I801" s="1471"/>
      <c r="J801" s="1471"/>
      <c r="K801" s="1471"/>
      <c r="L801" s="1471"/>
      <c r="M801" s="1471"/>
      <c r="N801" s="1471"/>
      <c r="O801" s="1549"/>
      <c r="P801" s="1241"/>
      <c r="Q801" s="1241"/>
      <c r="R801" s="1241"/>
      <c r="S801" s="1241"/>
      <c r="T801" s="1241"/>
      <c r="U801" s="1241"/>
      <c r="V801" s="1241"/>
      <c r="W801" s="1241"/>
      <c r="X801" s="1241"/>
      <c r="Y801" s="1241"/>
      <c r="Z801" s="1241"/>
      <c r="AA801" s="1241"/>
      <c r="AB801" s="1241"/>
      <c r="AC801" s="1241"/>
      <c r="AD801" s="1241"/>
      <c r="AE801" s="1241"/>
      <c r="AF801" s="1241"/>
      <c r="AG801" s="1241"/>
      <c r="AH801" s="1241"/>
      <c r="AI801" s="1241"/>
      <c r="AJ801" s="1241"/>
      <c r="AK801" s="1241"/>
      <c r="AL801" s="1241"/>
      <c r="AM801" s="1241"/>
      <c r="AN801" s="1241"/>
      <c r="AO801" s="1241"/>
      <c r="AP801" s="1241"/>
      <c r="AQ801" s="1241"/>
      <c r="AR801" s="1241"/>
      <c r="AS801" s="1241"/>
      <c r="AT801" s="1241"/>
      <c r="AU801" s="1241"/>
      <c r="AV801" s="1241"/>
      <c r="AW801" s="1241"/>
      <c r="AX801" s="1241"/>
      <c r="AY801" s="1241"/>
      <c r="AZ801" s="1241"/>
      <c r="BA801" s="1241"/>
      <c r="BB801" s="1241"/>
      <c r="BC801" s="1241"/>
      <c r="BD801" s="1241"/>
      <c r="BE801" s="1241"/>
      <c r="BF801" s="1241"/>
      <c r="BG801" s="1241"/>
      <c r="BH801" s="1241"/>
      <c r="BI801" s="1241"/>
      <c r="BJ801" s="1241"/>
      <c r="BK801" s="1241"/>
      <c r="BL801" s="1241"/>
      <c r="BM801" s="1241"/>
      <c r="BN801" s="1241"/>
      <c r="BO801" s="1241"/>
      <c r="BP801" s="1241"/>
      <c r="BQ801" s="1241"/>
      <c r="BR801" s="1241"/>
      <c r="BS801" s="1241"/>
      <c r="BT801" s="1241"/>
      <c r="BU801" s="1241"/>
      <c r="BV801" s="1241"/>
      <c r="BW801" s="1241"/>
      <c r="BX801" s="1241"/>
      <c r="BY801" s="1241"/>
      <c r="BZ801" s="1241"/>
      <c r="CA801" s="1241"/>
      <c r="CB801" s="1241"/>
      <c r="CC801" s="1241"/>
      <c r="CD801" s="1241"/>
      <c r="CE801" s="1241"/>
      <c r="CF801" s="1241"/>
      <c r="CG801" s="1241"/>
      <c r="CH801" s="1241"/>
      <c r="CI801" s="1241"/>
      <c r="CJ801" s="1241"/>
      <c r="CK801" s="1241"/>
      <c r="CL801" s="1241"/>
      <c r="CM801" s="1241"/>
      <c r="CN801" s="1241"/>
      <c r="CO801" s="1241"/>
      <c r="CP801" s="1241"/>
      <c r="CQ801" s="1241"/>
      <c r="CR801" s="1241"/>
      <c r="CS801" s="1241"/>
      <c r="CT801" s="1241"/>
      <c r="CU801" s="1241"/>
      <c r="CV801" s="1241"/>
      <c r="CW801" s="1241"/>
      <c r="CX801" s="1241"/>
      <c r="CY801" s="1241"/>
      <c r="CZ801" s="1241"/>
      <c r="DA801" s="1241"/>
      <c r="DB801" s="1241"/>
      <c r="DC801" s="1241"/>
      <c r="DD801" s="1241"/>
      <c r="DE801" s="1241"/>
      <c r="DF801" s="1241"/>
      <c r="DG801" s="1241"/>
      <c r="DH801" s="1241"/>
      <c r="DI801" s="1241"/>
      <c r="DJ801" s="1241"/>
      <c r="DK801" s="1241"/>
      <c r="DL801" s="1241"/>
      <c r="DM801" s="1241"/>
    </row>
    <row r="802" spans="1:117" s="1302" customFormat="1">
      <c r="A802" s="1459" t="s">
        <v>4279</v>
      </c>
      <c r="B802" s="1508"/>
      <c r="C802" s="1241" t="s">
        <v>4281</v>
      </c>
      <c r="D802" s="1241"/>
      <c r="F802" s="1470"/>
      <c r="G802" s="1471"/>
      <c r="H802" s="1471"/>
      <c r="I802" s="1471"/>
      <c r="J802" s="1471"/>
      <c r="K802" s="1471"/>
      <c r="L802" s="1471"/>
      <c r="M802" s="1471"/>
      <c r="N802" s="1471"/>
      <c r="O802" s="1471"/>
      <c r="P802" s="1241"/>
      <c r="Q802" s="1241"/>
      <c r="R802" s="1241"/>
      <c r="S802" s="1241"/>
      <c r="T802" s="1241"/>
      <c r="U802" s="1241"/>
      <c r="V802" s="1241"/>
      <c r="W802" s="1241"/>
      <c r="X802" s="1241"/>
      <c r="Y802" s="1241"/>
      <c r="Z802" s="1241"/>
      <c r="AA802" s="1241"/>
      <c r="AB802" s="1241"/>
      <c r="AC802" s="1241"/>
      <c r="AD802" s="1241"/>
      <c r="AE802" s="1241"/>
      <c r="AF802" s="1241"/>
      <c r="AG802" s="1241"/>
      <c r="AH802" s="1241"/>
      <c r="AI802" s="1241"/>
      <c r="AJ802" s="1241"/>
      <c r="AK802" s="1241"/>
      <c r="AL802" s="1241"/>
      <c r="AM802" s="1241"/>
      <c r="AN802" s="1241"/>
      <c r="AO802" s="1241"/>
      <c r="AP802" s="1241"/>
      <c r="AQ802" s="1241"/>
      <c r="AR802" s="1241"/>
      <c r="AS802" s="1241"/>
      <c r="AT802" s="1241"/>
      <c r="AU802" s="1241"/>
      <c r="AV802" s="1241"/>
      <c r="AW802" s="1241"/>
      <c r="AX802" s="1241"/>
      <c r="AY802" s="1241"/>
      <c r="AZ802" s="1241"/>
      <c r="BA802" s="1241"/>
      <c r="BB802" s="1241"/>
      <c r="BC802" s="1241"/>
      <c r="BD802" s="1241"/>
      <c r="BE802" s="1241"/>
      <c r="BF802" s="1241"/>
      <c r="BG802" s="1241"/>
      <c r="BH802" s="1241"/>
      <c r="BI802" s="1241"/>
      <c r="BJ802" s="1241"/>
      <c r="BK802" s="1241"/>
      <c r="BL802" s="1241"/>
      <c r="BM802" s="1241"/>
      <c r="BN802" s="1241"/>
      <c r="BO802" s="1241"/>
      <c r="BP802" s="1241"/>
      <c r="BQ802" s="1241"/>
      <c r="BR802" s="1241"/>
      <c r="BS802" s="1241"/>
      <c r="BT802" s="1241"/>
      <c r="BU802" s="1241"/>
      <c r="BV802" s="1241"/>
      <c r="BW802" s="1241"/>
      <c r="BX802" s="1241"/>
      <c r="BY802" s="1241"/>
      <c r="BZ802" s="1241"/>
      <c r="CA802" s="1241"/>
      <c r="CB802" s="1241"/>
      <c r="CC802" s="1241"/>
      <c r="CD802" s="1241"/>
      <c r="CE802" s="1241"/>
      <c r="CF802" s="1241"/>
      <c r="CG802" s="1241"/>
      <c r="CH802" s="1241"/>
      <c r="CI802" s="1241"/>
      <c r="CJ802" s="1241"/>
      <c r="CK802" s="1241"/>
      <c r="CL802" s="1241"/>
      <c r="CM802" s="1241"/>
      <c r="CN802" s="1241"/>
      <c r="CO802" s="1241"/>
      <c r="CP802" s="1241"/>
      <c r="CQ802" s="1241"/>
      <c r="CR802" s="1241"/>
      <c r="CS802" s="1241"/>
      <c r="CT802" s="1241"/>
      <c r="CU802" s="1241"/>
      <c r="CV802" s="1241"/>
      <c r="CW802" s="1241"/>
      <c r="CX802" s="1241"/>
      <c r="CY802" s="1241"/>
      <c r="CZ802" s="1241"/>
      <c r="DA802" s="1241"/>
      <c r="DB802" s="1241"/>
      <c r="DC802" s="1241"/>
      <c r="DD802" s="1241"/>
      <c r="DE802" s="1241"/>
      <c r="DF802" s="1241"/>
      <c r="DG802" s="1241"/>
      <c r="DH802" s="1241"/>
      <c r="DI802" s="1241"/>
      <c r="DJ802" s="1241"/>
      <c r="DK802" s="1241"/>
      <c r="DL802" s="1241"/>
      <c r="DM802" s="1241"/>
    </row>
    <row r="803" spans="1:117" s="1302" customFormat="1">
      <c r="A803" s="1241"/>
      <c r="B803" s="1508"/>
      <c r="C803" s="1241" t="s">
        <v>4282</v>
      </c>
      <c r="D803" s="1241"/>
      <c r="E803" s="1509" t="s">
        <v>1065</v>
      </c>
      <c r="F803" s="1470"/>
      <c r="G803" s="1471"/>
      <c r="H803" s="1471">
        <v>1.6127613029428396</v>
      </c>
      <c r="I803" s="1471">
        <v>3.5487753619264808</v>
      </c>
      <c r="J803" s="1471">
        <v>10.286557995621511</v>
      </c>
      <c r="K803" s="1471">
        <v>22.002442483419216</v>
      </c>
      <c r="L803" s="1471">
        <v>41.357552587984024</v>
      </c>
      <c r="M803" s="1471">
        <v>72.280624954665669</v>
      </c>
      <c r="N803" s="1471">
        <v>120.53354638639695</v>
      </c>
      <c r="O803" s="1471">
        <v>16.571942329718258</v>
      </c>
      <c r="P803" s="1241"/>
      <c r="Q803" s="1241"/>
      <c r="R803" s="1241"/>
      <c r="S803" s="1241"/>
      <c r="T803" s="1241"/>
      <c r="U803" s="1241"/>
      <c r="V803" s="1241"/>
      <c r="W803" s="1241"/>
      <c r="X803" s="1241"/>
      <c r="Y803" s="1241"/>
      <c r="Z803" s="1241"/>
      <c r="AA803" s="1241"/>
      <c r="AB803" s="1241"/>
      <c r="AC803" s="1241"/>
      <c r="AD803" s="1241"/>
      <c r="AE803" s="1241"/>
      <c r="AF803" s="1241"/>
      <c r="AG803" s="1241"/>
      <c r="AH803" s="1241"/>
      <c r="AI803" s="1241"/>
      <c r="AJ803" s="1241"/>
      <c r="AK803" s="1241"/>
      <c r="AL803" s="1241"/>
      <c r="AM803" s="1241"/>
      <c r="AN803" s="1241"/>
      <c r="AO803" s="1241"/>
      <c r="AP803" s="1241"/>
      <c r="AQ803" s="1241"/>
      <c r="AR803" s="1241"/>
      <c r="AS803" s="1241"/>
      <c r="AT803" s="1241"/>
      <c r="AU803" s="1241"/>
      <c r="AV803" s="1241"/>
      <c r="AW803" s="1241"/>
      <c r="AX803" s="1241"/>
      <c r="AY803" s="1241"/>
      <c r="AZ803" s="1241"/>
      <c r="BA803" s="1241"/>
      <c r="BB803" s="1241"/>
      <c r="BC803" s="1241"/>
      <c r="BD803" s="1241"/>
      <c r="BE803" s="1241"/>
      <c r="BF803" s="1241"/>
      <c r="BG803" s="1241"/>
      <c r="BH803" s="1241"/>
      <c r="BI803" s="1241"/>
      <c r="BJ803" s="1241"/>
      <c r="BK803" s="1241"/>
      <c r="BL803" s="1241"/>
      <c r="BM803" s="1241"/>
      <c r="BN803" s="1241"/>
      <c r="BO803" s="1241"/>
      <c r="BP803" s="1241"/>
      <c r="BQ803" s="1241"/>
      <c r="BR803" s="1241"/>
      <c r="BS803" s="1241"/>
      <c r="BT803" s="1241"/>
      <c r="BU803" s="1241"/>
      <c r="BV803" s="1241"/>
      <c r="BW803" s="1241"/>
      <c r="BX803" s="1241"/>
      <c r="BY803" s="1241"/>
      <c r="BZ803" s="1241"/>
      <c r="CA803" s="1241"/>
      <c r="CB803" s="1241"/>
      <c r="CC803" s="1241"/>
      <c r="CD803" s="1241"/>
      <c r="CE803" s="1241"/>
      <c r="CF803" s="1241"/>
      <c r="CG803" s="1241"/>
      <c r="CH803" s="1241"/>
      <c r="CI803" s="1241"/>
      <c r="CJ803" s="1241"/>
      <c r="CK803" s="1241"/>
      <c r="CL803" s="1241"/>
      <c r="CM803" s="1241"/>
      <c r="CN803" s="1241"/>
      <c r="CO803" s="1241"/>
      <c r="CP803" s="1241"/>
      <c r="CQ803" s="1241"/>
      <c r="CR803" s="1241"/>
      <c r="CS803" s="1241"/>
      <c r="CT803" s="1241"/>
      <c r="CU803" s="1241"/>
      <c r="CV803" s="1241"/>
      <c r="CW803" s="1241"/>
      <c r="CX803" s="1241"/>
      <c r="CY803" s="1241"/>
      <c r="CZ803" s="1241"/>
      <c r="DA803" s="1241"/>
      <c r="DB803" s="1241"/>
      <c r="DC803" s="1241"/>
      <c r="DD803" s="1241"/>
      <c r="DE803" s="1241"/>
      <c r="DF803" s="1241"/>
      <c r="DG803" s="1241"/>
      <c r="DH803" s="1241"/>
      <c r="DI803" s="1241"/>
      <c r="DJ803" s="1241"/>
      <c r="DK803" s="1241"/>
      <c r="DL803" s="1241"/>
      <c r="DM803" s="1241"/>
    </row>
    <row r="804" spans="1:117" s="1302" customFormat="1">
      <c r="A804" s="1241"/>
      <c r="B804" s="1508"/>
      <c r="C804" s="1241" t="s">
        <v>1255</v>
      </c>
      <c r="D804" s="1241"/>
      <c r="E804" s="1509" t="s">
        <v>4283</v>
      </c>
      <c r="F804" s="1470"/>
      <c r="G804" s="1471"/>
      <c r="H804" s="1471">
        <v>34.406658991038768</v>
      </c>
      <c r="I804" s="1471">
        <v>45.014096760787282</v>
      </c>
      <c r="J804" s="1471">
        <v>63.74786603010935</v>
      </c>
      <c r="K804" s="1471">
        <v>88.775458261179523</v>
      </c>
      <c r="L804" s="1471">
        <v>122.15365898039663</v>
      </c>
      <c r="M804" s="1471">
        <v>166.59813695262744</v>
      </c>
      <c r="N804" s="1471">
        <v>225.68694538368356</v>
      </c>
      <c r="O804" s="1471">
        <v>77.890684587077629</v>
      </c>
      <c r="P804" s="1241"/>
      <c r="Q804" s="1241"/>
      <c r="R804" s="1241"/>
      <c r="S804" s="1241"/>
      <c r="T804" s="1241"/>
      <c r="U804" s="1241"/>
      <c r="V804" s="1241"/>
      <c r="W804" s="1241"/>
      <c r="X804" s="1241"/>
      <c r="Y804" s="1241"/>
      <c r="Z804" s="1241"/>
      <c r="AA804" s="1241"/>
      <c r="AB804" s="1241"/>
      <c r="AC804" s="1241"/>
      <c r="AD804" s="1241"/>
      <c r="AE804" s="1241"/>
      <c r="AF804" s="1241"/>
      <c r="AG804" s="1241"/>
      <c r="AH804" s="1241"/>
      <c r="AI804" s="1241"/>
      <c r="AJ804" s="1241"/>
      <c r="AK804" s="1241"/>
      <c r="AL804" s="1241"/>
      <c r="AM804" s="1241"/>
      <c r="AN804" s="1241"/>
      <c r="AO804" s="1241"/>
      <c r="AP804" s="1241"/>
      <c r="AQ804" s="1241"/>
      <c r="AR804" s="1241"/>
      <c r="AS804" s="1241"/>
      <c r="AT804" s="1241"/>
      <c r="AU804" s="1241"/>
      <c r="AV804" s="1241"/>
      <c r="AW804" s="1241"/>
      <c r="AX804" s="1241"/>
      <c r="AY804" s="1241"/>
      <c r="AZ804" s="1241"/>
      <c r="BA804" s="1241"/>
      <c r="BB804" s="1241"/>
      <c r="BC804" s="1241"/>
      <c r="BD804" s="1241"/>
      <c r="BE804" s="1241"/>
      <c r="BF804" s="1241"/>
      <c r="BG804" s="1241"/>
      <c r="BH804" s="1241"/>
      <c r="BI804" s="1241"/>
      <c r="BJ804" s="1241"/>
      <c r="BK804" s="1241"/>
      <c r="BL804" s="1241"/>
      <c r="BM804" s="1241"/>
      <c r="BN804" s="1241"/>
      <c r="BO804" s="1241"/>
      <c r="BP804" s="1241"/>
      <c r="BQ804" s="1241"/>
      <c r="BR804" s="1241"/>
      <c r="BS804" s="1241"/>
      <c r="BT804" s="1241"/>
      <c r="BU804" s="1241"/>
      <c r="BV804" s="1241"/>
      <c r="BW804" s="1241"/>
      <c r="BX804" s="1241"/>
      <c r="BY804" s="1241"/>
      <c r="BZ804" s="1241"/>
      <c r="CA804" s="1241"/>
      <c r="CB804" s="1241"/>
      <c r="CC804" s="1241"/>
      <c r="CD804" s="1241"/>
      <c r="CE804" s="1241"/>
      <c r="CF804" s="1241"/>
      <c r="CG804" s="1241"/>
      <c r="CH804" s="1241"/>
      <c r="CI804" s="1241"/>
      <c r="CJ804" s="1241"/>
      <c r="CK804" s="1241"/>
      <c r="CL804" s="1241"/>
      <c r="CM804" s="1241"/>
      <c r="CN804" s="1241"/>
      <c r="CO804" s="1241"/>
      <c r="CP804" s="1241"/>
      <c r="CQ804" s="1241"/>
      <c r="CR804" s="1241"/>
      <c r="CS804" s="1241"/>
      <c r="CT804" s="1241"/>
      <c r="CU804" s="1241"/>
      <c r="CV804" s="1241"/>
      <c r="CW804" s="1241"/>
      <c r="CX804" s="1241"/>
      <c r="CY804" s="1241"/>
      <c r="CZ804" s="1241"/>
      <c r="DA804" s="1241"/>
      <c r="DB804" s="1241"/>
      <c r="DC804" s="1241"/>
      <c r="DD804" s="1241"/>
      <c r="DE804" s="1241"/>
      <c r="DF804" s="1241"/>
      <c r="DG804" s="1241"/>
      <c r="DH804" s="1241"/>
      <c r="DI804" s="1241"/>
      <c r="DJ804" s="1241"/>
      <c r="DK804" s="1241"/>
      <c r="DL804" s="1241"/>
      <c r="DM804" s="1241"/>
    </row>
    <row r="805" spans="1:117" s="1302" customFormat="1">
      <c r="A805" s="1241"/>
      <c r="B805" s="1508"/>
      <c r="C805" s="1241" t="s">
        <v>3861</v>
      </c>
      <c r="D805" s="1241"/>
      <c r="E805" s="1509" t="s">
        <v>3925</v>
      </c>
      <c r="F805" s="1470"/>
      <c r="G805" s="1471"/>
      <c r="H805" s="1471">
        <v>0.62402629950496802</v>
      </c>
      <c r="I805" s="1471">
        <v>0.82387734111792754</v>
      </c>
      <c r="J805" s="1471">
        <v>1.194054453490029</v>
      </c>
      <c r="K805" s="1471">
        <v>1.7026825653548829</v>
      </c>
      <c r="L805" s="1471">
        <v>2.4003738604375933</v>
      </c>
      <c r="M805" s="1471">
        <v>3.3561081234324552</v>
      </c>
      <c r="N805" s="1471">
        <v>4.6638087595768374</v>
      </c>
      <c r="O805" s="1471">
        <v>1.4797355741199578</v>
      </c>
      <c r="P805" s="1241"/>
      <c r="Q805" s="1241"/>
      <c r="R805" s="1241"/>
      <c r="S805" s="1241"/>
      <c r="T805" s="1241"/>
      <c r="U805" s="1241"/>
      <c r="V805" s="1241"/>
      <c r="W805" s="1241"/>
      <c r="X805" s="1241"/>
      <c r="Y805" s="1241"/>
      <c r="Z805" s="1241"/>
      <c r="AA805" s="1241"/>
      <c r="AB805" s="1241"/>
      <c r="AC805" s="1241"/>
      <c r="AD805" s="1241"/>
      <c r="AE805" s="1241"/>
      <c r="AF805" s="1241"/>
      <c r="AG805" s="1241"/>
      <c r="AH805" s="1241"/>
      <c r="AI805" s="1241"/>
      <c r="AJ805" s="1241"/>
      <c r="AK805" s="1241"/>
      <c r="AL805" s="1241"/>
      <c r="AM805" s="1241"/>
      <c r="AN805" s="1241"/>
      <c r="AO805" s="1241"/>
      <c r="AP805" s="1241"/>
      <c r="AQ805" s="1241"/>
      <c r="AR805" s="1241"/>
      <c r="AS805" s="1241"/>
      <c r="AT805" s="1241"/>
      <c r="AU805" s="1241"/>
      <c r="AV805" s="1241"/>
      <c r="AW805" s="1241"/>
      <c r="AX805" s="1241"/>
      <c r="AY805" s="1241"/>
      <c r="AZ805" s="1241"/>
      <c r="BA805" s="1241"/>
      <c r="BB805" s="1241"/>
      <c r="BC805" s="1241"/>
      <c r="BD805" s="1241"/>
      <c r="BE805" s="1241"/>
      <c r="BF805" s="1241"/>
      <c r="BG805" s="1241"/>
      <c r="BH805" s="1241"/>
      <c r="BI805" s="1241"/>
      <c r="BJ805" s="1241"/>
      <c r="BK805" s="1241"/>
      <c r="BL805" s="1241"/>
      <c r="BM805" s="1241"/>
      <c r="BN805" s="1241"/>
      <c r="BO805" s="1241"/>
      <c r="BP805" s="1241"/>
      <c r="BQ805" s="1241"/>
      <c r="BR805" s="1241"/>
      <c r="BS805" s="1241"/>
      <c r="BT805" s="1241"/>
      <c r="BU805" s="1241"/>
      <c r="BV805" s="1241"/>
      <c r="BW805" s="1241"/>
      <c r="BX805" s="1241"/>
      <c r="BY805" s="1241"/>
      <c r="BZ805" s="1241"/>
      <c r="CA805" s="1241"/>
      <c r="CB805" s="1241"/>
      <c r="CC805" s="1241"/>
      <c r="CD805" s="1241"/>
      <c r="CE805" s="1241"/>
      <c r="CF805" s="1241"/>
      <c r="CG805" s="1241"/>
      <c r="CH805" s="1241"/>
      <c r="CI805" s="1241"/>
      <c r="CJ805" s="1241"/>
      <c r="CK805" s="1241"/>
      <c r="CL805" s="1241"/>
      <c r="CM805" s="1241"/>
      <c r="CN805" s="1241"/>
      <c r="CO805" s="1241"/>
      <c r="CP805" s="1241"/>
      <c r="CQ805" s="1241"/>
      <c r="CR805" s="1241"/>
      <c r="CS805" s="1241"/>
      <c r="CT805" s="1241"/>
      <c r="CU805" s="1241"/>
      <c r="CV805" s="1241"/>
      <c r="CW805" s="1241"/>
      <c r="CX805" s="1241"/>
      <c r="CY805" s="1241"/>
      <c r="CZ805" s="1241"/>
      <c r="DA805" s="1241"/>
      <c r="DB805" s="1241"/>
      <c r="DC805" s="1241"/>
      <c r="DD805" s="1241"/>
      <c r="DE805" s="1241"/>
      <c r="DF805" s="1241"/>
      <c r="DG805" s="1241"/>
      <c r="DH805" s="1241"/>
      <c r="DI805" s="1241"/>
      <c r="DJ805" s="1241"/>
      <c r="DK805" s="1241"/>
      <c r="DL805" s="1241"/>
      <c r="DM805" s="1241"/>
    </row>
    <row r="806" spans="1:117" s="1302" customFormat="1">
      <c r="A806" s="1241"/>
      <c r="B806" s="1508"/>
      <c r="C806" s="1241" t="s">
        <v>524</v>
      </c>
      <c r="D806" s="1241"/>
      <c r="E806" s="1509" t="s">
        <v>3923</v>
      </c>
      <c r="F806" s="1470"/>
      <c r="G806" s="1471"/>
      <c r="H806" s="1471">
        <v>7.7165612580997106E-2</v>
      </c>
      <c r="I806" s="1471">
        <v>0.13961157723687379</v>
      </c>
      <c r="J806" s="1471">
        <v>0.33905720134424966</v>
      </c>
      <c r="K806" s="1471">
        <v>0.67843788625109736</v>
      </c>
      <c r="L806" s="1471">
        <v>1.2312721663620971</v>
      </c>
      <c r="M806" s="1471">
        <v>2.1057832256861659</v>
      </c>
      <c r="N806" s="1471">
        <v>3.4602931976956053</v>
      </c>
      <c r="O806" s="1471">
        <v>0.52183354164654872</v>
      </c>
      <c r="P806" s="1241"/>
      <c r="Q806" s="1241"/>
      <c r="R806" s="1241"/>
      <c r="S806" s="1241"/>
      <c r="T806" s="1241"/>
      <c r="U806" s="1241"/>
      <c r="V806" s="1241"/>
      <c r="W806" s="1241"/>
      <c r="X806" s="1241"/>
      <c r="Y806" s="1241"/>
      <c r="Z806" s="1241"/>
      <c r="AA806" s="1241"/>
      <c r="AB806" s="1241"/>
      <c r="AC806" s="1241"/>
      <c r="AD806" s="1241"/>
      <c r="AE806" s="1241"/>
      <c r="AF806" s="1241"/>
      <c r="AG806" s="1241"/>
      <c r="AH806" s="1241"/>
      <c r="AI806" s="1241"/>
      <c r="AJ806" s="1241"/>
      <c r="AK806" s="1241"/>
      <c r="AL806" s="1241"/>
      <c r="AM806" s="1241"/>
      <c r="AN806" s="1241"/>
      <c r="AO806" s="1241"/>
      <c r="AP806" s="1241"/>
      <c r="AQ806" s="1241"/>
      <c r="AR806" s="1241"/>
      <c r="AS806" s="1241"/>
      <c r="AT806" s="1241"/>
      <c r="AU806" s="1241"/>
      <c r="AV806" s="1241"/>
      <c r="AW806" s="1241"/>
      <c r="AX806" s="1241"/>
      <c r="AY806" s="1241"/>
      <c r="AZ806" s="1241"/>
      <c r="BA806" s="1241"/>
      <c r="BB806" s="1241"/>
      <c r="BC806" s="1241"/>
      <c r="BD806" s="1241"/>
      <c r="BE806" s="1241"/>
      <c r="BF806" s="1241"/>
      <c r="BG806" s="1241"/>
      <c r="BH806" s="1241"/>
      <c r="BI806" s="1241"/>
      <c r="BJ806" s="1241"/>
      <c r="BK806" s="1241"/>
      <c r="BL806" s="1241"/>
      <c r="BM806" s="1241"/>
      <c r="BN806" s="1241"/>
      <c r="BO806" s="1241"/>
      <c r="BP806" s="1241"/>
      <c r="BQ806" s="1241"/>
      <c r="BR806" s="1241"/>
      <c r="BS806" s="1241"/>
      <c r="BT806" s="1241"/>
      <c r="BU806" s="1241"/>
      <c r="BV806" s="1241"/>
      <c r="BW806" s="1241"/>
      <c r="BX806" s="1241"/>
      <c r="BY806" s="1241"/>
      <c r="BZ806" s="1241"/>
      <c r="CA806" s="1241"/>
      <c r="CB806" s="1241"/>
      <c r="CC806" s="1241"/>
      <c r="CD806" s="1241"/>
      <c r="CE806" s="1241"/>
      <c r="CF806" s="1241"/>
      <c r="CG806" s="1241"/>
      <c r="CH806" s="1241"/>
      <c r="CI806" s="1241"/>
      <c r="CJ806" s="1241"/>
      <c r="CK806" s="1241"/>
      <c r="CL806" s="1241"/>
      <c r="CM806" s="1241"/>
      <c r="CN806" s="1241"/>
      <c r="CO806" s="1241"/>
      <c r="CP806" s="1241"/>
      <c r="CQ806" s="1241"/>
      <c r="CR806" s="1241"/>
      <c r="CS806" s="1241"/>
      <c r="CT806" s="1241"/>
      <c r="CU806" s="1241"/>
      <c r="CV806" s="1241"/>
      <c r="CW806" s="1241"/>
      <c r="CX806" s="1241"/>
      <c r="CY806" s="1241"/>
      <c r="CZ806" s="1241"/>
      <c r="DA806" s="1241"/>
      <c r="DB806" s="1241"/>
      <c r="DC806" s="1241"/>
      <c r="DD806" s="1241"/>
      <c r="DE806" s="1241"/>
      <c r="DF806" s="1241"/>
      <c r="DG806" s="1241"/>
      <c r="DH806" s="1241"/>
      <c r="DI806" s="1241"/>
      <c r="DJ806" s="1241"/>
      <c r="DK806" s="1241"/>
      <c r="DL806" s="1241"/>
      <c r="DM806" s="1241"/>
    </row>
    <row r="807" spans="1:117" s="1302" customFormat="1">
      <c r="A807" s="1241"/>
      <c r="B807" s="1508"/>
      <c r="C807" s="1241" t="s">
        <v>3867</v>
      </c>
      <c r="D807" s="1241"/>
      <c r="E807" s="1509" t="s">
        <v>3925</v>
      </c>
      <c r="F807" s="1470"/>
      <c r="G807" s="1471"/>
      <c r="H807" s="1471">
        <v>0</v>
      </c>
      <c r="I807" s="1471">
        <v>0</v>
      </c>
      <c r="J807" s="1471">
        <v>0</v>
      </c>
      <c r="K807" s="1471">
        <v>0</v>
      </c>
      <c r="L807" s="1471">
        <v>0</v>
      </c>
      <c r="M807" s="1471">
        <v>0</v>
      </c>
      <c r="N807" s="1471">
        <v>0</v>
      </c>
      <c r="O807" s="1471">
        <v>0</v>
      </c>
      <c r="P807" s="1241"/>
      <c r="Q807" s="1241"/>
      <c r="R807" s="1241"/>
      <c r="S807" s="1241"/>
      <c r="T807" s="1241"/>
      <c r="U807" s="1241"/>
      <c r="V807" s="1241"/>
      <c r="W807" s="1241"/>
      <c r="X807" s="1241"/>
      <c r="Y807" s="1241"/>
      <c r="Z807" s="1241"/>
      <c r="AA807" s="1241"/>
      <c r="AB807" s="1241"/>
      <c r="AC807" s="1241"/>
      <c r="AD807" s="1241"/>
      <c r="AE807" s="1241"/>
      <c r="AF807" s="1241"/>
      <c r="AG807" s="1241"/>
      <c r="AH807" s="1241"/>
      <c r="AI807" s="1241"/>
      <c r="AJ807" s="1241"/>
      <c r="AK807" s="1241"/>
      <c r="AL807" s="1241"/>
      <c r="AM807" s="1241"/>
      <c r="AN807" s="1241"/>
      <c r="AO807" s="1241"/>
      <c r="AP807" s="1241"/>
      <c r="AQ807" s="1241"/>
      <c r="AR807" s="1241"/>
      <c r="AS807" s="1241"/>
      <c r="AT807" s="1241"/>
      <c r="AU807" s="1241"/>
      <c r="AV807" s="1241"/>
      <c r="AW807" s="1241"/>
      <c r="AX807" s="1241"/>
      <c r="AY807" s="1241"/>
      <c r="AZ807" s="1241"/>
      <c r="BA807" s="1241"/>
      <c r="BB807" s="1241"/>
      <c r="BC807" s="1241"/>
      <c r="BD807" s="1241"/>
      <c r="BE807" s="1241"/>
      <c r="BF807" s="1241"/>
      <c r="BG807" s="1241"/>
      <c r="BH807" s="1241"/>
      <c r="BI807" s="1241"/>
      <c r="BJ807" s="1241"/>
      <c r="BK807" s="1241"/>
      <c r="BL807" s="1241"/>
      <c r="BM807" s="1241"/>
      <c r="BN807" s="1241"/>
      <c r="BO807" s="1241"/>
      <c r="BP807" s="1241"/>
      <c r="BQ807" s="1241"/>
      <c r="BR807" s="1241"/>
      <c r="BS807" s="1241"/>
      <c r="BT807" s="1241"/>
      <c r="BU807" s="1241"/>
      <c r="BV807" s="1241"/>
      <c r="BW807" s="1241"/>
      <c r="BX807" s="1241"/>
      <c r="BY807" s="1241"/>
      <c r="BZ807" s="1241"/>
      <c r="CA807" s="1241"/>
      <c r="CB807" s="1241"/>
      <c r="CC807" s="1241"/>
      <c r="CD807" s="1241"/>
      <c r="CE807" s="1241"/>
      <c r="CF807" s="1241"/>
      <c r="CG807" s="1241"/>
      <c r="CH807" s="1241"/>
      <c r="CI807" s="1241"/>
      <c r="CJ807" s="1241"/>
      <c r="CK807" s="1241"/>
      <c r="CL807" s="1241"/>
      <c r="CM807" s="1241"/>
      <c r="CN807" s="1241"/>
      <c r="CO807" s="1241"/>
      <c r="CP807" s="1241"/>
      <c r="CQ807" s="1241"/>
      <c r="CR807" s="1241"/>
      <c r="CS807" s="1241"/>
      <c r="CT807" s="1241"/>
      <c r="CU807" s="1241"/>
      <c r="CV807" s="1241"/>
      <c r="CW807" s="1241"/>
      <c r="CX807" s="1241"/>
      <c r="CY807" s="1241"/>
      <c r="CZ807" s="1241"/>
      <c r="DA807" s="1241"/>
      <c r="DB807" s="1241"/>
      <c r="DC807" s="1241"/>
      <c r="DD807" s="1241"/>
      <c r="DE807" s="1241"/>
      <c r="DF807" s="1241"/>
      <c r="DG807" s="1241"/>
      <c r="DH807" s="1241"/>
      <c r="DI807" s="1241"/>
      <c r="DJ807" s="1241"/>
      <c r="DK807" s="1241"/>
      <c r="DL807" s="1241"/>
      <c r="DM807" s="1241"/>
    </row>
    <row r="808" spans="1:117" s="1302" customFormat="1">
      <c r="A808" s="1241"/>
      <c r="B808" s="1508"/>
      <c r="C808" s="1241" t="s">
        <v>4284</v>
      </c>
      <c r="D808" s="1241"/>
      <c r="E808" s="1509" t="s">
        <v>3925</v>
      </c>
      <c r="F808" s="1470"/>
      <c r="G808" s="1471"/>
      <c r="H808" s="1471">
        <v>0</v>
      </c>
      <c r="I808" s="1471">
        <v>0</v>
      </c>
      <c r="J808" s="1471">
        <v>0</v>
      </c>
      <c r="K808" s="1471">
        <v>0</v>
      </c>
      <c r="L808" s="1471">
        <v>0</v>
      </c>
      <c r="M808" s="1471">
        <v>0</v>
      </c>
      <c r="N808" s="1471">
        <v>0</v>
      </c>
      <c r="O808" s="1471">
        <v>0</v>
      </c>
      <c r="P808" s="1241"/>
      <c r="Q808" s="1241"/>
      <c r="R808" s="1241"/>
      <c r="S808" s="1241"/>
      <c r="T808" s="1241"/>
      <c r="U808" s="1241"/>
      <c r="V808" s="1241"/>
      <c r="W808" s="1241"/>
      <c r="X808" s="1241"/>
      <c r="Y808" s="1241"/>
      <c r="Z808" s="1241"/>
      <c r="AA808" s="1241"/>
      <c r="AB808" s="1241"/>
      <c r="AC808" s="1241"/>
      <c r="AD808" s="1241"/>
      <c r="AE808" s="1241"/>
      <c r="AF808" s="1241"/>
      <c r="AG808" s="1241"/>
      <c r="AH808" s="1241"/>
      <c r="AI808" s="1241"/>
      <c r="AJ808" s="1241"/>
      <c r="AK808" s="1241"/>
      <c r="AL808" s="1241"/>
      <c r="AM808" s="1241"/>
      <c r="AN808" s="1241"/>
      <c r="AO808" s="1241"/>
      <c r="AP808" s="1241"/>
      <c r="AQ808" s="1241"/>
      <c r="AR808" s="1241"/>
      <c r="AS808" s="1241"/>
      <c r="AT808" s="1241"/>
      <c r="AU808" s="1241"/>
      <c r="AV808" s="1241"/>
      <c r="AW808" s="1241"/>
      <c r="AX808" s="1241"/>
      <c r="AY808" s="1241"/>
      <c r="AZ808" s="1241"/>
      <c r="BA808" s="1241"/>
      <c r="BB808" s="1241"/>
      <c r="BC808" s="1241"/>
      <c r="BD808" s="1241"/>
      <c r="BE808" s="1241"/>
      <c r="BF808" s="1241"/>
      <c r="BG808" s="1241"/>
      <c r="BH808" s="1241"/>
      <c r="BI808" s="1241"/>
      <c r="BJ808" s="1241"/>
      <c r="BK808" s="1241"/>
      <c r="BL808" s="1241"/>
      <c r="BM808" s="1241"/>
      <c r="BN808" s="1241"/>
      <c r="BO808" s="1241"/>
      <c r="BP808" s="1241"/>
      <c r="BQ808" s="1241"/>
      <c r="BR808" s="1241"/>
      <c r="BS808" s="1241"/>
      <c r="BT808" s="1241"/>
      <c r="BU808" s="1241"/>
      <c r="BV808" s="1241"/>
      <c r="BW808" s="1241"/>
      <c r="BX808" s="1241"/>
      <c r="BY808" s="1241"/>
      <c r="BZ808" s="1241"/>
      <c r="CA808" s="1241"/>
      <c r="CB808" s="1241"/>
      <c r="CC808" s="1241"/>
      <c r="CD808" s="1241"/>
      <c r="CE808" s="1241"/>
      <c r="CF808" s="1241"/>
      <c r="CG808" s="1241"/>
      <c r="CH808" s="1241"/>
      <c r="CI808" s="1241"/>
      <c r="CJ808" s="1241"/>
      <c r="CK808" s="1241"/>
      <c r="CL808" s="1241"/>
      <c r="CM808" s="1241"/>
      <c r="CN808" s="1241"/>
      <c r="CO808" s="1241"/>
      <c r="CP808" s="1241"/>
      <c r="CQ808" s="1241"/>
      <c r="CR808" s="1241"/>
      <c r="CS808" s="1241"/>
      <c r="CT808" s="1241"/>
      <c r="CU808" s="1241"/>
      <c r="CV808" s="1241"/>
      <c r="CW808" s="1241"/>
      <c r="CX808" s="1241"/>
      <c r="CY808" s="1241"/>
      <c r="CZ808" s="1241"/>
      <c r="DA808" s="1241"/>
      <c r="DB808" s="1241"/>
      <c r="DC808" s="1241"/>
      <c r="DD808" s="1241"/>
      <c r="DE808" s="1241"/>
      <c r="DF808" s="1241"/>
      <c r="DG808" s="1241"/>
      <c r="DH808" s="1241"/>
      <c r="DI808" s="1241"/>
      <c r="DJ808" s="1241"/>
      <c r="DK808" s="1241"/>
      <c r="DL808" s="1241"/>
      <c r="DM808" s="1241"/>
    </row>
    <row r="809" spans="1:117" s="1302" customFormat="1">
      <c r="A809" s="1241"/>
      <c r="B809" s="1508"/>
      <c r="C809" s="1241"/>
      <c r="D809" s="1241"/>
      <c r="E809" s="1509"/>
      <c r="F809" s="1470"/>
      <c r="G809" s="1471"/>
      <c r="H809" s="1471"/>
      <c r="I809" s="1471"/>
      <c r="J809" s="1471"/>
      <c r="K809" s="1471"/>
      <c r="L809" s="1471"/>
      <c r="M809" s="1471"/>
      <c r="N809" s="1471"/>
      <c r="O809" s="1549"/>
      <c r="P809" s="1241"/>
      <c r="Q809" s="1241"/>
      <c r="R809" s="1241"/>
      <c r="S809" s="1241"/>
      <c r="T809" s="1241"/>
      <c r="U809" s="1241"/>
      <c r="V809" s="1241"/>
      <c r="W809" s="1241"/>
      <c r="X809" s="1241"/>
      <c r="Y809" s="1241"/>
      <c r="Z809" s="1241"/>
      <c r="AA809" s="1241"/>
      <c r="AB809" s="1241"/>
      <c r="AC809" s="1241"/>
      <c r="AD809" s="1241"/>
      <c r="AE809" s="1241"/>
      <c r="AF809" s="1241"/>
      <c r="AG809" s="1241"/>
      <c r="AH809" s="1241"/>
      <c r="AI809" s="1241"/>
      <c r="AJ809" s="1241"/>
      <c r="AK809" s="1241"/>
      <c r="AL809" s="1241"/>
      <c r="AM809" s="1241"/>
      <c r="AN809" s="1241"/>
      <c r="AO809" s="1241"/>
      <c r="AP809" s="1241"/>
      <c r="AQ809" s="1241"/>
      <c r="AR809" s="1241"/>
      <c r="AS809" s="1241"/>
      <c r="AT809" s="1241"/>
      <c r="AU809" s="1241"/>
      <c r="AV809" s="1241"/>
      <c r="AW809" s="1241"/>
      <c r="AX809" s="1241"/>
      <c r="AY809" s="1241"/>
      <c r="AZ809" s="1241"/>
      <c r="BA809" s="1241"/>
      <c r="BB809" s="1241"/>
      <c r="BC809" s="1241"/>
      <c r="BD809" s="1241"/>
      <c r="BE809" s="1241"/>
      <c r="BF809" s="1241"/>
      <c r="BG809" s="1241"/>
      <c r="BH809" s="1241"/>
      <c r="BI809" s="1241"/>
      <c r="BJ809" s="1241"/>
      <c r="BK809" s="1241"/>
      <c r="BL809" s="1241"/>
      <c r="BM809" s="1241"/>
      <c r="BN809" s="1241"/>
      <c r="BO809" s="1241"/>
      <c r="BP809" s="1241"/>
      <c r="BQ809" s="1241"/>
      <c r="BR809" s="1241"/>
      <c r="BS809" s="1241"/>
      <c r="BT809" s="1241"/>
      <c r="BU809" s="1241"/>
      <c r="BV809" s="1241"/>
      <c r="BW809" s="1241"/>
      <c r="BX809" s="1241"/>
      <c r="BY809" s="1241"/>
      <c r="BZ809" s="1241"/>
      <c r="CA809" s="1241"/>
      <c r="CB809" s="1241"/>
      <c r="CC809" s="1241"/>
      <c r="CD809" s="1241"/>
      <c r="CE809" s="1241"/>
      <c r="CF809" s="1241"/>
      <c r="CG809" s="1241"/>
      <c r="CH809" s="1241"/>
      <c r="CI809" s="1241"/>
      <c r="CJ809" s="1241"/>
      <c r="CK809" s="1241"/>
      <c r="CL809" s="1241"/>
      <c r="CM809" s="1241"/>
      <c r="CN809" s="1241"/>
      <c r="CO809" s="1241"/>
      <c r="CP809" s="1241"/>
      <c r="CQ809" s="1241"/>
      <c r="CR809" s="1241"/>
      <c r="CS809" s="1241"/>
      <c r="CT809" s="1241"/>
      <c r="CU809" s="1241"/>
      <c r="CV809" s="1241"/>
      <c r="CW809" s="1241"/>
      <c r="CX809" s="1241"/>
      <c r="CY809" s="1241"/>
      <c r="CZ809" s="1241"/>
      <c r="DA809" s="1241"/>
      <c r="DB809" s="1241"/>
      <c r="DC809" s="1241"/>
      <c r="DD809" s="1241"/>
      <c r="DE809" s="1241"/>
      <c r="DF809" s="1241"/>
      <c r="DG809" s="1241"/>
      <c r="DH809" s="1241"/>
      <c r="DI809" s="1241"/>
      <c r="DJ809" s="1241"/>
      <c r="DK809" s="1241"/>
      <c r="DL809" s="1241"/>
      <c r="DM809" s="1241"/>
    </row>
    <row r="810" spans="1:117" s="1302" customFormat="1" ht="16">
      <c r="A810" s="1459" t="s">
        <v>4106</v>
      </c>
      <c r="B810" s="1508"/>
      <c r="C810" s="1241" t="s">
        <v>122</v>
      </c>
      <c r="D810" s="1243"/>
      <c r="E810" s="1242" t="s">
        <v>4680</v>
      </c>
      <c r="F810" s="1470"/>
      <c r="G810" s="1471"/>
      <c r="H810" s="1471">
        <v>56.741634067741913</v>
      </c>
      <c r="I810" s="1471">
        <v>74.338168255270389</v>
      </c>
      <c r="J810" s="1471">
        <v>105.65364991307442</v>
      </c>
      <c r="K810" s="1471">
        <v>147.68483231601189</v>
      </c>
      <c r="L810" s="1471">
        <v>204.00781248643281</v>
      </c>
      <c r="M810" s="1471">
        <v>279.37408417265027</v>
      </c>
      <c r="N810" s="1471">
        <v>380.08606387569256</v>
      </c>
      <c r="O810" s="1471">
        <v>129.38094745667578</v>
      </c>
      <c r="P810" s="1241"/>
      <c r="Q810" s="1241"/>
      <c r="R810" s="1241"/>
      <c r="S810" s="1241"/>
      <c r="T810" s="1241"/>
      <c r="U810" s="1241"/>
      <c r="V810" s="1241"/>
      <c r="W810" s="1241"/>
      <c r="X810" s="1241"/>
      <c r="Y810" s="1241"/>
      <c r="Z810" s="1241"/>
      <c r="AA810" s="1241"/>
      <c r="AB810" s="1241"/>
      <c r="AC810" s="1241"/>
      <c r="AD810" s="1241"/>
      <c r="AE810" s="1241"/>
      <c r="AF810" s="1241"/>
      <c r="AG810" s="1241"/>
      <c r="AH810" s="1241"/>
      <c r="AI810" s="1241"/>
      <c r="AJ810" s="1241"/>
      <c r="AK810" s="1241"/>
      <c r="AL810" s="1241"/>
      <c r="AM810" s="1241"/>
      <c r="AN810" s="1241"/>
      <c r="AO810" s="1241"/>
      <c r="AP810" s="1241"/>
      <c r="AQ810" s="1241"/>
      <c r="AR810" s="1241"/>
      <c r="AS810" s="1241"/>
      <c r="AT810" s="1241"/>
      <c r="AU810" s="1241"/>
      <c r="AV810" s="1241"/>
      <c r="AW810" s="1241"/>
      <c r="AX810" s="1241"/>
      <c r="AY810" s="1241"/>
      <c r="AZ810" s="1241"/>
      <c r="BA810" s="1241"/>
      <c r="BB810" s="1241"/>
      <c r="BC810" s="1241"/>
      <c r="BD810" s="1241"/>
      <c r="BE810" s="1241"/>
      <c r="BF810" s="1241"/>
      <c r="BG810" s="1241"/>
      <c r="BH810" s="1241"/>
      <c r="BI810" s="1241"/>
      <c r="BJ810" s="1241"/>
      <c r="BK810" s="1241"/>
      <c r="BL810" s="1241"/>
      <c r="BM810" s="1241"/>
      <c r="BN810" s="1241"/>
      <c r="BO810" s="1241"/>
      <c r="BP810" s="1241"/>
      <c r="BQ810" s="1241"/>
      <c r="BR810" s="1241"/>
      <c r="BS810" s="1241"/>
      <c r="BT810" s="1241"/>
      <c r="BU810" s="1241"/>
      <c r="BV810" s="1241"/>
      <c r="BW810" s="1241"/>
      <c r="BX810" s="1241"/>
      <c r="BY810" s="1241"/>
      <c r="BZ810" s="1241"/>
      <c r="CA810" s="1241"/>
      <c r="CB810" s="1241"/>
      <c r="CC810" s="1241"/>
      <c r="CD810" s="1241"/>
      <c r="CE810" s="1241"/>
      <c r="CF810" s="1241"/>
      <c r="CG810" s="1241"/>
      <c r="CH810" s="1241"/>
      <c r="CI810" s="1241"/>
      <c r="CJ810" s="1241"/>
      <c r="CK810" s="1241"/>
      <c r="CL810" s="1241"/>
      <c r="CM810" s="1241"/>
      <c r="CN810" s="1241"/>
      <c r="CO810" s="1241"/>
      <c r="CP810" s="1241"/>
      <c r="CQ810" s="1241"/>
      <c r="CR810" s="1241"/>
      <c r="CS810" s="1241"/>
      <c r="CT810" s="1241"/>
      <c r="CU810" s="1241"/>
      <c r="CV810" s="1241"/>
      <c r="CW810" s="1241"/>
      <c r="CX810" s="1241"/>
      <c r="CY810" s="1241"/>
      <c r="CZ810" s="1241"/>
      <c r="DA810" s="1241"/>
      <c r="DB810" s="1241"/>
      <c r="DC810" s="1241"/>
      <c r="DD810" s="1241"/>
      <c r="DE810" s="1241"/>
      <c r="DF810" s="1241"/>
      <c r="DG810" s="1241"/>
      <c r="DH810" s="1241"/>
      <c r="DI810" s="1241"/>
      <c r="DJ810" s="1241"/>
      <c r="DK810" s="1241"/>
      <c r="DL810" s="1241"/>
      <c r="DM810" s="1241"/>
    </row>
    <row r="811" spans="1:117" s="1302" customFormat="1" ht="16">
      <c r="A811" s="1459"/>
      <c r="B811" s="1459"/>
      <c r="C811" s="1241" t="s">
        <v>4297</v>
      </c>
      <c r="D811" s="1243"/>
      <c r="E811" s="1242" t="s">
        <v>4680</v>
      </c>
      <c r="F811" s="1470"/>
      <c r="G811" s="1471"/>
      <c r="H811" s="1471">
        <v>5.5898142874304E-3</v>
      </c>
      <c r="I811" s="1471">
        <v>7.5245435474926179E-3</v>
      </c>
      <c r="J811" s="1471">
        <v>1.1429082687438421E-2</v>
      </c>
      <c r="K811" s="1471">
        <v>1.7044247363967029E-2</v>
      </c>
      <c r="L811" s="1471">
        <v>2.508103673798592E-2</v>
      </c>
      <c r="M811" s="1471">
        <v>3.6539213386869239E-2</v>
      </c>
      <c r="N811" s="1471">
        <v>5.2822060580703135E-2</v>
      </c>
      <c r="O811" s="1471">
        <v>1.4552907808756663E-2</v>
      </c>
      <c r="P811" s="1241"/>
      <c r="Q811" s="1241"/>
      <c r="R811" s="1241"/>
      <c r="S811" s="1241"/>
      <c r="T811" s="1241"/>
      <c r="U811" s="1241"/>
      <c r="V811" s="1241"/>
      <c r="W811" s="1241"/>
      <c r="X811" s="1241"/>
      <c r="Y811" s="1241"/>
      <c r="Z811" s="1241"/>
      <c r="AA811" s="1241"/>
      <c r="AB811" s="1241"/>
      <c r="AC811" s="1241"/>
      <c r="AD811" s="1241"/>
      <c r="AE811" s="1241"/>
      <c r="AF811" s="1241"/>
      <c r="AG811" s="1241"/>
      <c r="AH811" s="1241"/>
      <c r="AI811" s="1241"/>
      <c r="AJ811" s="1241"/>
      <c r="AK811" s="1241"/>
      <c r="AL811" s="1241"/>
      <c r="AM811" s="1241"/>
      <c r="AN811" s="1241"/>
      <c r="AO811" s="1241"/>
      <c r="AP811" s="1241"/>
      <c r="AQ811" s="1241"/>
      <c r="AR811" s="1241"/>
      <c r="AS811" s="1241"/>
      <c r="AT811" s="1241"/>
      <c r="AU811" s="1241"/>
      <c r="AV811" s="1241"/>
      <c r="AW811" s="1241"/>
      <c r="AX811" s="1241"/>
      <c r="AY811" s="1241"/>
      <c r="AZ811" s="1241"/>
      <c r="BA811" s="1241"/>
      <c r="BB811" s="1241"/>
      <c r="BC811" s="1241"/>
      <c r="BD811" s="1241"/>
      <c r="BE811" s="1241"/>
      <c r="BF811" s="1241"/>
      <c r="BG811" s="1241"/>
      <c r="BH811" s="1241"/>
      <c r="BI811" s="1241"/>
      <c r="BJ811" s="1241"/>
      <c r="BK811" s="1241"/>
      <c r="BL811" s="1241"/>
      <c r="BM811" s="1241"/>
      <c r="BN811" s="1241"/>
      <c r="BO811" s="1241"/>
      <c r="BP811" s="1241"/>
      <c r="BQ811" s="1241"/>
      <c r="BR811" s="1241"/>
      <c r="BS811" s="1241"/>
      <c r="BT811" s="1241"/>
      <c r="BU811" s="1241"/>
      <c r="BV811" s="1241"/>
      <c r="BW811" s="1241"/>
      <c r="BX811" s="1241"/>
      <c r="BY811" s="1241"/>
      <c r="BZ811" s="1241"/>
      <c r="CA811" s="1241"/>
      <c r="CB811" s="1241"/>
      <c r="CC811" s="1241"/>
      <c r="CD811" s="1241"/>
      <c r="CE811" s="1241"/>
      <c r="CF811" s="1241"/>
      <c r="CG811" s="1241"/>
      <c r="CH811" s="1241"/>
      <c r="CI811" s="1241"/>
      <c r="CJ811" s="1241"/>
      <c r="CK811" s="1241"/>
      <c r="CL811" s="1241"/>
      <c r="CM811" s="1241"/>
      <c r="CN811" s="1241"/>
      <c r="CO811" s="1241"/>
      <c r="CP811" s="1241"/>
      <c r="CQ811" s="1241"/>
      <c r="CR811" s="1241"/>
      <c r="CS811" s="1241"/>
      <c r="CT811" s="1241"/>
      <c r="CU811" s="1241"/>
      <c r="CV811" s="1241"/>
      <c r="CW811" s="1241"/>
      <c r="CX811" s="1241"/>
      <c r="CY811" s="1241"/>
      <c r="CZ811" s="1241"/>
      <c r="DA811" s="1241"/>
      <c r="DB811" s="1241"/>
      <c r="DC811" s="1241"/>
      <c r="DD811" s="1241"/>
      <c r="DE811" s="1241"/>
      <c r="DF811" s="1241"/>
      <c r="DG811" s="1241"/>
      <c r="DH811" s="1241"/>
      <c r="DI811" s="1241"/>
      <c r="DJ811" s="1241"/>
      <c r="DK811" s="1241"/>
      <c r="DL811" s="1241"/>
      <c r="DM811" s="1241"/>
    </row>
    <row r="812" spans="1:117" s="1302" customFormat="1" ht="16">
      <c r="A812" s="1241"/>
      <c r="B812" s="1508"/>
      <c r="C812" s="1241" t="s">
        <v>4298</v>
      </c>
      <c r="D812" s="1243"/>
      <c r="E812" s="1242" t="s">
        <v>4680</v>
      </c>
      <c r="F812" s="1470"/>
      <c r="G812" s="1471"/>
      <c r="H812" s="1471">
        <v>0.33551232149935589</v>
      </c>
      <c r="I812" s="1471">
        <v>0.43916193539783732</v>
      </c>
      <c r="J812" s="1471">
        <v>0.6227073501564796</v>
      </c>
      <c r="K812" s="1471">
        <v>0.86831780934777292</v>
      </c>
      <c r="L812" s="1471">
        <v>1.1964285634237257</v>
      </c>
      <c r="M812" s="1471">
        <v>1.6340825227044748</v>
      </c>
      <c r="N812" s="1471">
        <v>2.2169967845378937</v>
      </c>
      <c r="O812" s="1471">
        <v>0.76144964084523259</v>
      </c>
      <c r="P812" s="1241"/>
      <c r="Q812" s="1241"/>
      <c r="R812" s="1241"/>
      <c r="S812" s="1241"/>
      <c r="T812" s="1241"/>
      <c r="U812" s="1241"/>
      <c r="V812" s="1241"/>
      <c r="W812" s="1241"/>
      <c r="X812" s="1241"/>
      <c r="Y812" s="1241"/>
      <c r="Z812" s="1241"/>
      <c r="AA812" s="1241"/>
      <c r="AB812" s="1241"/>
      <c r="AC812" s="1241"/>
      <c r="AD812" s="1241"/>
      <c r="AE812" s="1241"/>
      <c r="AF812" s="1241"/>
      <c r="AG812" s="1241"/>
      <c r="AH812" s="1241"/>
      <c r="AI812" s="1241"/>
      <c r="AJ812" s="1241"/>
      <c r="AK812" s="1241"/>
      <c r="AL812" s="1241"/>
      <c r="AM812" s="1241"/>
      <c r="AN812" s="1241"/>
      <c r="AO812" s="1241"/>
      <c r="AP812" s="1241"/>
      <c r="AQ812" s="1241"/>
      <c r="AR812" s="1241"/>
      <c r="AS812" s="1241"/>
      <c r="AT812" s="1241"/>
      <c r="AU812" s="1241"/>
      <c r="AV812" s="1241"/>
      <c r="AW812" s="1241"/>
      <c r="AX812" s="1241"/>
      <c r="AY812" s="1241"/>
      <c r="AZ812" s="1241"/>
      <c r="BA812" s="1241"/>
      <c r="BB812" s="1241"/>
      <c r="BC812" s="1241"/>
      <c r="BD812" s="1241"/>
      <c r="BE812" s="1241"/>
      <c r="BF812" s="1241"/>
      <c r="BG812" s="1241"/>
      <c r="BH812" s="1241"/>
      <c r="BI812" s="1241"/>
      <c r="BJ812" s="1241"/>
      <c r="BK812" s="1241"/>
      <c r="BL812" s="1241"/>
      <c r="BM812" s="1241"/>
      <c r="BN812" s="1241"/>
      <c r="BO812" s="1241"/>
      <c r="BP812" s="1241"/>
      <c r="BQ812" s="1241"/>
      <c r="BR812" s="1241"/>
      <c r="BS812" s="1241"/>
      <c r="BT812" s="1241"/>
      <c r="BU812" s="1241"/>
      <c r="BV812" s="1241"/>
      <c r="BW812" s="1241"/>
      <c r="BX812" s="1241"/>
      <c r="BY812" s="1241"/>
      <c r="BZ812" s="1241"/>
      <c r="CA812" s="1241"/>
      <c r="CB812" s="1241"/>
      <c r="CC812" s="1241"/>
      <c r="CD812" s="1241"/>
      <c r="CE812" s="1241"/>
      <c r="CF812" s="1241"/>
      <c r="CG812" s="1241"/>
      <c r="CH812" s="1241"/>
      <c r="CI812" s="1241"/>
      <c r="CJ812" s="1241"/>
      <c r="CK812" s="1241"/>
      <c r="CL812" s="1241"/>
      <c r="CM812" s="1241"/>
      <c r="CN812" s="1241"/>
      <c r="CO812" s="1241"/>
      <c r="CP812" s="1241"/>
      <c r="CQ812" s="1241"/>
      <c r="CR812" s="1241"/>
      <c r="CS812" s="1241"/>
      <c r="CT812" s="1241"/>
      <c r="CU812" s="1241"/>
      <c r="CV812" s="1241"/>
      <c r="CW812" s="1241"/>
      <c r="CX812" s="1241"/>
      <c r="CY812" s="1241"/>
      <c r="CZ812" s="1241"/>
      <c r="DA812" s="1241"/>
      <c r="DB812" s="1241"/>
      <c r="DC812" s="1241"/>
      <c r="DD812" s="1241"/>
      <c r="DE812" s="1241"/>
      <c r="DF812" s="1241"/>
      <c r="DG812" s="1241"/>
      <c r="DH812" s="1241"/>
      <c r="DI812" s="1241"/>
      <c r="DJ812" s="1241"/>
      <c r="DK812" s="1241"/>
      <c r="DL812" s="1241"/>
      <c r="DM812" s="1241"/>
    </row>
    <row r="813" spans="1:117" s="1302" customFormat="1">
      <c r="A813" s="1241"/>
      <c r="B813" s="1508"/>
      <c r="C813" s="1241"/>
      <c r="D813" s="1241"/>
      <c r="E813" s="1508"/>
      <c r="F813" s="1542"/>
      <c r="G813" s="1471"/>
      <c r="H813" s="1471"/>
      <c r="I813" s="1471"/>
      <c r="J813" s="1471"/>
      <c r="K813" s="1471"/>
      <c r="L813" s="1471"/>
      <c r="M813" s="1471"/>
      <c r="N813" s="1471"/>
      <c r="O813" s="1527"/>
      <c r="P813" s="1241"/>
      <c r="Q813" s="1241"/>
      <c r="R813" s="1241"/>
      <c r="S813" s="1241"/>
      <c r="T813" s="1241"/>
      <c r="U813" s="1241"/>
      <c r="V813" s="1241"/>
      <c r="W813" s="1241"/>
      <c r="X813" s="1241"/>
      <c r="Y813" s="1241"/>
      <c r="Z813" s="1241"/>
      <c r="AA813" s="1241"/>
      <c r="AB813" s="1241"/>
      <c r="AC813" s="1241"/>
      <c r="AD813" s="1241"/>
      <c r="AE813" s="1241"/>
      <c r="AF813" s="1241"/>
      <c r="AG813" s="1241"/>
      <c r="AH813" s="1241"/>
      <c r="AI813" s="1241"/>
      <c r="AJ813" s="1241"/>
      <c r="AK813" s="1241"/>
      <c r="AL813" s="1241"/>
      <c r="AM813" s="1241"/>
      <c r="AN813" s="1241"/>
      <c r="AO813" s="1241"/>
      <c r="AP813" s="1241"/>
      <c r="AQ813" s="1241"/>
      <c r="AR813" s="1241"/>
      <c r="AS813" s="1241"/>
      <c r="AT813" s="1241"/>
      <c r="AU813" s="1241"/>
      <c r="AV813" s="1241"/>
      <c r="AW813" s="1241"/>
      <c r="AX813" s="1241"/>
      <c r="AY813" s="1241"/>
      <c r="AZ813" s="1241"/>
      <c r="BA813" s="1241"/>
      <c r="BB813" s="1241"/>
      <c r="BC813" s="1241"/>
      <c r="BD813" s="1241"/>
      <c r="BE813" s="1241"/>
      <c r="BF813" s="1241"/>
      <c r="BG813" s="1241"/>
      <c r="BH813" s="1241"/>
      <c r="BI813" s="1241"/>
      <c r="BJ813" s="1241"/>
      <c r="BK813" s="1241"/>
      <c r="BL813" s="1241"/>
      <c r="BM813" s="1241"/>
      <c r="BN813" s="1241"/>
      <c r="BO813" s="1241"/>
      <c r="BP813" s="1241"/>
      <c r="BQ813" s="1241"/>
      <c r="BR813" s="1241"/>
      <c r="BS813" s="1241"/>
      <c r="BT813" s="1241"/>
      <c r="BU813" s="1241"/>
      <c r="BV813" s="1241"/>
      <c r="BW813" s="1241"/>
      <c r="BX813" s="1241"/>
      <c r="BY813" s="1241"/>
      <c r="BZ813" s="1241"/>
      <c r="CA813" s="1241"/>
      <c r="CB813" s="1241"/>
      <c r="CC813" s="1241"/>
      <c r="CD813" s="1241"/>
      <c r="CE813" s="1241"/>
      <c r="CF813" s="1241"/>
      <c r="CG813" s="1241"/>
      <c r="CH813" s="1241"/>
      <c r="CI813" s="1241"/>
      <c r="CJ813" s="1241"/>
      <c r="CK813" s="1241"/>
      <c r="CL813" s="1241"/>
      <c r="CM813" s="1241"/>
      <c r="CN813" s="1241"/>
      <c r="CO813" s="1241"/>
      <c r="CP813" s="1241"/>
      <c r="CQ813" s="1241"/>
      <c r="CR813" s="1241"/>
      <c r="CS813" s="1241"/>
      <c r="CT813" s="1241"/>
      <c r="CU813" s="1241"/>
      <c r="CV813" s="1241"/>
      <c r="CW813" s="1241"/>
      <c r="CX813" s="1241"/>
      <c r="CY813" s="1241"/>
      <c r="CZ813" s="1241"/>
      <c r="DA813" s="1241"/>
      <c r="DB813" s="1241"/>
      <c r="DC813" s="1241"/>
      <c r="DD813" s="1241"/>
      <c r="DE813" s="1241"/>
      <c r="DF813" s="1241"/>
      <c r="DG813" s="1241"/>
      <c r="DH813" s="1241"/>
      <c r="DI813" s="1241"/>
      <c r="DJ813" s="1241"/>
      <c r="DK813" s="1241"/>
      <c r="DL813" s="1241"/>
      <c r="DM813" s="1241"/>
    </row>
    <row r="814" spans="1:117" ht="16">
      <c r="A814" s="1243"/>
      <c r="B814" s="1520" t="s">
        <v>4318</v>
      </c>
      <c r="C814" s="1520"/>
      <c r="D814" s="1521"/>
      <c r="E814" s="1242" t="s">
        <v>4684</v>
      </c>
      <c r="F814" s="1522"/>
      <c r="G814" s="1489">
        <v>0</v>
      </c>
      <c r="H814" s="1487">
        <v>15.959166432006043</v>
      </c>
      <c r="I814" s="1487">
        <v>15.675387018458132</v>
      </c>
      <c r="J814" s="1487">
        <v>14.983854948640431</v>
      </c>
      <c r="K814" s="1487">
        <v>14.317246017063496</v>
      </c>
      <c r="L814" s="1487">
        <v>13.674742631199901</v>
      </c>
      <c r="M814" s="1487">
        <v>13.055552593579504</v>
      </c>
      <c r="N814" s="1487">
        <v>12.458908340688891</v>
      </c>
      <c r="O814" s="1487">
        <v>14.580951716197784</v>
      </c>
    </row>
    <row r="815" spans="1:117" s="1302" customFormat="1" ht="15">
      <c r="A815" s="1241"/>
      <c r="B815" s="1550"/>
      <c r="C815" s="1241"/>
      <c r="D815" s="1241"/>
      <c r="E815" s="1241"/>
      <c r="F815" s="1241"/>
      <c r="G815" s="1242"/>
      <c r="H815" s="1242"/>
      <c r="I815" s="1242"/>
      <c r="J815" s="1242"/>
      <c r="K815" s="1242"/>
      <c r="L815" s="1242"/>
      <c r="M815" s="1242"/>
      <c r="N815" s="1242"/>
      <c r="O815" s="1241"/>
      <c r="P815" s="1241"/>
      <c r="Q815" s="1241"/>
      <c r="R815" s="1241"/>
      <c r="S815" s="1241"/>
      <c r="T815" s="1241"/>
      <c r="U815" s="1241"/>
      <c r="V815" s="1241"/>
      <c r="W815" s="1241"/>
      <c r="X815" s="1241"/>
      <c r="Y815" s="1241"/>
      <c r="Z815" s="1241"/>
      <c r="AA815" s="1241"/>
      <c r="AB815" s="1241"/>
      <c r="AC815" s="1241"/>
      <c r="AD815" s="1241"/>
      <c r="AE815" s="1241"/>
      <c r="AF815" s="1241"/>
      <c r="AG815" s="1241"/>
      <c r="AH815" s="1241"/>
      <c r="AI815" s="1241"/>
      <c r="AJ815" s="1241"/>
      <c r="AK815" s="1241"/>
      <c r="AL815" s="1241"/>
      <c r="AM815" s="1241"/>
      <c r="AN815" s="1241"/>
      <c r="AO815" s="1241"/>
      <c r="AP815" s="1241"/>
      <c r="AQ815" s="1241"/>
      <c r="AR815" s="1241"/>
      <c r="AS815" s="1241"/>
      <c r="AT815" s="1241"/>
      <c r="AU815" s="1241"/>
      <c r="AV815" s="1241"/>
      <c r="AW815" s="1241"/>
      <c r="AX815" s="1241"/>
      <c r="AY815" s="1241"/>
      <c r="AZ815" s="1241"/>
      <c r="BA815" s="1241"/>
      <c r="BB815" s="1241"/>
      <c r="BC815" s="1241"/>
      <c r="BD815" s="1241"/>
      <c r="BE815" s="1241"/>
      <c r="BF815" s="1241"/>
      <c r="BG815" s="1241"/>
      <c r="BH815" s="1241"/>
      <c r="BI815" s="1241"/>
      <c r="BJ815" s="1241"/>
      <c r="BK815" s="1241"/>
      <c r="BL815" s="1241"/>
      <c r="BM815" s="1241"/>
      <c r="BN815" s="1241"/>
      <c r="BO815" s="1241"/>
      <c r="BP815" s="1241"/>
      <c r="BQ815" s="1241"/>
      <c r="BR815" s="1241"/>
      <c r="BS815" s="1241"/>
      <c r="BT815" s="1241"/>
      <c r="BU815" s="1241"/>
      <c r="BV815" s="1241"/>
      <c r="BW815" s="1241"/>
      <c r="BX815" s="1241"/>
      <c r="BY815" s="1241"/>
      <c r="BZ815" s="1241"/>
      <c r="CA815" s="1241"/>
      <c r="CB815" s="1241"/>
      <c r="CC815" s="1241"/>
      <c r="CD815" s="1241"/>
      <c r="CE815" s="1241"/>
      <c r="CF815" s="1241"/>
      <c r="CG815" s="1241"/>
      <c r="CH815" s="1241"/>
      <c r="CI815" s="1241"/>
      <c r="CJ815" s="1241"/>
      <c r="CK815" s="1241"/>
      <c r="CL815" s="1241"/>
      <c r="CM815" s="1241"/>
      <c r="CN815" s="1241"/>
      <c r="CO815" s="1241"/>
      <c r="CP815" s="1241"/>
      <c r="CQ815" s="1241"/>
      <c r="CR815" s="1241"/>
      <c r="CS815" s="1241"/>
      <c r="CT815" s="1241"/>
      <c r="CU815" s="1241"/>
      <c r="CV815" s="1241"/>
      <c r="CW815" s="1241"/>
      <c r="CX815" s="1241"/>
      <c r="CY815" s="1241"/>
      <c r="CZ815" s="1241"/>
      <c r="DA815" s="1241"/>
      <c r="DB815" s="1241"/>
      <c r="DC815" s="1241"/>
      <c r="DD815" s="1241"/>
      <c r="DE815" s="1241"/>
      <c r="DF815" s="1241"/>
      <c r="DG815" s="1241"/>
      <c r="DH815" s="1241"/>
      <c r="DI815" s="1241"/>
      <c r="DJ815" s="1241"/>
      <c r="DK815" s="1241"/>
      <c r="DL815" s="1241"/>
      <c r="DM815" s="1241"/>
    </row>
    <row r="816" spans="1:117" s="1302" customFormat="1">
      <c r="A816" s="1459"/>
      <c r="B816" s="1459"/>
      <c r="C816" s="1459"/>
      <c r="D816" s="1459"/>
      <c r="E816" s="1459"/>
      <c r="F816" s="1544"/>
      <c r="G816" s="1473"/>
      <c r="H816" s="1473"/>
      <c r="I816" s="1473"/>
      <c r="J816" s="1473"/>
      <c r="K816" s="1473"/>
      <c r="L816" s="1473"/>
      <c r="M816" s="1473"/>
      <c r="N816" s="1473"/>
      <c r="O816" s="1544"/>
      <c r="P816" s="1241"/>
      <c r="Q816" s="1241"/>
      <c r="R816" s="1241"/>
      <c r="S816" s="1241"/>
      <c r="T816" s="1241"/>
      <c r="U816" s="1241"/>
      <c r="V816" s="1241"/>
      <c r="W816" s="1241"/>
      <c r="X816" s="1241"/>
      <c r="Y816" s="1241"/>
      <c r="Z816" s="1241"/>
      <c r="AA816" s="1241"/>
      <c r="AB816" s="1241"/>
      <c r="AC816" s="1241"/>
      <c r="AD816" s="1241"/>
      <c r="AE816" s="1241"/>
      <c r="AF816" s="1241"/>
      <c r="AG816" s="1241"/>
      <c r="AH816" s="1241"/>
      <c r="AI816" s="1241"/>
      <c r="AJ816" s="1241"/>
      <c r="AK816" s="1241"/>
      <c r="AL816" s="1241"/>
      <c r="AM816" s="1241"/>
      <c r="AN816" s="1241"/>
      <c r="AO816" s="1241"/>
      <c r="AP816" s="1241"/>
      <c r="AQ816" s="1241"/>
      <c r="AR816" s="1241"/>
      <c r="AS816" s="1241"/>
      <c r="AT816" s="1241"/>
      <c r="AU816" s="1241"/>
      <c r="AV816" s="1241"/>
      <c r="AW816" s="1241"/>
      <c r="AX816" s="1241"/>
      <c r="AY816" s="1241"/>
      <c r="AZ816" s="1241"/>
      <c r="BA816" s="1241"/>
      <c r="BB816" s="1241"/>
      <c r="BC816" s="1241"/>
      <c r="BD816" s="1241"/>
      <c r="BE816" s="1241"/>
      <c r="BF816" s="1241"/>
      <c r="BG816" s="1241"/>
      <c r="BH816" s="1241"/>
      <c r="BI816" s="1241"/>
      <c r="BJ816" s="1241"/>
      <c r="BK816" s="1241"/>
      <c r="BL816" s="1241"/>
      <c r="BM816" s="1241"/>
      <c r="BN816" s="1241"/>
      <c r="BO816" s="1241"/>
      <c r="BP816" s="1241"/>
      <c r="BQ816" s="1241"/>
      <c r="BR816" s="1241"/>
      <c r="BS816" s="1241"/>
      <c r="BT816" s="1241"/>
      <c r="BU816" s="1241"/>
      <c r="BV816" s="1241"/>
      <c r="BW816" s="1241"/>
      <c r="BX816" s="1241"/>
      <c r="BY816" s="1241"/>
      <c r="BZ816" s="1241"/>
      <c r="CA816" s="1241"/>
      <c r="CB816" s="1241"/>
      <c r="CC816" s="1241"/>
      <c r="CD816" s="1241"/>
      <c r="CE816" s="1241"/>
      <c r="CF816" s="1241"/>
      <c r="CG816" s="1241"/>
      <c r="CH816" s="1241"/>
      <c r="CI816" s="1241"/>
      <c r="CJ816" s="1241"/>
      <c r="CK816" s="1241"/>
      <c r="CL816" s="1241"/>
      <c r="CM816" s="1241"/>
      <c r="CN816" s="1241"/>
      <c r="CO816" s="1241"/>
      <c r="CP816" s="1241"/>
      <c r="CQ816" s="1241"/>
      <c r="CR816" s="1241"/>
      <c r="CS816" s="1241"/>
      <c r="CT816" s="1241"/>
      <c r="CU816" s="1241"/>
      <c r="CV816" s="1241"/>
      <c r="CW816" s="1241"/>
      <c r="CX816" s="1241"/>
      <c r="CY816" s="1241"/>
      <c r="CZ816" s="1241"/>
      <c r="DA816" s="1241"/>
      <c r="DB816" s="1241"/>
      <c r="DC816" s="1241"/>
      <c r="DD816" s="1241"/>
      <c r="DE816" s="1241"/>
      <c r="DF816" s="1241"/>
      <c r="DG816" s="1241"/>
      <c r="DH816" s="1241"/>
      <c r="DI816" s="1241"/>
      <c r="DJ816" s="1241"/>
      <c r="DK816" s="1241"/>
      <c r="DL816" s="1241"/>
      <c r="DM816" s="1241"/>
    </row>
    <row r="817" spans="1:117" s="1302" customFormat="1">
      <c r="A817" s="1459">
        <v>1.4</v>
      </c>
      <c r="B817" s="1459" t="s">
        <v>4319</v>
      </c>
      <c r="C817" s="1241"/>
      <c r="D817" s="1241"/>
      <c r="E817" s="1528" t="s">
        <v>840</v>
      </c>
      <c r="F817" s="1467"/>
      <c r="G817" s="1224">
        <v>2015</v>
      </c>
      <c r="H817" s="1224">
        <v>2020</v>
      </c>
      <c r="I817" s="1224">
        <v>2022</v>
      </c>
      <c r="J817" s="1224">
        <v>2027</v>
      </c>
      <c r="K817" s="1224">
        <v>2032</v>
      </c>
      <c r="L817" s="1224">
        <v>2037</v>
      </c>
      <c r="M817" s="1224">
        <v>2042</v>
      </c>
      <c r="N817" s="1224">
        <v>2047</v>
      </c>
      <c r="O817" s="1546">
        <v>2030</v>
      </c>
      <c r="P817" s="1241"/>
      <c r="Q817" s="1241"/>
      <c r="R817" s="1241"/>
      <c r="S817" s="1241"/>
      <c r="T817" s="1241"/>
      <c r="U817" s="1241"/>
      <c r="V817" s="1241"/>
      <c r="W817" s="1241"/>
      <c r="X817" s="1241"/>
      <c r="Y817" s="1241"/>
      <c r="Z817" s="1241"/>
      <c r="AA817" s="1241"/>
      <c r="AB817" s="1241"/>
      <c r="AC817" s="1241"/>
      <c r="AD817" s="1241"/>
      <c r="AE817" s="1241"/>
      <c r="AF817" s="1241"/>
      <c r="AG817" s="1241"/>
      <c r="AH817" s="1241"/>
      <c r="AI817" s="1241"/>
      <c r="AJ817" s="1241"/>
      <c r="AK817" s="1241"/>
      <c r="AL817" s="1241"/>
      <c r="AM817" s="1241"/>
      <c r="AN817" s="1241"/>
      <c r="AO817" s="1241"/>
      <c r="AP817" s="1241"/>
      <c r="AQ817" s="1241"/>
      <c r="AR817" s="1241"/>
      <c r="AS817" s="1241"/>
      <c r="AT817" s="1241"/>
      <c r="AU817" s="1241"/>
      <c r="AV817" s="1241"/>
      <c r="AW817" s="1241"/>
      <c r="AX817" s="1241"/>
      <c r="AY817" s="1241"/>
      <c r="AZ817" s="1241"/>
      <c r="BA817" s="1241"/>
      <c r="BB817" s="1241"/>
      <c r="BC817" s="1241"/>
      <c r="BD817" s="1241"/>
      <c r="BE817" s="1241"/>
      <c r="BF817" s="1241"/>
      <c r="BG817" s="1241"/>
      <c r="BH817" s="1241"/>
      <c r="BI817" s="1241"/>
      <c r="BJ817" s="1241"/>
      <c r="BK817" s="1241"/>
      <c r="BL817" s="1241"/>
      <c r="BM817" s="1241"/>
      <c r="BN817" s="1241"/>
      <c r="BO817" s="1241"/>
      <c r="BP817" s="1241"/>
      <c r="BQ817" s="1241"/>
      <c r="BR817" s="1241"/>
      <c r="BS817" s="1241"/>
      <c r="BT817" s="1241"/>
      <c r="BU817" s="1241"/>
      <c r="BV817" s="1241"/>
      <c r="BW817" s="1241"/>
      <c r="BX817" s="1241"/>
      <c r="BY817" s="1241"/>
      <c r="BZ817" s="1241"/>
      <c r="CA817" s="1241"/>
      <c r="CB817" s="1241"/>
      <c r="CC817" s="1241"/>
      <c r="CD817" s="1241"/>
      <c r="CE817" s="1241"/>
      <c r="CF817" s="1241"/>
      <c r="CG817" s="1241"/>
      <c r="CH817" s="1241"/>
      <c r="CI817" s="1241"/>
      <c r="CJ817" s="1241"/>
      <c r="CK817" s="1241"/>
      <c r="CL817" s="1241"/>
      <c r="CM817" s="1241"/>
      <c r="CN817" s="1241"/>
      <c r="CO817" s="1241"/>
      <c r="CP817" s="1241"/>
      <c r="CQ817" s="1241"/>
      <c r="CR817" s="1241"/>
      <c r="CS817" s="1241"/>
      <c r="CT817" s="1241"/>
      <c r="CU817" s="1241"/>
      <c r="CV817" s="1241"/>
      <c r="CW817" s="1241"/>
      <c r="CX817" s="1241"/>
      <c r="CY817" s="1241"/>
      <c r="CZ817" s="1241"/>
      <c r="DA817" s="1241"/>
      <c r="DB817" s="1241"/>
      <c r="DC817" s="1241"/>
      <c r="DD817" s="1241"/>
      <c r="DE817" s="1241"/>
      <c r="DF817" s="1241"/>
      <c r="DG817" s="1241"/>
      <c r="DH817" s="1241"/>
      <c r="DI817" s="1241"/>
      <c r="DJ817" s="1241"/>
      <c r="DK817" s="1241"/>
      <c r="DL817" s="1241"/>
      <c r="DM817" s="1241"/>
    </row>
    <row r="818" spans="1:117" s="1302" customFormat="1">
      <c r="A818" s="1241"/>
      <c r="B818" s="1459"/>
      <c r="C818" s="1466"/>
      <c r="D818" s="1241"/>
      <c r="E818" s="1460"/>
      <c r="F818" s="1467"/>
      <c r="G818" s="1224"/>
      <c r="H818" s="1224"/>
      <c r="I818" s="1224"/>
      <c r="J818" s="1224"/>
      <c r="K818" s="1224"/>
      <c r="L818" s="1224"/>
      <c r="M818" s="1224"/>
      <c r="N818" s="1224"/>
      <c r="O818" s="1467"/>
      <c r="P818" s="1241"/>
      <c r="Q818" s="1241"/>
      <c r="R818" s="1241"/>
      <c r="S818" s="1241"/>
      <c r="T818" s="1241"/>
      <c r="U818" s="1241"/>
      <c r="V818" s="1241"/>
      <c r="W818" s="1241"/>
      <c r="X818" s="1241"/>
      <c r="Y818" s="1241"/>
      <c r="Z818" s="1241"/>
      <c r="AA818" s="1241"/>
      <c r="AB818" s="1241"/>
      <c r="AC818" s="1241"/>
      <c r="AD818" s="1241"/>
      <c r="AE818" s="1241"/>
      <c r="AF818" s="1241"/>
      <c r="AG818" s="1241"/>
      <c r="AH818" s="1241"/>
      <c r="AI818" s="1241"/>
      <c r="AJ818" s="1241"/>
      <c r="AK818" s="1241"/>
      <c r="AL818" s="1241"/>
      <c r="AM818" s="1241"/>
      <c r="AN818" s="1241"/>
      <c r="AO818" s="1241"/>
      <c r="AP818" s="1241"/>
      <c r="AQ818" s="1241"/>
      <c r="AR818" s="1241"/>
      <c r="AS818" s="1241"/>
      <c r="AT818" s="1241"/>
      <c r="AU818" s="1241"/>
      <c r="AV818" s="1241"/>
      <c r="AW818" s="1241"/>
      <c r="AX818" s="1241"/>
      <c r="AY818" s="1241"/>
      <c r="AZ818" s="1241"/>
      <c r="BA818" s="1241"/>
      <c r="BB818" s="1241"/>
      <c r="BC818" s="1241"/>
      <c r="BD818" s="1241"/>
      <c r="BE818" s="1241"/>
      <c r="BF818" s="1241"/>
      <c r="BG818" s="1241"/>
      <c r="BH818" s="1241"/>
      <c r="BI818" s="1241"/>
      <c r="BJ818" s="1241"/>
      <c r="BK818" s="1241"/>
      <c r="BL818" s="1241"/>
      <c r="BM818" s="1241"/>
      <c r="BN818" s="1241"/>
      <c r="BO818" s="1241"/>
      <c r="BP818" s="1241"/>
      <c r="BQ818" s="1241"/>
      <c r="BR818" s="1241"/>
      <c r="BS818" s="1241"/>
      <c r="BT818" s="1241"/>
      <c r="BU818" s="1241"/>
      <c r="BV818" s="1241"/>
      <c r="BW818" s="1241"/>
      <c r="BX818" s="1241"/>
      <c r="BY818" s="1241"/>
      <c r="BZ818" s="1241"/>
      <c r="CA818" s="1241"/>
      <c r="CB818" s="1241"/>
      <c r="CC818" s="1241"/>
      <c r="CD818" s="1241"/>
      <c r="CE818" s="1241"/>
      <c r="CF818" s="1241"/>
      <c r="CG818" s="1241"/>
      <c r="CH818" s="1241"/>
      <c r="CI818" s="1241"/>
      <c r="CJ818" s="1241"/>
      <c r="CK818" s="1241"/>
      <c r="CL818" s="1241"/>
      <c r="CM818" s="1241"/>
      <c r="CN818" s="1241"/>
      <c r="CO818" s="1241"/>
      <c r="CP818" s="1241"/>
      <c r="CQ818" s="1241"/>
      <c r="CR818" s="1241"/>
      <c r="CS818" s="1241"/>
      <c r="CT818" s="1241"/>
      <c r="CU818" s="1241"/>
      <c r="CV818" s="1241"/>
      <c r="CW818" s="1241"/>
      <c r="CX818" s="1241"/>
      <c r="CY818" s="1241"/>
      <c r="CZ818" s="1241"/>
      <c r="DA818" s="1241"/>
      <c r="DB818" s="1241"/>
      <c r="DC818" s="1241"/>
      <c r="DD818" s="1241"/>
      <c r="DE818" s="1241"/>
      <c r="DF818" s="1241"/>
      <c r="DG818" s="1241"/>
      <c r="DH818" s="1241"/>
      <c r="DI818" s="1241"/>
      <c r="DJ818" s="1241"/>
      <c r="DK818" s="1241"/>
      <c r="DL818" s="1241"/>
      <c r="DM818" s="1241"/>
    </row>
    <row r="819" spans="1:117" s="1302" customFormat="1">
      <c r="A819" s="1241"/>
      <c r="B819" s="1551" t="s">
        <v>4320</v>
      </c>
      <c r="C819" s="1241"/>
      <c r="D819" s="1241"/>
      <c r="E819" s="1469" t="s">
        <v>3925</v>
      </c>
      <c r="F819" s="1470"/>
      <c r="G819" s="1471">
        <v>88.98</v>
      </c>
      <c r="H819" s="1471">
        <v>97.358762172495219</v>
      </c>
      <c r="I819" s="1471">
        <v>116.01841750987141</v>
      </c>
      <c r="J819" s="1471">
        <v>179.10106789444453</v>
      </c>
      <c r="K819" s="1471">
        <v>266.54453599595632</v>
      </c>
      <c r="L819" s="1471">
        <v>349.08126040742275</v>
      </c>
      <c r="M819" s="1471">
        <v>441.36686471601917</v>
      </c>
      <c r="N819" s="1471">
        <v>532.03904827378392</v>
      </c>
      <c r="O819" s="1471">
        <v>231.68513550586897</v>
      </c>
      <c r="P819" s="1241"/>
      <c r="Q819" s="1241"/>
      <c r="R819" s="1241"/>
      <c r="S819" s="1241"/>
      <c r="T819" s="1241"/>
      <c r="U819" s="1241"/>
      <c r="V819" s="1241"/>
      <c r="W819" s="1241"/>
      <c r="X819" s="1241"/>
      <c r="Y819" s="1241"/>
      <c r="Z819" s="1241"/>
      <c r="AA819" s="1241"/>
      <c r="AB819" s="1241"/>
      <c r="AC819" s="1241"/>
      <c r="AD819" s="1241"/>
      <c r="AE819" s="1241"/>
      <c r="AF819" s="1241"/>
      <c r="AG819" s="1241"/>
      <c r="AH819" s="1241"/>
      <c r="AI819" s="1241"/>
      <c r="AJ819" s="1241"/>
      <c r="AK819" s="1241"/>
      <c r="AL819" s="1241"/>
      <c r="AM819" s="1241"/>
      <c r="AN819" s="1241"/>
      <c r="AO819" s="1241"/>
      <c r="AP819" s="1241"/>
      <c r="AQ819" s="1241"/>
      <c r="AR819" s="1241"/>
      <c r="AS819" s="1241"/>
      <c r="AT819" s="1241"/>
      <c r="AU819" s="1241"/>
      <c r="AV819" s="1241"/>
      <c r="AW819" s="1241"/>
      <c r="AX819" s="1241"/>
      <c r="AY819" s="1241"/>
      <c r="AZ819" s="1241"/>
      <c r="BA819" s="1241"/>
      <c r="BB819" s="1241"/>
      <c r="BC819" s="1241"/>
      <c r="BD819" s="1241"/>
      <c r="BE819" s="1241"/>
      <c r="BF819" s="1241"/>
      <c r="BG819" s="1241"/>
      <c r="BH819" s="1241"/>
      <c r="BI819" s="1241"/>
      <c r="BJ819" s="1241"/>
      <c r="BK819" s="1241"/>
      <c r="BL819" s="1241"/>
      <c r="BM819" s="1241"/>
      <c r="BN819" s="1241"/>
      <c r="BO819" s="1241"/>
      <c r="BP819" s="1241"/>
      <c r="BQ819" s="1241"/>
      <c r="BR819" s="1241"/>
      <c r="BS819" s="1241"/>
      <c r="BT819" s="1241"/>
      <c r="BU819" s="1241"/>
      <c r="BV819" s="1241"/>
      <c r="BW819" s="1241"/>
      <c r="BX819" s="1241"/>
      <c r="BY819" s="1241"/>
      <c r="BZ819" s="1241"/>
      <c r="CA819" s="1241"/>
      <c r="CB819" s="1241"/>
      <c r="CC819" s="1241"/>
      <c r="CD819" s="1241"/>
      <c r="CE819" s="1241"/>
      <c r="CF819" s="1241"/>
      <c r="CG819" s="1241"/>
      <c r="CH819" s="1241"/>
      <c r="CI819" s="1241"/>
      <c r="CJ819" s="1241"/>
      <c r="CK819" s="1241"/>
      <c r="CL819" s="1241"/>
      <c r="CM819" s="1241"/>
      <c r="CN819" s="1241"/>
      <c r="CO819" s="1241"/>
      <c r="CP819" s="1241"/>
      <c r="CQ819" s="1241"/>
      <c r="CR819" s="1241"/>
      <c r="CS819" s="1241"/>
      <c r="CT819" s="1241"/>
      <c r="CU819" s="1241"/>
      <c r="CV819" s="1241"/>
      <c r="CW819" s="1241"/>
      <c r="CX819" s="1241"/>
      <c r="CY819" s="1241"/>
      <c r="CZ819" s="1241"/>
      <c r="DA819" s="1241"/>
      <c r="DB819" s="1241"/>
      <c r="DC819" s="1241"/>
      <c r="DD819" s="1241"/>
      <c r="DE819" s="1241"/>
      <c r="DF819" s="1241"/>
      <c r="DG819" s="1241"/>
      <c r="DH819" s="1241"/>
      <c r="DI819" s="1241"/>
      <c r="DJ819" s="1241"/>
      <c r="DK819" s="1241"/>
      <c r="DL819" s="1241"/>
      <c r="DM819" s="1241"/>
    </row>
    <row r="820" spans="1:117" s="1302" customFormat="1">
      <c r="A820" s="1241"/>
      <c r="B820" s="1468" t="s">
        <v>3849</v>
      </c>
      <c r="C820" s="1241"/>
      <c r="D820" s="1241"/>
      <c r="E820" s="1469" t="s">
        <v>420</v>
      </c>
      <c r="F820" s="1470"/>
      <c r="G820" s="1471">
        <v>50.98554</v>
      </c>
      <c r="H820" s="1471">
        <v>58.016086378589897</v>
      </c>
      <c r="I820" s="1471">
        <v>63.734748800855947</v>
      </c>
      <c r="J820" s="1471">
        <v>90.309334218146603</v>
      </c>
      <c r="K820" s="1471">
        <v>123.35030287650456</v>
      </c>
      <c r="L820" s="1471">
        <v>148.24591195527282</v>
      </c>
      <c r="M820" s="1471">
        <v>171.98491544522548</v>
      </c>
      <c r="N820" s="1471">
        <v>190.20246120895987</v>
      </c>
      <c r="O820" s="1471">
        <v>110.96350964545337</v>
      </c>
      <c r="P820" s="1241"/>
      <c r="Q820" s="1241"/>
      <c r="R820" s="1241"/>
      <c r="S820" s="1241"/>
      <c r="T820" s="1241"/>
      <c r="U820" s="1241"/>
      <c r="V820" s="1241"/>
      <c r="W820" s="1241"/>
      <c r="X820" s="1241"/>
      <c r="Y820" s="1241"/>
      <c r="Z820" s="1241"/>
      <c r="AA820" s="1241"/>
      <c r="AB820" s="1241"/>
      <c r="AC820" s="1241"/>
      <c r="AD820" s="1241"/>
      <c r="AE820" s="1241"/>
      <c r="AF820" s="1241"/>
      <c r="AG820" s="1241"/>
      <c r="AH820" s="1241"/>
      <c r="AI820" s="1241"/>
      <c r="AJ820" s="1241"/>
      <c r="AK820" s="1241"/>
      <c r="AL820" s="1241"/>
      <c r="AM820" s="1241"/>
      <c r="AN820" s="1241"/>
      <c r="AO820" s="1241"/>
      <c r="AP820" s="1241"/>
      <c r="AQ820" s="1241"/>
      <c r="AR820" s="1241"/>
      <c r="AS820" s="1241"/>
      <c r="AT820" s="1241"/>
      <c r="AU820" s="1241"/>
      <c r="AV820" s="1241"/>
      <c r="AW820" s="1241"/>
      <c r="AX820" s="1241"/>
      <c r="AY820" s="1241"/>
      <c r="AZ820" s="1241"/>
      <c r="BA820" s="1241"/>
      <c r="BB820" s="1241"/>
      <c r="BC820" s="1241"/>
      <c r="BD820" s="1241"/>
      <c r="BE820" s="1241"/>
      <c r="BF820" s="1241"/>
      <c r="BG820" s="1241"/>
      <c r="BH820" s="1241"/>
      <c r="BI820" s="1241"/>
      <c r="BJ820" s="1241"/>
      <c r="BK820" s="1241"/>
      <c r="BL820" s="1241"/>
      <c r="BM820" s="1241"/>
      <c r="BN820" s="1241"/>
      <c r="BO820" s="1241"/>
      <c r="BP820" s="1241"/>
      <c r="BQ820" s="1241"/>
      <c r="BR820" s="1241"/>
      <c r="BS820" s="1241"/>
      <c r="BT820" s="1241"/>
      <c r="BU820" s="1241"/>
      <c r="BV820" s="1241"/>
      <c r="BW820" s="1241"/>
      <c r="BX820" s="1241"/>
      <c r="BY820" s="1241"/>
      <c r="BZ820" s="1241"/>
      <c r="CA820" s="1241"/>
      <c r="CB820" s="1241"/>
      <c r="CC820" s="1241"/>
      <c r="CD820" s="1241"/>
      <c r="CE820" s="1241"/>
      <c r="CF820" s="1241"/>
      <c r="CG820" s="1241"/>
      <c r="CH820" s="1241"/>
      <c r="CI820" s="1241"/>
      <c r="CJ820" s="1241"/>
      <c r="CK820" s="1241"/>
      <c r="CL820" s="1241"/>
      <c r="CM820" s="1241"/>
      <c r="CN820" s="1241"/>
      <c r="CO820" s="1241"/>
      <c r="CP820" s="1241"/>
      <c r="CQ820" s="1241"/>
      <c r="CR820" s="1241"/>
      <c r="CS820" s="1241"/>
      <c r="CT820" s="1241"/>
      <c r="CU820" s="1241"/>
      <c r="CV820" s="1241"/>
      <c r="CW820" s="1241"/>
      <c r="CX820" s="1241"/>
      <c r="CY820" s="1241"/>
      <c r="CZ820" s="1241"/>
      <c r="DA820" s="1241"/>
      <c r="DB820" s="1241"/>
      <c r="DC820" s="1241"/>
      <c r="DD820" s="1241"/>
      <c r="DE820" s="1241"/>
      <c r="DF820" s="1241"/>
      <c r="DG820" s="1241"/>
      <c r="DH820" s="1241"/>
      <c r="DI820" s="1241"/>
      <c r="DJ820" s="1241"/>
      <c r="DK820" s="1241"/>
      <c r="DL820" s="1241"/>
      <c r="DM820" s="1241"/>
    </row>
    <row r="821" spans="1:117" s="1302" customFormat="1">
      <c r="A821" s="1241"/>
      <c r="B821" s="1468"/>
      <c r="C821" s="1241"/>
      <c r="D821" s="1241"/>
      <c r="E821" s="1469"/>
      <c r="F821" s="1470"/>
      <c r="G821" s="1471"/>
      <c r="H821" s="1471"/>
      <c r="I821" s="1471"/>
      <c r="J821" s="1471"/>
      <c r="K821" s="1471"/>
      <c r="L821" s="1471"/>
      <c r="M821" s="1471"/>
      <c r="N821" s="1471"/>
      <c r="O821" s="1471"/>
      <c r="P821" s="1241"/>
      <c r="Q821" s="1241"/>
      <c r="R821" s="1241"/>
      <c r="S821" s="1241"/>
      <c r="T821" s="1241"/>
      <c r="U821" s="1241"/>
      <c r="V821" s="1241"/>
      <c r="W821" s="1241"/>
      <c r="X821" s="1241"/>
      <c r="Y821" s="1241"/>
      <c r="Z821" s="1241"/>
      <c r="AA821" s="1241"/>
      <c r="AB821" s="1241"/>
      <c r="AC821" s="1241"/>
      <c r="AD821" s="1241"/>
      <c r="AE821" s="1241"/>
      <c r="AF821" s="1241"/>
      <c r="AG821" s="1241"/>
      <c r="AH821" s="1241"/>
      <c r="AI821" s="1241"/>
      <c r="AJ821" s="1241"/>
      <c r="AK821" s="1241"/>
      <c r="AL821" s="1241"/>
      <c r="AM821" s="1241"/>
      <c r="AN821" s="1241"/>
      <c r="AO821" s="1241"/>
      <c r="AP821" s="1241"/>
      <c r="AQ821" s="1241"/>
      <c r="AR821" s="1241"/>
      <c r="AS821" s="1241"/>
      <c r="AT821" s="1241"/>
      <c r="AU821" s="1241"/>
      <c r="AV821" s="1241"/>
      <c r="AW821" s="1241"/>
      <c r="AX821" s="1241"/>
      <c r="AY821" s="1241"/>
      <c r="AZ821" s="1241"/>
      <c r="BA821" s="1241"/>
      <c r="BB821" s="1241"/>
      <c r="BC821" s="1241"/>
      <c r="BD821" s="1241"/>
      <c r="BE821" s="1241"/>
      <c r="BF821" s="1241"/>
      <c r="BG821" s="1241"/>
      <c r="BH821" s="1241"/>
      <c r="BI821" s="1241"/>
      <c r="BJ821" s="1241"/>
      <c r="BK821" s="1241"/>
      <c r="BL821" s="1241"/>
      <c r="BM821" s="1241"/>
      <c r="BN821" s="1241"/>
      <c r="BO821" s="1241"/>
      <c r="BP821" s="1241"/>
      <c r="BQ821" s="1241"/>
      <c r="BR821" s="1241"/>
      <c r="BS821" s="1241"/>
      <c r="BT821" s="1241"/>
      <c r="BU821" s="1241"/>
      <c r="BV821" s="1241"/>
      <c r="BW821" s="1241"/>
      <c r="BX821" s="1241"/>
      <c r="BY821" s="1241"/>
      <c r="BZ821" s="1241"/>
      <c r="CA821" s="1241"/>
      <c r="CB821" s="1241"/>
      <c r="CC821" s="1241"/>
      <c r="CD821" s="1241"/>
      <c r="CE821" s="1241"/>
      <c r="CF821" s="1241"/>
      <c r="CG821" s="1241"/>
      <c r="CH821" s="1241"/>
      <c r="CI821" s="1241"/>
      <c r="CJ821" s="1241"/>
      <c r="CK821" s="1241"/>
      <c r="CL821" s="1241"/>
      <c r="CM821" s="1241"/>
      <c r="CN821" s="1241"/>
      <c r="CO821" s="1241"/>
      <c r="CP821" s="1241"/>
      <c r="CQ821" s="1241"/>
      <c r="CR821" s="1241"/>
      <c r="CS821" s="1241"/>
      <c r="CT821" s="1241"/>
      <c r="CU821" s="1241"/>
      <c r="CV821" s="1241"/>
      <c r="CW821" s="1241"/>
      <c r="CX821" s="1241"/>
      <c r="CY821" s="1241"/>
      <c r="CZ821" s="1241"/>
      <c r="DA821" s="1241"/>
      <c r="DB821" s="1241"/>
      <c r="DC821" s="1241"/>
      <c r="DD821" s="1241"/>
      <c r="DE821" s="1241"/>
      <c r="DF821" s="1241"/>
      <c r="DG821" s="1241"/>
      <c r="DH821" s="1241"/>
      <c r="DI821" s="1241"/>
      <c r="DJ821" s="1241"/>
      <c r="DK821" s="1241"/>
      <c r="DL821" s="1241"/>
      <c r="DM821" s="1241"/>
    </row>
    <row r="822" spans="1:117" s="1302" customFormat="1">
      <c r="A822" s="1241"/>
      <c r="B822" s="1551" t="s">
        <v>4321</v>
      </c>
      <c r="C822" s="1241"/>
      <c r="D822" s="1241" t="s">
        <v>3925</v>
      </c>
      <c r="E822" s="1469"/>
      <c r="F822" s="1470"/>
      <c r="H822" s="1471"/>
      <c r="I822" s="1471"/>
      <c r="J822" s="1471"/>
      <c r="K822" s="1471"/>
      <c r="L822" s="1471"/>
      <c r="M822" s="1471"/>
      <c r="N822" s="1471"/>
      <c r="O822" s="1471"/>
      <c r="P822" s="1241"/>
      <c r="Q822" s="1241"/>
      <c r="R822" s="1241"/>
      <c r="S822" s="1241"/>
      <c r="T822" s="1241"/>
      <c r="U822" s="1241"/>
      <c r="V822" s="1241"/>
      <c r="W822" s="1241"/>
      <c r="X822" s="1241"/>
      <c r="Y822" s="1241"/>
      <c r="Z822" s="1241"/>
      <c r="AA822" s="1241"/>
      <c r="AB822" s="1241"/>
      <c r="AC822" s="1241"/>
      <c r="AD822" s="1241"/>
      <c r="AE822" s="1241"/>
      <c r="AF822" s="1241"/>
      <c r="AG822" s="1241"/>
      <c r="AH822" s="1241"/>
      <c r="AI822" s="1241"/>
      <c r="AJ822" s="1241"/>
      <c r="AK822" s="1241"/>
      <c r="AL822" s="1241"/>
      <c r="AM822" s="1241"/>
      <c r="AN822" s="1241"/>
      <c r="AO822" s="1241"/>
      <c r="AP822" s="1241"/>
      <c r="AQ822" s="1241"/>
      <c r="AR822" s="1241"/>
      <c r="AS822" s="1241"/>
      <c r="AT822" s="1241"/>
      <c r="AU822" s="1241"/>
      <c r="AV822" s="1241"/>
      <c r="AW822" s="1241"/>
      <c r="AX822" s="1241"/>
      <c r="AY822" s="1241"/>
      <c r="AZ822" s="1241"/>
      <c r="BA822" s="1241"/>
      <c r="BB822" s="1241"/>
      <c r="BC822" s="1241"/>
      <c r="BD822" s="1241"/>
      <c r="BE822" s="1241"/>
      <c r="BF822" s="1241"/>
      <c r="BG822" s="1241"/>
      <c r="BH822" s="1241"/>
      <c r="BI822" s="1241"/>
      <c r="BJ822" s="1241"/>
      <c r="BK822" s="1241"/>
      <c r="BL822" s="1241"/>
      <c r="BM822" s="1241"/>
      <c r="BN822" s="1241"/>
      <c r="BO822" s="1241"/>
      <c r="BP822" s="1241"/>
      <c r="BQ822" s="1241"/>
      <c r="BR822" s="1241"/>
      <c r="BS822" s="1241"/>
      <c r="BT822" s="1241"/>
      <c r="BU822" s="1241"/>
      <c r="BV822" s="1241"/>
      <c r="BW822" s="1241"/>
      <c r="BX822" s="1241"/>
      <c r="BY822" s="1241"/>
      <c r="BZ822" s="1241"/>
      <c r="CA822" s="1241"/>
      <c r="CB822" s="1241"/>
      <c r="CC822" s="1241"/>
      <c r="CD822" s="1241"/>
      <c r="CE822" s="1241"/>
      <c r="CF822" s="1241"/>
      <c r="CG822" s="1241"/>
      <c r="CH822" s="1241"/>
      <c r="CI822" s="1241"/>
      <c r="CJ822" s="1241"/>
      <c r="CK822" s="1241"/>
      <c r="CL822" s="1241"/>
      <c r="CM822" s="1241"/>
      <c r="CN822" s="1241"/>
      <c r="CO822" s="1241"/>
      <c r="CP822" s="1241"/>
      <c r="CQ822" s="1241"/>
      <c r="CR822" s="1241"/>
      <c r="CS822" s="1241"/>
      <c r="CT822" s="1241"/>
      <c r="CU822" s="1241"/>
      <c r="CV822" s="1241"/>
      <c r="CW822" s="1241"/>
      <c r="CX822" s="1241"/>
      <c r="CY822" s="1241"/>
      <c r="CZ822" s="1241"/>
      <c r="DA822" s="1241"/>
      <c r="DB822" s="1241"/>
      <c r="DC822" s="1241"/>
      <c r="DD822" s="1241"/>
      <c r="DE822" s="1241"/>
      <c r="DF822" s="1241"/>
      <c r="DG822" s="1241"/>
      <c r="DH822" s="1241"/>
      <c r="DI822" s="1241"/>
      <c r="DJ822" s="1241"/>
      <c r="DK822" s="1241"/>
      <c r="DL822" s="1241"/>
      <c r="DM822" s="1241"/>
    </row>
    <row r="823" spans="1:117" s="1302" customFormat="1">
      <c r="A823" s="1241"/>
      <c r="B823" s="1468" t="s">
        <v>4322</v>
      </c>
      <c r="C823" s="1241"/>
      <c r="D823" s="1241"/>
      <c r="E823" s="1470">
        <v>-1.1764705882352939E-2</v>
      </c>
      <c r="F823" s="1470">
        <v>8.3418804954060836E-3</v>
      </c>
      <c r="G823" s="1552">
        <v>0.52810000000000001</v>
      </c>
      <c r="H823" s="1552">
        <v>0.61658119504593911</v>
      </c>
      <c r="I823" s="1552">
        <v>0.63326495603675126</v>
      </c>
      <c r="J823" s="1552">
        <v>0.67497435851378174</v>
      </c>
      <c r="K823" s="1552">
        <v>0.67647058823529405</v>
      </c>
      <c r="L823" s="1552">
        <v>0.61764705882352944</v>
      </c>
      <c r="M823" s="1552">
        <v>0.55882352941176472</v>
      </c>
      <c r="N823" s="1552">
        <v>0.5</v>
      </c>
      <c r="O823" s="1552">
        <v>0.7</v>
      </c>
      <c r="P823" s="1241"/>
      <c r="Q823" s="1241"/>
      <c r="R823" s="1241"/>
      <c r="S823" s="1241"/>
      <c r="T823" s="1241"/>
      <c r="U823" s="1241"/>
      <c r="V823" s="1241"/>
      <c r="W823" s="1241"/>
      <c r="X823" s="1241"/>
      <c r="Y823" s="1241"/>
      <c r="Z823" s="1241"/>
      <c r="AA823" s="1241"/>
      <c r="AB823" s="1241"/>
      <c r="AC823" s="1241"/>
      <c r="AD823" s="1241"/>
      <c r="AE823" s="1241"/>
      <c r="AF823" s="1241"/>
      <c r="AG823" s="1241"/>
      <c r="AH823" s="1241"/>
      <c r="AI823" s="1241"/>
      <c r="AJ823" s="1241"/>
      <c r="AK823" s="1241"/>
      <c r="AL823" s="1241"/>
      <c r="AM823" s="1241"/>
      <c r="AN823" s="1241"/>
      <c r="AO823" s="1241"/>
      <c r="AP823" s="1241"/>
      <c r="AQ823" s="1241"/>
      <c r="AR823" s="1241"/>
      <c r="AS823" s="1241"/>
      <c r="AT823" s="1241"/>
      <c r="AU823" s="1241"/>
      <c r="AV823" s="1241"/>
      <c r="AW823" s="1241"/>
      <c r="AX823" s="1241"/>
      <c r="AY823" s="1241"/>
      <c r="AZ823" s="1241"/>
      <c r="BA823" s="1241"/>
      <c r="BB823" s="1241"/>
      <c r="BC823" s="1241"/>
      <c r="BD823" s="1241"/>
      <c r="BE823" s="1241"/>
      <c r="BF823" s="1241"/>
      <c r="BG823" s="1241"/>
      <c r="BH823" s="1241"/>
      <c r="BI823" s="1241"/>
      <c r="BJ823" s="1241"/>
      <c r="BK823" s="1241"/>
      <c r="BL823" s="1241"/>
      <c r="BM823" s="1241"/>
      <c r="BN823" s="1241"/>
      <c r="BO823" s="1241"/>
      <c r="BP823" s="1241"/>
      <c r="BQ823" s="1241"/>
      <c r="BR823" s="1241"/>
      <c r="BS823" s="1241"/>
      <c r="BT823" s="1241"/>
      <c r="BU823" s="1241"/>
      <c r="BV823" s="1241"/>
      <c r="BW823" s="1241"/>
      <c r="BX823" s="1241"/>
      <c r="BY823" s="1241"/>
      <c r="BZ823" s="1241"/>
      <c r="CA823" s="1241"/>
      <c r="CB823" s="1241"/>
      <c r="CC823" s="1241"/>
      <c r="CD823" s="1241"/>
      <c r="CE823" s="1241"/>
      <c r="CF823" s="1241"/>
      <c r="CG823" s="1241"/>
      <c r="CH823" s="1241"/>
      <c r="CI823" s="1241"/>
      <c r="CJ823" s="1241"/>
      <c r="CK823" s="1241"/>
      <c r="CL823" s="1241"/>
      <c r="CM823" s="1241"/>
      <c r="CN823" s="1241"/>
      <c r="CO823" s="1241"/>
      <c r="CP823" s="1241"/>
      <c r="CQ823" s="1241"/>
      <c r="CR823" s="1241"/>
      <c r="CS823" s="1241"/>
      <c r="CT823" s="1241"/>
      <c r="CU823" s="1241"/>
      <c r="CV823" s="1241"/>
      <c r="CW823" s="1241"/>
      <c r="CX823" s="1241"/>
      <c r="CY823" s="1241"/>
      <c r="CZ823" s="1241"/>
      <c r="DA823" s="1241"/>
      <c r="DB823" s="1241"/>
      <c r="DC823" s="1241"/>
      <c r="DD823" s="1241"/>
      <c r="DE823" s="1241"/>
      <c r="DF823" s="1241"/>
      <c r="DG823" s="1241"/>
      <c r="DH823" s="1241"/>
      <c r="DI823" s="1241"/>
      <c r="DJ823" s="1241"/>
      <c r="DK823" s="1241"/>
      <c r="DL823" s="1241"/>
      <c r="DM823" s="1241"/>
    </row>
    <row r="824" spans="1:117" s="1302" customFormat="1">
      <c r="A824" s="1241"/>
      <c r="B824" s="1468" t="s">
        <v>4323</v>
      </c>
      <c r="C824" s="1241"/>
      <c r="D824" s="1241"/>
      <c r="E824" s="1470">
        <v>7.6470588235294104E-3</v>
      </c>
      <c r="F824" s="1470">
        <v>-4.4544695221073599E-3</v>
      </c>
      <c r="G824" s="1552">
        <v>0.28999999999999998</v>
      </c>
      <c r="H824" s="1552">
        <v>0.2645446952210736</v>
      </c>
      <c r="I824" s="1552">
        <v>0.25563575617685885</v>
      </c>
      <c r="J824" s="1552">
        <v>0.23336340856632209</v>
      </c>
      <c r="K824" s="1552">
        <v>0.23529411764705882</v>
      </c>
      <c r="L824" s="1552">
        <v>0.27352941176470585</v>
      </c>
      <c r="M824" s="1552">
        <v>0.31176470588235294</v>
      </c>
      <c r="N824" s="1552">
        <v>0.35</v>
      </c>
      <c r="O824" s="1552">
        <v>0.22</v>
      </c>
      <c r="P824" s="1241"/>
      <c r="Q824" s="1241"/>
      <c r="R824" s="1241"/>
      <c r="S824" s="1241"/>
      <c r="T824" s="1241"/>
      <c r="U824" s="1241"/>
      <c r="V824" s="1241"/>
      <c r="W824" s="1241"/>
      <c r="X824" s="1241"/>
      <c r="Y824" s="1241"/>
      <c r="Z824" s="1241"/>
      <c r="AA824" s="1241"/>
      <c r="AB824" s="1241"/>
      <c r="AC824" s="1241"/>
      <c r="AD824" s="1241"/>
      <c r="AE824" s="1241"/>
      <c r="AF824" s="1241"/>
      <c r="AG824" s="1241"/>
      <c r="AH824" s="1241"/>
      <c r="AI824" s="1241"/>
      <c r="AJ824" s="1241"/>
      <c r="AK824" s="1241"/>
      <c r="AL824" s="1241"/>
      <c r="AM824" s="1241"/>
      <c r="AN824" s="1241"/>
      <c r="AO824" s="1241"/>
      <c r="AP824" s="1241"/>
      <c r="AQ824" s="1241"/>
      <c r="AR824" s="1241"/>
      <c r="AS824" s="1241"/>
      <c r="AT824" s="1241"/>
      <c r="AU824" s="1241"/>
      <c r="AV824" s="1241"/>
      <c r="AW824" s="1241"/>
      <c r="AX824" s="1241"/>
      <c r="AY824" s="1241"/>
      <c r="AZ824" s="1241"/>
      <c r="BA824" s="1241"/>
      <c r="BB824" s="1241"/>
      <c r="BC824" s="1241"/>
      <c r="BD824" s="1241"/>
      <c r="BE824" s="1241"/>
      <c r="BF824" s="1241"/>
      <c r="BG824" s="1241"/>
      <c r="BH824" s="1241"/>
      <c r="BI824" s="1241"/>
      <c r="BJ824" s="1241"/>
      <c r="BK824" s="1241"/>
      <c r="BL824" s="1241"/>
      <c r="BM824" s="1241"/>
      <c r="BN824" s="1241"/>
      <c r="BO824" s="1241"/>
      <c r="BP824" s="1241"/>
      <c r="BQ824" s="1241"/>
      <c r="BR824" s="1241"/>
      <c r="BS824" s="1241"/>
      <c r="BT824" s="1241"/>
      <c r="BU824" s="1241"/>
      <c r="BV824" s="1241"/>
      <c r="BW824" s="1241"/>
      <c r="BX824" s="1241"/>
      <c r="BY824" s="1241"/>
      <c r="BZ824" s="1241"/>
      <c r="CA824" s="1241"/>
      <c r="CB824" s="1241"/>
      <c r="CC824" s="1241"/>
      <c r="CD824" s="1241"/>
      <c r="CE824" s="1241"/>
      <c r="CF824" s="1241"/>
      <c r="CG824" s="1241"/>
      <c r="CH824" s="1241"/>
      <c r="CI824" s="1241"/>
      <c r="CJ824" s="1241"/>
      <c r="CK824" s="1241"/>
      <c r="CL824" s="1241"/>
      <c r="CM824" s="1241"/>
      <c r="CN824" s="1241"/>
      <c r="CO824" s="1241"/>
      <c r="CP824" s="1241"/>
      <c r="CQ824" s="1241"/>
      <c r="CR824" s="1241"/>
      <c r="CS824" s="1241"/>
      <c r="CT824" s="1241"/>
      <c r="CU824" s="1241"/>
      <c r="CV824" s="1241"/>
      <c r="CW824" s="1241"/>
      <c r="CX824" s="1241"/>
      <c r="CY824" s="1241"/>
      <c r="CZ824" s="1241"/>
      <c r="DA824" s="1241"/>
      <c r="DB824" s="1241"/>
      <c r="DC824" s="1241"/>
      <c r="DD824" s="1241"/>
      <c r="DE824" s="1241"/>
      <c r="DF824" s="1241"/>
      <c r="DG824" s="1241"/>
      <c r="DH824" s="1241"/>
      <c r="DI824" s="1241"/>
      <c r="DJ824" s="1241"/>
      <c r="DK824" s="1241"/>
      <c r="DL824" s="1241"/>
      <c r="DM824" s="1241"/>
    </row>
    <row r="825" spans="1:117" s="1302" customFormat="1">
      <c r="A825" s="1241"/>
      <c r="B825" s="1468" t="s">
        <v>4324</v>
      </c>
      <c r="C825" s="1241"/>
      <c r="D825" s="1241"/>
      <c r="E825" s="1470"/>
      <c r="F825" s="1470"/>
      <c r="G825" s="1552">
        <v>0.02</v>
      </c>
      <c r="H825" s="1552">
        <v>1.7145217930179715E-2</v>
      </c>
      <c r="I825" s="1552">
        <v>1.7145217930179715E-2</v>
      </c>
      <c r="J825" s="1552">
        <v>1.7145217930179715E-2</v>
      </c>
      <c r="K825" s="1552">
        <v>1.7145217930179715E-2</v>
      </c>
      <c r="L825" s="1552">
        <v>1.7145217930179715E-2</v>
      </c>
      <c r="M825" s="1552">
        <v>1.7145217930179715E-2</v>
      </c>
      <c r="N825" s="1552">
        <v>1.7145217930179715E-2</v>
      </c>
      <c r="O825" s="1552">
        <v>1.7145217930179715E-2</v>
      </c>
      <c r="P825" s="1241"/>
      <c r="Q825" s="1241"/>
      <c r="R825" s="1241"/>
      <c r="S825" s="1241"/>
      <c r="T825" s="1241"/>
      <c r="U825" s="1241"/>
      <c r="V825" s="1241"/>
      <c r="W825" s="1241"/>
      <c r="X825" s="1241"/>
      <c r="Y825" s="1241"/>
      <c r="Z825" s="1241"/>
      <c r="AA825" s="1241"/>
      <c r="AB825" s="1241"/>
      <c r="AC825" s="1241"/>
      <c r="AD825" s="1241"/>
      <c r="AE825" s="1241"/>
      <c r="AF825" s="1241"/>
      <c r="AG825" s="1241"/>
      <c r="AH825" s="1241"/>
      <c r="AI825" s="1241"/>
      <c r="AJ825" s="1241"/>
      <c r="AK825" s="1241"/>
      <c r="AL825" s="1241"/>
      <c r="AM825" s="1241"/>
      <c r="AN825" s="1241"/>
      <c r="AO825" s="1241"/>
      <c r="AP825" s="1241"/>
      <c r="AQ825" s="1241"/>
      <c r="AR825" s="1241"/>
      <c r="AS825" s="1241"/>
      <c r="AT825" s="1241"/>
      <c r="AU825" s="1241"/>
      <c r="AV825" s="1241"/>
      <c r="AW825" s="1241"/>
      <c r="AX825" s="1241"/>
      <c r="AY825" s="1241"/>
      <c r="AZ825" s="1241"/>
      <c r="BA825" s="1241"/>
      <c r="BB825" s="1241"/>
      <c r="BC825" s="1241"/>
      <c r="BD825" s="1241"/>
      <c r="BE825" s="1241"/>
      <c r="BF825" s="1241"/>
      <c r="BG825" s="1241"/>
      <c r="BH825" s="1241"/>
      <c r="BI825" s="1241"/>
      <c r="BJ825" s="1241"/>
      <c r="BK825" s="1241"/>
      <c r="BL825" s="1241"/>
      <c r="BM825" s="1241"/>
      <c r="BN825" s="1241"/>
      <c r="BO825" s="1241"/>
      <c r="BP825" s="1241"/>
      <c r="BQ825" s="1241"/>
      <c r="BR825" s="1241"/>
      <c r="BS825" s="1241"/>
      <c r="BT825" s="1241"/>
      <c r="BU825" s="1241"/>
      <c r="BV825" s="1241"/>
      <c r="BW825" s="1241"/>
      <c r="BX825" s="1241"/>
      <c r="BY825" s="1241"/>
      <c r="BZ825" s="1241"/>
      <c r="CA825" s="1241"/>
      <c r="CB825" s="1241"/>
      <c r="CC825" s="1241"/>
      <c r="CD825" s="1241"/>
      <c r="CE825" s="1241"/>
      <c r="CF825" s="1241"/>
      <c r="CG825" s="1241"/>
      <c r="CH825" s="1241"/>
      <c r="CI825" s="1241"/>
      <c r="CJ825" s="1241"/>
      <c r="CK825" s="1241"/>
      <c r="CL825" s="1241"/>
      <c r="CM825" s="1241"/>
      <c r="CN825" s="1241"/>
      <c r="CO825" s="1241"/>
      <c r="CP825" s="1241"/>
      <c r="CQ825" s="1241"/>
      <c r="CR825" s="1241"/>
      <c r="CS825" s="1241"/>
      <c r="CT825" s="1241"/>
      <c r="CU825" s="1241"/>
      <c r="CV825" s="1241"/>
      <c r="CW825" s="1241"/>
      <c r="CX825" s="1241"/>
      <c r="CY825" s="1241"/>
      <c r="CZ825" s="1241"/>
      <c r="DA825" s="1241"/>
      <c r="DB825" s="1241"/>
      <c r="DC825" s="1241"/>
      <c r="DD825" s="1241"/>
      <c r="DE825" s="1241"/>
      <c r="DF825" s="1241"/>
      <c r="DG825" s="1241"/>
      <c r="DH825" s="1241"/>
      <c r="DI825" s="1241"/>
      <c r="DJ825" s="1241"/>
      <c r="DK825" s="1241"/>
      <c r="DL825" s="1241"/>
      <c r="DM825" s="1241"/>
    </row>
    <row r="826" spans="1:117" s="1302" customFormat="1">
      <c r="A826" s="1243"/>
      <c r="B826" s="1243" t="s">
        <v>4325</v>
      </c>
      <c r="C826" s="1214"/>
      <c r="D826" s="1243"/>
      <c r="E826" s="1472"/>
      <c r="F826" s="1472"/>
      <c r="G826" s="1552">
        <v>0.16189999999999993</v>
      </c>
      <c r="H826" s="1552">
        <v>0.10172889180280753</v>
      </c>
      <c r="I826" s="1552">
        <v>9.3954069856210132E-2</v>
      </c>
      <c r="J826" s="1552">
        <v>7.4517014989716412E-2</v>
      </c>
      <c r="K826" s="1552">
        <v>7.1090076187467433E-2</v>
      </c>
      <c r="L826" s="1552">
        <v>9.1678311481585006E-2</v>
      </c>
      <c r="M826" s="1552">
        <v>0.11226654677570258</v>
      </c>
      <c r="N826" s="1552">
        <v>0.13285478206982027</v>
      </c>
      <c r="O826" s="1552">
        <v>6.2854782069820314E-2</v>
      </c>
      <c r="P826" s="1241"/>
      <c r="Q826" s="1241"/>
      <c r="R826" s="1241"/>
      <c r="S826" s="1241"/>
      <c r="T826" s="1241"/>
      <c r="U826" s="1241"/>
      <c r="V826" s="1241"/>
      <c r="W826" s="1241"/>
      <c r="X826" s="1241"/>
      <c r="Y826" s="1241"/>
      <c r="Z826" s="1241"/>
      <c r="AA826" s="1241"/>
      <c r="AB826" s="1241"/>
      <c r="AC826" s="1241"/>
      <c r="AD826" s="1241"/>
      <c r="AE826" s="1241"/>
      <c r="AF826" s="1241"/>
      <c r="AG826" s="1241"/>
      <c r="AH826" s="1241"/>
      <c r="AI826" s="1241"/>
      <c r="AJ826" s="1241"/>
      <c r="AK826" s="1241"/>
      <c r="AL826" s="1241"/>
      <c r="AM826" s="1241"/>
      <c r="AN826" s="1241"/>
      <c r="AO826" s="1241"/>
      <c r="AP826" s="1241"/>
      <c r="AQ826" s="1241"/>
      <c r="AR826" s="1241"/>
      <c r="AS826" s="1241"/>
      <c r="AT826" s="1241"/>
      <c r="AU826" s="1241"/>
      <c r="AV826" s="1241"/>
      <c r="AW826" s="1241"/>
      <c r="AX826" s="1241"/>
      <c r="AY826" s="1241"/>
      <c r="AZ826" s="1241"/>
      <c r="BA826" s="1241"/>
      <c r="BB826" s="1241"/>
      <c r="BC826" s="1241"/>
      <c r="BD826" s="1241"/>
      <c r="BE826" s="1241"/>
      <c r="BF826" s="1241"/>
      <c r="BG826" s="1241"/>
      <c r="BH826" s="1241"/>
      <c r="BI826" s="1241"/>
      <c r="BJ826" s="1241"/>
      <c r="BK826" s="1241"/>
      <c r="BL826" s="1241"/>
      <c r="BM826" s="1241"/>
      <c r="BN826" s="1241"/>
      <c r="BO826" s="1241"/>
      <c r="BP826" s="1241"/>
      <c r="BQ826" s="1241"/>
      <c r="BR826" s="1241"/>
      <c r="BS826" s="1241"/>
      <c r="BT826" s="1241"/>
      <c r="BU826" s="1241"/>
      <c r="BV826" s="1241"/>
      <c r="BW826" s="1241"/>
      <c r="BX826" s="1241"/>
      <c r="BY826" s="1241"/>
      <c r="BZ826" s="1241"/>
      <c r="CA826" s="1241"/>
      <c r="CB826" s="1241"/>
      <c r="CC826" s="1241"/>
      <c r="CD826" s="1241"/>
      <c r="CE826" s="1241"/>
      <c r="CF826" s="1241"/>
      <c r="CG826" s="1241"/>
      <c r="CH826" s="1241"/>
      <c r="CI826" s="1241"/>
      <c r="CJ826" s="1241"/>
      <c r="CK826" s="1241"/>
      <c r="CL826" s="1241"/>
      <c r="CM826" s="1241"/>
      <c r="CN826" s="1241"/>
      <c r="CO826" s="1241"/>
      <c r="CP826" s="1241"/>
      <c r="CQ826" s="1241"/>
      <c r="CR826" s="1241"/>
      <c r="CS826" s="1241"/>
      <c r="CT826" s="1241"/>
      <c r="CU826" s="1241"/>
      <c r="CV826" s="1241"/>
      <c r="CW826" s="1241"/>
      <c r="CX826" s="1241"/>
      <c r="CY826" s="1241"/>
      <c r="CZ826" s="1241"/>
      <c r="DA826" s="1241"/>
      <c r="DB826" s="1241"/>
      <c r="DC826" s="1241"/>
      <c r="DD826" s="1241"/>
      <c r="DE826" s="1241"/>
      <c r="DF826" s="1241"/>
      <c r="DG826" s="1241"/>
      <c r="DH826" s="1241"/>
      <c r="DI826" s="1241"/>
      <c r="DJ826" s="1241"/>
      <c r="DK826" s="1241"/>
      <c r="DL826" s="1241"/>
      <c r="DM826" s="1241"/>
    </row>
    <row r="827" spans="1:117" s="1302" customFormat="1">
      <c r="A827" s="1243"/>
      <c r="B827" s="1243"/>
      <c r="C827" s="1214"/>
      <c r="D827" s="1243"/>
      <c r="E827" s="1215"/>
      <c r="F827" s="1472"/>
      <c r="G827" s="1552"/>
      <c r="H827" s="1552"/>
      <c r="I827" s="1552"/>
      <c r="J827" s="1552"/>
      <c r="K827" s="1552"/>
      <c r="L827" s="1552"/>
      <c r="M827" s="1552"/>
      <c r="N827" s="1552"/>
      <c r="O827" s="1552"/>
      <c r="P827" s="1241"/>
      <c r="Q827" s="1241"/>
      <c r="R827" s="1241"/>
      <c r="S827" s="1241"/>
      <c r="T827" s="1241"/>
      <c r="U827" s="1241"/>
      <c r="V827" s="1241"/>
      <c r="W827" s="1241"/>
      <c r="X827" s="1241"/>
      <c r="Y827" s="1241"/>
      <c r="Z827" s="1241"/>
      <c r="AA827" s="1241"/>
      <c r="AB827" s="1241"/>
      <c r="AC827" s="1241"/>
      <c r="AD827" s="1241"/>
      <c r="AE827" s="1241"/>
      <c r="AF827" s="1241"/>
      <c r="AG827" s="1241"/>
      <c r="AH827" s="1241"/>
      <c r="AI827" s="1241"/>
      <c r="AJ827" s="1241"/>
      <c r="AK827" s="1241"/>
      <c r="AL827" s="1241"/>
      <c r="AM827" s="1241"/>
      <c r="AN827" s="1241"/>
      <c r="AO827" s="1241"/>
      <c r="AP827" s="1241"/>
      <c r="AQ827" s="1241"/>
      <c r="AR827" s="1241"/>
      <c r="AS827" s="1241"/>
      <c r="AT827" s="1241"/>
      <c r="AU827" s="1241"/>
      <c r="AV827" s="1241"/>
      <c r="AW827" s="1241"/>
      <c r="AX827" s="1241"/>
      <c r="AY827" s="1241"/>
      <c r="AZ827" s="1241"/>
      <c r="BA827" s="1241"/>
      <c r="BB827" s="1241"/>
      <c r="BC827" s="1241"/>
      <c r="BD827" s="1241"/>
      <c r="BE827" s="1241"/>
      <c r="BF827" s="1241"/>
      <c r="BG827" s="1241"/>
      <c r="BH827" s="1241"/>
      <c r="BI827" s="1241"/>
      <c r="BJ827" s="1241"/>
      <c r="BK827" s="1241"/>
      <c r="BL827" s="1241"/>
      <c r="BM827" s="1241"/>
      <c r="BN827" s="1241"/>
      <c r="BO827" s="1241"/>
      <c r="BP827" s="1241"/>
      <c r="BQ827" s="1241"/>
      <c r="BR827" s="1241"/>
      <c r="BS827" s="1241"/>
      <c r="BT827" s="1241"/>
      <c r="BU827" s="1241"/>
      <c r="BV827" s="1241"/>
      <c r="BW827" s="1241"/>
      <c r="BX827" s="1241"/>
      <c r="BY827" s="1241"/>
      <c r="BZ827" s="1241"/>
      <c r="CA827" s="1241"/>
      <c r="CB827" s="1241"/>
      <c r="CC827" s="1241"/>
      <c r="CD827" s="1241"/>
      <c r="CE827" s="1241"/>
      <c r="CF827" s="1241"/>
      <c r="CG827" s="1241"/>
      <c r="CH827" s="1241"/>
      <c r="CI827" s="1241"/>
      <c r="CJ827" s="1241"/>
      <c r="CK827" s="1241"/>
      <c r="CL827" s="1241"/>
      <c r="CM827" s="1241"/>
      <c r="CN827" s="1241"/>
      <c r="CO827" s="1241"/>
      <c r="CP827" s="1241"/>
      <c r="CQ827" s="1241"/>
      <c r="CR827" s="1241"/>
      <c r="CS827" s="1241"/>
      <c r="CT827" s="1241"/>
      <c r="CU827" s="1241"/>
      <c r="CV827" s="1241"/>
      <c r="CW827" s="1241"/>
      <c r="CX827" s="1241"/>
      <c r="CY827" s="1241"/>
      <c r="CZ827" s="1241"/>
      <c r="DA827" s="1241"/>
      <c r="DB827" s="1241"/>
      <c r="DC827" s="1241"/>
      <c r="DD827" s="1241"/>
      <c r="DE827" s="1241"/>
      <c r="DF827" s="1241"/>
      <c r="DG827" s="1241"/>
      <c r="DH827" s="1241"/>
      <c r="DI827" s="1241"/>
      <c r="DJ827" s="1241"/>
      <c r="DK827" s="1241"/>
      <c r="DL827" s="1241"/>
      <c r="DM827" s="1241"/>
    </row>
    <row r="828" spans="1:117" s="1302" customFormat="1">
      <c r="A828" s="1243"/>
      <c r="B828" s="1214" t="s">
        <v>4326</v>
      </c>
      <c r="C828" s="1214"/>
      <c r="D828" s="1243" t="s">
        <v>3925</v>
      </c>
      <c r="E828" s="1215"/>
      <c r="F828" s="1472"/>
      <c r="G828" s="1552"/>
      <c r="H828" s="1552"/>
      <c r="I828" s="1552"/>
      <c r="J828" s="1552"/>
      <c r="K828" s="1552"/>
      <c r="L828" s="1552"/>
      <c r="M828" s="1552"/>
      <c r="N828" s="1552"/>
      <c r="O828" s="1552"/>
      <c r="P828" s="1241"/>
      <c r="Q828" s="1241"/>
      <c r="R828" s="1241"/>
      <c r="S828" s="1241"/>
      <c r="T828" s="1241"/>
      <c r="U828" s="1241"/>
      <c r="V828" s="1241"/>
      <c r="W828" s="1241"/>
      <c r="X828" s="1241"/>
      <c r="Y828" s="1241"/>
      <c r="Z828" s="1241"/>
      <c r="AA828" s="1241"/>
      <c r="AB828" s="1241"/>
      <c r="AC828" s="1241"/>
      <c r="AD828" s="1241"/>
      <c r="AE828" s="1241"/>
      <c r="AF828" s="1241"/>
      <c r="AG828" s="1241"/>
      <c r="AH828" s="1241"/>
      <c r="AI828" s="1241"/>
      <c r="AJ828" s="1241"/>
      <c r="AK828" s="1241"/>
      <c r="AL828" s="1241"/>
      <c r="AM828" s="1241"/>
      <c r="AN828" s="1241"/>
      <c r="AO828" s="1241"/>
      <c r="AP828" s="1241"/>
      <c r="AQ828" s="1241"/>
      <c r="AR828" s="1241"/>
      <c r="AS828" s="1241"/>
      <c r="AT828" s="1241"/>
      <c r="AU828" s="1241"/>
      <c r="AV828" s="1241"/>
      <c r="AW828" s="1241"/>
      <c r="AX828" s="1241"/>
      <c r="AY828" s="1241"/>
      <c r="AZ828" s="1241"/>
      <c r="BA828" s="1241"/>
      <c r="BB828" s="1241"/>
      <c r="BC828" s="1241"/>
      <c r="BD828" s="1241"/>
      <c r="BE828" s="1241"/>
      <c r="BF828" s="1241"/>
      <c r="BG828" s="1241"/>
      <c r="BH828" s="1241"/>
      <c r="BI828" s="1241"/>
      <c r="BJ828" s="1241"/>
      <c r="BK828" s="1241"/>
      <c r="BL828" s="1241"/>
      <c r="BM828" s="1241"/>
      <c r="BN828" s="1241"/>
      <c r="BO828" s="1241"/>
      <c r="BP828" s="1241"/>
      <c r="BQ828" s="1241"/>
      <c r="BR828" s="1241"/>
      <c r="BS828" s="1241"/>
      <c r="BT828" s="1241"/>
      <c r="BU828" s="1241"/>
      <c r="BV828" s="1241"/>
      <c r="BW828" s="1241"/>
      <c r="BX828" s="1241"/>
      <c r="BY828" s="1241"/>
      <c r="BZ828" s="1241"/>
      <c r="CA828" s="1241"/>
      <c r="CB828" s="1241"/>
      <c r="CC828" s="1241"/>
      <c r="CD828" s="1241"/>
      <c r="CE828" s="1241"/>
      <c r="CF828" s="1241"/>
      <c r="CG828" s="1241"/>
      <c r="CH828" s="1241"/>
      <c r="CI828" s="1241"/>
      <c r="CJ828" s="1241"/>
      <c r="CK828" s="1241"/>
      <c r="CL828" s="1241"/>
      <c r="CM828" s="1241"/>
      <c r="CN828" s="1241"/>
      <c r="CO828" s="1241"/>
      <c r="CP828" s="1241"/>
      <c r="CQ828" s="1241"/>
      <c r="CR828" s="1241"/>
      <c r="CS828" s="1241"/>
      <c r="CT828" s="1241"/>
      <c r="CU828" s="1241"/>
      <c r="CV828" s="1241"/>
      <c r="CW828" s="1241"/>
      <c r="CX828" s="1241"/>
      <c r="CY828" s="1241"/>
      <c r="CZ828" s="1241"/>
      <c r="DA828" s="1241"/>
      <c r="DB828" s="1241"/>
      <c r="DC828" s="1241"/>
      <c r="DD828" s="1241"/>
      <c r="DE828" s="1241"/>
      <c r="DF828" s="1241"/>
      <c r="DG828" s="1241"/>
      <c r="DH828" s="1241"/>
      <c r="DI828" s="1241"/>
      <c r="DJ828" s="1241"/>
      <c r="DK828" s="1241"/>
      <c r="DL828" s="1241"/>
      <c r="DM828" s="1241"/>
    </row>
    <row r="829" spans="1:117" s="1302" customFormat="1">
      <c r="A829" s="1243"/>
      <c r="B829" s="1468" t="s">
        <v>4322</v>
      </c>
      <c r="C829" s="1214"/>
      <c r="D829" s="1243"/>
      <c r="E829" s="1553">
        <v>61.698819123370441</v>
      </c>
      <c r="F829" s="1472"/>
      <c r="G829" s="1554">
        <v>46.990338000000001</v>
      </c>
      <c r="H829" s="1554">
        <v>60.029581928510474</v>
      </c>
      <c r="I829" s="1554">
        <v>73.470398063842168</v>
      </c>
      <c r="J829" s="1554">
        <v>120.88862841118596</v>
      </c>
      <c r="K829" s="1554">
        <v>180.30953905608808</v>
      </c>
      <c r="L829" s="1554">
        <v>215.60901378105524</v>
      </c>
      <c r="M829" s="1554">
        <v>246.64618910601072</v>
      </c>
      <c r="N829" s="1554">
        <v>266.01952413689196</v>
      </c>
      <c r="O829" s="1554">
        <v>162.17959485410827</v>
      </c>
      <c r="P829" s="1241"/>
      <c r="Q829" s="1241"/>
      <c r="R829" s="1241"/>
      <c r="S829" s="1241"/>
      <c r="T829" s="1241"/>
      <c r="U829" s="1241"/>
      <c r="V829" s="1241"/>
      <c r="W829" s="1241"/>
      <c r="X829" s="1241"/>
      <c r="Y829" s="1241"/>
      <c r="Z829" s="1241"/>
      <c r="AA829" s="1241"/>
      <c r="AB829" s="1241"/>
      <c r="AC829" s="1241"/>
      <c r="AD829" s="1241"/>
      <c r="AE829" s="1241"/>
      <c r="AF829" s="1241"/>
      <c r="AG829" s="1241"/>
      <c r="AH829" s="1241"/>
      <c r="AI829" s="1241"/>
      <c r="AJ829" s="1241"/>
      <c r="AK829" s="1241"/>
      <c r="AL829" s="1241"/>
      <c r="AM829" s="1241"/>
      <c r="AN829" s="1241"/>
      <c r="AO829" s="1241"/>
      <c r="AP829" s="1241"/>
      <c r="AQ829" s="1241"/>
      <c r="AR829" s="1241"/>
      <c r="AS829" s="1241"/>
      <c r="AT829" s="1241"/>
      <c r="AU829" s="1241"/>
      <c r="AV829" s="1241"/>
      <c r="AW829" s="1241"/>
      <c r="AX829" s="1241"/>
      <c r="AY829" s="1241"/>
      <c r="AZ829" s="1241"/>
      <c r="BA829" s="1241"/>
      <c r="BB829" s="1241"/>
      <c r="BC829" s="1241"/>
      <c r="BD829" s="1241"/>
      <c r="BE829" s="1241"/>
      <c r="BF829" s="1241"/>
      <c r="BG829" s="1241"/>
      <c r="BH829" s="1241"/>
      <c r="BI829" s="1241"/>
      <c r="BJ829" s="1241"/>
      <c r="BK829" s="1241"/>
      <c r="BL829" s="1241"/>
      <c r="BM829" s="1241"/>
      <c r="BN829" s="1241"/>
      <c r="BO829" s="1241"/>
      <c r="BP829" s="1241"/>
      <c r="BQ829" s="1241"/>
      <c r="BR829" s="1241"/>
      <c r="BS829" s="1241"/>
      <c r="BT829" s="1241"/>
      <c r="BU829" s="1241"/>
      <c r="BV829" s="1241"/>
      <c r="BW829" s="1241"/>
      <c r="BX829" s="1241"/>
      <c r="BY829" s="1241"/>
      <c r="BZ829" s="1241"/>
      <c r="CA829" s="1241"/>
      <c r="CB829" s="1241"/>
      <c r="CC829" s="1241"/>
      <c r="CD829" s="1241"/>
      <c r="CE829" s="1241"/>
      <c r="CF829" s="1241"/>
      <c r="CG829" s="1241"/>
      <c r="CH829" s="1241"/>
      <c r="CI829" s="1241"/>
      <c r="CJ829" s="1241"/>
      <c r="CK829" s="1241"/>
      <c r="CL829" s="1241"/>
      <c r="CM829" s="1241"/>
      <c r="CN829" s="1241"/>
      <c r="CO829" s="1241"/>
      <c r="CP829" s="1241"/>
      <c r="CQ829" s="1241"/>
      <c r="CR829" s="1241"/>
      <c r="CS829" s="1241"/>
      <c r="CT829" s="1241"/>
      <c r="CU829" s="1241"/>
      <c r="CV829" s="1241"/>
      <c r="CW829" s="1241"/>
      <c r="CX829" s="1241"/>
      <c r="CY829" s="1241"/>
      <c r="CZ829" s="1241"/>
      <c r="DA829" s="1241"/>
      <c r="DB829" s="1241"/>
      <c r="DC829" s="1241"/>
      <c r="DD829" s="1241"/>
      <c r="DE829" s="1241"/>
      <c r="DF829" s="1241"/>
      <c r="DG829" s="1241"/>
      <c r="DH829" s="1241"/>
      <c r="DI829" s="1241"/>
      <c r="DJ829" s="1241"/>
      <c r="DK829" s="1241"/>
      <c r="DL829" s="1241"/>
      <c r="DM829" s="1241"/>
    </row>
    <row r="830" spans="1:117" s="1302" customFormat="1">
      <c r="A830" s="1243"/>
      <c r="B830" s="1468" t="s">
        <v>4323</v>
      </c>
      <c r="C830" s="1214"/>
      <c r="D830" s="1243"/>
      <c r="E830" s="1215"/>
      <c r="F830" s="1472"/>
      <c r="G830" s="1554">
        <v>25.804199999999998</v>
      </c>
      <c r="H830" s="1554">
        <v>25.755744066023738</v>
      </c>
      <c r="I830" s="1554">
        <v>29.658455890578502</v>
      </c>
      <c r="J830" s="1554">
        <v>41.795635681715851</v>
      </c>
      <c r="K830" s="1554">
        <v>62.716361410813249</v>
      </c>
      <c r="L830" s="1554">
        <v>95.483991817324451</v>
      </c>
      <c r="M830" s="1554">
        <v>137.60261076440597</v>
      </c>
      <c r="N830" s="1554">
        <v>186.21366689582436</v>
      </c>
      <c r="O830" s="1554">
        <v>50.970729811291172</v>
      </c>
      <c r="P830" s="1241"/>
      <c r="Q830" s="1241"/>
      <c r="R830" s="1241"/>
      <c r="S830" s="1241"/>
      <c r="T830" s="1241"/>
      <c r="U830" s="1241"/>
      <c r="V830" s="1241"/>
      <c r="W830" s="1241"/>
      <c r="X830" s="1241"/>
      <c r="Y830" s="1241"/>
      <c r="Z830" s="1241"/>
      <c r="AA830" s="1241"/>
      <c r="AB830" s="1241"/>
      <c r="AC830" s="1241"/>
      <c r="AD830" s="1241"/>
      <c r="AE830" s="1241"/>
      <c r="AF830" s="1241"/>
      <c r="AG830" s="1241"/>
      <c r="AH830" s="1241"/>
      <c r="AI830" s="1241"/>
      <c r="AJ830" s="1241"/>
      <c r="AK830" s="1241"/>
      <c r="AL830" s="1241"/>
      <c r="AM830" s="1241"/>
      <c r="AN830" s="1241"/>
      <c r="AO830" s="1241"/>
      <c r="AP830" s="1241"/>
      <c r="AQ830" s="1241"/>
      <c r="AR830" s="1241"/>
      <c r="AS830" s="1241"/>
      <c r="AT830" s="1241"/>
      <c r="AU830" s="1241"/>
      <c r="AV830" s="1241"/>
      <c r="AW830" s="1241"/>
      <c r="AX830" s="1241"/>
      <c r="AY830" s="1241"/>
      <c r="AZ830" s="1241"/>
      <c r="BA830" s="1241"/>
      <c r="BB830" s="1241"/>
      <c r="BC830" s="1241"/>
      <c r="BD830" s="1241"/>
      <c r="BE830" s="1241"/>
      <c r="BF830" s="1241"/>
      <c r="BG830" s="1241"/>
      <c r="BH830" s="1241"/>
      <c r="BI830" s="1241"/>
      <c r="BJ830" s="1241"/>
      <c r="BK830" s="1241"/>
      <c r="BL830" s="1241"/>
      <c r="BM830" s="1241"/>
      <c r="BN830" s="1241"/>
      <c r="BO830" s="1241"/>
      <c r="BP830" s="1241"/>
      <c r="BQ830" s="1241"/>
      <c r="BR830" s="1241"/>
      <c r="BS830" s="1241"/>
      <c r="BT830" s="1241"/>
      <c r="BU830" s="1241"/>
      <c r="BV830" s="1241"/>
      <c r="BW830" s="1241"/>
      <c r="BX830" s="1241"/>
      <c r="BY830" s="1241"/>
      <c r="BZ830" s="1241"/>
      <c r="CA830" s="1241"/>
      <c r="CB830" s="1241"/>
      <c r="CC830" s="1241"/>
      <c r="CD830" s="1241"/>
      <c r="CE830" s="1241"/>
      <c r="CF830" s="1241"/>
      <c r="CG830" s="1241"/>
      <c r="CH830" s="1241"/>
      <c r="CI830" s="1241"/>
      <c r="CJ830" s="1241"/>
      <c r="CK830" s="1241"/>
      <c r="CL830" s="1241"/>
      <c r="CM830" s="1241"/>
      <c r="CN830" s="1241"/>
      <c r="CO830" s="1241"/>
      <c r="CP830" s="1241"/>
      <c r="CQ830" s="1241"/>
      <c r="CR830" s="1241"/>
      <c r="CS830" s="1241"/>
      <c r="CT830" s="1241"/>
      <c r="CU830" s="1241"/>
      <c r="CV830" s="1241"/>
      <c r="CW830" s="1241"/>
      <c r="CX830" s="1241"/>
      <c r="CY830" s="1241"/>
      <c r="CZ830" s="1241"/>
      <c r="DA830" s="1241"/>
      <c r="DB830" s="1241"/>
      <c r="DC830" s="1241"/>
      <c r="DD830" s="1241"/>
      <c r="DE830" s="1241"/>
      <c r="DF830" s="1241"/>
      <c r="DG830" s="1241"/>
      <c r="DH830" s="1241"/>
      <c r="DI830" s="1241"/>
      <c r="DJ830" s="1241"/>
      <c r="DK830" s="1241"/>
      <c r="DL830" s="1241"/>
      <c r="DM830" s="1241"/>
    </row>
    <row r="831" spans="1:117" s="1302" customFormat="1">
      <c r="A831" s="1243"/>
      <c r="B831" s="1468" t="s">
        <v>4324</v>
      </c>
      <c r="C831" s="1214"/>
      <c r="D831" s="1243"/>
      <c r="E831" s="1215"/>
      <c r="F831" s="1472"/>
      <c r="G831" s="1554">
        <v>1.7796000000000001</v>
      </c>
      <c r="H831" s="1554">
        <v>1.6692371948599676</v>
      </c>
      <c r="I831" s="1554">
        <v>1.9891610521213237</v>
      </c>
      <c r="J831" s="1554">
        <v>3.0707268405781649</v>
      </c>
      <c r="K831" s="1554">
        <v>4.5699641577493031</v>
      </c>
      <c r="L831" s="1554">
        <v>5.9850742850270784</v>
      </c>
      <c r="M831" s="1554">
        <v>7.5673310827162963</v>
      </c>
      <c r="N831" s="1554">
        <v>9.1219254300194308</v>
      </c>
      <c r="O831" s="1554">
        <v>3.9722921394313415</v>
      </c>
      <c r="P831" s="1241"/>
      <c r="Q831" s="1241"/>
      <c r="R831" s="1241"/>
      <c r="S831" s="1241"/>
      <c r="T831" s="1241"/>
      <c r="U831" s="1241"/>
      <c r="V831" s="1241"/>
      <c r="W831" s="1241"/>
      <c r="X831" s="1241"/>
      <c r="Y831" s="1241"/>
      <c r="Z831" s="1241"/>
      <c r="AA831" s="1241"/>
      <c r="AB831" s="1241"/>
      <c r="AC831" s="1241"/>
      <c r="AD831" s="1241"/>
      <c r="AE831" s="1241"/>
      <c r="AF831" s="1241"/>
      <c r="AG831" s="1241"/>
      <c r="AH831" s="1241"/>
      <c r="AI831" s="1241"/>
      <c r="AJ831" s="1241"/>
      <c r="AK831" s="1241"/>
      <c r="AL831" s="1241"/>
      <c r="AM831" s="1241"/>
      <c r="AN831" s="1241"/>
      <c r="AO831" s="1241"/>
      <c r="AP831" s="1241"/>
      <c r="AQ831" s="1241"/>
      <c r="AR831" s="1241"/>
      <c r="AS831" s="1241"/>
      <c r="AT831" s="1241"/>
      <c r="AU831" s="1241"/>
      <c r="AV831" s="1241"/>
      <c r="AW831" s="1241"/>
      <c r="AX831" s="1241"/>
      <c r="AY831" s="1241"/>
      <c r="AZ831" s="1241"/>
      <c r="BA831" s="1241"/>
      <c r="BB831" s="1241"/>
      <c r="BC831" s="1241"/>
      <c r="BD831" s="1241"/>
      <c r="BE831" s="1241"/>
      <c r="BF831" s="1241"/>
      <c r="BG831" s="1241"/>
      <c r="BH831" s="1241"/>
      <c r="BI831" s="1241"/>
      <c r="BJ831" s="1241"/>
      <c r="BK831" s="1241"/>
      <c r="BL831" s="1241"/>
      <c r="BM831" s="1241"/>
      <c r="BN831" s="1241"/>
      <c r="BO831" s="1241"/>
      <c r="BP831" s="1241"/>
      <c r="BQ831" s="1241"/>
      <c r="BR831" s="1241"/>
      <c r="BS831" s="1241"/>
      <c r="BT831" s="1241"/>
      <c r="BU831" s="1241"/>
      <c r="BV831" s="1241"/>
      <c r="BW831" s="1241"/>
      <c r="BX831" s="1241"/>
      <c r="BY831" s="1241"/>
      <c r="BZ831" s="1241"/>
      <c r="CA831" s="1241"/>
      <c r="CB831" s="1241"/>
      <c r="CC831" s="1241"/>
      <c r="CD831" s="1241"/>
      <c r="CE831" s="1241"/>
      <c r="CF831" s="1241"/>
      <c r="CG831" s="1241"/>
      <c r="CH831" s="1241"/>
      <c r="CI831" s="1241"/>
      <c r="CJ831" s="1241"/>
      <c r="CK831" s="1241"/>
      <c r="CL831" s="1241"/>
      <c r="CM831" s="1241"/>
      <c r="CN831" s="1241"/>
      <c r="CO831" s="1241"/>
      <c r="CP831" s="1241"/>
      <c r="CQ831" s="1241"/>
      <c r="CR831" s="1241"/>
      <c r="CS831" s="1241"/>
      <c r="CT831" s="1241"/>
      <c r="CU831" s="1241"/>
      <c r="CV831" s="1241"/>
      <c r="CW831" s="1241"/>
      <c r="CX831" s="1241"/>
      <c r="CY831" s="1241"/>
      <c r="CZ831" s="1241"/>
      <c r="DA831" s="1241"/>
      <c r="DB831" s="1241"/>
      <c r="DC831" s="1241"/>
      <c r="DD831" s="1241"/>
      <c r="DE831" s="1241"/>
      <c r="DF831" s="1241"/>
      <c r="DG831" s="1241"/>
      <c r="DH831" s="1241"/>
      <c r="DI831" s="1241"/>
      <c r="DJ831" s="1241"/>
      <c r="DK831" s="1241"/>
      <c r="DL831" s="1241"/>
      <c r="DM831" s="1241"/>
    </row>
    <row r="832" spans="1:117" s="1302" customFormat="1">
      <c r="A832" s="1243"/>
      <c r="B832" s="1243" t="s">
        <v>4325</v>
      </c>
      <c r="C832" s="1214"/>
      <c r="D832" s="1243"/>
      <c r="E832" s="1215"/>
      <c r="F832" s="1555"/>
      <c r="G832" s="1554">
        <v>14.405861999999996</v>
      </c>
      <c r="H832" s="1554">
        <v>9.9041989831010362</v>
      </c>
      <c r="I832" s="1554">
        <v>10.900402503329412</v>
      </c>
      <c r="J832" s="1554">
        <v>13.34607696096454</v>
      </c>
      <c r="K832" s="1554">
        <v>18.948671371305689</v>
      </c>
      <c r="L832" s="1554">
        <v>32.003180524015988</v>
      </c>
      <c r="M832" s="1554">
        <v>49.550733762886161</v>
      </c>
      <c r="N832" s="1554">
        <v>70.68393181104814</v>
      </c>
      <c r="O832" s="1554">
        <v>14.562518701038183</v>
      </c>
      <c r="P832" s="1241"/>
      <c r="Q832" s="1241"/>
      <c r="R832" s="1241"/>
      <c r="S832" s="1241"/>
      <c r="T832" s="1241"/>
      <c r="U832" s="1241"/>
      <c r="V832" s="1241"/>
      <c r="W832" s="1241"/>
      <c r="X832" s="1241"/>
      <c r="Y832" s="1241"/>
      <c r="Z832" s="1241"/>
      <c r="AA832" s="1241"/>
      <c r="AB832" s="1241"/>
      <c r="AC832" s="1241"/>
      <c r="AD832" s="1241"/>
      <c r="AE832" s="1241"/>
      <c r="AF832" s="1241"/>
      <c r="AG832" s="1241"/>
      <c r="AH832" s="1241"/>
      <c r="AI832" s="1241"/>
      <c r="AJ832" s="1241"/>
      <c r="AK832" s="1241"/>
      <c r="AL832" s="1241"/>
      <c r="AM832" s="1241"/>
      <c r="AN832" s="1241"/>
      <c r="AO832" s="1241"/>
      <c r="AP832" s="1241"/>
      <c r="AQ832" s="1241"/>
      <c r="AR832" s="1241"/>
      <c r="AS832" s="1241"/>
      <c r="AT832" s="1241"/>
      <c r="AU832" s="1241"/>
      <c r="AV832" s="1241"/>
      <c r="AW832" s="1241"/>
      <c r="AX832" s="1241"/>
      <c r="AY832" s="1241"/>
      <c r="AZ832" s="1241"/>
      <c r="BA832" s="1241"/>
      <c r="BB832" s="1241"/>
      <c r="BC832" s="1241"/>
      <c r="BD832" s="1241"/>
      <c r="BE832" s="1241"/>
      <c r="BF832" s="1241"/>
      <c r="BG832" s="1241"/>
      <c r="BH832" s="1241"/>
      <c r="BI832" s="1241"/>
      <c r="BJ832" s="1241"/>
      <c r="BK832" s="1241"/>
      <c r="BL832" s="1241"/>
      <c r="BM832" s="1241"/>
      <c r="BN832" s="1241"/>
      <c r="BO832" s="1241"/>
      <c r="BP832" s="1241"/>
      <c r="BQ832" s="1241"/>
      <c r="BR832" s="1241"/>
      <c r="BS832" s="1241"/>
      <c r="BT832" s="1241"/>
      <c r="BU832" s="1241"/>
      <c r="BV832" s="1241"/>
      <c r="BW832" s="1241"/>
      <c r="BX832" s="1241"/>
      <c r="BY832" s="1241"/>
      <c r="BZ832" s="1241"/>
      <c r="CA832" s="1241"/>
      <c r="CB832" s="1241"/>
      <c r="CC832" s="1241"/>
      <c r="CD832" s="1241"/>
      <c r="CE832" s="1241"/>
      <c r="CF832" s="1241"/>
      <c r="CG832" s="1241"/>
      <c r="CH832" s="1241"/>
      <c r="CI832" s="1241"/>
      <c r="CJ832" s="1241"/>
      <c r="CK832" s="1241"/>
      <c r="CL832" s="1241"/>
      <c r="CM832" s="1241"/>
      <c r="CN832" s="1241"/>
      <c r="CO832" s="1241"/>
      <c r="CP832" s="1241"/>
      <c r="CQ832" s="1241"/>
      <c r="CR832" s="1241"/>
      <c r="CS832" s="1241"/>
      <c r="CT832" s="1241"/>
      <c r="CU832" s="1241"/>
      <c r="CV832" s="1241"/>
      <c r="CW832" s="1241"/>
      <c r="CX832" s="1241"/>
      <c r="CY832" s="1241"/>
      <c r="CZ832" s="1241"/>
      <c r="DA832" s="1241"/>
      <c r="DB832" s="1241"/>
      <c r="DC832" s="1241"/>
      <c r="DD832" s="1241"/>
      <c r="DE832" s="1241"/>
      <c r="DF832" s="1241"/>
      <c r="DG832" s="1241"/>
      <c r="DH832" s="1241"/>
      <c r="DI832" s="1241"/>
      <c r="DJ832" s="1241"/>
      <c r="DK832" s="1241"/>
      <c r="DL832" s="1241"/>
      <c r="DM832" s="1241"/>
    </row>
    <row r="833" spans="1:117" s="1302" customFormat="1">
      <c r="A833" s="1243"/>
      <c r="B833" s="1214" t="s">
        <v>4327</v>
      </c>
      <c r="C833" s="1214"/>
      <c r="D833" s="1243"/>
      <c r="E833" s="1215"/>
      <c r="F833" s="1472"/>
      <c r="G833" s="1473"/>
      <c r="H833" s="1473">
        <v>49.050561203079504</v>
      </c>
      <c r="I833" s="1473">
        <v>59.990349497190977</v>
      </c>
      <c r="J833" s="1473">
        <v>98.547687425152489</v>
      </c>
      <c r="K833" s="1473">
        <v>146.97920505500073</v>
      </c>
      <c r="L833" s="1473">
        <v>176.16730001253543</v>
      </c>
      <c r="M833" s="1473">
        <v>202.09974855003799</v>
      </c>
      <c r="N833" s="1473">
        <v>218.73745240569454</v>
      </c>
      <c r="O833" s="1473">
        <v>132.090750159864</v>
      </c>
      <c r="P833" s="1241"/>
      <c r="Q833" s="1241"/>
      <c r="R833" s="1241"/>
      <c r="S833" s="1241"/>
      <c r="T833" s="1241"/>
      <c r="U833" s="1241"/>
      <c r="V833" s="1241"/>
      <c r="W833" s="1241"/>
      <c r="X833" s="1241"/>
      <c r="Y833" s="1241"/>
      <c r="Z833" s="1241"/>
      <c r="AA833" s="1241"/>
      <c r="AB833" s="1241"/>
      <c r="AC833" s="1241"/>
      <c r="AD833" s="1241"/>
      <c r="AE833" s="1241"/>
      <c r="AF833" s="1241"/>
      <c r="AG833" s="1241"/>
      <c r="AH833" s="1241"/>
      <c r="AI833" s="1241"/>
      <c r="AJ833" s="1241"/>
      <c r="AK833" s="1241"/>
      <c r="AL833" s="1241"/>
      <c r="AM833" s="1241"/>
      <c r="AN833" s="1241"/>
      <c r="AO833" s="1241"/>
      <c r="AP833" s="1241"/>
      <c r="AQ833" s="1241"/>
      <c r="AR833" s="1241"/>
      <c r="AS833" s="1241"/>
      <c r="AT833" s="1241"/>
      <c r="AU833" s="1241"/>
      <c r="AV833" s="1241"/>
      <c r="AW833" s="1241"/>
      <c r="AX833" s="1241"/>
      <c r="AY833" s="1241"/>
      <c r="AZ833" s="1241"/>
      <c r="BA833" s="1241"/>
      <c r="BB833" s="1241"/>
      <c r="BC833" s="1241"/>
      <c r="BD833" s="1241"/>
      <c r="BE833" s="1241"/>
      <c r="BF833" s="1241"/>
      <c r="BG833" s="1241"/>
      <c r="BH833" s="1241"/>
      <c r="BI833" s="1241"/>
      <c r="BJ833" s="1241"/>
      <c r="BK833" s="1241"/>
      <c r="BL833" s="1241"/>
      <c r="BM833" s="1241"/>
      <c r="BN833" s="1241"/>
      <c r="BO833" s="1241"/>
      <c r="BP833" s="1241"/>
      <c r="BQ833" s="1241"/>
      <c r="BR833" s="1241"/>
      <c r="BS833" s="1241"/>
      <c r="BT833" s="1241"/>
      <c r="BU833" s="1241"/>
      <c r="BV833" s="1241"/>
      <c r="BW833" s="1241"/>
      <c r="BX833" s="1241"/>
      <c r="BY833" s="1241"/>
      <c r="BZ833" s="1241"/>
      <c r="CA833" s="1241"/>
      <c r="CB833" s="1241"/>
      <c r="CC833" s="1241"/>
      <c r="CD833" s="1241"/>
      <c r="CE833" s="1241"/>
      <c r="CF833" s="1241"/>
      <c r="CG833" s="1241"/>
      <c r="CH833" s="1241"/>
      <c r="CI833" s="1241"/>
      <c r="CJ833" s="1241"/>
      <c r="CK833" s="1241"/>
      <c r="CL833" s="1241"/>
      <c r="CM833" s="1241"/>
      <c r="CN833" s="1241"/>
      <c r="CO833" s="1241"/>
      <c r="CP833" s="1241"/>
      <c r="CQ833" s="1241"/>
      <c r="CR833" s="1241"/>
      <c r="CS833" s="1241"/>
      <c r="CT833" s="1241"/>
      <c r="CU833" s="1241"/>
      <c r="CV833" s="1241"/>
      <c r="CW833" s="1241"/>
      <c r="CX833" s="1241"/>
      <c r="CY833" s="1241"/>
      <c r="CZ833" s="1241"/>
      <c r="DA833" s="1241"/>
      <c r="DB833" s="1241"/>
      <c r="DC833" s="1241"/>
      <c r="DD833" s="1241"/>
      <c r="DE833" s="1241"/>
      <c r="DF833" s="1241"/>
      <c r="DG833" s="1241"/>
      <c r="DH833" s="1241"/>
      <c r="DI833" s="1241"/>
      <c r="DJ833" s="1241"/>
      <c r="DK833" s="1241"/>
      <c r="DL833" s="1241"/>
      <c r="DM833" s="1241"/>
    </row>
    <row r="834" spans="1:117" s="1302" customFormat="1">
      <c r="A834" s="1243"/>
      <c r="B834" s="1243"/>
      <c r="C834" s="1214"/>
      <c r="D834" s="1243"/>
      <c r="E834" s="1215"/>
      <c r="F834" s="1472"/>
      <c r="G834" s="1556"/>
      <c r="H834" s="1556"/>
      <c r="I834" s="1556"/>
      <c r="J834" s="1556"/>
      <c r="K834" s="1556"/>
      <c r="L834" s="1556"/>
      <c r="M834" s="1556"/>
      <c r="N834" s="1556"/>
      <c r="O834" s="1472"/>
      <c r="P834" s="1241"/>
      <c r="Q834" s="1241"/>
      <c r="R834" s="1241"/>
      <c r="S834" s="1241"/>
      <c r="T834" s="1241"/>
      <c r="U834" s="1241"/>
      <c r="V834" s="1241"/>
      <c r="W834" s="1241"/>
      <c r="X834" s="1241"/>
      <c r="Y834" s="1241"/>
      <c r="Z834" s="1241"/>
      <c r="AA834" s="1241"/>
      <c r="AB834" s="1241"/>
      <c r="AC834" s="1241"/>
      <c r="AD834" s="1241"/>
      <c r="AE834" s="1241"/>
      <c r="AF834" s="1241"/>
      <c r="AG834" s="1241"/>
      <c r="AH834" s="1241"/>
      <c r="AI834" s="1241"/>
      <c r="AJ834" s="1241"/>
      <c r="AK834" s="1241"/>
      <c r="AL834" s="1241"/>
      <c r="AM834" s="1241"/>
      <c r="AN834" s="1241"/>
      <c r="AO834" s="1241"/>
      <c r="AP834" s="1241"/>
      <c r="AQ834" s="1241"/>
      <c r="AR834" s="1241"/>
      <c r="AS834" s="1241"/>
      <c r="AT834" s="1241"/>
      <c r="AU834" s="1241"/>
      <c r="AV834" s="1241"/>
      <c r="AW834" s="1241"/>
      <c r="AX834" s="1241"/>
      <c r="AY834" s="1241"/>
      <c r="AZ834" s="1241"/>
      <c r="BA834" s="1241"/>
      <c r="BB834" s="1241"/>
      <c r="BC834" s="1241"/>
      <c r="BD834" s="1241"/>
      <c r="BE834" s="1241"/>
      <c r="BF834" s="1241"/>
      <c r="BG834" s="1241"/>
      <c r="BH834" s="1241"/>
      <c r="BI834" s="1241"/>
      <c r="BJ834" s="1241"/>
      <c r="BK834" s="1241"/>
      <c r="BL834" s="1241"/>
      <c r="BM834" s="1241"/>
      <c r="BN834" s="1241"/>
      <c r="BO834" s="1241"/>
      <c r="BP834" s="1241"/>
      <c r="BQ834" s="1241"/>
      <c r="BR834" s="1241"/>
      <c r="BS834" s="1241"/>
      <c r="BT834" s="1241"/>
      <c r="BU834" s="1241"/>
      <c r="BV834" s="1241"/>
      <c r="BW834" s="1241"/>
      <c r="BX834" s="1241"/>
      <c r="BY834" s="1241"/>
      <c r="BZ834" s="1241"/>
      <c r="CA834" s="1241"/>
      <c r="CB834" s="1241"/>
      <c r="CC834" s="1241"/>
      <c r="CD834" s="1241"/>
      <c r="CE834" s="1241"/>
      <c r="CF834" s="1241"/>
      <c r="CG834" s="1241"/>
      <c r="CH834" s="1241"/>
      <c r="CI834" s="1241"/>
      <c r="CJ834" s="1241"/>
      <c r="CK834" s="1241"/>
      <c r="CL834" s="1241"/>
      <c r="CM834" s="1241"/>
      <c r="CN834" s="1241"/>
      <c r="CO834" s="1241"/>
      <c r="CP834" s="1241"/>
      <c r="CQ834" s="1241"/>
      <c r="CR834" s="1241"/>
      <c r="CS834" s="1241"/>
      <c r="CT834" s="1241"/>
      <c r="CU834" s="1241"/>
      <c r="CV834" s="1241"/>
      <c r="CW834" s="1241"/>
      <c r="CX834" s="1241"/>
      <c r="CY834" s="1241"/>
      <c r="CZ834" s="1241"/>
      <c r="DA834" s="1241"/>
      <c r="DB834" s="1241"/>
      <c r="DC834" s="1241"/>
      <c r="DD834" s="1241"/>
      <c r="DE834" s="1241"/>
      <c r="DF834" s="1241"/>
      <c r="DG834" s="1241"/>
      <c r="DH834" s="1241"/>
      <c r="DI834" s="1241"/>
      <c r="DJ834" s="1241"/>
      <c r="DK834" s="1241"/>
      <c r="DL834" s="1241"/>
      <c r="DM834" s="1241"/>
    </row>
    <row r="835" spans="1:117">
      <c r="A835" s="1459"/>
      <c r="B835" s="1530" t="s">
        <v>4328</v>
      </c>
      <c r="C835" s="1531"/>
      <c r="D835" s="1531"/>
      <c r="E835" s="1532" t="s">
        <v>840</v>
      </c>
      <c r="F835" s="1533"/>
      <c r="G835" s="1534">
        <v>2015</v>
      </c>
      <c r="H835" s="1534">
        <v>2020</v>
      </c>
      <c r="I835" s="1534">
        <v>2022</v>
      </c>
      <c r="J835" s="1534">
        <v>2027</v>
      </c>
      <c r="K835" s="1534">
        <v>2032</v>
      </c>
      <c r="L835" s="1534">
        <v>2037</v>
      </c>
      <c r="M835" s="1534">
        <v>2042</v>
      </c>
      <c r="N835" s="1534">
        <v>2047</v>
      </c>
      <c r="O835" s="1534">
        <v>2030</v>
      </c>
    </row>
    <row r="836" spans="1:117">
      <c r="A836" s="1243"/>
      <c r="B836" s="1475" t="s">
        <v>4264</v>
      </c>
      <c r="C836" s="1476"/>
      <c r="D836" s="1475"/>
      <c r="E836" s="1477"/>
      <c r="F836" s="1478"/>
      <c r="G836" s="1479"/>
      <c r="H836" s="1479"/>
      <c r="I836" s="1479"/>
      <c r="J836" s="1479"/>
      <c r="K836" s="1479"/>
      <c r="L836" s="1479"/>
      <c r="M836" s="1479"/>
      <c r="N836" s="1479"/>
      <c r="O836" s="1478"/>
    </row>
    <row r="837" spans="1:117">
      <c r="A837" s="1243"/>
      <c r="B837" s="1480" t="s">
        <v>4329</v>
      </c>
      <c r="C837" s="1480"/>
      <c r="D837" s="1481"/>
      <c r="E837" s="1482" t="s">
        <v>4688</v>
      </c>
      <c r="F837" s="1483"/>
      <c r="G837" s="1522">
        <v>0.57299999999999995</v>
      </c>
      <c r="H837" s="1522">
        <v>0.59589999999999999</v>
      </c>
      <c r="I837" s="1522">
        <v>0.54935026842124512</v>
      </c>
      <c r="J837" s="1522">
        <v>0.50423671550284421</v>
      </c>
      <c r="K837" s="1522">
        <v>0.46277558238288508</v>
      </c>
      <c r="L837" s="1522">
        <v>0.42467450639501747</v>
      </c>
      <c r="M837" s="1522">
        <v>0.38966431146996655</v>
      </c>
      <c r="N837" s="1522">
        <v>0.35749718338546249</v>
      </c>
      <c r="O837" s="1522">
        <v>0.47894099637929721</v>
      </c>
    </row>
    <row r="838" spans="1:117">
      <c r="A838" s="1243"/>
      <c r="B838" s="1480"/>
      <c r="C838" s="1480"/>
      <c r="D838" s="1481"/>
      <c r="E838" s="1482"/>
      <c r="F838" s="1483"/>
      <c r="G838" s="1522"/>
      <c r="H838" s="1522"/>
      <c r="I838" s="1522"/>
      <c r="J838" s="1522"/>
      <c r="K838" s="1522"/>
      <c r="L838" s="1522"/>
      <c r="M838" s="1522"/>
      <c r="N838" s="1522"/>
      <c r="O838" s="1522"/>
    </row>
    <row r="839" spans="1:117">
      <c r="A839" s="1243"/>
      <c r="B839" s="1480" t="s">
        <v>4266</v>
      </c>
      <c r="C839" s="1480"/>
      <c r="D839" s="1481"/>
      <c r="E839" s="1482" t="s">
        <v>420</v>
      </c>
      <c r="F839" s="1536"/>
      <c r="G839" s="1522">
        <v>0</v>
      </c>
      <c r="H839" s="1522">
        <v>53.023181999999998</v>
      </c>
      <c r="I839" s="1522">
        <v>53.484062132620416</v>
      </c>
      <c r="J839" s="1522">
        <v>58.500745783015233</v>
      </c>
      <c r="K839" s="1522">
        <v>82.883601000248206</v>
      </c>
      <c r="L839" s="1522">
        <v>113.19466925637172</v>
      </c>
      <c r="M839" s="1522">
        <v>136.02450898372649</v>
      </c>
      <c r="N839" s="1522">
        <v>157.78741097564932</v>
      </c>
      <c r="O839" s="1487">
        <v>85.778843909961424</v>
      </c>
    </row>
    <row r="840" spans="1:117">
      <c r="A840" s="1243"/>
      <c r="B840" s="1481"/>
      <c r="C840" s="1480"/>
      <c r="D840" s="1481"/>
      <c r="E840" s="1537"/>
      <c r="F840" s="1522"/>
      <c r="G840" s="1522"/>
      <c r="H840" s="1522"/>
      <c r="I840" s="1522"/>
      <c r="J840" s="1522"/>
      <c r="K840" s="1522"/>
      <c r="L840" s="1522"/>
      <c r="M840" s="1522"/>
      <c r="N840" s="1522"/>
      <c r="O840" s="1487"/>
    </row>
    <row r="841" spans="1:117" s="1302" customFormat="1">
      <c r="A841" s="1243"/>
      <c r="B841" s="1480" t="s">
        <v>4267</v>
      </c>
      <c r="C841" s="1480"/>
      <c r="D841" s="1481"/>
      <c r="E841" s="1482" t="s">
        <v>1065</v>
      </c>
      <c r="F841" s="1522"/>
      <c r="G841" s="1522" t="s">
        <v>3878</v>
      </c>
      <c r="H841" s="1522">
        <v>-2.0376419999999982</v>
      </c>
      <c r="I841" s="1522">
        <v>4.5320242459694811</v>
      </c>
      <c r="J841" s="1522">
        <v>5.2340030178407133</v>
      </c>
      <c r="K841" s="1522">
        <v>7.4257332178983972</v>
      </c>
      <c r="L841" s="1522">
        <v>10.155633620132832</v>
      </c>
      <c r="M841" s="1522">
        <v>12.221402971546325</v>
      </c>
      <c r="N841" s="1522">
        <v>14.19750446957616</v>
      </c>
      <c r="O841" s="1487">
        <v>4.5304903081851791</v>
      </c>
      <c r="P841" s="1241"/>
      <c r="Q841" s="1241"/>
      <c r="R841" s="1241"/>
      <c r="S841" s="1241"/>
      <c r="T841" s="1241"/>
      <c r="U841" s="1241"/>
      <c r="V841" s="1241"/>
      <c r="W841" s="1241"/>
      <c r="X841" s="1241"/>
      <c r="Y841" s="1241"/>
      <c r="Z841" s="1241"/>
      <c r="AA841" s="1241"/>
      <c r="AB841" s="1241"/>
      <c r="AC841" s="1241"/>
      <c r="AD841" s="1241"/>
      <c r="AE841" s="1241"/>
      <c r="AF841" s="1241"/>
      <c r="AG841" s="1241"/>
      <c r="AH841" s="1241"/>
      <c r="AI841" s="1241"/>
      <c r="AJ841" s="1241"/>
      <c r="AK841" s="1241"/>
      <c r="AL841" s="1241"/>
      <c r="AM841" s="1241"/>
      <c r="AN841" s="1241"/>
      <c r="AO841" s="1241"/>
      <c r="AP841" s="1241"/>
      <c r="AQ841" s="1241"/>
      <c r="AR841" s="1241"/>
      <c r="AS841" s="1241"/>
      <c r="AT841" s="1241"/>
      <c r="AU841" s="1241"/>
      <c r="AV841" s="1241"/>
      <c r="AW841" s="1241"/>
      <c r="AX841" s="1241"/>
      <c r="AY841" s="1241"/>
      <c r="AZ841" s="1241"/>
      <c r="BA841" s="1241"/>
      <c r="BB841" s="1241"/>
      <c r="BC841" s="1241"/>
      <c r="BD841" s="1241"/>
      <c r="BE841" s="1241"/>
      <c r="BF841" s="1241"/>
      <c r="BG841" s="1241"/>
      <c r="BH841" s="1241"/>
      <c r="BI841" s="1241"/>
      <c r="BJ841" s="1241"/>
      <c r="BK841" s="1241"/>
      <c r="BL841" s="1241"/>
      <c r="BM841" s="1241"/>
      <c r="BN841" s="1241"/>
      <c r="BO841" s="1241"/>
      <c r="BP841" s="1241"/>
      <c r="BQ841" s="1241"/>
      <c r="BR841" s="1241"/>
      <c r="BS841" s="1241"/>
      <c r="BT841" s="1241"/>
      <c r="BU841" s="1241"/>
      <c r="BV841" s="1241"/>
      <c r="BW841" s="1241"/>
      <c r="BX841" s="1241"/>
      <c r="BY841" s="1241"/>
      <c r="BZ841" s="1241"/>
      <c r="CA841" s="1241"/>
      <c r="CB841" s="1241"/>
      <c r="CC841" s="1241"/>
      <c r="CD841" s="1241"/>
      <c r="CE841" s="1241"/>
      <c r="CF841" s="1241"/>
      <c r="CG841" s="1241"/>
      <c r="CH841" s="1241"/>
      <c r="CI841" s="1241"/>
      <c r="CJ841" s="1241"/>
      <c r="CK841" s="1241"/>
      <c r="CL841" s="1241"/>
      <c r="CM841" s="1241"/>
      <c r="CN841" s="1241"/>
      <c r="CO841" s="1241"/>
      <c r="CP841" s="1241"/>
      <c r="CQ841" s="1241"/>
      <c r="CR841" s="1241"/>
      <c r="CS841" s="1241"/>
      <c r="CT841" s="1241"/>
      <c r="CU841" s="1241"/>
      <c r="CV841" s="1241"/>
      <c r="CW841" s="1241"/>
      <c r="CX841" s="1241"/>
      <c r="CY841" s="1241"/>
      <c r="CZ841" s="1241"/>
      <c r="DA841" s="1241"/>
      <c r="DB841" s="1241"/>
      <c r="DC841" s="1241"/>
      <c r="DD841" s="1241"/>
      <c r="DE841" s="1241"/>
      <c r="DF841" s="1241"/>
      <c r="DG841" s="1241"/>
      <c r="DH841" s="1241"/>
      <c r="DI841" s="1241"/>
      <c r="DJ841" s="1241"/>
      <c r="DK841" s="1241"/>
      <c r="DL841" s="1241"/>
      <c r="DM841" s="1241"/>
    </row>
    <row r="842" spans="1:117" s="1302" customFormat="1">
      <c r="A842" s="1243"/>
      <c r="B842" s="1480"/>
      <c r="C842" s="1480"/>
      <c r="D842" s="1481"/>
      <c r="E842" s="1482"/>
      <c r="F842" s="1522"/>
      <c r="G842" s="1489"/>
      <c r="H842" s="1557"/>
      <c r="I842" s="1489"/>
      <c r="J842" s="1489"/>
      <c r="K842" s="1489"/>
      <c r="L842" s="1489"/>
      <c r="M842" s="1489"/>
      <c r="N842" s="1489"/>
      <c r="O842" s="1489"/>
      <c r="P842" s="1241"/>
      <c r="Q842" s="1241"/>
      <c r="R842" s="1241"/>
      <c r="S842" s="1241"/>
      <c r="T842" s="1241"/>
      <c r="U842" s="1241"/>
      <c r="V842" s="1241"/>
      <c r="W842" s="1241"/>
      <c r="X842" s="1241"/>
      <c r="Y842" s="1241"/>
      <c r="Z842" s="1241"/>
      <c r="AA842" s="1241"/>
      <c r="AB842" s="1241"/>
      <c r="AC842" s="1241"/>
      <c r="AD842" s="1241"/>
      <c r="AE842" s="1241"/>
      <c r="AF842" s="1241"/>
      <c r="AG842" s="1241"/>
      <c r="AH842" s="1241"/>
      <c r="AI842" s="1241"/>
      <c r="AJ842" s="1241"/>
      <c r="AK842" s="1241"/>
      <c r="AL842" s="1241"/>
      <c r="AM842" s="1241"/>
      <c r="AN842" s="1241"/>
      <c r="AO842" s="1241"/>
      <c r="AP842" s="1241"/>
      <c r="AQ842" s="1241"/>
      <c r="AR842" s="1241"/>
      <c r="AS842" s="1241"/>
      <c r="AT842" s="1241"/>
      <c r="AU842" s="1241"/>
      <c r="AV842" s="1241"/>
      <c r="AW842" s="1241"/>
      <c r="AX842" s="1241"/>
      <c r="AY842" s="1241"/>
      <c r="AZ842" s="1241"/>
      <c r="BA842" s="1241"/>
      <c r="BB842" s="1241"/>
      <c r="BC842" s="1241"/>
      <c r="BD842" s="1241"/>
      <c r="BE842" s="1241"/>
      <c r="BF842" s="1241"/>
      <c r="BG842" s="1241"/>
      <c r="BH842" s="1241"/>
      <c r="BI842" s="1241"/>
      <c r="BJ842" s="1241"/>
      <c r="BK842" s="1241"/>
      <c r="BL842" s="1241"/>
      <c r="BM842" s="1241"/>
      <c r="BN842" s="1241"/>
      <c r="BO842" s="1241"/>
      <c r="BP842" s="1241"/>
      <c r="BQ842" s="1241"/>
      <c r="BR842" s="1241"/>
      <c r="BS842" s="1241"/>
      <c r="BT842" s="1241"/>
      <c r="BU842" s="1241"/>
      <c r="BV842" s="1241"/>
      <c r="BW842" s="1241"/>
      <c r="BX842" s="1241"/>
      <c r="BY842" s="1241"/>
      <c r="BZ842" s="1241"/>
      <c r="CA842" s="1241"/>
      <c r="CB842" s="1241"/>
      <c r="CC842" s="1241"/>
      <c r="CD842" s="1241"/>
      <c r="CE842" s="1241"/>
      <c r="CF842" s="1241"/>
      <c r="CG842" s="1241"/>
      <c r="CH842" s="1241"/>
      <c r="CI842" s="1241"/>
      <c r="CJ842" s="1241"/>
      <c r="CK842" s="1241"/>
      <c r="CL842" s="1241"/>
      <c r="CM842" s="1241"/>
      <c r="CN842" s="1241"/>
      <c r="CO842" s="1241"/>
      <c r="CP842" s="1241"/>
      <c r="CQ842" s="1241"/>
      <c r="CR842" s="1241"/>
      <c r="CS842" s="1241"/>
      <c r="CT842" s="1241"/>
      <c r="CU842" s="1241"/>
      <c r="CV842" s="1241"/>
      <c r="CW842" s="1241"/>
      <c r="CX842" s="1241"/>
      <c r="CY842" s="1241"/>
      <c r="CZ842" s="1241"/>
      <c r="DA842" s="1241"/>
      <c r="DB842" s="1241"/>
      <c r="DC842" s="1241"/>
      <c r="DD842" s="1241"/>
      <c r="DE842" s="1241"/>
      <c r="DF842" s="1241"/>
      <c r="DG842" s="1241"/>
      <c r="DH842" s="1241"/>
      <c r="DI842" s="1241"/>
      <c r="DJ842" s="1241"/>
      <c r="DK842" s="1241"/>
      <c r="DL842" s="1241"/>
      <c r="DM842" s="1241"/>
    </row>
    <row r="843" spans="1:117" s="1302" customFormat="1" hidden="1">
      <c r="A843" s="1243"/>
      <c r="B843" s="1480" t="s">
        <v>4268</v>
      </c>
      <c r="C843" s="1480"/>
      <c r="D843" s="1481"/>
      <c r="E843" s="1482"/>
      <c r="F843" s="1522"/>
      <c r="G843" s="1489" t="s">
        <v>3878</v>
      </c>
      <c r="H843" s="1494">
        <v>0.4</v>
      </c>
      <c r="I843" s="1494">
        <v>0.4</v>
      </c>
      <c r="J843" s="1494">
        <v>0.4</v>
      </c>
      <c r="K843" s="1494">
        <v>0.4</v>
      </c>
      <c r="L843" s="1494">
        <v>0.4</v>
      </c>
      <c r="M843" s="1494">
        <v>0.4</v>
      </c>
      <c r="N843" s="1494">
        <v>0.4</v>
      </c>
      <c r="O843" s="1494">
        <v>0.4</v>
      </c>
      <c r="P843" s="1241"/>
      <c r="Q843" s="1241"/>
      <c r="R843" s="1241"/>
      <c r="S843" s="1241"/>
      <c r="T843" s="1241"/>
      <c r="U843" s="1241"/>
      <c r="V843" s="1241"/>
      <c r="W843" s="1241"/>
      <c r="X843" s="1241"/>
      <c r="Y843" s="1241"/>
      <c r="Z843" s="1241"/>
      <c r="AA843" s="1241"/>
      <c r="AB843" s="1241"/>
      <c r="AC843" s="1241"/>
      <c r="AD843" s="1241"/>
      <c r="AE843" s="1241"/>
      <c r="AF843" s="1241"/>
      <c r="AG843" s="1241"/>
      <c r="AH843" s="1241"/>
      <c r="AI843" s="1241"/>
      <c r="AJ843" s="1241"/>
      <c r="AK843" s="1241"/>
      <c r="AL843" s="1241"/>
      <c r="AM843" s="1241"/>
      <c r="AN843" s="1241"/>
      <c r="AO843" s="1241"/>
      <c r="AP843" s="1241"/>
      <c r="AQ843" s="1241"/>
      <c r="AR843" s="1241"/>
      <c r="AS843" s="1241"/>
      <c r="AT843" s="1241"/>
      <c r="AU843" s="1241"/>
      <c r="AV843" s="1241"/>
      <c r="AW843" s="1241"/>
      <c r="AX843" s="1241"/>
      <c r="AY843" s="1241"/>
      <c r="AZ843" s="1241"/>
      <c r="BA843" s="1241"/>
      <c r="BB843" s="1241"/>
      <c r="BC843" s="1241"/>
      <c r="BD843" s="1241"/>
      <c r="BE843" s="1241"/>
      <c r="BF843" s="1241"/>
      <c r="BG843" s="1241"/>
      <c r="BH843" s="1241"/>
      <c r="BI843" s="1241"/>
      <c r="BJ843" s="1241"/>
      <c r="BK843" s="1241"/>
      <c r="BL843" s="1241"/>
      <c r="BM843" s="1241"/>
      <c r="BN843" s="1241"/>
      <c r="BO843" s="1241"/>
      <c r="BP843" s="1241"/>
      <c r="BQ843" s="1241"/>
      <c r="BR843" s="1241"/>
      <c r="BS843" s="1241"/>
      <c r="BT843" s="1241"/>
      <c r="BU843" s="1241"/>
      <c r="BV843" s="1241"/>
      <c r="BW843" s="1241"/>
      <c r="BX843" s="1241"/>
      <c r="BY843" s="1241"/>
      <c r="BZ843" s="1241"/>
      <c r="CA843" s="1241"/>
      <c r="CB843" s="1241"/>
      <c r="CC843" s="1241"/>
      <c r="CD843" s="1241"/>
      <c r="CE843" s="1241"/>
      <c r="CF843" s="1241"/>
      <c r="CG843" s="1241"/>
      <c r="CH843" s="1241"/>
      <c r="CI843" s="1241"/>
      <c r="CJ843" s="1241"/>
      <c r="CK843" s="1241"/>
      <c r="CL843" s="1241"/>
      <c r="CM843" s="1241"/>
      <c r="CN843" s="1241"/>
      <c r="CO843" s="1241"/>
      <c r="CP843" s="1241"/>
      <c r="CQ843" s="1241"/>
      <c r="CR843" s="1241"/>
      <c r="CS843" s="1241"/>
      <c r="CT843" s="1241"/>
      <c r="CU843" s="1241"/>
      <c r="CV843" s="1241"/>
      <c r="CW843" s="1241"/>
      <c r="CX843" s="1241"/>
      <c r="CY843" s="1241"/>
      <c r="CZ843" s="1241"/>
      <c r="DA843" s="1241"/>
      <c r="DB843" s="1241"/>
      <c r="DC843" s="1241"/>
      <c r="DD843" s="1241"/>
      <c r="DE843" s="1241"/>
      <c r="DF843" s="1241"/>
      <c r="DG843" s="1241"/>
      <c r="DH843" s="1241"/>
      <c r="DI843" s="1241"/>
      <c r="DJ843" s="1241"/>
      <c r="DK843" s="1241"/>
      <c r="DL843" s="1241"/>
      <c r="DM843" s="1241"/>
    </row>
    <row r="844" spans="1:117" s="1302" customFormat="1" hidden="1">
      <c r="A844" s="1243"/>
      <c r="B844" s="1481" t="s">
        <v>4330</v>
      </c>
      <c r="C844" s="1480"/>
      <c r="D844" s="1481"/>
      <c r="E844" s="1482"/>
      <c r="F844" s="1522"/>
      <c r="G844" s="1489" t="s">
        <v>3878</v>
      </c>
      <c r="H844" s="1494">
        <v>0.25</v>
      </c>
      <c r="I844" s="1494">
        <v>0.25</v>
      </c>
      <c r="J844" s="1494">
        <v>0.25</v>
      </c>
      <c r="K844" s="1494">
        <v>0.25</v>
      </c>
      <c r="L844" s="1494">
        <v>0.25</v>
      </c>
      <c r="M844" s="1494">
        <v>0.25</v>
      </c>
      <c r="N844" s="1494">
        <v>0.25</v>
      </c>
      <c r="O844" s="1494">
        <v>0.25</v>
      </c>
      <c r="P844" s="1241"/>
      <c r="Q844" s="1241"/>
      <c r="R844" s="1241"/>
      <c r="S844" s="1241"/>
      <c r="T844" s="1241"/>
      <c r="U844" s="1241"/>
      <c r="V844" s="1241"/>
      <c r="W844" s="1241"/>
      <c r="X844" s="1241"/>
      <c r="Y844" s="1241"/>
      <c r="Z844" s="1241"/>
      <c r="AA844" s="1241"/>
      <c r="AB844" s="1241"/>
      <c r="AC844" s="1241"/>
      <c r="AD844" s="1241"/>
      <c r="AE844" s="1241"/>
      <c r="AF844" s="1241"/>
      <c r="AG844" s="1241"/>
      <c r="AH844" s="1241"/>
      <c r="AI844" s="1241"/>
      <c r="AJ844" s="1241"/>
      <c r="AK844" s="1241"/>
      <c r="AL844" s="1241"/>
      <c r="AM844" s="1241"/>
      <c r="AN844" s="1241"/>
      <c r="AO844" s="1241"/>
      <c r="AP844" s="1241"/>
      <c r="AQ844" s="1241"/>
      <c r="AR844" s="1241"/>
      <c r="AS844" s="1241"/>
      <c r="AT844" s="1241"/>
      <c r="AU844" s="1241"/>
      <c r="AV844" s="1241"/>
      <c r="AW844" s="1241"/>
      <c r="AX844" s="1241"/>
      <c r="AY844" s="1241"/>
      <c r="AZ844" s="1241"/>
      <c r="BA844" s="1241"/>
      <c r="BB844" s="1241"/>
      <c r="BC844" s="1241"/>
      <c r="BD844" s="1241"/>
      <c r="BE844" s="1241"/>
      <c r="BF844" s="1241"/>
      <c r="BG844" s="1241"/>
      <c r="BH844" s="1241"/>
      <c r="BI844" s="1241"/>
      <c r="BJ844" s="1241"/>
      <c r="BK844" s="1241"/>
      <c r="BL844" s="1241"/>
      <c r="BM844" s="1241"/>
      <c r="BN844" s="1241"/>
      <c r="BO844" s="1241"/>
      <c r="BP844" s="1241"/>
      <c r="BQ844" s="1241"/>
      <c r="BR844" s="1241"/>
      <c r="BS844" s="1241"/>
      <c r="BT844" s="1241"/>
      <c r="BU844" s="1241"/>
      <c r="BV844" s="1241"/>
      <c r="BW844" s="1241"/>
      <c r="BX844" s="1241"/>
      <c r="BY844" s="1241"/>
      <c r="BZ844" s="1241"/>
      <c r="CA844" s="1241"/>
      <c r="CB844" s="1241"/>
      <c r="CC844" s="1241"/>
      <c r="CD844" s="1241"/>
      <c r="CE844" s="1241"/>
      <c r="CF844" s="1241"/>
      <c r="CG844" s="1241"/>
      <c r="CH844" s="1241"/>
      <c r="CI844" s="1241"/>
      <c r="CJ844" s="1241"/>
      <c r="CK844" s="1241"/>
      <c r="CL844" s="1241"/>
      <c r="CM844" s="1241"/>
      <c r="CN844" s="1241"/>
      <c r="CO844" s="1241"/>
      <c r="CP844" s="1241"/>
      <c r="CQ844" s="1241"/>
      <c r="CR844" s="1241"/>
      <c r="CS844" s="1241"/>
      <c r="CT844" s="1241"/>
      <c r="CU844" s="1241"/>
      <c r="CV844" s="1241"/>
      <c r="CW844" s="1241"/>
      <c r="CX844" s="1241"/>
      <c r="CY844" s="1241"/>
      <c r="CZ844" s="1241"/>
      <c r="DA844" s="1241"/>
      <c r="DB844" s="1241"/>
      <c r="DC844" s="1241"/>
      <c r="DD844" s="1241"/>
      <c r="DE844" s="1241"/>
      <c r="DF844" s="1241"/>
      <c r="DG844" s="1241"/>
      <c r="DH844" s="1241"/>
      <c r="DI844" s="1241"/>
      <c r="DJ844" s="1241"/>
      <c r="DK844" s="1241"/>
      <c r="DL844" s="1241"/>
      <c r="DM844" s="1241"/>
    </row>
    <row r="845" spans="1:117" s="1302" customFormat="1" hidden="1">
      <c r="A845" s="1243"/>
      <c r="B845" s="1481" t="s">
        <v>4331</v>
      </c>
      <c r="C845" s="1480"/>
      <c r="D845" s="1481"/>
      <c r="E845" s="1482"/>
      <c r="F845" s="1522"/>
      <c r="G845" s="1489" t="s">
        <v>3878</v>
      </c>
      <c r="H845" s="1494">
        <v>0.03</v>
      </c>
      <c r="I845" s="1494">
        <v>0.03</v>
      </c>
      <c r="J845" s="1494">
        <v>0.03</v>
      </c>
      <c r="K845" s="1494">
        <v>0.03</v>
      </c>
      <c r="L845" s="1494">
        <v>0.03</v>
      </c>
      <c r="M845" s="1494">
        <v>0.03</v>
      </c>
      <c r="N845" s="1494">
        <v>0.03</v>
      </c>
      <c r="O845" s="1494">
        <v>0.03</v>
      </c>
      <c r="P845" s="1241"/>
      <c r="Q845" s="1241"/>
      <c r="R845" s="1241"/>
      <c r="S845" s="1241"/>
      <c r="T845" s="1241"/>
      <c r="U845" s="1241"/>
      <c r="V845" s="1241"/>
      <c r="W845" s="1241"/>
      <c r="X845" s="1241"/>
      <c r="Y845" s="1241"/>
      <c r="Z845" s="1241"/>
      <c r="AA845" s="1241"/>
      <c r="AB845" s="1241"/>
      <c r="AC845" s="1241"/>
      <c r="AD845" s="1241"/>
      <c r="AE845" s="1241"/>
      <c r="AF845" s="1241"/>
      <c r="AG845" s="1241"/>
      <c r="AH845" s="1241"/>
      <c r="AI845" s="1241"/>
      <c r="AJ845" s="1241"/>
      <c r="AK845" s="1241"/>
      <c r="AL845" s="1241"/>
      <c r="AM845" s="1241"/>
      <c r="AN845" s="1241"/>
      <c r="AO845" s="1241"/>
      <c r="AP845" s="1241"/>
      <c r="AQ845" s="1241"/>
      <c r="AR845" s="1241"/>
      <c r="AS845" s="1241"/>
      <c r="AT845" s="1241"/>
      <c r="AU845" s="1241"/>
      <c r="AV845" s="1241"/>
      <c r="AW845" s="1241"/>
      <c r="AX845" s="1241"/>
      <c r="AY845" s="1241"/>
      <c r="AZ845" s="1241"/>
      <c r="BA845" s="1241"/>
      <c r="BB845" s="1241"/>
      <c r="BC845" s="1241"/>
      <c r="BD845" s="1241"/>
      <c r="BE845" s="1241"/>
      <c r="BF845" s="1241"/>
      <c r="BG845" s="1241"/>
      <c r="BH845" s="1241"/>
      <c r="BI845" s="1241"/>
      <c r="BJ845" s="1241"/>
      <c r="BK845" s="1241"/>
      <c r="BL845" s="1241"/>
      <c r="BM845" s="1241"/>
      <c r="BN845" s="1241"/>
      <c r="BO845" s="1241"/>
      <c r="BP845" s="1241"/>
      <c r="BQ845" s="1241"/>
      <c r="BR845" s="1241"/>
      <c r="BS845" s="1241"/>
      <c r="BT845" s="1241"/>
      <c r="BU845" s="1241"/>
      <c r="BV845" s="1241"/>
      <c r="BW845" s="1241"/>
      <c r="BX845" s="1241"/>
      <c r="BY845" s="1241"/>
      <c r="BZ845" s="1241"/>
      <c r="CA845" s="1241"/>
      <c r="CB845" s="1241"/>
      <c r="CC845" s="1241"/>
      <c r="CD845" s="1241"/>
      <c r="CE845" s="1241"/>
      <c r="CF845" s="1241"/>
      <c r="CG845" s="1241"/>
      <c r="CH845" s="1241"/>
      <c r="CI845" s="1241"/>
      <c r="CJ845" s="1241"/>
      <c r="CK845" s="1241"/>
      <c r="CL845" s="1241"/>
      <c r="CM845" s="1241"/>
      <c r="CN845" s="1241"/>
      <c r="CO845" s="1241"/>
      <c r="CP845" s="1241"/>
      <c r="CQ845" s="1241"/>
      <c r="CR845" s="1241"/>
      <c r="CS845" s="1241"/>
      <c r="CT845" s="1241"/>
      <c r="CU845" s="1241"/>
      <c r="CV845" s="1241"/>
      <c r="CW845" s="1241"/>
      <c r="CX845" s="1241"/>
      <c r="CY845" s="1241"/>
      <c r="CZ845" s="1241"/>
      <c r="DA845" s="1241"/>
      <c r="DB845" s="1241"/>
      <c r="DC845" s="1241"/>
      <c r="DD845" s="1241"/>
      <c r="DE845" s="1241"/>
      <c r="DF845" s="1241"/>
      <c r="DG845" s="1241"/>
      <c r="DH845" s="1241"/>
      <c r="DI845" s="1241"/>
      <c r="DJ845" s="1241"/>
      <c r="DK845" s="1241"/>
      <c r="DL845" s="1241"/>
      <c r="DM845" s="1241"/>
    </row>
    <row r="846" spans="1:117" s="1302" customFormat="1" hidden="1">
      <c r="A846" s="1243"/>
      <c r="B846" s="1481" t="s">
        <v>4332</v>
      </c>
      <c r="C846" s="1480"/>
      <c r="D846" s="1481"/>
      <c r="E846" s="1482"/>
      <c r="F846" s="1522"/>
      <c r="G846" s="1489" t="s">
        <v>3878</v>
      </c>
      <c r="H846" s="1494">
        <v>0.05</v>
      </c>
      <c r="I846" s="1494">
        <v>0.05</v>
      </c>
      <c r="J846" s="1494">
        <v>0.05</v>
      </c>
      <c r="K846" s="1494">
        <v>0.05</v>
      </c>
      <c r="L846" s="1494">
        <v>0.05</v>
      </c>
      <c r="M846" s="1494">
        <v>0.05</v>
      </c>
      <c r="N846" s="1494">
        <v>0.05</v>
      </c>
      <c r="O846" s="1494">
        <v>0.05</v>
      </c>
      <c r="P846" s="1241"/>
      <c r="Q846" s="1241"/>
      <c r="R846" s="1241"/>
      <c r="S846" s="1241"/>
      <c r="T846" s="1241"/>
      <c r="U846" s="1241"/>
      <c r="V846" s="1241"/>
      <c r="W846" s="1241"/>
      <c r="X846" s="1241"/>
      <c r="Y846" s="1241"/>
      <c r="Z846" s="1241"/>
      <c r="AA846" s="1241"/>
      <c r="AB846" s="1241"/>
      <c r="AC846" s="1241"/>
      <c r="AD846" s="1241"/>
      <c r="AE846" s="1241"/>
      <c r="AF846" s="1241"/>
      <c r="AG846" s="1241"/>
      <c r="AH846" s="1241"/>
      <c r="AI846" s="1241"/>
      <c r="AJ846" s="1241"/>
      <c r="AK846" s="1241"/>
      <c r="AL846" s="1241"/>
      <c r="AM846" s="1241"/>
      <c r="AN846" s="1241"/>
      <c r="AO846" s="1241"/>
      <c r="AP846" s="1241"/>
      <c r="AQ846" s="1241"/>
      <c r="AR846" s="1241"/>
      <c r="AS846" s="1241"/>
      <c r="AT846" s="1241"/>
      <c r="AU846" s="1241"/>
      <c r="AV846" s="1241"/>
      <c r="AW846" s="1241"/>
      <c r="AX846" s="1241"/>
      <c r="AY846" s="1241"/>
      <c r="AZ846" s="1241"/>
      <c r="BA846" s="1241"/>
      <c r="BB846" s="1241"/>
      <c r="BC846" s="1241"/>
      <c r="BD846" s="1241"/>
      <c r="BE846" s="1241"/>
      <c r="BF846" s="1241"/>
      <c r="BG846" s="1241"/>
      <c r="BH846" s="1241"/>
      <c r="BI846" s="1241"/>
      <c r="BJ846" s="1241"/>
      <c r="BK846" s="1241"/>
      <c r="BL846" s="1241"/>
      <c r="BM846" s="1241"/>
      <c r="BN846" s="1241"/>
      <c r="BO846" s="1241"/>
      <c r="BP846" s="1241"/>
      <c r="BQ846" s="1241"/>
      <c r="BR846" s="1241"/>
      <c r="BS846" s="1241"/>
      <c r="BT846" s="1241"/>
      <c r="BU846" s="1241"/>
      <c r="BV846" s="1241"/>
      <c r="BW846" s="1241"/>
      <c r="BX846" s="1241"/>
      <c r="BY846" s="1241"/>
      <c r="BZ846" s="1241"/>
      <c r="CA846" s="1241"/>
      <c r="CB846" s="1241"/>
      <c r="CC846" s="1241"/>
      <c r="CD846" s="1241"/>
      <c r="CE846" s="1241"/>
      <c r="CF846" s="1241"/>
      <c r="CG846" s="1241"/>
      <c r="CH846" s="1241"/>
      <c r="CI846" s="1241"/>
      <c r="CJ846" s="1241"/>
      <c r="CK846" s="1241"/>
      <c r="CL846" s="1241"/>
      <c r="CM846" s="1241"/>
      <c r="CN846" s="1241"/>
      <c r="CO846" s="1241"/>
      <c r="CP846" s="1241"/>
      <c r="CQ846" s="1241"/>
      <c r="CR846" s="1241"/>
      <c r="CS846" s="1241"/>
      <c r="CT846" s="1241"/>
      <c r="CU846" s="1241"/>
      <c r="CV846" s="1241"/>
      <c r="CW846" s="1241"/>
      <c r="CX846" s="1241"/>
      <c r="CY846" s="1241"/>
      <c r="CZ846" s="1241"/>
      <c r="DA846" s="1241"/>
      <c r="DB846" s="1241"/>
      <c r="DC846" s="1241"/>
      <c r="DD846" s="1241"/>
      <c r="DE846" s="1241"/>
      <c r="DF846" s="1241"/>
      <c r="DG846" s="1241"/>
      <c r="DH846" s="1241"/>
      <c r="DI846" s="1241"/>
      <c r="DJ846" s="1241"/>
      <c r="DK846" s="1241"/>
      <c r="DL846" s="1241"/>
      <c r="DM846" s="1241"/>
    </row>
    <row r="847" spans="1:117" s="1302" customFormat="1" hidden="1">
      <c r="A847" s="1243"/>
      <c r="B847" s="1481" t="s">
        <v>4333</v>
      </c>
      <c r="C847" s="1480"/>
      <c r="D847" s="1481"/>
      <c r="E847" s="1482"/>
      <c r="F847" s="1522"/>
      <c r="G847" s="1489" t="s">
        <v>3878</v>
      </c>
      <c r="H847" s="1494">
        <v>0.27</v>
      </c>
      <c r="I847" s="1494">
        <v>0.27</v>
      </c>
      <c r="J847" s="1494">
        <v>0.27</v>
      </c>
      <c r="K847" s="1494">
        <v>0.27</v>
      </c>
      <c r="L847" s="1494">
        <v>0.27</v>
      </c>
      <c r="M847" s="1494">
        <v>0.27</v>
      </c>
      <c r="N847" s="1494">
        <v>0.27</v>
      </c>
      <c r="O847" s="1494">
        <v>0.27</v>
      </c>
      <c r="P847" s="1241"/>
      <c r="Q847" s="1241"/>
      <c r="R847" s="1241"/>
      <c r="S847" s="1241"/>
      <c r="T847" s="1241"/>
      <c r="U847" s="1241"/>
      <c r="V847" s="1241"/>
      <c r="W847" s="1241"/>
      <c r="X847" s="1241"/>
      <c r="Y847" s="1241"/>
      <c r="Z847" s="1241"/>
      <c r="AA847" s="1241"/>
      <c r="AB847" s="1241"/>
      <c r="AC847" s="1241"/>
      <c r="AD847" s="1241"/>
      <c r="AE847" s="1241"/>
      <c r="AF847" s="1241"/>
      <c r="AG847" s="1241"/>
      <c r="AH847" s="1241"/>
      <c r="AI847" s="1241"/>
      <c r="AJ847" s="1241"/>
      <c r="AK847" s="1241"/>
      <c r="AL847" s="1241"/>
      <c r="AM847" s="1241"/>
      <c r="AN847" s="1241"/>
      <c r="AO847" s="1241"/>
      <c r="AP847" s="1241"/>
      <c r="AQ847" s="1241"/>
      <c r="AR847" s="1241"/>
      <c r="AS847" s="1241"/>
      <c r="AT847" s="1241"/>
      <c r="AU847" s="1241"/>
      <c r="AV847" s="1241"/>
      <c r="AW847" s="1241"/>
      <c r="AX847" s="1241"/>
      <c r="AY847" s="1241"/>
      <c r="AZ847" s="1241"/>
      <c r="BA847" s="1241"/>
      <c r="BB847" s="1241"/>
      <c r="BC847" s="1241"/>
      <c r="BD847" s="1241"/>
      <c r="BE847" s="1241"/>
      <c r="BF847" s="1241"/>
      <c r="BG847" s="1241"/>
      <c r="BH847" s="1241"/>
      <c r="BI847" s="1241"/>
      <c r="BJ847" s="1241"/>
      <c r="BK847" s="1241"/>
      <c r="BL847" s="1241"/>
      <c r="BM847" s="1241"/>
      <c r="BN847" s="1241"/>
      <c r="BO847" s="1241"/>
      <c r="BP847" s="1241"/>
      <c r="BQ847" s="1241"/>
      <c r="BR847" s="1241"/>
      <c r="BS847" s="1241"/>
      <c r="BT847" s="1241"/>
      <c r="BU847" s="1241"/>
      <c r="BV847" s="1241"/>
      <c r="BW847" s="1241"/>
      <c r="BX847" s="1241"/>
      <c r="BY847" s="1241"/>
      <c r="BZ847" s="1241"/>
      <c r="CA847" s="1241"/>
      <c r="CB847" s="1241"/>
      <c r="CC847" s="1241"/>
      <c r="CD847" s="1241"/>
      <c r="CE847" s="1241"/>
      <c r="CF847" s="1241"/>
      <c r="CG847" s="1241"/>
      <c r="CH847" s="1241"/>
      <c r="CI847" s="1241"/>
      <c r="CJ847" s="1241"/>
      <c r="CK847" s="1241"/>
      <c r="CL847" s="1241"/>
      <c r="CM847" s="1241"/>
      <c r="CN847" s="1241"/>
      <c r="CO847" s="1241"/>
      <c r="CP847" s="1241"/>
      <c r="CQ847" s="1241"/>
      <c r="CR847" s="1241"/>
      <c r="CS847" s="1241"/>
      <c r="CT847" s="1241"/>
      <c r="CU847" s="1241"/>
      <c r="CV847" s="1241"/>
      <c r="CW847" s="1241"/>
      <c r="CX847" s="1241"/>
      <c r="CY847" s="1241"/>
      <c r="CZ847" s="1241"/>
      <c r="DA847" s="1241"/>
      <c r="DB847" s="1241"/>
      <c r="DC847" s="1241"/>
      <c r="DD847" s="1241"/>
      <c r="DE847" s="1241"/>
      <c r="DF847" s="1241"/>
      <c r="DG847" s="1241"/>
      <c r="DH847" s="1241"/>
      <c r="DI847" s="1241"/>
      <c r="DJ847" s="1241"/>
      <c r="DK847" s="1241"/>
      <c r="DL847" s="1241"/>
      <c r="DM847" s="1241"/>
    </row>
    <row r="848" spans="1:117" s="1302" customFormat="1" hidden="1">
      <c r="A848" s="1243"/>
      <c r="B848" s="1481" t="s">
        <v>4334</v>
      </c>
      <c r="C848" s="1480"/>
      <c r="D848" s="1481"/>
      <c r="E848" s="1482"/>
      <c r="F848" s="1522"/>
      <c r="G848" s="1489"/>
      <c r="H848" s="1557"/>
      <c r="I848" s="1489"/>
      <c r="J848" s="1489"/>
      <c r="K848" s="1489"/>
      <c r="L848" s="1489"/>
      <c r="M848" s="1489"/>
      <c r="N848" s="1489"/>
      <c r="O848" s="1489"/>
      <c r="P848" s="1241"/>
      <c r="Q848" s="1241"/>
      <c r="R848" s="1241"/>
      <c r="S848" s="1241"/>
      <c r="T848" s="1241"/>
      <c r="U848" s="1241"/>
      <c r="V848" s="1241"/>
      <c r="W848" s="1241"/>
      <c r="X848" s="1241"/>
      <c r="Y848" s="1241"/>
      <c r="Z848" s="1241"/>
      <c r="AA848" s="1241"/>
      <c r="AB848" s="1241"/>
      <c r="AC848" s="1241"/>
      <c r="AD848" s="1241"/>
      <c r="AE848" s="1241"/>
      <c r="AF848" s="1241"/>
      <c r="AG848" s="1241"/>
      <c r="AH848" s="1241"/>
      <c r="AI848" s="1241"/>
      <c r="AJ848" s="1241"/>
      <c r="AK848" s="1241"/>
      <c r="AL848" s="1241"/>
      <c r="AM848" s="1241"/>
      <c r="AN848" s="1241"/>
      <c r="AO848" s="1241"/>
      <c r="AP848" s="1241"/>
      <c r="AQ848" s="1241"/>
      <c r="AR848" s="1241"/>
      <c r="AS848" s="1241"/>
      <c r="AT848" s="1241"/>
      <c r="AU848" s="1241"/>
      <c r="AV848" s="1241"/>
      <c r="AW848" s="1241"/>
      <c r="AX848" s="1241"/>
      <c r="AY848" s="1241"/>
      <c r="AZ848" s="1241"/>
      <c r="BA848" s="1241"/>
      <c r="BB848" s="1241"/>
      <c r="BC848" s="1241"/>
      <c r="BD848" s="1241"/>
      <c r="BE848" s="1241"/>
      <c r="BF848" s="1241"/>
      <c r="BG848" s="1241"/>
      <c r="BH848" s="1241"/>
      <c r="BI848" s="1241"/>
      <c r="BJ848" s="1241"/>
      <c r="BK848" s="1241"/>
      <c r="BL848" s="1241"/>
      <c r="BM848" s="1241"/>
      <c r="BN848" s="1241"/>
      <c r="BO848" s="1241"/>
      <c r="BP848" s="1241"/>
      <c r="BQ848" s="1241"/>
      <c r="BR848" s="1241"/>
      <c r="BS848" s="1241"/>
      <c r="BT848" s="1241"/>
      <c r="BU848" s="1241"/>
      <c r="BV848" s="1241"/>
      <c r="BW848" s="1241"/>
      <c r="BX848" s="1241"/>
      <c r="BY848" s="1241"/>
      <c r="BZ848" s="1241"/>
      <c r="CA848" s="1241"/>
      <c r="CB848" s="1241"/>
      <c r="CC848" s="1241"/>
      <c r="CD848" s="1241"/>
      <c r="CE848" s="1241"/>
      <c r="CF848" s="1241"/>
      <c r="CG848" s="1241"/>
      <c r="CH848" s="1241"/>
      <c r="CI848" s="1241"/>
      <c r="CJ848" s="1241"/>
      <c r="CK848" s="1241"/>
      <c r="CL848" s="1241"/>
      <c r="CM848" s="1241"/>
      <c r="CN848" s="1241"/>
      <c r="CO848" s="1241"/>
      <c r="CP848" s="1241"/>
      <c r="CQ848" s="1241"/>
      <c r="CR848" s="1241"/>
      <c r="CS848" s="1241"/>
      <c r="CT848" s="1241"/>
      <c r="CU848" s="1241"/>
      <c r="CV848" s="1241"/>
      <c r="CW848" s="1241"/>
      <c r="CX848" s="1241"/>
      <c r="CY848" s="1241"/>
      <c r="CZ848" s="1241"/>
      <c r="DA848" s="1241"/>
      <c r="DB848" s="1241"/>
      <c r="DC848" s="1241"/>
      <c r="DD848" s="1241"/>
      <c r="DE848" s="1241"/>
      <c r="DF848" s="1241"/>
      <c r="DG848" s="1241"/>
      <c r="DH848" s="1241"/>
      <c r="DI848" s="1241"/>
      <c r="DJ848" s="1241"/>
      <c r="DK848" s="1241"/>
      <c r="DL848" s="1241"/>
      <c r="DM848" s="1241"/>
    </row>
    <row r="849" spans="1:117" s="1302" customFormat="1" hidden="1">
      <c r="A849" s="1243"/>
      <c r="B849" s="1480"/>
      <c r="C849" s="1480"/>
      <c r="D849" s="1481"/>
      <c r="E849" s="1482"/>
      <c r="F849" s="1522"/>
      <c r="G849" s="1489"/>
      <c r="H849" s="1557"/>
      <c r="I849" s="1489"/>
      <c r="J849" s="1489"/>
      <c r="K849" s="1489"/>
      <c r="L849" s="1489"/>
      <c r="M849" s="1489"/>
      <c r="N849" s="1489"/>
      <c r="O849" s="1489"/>
      <c r="P849" s="1241"/>
      <c r="Q849" s="1241"/>
      <c r="R849" s="1241"/>
      <c r="S849" s="1241"/>
      <c r="T849" s="1241"/>
      <c r="U849" s="1241"/>
      <c r="V849" s="1241"/>
      <c r="W849" s="1241"/>
      <c r="X849" s="1241"/>
      <c r="Y849" s="1241"/>
      <c r="Z849" s="1241"/>
      <c r="AA849" s="1241"/>
      <c r="AB849" s="1241"/>
      <c r="AC849" s="1241"/>
      <c r="AD849" s="1241"/>
      <c r="AE849" s="1241"/>
      <c r="AF849" s="1241"/>
      <c r="AG849" s="1241"/>
      <c r="AH849" s="1241"/>
      <c r="AI849" s="1241"/>
      <c r="AJ849" s="1241"/>
      <c r="AK849" s="1241"/>
      <c r="AL849" s="1241"/>
      <c r="AM849" s="1241"/>
      <c r="AN849" s="1241"/>
      <c r="AO849" s="1241"/>
      <c r="AP849" s="1241"/>
      <c r="AQ849" s="1241"/>
      <c r="AR849" s="1241"/>
      <c r="AS849" s="1241"/>
      <c r="AT849" s="1241"/>
      <c r="AU849" s="1241"/>
      <c r="AV849" s="1241"/>
      <c r="AW849" s="1241"/>
      <c r="AX849" s="1241"/>
      <c r="AY849" s="1241"/>
      <c r="AZ849" s="1241"/>
      <c r="BA849" s="1241"/>
      <c r="BB849" s="1241"/>
      <c r="BC849" s="1241"/>
      <c r="BD849" s="1241"/>
      <c r="BE849" s="1241"/>
      <c r="BF849" s="1241"/>
      <c r="BG849" s="1241"/>
      <c r="BH849" s="1241"/>
      <c r="BI849" s="1241"/>
      <c r="BJ849" s="1241"/>
      <c r="BK849" s="1241"/>
      <c r="BL849" s="1241"/>
      <c r="BM849" s="1241"/>
      <c r="BN849" s="1241"/>
      <c r="BO849" s="1241"/>
      <c r="BP849" s="1241"/>
      <c r="BQ849" s="1241"/>
      <c r="BR849" s="1241"/>
      <c r="BS849" s="1241"/>
      <c r="BT849" s="1241"/>
      <c r="BU849" s="1241"/>
      <c r="BV849" s="1241"/>
      <c r="BW849" s="1241"/>
      <c r="BX849" s="1241"/>
      <c r="BY849" s="1241"/>
      <c r="BZ849" s="1241"/>
      <c r="CA849" s="1241"/>
      <c r="CB849" s="1241"/>
      <c r="CC849" s="1241"/>
      <c r="CD849" s="1241"/>
      <c r="CE849" s="1241"/>
      <c r="CF849" s="1241"/>
      <c r="CG849" s="1241"/>
      <c r="CH849" s="1241"/>
      <c r="CI849" s="1241"/>
      <c r="CJ849" s="1241"/>
      <c r="CK849" s="1241"/>
      <c r="CL849" s="1241"/>
      <c r="CM849" s="1241"/>
      <c r="CN849" s="1241"/>
      <c r="CO849" s="1241"/>
      <c r="CP849" s="1241"/>
      <c r="CQ849" s="1241"/>
      <c r="CR849" s="1241"/>
      <c r="CS849" s="1241"/>
      <c r="CT849" s="1241"/>
      <c r="CU849" s="1241"/>
      <c r="CV849" s="1241"/>
      <c r="CW849" s="1241"/>
      <c r="CX849" s="1241"/>
      <c r="CY849" s="1241"/>
      <c r="CZ849" s="1241"/>
      <c r="DA849" s="1241"/>
      <c r="DB849" s="1241"/>
      <c r="DC849" s="1241"/>
      <c r="DD849" s="1241"/>
      <c r="DE849" s="1241"/>
      <c r="DF849" s="1241"/>
      <c r="DG849" s="1241"/>
      <c r="DH849" s="1241"/>
      <c r="DI849" s="1241"/>
      <c r="DJ849" s="1241"/>
      <c r="DK849" s="1241"/>
      <c r="DL849" s="1241"/>
      <c r="DM849" s="1241"/>
    </row>
    <row r="850" spans="1:117" s="1302" customFormat="1" hidden="1">
      <c r="A850" s="1243"/>
      <c r="B850" s="1480" t="s">
        <v>4335</v>
      </c>
      <c r="C850" s="1480"/>
      <c r="D850" s="1481"/>
      <c r="E850" s="1482"/>
      <c r="F850" s="1522"/>
      <c r="G850" s="1489"/>
      <c r="H850" s="1557"/>
      <c r="I850" s="1489"/>
      <c r="J850" s="1489"/>
      <c r="K850" s="1489"/>
      <c r="L850" s="1489"/>
      <c r="M850" s="1489"/>
      <c r="N850" s="1489"/>
      <c r="O850" s="1489"/>
      <c r="P850" s="1241"/>
      <c r="Q850" s="1241"/>
      <c r="R850" s="1241"/>
      <c r="S850" s="1241"/>
      <c r="T850" s="1241"/>
      <c r="U850" s="1241"/>
      <c r="V850" s="1241"/>
      <c r="W850" s="1241"/>
      <c r="X850" s="1241"/>
      <c r="Y850" s="1241"/>
      <c r="Z850" s="1241"/>
      <c r="AA850" s="1241"/>
      <c r="AB850" s="1241"/>
      <c r="AC850" s="1241"/>
      <c r="AD850" s="1241"/>
      <c r="AE850" s="1241"/>
      <c r="AF850" s="1241"/>
      <c r="AG850" s="1241"/>
      <c r="AH850" s="1241"/>
      <c r="AI850" s="1241"/>
      <c r="AJ850" s="1241"/>
      <c r="AK850" s="1241"/>
      <c r="AL850" s="1241"/>
      <c r="AM850" s="1241"/>
      <c r="AN850" s="1241"/>
      <c r="AO850" s="1241"/>
      <c r="AP850" s="1241"/>
      <c r="AQ850" s="1241"/>
      <c r="AR850" s="1241"/>
      <c r="AS850" s="1241"/>
      <c r="AT850" s="1241"/>
      <c r="AU850" s="1241"/>
      <c r="AV850" s="1241"/>
      <c r="AW850" s="1241"/>
      <c r="AX850" s="1241"/>
      <c r="AY850" s="1241"/>
      <c r="AZ850" s="1241"/>
      <c r="BA850" s="1241"/>
      <c r="BB850" s="1241"/>
      <c r="BC850" s="1241"/>
      <c r="BD850" s="1241"/>
      <c r="BE850" s="1241"/>
      <c r="BF850" s="1241"/>
      <c r="BG850" s="1241"/>
      <c r="BH850" s="1241"/>
      <c r="BI850" s="1241"/>
      <c r="BJ850" s="1241"/>
      <c r="BK850" s="1241"/>
      <c r="BL850" s="1241"/>
      <c r="BM850" s="1241"/>
      <c r="BN850" s="1241"/>
      <c r="BO850" s="1241"/>
      <c r="BP850" s="1241"/>
      <c r="BQ850" s="1241"/>
      <c r="BR850" s="1241"/>
      <c r="BS850" s="1241"/>
      <c r="BT850" s="1241"/>
      <c r="BU850" s="1241"/>
      <c r="BV850" s="1241"/>
      <c r="BW850" s="1241"/>
      <c r="BX850" s="1241"/>
      <c r="BY850" s="1241"/>
      <c r="BZ850" s="1241"/>
      <c r="CA850" s="1241"/>
      <c r="CB850" s="1241"/>
      <c r="CC850" s="1241"/>
      <c r="CD850" s="1241"/>
      <c r="CE850" s="1241"/>
      <c r="CF850" s="1241"/>
      <c r="CG850" s="1241"/>
      <c r="CH850" s="1241"/>
      <c r="CI850" s="1241"/>
      <c r="CJ850" s="1241"/>
      <c r="CK850" s="1241"/>
      <c r="CL850" s="1241"/>
      <c r="CM850" s="1241"/>
      <c r="CN850" s="1241"/>
      <c r="CO850" s="1241"/>
      <c r="CP850" s="1241"/>
      <c r="CQ850" s="1241"/>
      <c r="CR850" s="1241"/>
      <c r="CS850" s="1241"/>
      <c r="CT850" s="1241"/>
      <c r="CU850" s="1241"/>
      <c r="CV850" s="1241"/>
      <c r="CW850" s="1241"/>
      <c r="CX850" s="1241"/>
      <c r="CY850" s="1241"/>
      <c r="CZ850" s="1241"/>
      <c r="DA850" s="1241"/>
      <c r="DB850" s="1241"/>
      <c r="DC850" s="1241"/>
      <c r="DD850" s="1241"/>
      <c r="DE850" s="1241"/>
      <c r="DF850" s="1241"/>
      <c r="DG850" s="1241"/>
      <c r="DH850" s="1241"/>
      <c r="DI850" s="1241"/>
      <c r="DJ850" s="1241"/>
      <c r="DK850" s="1241"/>
      <c r="DL850" s="1241"/>
      <c r="DM850" s="1241"/>
    </row>
    <row r="851" spans="1:117" s="1302" customFormat="1" hidden="1">
      <c r="A851" s="1243"/>
      <c r="B851" s="1481" t="s">
        <v>4330</v>
      </c>
      <c r="C851" s="1480"/>
      <c r="D851" s="1481"/>
      <c r="E851" s="1482"/>
      <c r="F851" s="1522"/>
      <c r="G851" s="1489" t="s">
        <v>3878</v>
      </c>
      <c r="H851" s="1557" t="s">
        <v>3878</v>
      </c>
      <c r="I851" s="1522">
        <v>1.8128096983877926</v>
      </c>
      <c r="J851" s="1522">
        <v>2.0936012071362855</v>
      </c>
      <c r="K851" s="1522">
        <v>2.9702932871593593</v>
      </c>
      <c r="L851" s="1522">
        <v>4.0622534480531334</v>
      </c>
      <c r="M851" s="1522">
        <v>4.8885611886185307</v>
      </c>
      <c r="N851" s="1522">
        <v>5.6790017878304644</v>
      </c>
      <c r="O851" s="1522">
        <v>1.8121961232740718</v>
      </c>
      <c r="P851" s="1241"/>
      <c r="Q851" s="1241"/>
      <c r="R851" s="1241"/>
      <c r="S851" s="1241"/>
      <c r="T851" s="1241"/>
      <c r="U851" s="1241"/>
      <c r="V851" s="1241"/>
      <c r="W851" s="1241"/>
      <c r="X851" s="1241"/>
      <c r="Y851" s="1241"/>
      <c r="Z851" s="1241"/>
      <c r="AA851" s="1241"/>
      <c r="AB851" s="1241"/>
      <c r="AC851" s="1241"/>
      <c r="AD851" s="1241"/>
      <c r="AE851" s="1241"/>
      <c r="AF851" s="1241"/>
      <c r="AG851" s="1241"/>
      <c r="AH851" s="1241"/>
      <c r="AI851" s="1241"/>
      <c r="AJ851" s="1241"/>
      <c r="AK851" s="1241"/>
      <c r="AL851" s="1241"/>
      <c r="AM851" s="1241"/>
      <c r="AN851" s="1241"/>
      <c r="AO851" s="1241"/>
      <c r="AP851" s="1241"/>
      <c r="AQ851" s="1241"/>
      <c r="AR851" s="1241"/>
      <c r="AS851" s="1241"/>
      <c r="AT851" s="1241"/>
      <c r="AU851" s="1241"/>
      <c r="AV851" s="1241"/>
      <c r="AW851" s="1241"/>
      <c r="AX851" s="1241"/>
      <c r="AY851" s="1241"/>
      <c r="AZ851" s="1241"/>
      <c r="BA851" s="1241"/>
      <c r="BB851" s="1241"/>
      <c r="BC851" s="1241"/>
      <c r="BD851" s="1241"/>
      <c r="BE851" s="1241"/>
      <c r="BF851" s="1241"/>
      <c r="BG851" s="1241"/>
      <c r="BH851" s="1241"/>
      <c r="BI851" s="1241"/>
      <c r="BJ851" s="1241"/>
      <c r="BK851" s="1241"/>
      <c r="BL851" s="1241"/>
      <c r="BM851" s="1241"/>
      <c r="BN851" s="1241"/>
      <c r="BO851" s="1241"/>
      <c r="BP851" s="1241"/>
      <c r="BQ851" s="1241"/>
      <c r="BR851" s="1241"/>
      <c r="BS851" s="1241"/>
      <c r="BT851" s="1241"/>
      <c r="BU851" s="1241"/>
      <c r="BV851" s="1241"/>
      <c r="BW851" s="1241"/>
      <c r="BX851" s="1241"/>
      <c r="BY851" s="1241"/>
      <c r="BZ851" s="1241"/>
      <c r="CA851" s="1241"/>
      <c r="CB851" s="1241"/>
      <c r="CC851" s="1241"/>
      <c r="CD851" s="1241"/>
      <c r="CE851" s="1241"/>
      <c r="CF851" s="1241"/>
      <c r="CG851" s="1241"/>
      <c r="CH851" s="1241"/>
      <c r="CI851" s="1241"/>
      <c r="CJ851" s="1241"/>
      <c r="CK851" s="1241"/>
      <c r="CL851" s="1241"/>
      <c r="CM851" s="1241"/>
      <c r="CN851" s="1241"/>
      <c r="CO851" s="1241"/>
      <c r="CP851" s="1241"/>
      <c r="CQ851" s="1241"/>
      <c r="CR851" s="1241"/>
      <c r="CS851" s="1241"/>
      <c r="CT851" s="1241"/>
      <c r="CU851" s="1241"/>
      <c r="CV851" s="1241"/>
      <c r="CW851" s="1241"/>
      <c r="CX851" s="1241"/>
      <c r="CY851" s="1241"/>
      <c r="CZ851" s="1241"/>
      <c r="DA851" s="1241"/>
      <c r="DB851" s="1241"/>
      <c r="DC851" s="1241"/>
      <c r="DD851" s="1241"/>
      <c r="DE851" s="1241"/>
      <c r="DF851" s="1241"/>
      <c r="DG851" s="1241"/>
      <c r="DH851" s="1241"/>
      <c r="DI851" s="1241"/>
      <c r="DJ851" s="1241"/>
      <c r="DK851" s="1241"/>
      <c r="DL851" s="1241"/>
      <c r="DM851" s="1241"/>
    </row>
    <row r="852" spans="1:117" s="1302" customFormat="1" hidden="1">
      <c r="A852" s="1243"/>
      <c r="B852" s="1481" t="s">
        <v>4331</v>
      </c>
      <c r="C852" s="1480"/>
      <c r="D852" s="1481"/>
      <c r="E852" s="1482"/>
      <c r="F852" s="1522"/>
      <c r="G852" s="1489" t="s">
        <v>3878</v>
      </c>
      <c r="H852" s="1557" t="s">
        <v>3878</v>
      </c>
      <c r="I852" s="1522">
        <v>1.1330060614923703</v>
      </c>
      <c r="J852" s="1522">
        <v>1.3085007544601783</v>
      </c>
      <c r="K852" s="1522">
        <v>1.8564333044745993</v>
      </c>
      <c r="L852" s="1522">
        <v>2.538908405033208</v>
      </c>
      <c r="M852" s="1522">
        <v>3.0553507428865814</v>
      </c>
      <c r="N852" s="1522">
        <v>3.5493761173940399</v>
      </c>
      <c r="O852" s="1522">
        <v>1.1326225770462948</v>
      </c>
      <c r="P852" s="1241"/>
      <c r="Q852" s="1241"/>
      <c r="R852" s="1241"/>
      <c r="S852" s="1241"/>
      <c r="T852" s="1241"/>
      <c r="U852" s="1241"/>
      <c r="V852" s="1241"/>
      <c r="W852" s="1241"/>
      <c r="X852" s="1241"/>
      <c r="Y852" s="1241"/>
      <c r="Z852" s="1241"/>
      <c r="AA852" s="1241"/>
      <c r="AB852" s="1241"/>
      <c r="AC852" s="1241"/>
      <c r="AD852" s="1241"/>
      <c r="AE852" s="1241"/>
      <c r="AF852" s="1241"/>
      <c r="AG852" s="1241"/>
      <c r="AH852" s="1241"/>
      <c r="AI852" s="1241"/>
      <c r="AJ852" s="1241"/>
      <c r="AK852" s="1241"/>
      <c r="AL852" s="1241"/>
      <c r="AM852" s="1241"/>
      <c r="AN852" s="1241"/>
      <c r="AO852" s="1241"/>
      <c r="AP852" s="1241"/>
      <c r="AQ852" s="1241"/>
      <c r="AR852" s="1241"/>
      <c r="AS852" s="1241"/>
      <c r="AT852" s="1241"/>
      <c r="AU852" s="1241"/>
      <c r="AV852" s="1241"/>
      <c r="AW852" s="1241"/>
      <c r="AX852" s="1241"/>
      <c r="AY852" s="1241"/>
      <c r="AZ852" s="1241"/>
      <c r="BA852" s="1241"/>
      <c r="BB852" s="1241"/>
      <c r="BC852" s="1241"/>
      <c r="BD852" s="1241"/>
      <c r="BE852" s="1241"/>
      <c r="BF852" s="1241"/>
      <c r="BG852" s="1241"/>
      <c r="BH852" s="1241"/>
      <c r="BI852" s="1241"/>
      <c r="BJ852" s="1241"/>
      <c r="BK852" s="1241"/>
      <c r="BL852" s="1241"/>
      <c r="BM852" s="1241"/>
      <c r="BN852" s="1241"/>
      <c r="BO852" s="1241"/>
      <c r="BP852" s="1241"/>
      <c r="BQ852" s="1241"/>
      <c r="BR852" s="1241"/>
      <c r="BS852" s="1241"/>
      <c r="BT852" s="1241"/>
      <c r="BU852" s="1241"/>
      <c r="BV852" s="1241"/>
      <c r="BW852" s="1241"/>
      <c r="BX852" s="1241"/>
      <c r="BY852" s="1241"/>
      <c r="BZ852" s="1241"/>
      <c r="CA852" s="1241"/>
      <c r="CB852" s="1241"/>
      <c r="CC852" s="1241"/>
      <c r="CD852" s="1241"/>
      <c r="CE852" s="1241"/>
      <c r="CF852" s="1241"/>
      <c r="CG852" s="1241"/>
      <c r="CH852" s="1241"/>
      <c r="CI852" s="1241"/>
      <c r="CJ852" s="1241"/>
      <c r="CK852" s="1241"/>
      <c r="CL852" s="1241"/>
      <c r="CM852" s="1241"/>
      <c r="CN852" s="1241"/>
      <c r="CO852" s="1241"/>
      <c r="CP852" s="1241"/>
      <c r="CQ852" s="1241"/>
      <c r="CR852" s="1241"/>
      <c r="CS852" s="1241"/>
      <c r="CT852" s="1241"/>
      <c r="CU852" s="1241"/>
      <c r="CV852" s="1241"/>
      <c r="CW852" s="1241"/>
      <c r="CX852" s="1241"/>
      <c r="CY852" s="1241"/>
      <c r="CZ852" s="1241"/>
      <c r="DA852" s="1241"/>
      <c r="DB852" s="1241"/>
      <c r="DC852" s="1241"/>
      <c r="DD852" s="1241"/>
      <c r="DE852" s="1241"/>
      <c r="DF852" s="1241"/>
      <c r="DG852" s="1241"/>
      <c r="DH852" s="1241"/>
      <c r="DI852" s="1241"/>
      <c r="DJ852" s="1241"/>
      <c r="DK852" s="1241"/>
      <c r="DL852" s="1241"/>
      <c r="DM852" s="1241"/>
    </row>
    <row r="853" spans="1:117" s="1302" customFormat="1" hidden="1">
      <c r="A853" s="1243"/>
      <c r="B853" s="1481" t="s">
        <v>4332</v>
      </c>
      <c r="C853" s="1480"/>
      <c r="D853" s="1481"/>
      <c r="E853" s="1482"/>
      <c r="F853" s="1522"/>
      <c r="G853" s="1489" t="s">
        <v>3878</v>
      </c>
      <c r="H853" s="1557" t="s">
        <v>3878</v>
      </c>
      <c r="I853" s="1522">
        <v>0.13596072737908443</v>
      </c>
      <c r="J853" s="1522">
        <v>0.1570200905352214</v>
      </c>
      <c r="K853" s="1522">
        <v>0.2227719965369519</v>
      </c>
      <c r="L853" s="1522">
        <v>0.30466900860398494</v>
      </c>
      <c r="M853" s="1522">
        <v>0.36664208914638974</v>
      </c>
      <c r="N853" s="1522">
        <v>0.42592513408728477</v>
      </c>
      <c r="O853" s="1522">
        <v>0.13591470924555538</v>
      </c>
      <c r="P853" s="1241"/>
      <c r="Q853" s="1241"/>
      <c r="R853" s="1241"/>
      <c r="S853" s="1241"/>
      <c r="T853" s="1241"/>
      <c r="U853" s="1241"/>
      <c r="V853" s="1241"/>
      <c r="W853" s="1241"/>
      <c r="X853" s="1241"/>
      <c r="Y853" s="1241"/>
      <c r="Z853" s="1241"/>
      <c r="AA853" s="1241"/>
      <c r="AB853" s="1241"/>
      <c r="AC853" s="1241"/>
      <c r="AD853" s="1241"/>
      <c r="AE853" s="1241"/>
      <c r="AF853" s="1241"/>
      <c r="AG853" s="1241"/>
      <c r="AH853" s="1241"/>
      <c r="AI853" s="1241"/>
      <c r="AJ853" s="1241"/>
      <c r="AK853" s="1241"/>
      <c r="AL853" s="1241"/>
      <c r="AM853" s="1241"/>
      <c r="AN853" s="1241"/>
      <c r="AO853" s="1241"/>
      <c r="AP853" s="1241"/>
      <c r="AQ853" s="1241"/>
      <c r="AR853" s="1241"/>
      <c r="AS853" s="1241"/>
      <c r="AT853" s="1241"/>
      <c r="AU853" s="1241"/>
      <c r="AV853" s="1241"/>
      <c r="AW853" s="1241"/>
      <c r="AX853" s="1241"/>
      <c r="AY853" s="1241"/>
      <c r="AZ853" s="1241"/>
      <c r="BA853" s="1241"/>
      <c r="BB853" s="1241"/>
      <c r="BC853" s="1241"/>
      <c r="BD853" s="1241"/>
      <c r="BE853" s="1241"/>
      <c r="BF853" s="1241"/>
      <c r="BG853" s="1241"/>
      <c r="BH853" s="1241"/>
      <c r="BI853" s="1241"/>
      <c r="BJ853" s="1241"/>
      <c r="BK853" s="1241"/>
      <c r="BL853" s="1241"/>
      <c r="BM853" s="1241"/>
      <c r="BN853" s="1241"/>
      <c r="BO853" s="1241"/>
      <c r="BP853" s="1241"/>
      <c r="BQ853" s="1241"/>
      <c r="BR853" s="1241"/>
      <c r="BS853" s="1241"/>
      <c r="BT853" s="1241"/>
      <c r="BU853" s="1241"/>
      <c r="BV853" s="1241"/>
      <c r="BW853" s="1241"/>
      <c r="BX853" s="1241"/>
      <c r="BY853" s="1241"/>
      <c r="BZ853" s="1241"/>
      <c r="CA853" s="1241"/>
      <c r="CB853" s="1241"/>
      <c r="CC853" s="1241"/>
      <c r="CD853" s="1241"/>
      <c r="CE853" s="1241"/>
      <c r="CF853" s="1241"/>
      <c r="CG853" s="1241"/>
      <c r="CH853" s="1241"/>
      <c r="CI853" s="1241"/>
      <c r="CJ853" s="1241"/>
      <c r="CK853" s="1241"/>
      <c r="CL853" s="1241"/>
      <c r="CM853" s="1241"/>
      <c r="CN853" s="1241"/>
      <c r="CO853" s="1241"/>
      <c r="CP853" s="1241"/>
      <c r="CQ853" s="1241"/>
      <c r="CR853" s="1241"/>
      <c r="CS853" s="1241"/>
      <c r="CT853" s="1241"/>
      <c r="CU853" s="1241"/>
      <c r="CV853" s="1241"/>
      <c r="CW853" s="1241"/>
      <c r="CX853" s="1241"/>
      <c r="CY853" s="1241"/>
      <c r="CZ853" s="1241"/>
      <c r="DA853" s="1241"/>
      <c r="DB853" s="1241"/>
      <c r="DC853" s="1241"/>
      <c r="DD853" s="1241"/>
      <c r="DE853" s="1241"/>
      <c r="DF853" s="1241"/>
      <c r="DG853" s="1241"/>
      <c r="DH853" s="1241"/>
      <c r="DI853" s="1241"/>
      <c r="DJ853" s="1241"/>
      <c r="DK853" s="1241"/>
      <c r="DL853" s="1241"/>
      <c r="DM853" s="1241"/>
    </row>
    <row r="854" spans="1:117" s="1302" customFormat="1" hidden="1">
      <c r="A854" s="1243"/>
      <c r="B854" s="1481" t="s">
        <v>4333</v>
      </c>
      <c r="C854" s="1480"/>
      <c r="D854" s="1481"/>
      <c r="E854" s="1482"/>
      <c r="F854" s="1522"/>
      <c r="G854" s="1489" t="s">
        <v>3878</v>
      </c>
      <c r="H854" s="1557" t="s">
        <v>3878</v>
      </c>
      <c r="I854" s="1522">
        <v>0.22660121229847408</v>
      </c>
      <c r="J854" s="1522">
        <v>0.26170015089203569</v>
      </c>
      <c r="K854" s="1522">
        <v>0.37128666089491991</v>
      </c>
      <c r="L854" s="1522">
        <v>0.50778168100664167</v>
      </c>
      <c r="M854" s="1522">
        <v>0.61107014857731634</v>
      </c>
      <c r="N854" s="1522">
        <v>0.70987522347880805</v>
      </c>
      <c r="O854" s="1522">
        <v>0.22652451540925897</v>
      </c>
      <c r="P854" s="1241"/>
      <c r="Q854" s="1241"/>
      <c r="R854" s="1241"/>
      <c r="S854" s="1241"/>
      <c r="T854" s="1241"/>
      <c r="U854" s="1241"/>
      <c r="V854" s="1241"/>
      <c r="W854" s="1241"/>
      <c r="X854" s="1241"/>
      <c r="Y854" s="1241"/>
      <c r="Z854" s="1241"/>
      <c r="AA854" s="1241"/>
      <c r="AB854" s="1241"/>
      <c r="AC854" s="1241"/>
      <c r="AD854" s="1241"/>
      <c r="AE854" s="1241"/>
      <c r="AF854" s="1241"/>
      <c r="AG854" s="1241"/>
      <c r="AH854" s="1241"/>
      <c r="AI854" s="1241"/>
      <c r="AJ854" s="1241"/>
      <c r="AK854" s="1241"/>
      <c r="AL854" s="1241"/>
      <c r="AM854" s="1241"/>
      <c r="AN854" s="1241"/>
      <c r="AO854" s="1241"/>
      <c r="AP854" s="1241"/>
      <c r="AQ854" s="1241"/>
      <c r="AR854" s="1241"/>
      <c r="AS854" s="1241"/>
      <c r="AT854" s="1241"/>
      <c r="AU854" s="1241"/>
      <c r="AV854" s="1241"/>
      <c r="AW854" s="1241"/>
      <c r="AX854" s="1241"/>
      <c r="AY854" s="1241"/>
      <c r="AZ854" s="1241"/>
      <c r="BA854" s="1241"/>
      <c r="BB854" s="1241"/>
      <c r="BC854" s="1241"/>
      <c r="BD854" s="1241"/>
      <c r="BE854" s="1241"/>
      <c r="BF854" s="1241"/>
      <c r="BG854" s="1241"/>
      <c r="BH854" s="1241"/>
      <c r="BI854" s="1241"/>
      <c r="BJ854" s="1241"/>
      <c r="BK854" s="1241"/>
      <c r="BL854" s="1241"/>
      <c r="BM854" s="1241"/>
      <c r="BN854" s="1241"/>
      <c r="BO854" s="1241"/>
      <c r="BP854" s="1241"/>
      <c r="BQ854" s="1241"/>
      <c r="BR854" s="1241"/>
      <c r="BS854" s="1241"/>
      <c r="BT854" s="1241"/>
      <c r="BU854" s="1241"/>
      <c r="BV854" s="1241"/>
      <c r="BW854" s="1241"/>
      <c r="BX854" s="1241"/>
      <c r="BY854" s="1241"/>
      <c r="BZ854" s="1241"/>
      <c r="CA854" s="1241"/>
      <c r="CB854" s="1241"/>
      <c r="CC854" s="1241"/>
      <c r="CD854" s="1241"/>
      <c r="CE854" s="1241"/>
      <c r="CF854" s="1241"/>
      <c r="CG854" s="1241"/>
      <c r="CH854" s="1241"/>
      <c r="CI854" s="1241"/>
      <c r="CJ854" s="1241"/>
      <c r="CK854" s="1241"/>
      <c r="CL854" s="1241"/>
      <c r="CM854" s="1241"/>
      <c r="CN854" s="1241"/>
      <c r="CO854" s="1241"/>
      <c r="CP854" s="1241"/>
      <c r="CQ854" s="1241"/>
      <c r="CR854" s="1241"/>
      <c r="CS854" s="1241"/>
      <c r="CT854" s="1241"/>
      <c r="CU854" s="1241"/>
      <c r="CV854" s="1241"/>
      <c r="CW854" s="1241"/>
      <c r="CX854" s="1241"/>
      <c r="CY854" s="1241"/>
      <c r="CZ854" s="1241"/>
      <c r="DA854" s="1241"/>
      <c r="DB854" s="1241"/>
      <c r="DC854" s="1241"/>
      <c r="DD854" s="1241"/>
      <c r="DE854" s="1241"/>
      <c r="DF854" s="1241"/>
      <c r="DG854" s="1241"/>
      <c r="DH854" s="1241"/>
      <c r="DI854" s="1241"/>
      <c r="DJ854" s="1241"/>
      <c r="DK854" s="1241"/>
      <c r="DL854" s="1241"/>
      <c r="DM854" s="1241"/>
    </row>
    <row r="855" spans="1:117" s="1302" customFormat="1" hidden="1">
      <c r="A855" s="1243"/>
      <c r="B855" s="1481" t="s">
        <v>4334</v>
      </c>
      <c r="C855" s="1480"/>
      <c r="D855" s="1481"/>
      <c r="E855" s="1482"/>
      <c r="F855" s="1522"/>
      <c r="G855" s="1489" t="s">
        <v>3878</v>
      </c>
      <c r="H855" s="1557" t="s">
        <v>3878</v>
      </c>
      <c r="I855" s="1522">
        <v>1.2236465464117601</v>
      </c>
      <c r="J855" s="1522">
        <v>1.4131808148169926</v>
      </c>
      <c r="K855" s="1522">
        <v>2.0049479688325675</v>
      </c>
      <c r="L855" s="1522">
        <v>2.7420210774358647</v>
      </c>
      <c r="M855" s="1522">
        <v>3.2997788023175083</v>
      </c>
      <c r="N855" s="1522">
        <v>3.8333262067855634</v>
      </c>
      <c r="O855" s="1522">
        <v>1.2232323832099985</v>
      </c>
      <c r="P855" s="1241"/>
      <c r="Q855" s="1241"/>
      <c r="R855" s="1241"/>
      <c r="S855" s="1241"/>
      <c r="T855" s="1241"/>
      <c r="U855" s="1241"/>
      <c r="V855" s="1241"/>
      <c r="W855" s="1241"/>
      <c r="X855" s="1241"/>
      <c r="Y855" s="1241"/>
      <c r="Z855" s="1241"/>
      <c r="AA855" s="1241"/>
      <c r="AB855" s="1241"/>
      <c r="AC855" s="1241"/>
      <c r="AD855" s="1241"/>
      <c r="AE855" s="1241"/>
      <c r="AF855" s="1241"/>
      <c r="AG855" s="1241"/>
      <c r="AH855" s="1241"/>
      <c r="AI855" s="1241"/>
      <c r="AJ855" s="1241"/>
      <c r="AK855" s="1241"/>
      <c r="AL855" s="1241"/>
      <c r="AM855" s="1241"/>
      <c r="AN855" s="1241"/>
      <c r="AO855" s="1241"/>
      <c r="AP855" s="1241"/>
      <c r="AQ855" s="1241"/>
      <c r="AR855" s="1241"/>
      <c r="AS855" s="1241"/>
      <c r="AT855" s="1241"/>
      <c r="AU855" s="1241"/>
      <c r="AV855" s="1241"/>
      <c r="AW855" s="1241"/>
      <c r="AX855" s="1241"/>
      <c r="AY855" s="1241"/>
      <c r="AZ855" s="1241"/>
      <c r="BA855" s="1241"/>
      <c r="BB855" s="1241"/>
      <c r="BC855" s="1241"/>
      <c r="BD855" s="1241"/>
      <c r="BE855" s="1241"/>
      <c r="BF855" s="1241"/>
      <c r="BG855" s="1241"/>
      <c r="BH855" s="1241"/>
      <c r="BI855" s="1241"/>
      <c r="BJ855" s="1241"/>
      <c r="BK855" s="1241"/>
      <c r="BL855" s="1241"/>
      <c r="BM855" s="1241"/>
      <c r="BN855" s="1241"/>
      <c r="BO855" s="1241"/>
      <c r="BP855" s="1241"/>
      <c r="BQ855" s="1241"/>
      <c r="BR855" s="1241"/>
      <c r="BS855" s="1241"/>
      <c r="BT855" s="1241"/>
      <c r="BU855" s="1241"/>
      <c r="BV855" s="1241"/>
      <c r="BW855" s="1241"/>
      <c r="BX855" s="1241"/>
      <c r="BY855" s="1241"/>
      <c r="BZ855" s="1241"/>
      <c r="CA855" s="1241"/>
      <c r="CB855" s="1241"/>
      <c r="CC855" s="1241"/>
      <c r="CD855" s="1241"/>
      <c r="CE855" s="1241"/>
      <c r="CF855" s="1241"/>
      <c r="CG855" s="1241"/>
      <c r="CH855" s="1241"/>
      <c r="CI855" s="1241"/>
      <c r="CJ855" s="1241"/>
      <c r="CK855" s="1241"/>
      <c r="CL855" s="1241"/>
      <c r="CM855" s="1241"/>
      <c r="CN855" s="1241"/>
      <c r="CO855" s="1241"/>
      <c r="CP855" s="1241"/>
      <c r="CQ855" s="1241"/>
      <c r="CR855" s="1241"/>
      <c r="CS855" s="1241"/>
      <c r="CT855" s="1241"/>
      <c r="CU855" s="1241"/>
      <c r="CV855" s="1241"/>
      <c r="CW855" s="1241"/>
      <c r="CX855" s="1241"/>
      <c r="CY855" s="1241"/>
      <c r="CZ855" s="1241"/>
      <c r="DA855" s="1241"/>
      <c r="DB855" s="1241"/>
      <c r="DC855" s="1241"/>
      <c r="DD855" s="1241"/>
      <c r="DE855" s="1241"/>
      <c r="DF855" s="1241"/>
      <c r="DG855" s="1241"/>
      <c r="DH855" s="1241"/>
      <c r="DI855" s="1241"/>
      <c r="DJ855" s="1241"/>
      <c r="DK855" s="1241"/>
      <c r="DL855" s="1241"/>
      <c r="DM855" s="1241"/>
    </row>
    <row r="856" spans="1:117" s="1302" customFormat="1" hidden="1">
      <c r="A856" s="1243"/>
      <c r="B856" s="1480"/>
      <c r="C856" s="1480"/>
      <c r="D856" s="1481"/>
      <c r="E856" s="1482"/>
      <c r="F856" s="1522"/>
      <c r="G856" s="1489" t="s">
        <v>3878</v>
      </c>
      <c r="H856" s="1557" t="s">
        <v>3878</v>
      </c>
      <c r="I856" s="1487">
        <v>0</v>
      </c>
      <c r="J856" s="1487">
        <v>0</v>
      </c>
      <c r="K856" s="1487">
        <v>0</v>
      </c>
      <c r="L856" s="1487">
        <v>0</v>
      </c>
      <c r="M856" s="1487">
        <v>0</v>
      </c>
      <c r="N856" s="1487">
        <v>0</v>
      </c>
      <c r="O856" s="1487">
        <v>0</v>
      </c>
      <c r="P856" s="1241"/>
      <c r="Q856" s="1241"/>
      <c r="R856" s="1241"/>
      <c r="S856" s="1241"/>
      <c r="T856" s="1241"/>
      <c r="U856" s="1241"/>
      <c r="V856" s="1241"/>
      <c r="W856" s="1241"/>
      <c r="X856" s="1241"/>
      <c r="Y856" s="1241"/>
      <c r="Z856" s="1241"/>
      <c r="AA856" s="1241"/>
      <c r="AB856" s="1241"/>
      <c r="AC856" s="1241"/>
      <c r="AD856" s="1241"/>
      <c r="AE856" s="1241"/>
      <c r="AF856" s="1241"/>
      <c r="AG856" s="1241"/>
      <c r="AH856" s="1241"/>
      <c r="AI856" s="1241"/>
      <c r="AJ856" s="1241"/>
      <c r="AK856" s="1241"/>
      <c r="AL856" s="1241"/>
      <c r="AM856" s="1241"/>
      <c r="AN856" s="1241"/>
      <c r="AO856" s="1241"/>
      <c r="AP856" s="1241"/>
      <c r="AQ856" s="1241"/>
      <c r="AR856" s="1241"/>
      <c r="AS856" s="1241"/>
      <c r="AT856" s="1241"/>
      <c r="AU856" s="1241"/>
      <c r="AV856" s="1241"/>
      <c r="AW856" s="1241"/>
      <c r="AX856" s="1241"/>
      <c r="AY856" s="1241"/>
      <c r="AZ856" s="1241"/>
      <c r="BA856" s="1241"/>
      <c r="BB856" s="1241"/>
      <c r="BC856" s="1241"/>
      <c r="BD856" s="1241"/>
      <c r="BE856" s="1241"/>
      <c r="BF856" s="1241"/>
      <c r="BG856" s="1241"/>
      <c r="BH856" s="1241"/>
      <c r="BI856" s="1241"/>
      <c r="BJ856" s="1241"/>
      <c r="BK856" s="1241"/>
      <c r="BL856" s="1241"/>
      <c r="BM856" s="1241"/>
      <c r="BN856" s="1241"/>
      <c r="BO856" s="1241"/>
      <c r="BP856" s="1241"/>
      <c r="BQ856" s="1241"/>
      <c r="BR856" s="1241"/>
      <c r="BS856" s="1241"/>
      <c r="BT856" s="1241"/>
      <c r="BU856" s="1241"/>
      <c r="BV856" s="1241"/>
      <c r="BW856" s="1241"/>
      <c r="BX856" s="1241"/>
      <c r="BY856" s="1241"/>
      <c r="BZ856" s="1241"/>
      <c r="CA856" s="1241"/>
      <c r="CB856" s="1241"/>
      <c r="CC856" s="1241"/>
      <c r="CD856" s="1241"/>
      <c r="CE856" s="1241"/>
      <c r="CF856" s="1241"/>
      <c r="CG856" s="1241"/>
      <c r="CH856" s="1241"/>
      <c r="CI856" s="1241"/>
      <c r="CJ856" s="1241"/>
      <c r="CK856" s="1241"/>
      <c r="CL856" s="1241"/>
      <c r="CM856" s="1241"/>
      <c r="CN856" s="1241"/>
      <c r="CO856" s="1241"/>
      <c r="CP856" s="1241"/>
      <c r="CQ856" s="1241"/>
      <c r="CR856" s="1241"/>
      <c r="CS856" s="1241"/>
      <c r="CT856" s="1241"/>
      <c r="CU856" s="1241"/>
      <c r="CV856" s="1241"/>
      <c r="CW856" s="1241"/>
      <c r="CX856" s="1241"/>
      <c r="CY856" s="1241"/>
      <c r="CZ856" s="1241"/>
      <c r="DA856" s="1241"/>
      <c r="DB856" s="1241"/>
      <c r="DC856" s="1241"/>
      <c r="DD856" s="1241"/>
      <c r="DE856" s="1241"/>
      <c r="DF856" s="1241"/>
      <c r="DG856" s="1241"/>
      <c r="DH856" s="1241"/>
      <c r="DI856" s="1241"/>
      <c r="DJ856" s="1241"/>
      <c r="DK856" s="1241"/>
      <c r="DL856" s="1241"/>
      <c r="DM856" s="1241"/>
    </row>
    <row r="857" spans="1:117" s="1302" customFormat="1" hidden="1">
      <c r="A857" s="1243"/>
      <c r="B857" s="1480"/>
      <c r="C857" s="1480"/>
      <c r="D857" s="1481"/>
      <c r="E857" s="1482"/>
      <c r="F857" s="1522"/>
      <c r="G857" s="1489"/>
      <c r="H857" s="1557"/>
      <c r="I857" s="1489"/>
      <c r="J857" s="1489"/>
      <c r="K857" s="1489"/>
      <c r="L857" s="1489"/>
      <c r="M857" s="1489"/>
      <c r="N857" s="1489"/>
      <c r="O857" s="1489"/>
      <c r="P857" s="1241"/>
      <c r="Q857" s="1241"/>
      <c r="R857" s="1241"/>
      <c r="S857" s="1241"/>
      <c r="T857" s="1241"/>
      <c r="U857" s="1241"/>
      <c r="V857" s="1241"/>
      <c r="W857" s="1241"/>
      <c r="X857" s="1241"/>
      <c r="Y857" s="1241"/>
      <c r="Z857" s="1241"/>
      <c r="AA857" s="1241"/>
      <c r="AB857" s="1241"/>
      <c r="AC857" s="1241"/>
      <c r="AD857" s="1241"/>
      <c r="AE857" s="1241"/>
      <c r="AF857" s="1241"/>
      <c r="AG857" s="1241"/>
      <c r="AH857" s="1241"/>
      <c r="AI857" s="1241"/>
      <c r="AJ857" s="1241"/>
      <c r="AK857" s="1241"/>
      <c r="AL857" s="1241"/>
      <c r="AM857" s="1241"/>
      <c r="AN857" s="1241"/>
      <c r="AO857" s="1241"/>
      <c r="AP857" s="1241"/>
      <c r="AQ857" s="1241"/>
      <c r="AR857" s="1241"/>
      <c r="AS857" s="1241"/>
      <c r="AT857" s="1241"/>
      <c r="AU857" s="1241"/>
      <c r="AV857" s="1241"/>
      <c r="AW857" s="1241"/>
      <c r="AX857" s="1241"/>
      <c r="AY857" s="1241"/>
      <c r="AZ857" s="1241"/>
      <c r="BA857" s="1241"/>
      <c r="BB857" s="1241"/>
      <c r="BC857" s="1241"/>
      <c r="BD857" s="1241"/>
      <c r="BE857" s="1241"/>
      <c r="BF857" s="1241"/>
      <c r="BG857" s="1241"/>
      <c r="BH857" s="1241"/>
      <c r="BI857" s="1241"/>
      <c r="BJ857" s="1241"/>
      <c r="BK857" s="1241"/>
      <c r="BL857" s="1241"/>
      <c r="BM857" s="1241"/>
      <c r="BN857" s="1241"/>
      <c r="BO857" s="1241"/>
      <c r="BP857" s="1241"/>
      <c r="BQ857" s="1241"/>
      <c r="BR857" s="1241"/>
      <c r="BS857" s="1241"/>
      <c r="BT857" s="1241"/>
      <c r="BU857" s="1241"/>
      <c r="BV857" s="1241"/>
      <c r="BW857" s="1241"/>
      <c r="BX857" s="1241"/>
      <c r="BY857" s="1241"/>
      <c r="BZ857" s="1241"/>
      <c r="CA857" s="1241"/>
      <c r="CB857" s="1241"/>
      <c r="CC857" s="1241"/>
      <c r="CD857" s="1241"/>
      <c r="CE857" s="1241"/>
      <c r="CF857" s="1241"/>
      <c r="CG857" s="1241"/>
      <c r="CH857" s="1241"/>
      <c r="CI857" s="1241"/>
      <c r="CJ857" s="1241"/>
      <c r="CK857" s="1241"/>
      <c r="CL857" s="1241"/>
      <c r="CM857" s="1241"/>
      <c r="CN857" s="1241"/>
      <c r="CO857" s="1241"/>
      <c r="CP857" s="1241"/>
      <c r="CQ857" s="1241"/>
      <c r="CR857" s="1241"/>
      <c r="CS857" s="1241"/>
      <c r="CT857" s="1241"/>
      <c r="CU857" s="1241"/>
      <c r="CV857" s="1241"/>
      <c r="CW857" s="1241"/>
      <c r="CX857" s="1241"/>
      <c r="CY857" s="1241"/>
      <c r="CZ857" s="1241"/>
      <c r="DA857" s="1241"/>
      <c r="DB857" s="1241"/>
      <c r="DC857" s="1241"/>
      <c r="DD857" s="1241"/>
      <c r="DE857" s="1241"/>
      <c r="DF857" s="1241"/>
      <c r="DG857" s="1241"/>
      <c r="DH857" s="1241"/>
      <c r="DI857" s="1241"/>
      <c r="DJ857" s="1241"/>
      <c r="DK857" s="1241"/>
      <c r="DL857" s="1241"/>
      <c r="DM857" s="1241"/>
    </row>
    <row r="858" spans="1:117" s="1302" customFormat="1" hidden="1">
      <c r="A858" s="1241"/>
      <c r="B858" s="1459"/>
      <c r="C858" s="1241"/>
      <c r="D858" s="1459"/>
      <c r="E858" s="1460"/>
      <c r="F858" s="1540"/>
      <c r="G858" s="1473"/>
      <c r="H858" s="1473"/>
      <c r="I858" s="1473"/>
      <c r="J858" s="1473"/>
      <c r="K858" s="1473"/>
      <c r="L858" s="1473"/>
      <c r="M858" s="1473"/>
      <c r="N858" s="1473"/>
      <c r="O858" s="1473"/>
      <c r="P858" s="1241"/>
      <c r="Q858" s="1241"/>
      <c r="R858" s="1241"/>
      <c r="S858" s="1241"/>
      <c r="T858" s="1241"/>
      <c r="U858" s="1241"/>
      <c r="V858" s="1241"/>
      <c r="W858" s="1241"/>
      <c r="X858" s="1241"/>
      <c r="Y858" s="1241"/>
      <c r="Z858" s="1241"/>
      <c r="AA858" s="1241"/>
      <c r="AB858" s="1241"/>
      <c r="AC858" s="1241"/>
      <c r="AD858" s="1241"/>
      <c r="AE858" s="1241"/>
      <c r="AF858" s="1241"/>
      <c r="AG858" s="1241"/>
      <c r="AH858" s="1241"/>
      <c r="AI858" s="1241"/>
      <c r="AJ858" s="1241"/>
      <c r="AK858" s="1241"/>
      <c r="AL858" s="1241"/>
      <c r="AM858" s="1241"/>
      <c r="AN858" s="1241"/>
      <c r="AO858" s="1241"/>
      <c r="AP858" s="1241"/>
      <c r="AQ858" s="1241"/>
      <c r="AR858" s="1241"/>
      <c r="AS858" s="1241"/>
      <c r="AT858" s="1241"/>
      <c r="AU858" s="1241"/>
      <c r="AV858" s="1241"/>
      <c r="AW858" s="1241"/>
      <c r="AX858" s="1241"/>
      <c r="AY858" s="1241"/>
      <c r="AZ858" s="1241"/>
      <c r="BA858" s="1241"/>
      <c r="BB858" s="1241"/>
      <c r="BC858" s="1241"/>
      <c r="BD858" s="1241"/>
      <c r="BE858" s="1241"/>
      <c r="BF858" s="1241"/>
      <c r="BG858" s="1241"/>
      <c r="BH858" s="1241"/>
      <c r="BI858" s="1241"/>
      <c r="BJ858" s="1241"/>
      <c r="BK858" s="1241"/>
      <c r="BL858" s="1241"/>
      <c r="BM858" s="1241"/>
      <c r="BN858" s="1241"/>
      <c r="BO858" s="1241"/>
      <c r="BP858" s="1241"/>
      <c r="BQ858" s="1241"/>
      <c r="BR858" s="1241"/>
      <c r="BS858" s="1241"/>
      <c r="BT858" s="1241"/>
      <c r="BU858" s="1241"/>
      <c r="BV858" s="1241"/>
      <c r="BW858" s="1241"/>
      <c r="BX858" s="1241"/>
      <c r="BY858" s="1241"/>
      <c r="BZ858" s="1241"/>
      <c r="CA858" s="1241"/>
      <c r="CB858" s="1241"/>
      <c r="CC858" s="1241"/>
      <c r="CD858" s="1241"/>
      <c r="CE858" s="1241"/>
      <c r="CF858" s="1241"/>
      <c r="CG858" s="1241"/>
      <c r="CH858" s="1241"/>
      <c r="CI858" s="1241"/>
      <c r="CJ858" s="1241"/>
      <c r="CK858" s="1241"/>
      <c r="CL858" s="1241"/>
      <c r="CM858" s="1241"/>
      <c r="CN858" s="1241"/>
      <c r="CO858" s="1241"/>
      <c r="CP858" s="1241"/>
      <c r="CQ858" s="1241"/>
      <c r="CR858" s="1241"/>
      <c r="CS858" s="1241"/>
      <c r="CT858" s="1241"/>
      <c r="CU858" s="1241"/>
      <c r="CV858" s="1241"/>
      <c r="CW858" s="1241"/>
      <c r="CX858" s="1241"/>
      <c r="CY858" s="1241"/>
      <c r="CZ858" s="1241"/>
      <c r="DA858" s="1241"/>
      <c r="DB858" s="1241"/>
      <c r="DC858" s="1241"/>
      <c r="DD858" s="1241"/>
      <c r="DE858" s="1241"/>
      <c r="DF858" s="1241"/>
      <c r="DG858" s="1241"/>
      <c r="DH858" s="1241"/>
      <c r="DI858" s="1241"/>
      <c r="DJ858" s="1241"/>
      <c r="DK858" s="1241"/>
      <c r="DL858" s="1241"/>
      <c r="DM858" s="1241"/>
    </row>
    <row r="859" spans="1:117" s="1302" customFormat="1" hidden="1">
      <c r="A859" s="1241"/>
      <c r="B859" s="1558" t="s">
        <v>4336</v>
      </c>
      <c r="C859" s="1559"/>
      <c r="D859" s="1558"/>
      <c r="E859" s="1460"/>
      <c r="F859" s="1540"/>
      <c r="G859" s="1473"/>
      <c r="H859" s="1473"/>
      <c r="I859" s="1473"/>
      <c r="J859" s="1473"/>
      <c r="K859" s="1473"/>
      <c r="L859" s="1473"/>
      <c r="M859" s="1473"/>
      <c r="N859" s="1473"/>
      <c r="O859" s="1473"/>
      <c r="P859" s="1241"/>
      <c r="Q859" s="1241"/>
      <c r="R859" s="1241"/>
      <c r="S859" s="1241"/>
      <c r="T859" s="1241"/>
      <c r="U859" s="1241"/>
      <c r="V859" s="1241"/>
      <c r="W859" s="1241"/>
      <c r="X859" s="1241"/>
      <c r="Y859" s="1241"/>
      <c r="Z859" s="1241"/>
      <c r="AA859" s="1241"/>
      <c r="AB859" s="1241"/>
      <c r="AC859" s="1241"/>
      <c r="AD859" s="1241"/>
      <c r="AE859" s="1241"/>
      <c r="AF859" s="1241"/>
      <c r="AG859" s="1241"/>
      <c r="AH859" s="1241"/>
      <c r="AI859" s="1241"/>
      <c r="AJ859" s="1241"/>
      <c r="AK859" s="1241"/>
      <c r="AL859" s="1241"/>
      <c r="AM859" s="1241"/>
      <c r="AN859" s="1241"/>
      <c r="AO859" s="1241"/>
      <c r="AP859" s="1241"/>
      <c r="AQ859" s="1241"/>
      <c r="AR859" s="1241"/>
      <c r="AS859" s="1241"/>
      <c r="AT859" s="1241"/>
      <c r="AU859" s="1241"/>
      <c r="AV859" s="1241"/>
      <c r="AW859" s="1241"/>
      <c r="AX859" s="1241"/>
      <c r="AY859" s="1241"/>
      <c r="AZ859" s="1241"/>
      <c r="BA859" s="1241"/>
      <c r="BB859" s="1241"/>
      <c r="BC859" s="1241"/>
      <c r="BD859" s="1241"/>
      <c r="BE859" s="1241"/>
      <c r="BF859" s="1241"/>
      <c r="BG859" s="1241"/>
      <c r="BH859" s="1241"/>
      <c r="BI859" s="1241"/>
      <c r="BJ859" s="1241"/>
      <c r="BK859" s="1241"/>
      <c r="BL859" s="1241"/>
      <c r="BM859" s="1241"/>
      <c r="BN859" s="1241"/>
      <c r="BO859" s="1241"/>
      <c r="BP859" s="1241"/>
      <c r="BQ859" s="1241"/>
      <c r="BR859" s="1241"/>
      <c r="BS859" s="1241"/>
      <c r="BT859" s="1241"/>
      <c r="BU859" s="1241"/>
      <c r="BV859" s="1241"/>
      <c r="BW859" s="1241"/>
      <c r="BX859" s="1241"/>
      <c r="BY859" s="1241"/>
      <c r="BZ859" s="1241"/>
      <c r="CA859" s="1241"/>
      <c r="CB859" s="1241"/>
      <c r="CC859" s="1241"/>
      <c r="CD859" s="1241"/>
      <c r="CE859" s="1241"/>
      <c r="CF859" s="1241"/>
      <c r="CG859" s="1241"/>
      <c r="CH859" s="1241"/>
      <c r="CI859" s="1241"/>
      <c r="CJ859" s="1241"/>
      <c r="CK859" s="1241"/>
      <c r="CL859" s="1241"/>
      <c r="CM859" s="1241"/>
      <c r="CN859" s="1241"/>
      <c r="CO859" s="1241"/>
      <c r="CP859" s="1241"/>
      <c r="CQ859" s="1241"/>
      <c r="CR859" s="1241"/>
      <c r="CS859" s="1241"/>
      <c r="CT859" s="1241"/>
      <c r="CU859" s="1241"/>
      <c r="CV859" s="1241"/>
      <c r="CW859" s="1241"/>
      <c r="CX859" s="1241"/>
      <c r="CY859" s="1241"/>
      <c r="CZ859" s="1241"/>
      <c r="DA859" s="1241"/>
      <c r="DB859" s="1241"/>
      <c r="DC859" s="1241"/>
      <c r="DD859" s="1241"/>
      <c r="DE859" s="1241"/>
      <c r="DF859" s="1241"/>
      <c r="DG859" s="1241"/>
      <c r="DH859" s="1241"/>
      <c r="DI859" s="1241"/>
      <c r="DJ859" s="1241"/>
      <c r="DK859" s="1241"/>
      <c r="DL859" s="1241"/>
      <c r="DM859" s="1241"/>
    </row>
    <row r="860" spans="1:117" s="1302" customFormat="1" hidden="1">
      <c r="A860" s="1241"/>
      <c r="B860" s="1558"/>
      <c r="C860" s="1559"/>
      <c r="D860" s="1558"/>
      <c r="E860" s="1460"/>
      <c r="F860" s="1540"/>
      <c r="G860" s="1473"/>
      <c r="H860" s="1473"/>
      <c r="I860" s="1473"/>
      <c r="J860" s="1473"/>
      <c r="K860" s="1473"/>
      <c r="L860" s="1473"/>
      <c r="M860" s="1473"/>
      <c r="N860" s="1473"/>
      <c r="O860" s="1473"/>
      <c r="P860" s="1241"/>
      <c r="Q860" s="1241"/>
      <c r="R860" s="1241"/>
      <c r="S860" s="1241"/>
      <c r="T860" s="1241"/>
      <c r="U860" s="1241"/>
      <c r="V860" s="1241"/>
      <c r="W860" s="1241"/>
      <c r="X860" s="1241"/>
      <c r="Y860" s="1241"/>
      <c r="Z860" s="1241"/>
      <c r="AA860" s="1241"/>
      <c r="AB860" s="1241"/>
      <c r="AC860" s="1241"/>
      <c r="AD860" s="1241"/>
      <c r="AE860" s="1241"/>
      <c r="AF860" s="1241"/>
      <c r="AG860" s="1241"/>
      <c r="AH860" s="1241"/>
      <c r="AI860" s="1241"/>
      <c r="AJ860" s="1241"/>
      <c r="AK860" s="1241"/>
      <c r="AL860" s="1241"/>
      <c r="AM860" s="1241"/>
      <c r="AN860" s="1241"/>
      <c r="AO860" s="1241"/>
      <c r="AP860" s="1241"/>
      <c r="AQ860" s="1241"/>
      <c r="AR860" s="1241"/>
      <c r="AS860" s="1241"/>
      <c r="AT860" s="1241"/>
      <c r="AU860" s="1241"/>
      <c r="AV860" s="1241"/>
      <c r="AW860" s="1241"/>
      <c r="AX860" s="1241"/>
      <c r="AY860" s="1241"/>
      <c r="AZ860" s="1241"/>
      <c r="BA860" s="1241"/>
      <c r="BB860" s="1241"/>
      <c r="BC860" s="1241"/>
      <c r="BD860" s="1241"/>
      <c r="BE860" s="1241"/>
      <c r="BF860" s="1241"/>
      <c r="BG860" s="1241"/>
      <c r="BH860" s="1241"/>
      <c r="BI860" s="1241"/>
      <c r="BJ860" s="1241"/>
      <c r="BK860" s="1241"/>
      <c r="BL860" s="1241"/>
      <c r="BM860" s="1241"/>
      <c r="BN860" s="1241"/>
      <c r="BO860" s="1241"/>
      <c r="BP860" s="1241"/>
      <c r="BQ860" s="1241"/>
      <c r="BR860" s="1241"/>
      <c r="BS860" s="1241"/>
      <c r="BT860" s="1241"/>
      <c r="BU860" s="1241"/>
      <c r="BV860" s="1241"/>
      <c r="BW860" s="1241"/>
      <c r="BX860" s="1241"/>
      <c r="BY860" s="1241"/>
      <c r="BZ860" s="1241"/>
      <c r="CA860" s="1241"/>
      <c r="CB860" s="1241"/>
      <c r="CC860" s="1241"/>
      <c r="CD860" s="1241"/>
      <c r="CE860" s="1241"/>
      <c r="CF860" s="1241"/>
      <c r="CG860" s="1241"/>
      <c r="CH860" s="1241"/>
      <c r="CI860" s="1241"/>
      <c r="CJ860" s="1241"/>
      <c r="CK860" s="1241"/>
      <c r="CL860" s="1241"/>
      <c r="CM860" s="1241"/>
      <c r="CN860" s="1241"/>
      <c r="CO860" s="1241"/>
      <c r="CP860" s="1241"/>
      <c r="CQ860" s="1241"/>
      <c r="CR860" s="1241"/>
      <c r="CS860" s="1241"/>
      <c r="CT860" s="1241"/>
      <c r="CU860" s="1241"/>
      <c r="CV860" s="1241"/>
      <c r="CW860" s="1241"/>
      <c r="CX860" s="1241"/>
      <c r="CY860" s="1241"/>
      <c r="CZ860" s="1241"/>
      <c r="DA860" s="1241"/>
      <c r="DB860" s="1241"/>
      <c r="DC860" s="1241"/>
      <c r="DD860" s="1241"/>
      <c r="DE860" s="1241"/>
      <c r="DF860" s="1241"/>
      <c r="DG860" s="1241"/>
      <c r="DH860" s="1241"/>
      <c r="DI860" s="1241"/>
      <c r="DJ860" s="1241"/>
      <c r="DK860" s="1241"/>
      <c r="DL860" s="1241"/>
      <c r="DM860" s="1241"/>
    </row>
    <row r="861" spans="1:117" s="1302" customFormat="1" hidden="1">
      <c r="A861" s="1241"/>
      <c r="B861" s="1560" t="s">
        <v>4275</v>
      </c>
      <c r="C861" s="1559"/>
      <c r="D861" s="1558"/>
      <c r="E861" s="1460"/>
      <c r="F861" s="1540"/>
      <c r="G861" s="1473"/>
      <c r="H861" s="1473"/>
      <c r="I861" s="1473"/>
      <c r="J861" s="1473"/>
      <c r="K861" s="1473"/>
      <c r="L861" s="1473"/>
      <c r="M861" s="1473"/>
      <c r="N861" s="1473"/>
      <c r="O861" s="1473"/>
      <c r="P861" s="1241"/>
      <c r="Q861" s="1241"/>
      <c r="R861" s="1241"/>
      <c r="S861" s="1241"/>
      <c r="T861" s="1241"/>
      <c r="U861" s="1241"/>
      <c r="V861" s="1241"/>
      <c r="W861" s="1241"/>
      <c r="X861" s="1241"/>
      <c r="Y861" s="1241"/>
      <c r="Z861" s="1241"/>
      <c r="AA861" s="1241"/>
      <c r="AB861" s="1241"/>
      <c r="AC861" s="1241"/>
      <c r="AD861" s="1241"/>
      <c r="AE861" s="1241"/>
      <c r="AF861" s="1241"/>
      <c r="AG861" s="1241"/>
      <c r="AH861" s="1241"/>
      <c r="AI861" s="1241"/>
      <c r="AJ861" s="1241"/>
      <c r="AK861" s="1241"/>
      <c r="AL861" s="1241"/>
      <c r="AM861" s="1241"/>
      <c r="AN861" s="1241"/>
      <c r="AO861" s="1241"/>
      <c r="AP861" s="1241"/>
      <c r="AQ861" s="1241"/>
      <c r="AR861" s="1241"/>
      <c r="AS861" s="1241"/>
      <c r="AT861" s="1241"/>
      <c r="AU861" s="1241"/>
      <c r="AV861" s="1241"/>
      <c r="AW861" s="1241"/>
      <c r="AX861" s="1241"/>
      <c r="AY861" s="1241"/>
      <c r="AZ861" s="1241"/>
      <c r="BA861" s="1241"/>
      <c r="BB861" s="1241"/>
      <c r="BC861" s="1241"/>
      <c r="BD861" s="1241"/>
      <c r="BE861" s="1241"/>
      <c r="BF861" s="1241"/>
      <c r="BG861" s="1241"/>
      <c r="BH861" s="1241"/>
      <c r="BI861" s="1241"/>
      <c r="BJ861" s="1241"/>
      <c r="BK861" s="1241"/>
      <c r="BL861" s="1241"/>
      <c r="BM861" s="1241"/>
      <c r="BN861" s="1241"/>
      <c r="BO861" s="1241"/>
      <c r="BP861" s="1241"/>
      <c r="BQ861" s="1241"/>
      <c r="BR861" s="1241"/>
      <c r="BS861" s="1241"/>
      <c r="BT861" s="1241"/>
      <c r="BU861" s="1241"/>
      <c r="BV861" s="1241"/>
      <c r="BW861" s="1241"/>
      <c r="BX861" s="1241"/>
      <c r="BY861" s="1241"/>
      <c r="BZ861" s="1241"/>
      <c r="CA861" s="1241"/>
      <c r="CB861" s="1241"/>
      <c r="CC861" s="1241"/>
      <c r="CD861" s="1241"/>
      <c r="CE861" s="1241"/>
      <c r="CF861" s="1241"/>
      <c r="CG861" s="1241"/>
      <c r="CH861" s="1241"/>
      <c r="CI861" s="1241"/>
      <c r="CJ861" s="1241"/>
      <c r="CK861" s="1241"/>
      <c r="CL861" s="1241"/>
      <c r="CM861" s="1241"/>
      <c r="CN861" s="1241"/>
      <c r="CO861" s="1241"/>
      <c r="CP861" s="1241"/>
      <c r="CQ861" s="1241"/>
      <c r="CR861" s="1241"/>
      <c r="CS861" s="1241"/>
      <c r="CT861" s="1241"/>
      <c r="CU861" s="1241"/>
      <c r="CV861" s="1241"/>
      <c r="CW861" s="1241"/>
      <c r="CX861" s="1241"/>
      <c r="CY861" s="1241"/>
      <c r="CZ861" s="1241"/>
      <c r="DA861" s="1241"/>
      <c r="DB861" s="1241"/>
      <c r="DC861" s="1241"/>
      <c r="DD861" s="1241"/>
      <c r="DE861" s="1241"/>
      <c r="DF861" s="1241"/>
      <c r="DG861" s="1241"/>
      <c r="DH861" s="1241"/>
      <c r="DI861" s="1241"/>
      <c r="DJ861" s="1241"/>
      <c r="DK861" s="1241"/>
      <c r="DL861" s="1241"/>
      <c r="DM861" s="1241"/>
    </row>
    <row r="862" spans="1:117" s="1302" customFormat="1" hidden="1">
      <c r="A862" s="1241"/>
      <c r="B862" s="1496" t="s">
        <v>4330</v>
      </c>
      <c r="C862" s="1559"/>
      <c r="D862" s="1558"/>
      <c r="E862" s="1460"/>
      <c r="F862" s="1540"/>
      <c r="G862" s="1473"/>
      <c r="H862" s="1473" t="s">
        <v>3878</v>
      </c>
      <c r="I862" s="1473">
        <v>66.998848320000008</v>
      </c>
      <c r="J862" s="1473">
        <v>66.998848320000008</v>
      </c>
      <c r="K862" s="1473">
        <v>66.998848320000008</v>
      </c>
      <c r="L862" s="1473">
        <v>66.998848320000008</v>
      </c>
      <c r="M862" s="1473">
        <v>66.998848320000008</v>
      </c>
      <c r="N862" s="1473">
        <v>66.998848320000008</v>
      </c>
      <c r="O862" s="1473">
        <v>66.998848320000008</v>
      </c>
      <c r="P862" s="1241"/>
      <c r="Q862" s="1241"/>
      <c r="R862" s="1241"/>
      <c r="S862" s="1241"/>
      <c r="T862" s="1241"/>
      <c r="U862" s="1241"/>
      <c r="V862" s="1241"/>
      <c r="W862" s="1241"/>
      <c r="X862" s="1241"/>
      <c r="Y862" s="1241"/>
      <c r="Z862" s="1241"/>
      <c r="AA862" s="1241"/>
      <c r="AB862" s="1241"/>
      <c r="AC862" s="1241"/>
      <c r="AD862" s="1241"/>
      <c r="AE862" s="1241"/>
      <c r="AF862" s="1241"/>
      <c r="AG862" s="1241"/>
      <c r="AH862" s="1241"/>
      <c r="AI862" s="1241"/>
      <c r="AJ862" s="1241"/>
      <c r="AK862" s="1241"/>
      <c r="AL862" s="1241"/>
      <c r="AM862" s="1241"/>
      <c r="AN862" s="1241"/>
      <c r="AO862" s="1241"/>
      <c r="AP862" s="1241"/>
      <c r="AQ862" s="1241"/>
      <c r="AR862" s="1241"/>
      <c r="AS862" s="1241"/>
      <c r="AT862" s="1241"/>
      <c r="AU862" s="1241"/>
      <c r="AV862" s="1241"/>
      <c r="AW862" s="1241"/>
      <c r="AX862" s="1241"/>
      <c r="AY862" s="1241"/>
      <c r="AZ862" s="1241"/>
      <c r="BA862" s="1241"/>
      <c r="BB862" s="1241"/>
      <c r="BC862" s="1241"/>
      <c r="BD862" s="1241"/>
      <c r="BE862" s="1241"/>
      <c r="BF862" s="1241"/>
      <c r="BG862" s="1241"/>
      <c r="BH862" s="1241"/>
      <c r="BI862" s="1241"/>
      <c r="BJ862" s="1241"/>
      <c r="BK862" s="1241"/>
      <c r="BL862" s="1241"/>
      <c r="BM862" s="1241"/>
      <c r="BN862" s="1241"/>
      <c r="BO862" s="1241"/>
      <c r="BP862" s="1241"/>
      <c r="BQ862" s="1241"/>
      <c r="BR862" s="1241"/>
      <c r="BS862" s="1241"/>
      <c r="BT862" s="1241"/>
      <c r="BU862" s="1241"/>
      <c r="BV862" s="1241"/>
      <c r="BW862" s="1241"/>
      <c r="BX862" s="1241"/>
      <c r="BY862" s="1241"/>
      <c r="BZ862" s="1241"/>
      <c r="CA862" s="1241"/>
      <c r="CB862" s="1241"/>
      <c r="CC862" s="1241"/>
      <c r="CD862" s="1241"/>
      <c r="CE862" s="1241"/>
      <c r="CF862" s="1241"/>
      <c r="CG862" s="1241"/>
      <c r="CH862" s="1241"/>
      <c r="CI862" s="1241"/>
      <c r="CJ862" s="1241"/>
      <c r="CK862" s="1241"/>
      <c r="CL862" s="1241"/>
      <c r="CM862" s="1241"/>
      <c r="CN862" s="1241"/>
      <c r="CO862" s="1241"/>
      <c r="CP862" s="1241"/>
      <c r="CQ862" s="1241"/>
      <c r="CR862" s="1241"/>
      <c r="CS862" s="1241"/>
      <c r="CT862" s="1241"/>
      <c r="CU862" s="1241"/>
      <c r="CV862" s="1241"/>
      <c r="CW862" s="1241"/>
      <c r="CX862" s="1241"/>
      <c r="CY862" s="1241"/>
      <c r="CZ862" s="1241"/>
      <c r="DA862" s="1241"/>
      <c r="DB862" s="1241"/>
      <c r="DC862" s="1241"/>
      <c r="DD862" s="1241"/>
      <c r="DE862" s="1241"/>
      <c r="DF862" s="1241"/>
      <c r="DG862" s="1241"/>
      <c r="DH862" s="1241"/>
      <c r="DI862" s="1241"/>
      <c r="DJ862" s="1241"/>
      <c r="DK862" s="1241"/>
      <c r="DL862" s="1241"/>
      <c r="DM862" s="1241"/>
    </row>
    <row r="863" spans="1:117" s="1302" customFormat="1" hidden="1">
      <c r="A863" s="1241"/>
      <c r="B863" s="1496" t="s">
        <v>4331</v>
      </c>
      <c r="C863" s="1559"/>
      <c r="D863" s="1558"/>
      <c r="E863" s="1460"/>
      <c r="F863" s="1540"/>
      <c r="G863" s="1473"/>
      <c r="H863" s="1473" t="s">
        <v>3878</v>
      </c>
      <c r="I863" s="1473">
        <v>97.706653800000012</v>
      </c>
      <c r="J863" s="1473">
        <v>97.706653800000012</v>
      </c>
      <c r="K863" s="1473">
        <v>97.706653800000012</v>
      </c>
      <c r="L863" s="1473">
        <v>97.706653800000012</v>
      </c>
      <c r="M863" s="1473">
        <v>97.706653800000012</v>
      </c>
      <c r="N863" s="1473">
        <v>97.706653800000012</v>
      </c>
      <c r="O863" s="1473">
        <v>97.706653800000012</v>
      </c>
      <c r="P863" s="1241"/>
      <c r="Q863" s="1241"/>
      <c r="R863" s="1241"/>
      <c r="S863" s="1241"/>
      <c r="T863" s="1241"/>
      <c r="U863" s="1241"/>
      <c r="V863" s="1241"/>
      <c r="W863" s="1241"/>
      <c r="X863" s="1241"/>
      <c r="Y863" s="1241"/>
      <c r="Z863" s="1241"/>
      <c r="AA863" s="1241"/>
      <c r="AB863" s="1241"/>
      <c r="AC863" s="1241"/>
      <c r="AD863" s="1241"/>
      <c r="AE863" s="1241"/>
      <c r="AF863" s="1241"/>
      <c r="AG863" s="1241"/>
      <c r="AH863" s="1241"/>
      <c r="AI863" s="1241"/>
      <c r="AJ863" s="1241"/>
      <c r="AK863" s="1241"/>
      <c r="AL863" s="1241"/>
      <c r="AM863" s="1241"/>
      <c r="AN863" s="1241"/>
      <c r="AO863" s="1241"/>
      <c r="AP863" s="1241"/>
      <c r="AQ863" s="1241"/>
      <c r="AR863" s="1241"/>
      <c r="AS863" s="1241"/>
      <c r="AT863" s="1241"/>
      <c r="AU863" s="1241"/>
      <c r="AV863" s="1241"/>
      <c r="AW863" s="1241"/>
      <c r="AX863" s="1241"/>
      <c r="AY863" s="1241"/>
      <c r="AZ863" s="1241"/>
      <c r="BA863" s="1241"/>
      <c r="BB863" s="1241"/>
      <c r="BC863" s="1241"/>
      <c r="BD863" s="1241"/>
      <c r="BE863" s="1241"/>
      <c r="BF863" s="1241"/>
      <c r="BG863" s="1241"/>
      <c r="BH863" s="1241"/>
      <c r="BI863" s="1241"/>
      <c r="BJ863" s="1241"/>
      <c r="BK863" s="1241"/>
      <c r="BL863" s="1241"/>
      <c r="BM863" s="1241"/>
      <c r="BN863" s="1241"/>
      <c r="BO863" s="1241"/>
      <c r="BP863" s="1241"/>
      <c r="BQ863" s="1241"/>
      <c r="BR863" s="1241"/>
      <c r="BS863" s="1241"/>
      <c r="BT863" s="1241"/>
      <c r="BU863" s="1241"/>
      <c r="BV863" s="1241"/>
      <c r="BW863" s="1241"/>
      <c r="BX863" s="1241"/>
      <c r="BY863" s="1241"/>
      <c r="BZ863" s="1241"/>
      <c r="CA863" s="1241"/>
      <c r="CB863" s="1241"/>
      <c r="CC863" s="1241"/>
      <c r="CD863" s="1241"/>
      <c r="CE863" s="1241"/>
      <c r="CF863" s="1241"/>
      <c r="CG863" s="1241"/>
      <c r="CH863" s="1241"/>
      <c r="CI863" s="1241"/>
      <c r="CJ863" s="1241"/>
      <c r="CK863" s="1241"/>
      <c r="CL863" s="1241"/>
      <c r="CM863" s="1241"/>
      <c r="CN863" s="1241"/>
      <c r="CO863" s="1241"/>
      <c r="CP863" s="1241"/>
      <c r="CQ863" s="1241"/>
      <c r="CR863" s="1241"/>
      <c r="CS863" s="1241"/>
      <c r="CT863" s="1241"/>
      <c r="CU863" s="1241"/>
      <c r="CV863" s="1241"/>
      <c r="CW863" s="1241"/>
      <c r="CX863" s="1241"/>
      <c r="CY863" s="1241"/>
      <c r="CZ863" s="1241"/>
      <c r="DA863" s="1241"/>
      <c r="DB863" s="1241"/>
      <c r="DC863" s="1241"/>
      <c r="DD863" s="1241"/>
      <c r="DE863" s="1241"/>
      <c r="DF863" s="1241"/>
      <c r="DG863" s="1241"/>
      <c r="DH863" s="1241"/>
      <c r="DI863" s="1241"/>
      <c r="DJ863" s="1241"/>
      <c r="DK863" s="1241"/>
      <c r="DL863" s="1241"/>
      <c r="DM863" s="1241"/>
    </row>
    <row r="864" spans="1:117" s="1302" customFormat="1" hidden="1">
      <c r="A864" s="1241"/>
      <c r="B864" s="1496" t="s">
        <v>4332</v>
      </c>
      <c r="C864" s="1559"/>
      <c r="D864" s="1558"/>
      <c r="E864" s="1460"/>
      <c r="F864" s="1540"/>
      <c r="G864" s="1473"/>
      <c r="H864" s="1473" t="s">
        <v>3878</v>
      </c>
      <c r="I864" s="1473">
        <v>118.64379390000002</v>
      </c>
      <c r="J864" s="1473">
        <v>118.64379390000002</v>
      </c>
      <c r="K864" s="1473">
        <v>118.64379390000002</v>
      </c>
      <c r="L864" s="1473">
        <v>118.64379390000002</v>
      </c>
      <c r="M864" s="1473">
        <v>118.64379390000002</v>
      </c>
      <c r="N864" s="1473">
        <v>118.64379390000002</v>
      </c>
      <c r="O864" s="1473">
        <v>118.64379390000002</v>
      </c>
      <c r="P864" s="1241"/>
      <c r="Q864" s="1241"/>
      <c r="R864" s="1241"/>
      <c r="S864" s="1241"/>
      <c r="T864" s="1241"/>
      <c r="U864" s="1241"/>
      <c r="V864" s="1241"/>
      <c r="W864" s="1241"/>
      <c r="X864" s="1241"/>
      <c r="Y864" s="1241"/>
      <c r="Z864" s="1241"/>
      <c r="AA864" s="1241"/>
      <c r="AB864" s="1241"/>
      <c r="AC864" s="1241"/>
      <c r="AD864" s="1241"/>
      <c r="AE864" s="1241"/>
      <c r="AF864" s="1241"/>
      <c r="AG864" s="1241"/>
      <c r="AH864" s="1241"/>
      <c r="AI864" s="1241"/>
      <c r="AJ864" s="1241"/>
      <c r="AK864" s="1241"/>
      <c r="AL864" s="1241"/>
      <c r="AM864" s="1241"/>
      <c r="AN864" s="1241"/>
      <c r="AO864" s="1241"/>
      <c r="AP864" s="1241"/>
      <c r="AQ864" s="1241"/>
      <c r="AR864" s="1241"/>
      <c r="AS864" s="1241"/>
      <c r="AT864" s="1241"/>
      <c r="AU864" s="1241"/>
      <c r="AV864" s="1241"/>
      <c r="AW864" s="1241"/>
      <c r="AX864" s="1241"/>
      <c r="AY864" s="1241"/>
      <c r="AZ864" s="1241"/>
      <c r="BA864" s="1241"/>
      <c r="BB864" s="1241"/>
      <c r="BC864" s="1241"/>
      <c r="BD864" s="1241"/>
      <c r="BE864" s="1241"/>
      <c r="BF864" s="1241"/>
      <c r="BG864" s="1241"/>
      <c r="BH864" s="1241"/>
      <c r="BI864" s="1241"/>
      <c r="BJ864" s="1241"/>
      <c r="BK864" s="1241"/>
      <c r="BL864" s="1241"/>
      <c r="BM864" s="1241"/>
      <c r="BN864" s="1241"/>
      <c r="BO864" s="1241"/>
      <c r="BP864" s="1241"/>
      <c r="BQ864" s="1241"/>
      <c r="BR864" s="1241"/>
      <c r="BS864" s="1241"/>
      <c r="BT864" s="1241"/>
      <c r="BU864" s="1241"/>
      <c r="BV864" s="1241"/>
      <c r="BW864" s="1241"/>
      <c r="BX864" s="1241"/>
      <c r="BY864" s="1241"/>
      <c r="BZ864" s="1241"/>
      <c r="CA864" s="1241"/>
      <c r="CB864" s="1241"/>
      <c r="CC864" s="1241"/>
      <c r="CD864" s="1241"/>
      <c r="CE864" s="1241"/>
      <c r="CF864" s="1241"/>
      <c r="CG864" s="1241"/>
      <c r="CH864" s="1241"/>
      <c r="CI864" s="1241"/>
      <c r="CJ864" s="1241"/>
      <c r="CK864" s="1241"/>
      <c r="CL864" s="1241"/>
      <c r="CM864" s="1241"/>
      <c r="CN864" s="1241"/>
      <c r="CO864" s="1241"/>
      <c r="CP864" s="1241"/>
      <c r="CQ864" s="1241"/>
      <c r="CR864" s="1241"/>
      <c r="CS864" s="1241"/>
      <c r="CT864" s="1241"/>
      <c r="CU864" s="1241"/>
      <c r="CV864" s="1241"/>
      <c r="CW864" s="1241"/>
      <c r="CX864" s="1241"/>
      <c r="CY864" s="1241"/>
      <c r="CZ864" s="1241"/>
      <c r="DA864" s="1241"/>
      <c r="DB864" s="1241"/>
      <c r="DC864" s="1241"/>
      <c r="DD864" s="1241"/>
      <c r="DE864" s="1241"/>
      <c r="DF864" s="1241"/>
      <c r="DG864" s="1241"/>
      <c r="DH864" s="1241"/>
      <c r="DI864" s="1241"/>
      <c r="DJ864" s="1241"/>
      <c r="DK864" s="1241"/>
      <c r="DL864" s="1241"/>
      <c r="DM864" s="1241"/>
    </row>
    <row r="865" spans="1:117" s="1302" customFormat="1" hidden="1">
      <c r="A865" s="1241"/>
      <c r="B865" s="1496" t="s">
        <v>4333</v>
      </c>
      <c r="C865" s="1559"/>
      <c r="D865" s="1558"/>
      <c r="E865" s="1460"/>
      <c r="F865" s="1540"/>
      <c r="G865" s="1473"/>
      <c r="H865" s="1473" t="s">
        <v>3878</v>
      </c>
      <c r="I865" s="1473">
        <v>76.769513700000005</v>
      </c>
      <c r="J865" s="1473">
        <v>76.769513700000005</v>
      </c>
      <c r="K865" s="1473">
        <v>76.769513700000005</v>
      </c>
      <c r="L865" s="1473">
        <v>76.769513700000005</v>
      </c>
      <c r="M865" s="1473">
        <v>76.769513700000005</v>
      </c>
      <c r="N865" s="1473">
        <v>76.769513700000005</v>
      </c>
      <c r="O865" s="1473">
        <v>76.769513700000005</v>
      </c>
      <c r="P865" s="1241"/>
      <c r="Q865" s="1241"/>
      <c r="R865" s="1241"/>
      <c r="S865" s="1241"/>
      <c r="T865" s="1241"/>
      <c r="U865" s="1241"/>
      <c r="V865" s="1241"/>
      <c r="W865" s="1241"/>
      <c r="X865" s="1241"/>
      <c r="Y865" s="1241"/>
      <c r="Z865" s="1241"/>
      <c r="AA865" s="1241"/>
      <c r="AB865" s="1241"/>
      <c r="AC865" s="1241"/>
      <c r="AD865" s="1241"/>
      <c r="AE865" s="1241"/>
      <c r="AF865" s="1241"/>
      <c r="AG865" s="1241"/>
      <c r="AH865" s="1241"/>
      <c r="AI865" s="1241"/>
      <c r="AJ865" s="1241"/>
      <c r="AK865" s="1241"/>
      <c r="AL865" s="1241"/>
      <c r="AM865" s="1241"/>
      <c r="AN865" s="1241"/>
      <c r="AO865" s="1241"/>
      <c r="AP865" s="1241"/>
      <c r="AQ865" s="1241"/>
      <c r="AR865" s="1241"/>
      <c r="AS865" s="1241"/>
      <c r="AT865" s="1241"/>
      <c r="AU865" s="1241"/>
      <c r="AV865" s="1241"/>
      <c r="AW865" s="1241"/>
      <c r="AX865" s="1241"/>
      <c r="AY865" s="1241"/>
      <c r="AZ865" s="1241"/>
      <c r="BA865" s="1241"/>
      <c r="BB865" s="1241"/>
      <c r="BC865" s="1241"/>
      <c r="BD865" s="1241"/>
      <c r="BE865" s="1241"/>
      <c r="BF865" s="1241"/>
      <c r="BG865" s="1241"/>
      <c r="BH865" s="1241"/>
      <c r="BI865" s="1241"/>
      <c r="BJ865" s="1241"/>
      <c r="BK865" s="1241"/>
      <c r="BL865" s="1241"/>
      <c r="BM865" s="1241"/>
      <c r="BN865" s="1241"/>
      <c r="BO865" s="1241"/>
      <c r="BP865" s="1241"/>
      <c r="BQ865" s="1241"/>
      <c r="BR865" s="1241"/>
      <c r="BS865" s="1241"/>
      <c r="BT865" s="1241"/>
      <c r="BU865" s="1241"/>
      <c r="BV865" s="1241"/>
      <c r="BW865" s="1241"/>
      <c r="BX865" s="1241"/>
      <c r="BY865" s="1241"/>
      <c r="BZ865" s="1241"/>
      <c r="CA865" s="1241"/>
      <c r="CB865" s="1241"/>
      <c r="CC865" s="1241"/>
      <c r="CD865" s="1241"/>
      <c r="CE865" s="1241"/>
      <c r="CF865" s="1241"/>
      <c r="CG865" s="1241"/>
      <c r="CH865" s="1241"/>
      <c r="CI865" s="1241"/>
      <c r="CJ865" s="1241"/>
      <c r="CK865" s="1241"/>
      <c r="CL865" s="1241"/>
      <c r="CM865" s="1241"/>
      <c r="CN865" s="1241"/>
      <c r="CO865" s="1241"/>
      <c r="CP865" s="1241"/>
      <c r="CQ865" s="1241"/>
      <c r="CR865" s="1241"/>
      <c r="CS865" s="1241"/>
      <c r="CT865" s="1241"/>
      <c r="CU865" s="1241"/>
      <c r="CV865" s="1241"/>
      <c r="CW865" s="1241"/>
      <c r="CX865" s="1241"/>
      <c r="CY865" s="1241"/>
      <c r="CZ865" s="1241"/>
      <c r="DA865" s="1241"/>
      <c r="DB865" s="1241"/>
      <c r="DC865" s="1241"/>
      <c r="DD865" s="1241"/>
      <c r="DE865" s="1241"/>
      <c r="DF865" s="1241"/>
      <c r="DG865" s="1241"/>
      <c r="DH865" s="1241"/>
      <c r="DI865" s="1241"/>
      <c r="DJ865" s="1241"/>
      <c r="DK865" s="1241"/>
      <c r="DL865" s="1241"/>
      <c r="DM865" s="1241"/>
    </row>
    <row r="866" spans="1:117" s="1302" customFormat="1" hidden="1">
      <c r="A866" s="1241"/>
      <c r="B866" s="1496" t="s">
        <v>4334</v>
      </c>
      <c r="C866" s="1559"/>
      <c r="D866" s="1558"/>
      <c r="E866" s="1460"/>
      <c r="F866" s="1540"/>
      <c r="G866" s="1473"/>
      <c r="H866" s="1473" t="s">
        <v>3878</v>
      </c>
      <c r="I866" s="1473">
        <v>55.832373600000004</v>
      </c>
      <c r="J866" s="1473">
        <v>55.832373600000004</v>
      </c>
      <c r="K866" s="1473">
        <v>55.832373600000004</v>
      </c>
      <c r="L866" s="1473">
        <v>55.832373600000004</v>
      </c>
      <c r="M866" s="1473">
        <v>55.832373600000004</v>
      </c>
      <c r="N866" s="1473">
        <v>55.832373600000004</v>
      </c>
      <c r="O866" s="1473">
        <v>55.832373600000004</v>
      </c>
      <c r="P866" s="1241"/>
      <c r="Q866" s="1241"/>
      <c r="R866" s="1241"/>
      <c r="S866" s="1241"/>
      <c r="T866" s="1241"/>
      <c r="U866" s="1241"/>
      <c r="V866" s="1241"/>
      <c r="W866" s="1241"/>
      <c r="X866" s="1241"/>
      <c r="Y866" s="1241"/>
      <c r="Z866" s="1241"/>
      <c r="AA866" s="1241"/>
      <c r="AB866" s="1241"/>
      <c r="AC866" s="1241"/>
      <c r="AD866" s="1241"/>
      <c r="AE866" s="1241"/>
      <c r="AF866" s="1241"/>
      <c r="AG866" s="1241"/>
      <c r="AH866" s="1241"/>
      <c r="AI866" s="1241"/>
      <c r="AJ866" s="1241"/>
      <c r="AK866" s="1241"/>
      <c r="AL866" s="1241"/>
      <c r="AM866" s="1241"/>
      <c r="AN866" s="1241"/>
      <c r="AO866" s="1241"/>
      <c r="AP866" s="1241"/>
      <c r="AQ866" s="1241"/>
      <c r="AR866" s="1241"/>
      <c r="AS866" s="1241"/>
      <c r="AT866" s="1241"/>
      <c r="AU866" s="1241"/>
      <c r="AV866" s="1241"/>
      <c r="AW866" s="1241"/>
      <c r="AX866" s="1241"/>
      <c r="AY866" s="1241"/>
      <c r="AZ866" s="1241"/>
      <c r="BA866" s="1241"/>
      <c r="BB866" s="1241"/>
      <c r="BC866" s="1241"/>
      <c r="BD866" s="1241"/>
      <c r="BE866" s="1241"/>
      <c r="BF866" s="1241"/>
      <c r="BG866" s="1241"/>
      <c r="BH866" s="1241"/>
      <c r="BI866" s="1241"/>
      <c r="BJ866" s="1241"/>
      <c r="BK866" s="1241"/>
      <c r="BL866" s="1241"/>
      <c r="BM866" s="1241"/>
      <c r="BN866" s="1241"/>
      <c r="BO866" s="1241"/>
      <c r="BP866" s="1241"/>
      <c r="BQ866" s="1241"/>
      <c r="BR866" s="1241"/>
      <c r="BS866" s="1241"/>
      <c r="BT866" s="1241"/>
      <c r="BU866" s="1241"/>
      <c r="BV866" s="1241"/>
      <c r="BW866" s="1241"/>
      <c r="BX866" s="1241"/>
      <c r="BY866" s="1241"/>
      <c r="BZ866" s="1241"/>
      <c r="CA866" s="1241"/>
      <c r="CB866" s="1241"/>
      <c r="CC866" s="1241"/>
      <c r="CD866" s="1241"/>
      <c r="CE866" s="1241"/>
      <c r="CF866" s="1241"/>
      <c r="CG866" s="1241"/>
      <c r="CH866" s="1241"/>
      <c r="CI866" s="1241"/>
      <c r="CJ866" s="1241"/>
      <c r="CK866" s="1241"/>
      <c r="CL866" s="1241"/>
      <c r="CM866" s="1241"/>
      <c r="CN866" s="1241"/>
      <c r="CO866" s="1241"/>
      <c r="CP866" s="1241"/>
      <c r="CQ866" s="1241"/>
      <c r="CR866" s="1241"/>
      <c r="CS866" s="1241"/>
      <c r="CT866" s="1241"/>
      <c r="CU866" s="1241"/>
      <c r="CV866" s="1241"/>
      <c r="CW866" s="1241"/>
      <c r="CX866" s="1241"/>
      <c r="CY866" s="1241"/>
      <c r="CZ866" s="1241"/>
      <c r="DA866" s="1241"/>
      <c r="DB866" s="1241"/>
      <c r="DC866" s="1241"/>
      <c r="DD866" s="1241"/>
      <c r="DE866" s="1241"/>
      <c r="DF866" s="1241"/>
      <c r="DG866" s="1241"/>
      <c r="DH866" s="1241"/>
      <c r="DI866" s="1241"/>
      <c r="DJ866" s="1241"/>
      <c r="DK866" s="1241"/>
      <c r="DL866" s="1241"/>
      <c r="DM866" s="1241"/>
    </row>
    <row r="867" spans="1:117" s="1302" customFormat="1" hidden="1">
      <c r="A867" s="1241"/>
      <c r="B867" s="1558"/>
      <c r="C867" s="1559"/>
      <c r="D867" s="1558"/>
      <c r="E867" s="1460"/>
      <c r="F867" s="1540"/>
      <c r="G867" s="1473"/>
      <c r="H867" s="1473"/>
      <c r="I867" s="1473"/>
      <c r="J867" s="1473"/>
      <c r="K867" s="1473"/>
      <c r="L867" s="1473"/>
      <c r="M867" s="1473"/>
      <c r="N867" s="1473"/>
      <c r="O867" s="1473"/>
      <c r="P867" s="1241"/>
      <c r="Q867" s="1241"/>
      <c r="R867" s="1241"/>
      <c r="S867" s="1241"/>
      <c r="T867" s="1241"/>
      <c r="U867" s="1241"/>
      <c r="V867" s="1241"/>
      <c r="W867" s="1241"/>
      <c r="X867" s="1241"/>
      <c r="Y867" s="1241"/>
      <c r="Z867" s="1241"/>
      <c r="AA867" s="1241"/>
      <c r="AB867" s="1241"/>
      <c r="AC867" s="1241"/>
      <c r="AD867" s="1241"/>
      <c r="AE867" s="1241"/>
      <c r="AF867" s="1241"/>
      <c r="AG867" s="1241"/>
      <c r="AH867" s="1241"/>
      <c r="AI867" s="1241"/>
      <c r="AJ867" s="1241"/>
      <c r="AK867" s="1241"/>
      <c r="AL867" s="1241"/>
      <c r="AM867" s="1241"/>
      <c r="AN867" s="1241"/>
      <c r="AO867" s="1241"/>
      <c r="AP867" s="1241"/>
      <c r="AQ867" s="1241"/>
      <c r="AR867" s="1241"/>
      <c r="AS867" s="1241"/>
      <c r="AT867" s="1241"/>
      <c r="AU867" s="1241"/>
      <c r="AV867" s="1241"/>
      <c r="AW867" s="1241"/>
      <c r="AX867" s="1241"/>
      <c r="AY867" s="1241"/>
      <c r="AZ867" s="1241"/>
      <c r="BA867" s="1241"/>
      <c r="BB867" s="1241"/>
      <c r="BC867" s="1241"/>
      <c r="BD867" s="1241"/>
      <c r="BE867" s="1241"/>
      <c r="BF867" s="1241"/>
      <c r="BG867" s="1241"/>
      <c r="BH867" s="1241"/>
      <c r="BI867" s="1241"/>
      <c r="BJ867" s="1241"/>
      <c r="BK867" s="1241"/>
      <c r="BL867" s="1241"/>
      <c r="BM867" s="1241"/>
      <c r="BN867" s="1241"/>
      <c r="BO867" s="1241"/>
      <c r="BP867" s="1241"/>
      <c r="BQ867" s="1241"/>
      <c r="BR867" s="1241"/>
      <c r="BS867" s="1241"/>
      <c r="BT867" s="1241"/>
      <c r="BU867" s="1241"/>
      <c r="BV867" s="1241"/>
      <c r="BW867" s="1241"/>
      <c r="BX867" s="1241"/>
      <c r="BY867" s="1241"/>
      <c r="BZ867" s="1241"/>
      <c r="CA867" s="1241"/>
      <c r="CB867" s="1241"/>
      <c r="CC867" s="1241"/>
      <c r="CD867" s="1241"/>
      <c r="CE867" s="1241"/>
      <c r="CF867" s="1241"/>
      <c r="CG867" s="1241"/>
      <c r="CH867" s="1241"/>
      <c r="CI867" s="1241"/>
      <c r="CJ867" s="1241"/>
      <c r="CK867" s="1241"/>
      <c r="CL867" s="1241"/>
      <c r="CM867" s="1241"/>
      <c r="CN867" s="1241"/>
      <c r="CO867" s="1241"/>
      <c r="CP867" s="1241"/>
      <c r="CQ867" s="1241"/>
      <c r="CR867" s="1241"/>
      <c r="CS867" s="1241"/>
      <c r="CT867" s="1241"/>
      <c r="CU867" s="1241"/>
      <c r="CV867" s="1241"/>
      <c r="CW867" s="1241"/>
      <c r="CX867" s="1241"/>
      <c r="CY867" s="1241"/>
      <c r="CZ867" s="1241"/>
      <c r="DA867" s="1241"/>
      <c r="DB867" s="1241"/>
      <c r="DC867" s="1241"/>
      <c r="DD867" s="1241"/>
      <c r="DE867" s="1241"/>
      <c r="DF867" s="1241"/>
      <c r="DG867" s="1241"/>
      <c r="DH867" s="1241"/>
      <c r="DI867" s="1241"/>
      <c r="DJ867" s="1241"/>
      <c r="DK867" s="1241"/>
      <c r="DL867" s="1241"/>
      <c r="DM867" s="1241"/>
    </row>
    <row r="868" spans="1:117" s="1302" customFormat="1" hidden="1">
      <c r="A868" s="1241"/>
      <c r="B868" s="1560" t="s">
        <v>4276</v>
      </c>
      <c r="C868" s="1559"/>
      <c r="D868" s="1558"/>
      <c r="E868" s="1460"/>
      <c r="F868" s="1540"/>
      <c r="G868" s="1473"/>
      <c r="H868" s="1473"/>
      <c r="I868" s="1473"/>
      <c r="J868" s="1473"/>
      <c r="K868" s="1473"/>
      <c r="L868" s="1473"/>
      <c r="M868" s="1473"/>
      <c r="N868" s="1473"/>
      <c r="O868" s="1473"/>
      <c r="P868" s="1241"/>
      <c r="Q868" s="1241"/>
      <c r="R868" s="1241"/>
      <c r="S868" s="1241"/>
      <c r="T868" s="1241"/>
      <c r="U868" s="1241"/>
      <c r="V868" s="1241"/>
      <c r="W868" s="1241"/>
      <c r="X868" s="1241"/>
      <c r="Y868" s="1241"/>
      <c r="Z868" s="1241"/>
      <c r="AA868" s="1241"/>
      <c r="AB868" s="1241"/>
      <c r="AC868" s="1241"/>
      <c r="AD868" s="1241"/>
      <c r="AE868" s="1241"/>
      <c r="AF868" s="1241"/>
      <c r="AG868" s="1241"/>
      <c r="AH868" s="1241"/>
      <c r="AI868" s="1241"/>
      <c r="AJ868" s="1241"/>
      <c r="AK868" s="1241"/>
      <c r="AL868" s="1241"/>
      <c r="AM868" s="1241"/>
      <c r="AN868" s="1241"/>
      <c r="AO868" s="1241"/>
      <c r="AP868" s="1241"/>
      <c r="AQ868" s="1241"/>
      <c r="AR868" s="1241"/>
      <c r="AS868" s="1241"/>
      <c r="AT868" s="1241"/>
      <c r="AU868" s="1241"/>
      <c r="AV868" s="1241"/>
      <c r="AW868" s="1241"/>
      <c r="AX868" s="1241"/>
      <c r="AY868" s="1241"/>
      <c r="AZ868" s="1241"/>
      <c r="BA868" s="1241"/>
      <c r="BB868" s="1241"/>
      <c r="BC868" s="1241"/>
      <c r="BD868" s="1241"/>
      <c r="BE868" s="1241"/>
      <c r="BF868" s="1241"/>
      <c r="BG868" s="1241"/>
      <c r="BH868" s="1241"/>
      <c r="BI868" s="1241"/>
      <c r="BJ868" s="1241"/>
      <c r="BK868" s="1241"/>
      <c r="BL868" s="1241"/>
      <c r="BM868" s="1241"/>
      <c r="BN868" s="1241"/>
      <c r="BO868" s="1241"/>
      <c r="BP868" s="1241"/>
      <c r="BQ868" s="1241"/>
      <c r="BR868" s="1241"/>
      <c r="BS868" s="1241"/>
      <c r="BT868" s="1241"/>
      <c r="BU868" s="1241"/>
      <c r="BV868" s="1241"/>
      <c r="BW868" s="1241"/>
      <c r="BX868" s="1241"/>
      <c r="BY868" s="1241"/>
      <c r="BZ868" s="1241"/>
      <c r="CA868" s="1241"/>
      <c r="CB868" s="1241"/>
      <c r="CC868" s="1241"/>
      <c r="CD868" s="1241"/>
      <c r="CE868" s="1241"/>
      <c r="CF868" s="1241"/>
      <c r="CG868" s="1241"/>
      <c r="CH868" s="1241"/>
      <c r="CI868" s="1241"/>
      <c r="CJ868" s="1241"/>
      <c r="CK868" s="1241"/>
      <c r="CL868" s="1241"/>
      <c r="CM868" s="1241"/>
      <c r="CN868" s="1241"/>
      <c r="CO868" s="1241"/>
      <c r="CP868" s="1241"/>
      <c r="CQ868" s="1241"/>
      <c r="CR868" s="1241"/>
      <c r="CS868" s="1241"/>
      <c r="CT868" s="1241"/>
      <c r="CU868" s="1241"/>
      <c r="CV868" s="1241"/>
      <c r="CW868" s="1241"/>
      <c r="CX868" s="1241"/>
      <c r="CY868" s="1241"/>
      <c r="CZ868" s="1241"/>
      <c r="DA868" s="1241"/>
      <c r="DB868" s="1241"/>
      <c r="DC868" s="1241"/>
      <c r="DD868" s="1241"/>
      <c r="DE868" s="1241"/>
      <c r="DF868" s="1241"/>
      <c r="DG868" s="1241"/>
      <c r="DH868" s="1241"/>
      <c r="DI868" s="1241"/>
      <c r="DJ868" s="1241"/>
      <c r="DK868" s="1241"/>
      <c r="DL868" s="1241"/>
      <c r="DM868" s="1241"/>
    </row>
    <row r="869" spans="1:117" s="1302" customFormat="1" hidden="1">
      <c r="A869" s="1241"/>
      <c r="B869" s="1496" t="s">
        <v>4330</v>
      </c>
      <c r="C869" s="1559"/>
      <c r="D869" s="1558"/>
      <c r="E869" s="1460"/>
      <c r="F869" s="1540"/>
      <c r="G869" s="1473"/>
      <c r="H869" s="1473" t="s">
        <v>3878</v>
      </c>
      <c r="I869" s="1561">
        <v>121.45616201530868</v>
      </c>
      <c r="J869" s="1561">
        <v>140.2688697194929</v>
      </c>
      <c r="K869" s="1561">
        <v>199.00622941230412</v>
      </c>
      <c r="L869" s="1561">
        <v>272.16630260350894</v>
      </c>
      <c r="M869" s="1561">
        <v>327.52796957929189</v>
      </c>
      <c r="N869" s="1561">
        <v>380.48657939186216</v>
      </c>
      <c r="O869" s="1561">
        <v>121.41505318933157</v>
      </c>
      <c r="P869" s="1241"/>
      <c r="Q869" s="1241"/>
      <c r="R869" s="1241"/>
      <c r="S869" s="1241"/>
      <c r="T869" s="1241"/>
      <c r="U869" s="1241"/>
      <c r="V869" s="1241"/>
      <c r="W869" s="1241"/>
      <c r="X869" s="1241"/>
      <c r="Y869" s="1241"/>
      <c r="Z869" s="1241"/>
      <c r="AA869" s="1241"/>
      <c r="AB869" s="1241"/>
      <c r="AC869" s="1241"/>
      <c r="AD869" s="1241"/>
      <c r="AE869" s="1241"/>
      <c r="AF869" s="1241"/>
      <c r="AG869" s="1241"/>
      <c r="AH869" s="1241"/>
      <c r="AI869" s="1241"/>
      <c r="AJ869" s="1241"/>
      <c r="AK869" s="1241"/>
      <c r="AL869" s="1241"/>
      <c r="AM869" s="1241"/>
      <c r="AN869" s="1241"/>
      <c r="AO869" s="1241"/>
      <c r="AP869" s="1241"/>
      <c r="AQ869" s="1241"/>
      <c r="AR869" s="1241"/>
      <c r="AS869" s="1241"/>
      <c r="AT869" s="1241"/>
      <c r="AU869" s="1241"/>
      <c r="AV869" s="1241"/>
      <c r="AW869" s="1241"/>
      <c r="AX869" s="1241"/>
      <c r="AY869" s="1241"/>
      <c r="AZ869" s="1241"/>
      <c r="BA869" s="1241"/>
      <c r="BB869" s="1241"/>
      <c r="BC869" s="1241"/>
      <c r="BD869" s="1241"/>
      <c r="BE869" s="1241"/>
      <c r="BF869" s="1241"/>
      <c r="BG869" s="1241"/>
      <c r="BH869" s="1241"/>
      <c r="BI869" s="1241"/>
      <c r="BJ869" s="1241"/>
      <c r="BK869" s="1241"/>
      <c r="BL869" s="1241"/>
      <c r="BM869" s="1241"/>
      <c r="BN869" s="1241"/>
      <c r="BO869" s="1241"/>
      <c r="BP869" s="1241"/>
      <c r="BQ869" s="1241"/>
      <c r="BR869" s="1241"/>
      <c r="BS869" s="1241"/>
      <c r="BT869" s="1241"/>
      <c r="BU869" s="1241"/>
      <c r="BV869" s="1241"/>
      <c r="BW869" s="1241"/>
      <c r="BX869" s="1241"/>
      <c r="BY869" s="1241"/>
      <c r="BZ869" s="1241"/>
      <c r="CA869" s="1241"/>
      <c r="CB869" s="1241"/>
      <c r="CC869" s="1241"/>
      <c r="CD869" s="1241"/>
      <c r="CE869" s="1241"/>
      <c r="CF869" s="1241"/>
      <c r="CG869" s="1241"/>
      <c r="CH869" s="1241"/>
      <c r="CI869" s="1241"/>
      <c r="CJ869" s="1241"/>
      <c r="CK869" s="1241"/>
      <c r="CL869" s="1241"/>
      <c r="CM869" s="1241"/>
      <c r="CN869" s="1241"/>
      <c r="CO869" s="1241"/>
      <c r="CP869" s="1241"/>
      <c r="CQ869" s="1241"/>
      <c r="CR869" s="1241"/>
      <c r="CS869" s="1241"/>
      <c r="CT869" s="1241"/>
      <c r="CU869" s="1241"/>
      <c r="CV869" s="1241"/>
      <c r="CW869" s="1241"/>
      <c r="CX869" s="1241"/>
      <c r="CY869" s="1241"/>
      <c r="CZ869" s="1241"/>
      <c r="DA869" s="1241"/>
      <c r="DB869" s="1241"/>
      <c r="DC869" s="1241"/>
      <c r="DD869" s="1241"/>
      <c r="DE869" s="1241"/>
      <c r="DF869" s="1241"/>
      <c r="DG869" s="1241"/>
      <c r="DH869" s="1241"/>
      <c r="DI869" s="1241"/>
      <c r="DJ869" s="1241"/>
      <c r="DK869" s="1241"/>
      <c r="DL869" s="1241"/>
      <c r="DM869" s="1241"/>
    </row>
    <row r="870" spans="1:117" s="1302" customFormat="1" hidden="1">
      <c r="A870" s="1241"/>
      <c r="B870" s="1496" t="s">
        <v>4331</v>
      </c>
      <c r="C870" s="1559"/>
      <c r="D870" s="1558"/>
      <c r="E870" s="1460"/>
      <c r="F870" s="1540"/>
      <c r="G870" s="1473"/>
      <c r="H870" s="1473" t="s">
        <v>3878</v>
      </c>
      <c r="I870" s="1561">
        <v>110.70223100353655</v>
      </c>
      <c r="J870" s="1561">
        <v>127.84923021307947</v>
      </c>
      <c r="K870" s="1561">
        <v>181.3858861830897</v>
      </c>
      <c r="L870" s="1561">
        <v>248.06824456048986</v>
      </c>
      <c r="M870" s="1561">
        <v>298.52809727279208</v>
      </c>
      <c r="N870" s="1561">
        <v>346.79766350820768</v>
      </c>
      <c r="O870" s="1561">
        <v>110.66476202152616</v>
      </c>
      <c r="P870" s="1241"/>
      <c r="Q870" s="1241"/>
      <c r="R870" s="1241"/>
      <c r="S870" s="1241"/>
      <c r="T870" s="1241"/>
      <c r="U870" s="1241"/>
      <c r="V870" s="1241"/>
      <c r="W870" s="1241"/>
      <c r="X870" s="1241"/>
      <c r="Y870" s="1241"/>
      <c r="Z870" s="1241"/>
      <c r="AA870" s="1241"/>
      <c r="AB870" s="1241"/>
      <c r="AC870" s="1241"/>
      <c r="AD870" s="1241"/>
      <c r="AE870" s="1241"/>
      <c r="AF870" s="1241"/>
      <c r="AG870" s="1241"/>
      <c r="AH870" s="1241"/>
      <c r="AI870" s="1241"/>
      <c r="AJ870" s="1241"/>
      <c r="AK870" s="1241"/>
      <c r="AL870" s="1241"/>
      <c r="AM870" s="1241"/>
      <c r="AN870" s="1241"/>
      <c r="AO870" s="1241"/>
      <c r="AP870" s="1241"/>
      <c r="AQ870" s="1241"/>
      <c r="AR870" s="1241"/>
      <c r="AS870" s="1241"/>
      <c r="AT870" s="1241"/>
      <c r="AU870" s="1241"/>
      <c r="AV870" s="1241"/>
      <c r="AW870" s="1241"/>
      <c r="AX870" s="1241"/>
      <c r="AY870" s="1241"/>
      <c r="AZ870" s="1241"/>
      <c r="BA870" s="1241"/>
      <c r="BB870" s="1241"/>
      <c r="BC870" s="1241"/>
      <c r="BD870" s="1241"/>
      <c r="BE870" s="1241"/>
      <c r="BF870" s="1241"/>
      <c r="BG870" s="1241"/>
      <c r="BH870" s="1241"/>
      <c r="BI870" s="1241"/>
      <c r="BJ870" s="1241"/>
      <c r="BK870" s="1241"/>
      <c r="BL870" s="1241"/>
      <c r="BM870" s="1241"/>
      <c r="BN870" s="1241"/>
      <c r="BO870" s="1241"/>
      <c r="BP870" s="1241"/>
      <c r="BQ870" s="1241"/>
      <c r="BR870" s="1241"/>
      <c r="BS870" s="1241"/>
      <c r="BT870" s="1241"/>
      <c r="BU870" s="1241"/>
      <c r="BV870" s="1241"/>
      <c r="BW870" s="1241"/>
      <c r="BX870" s="1241"/>
      <c r="BY870" s="1241"/>
      <c r="BZ870" s="1241"/>
      <c r="CA870" s="1241"/>
      <c r="CB870" s="1241"/>
      <c r="CC870" s="1241"/>
      <c r="CD870" s="1241"/>
      <c r="CE870" s="1241"/>
      <c r="CF870" s="1241"/>
      <c r="CG870" s="1241"/>
      <c r="CH870" s="1241"/>
      <c r="CI870" s="1241"/>
      <c r="CJ870" s="1241"/>
      <c r="CK870" s="1241"/>
      <c r="CL870" s="1241"/>
      <c r="CM870" s="1241"/>
      <c r="CN870" s="1241"/>
      <c r="CO870" s="1241"/>
      <c r="CP870" s="1241"/>
      <c r="CQ870" s="1241"/>
      <c r="CR870" s="1241"/>
      <c r="CS870" s="1241"/>
      <c r="CT870" s="1241"/>
      <c r="CU870" s="1241"/>
      <c r="CV870" s="1241"/>
      <c r="CW870" s="1241"/>
      <c r="CX870" s="1241"/>
      <c r="CY870" s="1241"/>
      <c r="CZ870" s="1241"/>
      <c r="DA870" s="1241"/>
      <c r="DB870" s="1241"/>
      <c r="DC870" s="1241"/>
      <c r="DD870" s="1241"/>
      <c r="DE870" s="1241"/>
      <c r="DF870" s="1241"/>
      <c r="DG870" s="1241"/>
      <c r="DH870" s="1241"/>
      <c r="DI870" s="1241"/>
      <c r="DJ870" s="1241"/>
      <c r="DK870" s="1241"/>
      <c r="DL870" s="1241"/>
      <c r="DM870" s="1241"/>
    </row>
    <row r="871" spans="1:117" s="1302" customFormat="1" hidden="1">
      <c r="A871" s="1241"/>
      <c r="B871" s="1496" t="s">
        <v>4332</v>
      </c>
      <c r="C871" s="1559"/>
      <c r="D871" s="1558"/>
      <c r="E871" s="1460"/>
      <c r="F871" s="1540"/>
      <c r="G871" s="1473"/>
      <c r="H871" s="1473" t="s">
        <v>3878</v>
      </c>
      <c r="I871" s="1561">
        <v>16.130896517658183</v>
      </c>
      <c r="J871" s="1561">
        <v>18.629459259620152</v>
      </c>
      <c r="K871" s="1561">
        <v>26.430514843821641</v>
      </c>
      <c r="L871" s="1561">
        <v>36.14708706452852</v>
      </c>
      <c r="M871" s="1561">
        <v>43.499808459749701</v>
      </c>
      <c r="N871" s="1561">
        <v>50.533373825481689</v>
      </c>
      <c r="O871" s="1561">
        <v>16.125436751708101</v>
      </c>
      <c r="P871" s="1241"/>
      <c r="Q871" s="1241"/>
      <c r="R871" s="1241"/>
      <c r="S871" s="1241"/>
      <c r="T871" s="1241"/>
      <c r="U871" s="1241"/>
      <c r="V871" s="1241"/>
      <c r="W871" s="1241"/>
      <c r="X871" s="1241"/>
      <c r="Y871" s="1241"/>
      <c r="Z871" s="1241"/>
      <c r="AA871" s="1241"/>
      <c r="AB871" s="1241"/>
      <c r="AC871" s="1241"/>
      <c r="AD871" s="1241"/>
      <c r="AE871" s="1241"/>
      <c r="AF871" s="1241"/>
      <c r="AG871" s="1241"/>
      <c r="AH871" s="1241"/>
      <c r="AI871" s="1241"/>
      <c r="AJ871" s="1241"/>
      <c r="AK871" s="1241"/>
      <c r="AL871" s="1241"/>
      <c r="AM871" s="1241"/>
      <c r="AN871" s="1241"/>
      <c r="AO871" s="1241"/>
      <c r="AP871" s="1241"/>
      <c r="AQ871" s="1241"/>
      <c r="AR871" s="1241"/>
      <c r="AS871" s="1241"/>
      <c r="AT871" s="1241"/>
      <c r="AU871" s="1241"/>
      <c r="AV871" s="1241"/>
      <c r="AW871" s="1241"/>
      <c r="AX871" s="1241"/>
      <c r="AY871" s="1241"/>
      <c r="AZ871" s="1241"/>
      <c r="BA871" s="1241"/>
      <c r="BB871" s="1241"/>
      <c r="BC871" s="1241"/>
      <c r="BD871" s="1241"/>
      <c r="BE871" s="1241"/>
      <c r="BF871" s="1241"/>
      <c r="BG871" s="1241"/>
      <c r="BH871" s="1241"/>
      <c r="BI871" s="1241"/>
      <c r="BJ871" s="1241"/>
      <c r="BK871" s="1241"/>
      <c r="BL871" s="1241"/>
      <c r="BM871" s="1241"/>
      <c r="BN871" s="1241"/>
      <c r="BO871" s="1241"/>
      <c r="BP871" s="1241"/>
      <c r="BQ871" s="1241"/>
      <c r="BR871" s="1241"/>
      <c r="BS871" s="1241"/>
      <c r="BT871" s="1241"/>
      <c r="BU871" s="1241"/>
      <c r="BV871" s="1241"/>
      <c r="BW871" s="1241"/>
      <c r="BX871" s="1241"/>
      <c r="BY871" s="1241"/>
      <c r="BZ871" s="1241"/>
      <c r="CA871" s="1241"/>
      <c r="CB871" s="1241"/>
      <c r="CC871" s="1241"/>
      <c r="CD871" s="1241"/>
      <c r="CE871" s="1241"/>
      <c r="CF871" s="1241"/>
      <c r="CG871" s="1241"/>
      <c r="CH871" s="1241"/>
      <c r="CI871" s="1241"/>
      <c r="CJ871" s="1241"/>
      <c r="CK871" s="1241"/>
      <c r="CL871" s="1241"/>
      <c r="CM871" s="1241"/>
      <c r="CN871" s="1241"/>
      <c r="CO871" s="1241"/>
      <c r="CP871" s="1241"/>
      <c r="CQ871" s="1241"/>
      <c r="CR871" s="1241"/>
      <c r="CS871" s="1241"/>
      <c r="CT871" s="1241"/>
      <c r="CU871" s="1241"/>
      <c r="CV871" s="1241"/>
      <c r="CW871" s="1241"/>
      <c r="CX871" s="1241"/>
      <c r="CY871" s="1241"/>
      <c r="CZ871" s="1241"/>
      <c r="DA871" s="1241"/>
      <c r="DB871" s="1241"/>
      <c r="DC871" s="1241"/>
      <c r="DD871" s="1241"/>
      <c r="DE871" s="1241"/>
      <c r="DF871" s="1241"/>
      <c r="DG871" s="1241"/>
      <c r="DH871" s="1241"/>
      <c r="DI871" s="1241"/>
      <c r="DJ871" s="1241"/>
      <c r="DK871" s="1241"/>
      <c r="DL871" s="1241"/>
      <c r="DM871" s="1241"/>
    </row>
    <row r="872" spans="1:117" s="1302" customFormat="1" hidden="1">
      <c r="A872" s="1241"/>
      <c r="B872" s="1496" t="s">
        <v>4333</v>
      </c>
      <c r="C872" s="1559"/>
      <c r="D872" s="1558"/>
      <c r="E872" s="1460"/>
      <c r="F872" s="1540"/>
      <c r="G872" s="1473"/>
      <c r="H872" s="1473" t="s">
        <v>3878</v>
      </c>
      <c r="I872" s="1561">
        <v>17.396064871984315</v>
      </c>
      <c r="J872" s="1561">
        <v>20.090593319198202</v>
      </c>
      <c r="K872" s="1561">
        <v>28.503496400199811</v>
      </c>
      <c r="L872" s="1561">
        <v>38.982152716648407</v>
      </c>
      <c r="M872" s="1561">
        <v>46.911558142867328</v>
      </c>
      <c r="N872" s="1561">
        <v>54.496775694146919</v>
      </c>
      <c r="O872" s="1561">
        <v>17.390176889096967</v>
      </c>
      <c r="P872" s="1241"/>
      <c r="Q872" s="1241"/>
      <c r="R872" s="1241"/>
      <c r="S872" s="1241"/>
      <c r="T872" s="1241"/>
      <c r="U872" s="1241"/>
      <c r="V872" s="1241"/>
      <c r="W872" s="1241"/>
      <c r="X872" s="1241"/>
      <c r="Y872" s="1241"/>
      <c r="Z872" s="1241"/>
      <c r="AA872" s="1241"/>
      <c r="AB872" s="1241"/>
      <c r="AC872" s="1241"/>
      <c r="AD872" s="1241"/>
      <c r="AE872" s="1241"/>
      <c r="AF872" s="1241"/>
      <c r="AG872" s="1241"/>
      <c r="AH872" s="1241"/>
      <c r="AI872" s="1241"/>
      <c r="AJ872" s="1241"/>
      <c r="AK872" s="1241"/>
      <c r="AL872" s="1241"/>
      <c r="AM872" s="1241"/>
      <c r="AN872" s="1241"/>
      <c r="AO872" s="1241"/>
      <c r="AP872" s="1241"/>
      <c r="AQ872" s="1241"/>
      <c r="AR872" s="1241"/>
      <c r="AS872" s="1241"/>
      <c r="AT872" s="1241"/>
      <c r="AU872" s="1241"/>
      <c r="AV872" s="1241"/>
      <c r="AW872" s="1241"/>
      <c r="AX872" s="1241"/>
      <c r="AY872" s="1241"/>
      <c r="AZ872" s="1241"/>
      <c r="BA872" s="1241"/>
      <c r="BB872" s="1241"/>
      <c r="BC872" s="1241"/>
      <c r="BD872" s="1241"/>
      <c r="BE872" s="1241"/>
      <c r="BF872" s="1241"/>
      <c r="BG872" s="1241"/>
      <c r="BH872" s="1241"/>
      <c r="BI872" s="1241"/>
      <c r="BJ872" s="1241"/>
      <c r="BK872" s="1241"/>
      <c r="BL872" s="1241"/>
      <c r="BM872" s="1241"/>
      <c r="BN872" s="1241"/>
      <c r="BO872" s="1241"/>
      <c r="BP872" s="1241"/>
      <c r="BQ872" s="1241"/>
      <c r="BR872" s="1241"/>
      <c r="BS872" s="1241"/>
      <c r="BT872" s="1241"/>
      <c r="BU872" s="1241"/>
      <c r="BV872" s="1241"/>
      <c r="BW872" s="1241"/>
      <c r="BX872" s="1241"/>
      <c r="BY872" s="1241"/>
      <c r="BZ872" s="1241"/>
      <c r="CA872" s="1241"/>
      <c r="CB872" s="1241"/>
      <c r="CC872" s="1241"/>
      <c r="CD872" s="1241"/>
      <c r="CE872" s="1241"/>
      <c r="CF872" s="1241"/>
      <c r="CG872" s="1241"/>
      <c r="CH872" s="1241"/>
      <c r="CI872" s="1241"/>
      <c r="CJ872" s="1241"/>
      <c r="CK872" s="1241"/>
      <c r="CL872" s="1241"/>
      <c r="CM872" s="1241"/>
      <c r="CN872" s="1241"/>
      <c r="CO872" s="1241"/>
      <c r="CP872" s="1241"/>
      <c r="CQ872" s="1241"/>
      <c r="CR872" s="1241"/>
      <c r="CS872" s="1241"/>
      <c r="CT872" s="1241"/>
      <c r="CU872" s="1241"/>
      <c r="CV872" s="1241"/>
      <c r="CW872" s="1241"/>
      <c r="CX872" s="1241"/>
      <c r="CY872" s="1241"/>
      <c r="CZ872" s="1241"/>
      <c r="DA872" s="1241"/>
      <c r="DB872" s="1241"/>
      <c r="DC872" s="1241"/>
      <c r="DD872" s="1241"/>
      <c r="DE872" s="1241"/>
      <c r="DF872" s="1241"/>
      <c r="DG872" s="1241"/>
      <c r="DH872" s="1241"/>
      <c r="DI872" s="1241"/>
      <c r="DJ872" s="1241"/>
      <c r="DK872" s="1241"/>
      <c r="DL872" s="1241"/>
      <c r="DM872" s="1241"/>
    </row>
    <row r="873" spans="1:117" s="1302" customFormat="1" hidden="1">
      <c r="A873" s="1241"/>
      <c r="B873" s="1499" t="s">
        <v>4334</v>
      </c>
      <c r="C873" s="1562"/>
      <c r="D873" s="1563"/>
      <c r="E873" s="1564"/>
      <c r="F873" s="1565"/>
      <c r="G873" s="1566"/>
      <c r="H873" s="1566" t="s">
        <v>3878</v>
      </c>
      <c r="I873" s="1567">
        <v>68.319091133611138</v>
      </c>
      <c r="J873" s="1567">
        <v>78.901239217214751</v>
      </c>
      <c r="K873" s="1567">
        <v>111.94100404442108</v>
      </c>
      <c r="L873" s="1567">
        <v>153.09354521447375</v>
      </c>
      <c r="M873" s="1567">
        <v>184.23448288835169</v>
      </c>
      <c r="N873" s="1567">
        <v>214.02370090792243</v>
      </c>
      <c r="O873" s="1567">
        <v>68.295967418999012</v>
      </c>
      <c r="P873" s="1241"/>
      <c r="Q873" s="1241"/>
      <c r="R873" s="1241"/>
      <c r="S873" s="1241"/>
      <c r="T873" s="1241"/>
      <c r="U873" s="1241"/>
      <c r="V873" s="1241"/>
      <c r="W873" s="1241"/>
      <c r="X873" s="1241"/>
      <c r="Y873" s="1241"/>
      <c r="Z873" s="1241"/>
      <c r="AA873" s="1241"/>
      <c r="AB873" s="1241"/>
      <c r="AC873" s="1241"/>
      <c r="AD873" s="1241"/>
      <c r="AE873" s="1241"/>
      <c r="AF873" s="1241"/>
      <c r="AG873" s="1241"/>
      <c r="AH873" s="1241"/>
      <c r="AI873" s="1241"/>
      <c r="AJ873" s="1241"/>
      <c r="AK873" s="1241"/>
      <c r="AL873" s="1241"/>
      <c r="AM873" s="1241"/>
      <c r="AN873" s="1241"/>
      <c r="AO873" s="1241"/>
      <c r="AP873" s="1241"/>
      <c r="AQ873" s="1241"/>
      <c r="AR873" s="1241"/>
      <c r="AS873" s="1241"/>
      <c r="AT873" s="1241"/>
      <c r="AU873" s="1241"/>
      <c r="AV873" s="1241"/>
      <c r="AW873" s="1241"/>
      <c r="AX873" s="1241"/>
      <c r="AY873" s="1241"/>
      <c r="AZ873" s="1241"/>
      <c r="BA873" s="1241"/>
      <c r="BB873" s="1241"/>
      <c r="BC873" s="1241"/>
      <c r="BD873" s="1241"/>
      <c r="BE873" s="1241"/>
      <c r="BF873" s="1241"/>
      <c r="BG873" s="1241"/>
      <c r="BH873" s="1241"/>
      <c r="BI873" s="1241"/>
      <c r="BJ873" s="1241"/>
      <c r="BK873" s="1241"/>
      <c r="BL873" s="1241"/>
      <c r="BM873" s="1241"/>
      <c r="BN873" s="1241"/>
      <c r="BO873" s="1241"/>
      <c r="BP873" s="1241"/>
      <c r="BQ873" s="1241"/>
      <c r="BR873" s="1241"/>
      <c r="BS873" s="1241"/>
      <c r="BT873" s="1241"/>
      <c r="BU873" s="1241"/>
      <c r="BV873" s="1241"/>
      <c r="BW873" s="1241"/>
      <c r="BX873" s="1241"/>
      <c r="BY873" s="1241"/>
      <c r="BZ873" s="1241"/>
      <c r="CA873" s="1241"/>
      <c r="CB873" s="1241"/>
      <c r="CC873" s="1241"/>
      <c r="CD873" s="1241"/>
      <c r="CE873" s="1241"/>
      <c r="CF873" s="1241"/>
      <c r="CG873" s="1241"/>
      <c r="CH873" s="1241"/>
      <c r="CI873" s="1241"/>
      <c r="CJ873" s="1241"/>
      <c r="CK873" s="1241"/>
      <c r="CL873" s="1241"/>
      <c r="CM873" s="1241"/>
      <c r="CN873" s="1241"/>
      <c r="CO873" s="1241"/>
      <c r="CP873" s="1241"/>
      <c r="CQ873" s="1241"/>
      <c r="CR873" s="1241"/>
      <c r="CS873" s="1241"/>
      <c r="CT873" s="1241"/>
      <c r="CU873" s="1241"/>
      <c r="CV873" s="1241"/>
      <c r="CW873" s="1241"/>
      <c r="CX873" s="1241"/>
      <c r="CY873" s="1241"/>
      <c r="CZ873" s="1241"/>
      <c r="DA873" s="1241"/>
      <c r="DB873" s="1241"/>
      <c r="DC873" s="1241"/>
      <c r="DD873" s="1241"/>
      <c r="DE873" s="1241"/>
      <c r="DF873" s="1241"/>
      <c r="DG873" s="1241"/>
      <c r="DH873" s="1241"/>
      <c r="DI873" s="1241"/>
      <c r="DJ873" s="1241"/>
      <c r="DK873" s="1241"/>
      <c r="DL873" s="1241"/>
      <c r="DM873" s="1241"/>
    </row>
    <row r="874" spans="1:117" s="1302" customFormat="1" hidden="1">
      <c r="A874" s="1241"/>
      <c r="B874" s="1496"/>
      <c r="C874" s="1559"/>
      <c r="D874" s="1558"/>
      <c r="E874" s="1460"/>
      <c r="F874" s="1540"/>
      <c r="G874" s="1473"/>
      <c r="H874" s="1473"/>
      <c r="I874" s="1473"/>
      <c r="J874" s="1473"/>
      <c r="K874" s="1473"/>
      <c r="L874" s="1473"/>
      <c r="M874" s="1473"/>
      <c r="N874" s="1473"/>
      <c r="O874" s="1473"/>
      <c r="P874" s="1241"/>
      <c r="Q874" s="1241"/>
      <c r="R874" s="1241"/>
      <c r="S874" s="1241"/>
      <c r="T874" s="1241"/>
      <c r="U874" s="1241"/>
      <c r="V874" s="1241"/>
      <c r="W874" s="1241"/>
      <c r="X874" s="1241"/>
      <c r="Y874" s="1241"/>
      <c r="Z874" s="1241"/>
      <c r="AA874" s="1241"/>
      <c r="AB874" s="1241"/>
      <c r="AC874" s="1241"/>
      <c r="AD874" s="1241"/>
      <c r="AE874" s="1241"/>
      <c r="AF874" s="1241"/>
      <c r="AG874" s="1241"/>
      <c r="AH874" s="1241"/>
      <c r="AI874" s="1241"/>
      <c r="AJ874" s="1241"/>
      <c r="AK874" s="1241"/>
      <c r="AL874" s="1241"/>
      <c r="AM874" s="1241"/>
      <c r="AN874" s="1241"/>
      <c r="AO874" s="1241"/>
      <c r="AP874" s="1241"/>
      <c r="AQ874" s="1241"/>
      <c r="AR874" s="1241"/>
      <c r="AS874" s="1241"/>
      <c r="AT874" s="1241"/>
      <c r="AU874" s="1241"/>
      <c r="AV874" s="1241"/>
      <c r="AW874" s="1241"/>
      <c r="AX874" s="1241"/>
      <c r="AY874" s="1241"/>
      <c r="AZ874" s="1241"/>
      <c r="BA874" s="1241"/>
      <c r="BB874" s="1241"/>
      <c r="BC874" s="1241"/>
      <c r="BD874" s="1241"/>
      <c r="BE874" s="1241"/>
      <c r="BF874" s="1241"/>
      <c r="BG874" s="1241"/>
      <c r="BH874" s="1241"/>
      <c r="BI874" s="1241"/>
      <c r="BJ874" s="1241"/>
      <c r="BK874" s="1241"/>
      <c r="BL874" s="1241"/>
      <c r="BM874" s="1241"/>
      <c r="BN874" s="1241"/>
      <c r="BO874" s="1241"/>
      <c r="BP874" s="1241"/>
      <c r="BQ874" s="1241"/>
      <c r="BR874" s="1241"/>
      <c r="BS874" s="1241"/>
      <c r="BT874" s="1241"/>
      <c r="BU874" s="1241"/>
      <c r="BV874" s="1241"/>
      <c r="BW874" s="1241"/>
      <c r="BX874" s="1241"/>
      <c r="BY874" s="1241"/>
      <c r="BZ874" s="1241"/>
      <c r="CA874" s="1241"/>
      <c r="CB874" s="1241"/>
      <c r="CC874" s="1241"/>
      <c r="CD874" s="1241"/>
      <c r="CE874" s="1241"/>
      <c r="CF874" s="1241"/>
      <c r="CG874" s="1241"/>
      <c r="CH874" s="1241"/>
      <c r="CI874" s="1241"/>
      <c r="CJ874" s="1241"/>
      <c r="CK874" s="1241"/>
      <c r="CL874" s="1241"/>
      <c r="CM874" s="1241"/>
      <c r="CN874" s="1241"/>
      <c r="CO874" s="1241"/>
      <c r="CP874" s="1241"/>
      <c r="CQ874" s="1241"/>
      <c r="CR874" s="1241"/>
      <c r="CS874" s="1241"/>
      <c r="CT874" s="1241"/>
      <c r="CU874" s="1241"/>
      <c r="CV874" s="1241"/>
      <c r="CW874" s="1241"/>
      <c r="CX874" s="1241"/>
      <c r="CY874" s="1241"/>
      <c r="CZ874" s="1241"/>
      <c r="DA874" s="1241"/>
      <c r="DB874" s="1241"/>
      <c r="DC874" s="1241"/>
      <c r="DD874" s="1241"/>
      <c r="DE874" s="1241"/>
      <c r="DF874" s="1241"/>
      <c r="DG874" s="1241"/>
      <c r="DH874" s="1241"/>
      <c r="DI874" s="1241"/>
      <c r="DJ874" s="1241"/>
      <c r="DK874" s="1241"/>
      <c r="DL874" s="1241"/>
      <c r="DM874" s="1241"/>
    </row>
    <row r="875" spans="1:117" s="1302" customFormat="1" hidden="1">
      <c r="A875" s="1241"/>
      <c r="B875" s="1496"/>
      <c r="C875" s="1559"/>
      <c r="D875" s="1558"/>
      <c r="E875" s="1460"/>
      <c r="F875" s="1540"/>
      <c r="G875" s="1473"/>
      <c r="H875" s="1473"/>
      <c r="I875" s="1473"/>
      <c r="J875" s="1473"/>
      <c r="K875" s="1473"/>
      <c r="L875" s="1473"/>
      <c r="M875" s="1473"/>
      <c r="N875" s="1473"/>
      <c r="O875" s="1473"/>
      <c r="P875" s="1241"/>
      <c r="Q875" s="1241"/>
      <c r="R875" s="1241"/>
      <c r="S875" s="1241"/>
      <c r="T875" s="1241"/>
      <c r="U875" s="1241"/>
      <c r="V875" s="1241"/>
      <c r="W875" s="1241"/>
      <c r="X875" s="1241"/>
      <c r="Y875" s="1241"/>
      <c r="Z875" s="1241"/>
      <c r="AA875" s="1241"/>
      <c r="AB875" s="1241"/>
      <c r="AC875" s="1241"/>
      <c r="AD875" s="1241"/>
      <c r="AE875" s="1241"/>
      <c r="AF875" s="1241"/>
      <c r="AG875" s="1241"/>
      <c r="AH875" s="1241"/>
      <c r="AI875" s="1241"/>
      <c r="AJ875" s="1241"/>
      <c r="AK875" s="1241"/>
      <c r="AL875" s="1241"/>
      <c r="AM875" s="1241"/>
      <c r="AN875" s="1241"/>
      <c r="AO875" s="1241"/>
      <c r="AP875" s="1241"/>
      <c r="AQ875" s="1241"/>
      <c r="AR875" s="1241"/>
      <c r="AS875" s="1241"/>
      <c r="AT875" s="1241"/>
      <c r="AU875" s="1241"/>
      <c r="AV875" s="1241"/>
      <c r="AW875" s="1241"/>
      <c r="AX875" s="1241"/>
      <c r="AY875" s="1241"/>
      <c r="AZ875" s="1241"/>
      <c r="BA875" s="1241"/>
      <c r="BB875" s="1241"/>
      <c r="BC875" s="1241"/>
      <c r="BD875" s="1241"/>
      <c r="BE875" s="1241"/>
      <c r="BF875" s="1241"/>
      <c r="BG875" s="1241"/>
      <c r="BH875" s="1241"/>
      <c r="BI875" s="1241"/>
      <c r="BJ875" s="1241"/>
      <c r="BK875" s="1241"/>
      <c r="BL875" s="1241"/>
      <c r="BM875" s="1241"/>
      <c r="BN875" s="1241"/>
      <c r="BO875" s="1241"/>
      <c r="BP875" s="1241"/>
      <c r="BQ875" s="1241"/>
      <c r="BR875" s="1241"/>
      <c r="BS875" s="1241"/>
      <c r="BT875" s="1241"/>
      <c r="BU875" s="1241"/>
      <c r="BV875" s="1241"/>
      <c r="BW875" s="1241"/>
      <c r="BX875" s="1241"/>
      <c r="BY875" s="1241"/>
      <c r="BZ875" s="1241"/>
      <c r="CA875" s="1241"/>
      <c r="CB875" s="1241"/>
      <c r="CC875" s="1241"/>
      <c r="CD875" s="1241"/>
      <c r="CE875" s="1241"/>
      <c r="CF875" s="1241"/>
      <c r="CG875" s="1241"/>
      <c r="CH875" s="1241"/>
      <c r="CI875" s="1241"/>
      <c r="CJ875" s="1241"/>
      <c r="CK875" s="1241"/>
      <c r="CL875" s="1241"/>
      <c r="CM875" s="1241"/>
      <c r="CN875" s="1241"/>
      <c r="CO875" s="1241"/>
      <c r="CP875" s="1241"/>
      <c r="CQ875" s="1241"/>
      <c r="CR875" s="1241"/>
      <c r="CS875" s="1241"/>
      <c r="CT875" s="1241"/>
      <c r="CU875" s="1241"/>
      <c r="CV875" s="1241"/>
      <c r="CW875" s="1241"/>
      <c r="CX875" s="1241"/>
      <c r="CY875" s="1241"/>
      <c r="CZ875" s="1241"/>
      <c r="DA875" s="1241"/>
      <c r="DB875" s="1241"/>
      <c r="DC875" s="1241"/>
      <c r="DD875" s="1241"/>
      <c r="DE875" s="1241"/>
      <c r="DF875" s="1241"/>
      <c r="DG875" s="1241"/>
      <c r="DH875" s="1241"/>
      <c r="DI875" s="1241"/>
      <c r="DJ875" s="1241"/>
      <c r="DK875" s="1241"/>
      <c r="DL875" s="1241"/>
      <c r="DM875" s="1241"/>
    </row>
    <row r="876" spans="1:117" s="1302" customFormat="1" hidden="1">
      <c r="A876" s="1241"/>
      <c r="B876" s="1558" t="s">
        <v>4337</v>
      </c>
      <c r="C876" s="1559"/>
      <c r="D876" s="1558"/>
      <c r="E876" s="1460"/>
      <c r="F876" s="1540"/>
      <c r="G876" s="1473"/>
      <c r="H876" s="1473"/>
      <c r="I876" s="1473"/>
      <c r="J876" s="1473"/>
      <c r="K876" s="1473"/>
      <c r="L876" s="1473"/>
      <c r="M876" s="1473"/>
      <c r="N876" s="1473"/>
      <c r="O876" s="1473"/>
      <c r="P876" s="1241"/>
      <c r="Q876" s="1241"/>
      <c r="R876" s="1241"/>
      <c r="S876" s="1241"/>
      <c r="T876" s="1241"/>
      <c r="U876" s="1241"/>
      <c r="V876" s="1241"/>
      <c r="W876" s="1241"/>
      <c r="X876" s="1241"/>
      <c r="Y876" s="1241"/>
      <c r="Z876" s="1241"/>
      <c r="AA876" s="1241"/>
      <c r="AB876" s="1241"/>
      <c r="AC876" s="1241"/>
      <c r="AD876" s="1241"/>
      <c r="AE876" s="1241"/>
      <c r="AF876" s="1241"/>
      <c r="AG876" s="1241"/>
      <c r="AH876" s="1241"/>
      <c r="AI876" s="1241"/>
      <c r="AJ876" s="1241"/>
      <c r="AK876" s="1241"/>
      <c r="AL876" s="1241"/>
      <c r="AM876" s="1241"/>
      <c r="AN876" s="1241"/>
      <c r="AO876" s="1241"/>
      <c r="AP876" s="1241"/>
      <c r="AQ876" s="1241"/>
      <c r="AR876" s="1241"/>
      <c r="AS876" s="1241"/>
      <c r="AT876" s="1241"/>
      <c r="AU876" s="1241"/>
      <c r="AV876" s="1241"/>
      <c r="AW876" s="1241"/>
      <c r="AX876" s="1241"/>
      <c r="AY876" s="1241"/>
      <c r="AZ876" s="1241"/>
      <c r="BA876" s="1241"/>
      <c r="BB876" s="1241"/>
      <c r="BC876" s="1241"/>
      <c r="BD876" s="1241"/>
      <c r="BE876" s="1241"/>
      <c r="BF876" s="1241"/>
      <c r="BG876" s="1241"/>
      <c r="BH876" s="1241"/>
      <c r="BI876" s="1241"/>
      <c r="BJ876" s="1241"/>
      <c r="BK876" s="1241"/>
      <c r="BL876" s="1241"/>
      <c r="BM876" s="1241"/>
      <c r="BN876" s="1241"/>
      <c r="BO876" s="1241"/>
      <c r="BP876" s="1241"/>
      <c r="BQ876" s="1241"/>
      <c r="BR876" s="1241"/>
      <c r="BS876" s="1241"/>
      <c r="BT876" s="1241"/>
      <c r="BU876" s="1241"/>
      <c r="BV876" s="1241"/>
      <c r="BW876" s="1241"/>
      <c r="BX876" s="1241"/>
      <c r="BY876" s="1241"/>
      <c r="BZ876" s="1241"/>
      <c r="CA876" s="1241"/>
      <c r="CB876" s="1241"/>
      <c r="CC876" s="1241"/>
      <c r="CD876" s="1241"/>
      <c r="CE876" s="1241"/>
      <c r="CF876" s="1241"/>
      <c r="CG876" s="1241"/>
      <c r="CH876" s="1241"/>
      <c r="CI876" s="1241"/>
      <c r="CJ876" s="1241"/>
      <c r="CK876" s="1241"/>
      <c r="CL876" s="1241"/>
      <c r="CM876" s="1241"/>
      <c r="CN876" s="1241"/>
      <c r="CO876" s="1241"/>
      <c r="CP876" s="1241"/>
      <c r="CQ876" s="1241"/>
      <c r="CR876" s="1241"/>
      <c r="CS876" s="1241"/>
      <c r="CT876" s="1241"/>
      <c r="CU876" s="1241"/>
      <c r="CV876" s="1241"/>
      <c r="CW876" s="1241"/>
      <c r="CX876" s="1241"/>
      <c r="CY876" s="1241"/>
      <c r="CZ876" s="1241"/>
      <c r="DA876" s="1241"/>
      <c r="DB876" s="1241"/>
      <c r="DC876" s="1241"/>
      <c r="DD876" s="1241"/>
      <c r="DE876" s="1241"/>
      <c r="DF876" s="1241"/>
      <c r="DG876" s="1241"/>
      <c r="DH876" s="1241"/>
      <c r="DI876" s="1241"/>
      <c r="DJ876" s="1241"/>
      <c r="DK876" s="1241"/>
      <c r="DL876" s="1241"/>
      <c r="DM876" s="1241"/>
    </row>
    <row r="877" spans="1:117" s="1302" customFormat="1" hidden="1">
      <c r="A877" s="1241"/>
      <c r="B877" s="1558"/>
      <c r="C877" s="1559"/>
      <c r="D877" s="1558"/>
      <c r="E877" s="1460"/>
      <c r="F877" s="1540"/>
      <c r="G877" s="1473"/>
      <c r="H877" s="1473"/>
      <c r="I877" s="1473"/>
      <c r="J877" s="1473"/>
      <c r="K877" s="1473"/>
      <c r="L877" s="1473"/>
      <c r="M877" s="1473"/>
      <c r="N877" s="1473"/>
      <c r="O877" s="1473"/>
      <c r="P877" s="1241"/>
      <c r="Q877" s="1241"/>
      <c r="R877" s="1241"/>
      <c r="S877" s="1241"/>
      <c r="T877" s="1241"/>
      <c r="U877" s="1241"/>
      <c r="V877" s="1241"/>
      <c r="W877" s="1241"/>
      <c r="X877" s="1241"/>
      <c r="Y877" s="1241"/>
      <c r="Z877" s="1241"/>
      <c r="AA877" s="1241"/>
      <c r="AB877" s="1241"/>
      <c r="AC877" s="1241"/>
      <c r="AD877" s="1241"/>
      <c r="AE877" s="1241"/>
      <c r="AF877" s="1241"/>
      <c r="AG877" s="1241"/>
      <c r="AH877" s="1241"/>
      <c r="AI877" s="1241"/>
      <c r="AJ877" s="1241"/>
      <c r="AK877" s="1241"/>
      <c r="AL877" s="1241"/>
      <c r="AM877" s="1241"/>
      <c r="AN877" s="1241"/>
      <c r="AO877" s="1241"/>
      <c r="AP877" s="1241"/>
      <c r="AQ877" s="1241"/>
      <c r="AR877" s="1241"/>
      <c r="AS877" s="1241"/>
      <c r="AT877" s="1241"/>
      <c r="AU877" s="1241"/>
      <c r="AV877" s="1241"/>
      <c r="AW877" s="1241"/>
      <c r="AX877" s="1241"/>
      <c r="AY877" s="1241"/>
      <c r="AZ877" s="1241"/>
      <c r="BA877" s="1241"/>
      <c r="BB877" s="1241"/>
      <c r="BC877" s="1241"/>
      <c r="BD877" s="1241"/>
      <c r="BE877" s="1241"/>
      <c r="BF877" s="1241"/>
      <c r="BG877" s="1241"/>
      <c r="BH877" s="1241"/>
      <c r="BI877" s="1241"/>
      <c r="BJ877" s="1241"/>
      <c r="BK877" s="1241"/>
      <c r="BL877" s="1241"/>
      <c r="BM877" s="1241"/>
      <c r="BN877" s="1241"/>
      <c r="BO877" s="1241"/>
      <c r="BP877" s="1241"/>
      <c r="BQ877" s="1241"/>
      <c r="BR877" s="1241"/>
      <c r="BS877" s="1241"/>
      <c r="BT877" s="1241"/>
      <c r="BU877" s="1241"/>
      <c r="BV877" s="1241"/>
      <c r="BW877" s="1241"/>
      <c r="BX877" s="1241"/>
      <c r="BY877" s="1241"/>
      <c r="BZ877" s="1241"/>
      <c r="CA877" s="1241"/>
      <c r="CB877" s="1241"/>
      <c r="CC877" s="1241"/>
      <c r="CD877" s="1241"/>
      <c r="CE877" s="1241"/>
      <c r="CF877" s="1241"/>
      <c r="CG877" s="1241"/>
      <c r="CH877" s="1241"/>
      <c r="CI877" s="1241"/>
      <c r="CJ877" s="1241"/>
      <c r="CK877" s="1241"/>
      <c r="CL877" s="1241"/>
      <c r="CM877" s="1241"/>
      <c r="CN877" s="1241"/>
      <c r="CO877" s="1241"/>
      <c r="CP877" s="1241"/>
      <c r="CQ877" s="1241"/>
      <c r="CR877" s="1241"/>
      <c r="CS877" s="1241"/>
      <c r="CT877" s="1241"/>
      <c r="CU877" s="1241"/>
      <c r="CV877" s="1241"/>
      <c r="CW877" s="1241"/>
      <c r="CX877" s="1241"/>
      <c r="CY877" s="1241"/>
      <c r="CZ877" s="1241"/>
      <c r="DA877" s="1241"/>
      <c r="DB877" s="1241"/>
      <c r="DC877" s="1241"/>
      <c r="DD877" s="1241"/>
      <c r="DE877" s="1241"/>
      <c r="DF877" s="1241"/>
      <c r="DG877" s="1241"/>
      <c r="DH877" s="1241"/>
      <c r="DI877" s="1241"/>
      <c r="DJ877" s="1241"/>
      <c r="DK877" s="1241"/>
      <c r="DL877" s="1241"/>
      <c r="DM877" s="1241"/>
    </row>
    <row r="878" spans="1:117" s="1302" customFormat="1" hidden="1">
      <c r="A878" s="1241"/>
      <c r="B878" s="1560" t="s">
        <v>4275</v>
      </c>
      <c r="C878" s="1559"/>
      <c r="D878" s="1558"/>
      <c r="E878" s="1460"/>
      <c r="F878" s="1540"/>
      <c r="G878" s="1473"/>
      <c r="H878" s="1473"/>
      <c r="I878" s="1473"/>
      <c r="J878" s="1473"/>
      <c r="K878" s="1473"/>
      <c r="L878" s="1473"/>
      <c r="M878" s="1473"/>
      <c r="N878" s="1473"/>
      <c r="O878" s="1473"/>
      <c r="P878" s="1241"/>
      <c r="Q878" s="1241"/>
      <c r="R878" s="1241"/>
      <c r="S878" s="1241"/>
      <c r="T878" s="1241"/>
      <c r="U878" s="1241"/>
      <c r="V878" s="1241"/>
      <c r="W878" s="1241"/>
      <c r="X878" s="1241"/>
      <c r="Y878" s="1241"/>
      <c r="Z878" s="1241"/>
      <c r="AA878" s="1241"/>
      <c r="AB878" s="1241"/>
      <c r="AC878" s="1241"/>
      <c r="AD878" s="1241"/>
      <c r="AE878" s="1241"/>
      <c r="AF878" s="1241"/>
      <c r="AG878" s="1241"/>
      <c r="AH878" s="1241"/>
      <c r="AI878" s="1241"/>
      <c r="AJ878" s="1241"/>
      <c r="AK878" s="1241"/>
      <c r="AL878" s="1241"/>
      <c r="AM878" s="1241"/>
      <c r="AN878" s="1241"/>
      <c r="AO878" s="1241"/>
      <c r="AP878" s="1241"/>
      <c r="AQ878" s="1241"/>
      <c r="AR878" s="1241"/>
      <c r="AS878" s="1241"/>
      <c r="AT878" s="1241"/>
      <c r="AU878" s="1241"/>
      <c r="AV878" s="1241"/>
      <c r="AW878" s="1241"/>
      <c r="AX878" s="1241"/>
      <c r="AY878" s="1241"/>
      <c r="AZ878" s="1241"/>
      <c r="BA878" s="1241"/>
      <c r="BB878" s="1241"/>
      <c r="BC878" s="1241"/>
      <c r="BD878" s="1241"/>
      <c r="BE878" s="1241"/>
      <c r="BF878" s="1241"/>
      <c r="BG878" s="1241"/>
      <c r="BH878" s="1241"/>
      <c r="BI878" s="1241"/>
      <c r="BJ878" s="1241"/>
      <c r="BK878" s="1241"/>
      <c r="BL878" s="1241"/>
      <c r="BM878" s="1241"/>
      <c r="BN878" s="1241"/>
      <c r="BO878" s="1241"/>
      <c r="BP878" s="1241"/>
      <c r="BQ878" s="1241"/>
      <c r="BR878" s="1241"/>
      <c r="BS878" s="1241"/>
      <c r="BT878" s="1241"/>
      <c r="BU878" s="1241"/>
      <c r="BV878" s="1241"/>
      <c r="BW878" s="1241"/>
      <c r="BX878" s="1241"/>
      <c r="BY878" s="1241"/>
      <c r="BZ878" s="1241"/>
      <c r="CA878" s="1241"/>
      <c r="CB878" s="1241"/>
      <c r="CC878" s="1241"/>
      <c r="CD878" s="1241"/>
      <c r="CE878" s="1241"/>
      <c r="CF878" s="1241"/>
      <c r="CG878" s="1241"/>
      <c r="CH878" s="1241"/>
      <c r="CI878" s="1241"/>
      <c r="CJ878" s="1241"/>
      <c r="CK878" s="1241"/>
      <c r="CL878" s="1241"/>
      <c r="CM878" s="1241"/>
      <c r="CN878" s="1241"/>
      <c r="CO878" s="1241"/>
      <c r="CP878" s="1241"/>
      <c r="CQ878" s="1241"/>
      <c r="CR878" s="1241"/>
      <c r="CS878" s="1241"/>
      <c r="CT878" s="1241"/>
      <c r="CU878" s="1241"/>
      <c r="CV878" s="1241"/>
      <c r="CW878" s="1241"/>
      <c r="CX878" s="1241"/>
      <c r="CY878" s="1241"/>
      <c r="CZ878" s="1241"/>
      <c r="DA878" s="1241"/>
      <c r="DB878" s="1241"/>
      <c r="DC878" s="1241"/>
      <c r="DD878" s="1241"/>
      <c r="DE878" s="1241"/>
      <c r="DF878" s="1241"/>
      <c r="DG878" s="1241"/>
      <c r="DH878" s="1241"/>
      <c r="DI878" s="1241"/>
      <c r="DJ878" s="1241"/>
      <c r="DK878" s="1241"/>
      <c r="DL878" s="1241"/>
      <c r="DM878" s="1241"/>
    </row>
    <row r="879" spans="1:117" s="1302" customFormat="1" hidden="1">
      <c r="A879" s="1241"/>
      <c r="B879" s="1496" t="s">
        <v>4330</v>
      </c>
      <c r="C879" s="1559"/>
      <c r="D879" s="1558"/>
      <c r="E879" s="1460"/>
      <c r="F879" s="1540"/>
      <c r="G879" s="1473"/>
      <c r="H879" s="1473" t="s">
        <v>3878</v>
      </c>
      <c r="I879" s="1473">
        <v>39.082661520000009</v>
      </c>
      <c r="J879" s="1473">
        <v>39.082661520000009</v>
      </c>
      <c r="K879" s="1473">
        <v>39.082661520000009</v>
      </c>
      <c r="L879" s="1473">
        <v>39.082661520000009</v>
      </c>
      <c r="M879" s="1473">
        <v>39.082661520000009</v>
      </c>
      <c r="N879" s="1473">
        <v>39.082661520000009</v>
      </c>
      <c r="O879" s="1473">
        <v>39.082661520000009</v>
      </c>
      <c r="P879" s="1241"/>
      <c r="Q879" s="1241"/>
      <c r="R879" s="1241"/>
      <c r="S879" s="1241"/>
      <c r="T879" s="1241"/>
      <c r="U879" s="1241"/>
      <c r="V879" s="1241"/>
      <c r="W879" s="1241"/>
      <c r="X879" s="1241"/>
      <c r="Y879" s="1241"/>
      <c r="Z879" s="1241"/>
      <c r="AA879" s="1241"/>
      <c r="AB879" s="1241"/>
      <c r="AC879" s="1241"/>
      <c r="AD879" s="1241"/>
      <c r="AE879" s="1241"/>
      <c r="AF879" s="1241"/>
      <c r="AG879" s="1241"/>
      <c r="AH879" s="1241"/>
      <c r="AI879" s="1241"/>
      <c r="AJ879" s="1241"/>
      <c r="AK879" s="1241"/>
      <c r="AL879" s="1241"/>
      <c r="AM879" s="1241"/>
      <c r="AN879" s="1241"/>
      <c r="AO879" s="1241"/>
      <c r="AP879" s="1241"/>
      <c r="AQ879" s="1241"/>
      <c r="AR879" s="1241"/>
      <c r="AS879" s="1241"/>
      <c r="AT879" s="1241"/>
      <c r="AU879" s="1241"/>
      <c r="AV879" s="1241"/>
      <c r="AW879" s="1241"/>
      <c r="AX879" s="1241"/>
      <c r="AY879" s="1241"/>
      <c r="AZ879" s="1241"/>
      <c r="BA879" s="1241"/>
      <c r="BB879" s="1241"/>
      <c r="BC879" s="1241"/>
      <c r="BD879" s="1241"/>
      <c r="BE879" s="1241"/>
      <c r="BF879" s="1241"/>
      <c r="BG879" s="1241"/>
      <c r="BH879" s="1241"/>
      <c r="BI879" s="1241"/>
      <c r="BJ879" s="1241"/>
      <c r="BK879" s="1241"/>
      <c r="BL879" s="1241"/>
      <c r="BM879" s="1241"/>
      <c r="BN879" s="1241"/>
      <c r="BO879" s="1241"/>
      <c r="BP879" s="1241"/>
      <c r="BQ879" s="1241"/>
      <c r="BR879" s="1241"/>
      <c r="BS879" s="1241"/>
      <c r="BT879" s="1241"/>
      <c r="BU879" s="1241"/>
      <c r="BV879" s="1241"/>
      <c r="BW879" s="1241"/>
      <c r="BX879" s="1241"/>
      <c r="BY879" s="1241"/>
      <c r="BZ879" s="1241"/>
      <c r="CA879" s="1241"/>
      <c r="CB879" s="1241"/>
      <c r="CC879" s="1241"/>
      <c r="CD879" s="1241"/>
      <c r="CE879" s="1241"/>
      <c r="CF879" s="1241"/>
      <c r="CG879" s="1241"/>
      <c r="CH879" s="1241"/>
      <c r="CI879" s="1241"/>
      <c r="CJ879" s="1241"/>
      <c r="CK879" s="1241"/>
      <c r="CL879" s="1241"/>
      <c r="CM879" s="1241"/>
      <c r="CN879" s="1241"/>
      <c r="CO879" s="1241"/>
      <c r="CP879" s="1241"/>
      <c r="CQ879" s="1241"/>
      <c r="CR879" s="1241"/>
      <c r="CS879" s="1241"/>
      <c r="CT879" s="1241"/>
      <c r="CU879" s="1241"/>
      <c r="CV879" s="1241"/>
      <c r="CW879" s="1241"/>
      <c r="CX879" s="1241"/>
      <c r="CY879" s="1241"/>
      <c r="CZ879" s="1241"/>
      <c r="DA879" s="1241"/>
      <c r="DB879" s="1241"/>
      <c r="DC879" s="1241"/>
      <c r="DD879" s="1241"/>
      <c r="DE879" s="1241"/>
      <c r="DF879" s="1241"/>
      <c r="DG879" s="1241"/>
      <c r="DH879" s="1241"/>
      <c r="DI879" s="1241"/>
      <c r="DJ879" s="1241"/>
      <c r="DK879" s="1241"/>
      <c r="DL879" s="1241"/>
      <c r="DM879" s="1241"/>
    </row>
    <row r="880" spans="1:117" s="1302" customFormat="1" hidden="1">
      <c r="A880" s="1241"/>
      <c r="B880" s="1496" t="s">
        <v>4331</v>
      </c>
      <c r="C880" s="1559"/>
      <c r="D880" s="1558"/>
      <c r="E880" s="1460"/>
      <c r="F880" s="1540"/>
      <c r="G880" s="1473"/>
      <c r="H880" s="1473" t="s">
        <v>3878</v>
      </c>
      <c r="I880" s="1473">
        <v>45.363803550000007</v>
      </c>
      <c r="J880" s="1473">
        <v>45.363803550000007</v>
      </c>
      <c r="K880" s="1473">
        <v>45.363803550000007</v>
      </c>
      <c r="L880" s="1473">
        <v>45.363803550000007</v>
      </c>
      <c r="M880" s="1473">
        <v>45.363803550000007</v>
      </c>
      <c r="N880" s="1473">
        <v>45.363803550000007</v>
      </c>
      <c r="O880" s="1473">
        <v>45.363803550000007</v>
      </c>
      <c r="P880" s="1241"/>
      <c r="Q880" s="1241"/>
      <c r="R880" s="1241"/>
      <c r="S880" s="1241"/>
      <c r="T880" s="1241"/>
      <c r="U880" s="1241"/>
      <c r="V880" s="1241"/>
      <c r="W880" s="1241"/>
      <c r="X880" s="1241"/>
      <c r="Y880" s="1241"/>
      <c r="Z880" s="1241"/>
      <c r="AA880" s="1241"/>
      <c r="AB880" s="1241"/>
      <c r="AC880" s="1241"/>
      <c r="AD880" s="1241"/>
      <c r="AE880" s="1241"/>
      <c r="AF880" s="1241"/>
      <c r="AG880" s="1241"/>
      <c r="AH880" s="1241"/>
      <c r="AI880" s="1241"/>
      <c r="AJ880" s="1241"/>
      <c r="AK880" s="1241"/>
      <c r="AL880" s="1241"/>
      <c r="AM880" s="1241"/>
      <c r="AN880" s="1241"/>
      <c r="AO880" s="1241"/>
      <c r="AP880" s="1241"/>
      <c r="AQ880" s="1241"/>
      <c r="AR880" s="1241"/>
      <c r="AS880" s="1241"/>
      <c r="AT880" s="1241"/>
      <c r="AU880" s="1241"/>
      <c r="AV880" s="1241"/>
      <c r="AW880" s="1241"/>
      <c r="AX880" s="1241"/>
      <c r="AY880" s="1241"/>
      <c r="AZ880" s="1241"/>
      <c r="BA880" s="1241"/>
      <c r="BB880" s="1241"/>
      <c r="BC880" s="1241"/>
      <c r="BD880" s="1241"/>
      <c r="BE880" s="1241"/>
      <c r="BF880" s="1241"/>
      <c r="BG880" s="1241"/>
      <c r="BH880" s="1241"/>
      <c r="BI880" s="1241"/>
      <c r="BJ880" s="1241"/>
      <c r="BK880" s="1241"/>
      <c r="BL880" s="1241"/>
      <c r="BM880" s="1241"/>
      <c r="BN880" s="1241"/>
      <c r="BO880" s="1241"/>
      <c r="BP880" s="1241"/>
      <c r="BQ880" s="1241"/>
      <c r="BR880" s="1241"/>
      <c r="BS880" s="1241"/>
      <c r="BT880" s="1241"/>
      <c r="BU880" s="1241"/>
      <c r="BV880" s="1241"/>
      <c r="BW880" s="1241"/>
      <c r="BX880" s="1241"/>
      <c r="BY880" s="1241"/>
      <c r="BZ880" s="1241"/>
      <c r="CA880" s="1241"/>
      <c r="CB880" s="1241"/>
      <c r="CC880" s="1241"/>
      <c r="CD880" s="1241"/>
      <c r="CE880" s="1241"/>
      <c r="CF880" s="1241"/>
      <c r="CG880" s="1241"/>
      <c r="CH880" s="1241"/>
      <c r="CI880" s="1241"/>
      <c r="CJ880" s="1241"/>
      <c r="CK880" s="1241"/>
      <c r="CL880" s="1241"/>
      <c r="CM880" s="1241"/>
      <c r="CN880" s="1241"/>
      <c r="CO880" s="1241"/>
      <c r="CP880" s="1241"/>
      <c r="CQ880" s="1241"/>
      <c r="CR880" s="1241"/>
      <c r="CS880" s="1241"/>
      <c r="CT880" s="1241"/>
      <c r="CU880" s="1241"/>
      <c r="CV880" s="1241"/>
      <c r="CW880" s="1241"/>
      <c r="CX880" s="1241"/>
      <c r="CY880" s="1241"/>
      <c r="CZ880" s="1241"/>
      <c r="DA880" s="1241"/>
      <c r="DB880" s="1241"/>
      <c r="DC880" s="1241"/>
      <c r="DD880" s="1241"/>
      <c r="DE880" s="1241"/>
      <c r="DF880" s="1241"/>
      <c r="DG880" s="1241"/>
      <c r="DH880" s="1241"/>
      <c r="DI880" s="1241"/>
      <c r="DJ880" s="1241"/>
      <c r="DK880" s="1241"/>
      <c r="DL880" s="1241"/>
      <c r="DM880" s="1241"/>
    </row>
    <row r="881" spans="1:117" s="1302" customFormat="1" hidden="1">
      <c r="A881" s="1241"/>
      <c r="B881" s="1496" t="s">
        <v>4332</v>
      </c>
      <c r="C881" s="1559"/>
      <c r="D881" s="1558"/>
      <c r="E881" s="1460"/>
      <c r="F881" s="1540"/>
      <c r="G881" s="1473"/>
      <c r="H881" s="1473" t="s">
        <v>3878</v>
      </c>
      <c r="I881" s="1473">
        <v>69.790467000000007</v>
      </c>
      <c r="J881" s="1473">
        <v>69.790467000000007</v>
      </c>
      <c r="K881" s="1473">
        <v>69.790467000000007</v>
      </c>
      <c r="L881" s="1473">
        <v>69.790467000000007</v>
      </c>
      <c r="M881" s="1473">
        <v>69.790467000000007</v>
      </c>
      <c r="N881" s="1473">
        <v>69.790467000000007</v>
      </c>
      <c r="O881" s="1473">
        <v>69.790467000000007</v>
      </c>
      <c r="P881" s="1241"/>
      <c r="Q881" s="1241"/>
      <c r="R881" s="1241"/>
      <c r="S881" s="1241"/>
      <c r="T881" s="1241"/>
      <c r="U881" s="1241"/>
      <c r="V881" s="1241"/>
      <c r="W881" s="1241"/>
      <c r="X881" s="1241"/>
      <c r="Y881" s="1241"/>
      <c r="Z881" s="1241"/>
      <c r="AA881" s="1241"/>
      <c r="AB881" s="1241"/>
      <c r="AC881" s="1241"/>
      <c r="AD881" s="1241"/>
      <c r="AE881" s="1241"/>
      <c r="AF881" s="1241"/>
      <c r="AG881" s="1241"/>
      <c r="AH881" s="1241"/>
      <c r="AI881" s="1241"/>
      <c r="AJ881" s="1241"/>
      <c r="AK881" s="1241"/>
      <c r="AL881" s="1241"/>
      <c r="AM881" s="1241"/>
      <c r="AN881" s="1241"/>
      <c r="AO881" s="1241"/>
      <c r="AP881" s="1241"/>
      <c r="AQ881" s="1241"/>
      <c r="AR881" s="1241"/>
      <c r="AS881" s="1241"/>
      <c r="AT881" s="1241"/>
      <c r="AU881" s="1241"/>
      <c r="AV881" s="1241"/>
      <c r="AW881" s="1241"/>
      <c r="AX881" s="1241"/>
      <c r="AY881" s="1241"/>
      <c r="AZ881" s="1241"/>
      <c r="BA881" s="1241"/>
      <c r="BB881" s="1241"/>
      <c r="BC881" s="1241"/>
      <c r="BD881" s="1241"/>
      <c r="BE881" s="1241"/>
      <c r="BF881" s="1241"/>
      <c r="BG881" s="1241"/>
      <c r="BH881" s="1241"/>
      <c r="BI881" s="1241"/>
      <c r="BJ881" s="1241"/>
      <c r="BK881" s="1241"/>
      <c r="BL881" s="1241"/>
      <c r="BM881" s="1241"/>
      <c r="BN881" s="1241"/>
      <c r="BO881" s="1241"/>
      <c r="BP881" s="1241"/>
      <c r="BQ881" s="1241"/>
      <c r="BR881" s="1241"/>
      <c r="BS881" s="1241"/>
      <c r="BT881" s="1241"/>
      <c r="BU881" s="1241"/>
      <c r="BV881" s="1241"/>
      <c r="BW881" s="1241"/>
      <c r="BX881" s="1241"/>
      <c r="BY881" s="1241"/>
      <c r="BZ881" s="1241"/>
      <c r="CA881" s="1241"/>
      <c r="CB881" s="1241"/>
      <c r="CC881" s="1241"/>
      <c r="CD881" s="1241"/>
      <c r="CE881" s="1241"/>
      <c r="CF881" s="1241"/>
      <c r="CG881" s="1241"/>
      <c r="CH881" s="1241"/>
      <c r="CI881" s="1241"/>
      <c r="CJ881" s="1241"/>
      <c r="CK881" s="1241"/>
      <c r="CL881" s="1241"/>
      <c r="CM881" s="1241"/>
      <c r="CN881" s="1241"/>
      <c r="CO881" s="1241"/>
      <c r="CP881" s="1241"/>
      <c r="CQ881" s="1241"/>
      <c r="CR881" s="1241"/>
      <c r="CS881" s="1241"/>
      <c r="CT881" s="1241"/>
      <c r="CU881" s="1241"/>
      <c r="CV881" s="1241"/>
      <c r="CW881" s="1241"/>
      <c r="CX881" s="1241"/>
      <c r="CY881" s="1241"/>
      <c r="CZ881" s="1241"/>
      <c r="DA881" s="1241"/>
      <c r="DB881" s="1241"/>
      <c r="DC881" s="1241"/>
      <c r="DD881" s="1241"/>
      <c r="DE881" s="1241"/>
      <c r="DF881" s="1241"/>
      <c r="DG881" s="1241"/>
      <c r="DH881" s="1241"/>
      <c r="DI881" s="1241"/>
      <c r="DJ881" s="1241"/>
      <c r="DK881" s="1241"/>
      <c r="DL881" s="1241"/>
      <c r="DM881" s="1241"/>
    </row>
    <row r="882" spans="1:117" s="1302" customFormat="1" hidden="1">
      <c r="A882" s="1241"/>
      <c r="B882" s="1496" t="s">
        <v>4333</v>
      </c>
      <c r="C882" s="1559"/>
      <c r="D882" s="1558"/>
      <c r="E882" s="1460"/>
      <c r="F882" s="1540"/>
      <c r="G882" s="1473"/>
      <c r="H882" s="1473" t="s">
        <v>3878</v>
      </c>
      <c r="I882" s="1473">
        <v>41.874280200000008</v>
      </c>
      <c r="J882" s="1473">
        <v>41.874280200000008</v>
      </c>
      <c r="K882" s="1473">
        <v>41.874280200000008</v>
      </c>
      <c r="L882" s="1473">
        <v>41.874280200000008</v>
      </c>
      <c r="M882" s="1473">
        <v>41.874280200000008</v>
      </c>
      <c r="N882" s="1473">
        <v>41.874280200000008</v>
      </c>
      <c r="O882" s="1473">
        <v>41.874280200000008</v>
      </c>
      <c r="P882" s="1241"/>
      <c r="Q882" s="1241"/>
      <c r="R882" s="1241"/>
      <c r="S882" s="1241"/>
      <c r="T882" s="1241"/>
      <c r="U882" s="1241"/>
      <c r="V882" s="1241"/>
      <c r="W882" s="1241"/>
      <c r="X882" s="1241"/>
      <c r="Y882" s="1241"/>
      <c r="Z882" s="1241"/>
      <c r="AA882" s="1241"/>
      <c r="AB882" s="1241"/>
      <c r="AC882" s="1241"/>
      <c r="AD882" s="1241"/>
      <c r="AE882" s="1241"/>
      <c r="AF882" s="1241"/>
      <c r="AG882" s="1241"/>
      <c r="AH882" s="1241"/>
      <c r="AI882" s="1241"/>
      <c r="AJ882" s="1241"/>
      <c r="AK882" s="1241"/>
      <c r="AL882" s="1241"/>
      <c r="AM882" s="1241"/>
      <c r="AN882" s="1241"/>
      <c r="AO882" s="1241"/>
      <c r="AP882" s="1241"/>
      <c r="AQ882" s="1241"/>
      <c r="AR882" s="1241"/>
      <c r="AS882" s="1241"/>
      <c r="AT882" s="1241"/>
      <c r="AU882" s="1241"/>
      <c r="AV882" s="1241"/>
      <c r="AW882" s="1241"/>
      <c r="AX882" s="1241"/>
      <c r="AY882" s="1241"/>
      <c r="AZ882" s="1241"/>
      <c r="BA882" s="1241"/>
      <c r="BB882" s="1241"/>
      <c r="BC882" s="1241"/>
      <c r="BD882" s="1241"/>
      <c r="BE882" s="1241"/>
      <c r="BF882" s="1241"/>
      <c r="BG882" s="1241"/>
      <c r="BH882" s="1241"/>
      <c r="BI882" s="1241"/>
      <c r="BJ882" s="1241"/>
      <c r="BK882" s="1241"/>
      <c r="BL882" s="1241"/>
      <c r="BM882" s="1241"/>
      <c r="BN882" s="1241"/>
      <c r="BO882" s="1241"/>
      <c r="BP882" s="1241"/>
      <c r="BQ882" s="1241"/>
      <c r="BR882" s="1241"/>
      <c r="BS882" s="1241"/>
      <c r="BT882" s="1241"/>
      <c r="BU882" s="1241"/>
      <c r="BV882" s="1241"/>
      <c r="BW882" s="1241"/>
      <c r="BX882" s="1241"/>
      <c r="BY882" s="1241"/>
      <c r="BZ882" s="1241"/>
      <c r="CA882" s="1241"/>
      <c r="CB882" s="1241"/>
      <c r="CC882" s="1241"/>
      <c r="CD882" s="1241"/>
      <c r="CE882" s="1241"/>
      <c r="CF882" s="1241"/>
      <c r="CG882" s="1241"/>
      <c r="CH882" s="1241"/>
      <c r="CI882" s="1241"/>
      <c r="CJ882" s="1241"/>
      <c r="CK882" s="1241"/>
      <c r="CL882" s="1241"/>
      <c r="CM882" s="1241"/>
      <c r="CN882" s="1241"/>
      <c r="CO882" s="1241"/>
      <c r="CP882" s="1241"/>
      <c r="CQ882" s="1241"/>
      <c r="CR882" s="1241"/>
      <c r="CS882" s="1241"/>
      <c r="CT882" s="1241"/>
      <c r="CU882" s="1241"/>
      <c r="CV882" s="1241"/>
      <c r="CW882" s="1241"/>
      <c r="CX882" s="1241"/>
      <c r="CY882" s="1241"/>
      <c r="CZ882" s="1241"/>
      <c r="DA882" s="1241"/>
      <c r="DB882" s="1241"/>
      <c r="DC882" s="1241"/>
      <c r="DD882" s="1241"/>
      <c r="DE882" s="1241"/>
      <c r="DF882" s="1241"/>
      <c r="DG882" s="1241"/>
      <c r="DH882" s="1241"/>
      <c r="DI882" s="1241"/>
      <c r="DJ882" s="1241"/>
      <c r="DK882" s="1241"/>
      <c r="DL882" s="1241"/>
      <c r="DM882" s="1241"/>
    </row>
    <row r="883" spans="1:117" s="1302" customFormat="1" hidden="1">
      <c r="A883" s="1241"/>
      <c r="B883" s="1496" t="s">
        <v>4334</v>
      </c>
      <c r="C883" s="1559"/>
      <c r="D883" s="1558"/>
      <c r="E883" s="1460"/>
      <c r="F883" s="1540"/>
      <c r="G883" s="1473"/>
      <c r="H883" s="1473" t="s">
        <v>3878</v>
      </c>
      <c r="I883" s="1473">
        <v>31.405710150000004</v>
      </c>
      <c r="J883" s="1473">
        <v>31.405710150000004</v>
      </c>
      <c r="K883" s="1473">
        <v>31.405710150000004</v>
      </c>
      <c r="L883" s="1473">
        <v>31.405710150000004</v>
      </c>
      <c r="M883" s="1473">
        <v>31.405710150000004</v>
      </c>
      <c r="N883" s="1473">
        <v>31.405710150000004</v>
      </c>
      <c r="O883" s="1473">
        <v>31.405710150000004</v>
      </c>
      <c r="P883" s="1241"/>
      <c r="Q883" s="1241"/>
      <c r="R883" s="1241"/>
      <c r="S883" s="1241"/>
      <c r="T883" s="1241"/>
      <c r="U883" s="1241"/>
      <c r="V883" s="1241"/>
      <c r="W883" s="1241"/>
      <c r="X883" s="1241"/>
      <c r="Y883" s="1241"/>
      <c r="Z883" s="1241"/>
      <c r="AA883" s="1241"/>
      <c r="AB883" s="1241"/>
      <c r="AC883" s="1241"/>
      <c r="AD883" s="1241"/>
      <c r="AE883" s="1241"/>
      <c r="AF883" s="1241"/>
      <c r="AG883" s="1241"/>
      <c r="AH883" s="1241"/>
      <c r="AI883" s="1241"/>
      <c r="AJ883" s="1241"/>
      <c r="AK883" s="1241"/>
      <c r="AL883" s="1241"/>
      <c r="AM883" s="1241"/>
      <c r="AN883" s="1241"/>
      <c r="AO883" s="1241"/>
      <c r="AP883" s="1241"/>
      <c r="AQ883" s="1241"/>
      <c r="AR883" s="1241"/>
      <c r="AS883" s="1241"/>
      <c r="AT883" s="1241"/>
      <c r="AU883" s="1241"/>
      <c r="AV883" s="1241"/>
      <c r="AW883" s="1241"/>
      <c r="AX883" s="1241"/>
      <c r="AY883" s="1241"/>
      <c r="AZ883" s="1241"/>
      <c r="BA883" s="1241"/>
      <c r="BB883" s="1241"/>
      <c r="BC883" s="1241"/>
      <c r="BD883" s="1241"/>
      <c r="BE883" s="1241"/>
      <c r="BF883" s="1241"/>
      <c r="BG883" s="1241"/>
      <c r="BH883" s="1241"/>
      <c r="BI883" s="1241"/>
      <c r="BJ883" s="1241"/>
      <c r="BK883" s="1241"/>
      <c r="BL883" s="1241"/>
      <c r="BM883" s="1241"/>
      <c r="BN883" s="1241"/>
      <c r="BO883" s="1241"/>
      <c r="BP883" s="1241"/>
      <c r="BQ883" s="1241"/>
      <c r="BR883" s="1241"/>
      <c r="BS883" s="1241"/>
      <c r="BT883" s="1241"/>
      <c r="BU883" s="1241"/>
      <c r="BV883" s="1241"/>
      <c r="BW883" s="1241"/>
      <c r="BX883" s="1241"/>
      <c r="BY883" s="1241"/>
      <c r="BZ883" s="1241"/>
      <c r="CA883" s="1241"/>
      <c r="CB883" s="1241"/>
      <c r="CC883" s="1241"/>
      <c r="CD883" s="1241"/>
      <c r="CE883" s="1241"/>
      <c r="CF883" s="1241"/>
      <c r="CG883" s="1241"/>
      <c r="CH883" s="1241"/>
      <c r="CI883" s="1241"/>
      <c r="CJ883" s="1241"/>
      <c r="CK883" s="1241"/>
      <c r="CL883" s="1241"/>
      <c r="CM883" s="1241"/>
      <c r="CN883" s="1241"/>
      <c r="CO883" s="1241"/>
      <c r="CP883" s="1241"/>
      <c r="CQ883" s="1241"/>
      <c r="CR883" s="1241"/>
      <c r="CS883" s="1241"/>
      <c r="CT883" s="1241"/>
      <c r="CU883" s="1241"/>
      <c r="CV883" s="1241"/>
      <c r="CW883" s="1241"/>
      <c r="CX883" s="1241"/>
      <c r="CY883" s="1241"/>
      <c r="CZ883" s="1241"/>
      <c r="DA883" s="1241"/>
      <c r="DB883" s="1241"/>
      <c r="DC883" s="1241"/>
      <c r="DD883" s="1241"/>
      <c r="DE883" s="1241"/>
      <c r="DF883" s="1241"/>
      <c r="DG883" s="1241"/>
      <c r="DH883" s="1241"/>
      <c r="DI883" s="1241"/>
      <c r="DJ883" s="1241"/>
      <c r="DK883" s="1241"/>
      <c r="DL883" s="1241"/>
      <c r="DM883" s="1241"/>
    </row>
    <row r="884" spans="1:117" s="1302" customFormat="1" hidden="1">
      <c r="A884" s="1241"/>
      <c r="B884" s="1558"/>
      <c r="C884" s="1559"/>
      <c r="D884" s="1558"/>
      <c r="E884" s="1460"/>
      <c r="F884" s="1540"/>
      <c r="G884" s="1473"/>
      <c r="H884" s="1473"/>
      <c r="I884" s="1473"/>
      <c r="J884" s="1473"/>
      <c r="K884" s="1473"/>
      <c r="L884" s="1473"/>
      <c r="M884" s="1473"/>
      <c r="N884" s="1473"/>
      <c r="O884" s="1473"/>
      <c r="P884" s="1241"/>
      <c r="Q884" s="1241"/>
      <c r="R884" s="1241"/>
      <c r="S884" s="1241"/>
      <c r="T884" s="1241"/>
      <c r="U884" s="1241"/>
      <c r="V884" s="1241"/>
      <c r="W884" s="1241"/>
      <c r="X884" s="1241"/>
      <c r="Y884" s="1241"/>
      <c r="Z884" s="1241"/>
      <c r="AA884" s="1241"/>
      <c r="AB884" s="1241"/>
      <c r="AC884" s="1241"/>
      <c r="AD884" s="1241"/>
      <c r="AE884" s="1241"/>
      <c r="AF884" s="1241"/>
      <c r="AG884" s="1241"/>
      <c r="AH884" s="1241"/>
      <c r="AI884" s="1241"/>
      <c r="AJ884" s="1241"/>
      <c r="AK884" s="1241"/>
      <c r="AL884" s="1241"/>
      <c r="AM884" s="1241"/>
      <c r="AN884" s="1241"/>
      <c r="AO884" s="1241"/>
      <c r="AP884" s="1241"/>
      <c r="AQ884" s="1241"/>
      <c r="AR884" s="1241"/>
      <c r="AS884" s="1241"/>
      <c r="AT884" s="1241"/>
      <c r="AU884" s="1241"/>
      <c r="AV884" s="1241"/>
      <c r="AW884" s="1241"/>
      <c r="AX884" s="1241"/>
      <c r="AY884" s="1241"/>
      <c r="AZ884" s="1241"/>
      <c r="BA884" s="1241"/>
      <c r="BB884" s="1241"/>
      <c r="BC884" s="1241"/>
      <c r="BD884" s="1241"/>
      <c r="BE884" s="1241"/>
      <c r="BF884" s="1241"/>
      <c r="BG884" s="1241"/>
      <c r="BH884" s="1241"/>
      <c r="BI884" s="1241"/>
      <c r="BJ884" s="1241"/>
      <c r="BK884" s="1241"/>
      <c r="BL884" s="1241"/>
      <c r="BM884" s="1241"/>
      <c r="BN884" s="1241"/>
      <c r="BO884" s="1241"/>
      <c r="BP884" s="1241"/>
      <c r="BQ884" s="1241"/>
      <c r="BR884" s="1241"/>
      <c r="BS884" s="1241"/>
      <c r="BT884" s="1241"/>
      <c r="BU884" s="1241"/>
      <c r="BV884" s="1241"/>
      <c r="BW884" s="1241"/>
      <c r="BX884" s="1241"/>
      <c r="BY884" s="1241"/>
      <c r="BZ884" s="1241"/>
      <c r="CA884" s="1241"/>
      <c r="CB884" s="1241"/>
      <c r="CC884" s="1241"/>
      <c r="CD884" s="1241"/>
      <c r="CE884" s="1241"/>
      <c r="CF884" s="1241"/>
      <c r="CG884" s="1241"/>
      <c r="CH884" s="1241"/>
      <c r="CI884" s="1241"/>
      <c r="CJ884" s="1241"/>
      <c r="CK884" s="1241"/>
      <c r="CL884" s="1241"/>
      <c r="CM884" s="1241"/>
      <c r="CN884" s="1241"/>
      <c r="CO884" s="1241"/>
      <c r="CP884" s="1241"/>
      <c r="CQ884" s="1241"/>
      <c r="CR884" s="1241"/>
      <c r="CS884" s="1241"/>
      <c r="CT884" s="1241"/>
      <c r="CU884" s="1241"/>
      <c r="CV884" s="1241"/>
      <c r="CW884" s="1241"/>
      <c r="CX884" s="1241"/>
      <c r="CY884" s="1241"/>
      <c r="CZ884" s="1241"/>
      <c r="DA884" s="1241"/>
      <c r="DB884" s="1241"/>
      <c r="DC884" s="1241"/>
      <c r="DD884" s="1241"/>
      <c r="DE884" s="1241"/>
      <c r="DF884" s="1241"/>
      <c r="DG884" s="1241"/>
      <c r="DH884" s="1241"/>
      <c r="DI884" s="1241"/>
      <c r="DJ884" s="1241"/>
      <c r="DK884" s="1241"/>
      <c r="DL884" s="1241"/>
      <c r="DM884" s="1241"/>
    </row>
    <row r="885" spans="1:117" s="1302" customFormat="1" hidden="1">
      <c r="A885" s="1241"/>
      <c r="B885" s="1560" t="s">
        <v>4276</v>
      </c>
      <c r="C885" s="1559"/>
      <c r="D885" s="1558"/>
      <c r="E885" s="1460"/>
      <c r="F885" s="1540"/>
      <c r="G885" s="1473"/>
      <c r="H885" s="1473"/>
      <c r="I885" s="1473"/>
      <c r="J885" s="1473"/>
      <c r="K885" s="1473"/>
      <c r="L885" s="1473"/>
      <c r="M885" s="1473"/>
      <c r="N885" s="1473"/>
      <c r="O885" s="1473"/>
      <c r="P885" s="1241"/>
      <c r="Q885" s="1241"/>
      <c r="R885" s="1241"/>
      <c r="S885" s="1241"/>
      <c r="T885" s="1241"/>
      <c r="U885" s="1241"/>
      <c r="V885" s="1241"/>
      <c r="W885" s="1241"/>
      <c r="X885" s="1241"/>
      <c r="Y885" s="1241"/>
      <c r="Z885" s="1241"/>
      <c r="AA885" s="1241"/>
      <c r="AB885" s="1241"/>
      <c r="AC885" s="1241"/>
      <c r="AD885" s="1241"/>
      <c r="AE885" s="1241"/>
      <c r="AF885" s="1241"/>
      <c r="AG885" s="1241"/>
      <c r="AH885" s="1241"/>
      <c r="AI885" s="1241"/>
      <c r="AJ885" s="1241"/>
      <c r="AK885" s="1241"/>
      <c r="AL885" s="1241"/>
      <c r="AM885" s="1241"/>
      <c r="AN885" s="1241"/>
      <c r="AO885" s="1241"/>
      <c r="AP885" s="1241"/>
      <c r="AQ885" s="1241"/>
      <c r="AR885" s="1241"/>
      <c r="AS885" s="1241"/>
      <c r="AT885" s="1241"/>
      <c r="AU885" s="1241"/>
      <c r="AV885" s="1241"/>
      <c r="AW885" s="1241"/>
      <c r="AX885" s="1241"/>
      <c r="AY885" s="1241"/>
      <c r="AZ885" s="1241"/>
      <c r="BA885" s="1241"/>
      <c r="BB885" s="1241"/>
      <c r="BC885" s="1241"/>
      <c r="BD885" s="1241"/>
      <c r="BE885" s="1241"/>
      <c r="BF885" s="1241"/>
      <c r="BG885" s="1241"/>
      <c r="BH885" s="1241"/>
      <c r="BI885" s="1241"/>
      <c r="BJ885" s="1241"/>
      <c r="BK885" s="1241"/>
      <c r="BL885" s="1241"/>
      <c r="BM885" s="1241"/>
      <c r="BN885" s="1241"/>
      <c r="BO885" s="1241"/>
      <c r="BP885" s="1241"/>
      <c r="BQ885" s="1241"/>
      <c r="BR885" s="1241"/>
      <c r="BS885" s="1241"/>
      <c r="BT885" s="1241"/>
      <c r="BU885" s="1241"/>
      <c r="BV885" s="1241"/>
      <c r="BW885" s="1241"/>
      <c r="BX885" s="1241"/>
      <c r="BY885" s="1241"/>
      <c r="BZ885" s="1241"/>
      <c r="CA885" s="1241"/>
      <c r="CB885" s="1241"/>
      <c r="CC885" s="1241"/>
      <c r="CD885" s="1241"/>
      <c r="CE885" s="1241"/>
      <c r="CF885" s="1241"/>
      <c r="CG885" s="1241"/>
      <c r="CH885" s="1241"/>
      <c r="CI885" s="1241"/>
      <c r="CJ885" s="1241"/>
      <c r="CK885" s="1241"/>
      <c r="CL885" s="1241"/>
      <c r="CM885" s="1241"/>
      <c r="CN885" s="1241"/>
      <c r="CO885" s="1241"/>
      <c r="CP885" s="1241"/>
      <c r="CQ885" s="1241"/>
      <c r="CR885" s="1241"/>
      <c r="CS885" s="1241"/>
      <c r="CT885" s="1241"/>
      <c r="CU885" s="1241"/>
      <c r="CV885" s="1241"/>
      <c r="CW885" s="1241"/>
      <c r="CX885" s="1241"/>
      <c r="CY885" s="1241"/>
      <c r="CZ885" s="1241"/>
      <c r="DA885" s="1241"/>
      <c r="DB885" s="1241"/>
      <c r="DC885" s="1241"/>
      <c r="DD885" s="1241"/>
      <c r="DE885" s="1241"/>
      <c r="DF885" s="1241"/>
      <c r="DG885" s="1241"/>
      <c r="DH885" s="1241"/>
      <c r="DI885" s="1241"/>
      <c r="DJ885" s="1241"/>
      <c r="DK885" s="1241"/>
      <c r="DL885" s="1241"/>
      <c r="DM885" s="1241"/>
    </row>
    <row r="886" spans="1:117" s="1302" customFormat="1" hidden="1">
      <c r="A886" s="1241"/>
      <c r="B886" s="1496" t="s">
        <v>4330</v>
      </c>
      <c r="C886" s="1559"/>
      <c r="D886" s="1558"/>
      <c r="E886" s="1460"/>
      <c r="F886" s="1540"/>
      <c r="G886" s="1473"/>
      <c r="H886" s="1473" t="s">
        <v>3878</v>
      </c>
      <c r="I886" s="1561">
        <v>70.84942784226341</v>
      </c>
      <c r="J886" s="1561">
        <v>81.823507336370881</v>
      </c>
      <c r="K886" s="1561">
        <v>116.08696715717743</v>
      </c>
      <c r="L886" s="1561">
        <v>158.76367651871354</v>
      </c>
      <c r="M886" s="1561">
        <v>191.05798225458696</v>
      </c>
      <c r="N886" s="1561">
        <v>221.95050464525295</v>
      </c>
      <c r="O886" s="1561">
        <v>70.825447693776752</v>
      </c>
      <c r="P886" s="1241"/>
      <c r="Q886" s="1241"/>
      <c r="R886" s="1241"/>
      <c r="S886" s="1241"/>
      <c r="T886" s="1241"/>
      <c r="U886" s="1241"/>
      <c r="V886" s="1241"/>
      <c r="W886" s="1241"/>
      <c r="X886" s="1241"/>
      <c r="Y886" s="1241"/>
      <c r="Z886" s="1241"/>
      <c r="AA886" s="1241"/>
      <c r="AB886" s="1241"/>
      <c r="AC886" s="1241"/>
      <c r="AD886" s="1241"/>
      <c r="AE886" s="1241"/>
      <c r="AF886" s="1241"/>
      <c r="AG886" s="1241"/>
      <c r="AH886" s="1241"/>
      <c r="AI886" s="1241"/>
      <c r="AJ886" s="1241"/>
      <c r="AK886" s="1241"/>
      <c r="AL886" s="1241"/>
      <c r="AM886" s="1241"/>
      <c r="AN886" s="1241"/>
      <c r="AO886" s="1241"/>
      <c r="AP886" s="1241"/>
      <c r="AQ886" s="1241"/>
      <c r="AR886" s="1241"/>
      <c r="AS886" s="1241"/>
      <c r="AT886" s="1241"/>
      <c r="AU886" s="1241"/>
      <c r="AV886" s="1241"/>
      <c r="AW886" s="1241"/>
      <c r="AX886" s="1241"/>
      <c r="AY886" s="1241"/>
      <c r="AZ886" s="1241"/>
      <c r="BA886" s="1241"/>
      <c r="BB886" s="1241"/>
      <c r="BC886" s="1241"/>
      <c r="BD886" s="1241"/>
      <c r="BE886" s="1241"/>
      <c r="BF886" s="1241"/>
      <c r="BG886" s="1241"/>
      <c r="BH886" s="1241"/>
      <c r="BI886" s="1241"/>
      <c r="BJ886" s="1241"/>
      <c r="BK886" s="1241"/>
      <c r="BL886" s="1241"/>
      <c r="BM886" s="1241"/>
      <c r="BN886" s="1241"/>
      <c r="BO886" s="1241"/>
      <c r="BP886" s="1241"/>
      <c r="BQ886" s="1241"/>
      <c r="BR886" s="1241"/>
      <c r="BS886" s="1241"/>
      <c r="BT886" s="1241"/>
      <c r="BU886" s="1241"/>
      <c r="BV886" s="1241"/>
      <c r="BW886" s="1241"/>
      <c r="BX886" s="1241"/>
      <c r="BY886" s="1241"/>
      <c r="BZ886" s="1241"/>
      <c r="CA886" s="1241"/>
      <c r="CB886" s="1241"/>
      <c r="CC886" s="1241"/>
      <c r="CD886" s="1241"/>
      <c r="CE886" s="1241"/>
      <c r="CF886" s="1241"/>
      <c r="CG886" s="1241"/>
      <c r="CH886" s="1241"/>
      <c r="CI886" s="1241"/>
      <c r="CJ886" s="1241"/>
      <c r="CK886" s="1241"/>
      <c r="CL886" s="1241"/>
      <c r="CM886" s="1241"/>
      <c r="CN886" s="1241"/>
      <c r="CO886" s="1241"/>
      <c r="CP886" s="1241"/>
      <c r="CQ886" s="1241"/>
      <c r="CR886" s="1241"/>
      <c r="CS886" s="1241"/>
      <c r="CT886" s="1241"/>
      <c r="CU886" s="1241"/>
      <c r="CV886" s="1241"/>
      <c r="CW886" s="1241"/>
      <c r="CX886" s="1241"/>
      <c r="CY886" s="1241"/>
      <c r="CZ886" s="1241"/>
      <c r="DA886" s="1241"/>
      <c r="DB886" s="1241"/>
      <c r="DC886" s="1241"/>
      <c r="DD886" s="1241"/>
      <c r="DE886" s="1241"/>
      <c r="DF886" s="1241"/>
      <c r="DG886" s="1241"/>
      <c r="DH886" s="1241"/>
      <c r="DI886" s="1241"/>
      <c r="DJ886" s="1241"/>
      <c r="DK886" s="1241"/>
      <c r="DL886" s="1241"/>
      <c r="DM886" s="1241"/>
    </row>
    <row r="887" spans="1:117" s="1302" customFormat="1" hidden="1">
      <c r="A887" s="1241"/>
      <c r="B887" s="1496" t="s">
        <v>4331</v>
      </c>
      <c r="C887" s="1559"/>
      <c r="D887" s="1558"/>
      <c r="E887" s="1460"/>
      <c r="F887" s="1540"/>
      <c r="G887" s="1473"/>
      <c r="H887" s="1473" t="s">
        <v>3878</v>
      </c>
      <c r="I887" s="1561">
        <v>51.39746439449911</v>
      </c>
      <c r="J887" s="1561">
        <v>59.358571170358324</v>
      </c>
      <c r="K887" s="1561">
        <v>84.214875727863074</v>
      </c>
      <c r="L887" s="1561">
        <v>115.17454211737029</v>
      </c>
      <c r="M887" s="1561">
        <v>138.60233087665347</v>
      </c>
      <c r="N887" s="1561">
        <v>161.01320091452499</v>
      </c>
      <c r="O887" s="1561">
        <v>51.380068081422863</v>
      </c>
      <c r="P887" s="1241"/>
      <c r="Q887" s="1241"/>
      <c r="R887" s="1241"/>
      <c r="S887" s="1241"/>
      <c r="T887" s="1241"/>
      <c r="U887" s="1241"/>
      <c r="V887" s="1241"/>
      <c r="W887" s="1241"/>
      <c r="X887" s="1241"/>
      <c r="Y887" s="1241"/>
      <c r="Z887" s="1241"/>
      <c r="AA887" s="1241"/>
      <c r="AB887" s="1241"/>
      <c r="AC887" s="1241"/>
      <c r="AD887" s="1241"/>
      <c r="AE887" s="1241"/>
      <c r="AF887" s="1241"/>
      <c r="AG887" s="1241"/>
      <c r="AH887" s="1241"/>
      <c r="AI887" s="1241"/>
      <c r="AJ887" s="1241"/>
      <c r="AK887" s="1241"/>
      <c r="AL887" s="1241"/>
      <c r="AM887" s="1241"/>
      <c r="AN887" s="1241"/>
      <c r="AO887" s="1241"/>
      <c r="AP887" s="1241"/>
      <c r="AQ887" s="1241"/>
      <c r="AR887" s="1241"/>
      <c r="AS887" s="1241"/>
      <c r="AT887" s="1241"/>
      <c r="AU887" s="1241"/>
      <c r="AV887" s="1241"/>
      <c r="AW887" s="1241"/>
      <c r="AX887" s="1241"/>
      <c r="AY887" s="1241"/>
      <c r="AZ887" s="1241"/>
      <c r="BA887" s="1241"/>
      <c r="BB887" s="1241"/>
      <c r="BC887" s="1241"/>
      <c r="BD887" s="1241"/>
      <c r="BE887" s="1241"/>
      <c r="BF887" s="1241"/>
      <c r="BG887" s="1241"/>
      <c r="BH887" s="1241"/>
      <c r="BI887" s="1241"/>
      <c r="BJ887" s="1241"/>
      <c r="BK887" s="1241"/>
      <c r="BL887" s="1241"/>
      <c r="BM887" s="1241"/>
      <c r="BN887" s="1241"/>
      <c r="BO887" s="1241"/>
      <c r="BP887" s="1241"/>
      <c r="BQ887" s="1241"/>
      <c r="BR887" s="1241"/>
      <c r="BS887" s="1241"/>
      <c r="BT887" s="1241"/>
      <c r="BU887" s="1241"/>
      <c r="BV887" s="1241"/>
      <c r="BW887" s="1241"/>
      <c r="BX887" s="1241"/>
      <c r="BY887" s="1241"/>
      <c r="BZ887" s="1241"/>
      <c r="CA887" s="1241"/>
      <c r="CB887" s="1241"/>
      <c r="CC887" s="1241"/>
      <c r="CD887" s="1241"/>
      <c r="CE887" s="1241"/>
      <c r="CF887" s="1241"/>
      <c r="CG887" s="1241"/>
      <c r="CH887" s="1241"/>
      <c r="CI887" s="1241"/>
      <c r="CJ887" s="1241"/>
      <c r="CK887" s="1241"/>
      <c r="CL887" s="1241"/>
      <c r="CM887" s="1241"/>
      <c r="CN887" s="1241"/>
      <c r="CO887" s="1241"/>
      <c r="CP887" s="1241"/>
      <c r="CQ887" s="1241"/>
      <c r="CR887" s="1241"/>
      <c r="CS887" s="1241"/>
      <c r="CT887" s="1241"/>
      <c r="CU887" s="1241"/>
      <c r="CV887" s="1241"/>
      <c r="CW887" s="1241"/>
      <c r="CX887" s="1241"/>
      <c r="CY887" s="1241"/>
      <c r="CZ887" s="1241"/>
      <c r="DA887" s="1241"/>
      <c r="DB887" s="1241"/>
      <c r="DC887" s="1241"/>
      <c r="DD887" s="1241"/>
      <c r="DE887" s="1241"/>
      <c r="DF887" s="1241"/>
      <c r="DG887" s="1241"/>
      <c r="DH887" s="1241"/>
      <c r="DI887" s="1241"/>
      <c r="DJ887" s="1241"/>
      <c r="DK887" s="1241"/>
      <c r="DL887" s="1241"/>
      <c r="DM887" s="1241"/>
    </row>
    <row r="888" spans="1:117" s="1302" customFormat="1" hidden="1">
      <c r="A888" s="1241"/>
      <c r="B888" s="1496" t="s">
        <v>4332</v>
      </c>
      <c r="C888" s="1559"/>
      <c r="D888" s="1558"/>
      <c r="E888" s="1460"/>
      <c r="F888" s="1540"/>
      <c r="G888" s="1473"/>
      <c r="H888" s="1473" t="s">
        <v>3878</v>
      </c>
      <c r="I888" s="1561">
        <v>9.4887626574459905</v>
      </c>
      <c r="J888" s="1561">
        <v>10.958505446835382</v>
      </c>
      <c r="K888" s="1561">
        <v>15.547361672836256</v>
      </c>
      <c r="L888" s="1561">
        <v>21.262992390899129</v>
      </c>
      <c r="M888" s="1561">
        <v>25.588122623382173</v>
      </c>
      <c r="N888" s="1561">
        <v>29.725514014989226</v>
      </c>
      <c r="O888" s="1561">
        <v>9.4855510304165289</v>
      </c>
      <c r="P888" s="1241"/>
      <c r="Q888" s="1241"/>
      <c r="R888" s="1241"/>
      <c r="S888" s="1241"/>
      <c r="T888" s="1241"/>
      <c r="U888" s="1241"/>
      <c r="V888" s="1241"/>
      <c r="W888" s="1241"/>
      <c r="X888" s="1241"/>
      <c r="Y888" s="1241"/>
      <c r="Z888" s="1241"/>
      <c r="AA888" s="1241"/>
      <c r="AB888" s="1241"/>
      <c r="AC888" s="1241"/>
      <c r="AD888" s="1241"/>
      <c r="AE888" s="1241"/>
      <c r="AF888" s="1241"/>
      <c r="AG888" s="1241"/>
      <c r="AH888" s="1241"/>
      <c r="AI888" s="1241"/>
      <c r="AJ888" s="1241"/>
      <c r="AK888" s="1241"/>
      <c r="AL888" s="1241"/>
      <c r="AM888" s="1241"/>
      <c r="AN888" s="1241"/>
      <c r="AO888" s="1241"/>
      <c r="AP888" s="1241"/>
      <c r="AQ888" s="1241"/>
      <c r="AR888" s="1241"/>
      <c r="AS888" s="1241"/>
      <c r="AT888" s="1241"/>
      <c r="AU888" s="1241"/>
      <c r="AV888" s="1241"/>
      <c r="AW888" s="1241"/>
      <c r="AX888" s="1241"/>
      <c r="AY888" s="1241"/>
      <c r="AZ888" s="1241"/>
      <c r="BA888" s="1241"/>
      <c r="BB888" s="1241"/>
      <c r="BC888" s="1241"/>
      <c r="BD888" s="1241"/>
      <c r="BE888" s="1241"/>
      <c r="BF888" s="1241"/>
      <c r="BG888" s="1241"/>
      <c r="BH888" s="1241"/>
      <c r="BI888" s="1241"/>
      <c r="BJ888" s="1241"/>
      <c r="BK888" s="1241"/>
      <c r="BL888" s="1241"/>
      <c r="BM888" s="1241"/>
      <c r="BN888" s="1241"/>
      <c r="BO888" s="1241"/>
      <c r="BP888" s="1241"/>
      <c r="BQ888" s="1241"/>
      <c r="BR888" s="1241"/>
      <c r="BS888" s="1241"/>
      <c r="BT888" s="1241"/>
      <c r="BU888" s="1241"/>
      <c r="BV888" s="1241"/>
      <c r="BW888" s="1241"/>
      <c r="BX888" s="1241"/>
      <c r="BY888" s="1241"/>
      <c r="BZ888" s="1241"/>
      <c r="CA888" s="1241"/>
      <c r="CB888" s="1241"/>
      <c r="CC888" s="1241"/>
      <c r="CD888" s="1241"/>
      <c r="CE888" s="1241"/>
      <c r="CF888" s="1241"/>
      <c r="CG888" s="1241"/>
      <c r="CH888" s="1241"/>
      <c r="CI888" s="1241"/>
      <c r="CJ888" s="1241"/>
      <c r="CK888" s="1241"/>
      <c r="CL888" s="1241"/>
      <c r="CM888" s="1241"/>
      <c r="CN888" s="1241"/>
      <c r="CO888" s="1241"/>
      <c r="CP888" s="1241"/>
      <c r="CQ888" s="1241"/>
      <c r="CR888" s="1241"/>
      <c r="CS888" s="1241"/>
      <c r="CT888" s="1241"/>
      <c r="CU888" s="1241"/>
      <c r="CV888" s="1241"/>
      <c r="CW888" s="1241"/>
      <c r="CX888" s="1241"/>
      <c r="CY888" s="1241"/>
      <c r="CZ888" s="1241"/>
      <c r="DA888" s="1241"/>
      <c r="DB888" s="1241"/>
      <c r="DC888" s="1241"/>
      <c r="DD888" s="1241"/>
      <c r="DE888" s="1241"/>
      <c r="DF888" s="1241"/>
      <c r="DG888" s="1241"/>
      <c r="DH888" s="1241"/>
      <c r="DI888" s="1241"/>
      <c r="DJ888" s="1241"/>
      <c r="DK888" s="1241"/>
      <c r="DL888" s="1241"/>
      <c r="DM888" s="1241"/>
    </row>
    <row r="889" spans="1:117" s="1302" customFormat="1" hidden="1">
      <c r="A889" s="1241"/>
      <c r="B889" s="1496" t="s">
        <v>4333</v>
      </c>
      <c r="C889" s="1559"/>
      <c r="D889" s="1558"/>
      <c r="E889" s="1460"/>
      <c r="F889" s="1540"/>
      <c r="G889" s="1473"/>
      <c r="H889" s="1473" t="s">
        <v>3878</v>
      </c>
      <c r="I889" s="1561">
        <v>9.4887626574459905</v>
      </c>
      <c r="J889" s="1561">
        <v>10.958505446835385</v>
      </c>
      <c r="K889" s="1561">
        <v>15.547361672836262</v>
      </c>
      <c r="L889" s="1561">
        <v>21.262992390899136</v>
      </c>
      <c r="M889" s="1561">
        <v>25.58812262338218</v>
      </c>
      <c r="N889" s="1561">
        <v>29.725514014989233</v>
      </c>
      <c r="O889" s="1561">
        <v>9.4855510304165289</v>
      </c>
      <c r="P889" s="1241"/>
      <c r="Q889" s="1241"/>
      <c r="R889" s="1241"/>
      <c r="S889" s="1241"/>
      <c r="T889" s="1241"/>
      <c r="U889" s="1241"/>
      <c r="V889" s="1241"/>
      <c r="W889" s="1241"/>
      <c r="X889" s="1241"/>
      <c r="Y889" s="1241"/>
      <c r="Z889" s="1241"/>
      <c r="AA889" s="1241"/>
      <c r="AB889" s="1241"/>
      <c r="AC889" s="1241"/>
      <c r="AD889" s="1241"/>
      <c r="AE889" s="1241"/>
      <c r="AF889" s="1241"/>
      <c r="AG889" s="1241"/>
      <c r="AH889" s="1241"/>
      <c r="AI889" s="1241"/>
      <c r="AJ889" s="1241"/>
      <c r="AK889" s="1241"/>
      <c r="AL889" s="1241"/>
      <c r="AM889" s="1241"/>
      <c r="AN889" s="1241"/>
      <c r="AO889" s="1241"/>
      <c r="AP889" s="1241"/>
      <c r="AQ889" s="1241"/>
      <c r="AR889" s="1241"/>
      <c r="AS889" s="1241"/>
      <c r="AT889" s="1241"/>
      <c r="AU889" s="1241"/>
      <c r="AV889" s="1241"/>
      <c r="AW889" s="1241"/>
      <c r="AX889" s="1241"/>
      <c r="AY889" s="1241"/>
      <c r="AZ889" s="1241"/>
      <c r="BA889" s="1241"/>
      <c r="BB889" s="1241"/>
      <c r="BC889" s="1241"/>
      <c r="BD889" s="1241"/>
      <c r="BE889" s="1241"/>
      <c r="BF889" s="1241"/>
      <c r="BG889" s="1241"/>
      <c r="BH889" s="1241"/>
      <c r="BI889" s="1241"/>
      <c r="BJ889" s="1241"/>
      <c r="BK889" s="1241"/>
      <c r="BL889" s="1241"/>
      <c r="BM889" s="1241"/>
      <c r="BN889" s="1241"/>
      <c r="BO889" s="1241"/>
      <c r="BP889" s="1241"/>
      <c r="BQ889" s="1241"/>
      <c r="BR889" s="1241"/>
      <c r="BS889" s="1241"/>
      <c r="BT889" s="1241"/>
      <c r="BU889" s="1241"/>
      <c r="BV889" s="1241"/>
      <c r="BW889" s="1241"/>
      <c r="BX889" s="1241"/>
      <c r="BY889" s="1241"/>
      <c r="BZ889" s="1241"/>
      <c r="CA889" s="1241"/>
      <c r="CB889" s="1241"/>
      <c r="CC889" s="1241"/>
      <c r="CD889" s="1241"/>
      <c r="CE889" s="1241"/>
      <c r="CF889" s="1241"/>
      <c r="CG889" s="1241"/>
      <c r="CH889" s="1241"/>
      <c r="CI889" s="1241"/>
      <c r="CJ889" s="1241"/>
      <c r="CK889" s="1241"/>
      <c r="CL889" s="1241"/>
      <c r="CM889" s="1241"/>
      <c r="CN889" s="1241"/>
      <c r="CO889" s="1241"/>
      <c r="CP889" s="1241"/>
      <c r="CQ889" s="1241"/>
      <c r="CR889" s="1241"/>
      <c r="CS889" s="1241"/>
      <c r="CT889" s="1241"/>
      <c r="CU889" s="1241"/>
      <c r="CV889" s="1241"/>
      <c r="CW889" s="1241"/>
      <c r="CX889" s="1241"/>
      <c r="CY889" s="1241"/>
      <c r="CZ889" s="1241"/>
      <c r="DA889" s="1241"/>
      <c r="DB889" s="1241"/>
      <c r="DC889" s="1241"/>
      <c r="DD889" s="1241"/>
      <c r="DE889" s="1241"/>
      <c r="DF889" s="1241"/>
      <c r="DG889" s="1241"/>
      <c r="DH889" s="1241"/>
      <c r="DI889" s="1241"/>
      <c r="DJ889" s="1241"/>
      <c r="DK889" s="1241"/>
      <c r="DL889" s="1241"/>
      <c r="DM889" s="1241"/>
    </row>
    <row r="890" spans="1:117" s="1302" customFormat="1" hidden="1">
      <c r="A890" s="1241"/>
      <c r="B890" s="1499" t="s">
        <v>4334</v>
      </c>
      <c r="C890" s="1562"/>
      <c r="D890" s="1563"/>
      <c r="E890" s="1564"/>
      <c r="F890" s="1565"/>
      <c r="G890" s="1566"/>
      <c r="H890" s="1566" t="s">
        <v>3878</v>
      </c>
      <c r="I890" s="1567">
        <v>38.429488762656263</v>
      </c>
      <c r="J890" s="1567">
        <v>44.381947059683306</v>
      </c>
      <c r="K890" s="1567">
        <v>62.966814774986858</v>
      </c>
      <c r="L890" s="1567">
        <v>86.115119183141488</v>
      </c>
      <c r="M890" s="1567">
        <v>103.63189662469783</v>
      </c>
      <c r="N890" s="1567">
        <v>120.38833176070638</v>
      </c>
      <c r="O890" s="1567">
        <v>38.416481673186944</v>
      </c>
      <c r="P890" s="1241"/>
      <c r="Q890" s="1241"/>
      <c r="R890" s="1241"/>
      <c r="S890" s="1241"/>
      <c r="T890" s="1241"/>
      <c r="U890" s="1241"/>
      <c r="V890" s="1241"/>
      <c r="W890" s="1241"/>
      <c r="X890" s="1241"/>
      <c r="Y890" s="1241"/>
      <c r="Z890" s="1241"/>
      <c r="AA890" s="1241"/>
      <c r="AB890" s="1241"/>
      <c r="AC890" s="1241"/>
      <c r="AD890" s="1241"/>
      <c r="AE890" s="1241"/>
      <c r="AF890" s="1241"/>
      <c r="AG890" s="1241"/>
      <c r="AH890" s="1241"/>
      <c r="AI890" s="1241"/>
      <c r="AJ890" s="1241"/>
      <c r="AK890" s="1241"/>
      <c r="AL890" s="1241"/>
      <c r="AM890" s="1241"/>
      <c r="AN890" s="1241"/>
      <c r="AO890" s="1241"/>
      <c r="AP890" s="1241"/>
      <c r="AQ890" s="1241"/>
      <c r="AR890" s="1241"/>
      <c r="AS890" s="1241"/>
      <c r="AT890" s="1241"/>
      <c r="AU890" s="1241"/>
      <c r="AV890" s="1241"/>
      <c r="AW890" s="1241"/>
      <c r="AX890" s="1241"/>
      <c r="AY890" s="1241"/>
      <c r="AZ890" s="1241"/>
      <c r="BA890" s="1241"/>
      <c r="BB890" s="1241"/>
      <c r="BC890" s="1241"/>
      <c r="BD890" s="1241"/>
      <c r="BE890" s="1241"/>
      <c r="BF890" s="1241"/>
      <c r="BG890" s="1241"/>
      <c r="BH890" s="1241"/>
      <c r="BI890" s="1241"/>
      <c r="BJ890" s="1241"/>
      <c r="BK890" s="1241"/>
      <c r="BL890" s="1241"/>
      <c r="BM890" s="1241"/>
      <c r="BN890" s="1241"/>
      <c r="BO890" s="1241"/>
      <c r="BP890" s="1241"/>
      <c r="BQ890" s="1241"/>
      <c r="BR890" s="1241"/>
      <c r="BS890" s="1241"/>
      <c r="BT890" s="1241"/>
      <c r="BU890" s="1241"/>
      <c r="BV890" s="1241"/>
      <c r="BW890" s="1241"/>
      <c r="BX890" s="1241"/>
      <c r="BY890" s="1241"/>
      <c r="BZ890" s="1241"/>
      <c r="CA890" s="1241"/>
      <c r="CB890" s="1241"/>
      <c r="CC890" s="1241"/>
      <c r="CD890" s="1241"/>
      <c r="CE890" s="1241"/>
      <c r="CF890" s="1241"/>
      <c r="CG890" s="1241"/>
      <c r="CH890" s="1241"/>
      <c r="CI890" s="1241"/>
      <c r="CJ890" s="1241"/>
      <c r="CK890" s="1241"/>
      <c r="CL890" s="1241"/>
      <c r="CM890" s="1241"/>
      <c r="CN890" s="1241"/>
      <c r="CO890" s="1241"/>
      <c r="CP890" s="1241"/>
      <c r="CQ890" s="1241"/>
      <c r="CR890" s="1241"/>
      <c r="CS890" s="1241"/>
      <c r="CT890" s="1241"/>
      <c r="CU890" s="1241"/>
      <c r="CV890" s="1241"/>
      <c r="CW890" s="1241"/>
      <c r="CX890" s="1241"/>
      <c r="CY890" s="1241"/>
      <c r="CZ890" s="1241"/>
      <c r="DA890" s="1241"/>
      <c r="DB890" s="1241"/>
      <c r="DC890" s="1241"/>
      <c r="DD890" s="1241"/>
      <c r="DE890" s="1241"/>
      <c r="DF890" s="1241"/>
      <c r="DG890" s="1241"/>
      <c r="DH890" s="1241"/>
      <c r="DI890" s="1241"/>
      <c r="DJ890" s="1241"/>
      <c r="DK890" s="1241"/>
      <c r="DL890" s="1241"/>
      <c r="DM890" s="1241"/>
    </row>
    <row r="891" spans="1:117" s="1302" customFormat="1">
      <c r="A891" s="1241"/>
      <c r="B891" s="1490"/>
      <c r="C891" s="1241"/>
      <c r="D891" s="1459"/>
      <c r="E891" s="1460"/>
      <c r="F891" s="1540"/>
      <c r="G891" s="1473"/>
      <c r="H891" s="1473"/>
      <c r="I891" s="1473"/>
      <c r="J891" s="1473"/>
      <c r="K891" s="1473"/>
      <c r="L891" s="1473"/>
      <c r="M891" s="1473"/>
      <c r="N891" s="1473"/>
      <c r="O891" s="1473"/>
      <c r="P891" s="1241"/>
      <c r="Q891" s="1241"/>
      <c r="R891" s="1241"/>
      <c r="S891" s="1241"/>
      <c r="T891" s="1241"/>
      <c r="U891" s="1241"/>
      <c r="V891" s="1241"/>
      <c r="W891" s="1241"/>
      <c r="X891" s="1241"/>
      <c r="Y891" s="1241"/>
      <c r="Z891" s="1241"/>
      <c r="AA891" s="1241"/>
      <c r="AB891" s="1241"/>
      <c r="AC891" s="1241"/>
      <c r="AD891" s="1241"/>
      <c r="AE891" s="1241"/>
      <c r="AF891" s="1241"/>
      <c r="AG891" s="1241"/>
      <c r="AH891" s="1241"/>
      <c r="AI891" s="1241"/>
      <c r="AJ891" s="1241"/>
      <c r="AK891" s="1241"/>
      <c r="AL891" s="1241"/>
      <c r="AM891" s="1241"/>
      <c r="AN891" s="1241"/>
      <c r="AO891" s="1241"/>
      <c r="AP891" s="1241"/>
      <c r="AQ891" s="1241"/>
      <c r="AR891" s="1241"/>
      <c r="AS891" s="1241"/>
      <c r="AT891" s="1241"/>
      <c r="AU891" s="1241"/>
      <c r="AV891" s="1241"/>
      <c r="AW891" s="1241"/>
      <c r="AX891" s="1241"/>
      <c r="AY891" s="1241"/>
      <c r="AZ891" s="1241"/>
      <c r="BA891" s="1241"/>
      <c r="BB891" s="1241"/>
      <c r="BC891" s="1241"/>
      <c r="BD891" s="1241"/>
      <c r="BE891" s="1241"/>
      <c r="BF891" s="1241"/>
      <c r="BG891" s="1241"/>
      <c r="BH891" s="1241"/>
      <c r="BI891" s="1241"/>
      <c r="BJ891" s="1241"/>
      <c r="BK891" s="1241"/>
      <c r="BL891" s="1241"/>
      <c r="BM891" s="1241"/>
      <c r="BN891" s="1241"/>
      <c r="BO891" s="1241"/>
      <c r="BP891" s="1241"/>
      <c r="BQ891" s="1241"/>
      <c r="BR891" s="1241"/>
      <c r="BS891" s="1241"/>
      <c r="BT891" s="1241"/>
      <c r="BU891" s="1241"/>
      <c r="BV891" s="1241"/>
      <c r="BW891" s="1241"/>
      <c r="BX891" s="1241"/>
      <c r="BY891" s="1241"/>
      <c r="BZ891" s="1241"/>
      <c r="CA891" s="1241"/>
      <c r="CB891" s="1241"/>
      <c r="CC891" s="1241"/>
      <c r="CD891" s="1241"/>
      <c r="CE891" s="1241"/>
      <c r="CF891" s="1241"/>
      <c r="CG891" s="1241"/>
      <c r="CH891" s="1241"/>
      <c r="CI891" s="1241"/>
      <c r="CJ891" s="1241"/>
      <c r="CK891" s="1241"/>
      <c r="CL891" s="1241"/>
      <c r="CM891" s="1241"/>
      <c r="CN891" s="1241"/>
      <c r="CO891" s="1241"/>
      <c r="CP891" s="1241"/>
      <c r="CQ891" s="1241"/>
      <c r="CR891" s="1241"/>
      <c r="CS891" s="1241"/>
      <c r="CT891" s="1241"/>
      <c r="CU891" s="1241"/>
      <c r="CV891" s="1241"/>
      <c r="CW891" s="1241"/>
      <c r="CX891" s="1241"/>
      <c r="CY891" s="1241"/>
      <c r="CZ891" s="1241"/>
      <c r="DA891" s="1241"/>
      <c r="DB891" s="1241"/>
      <c r="DC891" s="1241"/>
      <c r="DD891" s="1241"/>
      <c r="DE891" s="1241"/>
      <c r="DF891" s="1241"/>
      <c r="DG891" s="1241"/>
      <c r="DH891" s="1241"/>
      <c r="DI891" s="1241"/>
      <c r="DJ891" s="1241"/>
      <c r="DK891" s="1241"/>
      <c r="DL891" s="1241"/>
      <c r="DM891" s="1241"/>
    </row>
    <row r="892" spans="1:117" s="1302" customFormat="1">
      <c r="A892" s="1241"/>
      <c r="B892" s="1459"/>
      <c r="C892" s="1241"/>
      <c r="D892" s="1459"/>
      <c r="E892" s="1460"/>
      <c r="F892" s="1540"/>
      <c r="G892" s="1473"/>
      <c r="H892" s="1473"/>
      <c r="I892" s="1473"/>
      <c r="J892" s="1473"/>
      <c r="K892" s="1473"/>
      <c r="L892" s="1473"/>
      <c r="M892" s="1473"/>
      <c r="N892" s="1473"/>
      <c r="O892" s="1473"/>
      <c r="P892" s="1241"/>
      <c r="Q892" s="1241"/>
      <c r="R892" s="1241"/>
      <c r="S892" s="1241"/>
      <c r="T892" s="1241"/>
      <c r="U892" s="1241"/>
      <c r="V892" s="1241"/>
      <c r="W892" s="1241"/>
      <c r="X892" s="1241"/>
      <c r="Y892" s="1241"/>
      <c r="Z892" s="1241"/>
      <c r="AA892" s="1241"/>
      <c r="AB892" s="1241"/>
      <c r="AC892" s="1241"/>
      <c r="AD892" s="1241"/>
      <c r="AE892" s="1241"/>
      <c r="AF892" s="1241"/>
      <c r="AG892" s="1241"/>
      <c r="AH892" s="1241"/>
      <c r="AI892" s="1241"/>
      <c r="AJ892" s="1241"/>
      <c r="AK892" s="1241"/>
      <c r="AL892" s="1241"/>
      <c r="AM892" s="1241"/>
      <c r="AN892" s="1241"/>
      <c r="AO892" s="1241"/>
      <c r="AP892" s="1241"/>
      <c r="AQ892" s="1241"/>
      <c r="AR892" s="1241"/>
      <c r="AS892" s="1241"/>
      <c r="AT892" s="1241"/>
      <c r="AU892" s="1241"/>
      <c r="AV892" s="1241"/>
      <c r="AW892" s="1241"/>
      <c r="AX892" s="1241"/>
      <c r="AY892" s="1241"/>
      <c r="AZ892" s="1241"/>
      <c r="BA892" s="1241"/>
      <c r="BB892" s="1241"/>
      <c r="BC892" s="1241"/>
      <c r="BD892" s="1241"/>
      <c r="BE892" s="1241"/>
      <c r="BF892" s="1241"/>
      <c r="BG892" s="1241"/>
      <c r="BH892" s="1241"/>
      <c r="BI892" s="1241"/>
      <c r="BJ892" s="1241"/>
      <c r="BK892" s="1241"/>
      <c r="BL892" s="1241"/>
      <c r="BM892" s="1241"/>
      <c r="BN892" s="1241"/>
      <c r="BO892" s="1241"/>
      <c r="BP892" s="1241"/>
      <c r="BQ892" s="1241"/>
      <c r="BR892" s="1241"/>
      <c r="BS892" s="1241"/>
      <c r="BT892" s="1241"/>
      <c r="BU892" s="1241"/>
      <c r="BV892" s="1241"/>
      <c r="BW892" s="1241"/>
      <c r="BX892" s="1241"/>
      <c r="BY892" s="1241"/>
      <c r="BZ892" s="1241"/>
      <c r="CA892" s="1241"/>
      <c r="CB892" s="1241"/>
      <c r="CC892" s="1241"/>
      <c r="CD892" s="1241"/>
      <c r="CE892" s="1241"/>
      <c r="CF892" s="1241"/>
      <c r="CG892" s="1241"/>
      <c r="CH892" s="1241"/>
      <c r="CI892" s="1241"/>
      <c r="CJ892" s="1241"/>
      <c r="CK892" s="1241"/>
      <c r="CL892" s="1241"/>
      <c r="CM892" s="1241"/>
      <c r="CN892" s="1241"/>
      <c r="CO892" s="1241"/>
      <c r="CP892" s="1241"/>
      <c r="CQ892" s="1241"/>
      <c r="CR892" s="1241"/>
      <c r="CS892" s="1241"/>
      <c r="CT892" s="1241"/>
      <c r="CU892" s="1241"/>
      <c r="CV892" s="1241"/>
      <c r="CW892" s="1241"/>
      <c r="CX892" s="1241"/>
      <c r="CY892" s="1241"/>
      <c r="CZ892" s="1241"/>
      <c r="DA892" s="1241"/>
      <c r="DB892" s="1241"/>
      <c r="DC892" s="1241"/>
      <c r="DD892" s="1241"/>
      <c r="DE892" s="1241"/>
      <c r="DF892" s="1241"/>
      <c r="DG892" s="1241"/>
      <c r="DH892" s="1241"/>
      <c r="DI892" s="1241"/>
      <c r="DJ892" s="1241"/>
      <c r="DK892" s="1241"/>
      <c r="DL892" s="1241"/>
      <c r="DM892" s="1241"/>
    </row>
    <row r="893" spans="1:117" s="1302" customFormat="1">
      <c r="A893" s="1459" t="s">
        <v>4279</v>
      </c>
      <c r="B893" s="1459"/>
      <c r="C893" s="1466" t="s">
        <v>4280</v>
      </c>
      <c r="D893" s="1459"/>
      <c r="E893" s="1460"/>
      <c r="F893" s="1540"/>
      <c r="G893" s="1473"/>
      <c r="H893" s="1473"/>
      <c r="I893" s="1473"/>
      <c r="J893" s="1473"/>
      <c r="K893" s="1473"/>
      <c r="L893" s="1473"/>
      <c r="M893" s="1473"/>
      <c r="N893" s="1473"/>
      <c r="O893" s="1473"/>
      <c r="P893" s="1241"/>
      <c r="Q893" s="1241"/>
      <c r="R893" s="1241"/>
      <c r="S893" s="1241"/>
      <c r="T893" s="1241"/>
      <c r="U893" s="1241"/>
      <c r="V893" s="1241"/>
      <c r="W893" s="1241"/>
      <c r="X893" s="1241"/>
      <c r="Y893" s="1241"/>
      <c r="Z893" s="1241"/>
      <c r="AA893" s="1241"/>
      <c r="AB893" s="1241"/>
      <c r="AC893" s="1241"/>
      <c r="AD893" s="1241"/>
      <c r="AE893" s="1241"/>
      <c r="AF893" s="1241"/>
      <c r="AG893" s="1241"/>
      <c r="AH893" s="1241"/>
      <c r="AI893" s="1241"/>
      <c r="AJ893" s="1241"/>
      <c r="AK893" s="1241"/>
      <c r="AL893" s="1241"/>
      <c r="AM893" s="1241"/>
      <c r="AN893" s="1241"/>
      <c r="AO893" s="1241"/>
      <c r="AP893" s="1241"/>
      <c r="AQ893" s="1241"/>
      <c r="AR893" s="1241"/>
      <c r="AS893" s="1241"/>
      <c r="AT893" s="1241"/>
      <c r="AU893" s="1241"/>
      <c r="AV893" s="1241"/>
      <c r="AW893" s="1241"/>
      <c r="AX893" s="1241"/>
      <c r="AY893" s="1241"/>
      <c r="AZ893" s="1241"/>
      <c r="BA893" s="1241"/>
      <c r="BB893" s="1241"/>
      <c r="BC893" s="1241"/>
      <c r="BD893" s="1241"/>
      <c r="BE893" s="1241"/>
      <c r="BF893" s="1241"/>
      <c r="BG893" s="1241"/>
      <c r="BH893" s="1241"/>
      <c r="BI893" s="1241"/>
      <c r="BJ893" s="1241"/>
      <c r="BK893" s="1241"/>
      <c r="BL893" s="1241"/>
      <c r="BM893" s="1241"/>
      <c r="BN893" s="1241"/>
      <c r="BO893" s="1241"/>
      <c r="BP893" s="1241"/>
      <c r="BQ893" s="1241"/>
      <c r="BR893" s="1241"/>
      <c r="BS893" s="1241"/>
      <c r="BT893" s="1241"/>
      <c r="BU893" s="1241"/>
      <c r="BV893" s="1241"/>
      <c r="BW893" s="1241"/>
      <c r="BX893" s="1241"/>
      <c r="BY893" s="1241"/>
      <c r="BZ893" s="1241"/>
      <c r="CA893" s="1241"/>
      <c r="CB893" s="1241"/>
      <c r="CC893" s="1241"/>
      <c r="CD893" s="1241"/>
      <c r="CE893" s="1241"/>
      <c r="CF893" s="1241"/>
      <c r="CG893" s="1241"/>
      <c r="CH893" s="1241"/>
      <c r="CI893" s="1241"/>
      <c r="CJ893" s="1241"/>
      <c r="CK893" s="1241"/>
      <c r="CL893" s="1241"/>
      <c r="CM893" s="1241"/>
      <c r="CN893" s="1241"/>
      <c r="CO893" s="1241"/>
      <c r="CP893" s="1241"/>
      <c r="CQ893" s="1241"/>
      <c r="CR893" s="1241"/>
      <c r="CS893" s="1241"/>
      <c r="CT893" s="1241"/>
      <c r="CU893" s="1241"/>
      <c r="CV893" s="1241"/>
      <c r="CW893" s="1241"/>
      <c r="CX893" s="1241"/>
      <c r="CY893" s="1241"/>
      <c r="CZ893" s="1241"/>
      <c r="DA893" s="1241"/>
      <c r="DB893" s="1241"/>
      <c r="DC893" s="1241"/>
      <c r="DD893" s="1241"/>
      <c r="DE893" s="1241"/>
      <c r="DF893" s="1241"/>
      <c r="DG893" s="1241"/>
      <c r="DH893" s="1241"/>
      <c r="DI893" s="1241"/>
      <c r="DJ893" s="1241"/>
      <c r="DK893" s="1241"/>
      <c r="DL893" s="1241"/>
      <c r="DM893" s="1241"/>
    </row>
    <row r="894" spans="1:117" s="1302" customFormat="1">
      <c r="A894" s="1241"/>
      <c r="B894" s="1508" t="s">
        <v>4032</v>
      </c>
      <c r="C894" s="1241" t="s">
        <v>4033</v>
      </c>
      <c r="D894" s="1241"/>
      <c r="E894" s="1509" t="s">
        <v>420</v>
      </c>
      <c r="F894" s="1529"/>
      <c r="G894" s="1471">
        <v>0</v>
      </c>
      <c r="H894" s="1471">
        <v>7.5420912292166866</v>
      </c>
      <c r="I894" s="1471">
        <v>8.3799391941866155</v>
      </c>
      <c r="J894" s="1471">
        <v>12.208484070230929</v>
      </c>
      <c r="K894" s="1471">
        <v>17.131986510625634</v>
      </c>
      <c r="L894" s="1471">
        <v>21.138768926955571</v>
      </c>
      <c r="M894" s="1471">
        <v>25.16075614846817</v>
      </c>
      <c r="N894" s="1471">
        <v>28.530369181343982</v>
      </c>
      <c r="O894" s="1471">
        <v>15.247208177208591</v>
      </c>
      <c r="P894" s="1241"/>
      <c r="Q894" s="1241"/>
      <c r="R894" s="1241"/>
      <c r="S894" s="1241"/>
      <c r="T894" s="1241"/>
      <c r="U894" s="1241"/>
      <c r="V894" s="1241"/>
      <c r="W894" s="1241"/>
      <c r="X894" s="1241"/>
      <c r="Y894" s="1241"/>
      <c r="Z894" s="1241"/>
      <c r="AA894" s="1241"/>
      <c r="AB894" s="1241"/>
      <c r="AC894" s="1241"/>
      <c r="AD894" s="1241"/>
      <c r="AE894" s="1241"/>
      <c r="AF894" s="1241"/>
      <c r="AG894" s="1241"/>
      <c r="AH894" s="1241"/>
      <c r="AI894" s="1241"/>
      <c r="AJ894" s="1241"/>
      <c r="AK894" s="1241"/>
      <c r="AL894" s="1241"/>
      <c r="AM894" s="1241"/>
      <c r="AN894" s="1241"/>
      <c r="AO894" s="1241"/>
      <c r="AP894" s="1241"/>
      <c r="AQ894" s="1241"/>
      <c r="AR894" s="1241"/>
      <c r="AS894" s="1241"/>
      <c r="AT894" s="1241"/>
      <c r="AU894" s="1241"/>
      <c r="AV894" s="1241"/>
      <c r="AW894" s="1241"/>
      <c r="AX894" s="1241"/>
      <c r="AY894" s="1241"/>
      <c r="AZ894" s="1241"/>
      <c r="BA894" s="1241"/>
      <c r="BB894" s="1241"/>
      <c r="BC894" s="1241"/>
      <c r="BD894" s="1241"/>
      <c r="BE894" s="1241"/>
      <c r="BF894" s="1241"/>
      <c r="BG894" s="1241"/>
      <c r="BH894" s="1241"/>
      <c r="BI894" s="1241"/>
      <c r="BJ894" s="1241"/>
      <c r="BK894" s="1241"/>
      <c r="BL894" s="1241"/>
      <c r="BM894" s="1241"/>
      <c r="BN894" s="1241"/>
      <c r="BO894" s="1241"/>
      <c r="BP894" s="1241"/>
      <c r="BQ894" s="1241"/>
      <c r="BR894" s="1241"/>
      <c r="BS894" s="1241"/>
      <c r="BT894" s="1241"/>
      <c r="BU894" s="1241"/>
      <c r="BV894" s="1241"/>
      <c r="BW894" s="1241"/>
      <c r="BX894" s="1241"/>
      <c r="BY894" s="1241"/>
      <c r="BZ894" s="1241"/>
      <c r="CA894" s="1241"/>
      <c r="CB894" s="1241"/>
      <c r="CC894" s="1241"/>
      <c r="CD894" s="1241"/>
      <c r="CE894" s="1241"/>
      <c r="CF894" s="1241"/>
      <c r="CG894" s="1241"/>
      <c r="CH894" s="1241"/>
      <c r="CI894" s="1241"/>
      <c r="CJ894" s="1241"/>
      <c r="CK894" s="1241"/>
      <c r="CL894" s="1241"/>
      <c r="CM894" s="1241"/>
      <c r="CN894" s="1241"/>
      <c r="CO894" s="1241"/>
      <c r="CP894" s="1241"/>
      <c r="CQ894" s="1241"/>
      <c r="CR894" s="1241"/>
      <c r="CS894" s="1241"/>
      <c r="CT894" s="1241"/>
      <c r="CU894" s="1241"/>
      <c r="CV894" s="1241"/>
      <c r="CW894" s="1241"/>
      <c r="CX894" s="1241"/>
      <c r="CY894" s="1241"/>
      <c r="CZ894" s="1241"/>
      <c r="DA894" s="1241"/>
      <c r="DB894" s="1241"/>
      <c r="DC894" s="1241"/>
      <c r="DD894" s="1241"/>
      <c r="DE894" s="1241"/>
      <c r="DF894" s="1241"/>
      <c r="DG894" s="1241"/>
      <c r="DH894" s="1241"/>
      <c r="DI894" s="1241"/>
      <c r="DJ894" s="1241"/>
      <c r="DK894" s="1241"/>
      <c r="DL894" s="1241"/>
      <c r="DM894" s="1241"/>
    </row>
    <row r="895" spans="1:117" s="1302" customFormat="1">
      <c r="A895" s="1241"/>
      <c r="B895" s="1508" t="s">
        <v>3997</v>
      </c>
      <c r="C895" s="1241" t="s">
        <v>3998</v>
      </c>
      <c r="D895" s="1241"/>
      <c r="E895" s="1509" t="s">
        <v>420</v>
      </c>
      <c r="F895" s="1529"/>
      <c r="G895" s="1471">
        <v>0</v>
      </c>
      <c r="H895" s="1471">
        <v>48.443432126122559</v>
      </c>
      <c r="I895" s="1471">
        <v>53.029671548564032</v>
      </c>
      <c r="J895" s="1471">
        <v>74.110515491536077</v>
      </c>
      <c r="K895" s="1471">
        <v>99.509430448317943</v>
      </c>
      <c r="L895" s="1471">
        <v>117.53155523387295</v>
      </c>
      <c r="M895" s="1471">
        <v>133.96032460262276</v>
      </c>
      <c r="N895" s="1471">
        <v>145.50488282485429</v>
      </c>
      <c r="O895" s="1471">
        <v>90.134014981155161</v>
      </c>
      <c r="P895" s="1241"/>
      <c r="Q895" s="1241"/>
      <c r="R895" s="1241"/>
      <c r="S895" s="1241"/>
      <c r="T895" s="1241"/>
      <c r="U895" s="1241"/>
      <c r="V895" s="1241"/>
      <c r="W895" s="1241"/>
      <c r="X895" s="1241"/>
      <c r="Y895" s="1241"/>
      <c r="Z895" s="1241"/>
      <c r="AA895" s="1241"/>
      <c r="AB895" s="1241"/>
      <c r="AC895" s="1241"/>
      <c r="AD895" s="1241"/>
      <c r="AE895" s="1241"/>
      <c r="AF895" s="1241"/>
      <c r="AG895" s="1241"/>
      <c r="AH895" s="1241"/>
      <c r="AI895" s="1241"/>
      <c r="AJ895" s="1241"/>
      <c r="AK895" s="1241"/>
      <c r="AL895" s="1241"/>
      <c r="AM895" s="1241"/>
      <c r="AN895" s="1241"/>
      <c r="AO895" s="1241"/>
      <c r="AP895" s="1241"/>
      <c r="AQ895" s="1241"/>
      <c r="AR895" s="1241"/>
      <c r="AS895" s="1241"/>
      <c r="AT895" s="1241"/>
      <c r="AU895" s="1241"/>
      <c r="AV895" s="1241"/>
      <c r="AW895" s="1241"/>
      <c r="AX895" s="1241"/>
      <c r="AY895" s="1241"/>
      <c r="AZ895" s="1241"/>
      <c r="BA895" s="1241"/>
      <c r="BB895" s="1241"/>
      <c r="BC895" s="1241"/>
      <c r="BD895" s="1241"/>
      <c r="BE895" s="1241"/>
      <c r="BF895" s="1241"/>
      <c r="BG895" s="1241"/>
      <c r="BH895" s="1241"/>
      <c r="BI895" s="1241"/>
      <c r="BJ895" s="1241"/>
      <c r="BK895" s="1241"/>
      <c r="BL895" s="1241"/>
      <c r="BM895" s="1241"/>
      <c r="BN895" s="1241"/>
      <c r="BO895" s="1241"/>
      <c r="BP895" s="1241"/>
      <c r="BQ895" s="1241"/>
      <c r="BR895" s="1241"/>
      <c r="BS895" s="1241"/>
      <c r="BT895" s="1241"/>
      <c r="BU895" s="1241"/>
      <c r="BV895" s="1241"/>
      <c r="BW895" s="1241"/>
      <c r="BX895" s="1241"/>
      <c r="BY895" s="1241"/>
      <c r="BZ895" s="1241"/>
      <c r="CA895" s="1241"/>
      <c r="CB895" s="1241"/>
      <c r="CC895" s="1241"/>
      <c r="CD895" s="1241"/>
      <c r="CE895" s="1241"/>
      <c r="CF895" s="1241"/>
      <c r="CG895" s="1241"/>
      <c r="CH895" s="1241"/>
      <c r="CI895" s="1241"/>
      <c r="CJ895" s="1241"/>
      <c r="CK895" s="1241"/>
      <c r="CL895" s="1241"/>
      <c r="CM895" s="1241"/>
      <c r="CN895" s="1241"/>
      <c r="CO895" s="1241"/>
      <c r="CP895" s="1241"/>
      <c r="CQ895" s="1241"/>
      <c r="CR895" s="1241"/>
      <c r="CS895" s="1241"/>
      <c r="CT895" s="1241"/>
      <c r="CU895" s="1241"/>
      <c r="CV895" s="1241"/>
      <c r="CW895" s="1241"/>
      <c r="CX895" s="1241"/>
      <c r="CY895" s="1241"/>
      <c r="CZ895" s="1241"/>
      <c r="DA895" s="1241"/>
      <c r="DB895" s="1241"/>
      <c r="DC895" s="1241"/>
      <c r="DD895" s="1241"/>
      <c r="DE895" s="1241"/>
      <c r="DF895" s="1241"/>
      <c r="DG895" s="1241"/>
      <c r="DH895" s="1241"/>
      <c r="DI895" s="1241"/>
      <c r="DJ895" s="1241"/>
      <c r="DK895" s="1241"/>
      <c r="DL895" s="1241"/>
      <c r="DM895" s="1241"/>
    </row>
    <row r="896" spans="1:117" s="1302" customFormat="1">
      <c r="A896" s="1241"/>
      <c r="B896" s="1508" t="s">
        <v>3999</v>
      </c>
      <c r="C896" s="1241" t="s">
        <v>4000</v>
      </c>
      <c r="D896" s="1241"/>
      <c r="E896" s="1509" t="s">
        <v>420</v>
      </c>
      <c r="F896" s="1529"/>
      <c r="G896" s="1471">
        <v>0</v>
      </c>
      <c r="H896" s="1471">
        <v>0.87024129567884845</v>
      </c>
      <c r="I896" s="1471">
        <v>0.95602123201283917</v>
      </c>
      <c r="J896" s="1471">
        <v>1.354640013272199</v>
      </c>
      <c r="K896" s="1471">
        <v>1.8502545431475683</v>
      </c>
      <c r="L896" s="1471">
        <v>2.2236886793290922</v>
      </c>
      <c r="M896" s="1471">
        <v>2.5797737316783822</v>
      </c>
      <c r="N896" s="1471">
        <v>2.8530369181343982</v>
      </c>
      <c r="O896" s="1471">
        <v>1.6644526446818004</v>
      </c>
      <c r="P896" s="1241"/>
      <c r="Q896" s="1241"/>
      <c r="R896" s="1241"/>
      <c r="S896" s="1241"/>
      <c r="T896" s="1241"/>
      <c r="U896" s="1241"/>
      <c r="V896" s="1241"/>
      <c r="W896" s="1241"/>
      <c r="X896" s="1241"/>
      <c r="Y896" s="1241"/>
      <c r="Z896" s="1241"/>
      <c r="AA896" s="1241"/>
      <c r="AB896" s="1241"/>
      <c r="AC896" s="1241"/>
      <c r="AD896" s="1241"/>
      <c r="AE896" s="1241"/>
      <c r="AF896" s="1241"/>
      <c r="AG896" s="1241"/>
      <c r="AH896" s="1241"/>
      <c r="AI896" s="1241"/>
      <c r="AJ896" s="1241"/>
      <c r="AK896" s="1241"/>
      <c r="AL896" s="1241"/>
      <c r="AM896" s="1241"/>
      <c r="AN896" s="1241"/>
      <c r="AO896" s="1241"/>
      <c r="AP896" s="1241"/>
      <c r="AQ896" s="1241"/>
      <c r="AR896" s="1241"/>
      <c r="AS896" s="1241"/>
      <c r="AT896" s="1241"/>
      <c r="AU896" s="1241"/>
      <c r="AV896" s="1241"/>
      <c r="AW896" s="1241"/>
      <c r="AX896" s="1241"/>
      <c r="AY896" s="1241"/>
      <c r="AZ896" s="1241"/>
      <c r="BA896" s="1241"/>
      <c r="BB896" s="1241"/>
      <c r="BC896" s="1241"/>
      <c r="BD896" s="1241"/>
      <c r="BE896" s="1241"/>
      <c r="BF896" s="1241"/>
      <c r="BG896" s="1241"/>
      <c r="BH896" s="1241"/>
      <c r="BI896" s="1241"/>
      <c r="BJ896" s="1241"/>
      <c r="BK896" s="1241"/>
      <c r="BL896" s="1241"/>
      <c r="BM896" s="1241"/>
      <c r="BN896" s="1241"/>
      <c r="BO896" s="1241"/>
      <c r="BP896" s="1241"/>
      <c r="BQ896" s="1241"/>
      <c r="BR896" s="1241"/>
      <c r="BS896" s="1241"/>
      <c r="BT896" s="1241"/>
      <c r="BU896" s="1241"/>
      <c r="BV896" s="1241"/>
      <c r="BW896" s="1241"/>
      <c r="BX896" s="1241"/>
      <c r="BY896" s="1241"/>
      <c r="BZ896" s="1241"/>
      <c r="CA896" s="1241"/>
      <c r="CB896" s="1241"/>
      <c r="CC896" s="1241"/>
      <c r="CD896" s="1241"/>
      <c r="CE896" s="1241"/>
      <c r="CF896" s="1241"/>
      <c r="CG896" s="1241"/>
      <c r="CH896" s="1241"/>
      <c r="CI896" s="1241"/>
      <c r="CJ896" s="1241"/>
      <c r="CK896" s="1241"/>
      <c r="CL896" s="1241"/>
      <c r="CM896" s="1241"/>
      <c r="CN896" s="1241"/>
      <c r="CO896" s="1241"/>
      <c r="CP896" s="1241"/>
      <c r="CQ896" s="1241"/>
      <c r="CR896" s="1241"/>
      <c r="CS896" s="1241"/>
      <c r="CT896" s="1241"/>
      <c r="CU896" s="1241"/>
      <c r="CV896" s="1241"/>
      <c r="CW896" s="1241"/>
      <c r="CX896" s="1241"/>
      <c r="CY896" s="1241"/>
      <c r="CZ896" s="1241"/>
      <c r="DA896" s="1241"/>
      <c r="DB896" s="1241"/>
      <c r="DC896" s="1241"/>
      <c r="DD896" s="1241"/>
      <c r="DE896" s="1241"/>
      <c r="DF896" s="1241"/>
      <c r="DG896" s="1241"/>
      <c r="DH896" s="1241"/>
      <c r="DI896" s="1241"/>
      <c r="DJ896" s="1241"/>
      <c r="DK896" s="1241"/>
      <c r="DL896" s="1241"/>
      <c r="DM896" s="1241"/>
    </row>
    <row r="897" spans="1:117" s="1302" customFormat="1">
      <c r="A897" s="1241"/>
      <c r="B897" s="1508" t="s">
        <v>4001</v>
      </c>
      <c r="C897" s="1241" t="s">
        <v>4002</v>
      </c>
      <c r="D897" s="1241"/>
      <c r="E897" s="1509" t="s">
        <v>420</v>
      </c>
      <c r="F897" s="1529"/>
      <c r="G897" s="1471">
        <v>0</v>
      </c>
      <c r="H897" s="1471">
        <v>1.1603217275717979</v>
      </c>
      <c r="I897" s="1471">
        <v>1.3691168260924611</v>
      </c>
      <c r="J897" s="1471">
        <v>2.2744573062348032</v>
      </c>
      <c r="K897" s="1471">
        <v>3.5634531942101315</v>
      </c>
      <c r="L897" s="1471">
        <v>4.8317186118755577</v>
      </c>
      <c r="M897" s="1471">
        <v>6.2424154494933699</v>
      </c>
      <c r="N897" s="1471">
        <v>7.6080984483583949</v>
      </c>
      <c r="O897" s="1471">
        <v>3.0412221162087221</v>
      </c>
      <c r="P897" s="1241"/>
      <c r="Q897" s="1241"/>
      <c r="R897" s="1241"/>
      <c r="S897" s="1241"/>
      <c r="T897" s="1241"/>
      <c r="U897" s="1241"/>
      <c r="V897" s="1241"/>
      <c r="W897" s="1241"/>
      <c r="X897" s="1241"/>
      <c r="Y897" s="1241"/>
      <c r="Z897" s="1241"/>
      <c r="AA897" s="1241"/>
      <c r="AB897" s="1241"/>
      <c r="AC897" s="1241"/>
      <c r="AD897" s="1241"/>
      <c r="AE897" s="1241"/>
      <c r="AF897" s="1241"/>
      <c r="AG897" s="1241"/>
      <c r="AH897" s="1241"/>
      <c r="AI897" s="1241"/>
      <c r="AJ897" s="1241"/>
      <c r="AK897" s="1241"/>
      <c r="AL897" s="1241"/>
      <c r="AM897" s="1241"/>
      <c r="AN897" s="1241"/>
      <c r="AO897" s="1241"/>
      <c r="AP897" s="1241"/>
      <c r="AQ897" s="1241"/>
      <c r="AR897" s="1241"/>
      <c r="AS897" s="1241"/>
      <c r="AT897" s="1241"/>
      <c r="AU897" s="1241"/>
      <c r="AV897" s="1241"/>
      <c r="AW897" s="1241"/>
      <c r="AX897" s="1241"/>
      <c r="AY897" s="1241"/>
      <c r="AZ897" s="1241"/>
      <c r="BA897" s="1241"/>
      <c r="BB897" s="1241"/>
      <c r="BC897" s="1241"/>
      <c r="BD897" s="1241"/>
      <c r="BE897" s="1241"/>
      <c r="BF897" s="1241"/>
      <c r="BG897" s="1241"/>
      <c r="BH897" s="1241"/>
      <c r="BI897" s="1241"/>
      <c r="BJ897" s="1241"/>
      <c r="BK897" s="1241"/>
      <c r="BL897" s="1241"/>
      <c r="BM897" s="1241"/>
      <c r="BN897" s="1241"/>
      <c r="BO897" s="1241"/>
      <c r="BP897" s="1241"/>
      <c r="BQ897" s="1241"/>
      <c r="BR897" s="1241"/>
      <c r="BS897" s="1241"/>
      <c r="BT897" s="1241"/>
      <c r="BU897" s="1241"/>
      <c r="BV897" s="1241"/>
      <c r="BW897" s="1241"/>
      <c r="BX897" s="1241"/>
      <c r="BY897" s="1241"/>
      <c r="BZ897" s="1241"/>
      <c r="CA897" s="1241"/>
      <c r="CB897" s="1241"/>
      <c r="CC897" s="1241"/>
      <c r="CD897" s="1241"/>
      <c r="CE897" s="1241"/>
      <c r="CF897" s="1241"/>
      <c r="CG897" s="1241"/>
      <c r="CH897" s="1241"/>
      <c r="CI897" s="1241"/>
      <c r="CJ897" s="1241"/>
      <c r="CK897" s="1241"/>
      <c r="CL897" s="1241"/>
      <c r="CM897" s="1241"/>
      <c r="CN897" s="1241"/>
      <c r="CO897" s="1241"/>
      <c r="CP897" s="1241"/>
      <c r="CQ897" s="1241"/>
      <c r="CR897" s="1241"/>
      <c r="CS897" s="1241"/>
      <c r="CT897" s="1241"/>
      <c r="CU897" s="1241"/>
      <c r="CV897" s="1241"/>
      <c r="CW897" s="1241"/>
      <c r="CX897" s="1241"/>
      <c r="CY897" s="1241"/>
      <c r="CZ897" s="1241"/>
      <c r="DA897" s="1241"/>
      <c r="DB897" s="1241"/>
      <c r="DC897" s="1241"/>
      <c r="DD897" s="1241"/>
      <c r="DE897" s="1241"/>
      <c r="DF897" s="1241"/>
      <c r="DG897" s="1241"/>
      <c r="DH897" s="1241"/>
      <c r="DI897" s="1241"/>
      <c r="DJ897" s="1241"/>
      <c r="DK897" s="1241"/>
      <c r="DL897" s="1241"/>
      <c r="DM897" s="1241"/>
    </row>
    <row r="898" spans="1:117" s="1302" customFormat="1">
      <c r="A898" s="1241"/>
      <c r="B898" s="1508" t="s">
        <v>4011</v>
      </c>
      <c r="C898" s="1241" t="s">
        <v>4012</v>
      </c>
      <c r="D898" s="1241"/>
      <c r="E898" s="1509" t="s">
        <v>420</v>
      </c>
      <c r="F898" s="1529"/>
      <c r="G898" s="1471">
        <v>0</v>
      </c>
      <c r="H898" s="1471">
        <v>0</v>
      </c>
      <c r="I898" s="1471">
        <v>0</v>
      </c>
      <c r="J898" s="1471">
        <v>0</v>
      </c>
      <c r="K898" s="1471">
        <v>0</v>
      </c>
      <c r="L898" s="1471">
        <v>0</v>
      </c>
      <c r="M898" s="1471">
        <v>0</v>
      </c>
      <c r="N898" s="1471">
        <v>0</v>
      </c>
      <c r="O898" s="1471">
        <v>0</v>
      </c>
      <c r="P898" s="1241"/>
      <c r="Q898" s="1241"/>
      <c r="R898" s="1241"/>
      <c r="S898" s="1241"/>
      <c r="T898" s="1241"/>
      <c r="U898" s="1241"/>
      <c r="V898" s="1241"/>
      <c r="W898" s="1241"/>
      <c r="X898" s="1241"/>
      <c r="Y898" s="1241"/>
      <c r="Z898" s="1241"/>
      <c r="AA898" s="1241"/>
      <c r="AB898" s="1241"/>
      <c r="AC898" s="1241"/>
      <c r="AD898" s="1241"/>
      <c r="AE898" s="1241"/>
      <c r="AF898" s="1241"/>
      <c r="AG898" s="1241"/>
      <c r="AH898" s="1241"/>
      <c r="AI898" s="1241"/>
      <c r="AJ898" s="1241"/>
      <c r="AK898" s="1241"/>
      <c r="AL898" s="1241"/>
      <c r="AM898" s="1241"/>
      <c r="AN898" s="1241"/>
      <c r="AO898" s="1241"/>
      <c r="AP898" s="1241"/>
      <c r="AQ898" s="1241"/>
      <c r="AR898" s="1241"/>
      <c r="AS898" s="1241"/>
      <c r="AT898" s="1241"/>
      <c r="AU898" s="1241"/>
      <c r="AV898" s="1241"/>
      <c r="AW898" s="1241"/>
      <c r="AX898" s="1241"/>
      <c r="AY898" s="1241"/>
      <c r="AZ898" s="1241"/>
      <c r="BA898" s="1241"/>
      <c r="BB898" s="1241"/>
      <c r="BC898" s="1241"/>
      <c r="BD898" s="1241"/>
      <c r="BE898" s="1241"/>
      <c r="BF898" s="1241"/>
      <c r="BG898" s="1241"/>
      <c r="BH898" s="1241"/>
      <c r="BI898" s="1241"/>
      <c r="BJ898" s="1241"/>
      <c r="BK898" s="1241"/>
      <c r="BL898" s="1241"/>
      <c r="BM898" s="1241"/>
      <c r="BN898" s="1241"/>
      <c r="BO898" s="1241"/>
      <c r="BP898" s="1241"/>
      <c r="BQ898" s="1241"/>
      <c r="BR898" s="1241"/>
      <c r="BS898" s="1241"/>
      <c r="BT898" s="1241"/>
      <c r="BU898" s="1241"/>
      <c r="BV898" s="1241"/>
      <c r="BW898" s="1241"/>
      <c r="BX898" s="1241"/>
      <c r="BY898" s="1241"/>
      <c r="BZ898" s="1241"/>
      <c r="CA898" s="1241"/>
      <c r="CB898" s="1241"/>
      <c r="CC898" s="1241"/>
      <c r="CD898" s="1241"/>
      <c r="CE898" s="1241"/>
      <c r="CF898" s="1241"/>
      <c r="CG898" s="1241"/>
      <c r="CH898" s="1241"/>
      <c r="CI898" s="1241"/>
      <c r="CJ898" s="1241"/>
      <c r="CK898" s="1241"/>
      <c r="CL898" s="1241"/>
      <c r="CM898" s="1241"/>
      <c r="CN898" s="1241"/>
      <c r="CO898" s="1241"/>
      <c r="CP898" s="1241"/>
      <c r="CQ898" s="1241"/>
      <c r="CR898" s="1241"/>
      <c r="CS898" s="1241"/>
      <c r="CT898" s="1241"/>
      <c r="CU898" s="1241"/>
      <c r="CV898" s="1241"/>
      <c r="CW898" s="1241"/>
      <c r="CX898" s="1241"/>
      <c r="CY898" s="1241"/>
      <c r="CZ898" s="1241"/>
      <c r="DA898" s="1241"/>
      <c r="DB898" s="1241"/>
      <c r="DC898" s="1241"/>
      <c r="DD898" s="1241"/>
      <c r="DE898" s="1241"/>
      <c r="DF898" s="1241"/>
      <c r="DG898" s="1241"/>
      <c r="DH898" s="1241"/>
      <c r="DI898" s="1241"/>
      <c r="DJ898" s="1241"/>
      <c r="DK898" s="1241"/>
      <c r="DL898" s="1241"/>
      <c r="DM898" s="1241"/>
    </row>
    <row r="899" spans="1:117" s="1302" customFormat="1">
      <c r="A899" s="1241"/>
      <c r="B899" s="1508" t="s">
        <v>4025</v>
      </c>
      <c r="C899" s="1241" t="s">
        <v>4026</v>
      </c>
      <c r="D899" s="1241"/>
      <c r="E899" s="1509" t="s">
        <v>420</v>
      </c>
      <c r="F899" s="1529"/>
      <c r="G899" s="1471">
        <v>0</v>
      </c>
      <c r="H899" s="1471">
        <v>0</v>
      </c>
      <c r="I899" s="1471">
        <v>0</v>
      </c>
      <c r="J899" s="1471">
        <v>0.36123733687258641</v>
      </c>
      <c r="K899" s="1471">
        <v>1.2951781802032978</v>
      </c>
      <c r="L899" s="1471">
        <v>2.5201805032396383</v>
      </c>
      <c r="M899" s="1471">
        <v>4.0416455129627993</v>
      </c>
      <c r="N899" s="1471">
        <v>5.7060738362687964</v>
      </c>
      <c r="O899" s="1471">
        <v>0.87661172619908168</v>
      </c>
      <c r="P899" s="1241"/>
      <c r="Q899" s="1241"/>
      <c r="R899" s="1241"/>
      <c r="S899" s="1241"/>
      <c r="T899" s="1241"/>
      <c r="U899" s="1241"/>
      <c r="V899" s="1241"/>
      <c r="W899" s="1241"/>
      <c r="X899" s="1241"/>
      <c r="Y899" s="1241"/>
      <c r="Z899" s="1241"/>
      <c r="AA899" s="1241"/>
      <c r="AB899" s="1241"/>
      <c r="AC899" s="1241"/>
      <c r="AD899" s="1241"/>
      <c r="AE899" s="1241"/>
      <c r="AF899" s="1241"/>
      <c r="AG899" s="1241"/>
      <c r="AH899" s="1241"/>
      <c r="AI899" s="1241"/>
      <c r="AJ899" s="1241"/>
      <c r="AK899" s="1241"/>
      <c r="AL899" s="1241"/>
      <c r="AM899" s="1241"/>
      <c r="AN899" s="1241"/>
      <c r="AO899" s="1241"/>
      <c r="AP899" s="1241"/>
      <c r="AQ899" s="1241"/>
      <c r="AR899" s="1241"/>
      <c r="AS899" s="1241"/>
      <c r="AT899" s="1241"/>
      <c r="AU899" s="1241"/>
      <c r="AV899" s="1241"/>
      <c r="AW899" s="1241"/>
      <c r="AX899" s="1241"/>
      <c r="AY899" s="1241"/>
      <c r="AZ899" s="1241"/>
      <c r="BA899" s="1241"/>
      <c r="BB899" s="1241"/>
      <c r="BC899" s="1241"/>
      <c r="BD899" s="1241"/>
      <c r="BE899" s="1241"/>
      <c r="BF899" s="1241"/>
      <c r="BG899" s="1241"/>
      <c r="BH899" s="1241"/>
      <c r="BI899" s="1241"/>
      <c r="BJ899" s="1241"/>
      <c r="BK899" s="1241"/>
      <c r="BL899" s="1241"/>
      <c r="BM899" s="1241"/>
      <c r="BN899" s="1241"/>
      <c r="BO899" s="1241"/>
      <c r="BP899" s="1241"/>
      <c r="BQ899" s="1241"/>
      <c r="BR899" s="1241"/>
      <c r="BS899" s="1241"/>
      <c r="BT899" s="1241"/>
      <c r="BU899" s="1241"/>
      <c r="BV899" s="1241"/>
      <c r="BW899" s="1241"/>
      <c r="BX899" s="1241"/>
      <c r="BY899" s="1241"/>
      <c r="BZ899" s="1241"/>
      <c r="CA899" s="1241"/>
      <c r="CB899" s="1241"/>
      <c r="CC899" s="1241"/>
      <c r="CD899" s="1241"/>
      <c r="CE899" s="1241"/>
      <c r="CF899" s="1241"/>
      <c r="CG899" s="1241"/>
      <c r="CH899" s="1241"/>
      <c r="CI899" s="1241"/>
      <c r="CJ899" s="1241"/>
      <c r="CK899" s="1241"/>
      <c r="CL899" s="1241"/>
      <c r="CM899" s="1241"/>
      <c r="CN899" s="1241"/>
      <c r="CO899" s="1241"/>
      <c r="CP899" s="1241"/>
      <c r="CQ899" s="1241"/>
      <c r="CR899" s="1241"/>
      <c r="CS899" s="1241"/>
      <c r="CT899" s="1241"/>
      <c r="CU899" s="1241"/>
      <c r="CV899" s="1241"/>
      <c r="CW899" s="1241"/>
      <c r="CX899" s="1241"/>
      <c r="CY899" s="1241"/>
      <c r="CZ899" s="1241"/>
      <c r="DA899" s="1241"/>
      <c r="DB899" s="1241"/>
      <c r="DC899" s="1241"/>
      <c r="DD899" s="1241"/>
      <c r="DE899" s="1241"/>
      <c r="DF899" s="1241"/>
      <c r="DG899" s="1241"/>
      <c r="DH899" s="1241"/>
      <c r="DI899" s="1241"/>
      <c r="DJ899" s="1241"/>
      <c r="DK899" s="1241"/>
      <c r="DL899" s="1241"/>
      <c r="DM899" s="1241"/>
    </row>
    <row r="900" spans="1:117" s="1302" customFormat="1">
      <c r="A900" s="1241"/>
      <c r="B900" s="1508"/>
      <c r="C900" s="1241"/>
      <c r="D900" s="1241"/>
      <c r="E900" s="1509"/>
      <c r="F900" s="1470"/>
      <c r="G900" s="1471"/>
      <c r="H900" s="1471">
        <v>58.01608637858989</v>
      </c>
      <c r="I900" s="1471">
        <v>63.73474880085594</v>
      </c>
      <c r="J900" s="1471">
        <v>90.309334218146603</v>
      </c>
      <c r="K900" s="1471">
        <v>123.35030287650457</v>
      </c>
      <c r="L900" s="1471">
        <v>148.24591195527279</v>
      </c>
      <c r="M900" s="1471">
        <v>171.98491544522548</v>
      </c>
      <c r="N900" s="1471">
        <v>190.20246120895985</v>
      </c>
      <c r="O900" s="1471">
        <v>110.96350964545337</v>
      </c>
      <c r="P900" s="1241"/>
      <c r="Q900" s="1241"/>
      <c r="R900" s="1241"/>
      <c r="S900" s="1241"/>
      <c r="T900" s="1241"/>
      <c r="U900" s="1241"/>
      <c r="V900" s="1241"/>
      <c r="W900" s="1241"/>
      <c r="X900" s="1241"/>
      <c r="Y900" s="1241"/>
      <c r="Z900" s="1241"/>
      <c r="AA900" s="1241"/>
      <c r="AB900" s="1241"/>
      <c r="AC900" s="1241"/>
      <c r="AD900" s="1241"/>
      <c r="AE900" s="1241"/>
      <c r="AF900" s="1241"/>
      <c r="AG900" s="1241"/>
      <c r="AH900" s="1241"/>
      <c r="AI900" s="1241"/>
      <c r="AJ900" s="1241"/>
      <c r="AK900" s="1241"/>
      <c r="AL900" s="1241"/>
      <c r="AM900" s="1241"/>
      <c r="AN900" s="1241"/>
      <c r="AO900" s="1241"/>
      <c r="AP900" s="1241"/>
      <c r="AQ900" s="1241"/>
      <c r="AR900" s="1241"/>
      <c r="AS900" s="1241"/>
      <c r="AT900" s="1241"/>
      <c r="AU900" s="1241"/>
      <c r="AV900" s="1241"/>
      <c r="AW900" s="1241"/>
      <c r="AX900" s="1241"/>
      <c r="AY900" s="1241"/>
      <c r="AZ900" s="1241"/>
      <c r="BA900" s="1241"/>
      <c r="BB900" s="1241"/>
      <c r="BC900" s="1241"/>
      <c r="BD900" s="1241"/>
      <c r="BE900" s="1241"/>
      <c r="BF900" s="1241"/>
      <c r="BG900" s="1241"/>
      <c r="BH900" s="1241"/>
      <c r="BI900" s="1241"/>
      <c r="BJ900" s="1241"/>
      <c r="BK900" s="1241"/>
      <c r="BL900" s="1241"/>
      <c r="BM900" s="1241"/>
      <c r="BN900" s="1241"/>
      <c r="BO900" s="1241"/>
      <c r="BP900" s="1241"/>
      <c r="BQ900" s="1241"/>
      <c r="BR900" s="1241"/>
      <c r="BS900" s="1241"/>
      <c r="BT900" s="1241"/>
      <c r="BU900" s="1241"/>
      <c r="BV900" s="1241"/>
      <c r="BW900" s="1241"/>
      <c r="BX900" s="1241"/>
      <c r="BY900" s="1241"/>
      <c r="BZ900" s="1241"/>
      <c r="CA900" s="1241"/>
      <c r="CB900" s="1241"/>
      <c r="CC900" s="1241"/>
      <c r="CD900" s="1241"/>
      <c r="CE900" s="1241"/>
      <c r="CF900" s="1241"/>
      <c r="CG900" s="1241"/>
      <c r="CH900" s="1241"/>
      <c r="CI900" s="1241"/>
      <c r="CJ900" s="1241"/>
      <c r="CK900" s="1241"/>
      <c r="CL900" s="1241"/>
      <c r="CM900" s="1241"/>
      <c r="CN900" s="1241"/>
      <c r="CO900" s="1241"/>
      <c r="CP900" s="1241"/>
      <c r="CQ900" s="1241"/>
      <c r="CR900" s="1241"/>
      <c r="CS900" s="1241"/>
      <c r="CT900" s="1241"/>
      <c r="CU900" s="1241"/>
      <c r="CV900" s="1241"/>
      <c r="CW900" s="1241"/>
      <c r="CX900" s="1241"/>
      <c r="CY900" s="1241"/>
      <c r="CZ900" s="1241"/>
      <c r="DA900" s="1241"/>
      <c r="DB900" s="1241"/>
      <c r="DC900" s="1241"/>
      <c r="DD900" s="1241"/>
      <c r="DE900" s="1241"/>
      <c r="DF900" s="1241"/>
      <c r="DG900" s="1241"/>
      <c r="DH900" s="1241"/>
      <c r="DI900" s="1241"/>
      <c r="DJ900" s="1241"/>
      <c r="DK900" s="1241"/>
      <c r="DL900" s="1241"/>
      <c r="DM900" s="1241"/>
    </row>
    <row r="901" spans="1:117" s="1302" customFormat="1">
      <c r="A901" s="1459" t="s">
        <v>4279</v>
      </c>
      <c r="B901" s="1508"/>
      <c r="C901" s="1241" t="s">
        <v>4281</v>
      </c>
      <c r="D901" s="1241"/>
      <c r="F901" s="1470"/>
      <c r="G901" s="1471"/>
      <c r="H901" s="1471"/>
      <c r="I901" s="1471"/>
      <c r="J901" s="1471"/>
      <c r="K901" s="1471"/>
      <c r="L901" s="1471"/>
      <c r="M901" s="1471"/>
      <c r="N901" s="1516"/>
      <c r="O901" s="1471"/>
      <c r="P901" s="1241"/>
      <c r="Q901" s="1241"/>
      <c r="R901" s="1241"/>
      <c r="S901" s="1241"/>
      <c r="T901" s="1241"/>
      <c r="U901" s="1241"/>
      <c r="V901" s="1241"/>
      <c r="W901" s="1241"/>
      <c r="X901" s="1241"/>
      <c r="Y901" s="1241"/>
      <c r="Z901" s="1241"/>
      <c r="AA901" s="1241"/>
      <c r="AB901" s="1241"/>
      <c r="AC901" s="1241"/>
      <c r="AD901" s="1241"/>
      <c r="AE901" s="1241"/>
      <c r="AF901" s="1241"/>
      <c r="AG901" s="1241"/>
      <c r="AH901" s="1241"/>
      <c r="AI901" s="1241"/>
      <c r="AJ901" s="1241"/>
      <c r="AK901" s="1241"/>
      <c r="AL901" s="1241"/>
      <c r="AM901" s="1241"/>
      <c r="AN901" s="1241"/>
      <c r="AO901" s="1241"/>
      <c r="AP901" s="1241"/>
      <c r="AQ901" s="1241"/>
      <c r="AR901" s="1241"/>
      <c r="AS901" s="1241"/>
      <c r="AT901" s="1241"/>
      <c r="AU901" s="1241"/>
      <c r="AV901" s="1241"/>
      <c r="AW901" s="1241"/>
      <c r="AX901" s="1241"/>
      <c r="AY901" s="1241"/>
      <c r="AZ901" s="1241"/>
      <c r="BA901" s="1241"/>
      <c r="BB901" s="1241"/>
      <c r="BC901" s="1241"/>
      <c r="BD901" s="1241"/>
      <c r="BE901" s="1241"/>
      <c r="BF901" s="1241"/>
      <c r="BG901" s="1241"/>
      <c r="BH901" s="1241"/>
      <c r="BI901" s="1241"/>
      <c r="BJ901" s="1241"/>
      <c r="BK901" s="1241"/>
      <c r="BL901" s="1241"/>
      <c r="BM901" s="1241"/>
      <c r="BN901" s="1241"/>
      <c r="BO901" s="1241"/>
      <c r="BP901" s="1241"/>
      <c r="BQ901" s="1241"/>
      <c r="BR901" s="1241"/>
      <c r="BS901" s="1241"/>
      <c r="BT901" s="1241"/>
      <c r="BU901" s="1241"/>
      <c r="BV901" s="1241"/>
      <c r="BW901" s="1241"/>
      <c r="BX901" s="1241"/>
      <c r="BY901" s="1241"/>
      <c r="BZ901" s="1241"/>
      <c r="CA901" s="1241"/>
      <c r="CB901" s="1241"/>
      <c r="CC901" s="1241"/>
      <c r="CD901" s="1241"/>
      <c r="CE901" s="1241"/>
      <c r="CF901" s="1241"/>
      <c r="CG901" s="1241"/>
      <c r="CH901" s="1241"/>
      <c r="CI901" s="1241"/>
      <c r="CJ901" s="1241"/>
      <c r="CK901" s="1241"/>
      <c r="CL901" s="1241"/>
      <c r="CM901" s="1241"/>
      <c r="CN901" s="1241"/>
      <c r="CO901" s="1241"/>
      <c r="CP901" s="1241"/>
      <c r="CQ901" s="1241"/>
      <c r="CR901" s="1241"/>
      <c r="CS901" s="1241"/>
      <c r="CT901" s="1241"/>
      <c r="CU901" s="1241"/>
      <c r="CV901" s="1241"/>
      <c r="CW901" s="1241"/>
      <c r="CX901" s="1241"/>
      <c r="CY901" s="1241"/>
      <c r="CZ901" s="1241"/>
      <c r="DA901" s="1241"/>
      <c r="DB901" s="1241"/>
      <c r="DC901" s="1241"/>
      <c r="DD901" s="1241"/>
      <c r="DE901" s="1241"/>
      <c r="DF901" s="1241"/>
      <c r="DG901" s="1241"/>
      <c r="DH901" s="1241"/>
      <c r="DI901" s="1241"/>
      <c r="DJ901" s="1241"/>
      <c r="DK901" s="1241"/>
      <c r="DL901" s="1241"/>
      <c r="DM901" s="1241"/>
    </row>
    <row r="902" spans="1:117" s="1302" customFormat="1">
      <c r="A902" s="1241"/>
      <c r="B902" s="1508"/>
      <c r="C902" s="1241" t="s">
        <v>4282</v>
      </c>
      <c r="D902" s="1241"/>
      <c r="E902" s="1509" t="s">
        <v>1065</v>
      </c>
      <c r="F902" s="1470"/>
      <c r="G902" s="1471"/>
      <c r="H902" s="1471">
        <v>87.714520995790068</v>
      </c>
      <c r="I902" s="1471">
        <v>97.45869282839034</v>
      </c>
      <c r="J902" s="1471">
        <v>141.98466973678572</v>
      </c>
      <c r="K902" s="1471">
        <v>199.24500311857614</v>
      </c>
      <c r="L902" s="1471">
        <v>245.8438826204933</v>
      </c>
      <c r="M902" s="1471">
        <v>292.61959400668485</v>
      </c>
      <c r="N902" s="1471">
        <v>331.8081935790305</v>
      </c>
      <c r="O902" s="1471">
        <v>177.32503110093592</v>
      </c>
      <c r="P902" s="1241"/>
      <c r="Q902" s="1241"/>
      <c r="R902" s="1241"/>
      <c r="S902" s="1241"/>
      <c r="T902" s="1241"/>
      <c r="U902" s="1241"/>
      <c r="V902" s="1241"/>
      <c r="W902" s="1241"/>
      <c r="X902" s="1241"/>
      <c r="Y902" s="1241"/>
      <c r="Z902" s="1241"/>
      <c r="AA902" s="1241"/>
      <c r="AB902" s="1241"/>
      <c r="AC902" s="1241"/>
      <c r="AD902" s="1241"/>
      <c r="AE902" s="1241"/>
      <c r="AF902" s="1241"/>
      <c r="AG902" s="1241"/>
      <c r="AH902" s="1241"/>
      <c r="AI902" s="1241"/>
      <c r="AJ902" s="1241"/>
      <c r="AK902" s="1241"/>
      <c r="AL902" s="1241"/>
      <c r="AM902" s="1241"/>
      <c r="AN902" s="1241"/>
      <c r="AO902" s="1241"/>
      <c r="AP902" s="1241"/>
      <c r="AQ902" s="1241"/>
      <c r="AR902" s="1241"/>
      <c r="AS902" s="1241"/>
      <c r="AT902" s="1241"/>
      <c r="AU902" s="1241"/>
      <c r="AV902" s="1241"/>
      <c r="AW902" s="1241"/>
      <c r="AX902" s="1241"/>
      <c r="AY902" s="1241"/>
      <c r="AZ902" s="1241"/>
      <c r="BA902" s="1241"/>
      <c r="BB902" s="1241"/>
      <c r="BC902" s="1241"/>
      <c r="BD902" s="1241"/>
      <c r="BE902" s="1241"/>
      <c r="BF902" s="1241"/>
      <c r="BG902" s="1241"/>
      <c r="BH902" s="1241"/>
      <c r="BI902" s="1241"/>
      <c r="BJ902" s="1241"/>
      <c r="BK902" s="1241"/>
      <c r="BL902" s="1241"/>
      <c r="BM902" s="1241"/>
      <c r="BN902" s="1241"/>
      <c r="BO902" s="1241"/>
      <c r="BP902" s="1241"/>
      <c r="BQ902" s="1241"/>
      <c r="BR902" s="1241"/>
      <c r="BS902" s="1241"/>
      <c r="BT902" s="1241"/>
      <c r="BU902" s="1241"/>
      <c r="BV902" s="1241"/>
      <c r="BW902" s="1241"/>
      <c r="BX902" s="1241"/>
      <c r="BY902" s="1241"/>
      <c r="BZ902" s="1241"/>
      <c r="CA902" s="1241"/>
      <c r="CB902" s="1241"/>
      <c r="CC902" s="1241"/>
      <c r="CD902" s="1241"/>
      <c r="CE902" s="1241"/>
      <c r="CF902" s="1241"/>
      <c r="CG902" s="1241"/>
      <c r="CH902" s="1241"/>
      <c r="CI902" s="1241"/>
      <c r="CJ902" s="1241"/>
      <c r="CK902" s="1241"/>
      <c r="CL902" s="1241"/>
      <c r="CM902" s="1241"/>
      <c r="CN902" s="1241"/>
      <c r="CO902" s="1241"/>
      <c r="CP902" s="1241"/>
      <c r="CQ902" s="1241"/>
      <c r="CR902" s="1241"/>
      <c r="CS902" s="1241"/>
      <c r="CT902" s="1241"/>
      <c r="CU902" s="1241"/>
      <c r="CV902" s="1241"/>
      <c r="CW902" s="1241"/>
      <c r="CX902" s="1241"/>
      <c r="CY902" s="1241"/>
      <c r="CZ902" s="1241"/>
      <c r="DA902" s="1241"/>
      <c r="DB902" s="1241"/>
      <c r="DC902" s="1241"/>
      <c r="DD902" s="1241"/>
      <c r="DE902" s="1241"/>
      <c r="DF902" s="1241"/>
      <c r="DG902" s="1241"/>
      <c r="DH902" s="1241"/>
      <c r="DI902" s="1241"/>
      <c r="DJ902" s="1241"/>
      <c r="DK902" s="1241"/>
      <c r="DL902" s="1241"/>
      <c r="DM902" s="1241"/>
    </row>
    <row r="903" spans="1:117" s="1302" customFormat="1">
      <c r="A903" s="1241"/>
      <c r="B903" s="1508"/>
      <c r="C903" s="1241" t="s">
        <v>3911</v>
      </c>
      <c r="D903" s="1241"/>
      <c r="E903" s="1509" t="s">
        <v>3925</v>
      </c>
      <c r="F903" s="1568"/>
      <c r="G903" s="1471"/>
      <c r="H903" s="1471">
        <v>49.050561203079504</v>
      </c>
      <c r="I903" s="1471">
        <v>59.990349497190977</v>
      </c>
      <c r="J903" s="1471">
        <v>98.547687425152489</v>
      </c>
      <c r="K903" s="1471">
        <v>146.97920505500073</v>
      </c>
      <c r="L903" s="1471">
        <v>176.16730001253543</v>
      </c>
      <c r="M903" s="1471">
        <v>202.09974855003799</v>
      </c>
      <c r="N903" s="1471">
        <v>218.73745240569454</v>
      </c>
      <c r="O903" s="1471">
        <v>132.090750159864</v>
      </c>
      <c r="P903" s="1241"/>
      <c r="Q903" s="1241"/>
      <c r="R903" s="1241"/>
      <c r="S903" s="1241"/>
      <c r="T903" s="1241"/>
      <c r="U903" s="1241"/>
      <c r="V903" s="1241"/>
      <c r="W903" s="1241"/>
      <c r="X903" s="1241"/>
      <c r="Y903" s="1241"/>
      <c r="Z903" s="1241"/>
      <c r="AA903" s="1241"/>
      <c r="AB903" s="1241"/>
      <c r="AC903" s="1241"/>
      <c r="AD903" s="1241"/>
      <c r="AE903" s="1241"/>
      <c r="AF903" s="1241"/>
      <c r="AG903" s="1241"/>
      <c r="AH903" s="1241"/>
      <c r="AI903" s="1241"/>
      <c r="AJ903" s="1241"/>
      <c r="AK903" s="1241"/>
      <c r="AL903" s="1241"/>
      <c r="AM903" s="1241"/>
      <c r="AN903" s="1241"/>
      <c r="AO903" s="1241"/>
      <c r="AP903" s="1241"/>
      <c r="AQ903" s="1241"/>
      <c r="AR903" s="1241"/>
      <c r="AS903" s="1241"/>
      <c r="AT903" s="1241"/>
      <c r="AU903" s="1241"/>
      <c r="AV903" s="1241"/>
      <c r="AW903" s="1241"/>
      <c r="AX903" s="1241"/>
      <c r="AY903" s="1241"/>
      <c r="AZ903" s="1241"/>
      <c r="BA903" s="1241"/>
      <c r="BB903" s="1241"/>
      <c r="BC903" s="1241"/>
      <c r="BD903" s="1241"/>
      <c r="BE903" s="1241"/>
      <c r="BF903" s="1241"/>
      <c r="BG903" s="1241"/>
      <c r="BH903" s="1241"/>
      <c r="BI903" s="1241"/>
      <c r="BJ903" s="1241"/>
      <c r="BK903" s="1241"/>
      <c r="BL903" s="1241"/>
      <c r="BM903" s="1241"/>
      <c r="BN903" s="1241"/>
      <c r="BO903" s="1241"/>
      <c r="BP903" s="1241"/>
      <c r="BQ903" s="1241"/>
      <c r="BR903" s="1241"/>
      <c r="BS903" s="1241"/>
      <c r="BT903" s="1241"/>
      <c r="BU903" s="1241"/>
      <c r="BV903" s="1241"/>
      <c r="BW903" s="1241"/>
      <c r="BX903" s="1241"/>
      <c r="BY903" s="1241"/>
      <c r="BZ903" s="1241"/>
      <c r="CA903" s="1241"/>
      <c r="CB903" s="1241"/>
      <c r="CC903" s="1241"/>
      <c r="CD903" s="1241"/>
      <c r="CE903" s="1241"/>
      <c r="CF903" s="1241"/>
      <c r="CG903" s="1241"/>
      <c r="CH903" s="1241"/>
      <c r="CI903" s="1241"/>
      <c r="CJ903" s="1241"/>
      <c r="CK903" s="1241"/>
      <c r="CL903" s="1241"/>
      <c r="CM903" s="1241"/>
      <c r="CN903" s="1241"/>
      <c r="CO903" s="1241"/>
      <c r="CP903" s="1241"/>
      <c r="CQ903" s="1241"/>
      <c r="CR903" s="1241"/>
      <c r="CS903" s="1241"/>
      <c r="CT903" s="1241"/>
      <c r="CU903" s="1241"/>
      <c r="CV903" s="1241"/>
      <c r="CW903" s="1241"/>
      <c r="CX903" s="1241"/>
      <c r="CY903" s="1241"/>
      <c r="CZ903" s="1241"/>
      <c r="DA903" s="1241"/>
      <c r="DB903" s="1241"/>
      <c r="DC903" s="1241"/>
      <c r="DD903" s="1241"/>
      <c r="DE903" s="1241"/>
      <c r="DF903" s="1241"/>
      <c r="DG903" s="1241"/>
      <c r="DH903" s="1241"/>
      <c r="DI903" s="1241"/>
      <c r="DJ903" s="1241"/>
      <c r="DK903" s="1241"/>
      <c r="DL903" s="1241"/>
      <c r="DM903" s="1241"/>
    </row>
    <row r="904" spans="1:117" s="1302" customFormat="1">
      <c r="A904" s="1241"/>
      <c r="B904" s="1508"/>
      <c r="C904" s="1241" t="s">
        <v>3924</v>
      </c>
      <c r="D904" s="1241"/>
      <c r="E904" s="1509" t="s">
        <v>3925</v>
      </c>
      <c r="F904" s="1568"/>
      <c r="G904" s="1471"/>
      <c r="H904" s="1471">
        <v>46.136885869317105</v>
      </c>
      <c r="I904" s="1471">
        <v>40.013954809262465</v>
      </c>
      <c r="J904" s="1471">
        <v>31.411151428120796</v>
      </c>
      <c r="K904" s="1471">
        <v>17.753148682795729</v>
      </c>
      <c r="L904" s="1471">
        <v>16.68827482035562</v>
      </c>
      <c r="M904" s="1471">
        <v>16.842423167639996</v>
      </c>
      <c r="N904" s="1471">
        <v>19.591953538550779</v>
      </c>
      <c r="O904" s="1471">
        <v>17.814425198953362</v>
      </c>
      <c r="P904" s="1241"/>
      <c r="Q904" s="1241"/>
      <c r="R904" s="1241"/>
      <c r="S904" s="1241"/>
      <c r="T904" s="1241"/>
      <c r="U904" s="1241"/>
      <c r="V904" s="1241"/>
      <c r="W904" s="1241"/>
      <c r="X904" s="1241"/>
      <c r="Y904" s="1241"/>
      <c r="Z904" s="1241"/>
      <c r="AA904" s="1241"/>
      <c r="AB904" s="1241"/>
      <c r="AC904" s="1241"/>
      <c r="AD904" s="1241"/>
      <c r="AE904" s="1241"/>
      <c r="AF904" s="1241"/>
      <c r="AG904" s="1241"/>
      <c r="AH904" s="1241"/>
      <c r="AI904" s="1241"/>
      <c r="AJ904" s="1241"/>
      <c r="AK904" s="1241"/>
      <c r="AL904" s="1241"/>
      <c r="AM904" s="1241"/>
      <c r="AN904" s="1241"/>
      <c r="AO904" s="1241"/>
      <c r="AP904" s="1241"/>
      <c r="AQ904" s="1241"/>
      <c r="AR904" s="1241"/>
      <c r="AS904" s="1241"/>
      <c r="AT904" s="1241"/>
      <c r="AU904" s="1241"/>
      <c r="AV904" s="1241"/>
      <c r="AW904" s="1241"/>
      <c r="AX904" s="1241"/>
      <c r="AY904" s="1241"/>
      <c r="AZ904" s="1241"/>
      <c r="BA904" s="1241"/>
      <c r="BB904" s="1241"/>
      <c r="BC904" s="1241"/>
      <c r="BD904" s="1241"/>
      <c r="BE904" s="1241"/>
      <c r="BF904" s="1241"/>
      <c r="BG904" s="1241"/>
      <c r="BH904" s="1241"/>
      <c r="BI904" s="1241"/>
      <c r="BJ904" s="1241"/>
      <c r="BK904" s="1241"/>
      <c r="BL904" s="1241"/>
      <c r="BM904" s="1241"/>
      <c r="BN904" s="1241"/>
      <c r="BO904" s="1241"/>
      <c r="BP904" s="1241"/>
      <c r="BQ904" s="1241"/>
      <c r="BR904" s="1241"/>
      <c r="BS904" s="1241"/>
      <c r="BT904" s="1241"/>
      <c r="BU904" s="1241"/>
      <c r="BV904" s="1241"/>
      <c r="BW904" s="1241"/>
      <c r="BX904" s="1241"/>
      <c r="BY904" s="1241"/>
      <c r="BZ904" s="1241"/>
      <c r="CA904" s="1241"/>
      <c r="CB904" s="1241"/>
      <c r="CC904" s="1241"/>
      <c r="CD904" s="1241"/>
      <c r="CE904" s="1241"/>
      <c r="CF904" s="1241"/>
      <c r="CG904" s="1241"/>
      <c r="CH904" s="1241"/>
      <c r="CI904" s="1241"/>
      <c r="CJ904" s="1241"/>
      <c r="CK904" s="1241"/>
      <c r="CL904" s="1241"/>
      <c r="CM904" s="1241"/>
      <c r="CN904" s="1241"/>
      <c r="CO904" s="1241"/>
      <c r="CP904" s="1241"/>
      <c r="CQ904" s="1241"/>
      <c r="CR904" s="1241"/>
      <c r="CS904" s="1241"/>
      <c r="CT904" s="1241"/>
      <c r="CU904" s="1241"/>
      <c r="CV904" s="1241"/>
      <c r="CW904" s="1241"/>
      <c r="CX904" s="1241"/>
      <c r="CY904" s="1241"/>
      <c r="CZ904" s="1241"/>
      <c r="DA904" s="1241"/>
      <c r="DB904" s="1241"/>
      <c r="DC904" s="1241"/>
      <c r="DD904" s="1241"/>
      <c r="DE904" s="1241"/>
      <c r="DF904" s="1241"/>
      <c r="DG904" s="1241"/>
      <c r="DH904" s="1241"/>
      <c r="DI904" s="1241"/>
      <c r="DJ904" s="1241"/>
      <c r="DK904" s="1241"/>
      <c r="DL904" s="1241"/>
      <c r="DM904" s="1241"/>
    </row>
    <row r="905" spans="1:117" s="1302" customFormat="1">
      <c r="A905" s="1241"/>
      <c r="B905" s="1508"/>
      <c r="C905" s="1241" t="s">
        <v>3861</v>
      </c>
      <c r="D905" s="1241"/>
      <c r="E905" s="1509" t="s">
        <v>3925</v>
      </c>
      <c r="F905" s="1470"/>
      <c r="G905" s="1471"/>
      <c r="H905" s="1471">
        <v>0.87024129567884845</v>
      </c>
      <c r="I905" s="1471">
        <v>0.95602123201283917</v>
      </c>
      <c r="J905" s="1471">
        <v>1.354640013272199</v>
      </c>
      <c r="K905" s="1471">
        <v>1.8502545431475683</v>
      </c>
      <c r="L905" s="1471">
        <v>2.2236886793290922</v>
      </c>
      <c r="M905" s="1471">
        <v>2.5797737316783822</v>
      </c>
      <c r="N905" s="1471">
        <v>2.8530369181343982</v>
      </c>
      <c r="O905" s="1471">
        <v>1.6644526446818004</v>
      </c>
      <c r="P905" s="1241"/>
      <c r="Q905" s="1241"/>
      <c r="R905" s="1241"/>
      <c r="S905" s="1241"/>
      <c r="T905" s="1241"/>
      <c r="U905" s="1241"/>
      <c r="V905" s="1241"/>
      <c r="W905" s="1241"/>
      <c r="X905" s="1241"/>
      <c r="Y905" s="1241"/>
      <c r="Z905" s="1241"/>
      <c r="AA905" s="1241"/>
      <c r="AB905" s="1241"/>
      <c r="AC905" s="1241"/>
      <c r="AD905" s="1241"/>
      <c r="AE905" s="1241"/>
      <c r="AF905" s="1241"/>
      <c r="AG905" s="1241"/>
      <c r="AH905" s="1241"/>
      <c r="AI905" s="1241"/>
      <c r="AJ905" s="1241"/>
      <c r="AK905" s="1241"/>
      <c r="AL905" s="1241"/>
      <c r="AM905" s="1241"/>
      <c r="AN905" s="1241"/>
      <c r="AO905" s="1241"/>
      <c r="AP905" s="1241"/>
      <c r="AQ905" s="1241"/>
      <c r="AR905" s="1241"/>
      <c r="AS905" s="1241"/>
      <c r="AT905" s="1241"/>
      <c r="AU905" s="1241"/>
      <c r="AV905" s="1241"/>
      <c r="AW905" s="1241"/>
      <c r="AX905" s="1241"/>
      <c r="AY905" s="1241"/>
      <c r="AZ905" s="1241"/>
      <c r="BA905" s="1241"/>
      <c r="BB905" s="1241"/>
      <c r="BC905" s="1241"/>
      <c r="BD905" s="1241"/>
      <c r="BE905" s="1241"/>
      <c r="BF905" s="1241"/>
      <c r="BG905" s="1241"/>
      <c r="BH905" s="1241"/>
      <c r="BI905" s="1241"/>
      <c r="BJ905" s="1241"/>
      <c r="BK905" s="1241"/>
      <c r="BL905" s="1241"/>
      <c r="BM905" s="1241"/>
      <c r="BN905" s="1241"/>
      <c r="BO905" s="1241"/>
      <c r="BP905" s="1241"/>
      <c r="BQ905" s="1241"/>
      <c r="BR905" s="1241"/>
      <c r="BS905" s="1241"/>
      <c r="BT905" s="1241"/>
      <c r="BU905" s="1241"/>
      <c r="BV905" s="1241"/>
      <c r="BW905" s="1241"/>
      <c r="BX905" s="1241"/>
      <c r="BY905" s="1241"/>
      <c r="BZ905" s="1241"/>
      <c r="CA905" s="1241"/>
      <c r="CB905" s="1241"/>
      <c r="CC905" s="1241"/>
      <c r="CD905" s="1241"/>
      <c r="CE905" s="1241"/>
      <c r="CF905" s="1241"/>
      <c r="CG905" s="1241"/>
      <c r="CH905" s="1241"/>
      <c r="CI905" s="1241"/>
      <c r="CJ905" s="1241"/>
      <c r="CK905" s="1241"/>
      <c r="CL905" s="1241"/>
      <c r="CM905" s="1241"/>
      <c r="CN905" s="1241"/>
      <c r="CO905" s="1241"/>
      <c r="CP905" s="1241"/>
      <c r="CQ905" s="1241"/>
      <c r="CR905" s="1241"/>
      <c r="CS905" s="1241"/>
      <c r="CT905" s="1241"/>
      <c r="CU905" s="1241"/>
      <c r="CV905" s="1241"/>
      <c r="CW905" s="1241"/>
      <c r="CX905" s="1241"/>
      <c r="CY905" s="1241"/>
      <c r="CZ905" s="1241"/>
      <c r="DA905" s="1241"/>
      <c r="DB905" s="1241"/>
      <c r="DC905" s="1241"/>
      <c r="DD905" s="1241"/>
      <c r="DE905" s="1241"/>
      <c r="DF905" s="1241"/>
      <c r="DG905" s="1241"/>
      <c r="DH905" s="1241"/>
      <c r="DI905" s="1241"/>
      <c r="DJ905" s="1241"/>
      <c r="DK905" s="1241"/>
      <c r="DL905" s="1241"/>
      <c r="DM905" s="1241"/>
    </row>
    <row r="906" spans="1:117" s="1302" customFormat="1">
      <c r="A906" s="1241"/>
      <c r="B906" s="1508"/>
      <c r="C906" s="1241" t="s">
        <v>524</v>
      </c>
      <c r="D906" s="1241"/>
      <c r="E906" s="1509" t="s">
        <v>3923</v>
      </c>
      <c r="F906" s="1470"/>
      <c r="G906" s="1471"/>
      <c r="H906" s="1471">
        <v>1.2913437025511971</v>
      </c>
      <c r="I906" s="1471">
        <v>1.5237156638713227</v>
      </c>
      <c r="J906" s="1471">
        <v>2.531285978135001</v>
      </c>
      <c r="K906" s="1471">
        <v>3.9658335548960602</v>
      </c>
      <c r="L906" s="1471">
        <v>5.3773098044127021</v>
      </c>
      <c r="M906" s="1471">
        <v>6.9473006390055394</v>
      </c>
      <c r="N906" s="1471">
        <v>8.4671947324792463</v>
      </c>
      <c r="O906" s="1471">
        <v>3.3846328432064534</v>
      </c>
      <c r="P906" s="1241"/>
      <c r="Q906" s="1241"/>
      <c r="R906" s="1241"/>
      <c r="S906" s="1241"/>
      <c r="T906" s="1241"/>
      <c r="U906" s="1241"/>
      <c r="V906" s="1241"/>
      <c r="W906" s="1241"/>
      <c r="X906" s="1241"/>
      <c r="Y906" s="1241"/>
      <c r="Z906" s="1241"/>
      <c r="AA906" s="1241"/>
      <c r="AB906" s="1241"/>
      <c r="AC906" s="1241"/>
      <c r="AD906" s="1241"/>
      <c r="AE906" s="1241"/>
      <c r="AF906" s="1241"/>
      <c r="AG906" s="1241"/>
      <c r="AH906" s="1241"/>
      <c r="AI906" s="1241"/>
      <c r="AJ906" s="1241"/>
      <c r="AK906" s="1241"/>
      <c r="AL906" s="1241"/>
      <c r="AM906" s="1241"/>
      <c r="AN906" s="1241"/>
      <c r="AO906" s="1241"/>
      <c r="AP906" s="1241"/>
      <c r="AQ906" s="1241"/>
      <c r="AR906" s="1241"/>
      <c r="AS906" s="1241"/>
      <c r="AT906" s="1241"/>
      <c r="AU906" s="1241"/>
      <c r="AV906" s="1241"/>
      <c r="AW906" s="1241"/>
      <c r="AX906" s="1241"/>
      <c r="AY906" s="1241"/>
      <c r="AZ906" s="1241"/>
      <c r="BA906" s="1241"/>
      <c r="BB906" s="1241"/>
      <c r="BC906" s="1241"/>
      <c r="BD906" s="1241"/>
      <c r="BE906" s="1241"/>
      <c r="BF906" s="1241"/>
      <c r="BG906" s="1241"/>
      <c r="BH906" s="1241"/>
      <c r="BI906" s="1241"/>
      <c r="BJ906" s="1241"/>
      <c r="BK906" s="1241"/>
      <c r="BL906" s="1241"/>
      <c r="BM906" s="1241"/>
      <c r="BN906" s="1241"/>
      <c r="BO906" s="1241"/>
      <c r="BP906" s="1241"/>
      <c r="BQ906" s="1241"/>
      <c r="BR906" s="1241"/>
      <c r="BS906" s="1241"/>
      <c r="BT906" s="1241"/>
      <c r="BU906" s="1241"/>
      <c r="BV906" s="1241"/>
      <c r="BW906" s="1241"/>
      <c r="BX906" s="1241"/>
      <c r="BY906" s="1241"/>
      <c r="BZ906" s="1241"/>
      <c r="CA906" s="1241"/>
      <c r="CB906" s="1241"/>
      <c r="CC906" s="1241"/>
      <c r="CD906" s="1241"/>
      <c r="CE906" s="1241"/>
      <c r="CF906" s="1241"/>
      <c r="CG906" s="1241"/>
      <c r="CH906" s="1241"/>
      <c r="CI906" s="1241"/>
      <c r="CJ906" s="1241"/>
      <c r="CK906" s="1241"/>
      <c r="CL906" s="1241"/>
      <c r="CM906" s="1241"/>
      <c r="CN906" s="1241"/>
      <c r="CO906" s="1241"/>
      <c r="CP906" s="1241"/>
      <c r="CQ906" s="1241"/>
      <c r="CR906" s="1241"/>
      <c r="CS906" s="1241"/>
      <c r="CT906" s="1241"/>
      <c r="CU906" s="1241"/>
      <c r="CV906" s="1241"/>
      <c r="CW906" s="1241"/>
      <c r="CX906" s="1241"/>
      <c r="CY906" s="1241"/>
      <c r="CZ906" s="1241"/>
      <c r="DA906" s="1241"/>
      <c r="DB906" s="1241"/>
      <c r="DC906" s="1241"/>
      <c r="DD906" s="1241"/>
      <c r="DE906" s="1241"/>
      <c r="DF906" s="1241"/>
      <c r="DG906" s="1241"/>
      <c r="DH906" s="1241"/>
      <c r="DI906" s="1241"/>
      <c r="DJ906" s="1241"/>
      <c r="DK906" s="1241"/>
      <c r="DL906" s="1241"/>
      <c r="DM906" s="1241"/>
    </row>
    <row r="907" spans="1:117" s="1302" customFormat="1">
      <c r="A907" s="1241"/>
      <c r="B907" s="1508"/>
      <c r="C907" s="1241" t="s">
        <v>3867</v>
      </c>
      <c r="D907" s="1241"/>
      <c r="E907" s="1509" t="s">
        <v>3925</v>
      </c>
      <c r="F907" s="1470"/>
      <c r="G907" s="1471"/>
      <c r="H907" s="1471">
        <v>0</v>
      </c>
      <c r="I907" s="1471">
        <v>0</v>
      </c>
      <c r="J907" s="1471">
        <v>0</v>
      </c>
      <c r="K907" s="1471">
        <v>0</v>
      </c>
      <c r="L907" s="1471">
        <v>0</v>
      </c>
      <c r="M907" s="1471">
        <v>0</v>
      </c>
      <c r="N907" s="1471">
        <v>0</v>
      </c>
      <c r="O907" s="1471">
        <v>0</v>
      </c>
      <c r="P907" s="1241"/>
      <c r="Q907" s="1241"/>
      <c r="R907" s="1241"/>
      <c r="S907" s="1241"/>
      <c r="T907" s="1241"/>
      <c r="U907" s="1241"/>
      <c r="V907" s="1241"/>
      <c r="W907" s="1241"/>
      <c r="X907" s="1241"/>
      <c r="Y907" s="1241"/>
      <c r="Z907" s="1241"/>
      <c r="AA907" s="1241"/>
      <c r="AB907" s="1241"/>
      <c r="AC907" s="1241"/>
      <c r="AD907" s="1241"/>
      <c r="AE907" s="1241"/>
      <c r="AF907" s="1241"/>
      <c r="AG907" s="1241"/>
      <c r="AH907" s="1241"/>
      <c r="AI907" s="1241"/>
      <c r="AJ907" s="1241"/>
      <c r="AK907" s="1241"/>
      <c r="AL907" s="1241"/>
      <c r="AM907" s="1241"/>
      <c r="AN907" s="1241"/>
      <c r="AO907" s="1241"/>
      <c r="AP907" s="1241"/>
      <c r="AQ907" s="1241"/>
      <c r="AR907" s="1241"/>
      <c r="AS907" s="1241"/>
      <c r="AT907" s="1241"/>
      <c r="AU907" s="1241"/>
      <c r="AV907" s="1241"/>
      <c r="AW907" s="1241"/>
      <c r="AX907" s="1241"/>
      <c r="AY907" s="1241"/>
      <c r="AZ907" s="1241"/>
      <c r="BA907" s="1241"/>
      <c r="BB907" s="1241"/>
      <c r="BC907" s="1241"/>
      <c r="BD907" s="1241"/>
      <c r="BE907" s="1241"/>
      <c r="BF907" s="1241"/>
      <c r="BG907" s="1241"/>
      <c r="BH907" s="1241"/>
      <c r="BI907" s="1241"/>
      <c r="BJ907" s="1241"/>
      <c r="BK907" s="1241"/>
      <c r="BL907" s="1241"/>
      <c r="BM907" s="1241"/>
      <c r="BN907" s="1241"/>
      <c r="BO907" s="1241"/>
      <c r="BP907" s="1241"/>
      <c r="BQ907" s="1241"/>
      <c r="BR907" s="1241"/>
      <c r="BS907" s="1241"/>
      <c r="BT907" s="1241"/>
      <c r="BU907" s="1241"/>
      <c r="BV907" s="1241"/>
      <c r="BW907" s="1241"/>
      <c r="BX907" s="1241"/>
      <c r="BY907" s="1241"/>
      <c r="BZ907" s="1241"/>
      <c r="CA907" s="1241"/>
      <c r="CB907" s="1241"/>
      <c r="CC907" s="1241"/>
      <c r="CD907" s="1241"/>
      <c r="CE907" s="1241"/>
      <c r="CF907" s="1241"/>
      <c r="CG907" s="1241"/>
      <c r="CH907" s="1241"/>
      <c r="CI907" s="1241"/>
      <c r="CJ907" s="1241"/>
      <c r="CK907" s="1241"/>
      <c r="CL907" s="1241"/>
      <c r="CM907" s="1241"/>
      <c r="CN907" s="1241"/>
      <c r="CO907" s="1241"/>
      <c r="CP907" s="1241"/>
      <c r="CQ907" s="1241"/>
      <c r="CR907" s="1241"/>
      <c r="CS907" s="1241"/>
      <c r="CT907" s="1241"/>
      <c r="CU907" s="1241"/>
      <c r="CV907" s="1241"/>
      <c r="CW907" s="1241"/>
      <c r="CX907" s="1241"/>
      <c r="CY907" s="1241"/>
      <c r="CZ907" s="1241"/>
      <c r="DA907" s="1241"/>
      <c r="DB907" s="1241"/>
      <c r="DC907" s="1241"/>
      <c r="DD907" s="1241"/>
      <c r="DE907" s="1241"/>
      <c r="DF907" s="1241"/>
      <c r="DG907" s="1241"/>
      <c r="DH907" s="1241"/>
      <c r="DI907" s="1241"/>
      <c r="DJ907" s="1241"/>
      <c r="DK907" s="1241"/>
      <c r="DL907" s="1241"/>
      <c r="DM907" s="1241"/>
    </row>
    <row r="908" spans="1:117" s="1302" customFormat="1">
      <c r="A908" s="1241"/>
      <c r="B908" s="1508"/>
      <c r="C908" s="1241" t="s">
        <v>4284</v>
      </c>
      <c r="D908" s="1241"/>
      <c r="E908" s="1509" t="s">
        <v>3925</v>
      </c>
      <c r="F908" s="1529"/>
      <c r="G908" s="1471"/>
      <c r="H908" s="1471">
        <v>0</v>
      </c>
      <c r="I908" s="1471">
        <v>0</v>
      </c>
      <c r="J908" s="1471">
        <v>0.12593076453106952</v>
      </c>
      <c r="K908" s="1471">
        <v>0.45151140756662511</v>
      </c>
      <c r="L908" s="1471">
        <v>0.87855884520930205</v>
      </c>
      <c r="M908" s="1471">
        <v>1.408955989481486</v>
      </c>
      <c r="N908" s="1471">
        <v>1.9891915018892754</v>
      </c>
      <c r="O908" s="1471">
        <v>0.30559516863033431</v>
      </c>
      <c r="P908" s="1241"/>
      <c r="Q908" s="1241"/>
      <c r="R908" s="1241"/>
      <c r="S908" s="1241"/>
      <c r="T908" s="1241"/>
      <c r="U908" s="1241"/>
      <c r="V908" s="1241"/>
      <c r="W908" s="1241"/>
      <c r="X908" s="1241"/>
      <c r="Y908" s="1241"/>
      <c r="Z908" s="1241"/>
      <c r="AA908" s="1241"/>
      <c r="AB908" s="1241"/>
      <c r="AC908" s="1241"/>
      <c r="AD908" s="1241"/>
      <c r="AE908" s="1241"/>
      <c r="AF908" s="1241"/>
      <c r="AG908" s="1241"/>
      <c r="AH908" s="1241"/>
      <c r="AI908" s="1241"/>
      <c r="AJ908" s="1241"/>
      <c r="AK908" s="1241"/>
      <c r="AL908" s="1241"/>
      <c r="AM908" s="1241"/>
      <c r="AN908" s="1241"/>
      <c r="AO908" s="1241"/>
      <c r="AP908" s="1241"/>
      <c r="AQ908" s="1241"/>
      <c r="AR908" s="1241"/>
      <c r="AS908" s="1241"/>
      <c r="AT908" s="1241"/>
      <c r="AU908" s="1241"/>
      <c r="AV908" s="1241"/>
      <c r="AW908" s="1241"/>
      <c r="AX908" s="1241"/>
      <c r="AY908" s="1241"/>
      <c r="AZ908" s="1241"/>
      <c r="BA908" s="1241"/>
      <c r="BB908" s="1241"/>
      <c r="BC908" s="1241"/>
      <c r="BD908" s="1241"/>
      <c r="BE908" s="1241"/>
      <c r="BF908" s="1241"/>
      <c r="BG908" s="1241"/>
      <c r="BH908" s="1241"/>
      <c r="BI908" s="1241"/>
      <c r="BJ908" s="1241"/>
      <c r="BK908" s="1241"/>
      <c r="BL908" s="1241"/>
      <c r="BM908" s="1241"/>
      <c r="BN908" s="1241"/>
      <c r="BO908" s="1241"/>
      <c r="BP908" s="1241"/>
      <c r="BQ908" s="1241"/>
      <c r="BR908" s="1241"/>
      <c r="BS908" s="1241"/>
      <c r="BT908" s="1241"/>
      <c r="BU908" s="1241"/>
      <c r="BV908" s="1241"/>
      <c r="BW908" s="1241"/>
      <c r="BX908" s="1241"/>
      <c r="BY908" s="1241"/>
      <c r="BZ908" s="1241"/>
      <c r="CA908" s="1241"/>
      <c r="CB908" s="1241"/>
      <c r="CC908" s="1241"/>
      <c r="CD908" s="1241"/>
      <c r="CE908" s="1241"/>
      <c r="CF908" s="1241"/>
      <c r="CG908" s="1241"/>
      <c r="CH908" s="1241"/>
      <c r="CI908" s="1241"/>
      <c r="CJ908" s="1241"/>
      <c r="CK908" s="1241"/>
      <c r="CL908" s="1241"/>
      <c r="CM908" s="1241"/>
      <c r="CN908" s="1241"/>
      <c r="CO908" s="1241"/>
      <c r="CP908" s="1241"/>
      <c r="CQ908" s="1241"/>
      <c r="CR908" s="1241"/>
      <c r="CS908" s="1241"/>
      <c r="CT908" s="1241"/>
      <c r="CU908" s="1241"/>
      <c r="CV908" s="1241"/>
      <c r="CW908" s="1241"/>
      <c r="CX908" s="1241"/>
      <c r="CY908" s="1241"/>
      <c r="CZ908" s="1241"/>
      <c r="DA908" s="1241"/>
      <c r="DB908" s="1241"/>
      <c r="DC908" s="1241"/>
      <c r="DD908" s="1241"/>
      <c r="DE908" s="1241"/>
      <c r="DF908" s="1241"/>
      <c r="DG908" s="1241"/>
      <c r="DH908" s="1241"/>
      <c r="DI908" s="1241"/>
      <c r="DJ908" s="1241"/>
      <c r="DK908" s="1241"/>
      <c r="DL908" s="1241"/>
      <c r="DM908" s="1241"/>
    </row>
    <row r="909" spans="1:117" s="1302" customFormat="1">
      <c r="A909" s="1241"/>
      <c r="B909" s="1508"/>
      <c r="C909" s="1241"/>
      <c r="D909" s="1241"/>
      <c r="E909" s="1509"/>
      <c r="F909" s="1529"/>
      <c r="G909" s="1471"/>
      <c r="H909" s="1471"/>
      <c r="I909" s="1471"/>
      <c r="J909" s="1471"/>
      <c r="K909" s="1471"/>
      <c r="L909" s="1471"/>
      <c r="M909" s="1471"/>
      <c r="N909" s="1471"/>
      <c r="O909" s="1569"/>
      <c r="P909" s="1241"/>
      <c r="Q909" s="1241"/>
      <c r="R909" s="1241"/>
      <c r="S909" s="1241"/>
      <c r="T909" s="1241"/>
      <c r="U909" s="1241"/>
      <c r="V909" s="1241"/>
      <c r="W909" s="1241"/>
      <c r="X909" s="1241"/>
      <c r="Y909" s="1241"/>
      <c r="Z909" s="1241"/>
      <c r="AA909" s="1241"/>
      <c r="AB909" s="1241"/>
      <c r="AC909" s="1241"/>
      <c r="AD909" s="1241"/>
      <c r="AE909" s="1241"/>
      <c r="AF909" s="1241"/>
      <c r="AG909" s="1241"/>
      <c r="AH909" s="1241"/>
      <c r="AI909" s="1241"/>
      <c r="AJ909" s="1241"/>
      <c r="AK909" s="1241"/>
      <c r="AL909" s="1241"/>
      <c r="AM909" s="1241"/>
      <c r="AN909" s="1241"/>
      <c r="AO909" s="1241"/>
      <c r="AP909" s="1241"/>
      <c r="AQ909" s="1241"/>
      <c r="AR909" s="1241"/>
      <c r="AS909" s="1241"/>
      <c r="AT909" s="1241"/>
      <c r="AU909" s="1241"/>
      <c r="AV909" s="1241"/>
      <c r="AW909" s="1241"/>
      <c r="AX909" s="1241"/>
      <c r="AY909" s="1241"/>
      <c r="AZ909" s="1241"/>
      <c r="BA909" s="1241"/>
      <c r="BB909" s="1241"/>
      <c r="BC909" s="1241"/>
      <c r="BD909" s="1241"/>
      <c r="BE909" s="1241"/>
      <c r="BF909" s="1241"/>
      <c r="BG909" s="1241"/>
      <c r="BH909" s="1241"/>
      <c r="BI909" s="1241"/>
      <c r="BJ909" s="1241"/>
      <c r="BK909" s="1241"/>
      <c r="BL909" s="1241"/>
      <c r="BM909" s="1241"/>
      <c r="BN909" s="1241"/>
      <c r="BO909" s="1241"/>
      <c r="BP909" s="1241"/>
      <c r="BQ909" s="1241"/>
      <c r="BR909" s="1241"/>
      <c r="BS909" s="1241"/>
      <c r="BT909" s="1241"/>
      <c r="BU909" s="1241"/>
      <c r="BV909" s="1241"/>
      <c r="BW909" s="1241"/>
      <c r="BX909" s="1241"/>
      <c r="BY909" s="1241"/>
      <c r="BZ909" s="1241"/>
      <c r="CA909" s="1241"/>
      <c r="CB909" s="1241"/>
      <c r="CC909" s="1241"/>
      <c r="CD909" s="1241"/>
      <c r="CE909" s="1241"/>
      <c r="CF909" s="1241"/>
      <c r="CG909" s="1241"/>
      <c r="CH909" s="1241"/>
      <c r="CI909" s="1241"/>
      <c r="CJ909" s="1241"/>
      <c r="CK909" s="1241"/>
      <c r="CL909" s="1241"/>
      <c r="CM909" s="1241"/>
      <c r="CN909" s="1241"/>
      <c r="CO909" s="1241"/>
      <c r="CP909" s="1241"/>
      <c r="CQ909" s="1241"/>
      <c r="CR909" s="1241"/>
      <c r="CS909" s="1241"/>
      <c r="CT909" s="1241"/>
      <c r="CU909" s="1241"/>
      <c r="CV909" s="1241"/>
      <c r="CW909" s="1241"/>
      <c r="CX909" s="1241"/>
      <c r="CY909" s="1241"/>
      <c r="CZ909" s="1241"/>
      <c r="DA909" s="1241"/>
      <c r="DB909" s="1241"/>
      <c r="DC909" s="1241"/>
      <c r="DD909" s="1241"/>
      <c r="DE909" s="1241"/>
      <c r="DF909" s="1241"/>
      <c r="DG909" s="1241"/>
      <c r="DH909" s="1241"/>
      <c r="DI909" s="1241"/>
      <c r="DJ909" s="1241"/>
      <c r="DK909" s="1241"/>
      <c r="DL909" s="1241"/>
      <c r="DM909" s="1241"/>
    </row>
    <row r="910" spans="1:117" s="1302" customFormat="1" ht="16">
      <c r="A910" s="1459" t="s">
        <v>4106</v>
      </c>
      <c r="B910" s="1508"/>
      <c r="C910" s="1241" t="s">
        <v>122</v>
      </c>
      <c r="D910" s="1243"/>
      <c r="E910" s="1242" t="s">
        <v>4680</v>
      </c>
      <c r="F910" s="1529"/>
      <c r="G910" s="1471"/>
      <c r="H910" s="1471">
        <v>202.96995598737985</v>
      </c>
      <c r="I910" s="1471">
        <v>221.71676981600802</v>
      </c>
      <c r="J910" s="1471">
        <v>309.09355098576543</v>
      </c>
      <c r="K910" s="1471">
        <v>414.65124665483108</v>
      </c>
      <c r="L910" s="1471">
        <v>491.01750976630552</v>
      </c>
      <c r="M910" s="1471">
        <v>561.34464790174661</v>
      </c>
      <c r="N910" s="1471">
        <v>611.87825265933486</v>
      </c>
      <c r="O910" s="1471">
        <v>375.23493537148329</v>
      </c>
      <c r="P910" s="1241"/>
      <c r="Q910" s="1241"/>
      <c r="R910" s="1241"/>
      <c r="S910" s="1241"/>
      <c r="T910" s="1241"/>
      <c r="U910" s="1241"/>
      <c r="V910" s="1241"/>
      <c r="W910" s="1241"/>
      <c r="X910" s="1241"/>
      <c r="Y910" s="1241"/>
      <c r="Z910" s="1241"/>
      <c r="AA910" s="1241"/>
      <c r="AB910" s="1241"/>
      <c r="AC910" s="1241"/>
      <c r="AD910" s="1241"/>
      <c r="AE910" s="1241"/>
      <c r="AF910" s="1241"/>
      <c r="AG910" s="1241"/>
      <c r="AH910" s="1241"/>
      <c r="AI910" s="1241"/>
      <c r="AJ910" s="1241"/>
      <c r="AK910" s="1241"/>
      <c r="AL910" s="1241"/>
      <c r="AM910" s="1241"/>
      <c r="AN910" s="1241"/>
      <c r="AO910" s="1241"/>
      <c r="AP910" s="1241"/>
      <c r="AQ910" s="1241"/>
      <c r="AR910" s="1241"/>
      <c r="AS910" s="1241"/>
      <c r="AT910" s="1241"/>
      <c r="AU910" s="1241"/>
      <c r="AV910" s="1241"/>
      <c r="AW910" s="1241"/>
      <c r="AX910" s="1241"/>
      <c r="AY910" s="1241"/>
      <c r="AZ910" s="1241"/>
      <c r="BA910" s="1241"/>
      <c r="BB910" s="1241"/>
      <c r="BC910" s="1241"/>
      <c r="BD910" s="1241"/>
      <c r="BE910" s="1241"/>
      <c r="BF910" s="1241"/>
      <c r="BG910" s="1241"/>
      <c r="BH910" s="1241"/>
      <c r="BI910" s="1241"/>
      <c r="BJ910" s="1241"/>
      <c r="BK910" s="1241"/>
      <c r="BL910" s="1241"/>
      <c r="BM910" s="1241"/>
      <c r="BN910" s="1241"/>
      <c r="BO910" s="1241"/>
      <c r="BP910" s="1241"/>
      <c r="BQ910" s="1241"/>
      <c r="BR910" s="1241"/>
      <c r="BS910" s="1241"/>
      <c r="BT910" s="1241"/>
      <c r="BU910" s="1241"/>
      <c r="BV910" s="1241"/>
      <c r="BW910" s="1241"/>
      <c r="BX910" s="1241"/>
      <c r="BY910" s="1241"/>
      <c r="BZ910" s="1241"/>
      <c r="CA910" s="1241"/>
      <c r="CB910" s="1241"/>
      <c r="CC910" s="1241"/>
      <c r="CD910" s="1241"/>
      <c r="CE910" s="1241"/>
      <c r="CF910" s="1241"/>
      <c r="CG910" s="1241"/>
      <c r="CH910" s="1241"/>
      <c r="CI910" s="1241"/>
      <c r="CJ910" s="1241"/>
      <c r="CK910" s="1241"/>
      <c r="CL910" s="1241"/>
      <c r="CM910" s="1241"/>
      <c r="CN910" s="1241"/>
      <c r="CO910" s="1241"/>
      <c r="CP910" s="1241"/>
      <c r="CQ910" s="1241"/>
      <c r="CR910" s="1241"/>
      <c r="CS910" s="1241"/>
      <c r="CT910" s="1241"/>
      <c r="CU910" s="1241"/>
      <c r="CV910" s="1241"/>
      <c r="CW910" s="1241"/>
      <c r="CX910" s="1241"/>
      <c r="CY910" s="1241"/>
      <c r="CZ910" s="1241"/>
      <c r="DA910" s="1241"/>
      <c r="DB910" s="1241"/>
      <c r="DC910" s="1241"/>
      <c r="DD910" s="1241"/>
      <c r="DE910" s="1241"/>
      <c r="DF910" s="1241"/>
      <c r="DG910" s="1241"/>
      <c r="DH910" s="1241"/>
      <c r="DI910" s="1241"/>
      <c r="DJ910" s="1241"/>
      <c r="DK910" s="1241"/>
      <c r="DL910" s="1241"/>
      <c r="DM910" s="1241"/>
    </row>
    <row r="911" spans="1:117" s="1302" customFormat="1" ht="16">
      <c r="A911" s="1459"/>
      <c r="B911" s="1459"/>
      <c r="C911" s="1241" t="s">
        <v>4297</v>
      </c>
      <c r="D911" s="1243"/>
      <c r="E911" s="1242" t="s">
        <v>4680</v>
      </c>
      <c r="F911" s="1529"/>
      <c r="G911" s="1471"/>
      <c r="H911" s="1471">
        <v>1.2329490070791455E-2</v>
      </c>
      <c r="I911" s="1471">
        <v>6.6415831482331627E-4</v>
      </c>
      <c r="J911" s="1471">
        <v>1.0089811277737926E-3</v>
      </c>
      <c r="K911" s="1471">
        <v>1.4708708758446589E-3</v>
      </c>
      <c r="L911" s="1471">
        <v>1.8791915347738301E-3</v>
      </c>
      <c r="M911" s="1471">
        <v>2.3094162241526768E-3</v>
      </c>
      <c r="N911" s="1471">
        <v>2.6970432341305115E-3</v>
      </c>
      <c r="O911" s="1471">
        <v>1.2897958990523047E-3</v>
      </c>
      <c r="P911" s="1241"/>
      <c r="Q911" s="1241"/>
      <c r="R911" s="1241"/>
      <c r="S911" s="1241"/>
      <c r="T911" s="1241"/>
      <c r="U911" s="1241"/>
      <c r="V911" s="1241"/>
      <c r="W911" s="1241"/>
      <c r="X911" s="1241"/>
      <c r="Y911" s="1241"/>
      <c r="Z911" s="1241"/>
      <c r="AA911" s="1241"/>
      <c r="AB911" s="1241"/>
      <c r="AC911" s="1241"/>
      <c r="AD911" s="1241"/>
      <c r="AE911" s="1241"/>
      <c r="AF911" s="1241"/>
      <c r="AG911" s="1241"/>
      <c r="AH911" s="1241"/>
      <c r="AI911" s="1241"/>
      <c r="AJ911" s="1241"/>
      <c r="AK911" s="1241"/>
      <c r="AL911" s="1241"/>
      <c r="AM911" s="1241"/>
      <c r="AN911" s="1241"/>
      <c r="AO911" s="1241"/>
      <c r="AP911" s="1241"/>
      <c r="AQ911" s="1241"/>
      <c r="AR911" s="1241"/>
      <c r="AS911" s="1241"/>
      <c r="AT911" s="1241"/>
      <c r="AU911" s="1241"/>
      <c r="AV911" s="1241"/>
      <c r="AW911" s="1241"/>
      <c r="AX911" s="1241"/>
      <c r="AY911" s="1241"/>
      <c r="AZ911" s="1241"/>
      <c r="BA911" s="1241"/>
      <c r="BB911" s="1241"/>
      <c r="BC911" s="1241"/>
      <c r="BD911" s="1241"/>
      <c r="BE911" s="1241"/>
      <c r="BF911" s="1241"/>
      <c r="BG911" s="1241"/>
      <c r="BH911" s="1241"/>
      <c r="BI911" s="1241"/>
      <c r="BJ911" s="1241"/>
      <c r="BK911" s="1241"/>
      <c r="BL911" s="1241"/>
      <c r="BM911" s="1241"/>
      <c r="BN911" s="1241"/>
      <c r="BO911" s="1241"/>
      <c r="BP911" s="1241"/>
      <c r="BQ911" s="1241"/>
      <c r="BR911" s="1241"/>
      <c r="BS911" s="1241"/>
      <c r="BT911" s="1241"/>
      <c r="BU911" s="1241"/>
      <c r="BV911" s="1241"/>
      <c r="BW911" s="1241"/>
      <c r="BX911" s="1241"/>
      <c r="BY911" s="1241"/>
      <c r="BZ911" s="1241"/>
      <c r="CA911" s="1241"/>
      <c r="CB911" s="1241"/>
      <c r="CC911" s="1241"/>
      <c r="CD911" s="1241"/>
      <c r="CE911" s="1241"/>
      <c r="CF911" s="1241"/>
      <c r="CG911" s="1241"/>
      <c r="CH911" s="1241"/>
      <c r="CI911" s="1241"/>
      <c r="CJ911" s="1241"/>
      <c r="CK911" s="1241"/>
      <c r="CL911" s="1241"/>
      <c r="CM911" s="1241"/>
      <c r="CN911" s="1241"/>
      <c r="CO911" s="1241"/>
      <c r="CP911" s="1241"/>
      <c r="CQ911" s="1241"/>
      <c r="CR911" s="1241"/>
      <c r="CS911" s="1241"/>
      <c r="CT911" s="1241"/>
      <c r="CU911" s="1241"/>
      <c r="CV911" s="1241"/>
      <c r="CW911" s="1241"/>
      <c r="CX911" s="1241"/>
      <c r="CY911" s="1241"/>
      <c r="CZ911" s="1241"/>
      <c r="DA911" s="1241"/>
      <c r="DB911" s="1241"/>
      <c r="DC911" s="1241"/>
      <c r="DD911" s="1241"/>
      <c r="DE911" s="1241"/>
      <c r="DF911" s="1241"/>
      <c r="DG911" s="1241"/>
      <c r="DH911" s="1241"/>
      <c r="DI911" s="1241"/>
      <c r="DJ911" s="1241"/>
      <c r="DK911" s="1241"/>
      <c r="DL911" s="1241"/>
      <c r="DM911" s="1241"/>
    </row>
    <row r="912" spans="1:117" s="1302" customFormat="1" ht="16">
      <c r="A912" s="1241"/>
      <c r="B912" s="1508"/>
      <c r="C912" s="1241" t="s">
        <v>4298</v>
      </c>
      <c r="D912" s="1243"/>
      <c r="E912" s="1242" t="s">
        <v>4680</v>
      </c>
      <c r="F912" s="1529"/>
      <c r="G912" s="1471"/>
      <c r="H912" s="1471">
        <v>0.45156774444644771</v>
      </c>
      <c r="I912" s="1471">
        <v>1.2803744145525276E-3</v>
      </c>
      <c r="J912" s="1471">
        <v>1.0564770759355475E-3</v>
      </c>
      <c r="K912" s="1471">
        <v>6.8965692444084026E-4</v>
      </c>
      <c r="L912" s="1471">
        <v>6.9080360531105695E-4</v>
      </c>
      <c r="M912" s="1471">
        <v>7.2749443902040312E-4</v>
      </c>
      <c r="N912" s="1471">
        <v>8.3530676359732791E-4</v>
      </c>
      <c r="O912" s="1471">
        <v>6.7530593042565553E-4</v>
      </c>
      <c r="P912" s="1241"/>
      <c r="Q912" s="1241"/>
      <c r="R912" s="1241"/>
      <c r="S912" s="1241"/>
      <c r="T912" s="1241"/>
      <c r="U912" s="1241"/>
      <c r="V912" s="1241"/>
      <c r="W912" s="1241"/>
      <c r="X912" s="1241"/>
      <c r="Y912" s="1241"/>
      <c r="Z912" s="1241"/>
      <c r="AA912" s="1241"/>
      <c r="AB912" s="1241"/>
      <c r="AC912" s="1241"/>
      <c r="AD912" s="1241"/>
      <c r="AE912" s="1241"/>
      <c r="AF912" s="1241"/>
      <c r="AG912" s="1241"/>
      <c r="AH912" s="1241"/>
      <c r="AI912" s="1241"/>
      <c r="AJ912" s="1241"/>
      <c r="AK912" s="1241"/>
      <c r="AL912" s="1241"/>
      <c r="AM912" s="1241"/>
      <c r="AN912" s="1241"/>
      <c r="AO912" s="1241"/>
      <c r="AP912" s="1241"/>
      <c r="AQ912" s="1241"/>
      <c r="AR912" s="1241"/>
      <c r="AS912" s="1241"/>
      <c r="AT912" s="1241"/>
      <c r="AU912" s="1241"/>
      <c r="AV912" s="1241"/>
      <c r="AW912" s="1241"/>
      <c r="AX912" s="1241"/>
      <c r="AY912" s="1241"/>
      <c r="AZ912" s="1241"/>
      <c r="BA912" s="1241"/>
      <c r="BB912" s="1241"/>
      <c r="BC912" s="1241"/>
      <c r="BD912" s="1241"/>
      <c r="BE912" s="1241"/>
      <c r="BF912" s="1241"/>
      <c r="BG912" s="1241"/>
      <c r="BH912" s="1241"/>
      <c r="BI912" s="1241"/>
      <c r="BJ912" s="1241"/>
      <c r="BK912" s="1241"/>
      <c r="BL912" s="1241"/>
      <c r="BM912" s="1241"/>
      <c r="BN912" s="1241"/>
      <c r="BO912" s="1241"/>
      <c r="BP912" s="1241"/>
      <c r="BQ912" s="1241"/>
      <c r="BR912" s="1241"/>
      <c r="BS912" s="1241"/>
      <c r="BT912" s="1241"/>
      <c r="BU912" s="1241"/>
      <c r="BV912" s="1241"/>
      <c r="BW912" s="1241"/>
      <c r="BX912" s="1241"/>
      <c r="BY912" s="1241"/>
      <c r="BZ912" s="1241"/>
      <c r="CA912" s="1241"/>
      <c r="CB912" s="1241"/>
      <c r="CC912" s="1241"/>
      <c r="CD912" s="1241"/>
      <c r="CE912" s="1241"/>
      <c r="CF912" s="1241"/>
      <c r="CG912" s="1241"/>
      <c r="CH912" s="1241"/>
      <c r="CI912" s="1241"/>
      <c r="CJ912" s="1241"/>
      <c r="CK912" s="1241"/>
      <c r="CL912" s="1241"/>
      <c r="CM912" s="1241"/>
      <c r="CN912" s="1241"/>
      <c r="CO912" s="1241"/>
      <c r="CP912" s="1241"/>
      <c r="CQ912" s="1241"/>
      <c r="CR912" s="1241"/>
      <c r="CS912" s="1241"/>
      <c r="CT912" s="1241"/>
      <c r="CU912" s="1241"/>
      <c r="CV912" s="1241"/>
      <c r="CW912" s="1241"/>
      <c r="CX912" s="1241"/>
      <c r="CY912" s="1241"/>
      <c r="CZ912" s="1241"/>
      <c r="DA912" s="1241"/>
      <c r="DB912" s="1241"/>
      <c r="DC912" s="1241"/>
      <c r="DD912" s="1241"/>
      <c r="DE912" s="1241"/>
      <c r="DF912" s="1241"/>
      <c r="DG912" s="1241"/>
      <c r="DH912" s="1241"/>
      <c r="DI912" s="1241"/>
      <c r="DJ912" s="1241"/>
      <c r="DK912" s="1241"/>
      <c r="DL912" s="1241"/>
      <c r="DM912" s="1241"/>
    </row>
    <row r="913" spans="1:117" s="1302" customFormat="1">
      <c r="A913" s="1241"/>
      <c r="B913" s="1508"/>
      <c r="C913" s="1241"/>
      <c r="D913" s="1241"/>
      <c r="E913" s="1508"/>
      <c r="F913" s="1542"/>
      <c r="G913" s="1471"/>
      <c r="H913" s="1471"/>
      <c r="I913" s="1471"/>
      <c r="J913" s="1471"/>
      <c r="K913" s="1471"/>
      <c r="L913" s="1471"/>
      <c r="M913" s="1471"/>
      <c r="N913" s="1471"/>
      <c r="O913" s="1543"/>
      <c r="P913" s="1241"/>
      <c r="Q913" s="1241"/>
      <c r="R913" s="1241"/>
      <c r="S913" s="1241"/>
      <c r="T913" s="1241"/>
      <c r="U913" s="1241"/>
      <c r="V913" s="1241"/>
      <c r="W913" s="1241"/>
      <c r="X913" s="1241"/>
      <c r="Y913" s="1241"/>
      <c r="Z913" s="1241"/>
      <c r="AA913" s="1241"/>
      <c r="AB913" s="1241"/>
      <c r="AC913" s="1241"/>
      <c r="AD913" s="1241"/>
      <c r="AE913" s="1241"/>
      <c r="AF913" s="1241"/>
      <c r="AG913" s="1241"/>
      <c r="AH913" s="1241"/>
      <c r="AI913" s="1241"/>
      <c r="AJ913" s="1241"/>
      <c r="AK913" s="1241"/>
      <c r="AL913" s="1241"/>
      <c r="AM913" s="1241"/>
      <c r="AN913" s="1241"/>
      <c r="AO913" s="1241"/>
      <c r="AP913" s="1241"/>
      <c r="AQ913" s="1241"/>
      <c r="AR913" s="1241"/>
      <c r="AS913" s="1241"/>
      <c r="AT913" s="1241"/>
      <c r="AU913" s="1241"/>
      <c r="AV913" s="1241"/>
      <c r="AW913" s="1241"/>
      <c r="AX913" s="1241"/>
      <c r="AY913" s="1241"/>
      <c r="AZ913" s="1241"/>
      <c r="BA913" s="1241"/>
      <c r="BB913" s="1241"/>
      <c r="BC913" s="1241"/>
      <c r="BD913" s="1241"/>
      <c r="BE913" s="1241"/>
      <c r="BF913" s="1241"/>
      <c r="BG913" s="1241"/>
      <c r="BH913" s="1241"/>
      <c r="BI913" s="1241"/>
      <c r="BJ913" s="1241"/>
      <c r="BK913" s="1241"/>
      <c r="BL913" s="1241"/>
      <c r="BM913" s="1241"/>
      <c r="BN913" s="1241"/>
      <c r="BO913" s="1241"/>
      <c r="BP913" s="1241"/>
      <c r="BQ913" s="1241"/>
      <c r="BR913" s="1241"/>
      <c r="BS913" s="1241"/>
      <c r="BT913" s="1241"/>
      <c r="BU913" s="1241"/>
      <c r="BV913" s="1241"/>
      <c r="BW913" s="1241"/>
      <c r="BX913" s="1241"/>
      <c r="BY913" s="1241"/>
      <c r="BZ913" s="1241"/>
      <c r="CA913" s="1241"/>
      <c r="CB913" s="1241"/>
      <c r="CC913" s="1241"/>
      <c r="CD913" s="1241"/>
      <c r="CE913" s="1241"/>
      <c r="CF913" s="1241"/>
      <c r="CG913" s="1241"/>
      <c r="CH913" s="1241"/>
      <c r="CI913" s="1241"/>
      <c r="CJ913" s="1241"/>
      <c r="CK913" s="1241"/>
      <c r="CL913" s="1241"/>
      <c r="CM913" s="1241"/>
      <c r="CN913" s="1241"/>
      <c r="CO913" s="1241"/>
      <c r="CP913" s="1241"/>
      <c r="CQ913" s="1241"/>
      <c r="CR913" s="1241"/>
      <c r="CS913" s="1241"/>
      <c r="CT913" s="1241"/>
      <c r="CU913" s="1241"/>
      <c r="CV913" s="1241"/>
      <c r="CW913" s="1241"/>
      <c r="CX913" s="1241"/>
      <c r="CY913" s="1241"/>
      <c r="CZ913" s="1241"/>
      <c r="DA913" s="1241"/>
      <c r="DB913" s="1241"/>
      <c r="DC913" s="1241"/>
      <c r="DD913" s="1241"/>
      <c r="DE913" s="1241"/>
      <c r="DF913" s="1241"/>
      <c r="DG913" s="1241"/>
      <c r="DH913" s="1241"/>
      <c r="DI913" s="1241"/>
      <c r="DJ913" s="1241"/>
      <c r="DK913" s="1241"/>
      <c r="DL913" s="1241"/>
      <c r="DM913" s="1241"/>
    </row>
    <row r="914" spans="1:117" ht="16">
      <c r="A914" s="1243"/>
      <c r="B914" s="1520" t="s">
        <v>4338</v>
      </c>
      <c r="C914" s="1520"/>
      <c r="D914" s="1521"/>
      <c r="E914" s="1242" t="s">
        <v>4684</v>
      </c>
      <c r="F914" s="1522"/>
      <c r="G914" s="1489">
        <v>0</v>
      </c>
      <c r="H914" s="1489">
        <v>2.0895279344396704</v>
      </c>
      <c r="I914" s="1489">
        <v>1.9110648042572422</v>
      </c>
      <c r="J914" s="1489">
        <v>1.7258167138687222</v>
      </c>
      <c r="K914" s="1489">
        <v>1.555662754943594</v>
      </c>
      <c r="L914" s="1489">
        <v>1.4066068146664821</v>
      </c>
      <c r="M914" s="1489">
        <v>1.2718392106158396</v>
      </c>
      <c r="N914" s="1489">
        <v>1.1500693172702281</v>
      </c>
      <c r="O914" s="1489">
        <v>1.6195985109446409</v>
      </c>
    </row>
    <row r="915" spans="1:117" s="1302" customFormat="1" ht="16">
      <c r="A915" s="1241"/>
      <c r="B915" s="1570"/>
      <c r="F915" s="1571"/>
      <c r="G915" s="1323"/>
      <c r="H915" s="1323"/>
      <c r="I915" s="1323"/>
      <c r="J915" s="1323"/>
      <c r="K915" s="1323"/>
      <c r="L915" s="1323"/>
      <c r="M915" s="1323"/>
      <c r="N915" s="1323"/>
      <c r="P915" s="1241"/>
      <c r="Q915" s="1241"/>
      <c r="R915" s="1241"/>
      <c r="S915" s="1241"/>
      <c r="T915" s="1241"/>
      <c r="U915" s="1241"/>
      <c r="V915" s="1241"/>
      <c r="W915" s="1241"/>
      <c r="X915" s="1241"/>
      <c r="Y915" s="1241"/>
      <c r="Z915" s="1241"/>
      <c r="AA915" s="1241"/>
      <c r="AB915" s="1241"/>
      <c r="AC915" s="1241"/>
      <c r="AD915" s="1241"/>
      <c r="AE915" s="1241"/>
      <c r="AF915" s="1241"/>
      <c r="AG915" s="1241"/>
      <c r="AH915" s="1241"/>
      <c r="AI915" s="1241"/>
      <c r="AJ915" s="1241"/>
      <c r="AK915" s="1241"/>
      <c r="AL915" s="1241"/>
      <c r="AM915" s="1241"/>
      <c r="AN915" s="1241"/>
      <c r="AO915" s="1241"/>
      <c r="AP915" s="1241"/>
      <c r="AQ915" s="1241"/>
      <c r="AR915" s="1241"/>
      <c r="AS915" s="1241"/>
      <c r="AT915" s="1241"/>
      <c r="AU915" s="1241"/>
      <c r="AV915" s="1241"/>
      <c r="AW915" s="1241"/>
      <c r="AX915" s="1241"/>
      <c r="AY915" s="1241"/>
      <c r="AZ915" s="1241"/>
      <c r="BA915" s="1241"/>
      <c r="BB915" s="1241"/>
      <c r="BC915" s="1241"/>
      <c r="BD915" s="1241"/>
      <c r="BE915" s="1241"/>
      <c r="BF915" s="1241"/>
      <c r="BG915" s="1241"/>
      <c r="BH915" s="1241"/>
      <c r="BI915" s="1241"/>
      <c r="BJ915" s="1241"/>
      <c r="BK915" s="1241"/>
      <c r="BL915" s="1241"/>
      <c r="BM915" s="1241"/>
      <c r="BN915" s="1241"/>
      <c r="BO915" s="1241"/>
      <c r="BP915" s="1241"/>
      <c r="BQ915" s="1241"/>
      <c r="BR915" s="1241"/>
      <c r="BS915" s="1241"/>
      <c r="BT915" s="1241"/>
      <c r="BU915" s="1241"/>
      <c r="BV915" s="1241"/>
      <c r="BW915" s="1241"/>
      <c r="BX915" s="1241"/>
      <c r="BY915" s="1241"/>
      <c r="BZ915" s="1241"/>
      <c r="CA915" s="1241"/>
      <c r="CB915" s="1241"/>
      <c r="CC915" s="1241"/>
      <c r="CD915" s="1241"/>
      <c r="CE915" s="1241"/>
      <c r="CF915" s="1241"/>
      <c r="CG915" s="1241"/>
      <c r="CH915" s="1241"/>
      <c r="CI915" s="1241"/>
      <c r="CJ915" s="1241"/>
      <c r="CK915" s="1241"/>
      <c r="CL915" s="1241"/>
      <c r="CM915" s="1241"/>
      <c r="CN915" s="1241"/>
      <c r="CO915" s="1241"/>
      <c r="CP915" s="1241"/>
      <c r="CQ915" s="1241"/>
      <c r="CR915" s="1241"/>
      <c r="CS915" s="1241"/>
      <c r="CT915" s="1241"/>
      <c r="CU915" s="1241"/>
      <c r="CV915" s="1241"/>
      <c r="CW915" s="1241"/>
      <c r="CX915" s="1241"/>
      <c r="CY915" s="1241"/>
      <c r="CZ915" s="1241"/>
      <c r="DA915" s="1241"/>
      <c r="DB915" s="1241"/>
      <c r="DC915" s="1241"/>
      <c r="DD915" s="1241"/>
      <c r="DE915" s="1241"/>
      <c r="DF915" s="1241"/>
      <c r="DG915" s="1241"/>
      <c r="DH915" s="1241"/>
      <c r="DI915" s="1241"/>
      <c r="DJ915" s="1241"/>
      <c r="DK915" s="1241"/>
      <c r="DL915" s="1241"/>
      <c r="DM915" s="1241"/>
    </row>
    <row r="916" spans="1:117" s="1302" customFormat="1">
      <c r="A916" s="1459">
        <v>1.5</v>
      </c>
      <c r="B916" s="1459" t="s">
        <v>4339</v>
      </c>
      <c r="C916" s="1241"/>
      <c r="D916" s="1241"/>
      <c r="E916" s="1528" t="s">
        <v>840</v>
      </c>
      <c r="F916" s="1467"/>
      <c r="G916" s="1224">
        <v>2015</v>
      </c>
      <c r="H916" s="1224">
        <v>2020</v>
      </c>
      <c r="I916" s="1224">
        <v>2022</v>
      </c>
      <c r="J916" s="1224">
        <v>2027</v>
      </c>
      <c r="K916" s="1224">
        <v>2032</v>
      </c>
      <c r="L916" s="1224">
        <v>2037</v>
      </c>
      <c r="M916" s="1224">
        <v>2042</v>
      </c>
      <c r="N916" s="1224">
        <v>2047</v>
      </c>
      <c r="O916" s="1546">
        <v>2030</v>
      </c>
      <c r="P916" s="1241"/>
      <c r="Q916" s="1241"/>
      <c r="R916" s="1241"/>
      <c r="S916" s="1241"/>
      <c r="T916" s="1241"/>
      <c r="U916" s="1241"/>
      <c r="V916" s="1241"/>
      <c r="W916" s="1241"/>
      <c r="X916" s="1241"/>
      <c r="Y916" s="1241"/>
      <c r="Z916" s="1241"/>
      <c r="AA916" s="1241"/>
      <c r="AB916" s="1241"/>
      <c r="AC916" s="1241"/>
      <c r="AD916" s="1241"/>
      <c r="AE916" s="1241"/>
      <c r="AF916" s="1241"/>
      <c r="AG916" s="1241"/>
      <c r="AH916" s="1241"/>
      <c r="AI916" s="1241"/>
      <c r="AJ916" s="1241"/>
      <c r="AK916" s="1241"/>
      <c r="AL916" s="1241"/>
      <c r="AM916" s="1241"/>
      <c r="AN916" s="1241"/>
      <c r="AO916" s="1241"/>
      <c r="AP916" s="1241"/>
      <c r="AQ916" s="1241"/>
      <c r="AR916" s="1241"/>
      <c r="AS916" s="1241"/>
      <c r="AT916" s="1241"/>
      <c r="AU916" s="1241"/>
      <c r="AV916" s="1241"/>
      <c r="AW916" s="1241"/>
      <c r="AX916" s="1241"/>
      <c r="AY916" s="1241"/>
      <c r="AZ916" s="1241"/>
      <c r="BA916" s="1241"/>
      <c r="BB916" s="1241"/>
      <c r="BC916" s="1241"/>
      <c r="BD916" s="1241"/>
      <c r="BE916" s="1241"/>
      <c r="BF916" s="1241"/>
      <c r="BG916" s="1241"/>
      <c r="BH916" s="1241"/>
      <c r="BI916" s="1241"/>
      <c r="BJ916" s="1241"/>
      <c r="BK916" s="1241"/>
      <c r="BL916" s="1241"/>
      <c r="BM916" s="1241"/>
      <c r="BN916" s="1241"/>
      <c r="BO916" s="1241"/>
      <c r="BP916" s="1241"/>
      <c r="BQ916" s="1241"/>
      <c r="BR916" s="1241"/>
      <c r="BS916" s="1241"/>
      <c r="BT916" s="1241"/>
      <c r="BU916" s="1241"/>
      <c r="BV916" s="1241"/>
      <c r="BW916" s="1241"/>
      <c r="BX916" s="1241"/>
      <c r="BY916" s="1241"/>
      <c r="BZ916" s="1241"/>
      <c r="CA916" s="1241"/>
      <c r="CB916" s="1241"/>
      <c r="CC916" s="1241"/>
      <c r="CD916" s="1241"/>
      <c r="CE916" s="1241"/>
      <c r="CF916" s="1241"/>
      <c r="CG916" s="1241"/>
      <c r="CH916" s="1241"/>
      <c r="CI916" s="1241"/>
      <c r="CJ916" s="1241"/>
      <c r="CK916" s="1241"/>
      <c r="CL916" s="1241"/>
      <c r="CM916" s="1241"/>
      <c r="CN916" s="1241"/>
      <c r="CO916" s="1241"/>
      <c r="CP916" s="1241"/>
      <c r="CQ916" s="1241"/>
      <c r="CR916" s="1241"/>
      <c r="CS916" s="1241"/>
      <c r="CT916" s="1241"/>
      <c r="CU916" s="1241"/>
      <c r="CV916" s="1241"/>
      <c r="CW916" s="1241"/>
      <c r="CX916" s="1241"/>
      <c r="CY916" s="1241"/>
      <c r="CZ916" s="1241"/>
      <c r="DA916" s="1241"/>
      <c r="DB916" s="1241"/>
      <c r="DC916" s="1241"/>
      <c r="DD916" s="1241"/>
      <c r="DE916" s="1241"/>
      <c r="DF916" s="1241"/>
      <c r="DG916" s="1241"/>
      <c r="DH916" s="1241"/>
      <c r="DI916" s="1241"/>
      <c r="DJ916" s="1241"/>
      <c r="DK916" s="1241"/>
      <c r="DL916" s="1241"/>
      <c r="DM916" s="1241"/>
    </row>
    <row r="917" spans="1:117" s="1302" customFormat="1">
      <c r="A917" s="1241"/>
      <c r="B917" s="1459"/>
      <c r="C917" s="1466"/>
      <c r="D917" s="1241"/>
      <c r="E917" s="1460"/>
      <c r="F917" s="1467"/>
      <c r="G917" s="1224"/>
      <c r="H917" s="1224"/>
      <c r="I917" s="1224"/>
      <c r="J917" s="1224"/>
      <c r="K917" s="1224"/>
      <c r="L917" s="1224"/>
      <c r="M917" s="1224"/>
      <c r="N917" s="1224"/>
      <c r="O917" s="1467"/>
      <c r="P917" s="1241"/>
      <c r="Q917" s="1241"/>
      <c r="R917" s="1241"/>
      <c r="S917" s="1241"/>
      <c r="T917" s="1241"/>
      <c r="U917" s="1241"/>
      <c r="V917" s="1241"/>
      <c r="W917" s="1241"/>
      <c r="X917" s="1241"/>
      <c r="Y917" s="1241"/>
      <c r="Z917" s="1241"/>
      <c r="AA917" s="1241"/>
      <c r="AB917" s="1241"/>
      <c r="AC917" s="1241"/>
      <c r="AD917" s="1241"/>
      <c r="AE917" s="1241"/>
      <c r="AF917" s="1241"/>
      <c r="AG917" s="1241"/>
      <c r="AH917" s="1241"/>
      <c r="AI917" s="1241"/>
      <c r="AJ917" s="1241"/>
      <c r="AK917" s="1241"/>
      <c r="AL917" s="1241"/>
      <c r="AM917" s="1241"/>
      <c r="AN917" s="1241"/>
      <c r="AO917" s="1241"/>
      <c r="AP917" s="1241"/>
      <c r="AQ917" s="1241"/>
      <c r="AR917" s="1241"/>
      <c r="AS917" s="1241"/>
      <c r="AT917" s="1241"/>
      <c r="AU917" s="1241"/>
      <c r="AV917" s="1241"/>
      <c r="AW917" s="1241"/>
      <c r="AX917" s="1241"/>
      <c r="AY917" s="1241"/>
      <c r="AZ917" s="1241"/>
      <c r="BA917" s="1241"/>
      <c r="BB917" s="1241"/>
      <c r="BC917" s="1241"/>
      <c r="BD917" s="1241"/>
      <c r="BE917" s="1241"/>
      <c r="BF917" s="1241"/>
      <c r="BG917" s="1241"/>
      <c r="BH917" s="1241"/>
      <c r="BI917" s="1241"/>
      <c r="BJ917" s="1241"/>
      <c r="BK917" s="1241"/>
      <c r="BL917" s="1241"/>
      <c r="BM917" s="1241"/>
      <c r="BN917" s="1241"/>
      <c r="BO917" s="1241"/>
      <c r="BP917" s="1241"/>
      <c r="BQ917" s="1241"/>
      <c r="BR917" s="1241"/>
      <c r="BS917" s="1241"/>
      <c r="BT917" s="1241"/>
      <c r="BU917" s="1241"/>
      <c r="BV917" s="1241"/>
      <c r="BW917" s="1241"/>
      <c r="BX917" s="1241"/>
      <c r="BY917" s="1241"/>
      <c r="BZ917" s="1241"/>
      <c r="CA917" s="1241"/>
      <c r="CB917" s="1241"/>
      <c r="CC917" s="1241"/>
      <c r="CD917" s="1241"/>
      <c r="CE917" s="1241"/>
      <c r="CF917" s="1241"/>
      <c r="CG917" s="1241"/>
      <c r="CH917" s="1241"/>
      <c r="CI917" s="1241"/>
      <c r="CJ917" s="1241"/>
      <c r="CK917" s="1241"/>
      <c r="CL917" s="1241"/>
      <c r="CM917" s="1241"/>
      <c r="CN917" s="1241"/>
      <c r="CO917" s="1241"/>
      <c r="CP917" s="1241"/>
      <c r="CQ917" s="1241"/>
      <c r="CR917" s="1241"/>
      <c r="CS917" s="1241"/>
      <c r="CT917" s="1241"/>
      <c r="CU917" s="1241"/>
      <c r="CV917" s="1241"/>
      <c r="CW917" s="1241"/>
      <c r="CX917" s="1241"/>
      <c r="CY917" s="1241"/>
      <c r="CZ917" s="1241"/>
      <c r="DA917" s="1241"/>
      <c r="DB917" s="1241"/>
      <c r="DC917" s="1241"/>
      <c r="DD917" s="1241"/>
      <c r="DE917" s="1241"/>
      <c r="DF917" s="1241"/>
      <c r="DG917" s="1241"/>
      <c r="DH917" s="1241"/>
      <c r="DI917" s="1241"/>
      <c r="DJ917" s="1241"/>
      <c r="DK917" s="1241"/>
      <c r="DL917" s="1241"/>
      <c r="DM917" s="1241"/>
    </row>
    <row r="918" spans="1:117" s="1302" customFormat="1">
      <c r="A918" s="1241"/>
      <c r="B918" s="1468" t="s">
        <v>4340</v>
      </c>
      <c r="C918" s="1241"/>
      <c r="D918" s="1241"/>
      <c r="E918" s="1469" t="s">
        <v>3925</v>
      </c>
      <c r="F918" s="1529"/>
      <c r="G918" s="1471">
        <v>16.63</v>
      </c>
      <c r="H918" s="1471">
        <v>20.306000000000001</v>
      </c>
      <c r="I918" s="1471">
        <v>22.466600000000199</v>
      </c>
      <c r="J918" s="1471">
        <v>27.86810000000014</v>
      </c>
      <c r="K918" s="1471">
        <v>33.269600000000082</v>
      </c>
      <c r="L918" s="1471">
        <v>38.671100000000024</v>
      </c>
      <c r="M918" s="1471">
        <v>44.072599999999966</v>
      </c>
      <c r="N918" s="1471">
        <v>49.474099999999908</v>
      </c>
      <c r="O918" s="1471">
        <v>31.108999999999924</v>
      </c>
      <c r="P918" s="1241"/>
      <c r="Q918" s="1241"/>
      <c r="R918" s="1241"/>
      <c r="S918" s="1241"/>
      <c r="T918" s="1241"/>
      <c r="U918" s="1241"/>
      <c r="V918" s="1241"/>
      <c r="W918" s="1241"/>
      <c r="X918" s="1241"/>
      <c r="Y918" s="1241"/>
      <c r="Z918" s="1241"/>
      <c r="AA918" s="1241"/>
      <c r="AB918" s="1241"/>
      <c r="AC918" s="1241"/>
      <c r="AD918" s="1241"/>
      <c r="AE918" s="1241"/>
      <c r="AF918" s="1241"/>
      <c r="AG918" s="1241"/>
      <c r="AH918" s="1241"/>
      <c r="AI918" s="1241"/>
      <c r="AJ918" s="1241"/>
      <c r="AK918" s="1241"/>
      <c r="AL918" s="1241"/>
      <c r="AM918" s="1241"/>
      <c r="AN918" s="1241"/>
      <c r="AO918" s="1241"/>
      <c r="AP918" s="1241"/>
      <c r="AQ918" s="1241"/>
      <c r="AR918" s="1241"/>
      <c r="AS918" s="1241"/>
      <c r="AT918" s="1241"/>
      <c r="AU918" s="1241"/>
      <c r="AV918" s="1241"/>
      <c r="AW918" s="1241"/>
      <c r="AX918" s="1241"/>
      <c r="AY918" s="1241"/>
      <c r="AZ918" s="1241"/>
      <c r="BA918" s="1241"/>
      <c r="BB918" s="1241"/>
      <c r="BC918" s="1241"/>
      <c r="BD918" s="1241"/>
      <c r="BE918" s="1241"/>
      <c r="BF918" s="1241"/>
      <c r="BG918" s="1241"/>
      <c r="BH918" s="1241"/>
      <c r="BI918" s="1241"/>
      <c r="BJ918" s="1241"/>
      <c r="BK918" s="1241"/>
      <c r="BL918" s="1241"/>
      <c r="BM918" s="1241"/>
      <c r="BN918" s="1241"/>
      <c r="BO918" s="1241"/>
      <c r="BP918" s="1241"/>
      <c r="BQ918" s="1241"/>
      <c r="BR918" s="1241"/>
      <c r="BS918" s="1241"/>
      <c r="BT918" s="1241"/>
      <c r="BU918" s="1241"/>
      <c r="BV918" s="1241"/>
      <c r="BW918" s="1241"/>
      <c r="BX918" s="1241"/>
      <c r="BY918" s="1241"/>
      <c r="BZ918" s="1241"/>
      <c r="CA918" s="1241"/>
      <c r="CB918" s="1241"/>
      <c r="CC918" s="1241"/>
      <c r="CD918" s="1241"/>
      <c r="CE918" s="1241"/>
      <c r="CF918" s="1241"/>
      <c r="CG918" s="1241"/>
      <c r="CH918" s="1241"/>
      <c r="CI918" s="1241"/>
      <c r="CJ918" s="1241"/>
      <c r="CK918" s="1241"/>
      <c r="CL918" s="1241"/>
      <c r="CM918" s="1241"/>
      <c r="CN918" s="1241"/>
      <c r="CO918" s="1241"/>
      <c r="CP918" s="1241"/>
      <c r="CQ918" s="1241"/>
      <c r="CR918" s="1241"/>
      <c r="CS918" s="1241"/>
      <c r="CT918" s="1241"/>
      <c r="CU918" s="1241"/>
      <c r="CV918" s="1241"/>
      <c r="CW918" s="1241"/>
      <c r="CX918" s="1241"/>
      <c r="CY918" s="1241"/>
      <c r="CZ918" s="1241"/>
      <c r="DA918" s="1241"/>
      <c r="DB918" s="1241"/>
      <c r="DC918" s="1241"/>
      <c r="DD918" s="1241"/>
      <c r="DE918" s="1241"/>
      <c r="DF918" s="1241"/>
      <c r="DG918" s="1241"/>
      <c r="DH918" s="1241"/>
      <c r="DI918" s="1241"/>
      <c r="DJ918" s="1241"/>
      <c r="DK918" s="1241"/>
      <c r="DL918" s="1241"/>
      <c r="DM918" s="1241"/>
    </row>
    <row r="919" spans="1:117" s="1302" customFormat="1">
      <c r="A919" s="1241"/>
      <c r="B919" s="1468" t="s">
        <v>3849</v>
      </c>
      <c r="C919" s="1241"/>
      <c r="D919" s="1241"/>
      <c r="E919" s="1469" t="s">
        <v>420</v>
      </c>
      <c r="F919" s="1529"/>
      <c r="G919" s="1471">
        <v>10.724686999999999</v>
      </c>
      <c r="H919" s="1471">
        <v>11.127688000000001</v>
      </c>
      <c r="I919" s="1471">
        <v>12.159505021305101</v>
      </c>
      <c r="J919" s="1471">
        <v>14.621127544505393</v>
      </c>
      <c r="K919" s="1471">
        <v>16.920611214492247</v>
      </c>
      <c r="L919" s="1471">
        <v>19.065577084512185</v>
      </c>
      <c r="M919" s="1471">
        <v>21.063331524124479</v>
      </c>
      <c r="N919" s="1471">
        <v>22.920878344720222</v>
      </c>
      <c r="O919" s="1471">
        <v>16.019779479397545</v>
      </c>
      <c r="P919" s="1241"/>
      <c r="Q919" s="1241"/>
      <c r="R919" s="1241"/>
      <c r="S919" s="1241"/>
      <c r="T919" s="1241"/>
      <c r="U919" s="1241"/>
      <c r="V919" s="1241"/>
      <c r="W919" s="1241"/>
      <c r="X919" s="1241"/>
      <c r="Y919" s="1241"/>
      <c r="Z919" s="1241"/>
      <c r="AA919" s="1241"/>
      <c r="AB919" s="1241"/>
      <c r="AC919" s="1241"/>
      <c r="AD919" s="1241"/>
      <c r="AE919" s="1241"/>
      <c r="AF919" s="1241"/>
      <c r="AG919" s="1241"/>
      <c r="AH919" s="1241"/>
      <c r="AI919" s="1241"/>
      <c r="AJ919" s="1241"/>
      <c r="AK919" s="1241"/>
      <c r="AL919" s="1241"/>
      <c r="AM919" s="1241"/>
      <c r="AN919" s="1241"/>
      <c r="AO919" s="1241"/>
      <c r="AP919" s="1241"/>
      <c r="AQ919" s="1241"/>
      <c r="AR919" s="1241"/>
      <c r="AS919" s="1241"/>
      <c r="AT919" s="1241"/>
      <c r="AU919" s="1241"/>
      <c r="AV919" s="1241"/>
      <c r="AW919" s="1241"/>
      <c r="AX919" s="1241"/>
      <c r="AY919" s="1241"/>
      <c r="AZ919" s="1241"/>
      <c r="BA919" s="1241"/>
      <c r="BB919" s="1241"/>
      <c r="BC919" s="1241"/>
      <c r="BD919" s="1241"/>
      <c r="BE919" s="1241"/>
      <c r="BF919" s="1241"/>
      <c r="BG919" s="1241"/>
      <c r="BH919" s="1241"/>
      <c r="BI919" s="1241"/>
      <c r="BJ919" s="1241"/>
      <c r="BK919" s="1241"/>
      <c r="BL919" s="1241"/>
      <c r="BM919" s="1241"/>
      <c r="BN919" s="1241"/>
      <c r="BO919" s="1241"/>
      <c r="BP919" s="1241"/>
      <c r="BQ919" s="1241"/>
      <c r="BR919" s="1241"/>
      <c r="BS919" s="1241"/>
      <c r="BT919" s="1241"/>
      <c r="BU919" s="1241"/>
      <c r="BV919" s="1241"/>
      <c r="BW919" s="1241"/>
      <c r="BX919" s="1241"/>
      <c r="BY919" s="1241"/>
      <c r="BZ919" s="1241"/>
      <c r="CA919" s="1241"/>
      <c r="CB919" s="1241"/>
      <c r="CC919" s="1241"/>
      <c r="CD919" s="1241"/>
      <c r="CE919" s="1241"/>
      <c r="CF919" s="1241"/>
      <c r="CG919" s="1241"/>
      <c r="CH919" s="1241"/>
      <c r="CI919" s="1241"/>
      <c r="CJ919" s="1241"/>
      <c r="CK919" s="1241"/>
      <c r="CL919" s="1241"/>
      <c r="CM919" s="1241"/>
      <c r="CN919" s="1241"/>
      <c r="CO919" s="1241"/>
      <c r="CP919" s="1241"/>
      <c r="CQ919" s="1241"/>
      <c r="CR919" s="1241"/>
      <c r="CS919" s="1241"/>
      <c r="CT919" s="1241"/>
      <c r="CU919" s="1241"/>
      <c r="CV919" s="1241"/>
      <c r="CW919" s="1241"/>
      <c r="CX919" s="1241"/>
      <c r="CY919" s="1241"/>
      <c r="CZ919" s="1241"/>
      <c r="DA919" s="1241"/>
      <c r="DB919" s="1241"/>
      <c r="DC919" s="1241"/>
      <c r="DD919" s="1241"/>
      <c r="DE919" s="1241"/>
      <c r="DF919" s="1241"/>
      <c r="DG919" s="1241"/>
      <c r="DH919" s="1241"/>
      <c r="DI919" s="1241"/>
      <c r="DJ919" s="1241"/>
      <c r="DK919" s="1241"/>
      <c r="DL919" s="1241"/>
      <c r="DM919" s="1241"/>
    </row>
    <row r="920" spans="1:117" s="1302" customFormat="1">
      <c r="A920" s="1243"/>
      <c r="B920" s="1243"/>
      <c r="C920" s="1214"/>
      <c r="D920" s="1243"/>
      <c r="E920" s="1215"/>
      <c r="F920" s="1472"/>
      <c r="G920" s="1473"/>
      <c r="H920" s="1473"/>
      <c r="I920" s="1473"/>
      <c r="J920" s="1473"/>
      <c r="K920" s="1473"/>
      <c r="L920" s="1473"/>
      <c r="M920" s="1473"/>
      <c r="N920" s="1473"/>
      <c r="O920" s="1472"/>
      <c r="P920" s="1241"/>
      <c r="Q920" s="1241"/>
      <c r="R920" s="1241"/>
      <c r="S920" s="1241"/>
      <c r="T920" s="1241"/>
      <c r="U920" s="1241"/>
      <c r="V920" s="1241"/>
      <c r="W920" s="1241"/>
      <c r="X920" s="1241"/>
      <c r="Y920" s="1241"/>
      <c r="Z920" s="1241"/>
      <c r="AA920" s="1241"/>
      <c r="AB920" s="1241"/>
      <c r="AC920" s="1241"/>
      <c r="AD920" s="1241"/>
      <c r="AE920" s="1241"/>
      <c r="AF920" s="1241"/>
      <c r="AG920" s="1241"/>
      <c r="AH920" s="1241"/>
      <c r="AI920" s="1241"/>
      <c r="AJ920" s="1241"/>
      <c r="AK920" s="1241"/>
      <c r="AL920" s="1241"/>
      <c r="AM920" s="1241"/>
      <c r="AN920" s="1241"/>
      <c r="AO920" s="1241"/>
      <c r="AP920" s="1241"/>
      <c r="AQ920" s="1241"/>
      <c r="AR920" s="1241"/>
      <c r="AS920" s="1241"/>
      <c r="AT920" s="1241"/>
      <c r="AU920" s="1241"/>
      <c r="AV920" s="1241"/>
      <c r="AW920" s="1241"/>
      <c r="AX920" s="1241"/>
      <c r="AY920" s="1241"/>
      <c r="AZ920" s="1241"/>
      <c r="BA920" s="1241"/>
      <c r="BB920" s="1241"/>
      <c r="BC920" s="1241"/>
      <c r="BD920" s="1241"/>
      <c r="BE920" s="1241"/>
      <c r="BF920" s="1241"/>
      <c r="BG920" s="1241"/>
      <c r="BH920" s="1241"/>
      <c r="BI920" s="1241"/>
      <c r="BJ920" s="1241"/>
      <c r="BK920" s="1241"/>
      <c r="BL920" s="1241"/>
      <c r="BM920" s="1241"/>
      <c r="BN920" s="1241"/>
      <c r="BO920" s="1241"/>
      <c r="BP920" s="1241"/>
      <c r="BQ920" s="1241"/>
      <c r="BR920" s="1241"/>
      <c r="BS920" s="1241"/>
      <c r="BT920" s="1241"/>
      <c r="BU920" s="1241"/>
      <c r="BV920" s="1241"/>
      <c r="BW920" s="1241"/>
      <c r="BX920" s="1241"/>
      <c r="BY920" s="1241"/>
      <c r="BZ920" s="1241"/>
      <c r="CA920" s="1241"/>
      <c r="CB920" s="1241"/>
      <c r="CC920" s="1241"/>
      <c r="CD920" s="1241"/>
      <c r="CE920" s="1241"/>
      <c r="CF920" s="1241"/>
      <c r="CG920" s="1241"/>
      <c r="CH920" s="1241"/>
      <c r="CI920" s="1241"/>
      <c r="CJ920" s="1241"/>
      <c r="CK920" s="1241"/>
      <c r="CL920" s="1241"/>
      <c r="CM920" s="1241"/>
      <c r="CN920" s="1241"/>
      <c r="CO920" s="1241"/>
      <c r="CP920" s="1241"/>
      <c r="CQ920" s="1241"/>
      <c r="CR920" s="1241"/>
      <c r="CS920" s="1241"/>
      <c r="CT920" s="1241"/>
      <c r="CU920" s="1241"/>
      <c r="CV920" s="1241"/>
      <c r="CW920" s="1241"/>
      <c r="CX920" s="1241"/>
      <c r="CY920" s="1241"/>
      <c r="CZ920" s="1241"/>
      <c r="DA920" s="1241"/>
      <c r="DB920" s="1241"/>
      <c r="DC920" s="1241"/>
      <c r="DD920" s="1241"/>
      <c r="DE920" s="1241"/>
      <c r="DF920" s="1241"/>
      <c r="DG920" s="1241"/>
      <c r="DH920" s="1241"/>
      <c r="DI920" s="1241"/>
      <c r="DJ920" s="1241"/>
      <c r="DK920" s="1241"/>
      <c r="DL920" s="1241"/>
      <c r="DM920" s="1241"/>
    </row>
    <row r="921" spans="1:117" s="1302" customFormat="1">
      <c r="A921" s="1459"/>
      <c r="B921" s="1530" t="s">
        <v>4341</v>
      </c>
      <c r="C921" s="1531"/>
      <c r="D921" s="1531"/>
      <c r="E921" s="1532" t="s">
        <v>840</v>
      </c>
      <c r="F921" s="1533"/>
      <c r="G921" s="1534">
        <v>2015</v>
      </c>
      <c r="H921" s="1534">
        <v>2020</v>
      </c>
      <c r="I921" s="1534">
        <v>2022</v>
      </c>
      <c r="J921" s="1534">
        <v>2027</v>
      </c>
      <c r="K921" s="1534">
        <v>2032</v>
      </c>
      <c r="L921" s="1534">
        <v>2037</v>
      </c>
      <c r="M921" s="1534">
        <v>2042</v>
      </c>
      <c r="N921" s="1534">
        <v>2047</v>
      </c>
      <c r="O921" s="1534">
        <v>2030</v>
      </c>
      <c r="P921" s="1241"/>
      <c r="Q921" s="1241"/>
      <c r="R921" s="1241"/>
      <c r="S921" s="1241"/>
      <c r="T921" s="1241"/>
      <c r="U921" s="1241"/>
      <c r="V921" s="1241"/>
      <c r="W921" s="1241"/>
      <c r="X921" s="1241"/>
      <c r="Y921" s="1241"/>
      <c r="Z921" s="1241"/>
      <c r="AA921" s="1241"/>
      <c r="AB921" s="1241"/>
      <c r="AC921" s="1241"/>
      <c r="AD921" s="1241"/>
      <c r="AE921" s="1241"/>
      <c r="AF921" s="1241"/>
      <c r="AG921" s="1241"/>
      <c r="AH921" s="1241"/>
      <c r="AI921" s="1241"/>
      <c r="AJ921" s="1241"/>
      <c r="AK921" s="1241"/>
      <c r="AL921" s="1241"/>
      <c r="AM921" s="1241"/>
      <c r="AN921" s="1241"/>
      <c r="AO921" s="1241"/>
      <c r="AP921" s="1241"/>
      <c r="AQ921" s="1241"/>
      <c r="AR921" s="1241"/>
      <c r="AS921" s="1241"/>
      <c r="AT921" s="1241"/>
      <c r="AU921" s="1241"/>
      <c r="AV921" s="1241"/>
      <c r="AW921" s="1241"/>
      <c r="AX921" s="1241"/>
      <c r="AY921" s="1241"/>
      <c r="AZ921" s="1241"/>
      <c r="BA921" s="1241"/>
      <c r="BB921" s="1241"/>
      <c r="BC921" s="1241"/>
      <c r="BD921" s="1241"/>
      <c r="BE921" s="1241"/>
      <c r="BF921" s="1241"/>
      <c r="BG921" s="1241"/>
      <c r="BH921" s="1241"/>
      <c r="BI921" s="1241"/>
      <c r="BJ921" s="1241"/>
      <c r="BK921" s="1241"/>
      <c r="BL921" s="1241"/>
      <c r="BM921" s="1241"/>
      <c r="BN921" s="1241"/>
      <c r="BO921" s="1241"/>
      <c r="BP921" s="1241"/>
      <c r="BQ921" s="1241"/>
      <c r="BR921" s="1241"/>
      <c r="BS921" s="1241"/>
      <c r="BT921" s="1241"/>
      <c r="BU921" s="1241"/>
      <c r="BV921" s="1241"/>
      <c r="BW921" s="1241"/>
      <c r="BX921" s="1241"/>
      <c r="BY921" s="1241"/>
      <c r="BZ921" s="1241"/>
      <c r="CA921" s="1241"/>
      <c r="CB921" s="1241"/>
      <c r="CC921" s="1241"/>
      <c r="CD921" s="1241"/>
      <c r="CE921" s="1241"/>
      <c r="CF921" s="1241"/>
      <c r="CG921" s="1241"/>
      <c r="CH921" s="1241"/>
      <c r="CI921" s="1241"/>
      <c r="CJ921" s="1241"/>
      <c r="CK921" s="1241"/>
      <c r="CL921" s="1241"/>
      <c r="CM921" s="1241"/>
      <c r="CN921" s="1241"/>
      <c r="CO921" s="1241"/>
      <c r="CP921" s="1241"/>
      <c r="CQ921" s="1241"/>
      <c r="CR921" s="1241"/>
      <c r="CS921" s="1241"/>
      <c r="CT921" s="1241"/>
      <c r="CU921" s="1241"/>
      <c r="CV921" s="1241"/>
      <c r="CW921" s="1241"/>
      <c r="CX921" s="1241"/>
      <c r="CY921" s="1241"/>
      <c r="CZ921" s="1241"/>
      <c r="DA921" s="1241"/>
      <c r="DB921" s="1241"/>
      <c r="DC921" s="1241"/>
      <c r="DD921" s="1241"/>
      <c r="DE921" s="1241"/>
      <c r="DF921" s="1241"/>
      <c r="DG921" s="1241"/>
      <c r="DH921" s="1241"/>
      <c r="DI921" s="1241"/>
      <c r="DJ921" s="1241"/>
      <c r="DK921" s="1241"/>
      <c r="DL921" s="1241"/>
      <c r="DM921" s="1241"/>
    </row>
    <row r="922" spans="1:117" s="1302" customFormat="1">
      <c r="A922" s="1243"/>
      <c r="B922" s="1475" t="s">
        <v>4264</v>
      </c>
      <c r="C922" s="1476"/>
      <c r="D922" s="1475"/>
      <c r="E922" s="1477"/>
      <c r="F922" s="1478"/>
      <c r="G922" s="1479"/>
      <c r="H922" s="1479"/>
      <c r="I922" s="1479"/>
      <c r="J922" s="1479"/>
      <c r="K922" s="1479"/>
      <c r="L922" s="1479"/>
      <c r="M922" s="1479"/>
      <c r="N922" s="1479"/>
      <c r="O922" s="1478"/>
      <c r="P922" s="1241"/>
      <c r="Q922" s="1241"/>
      <c r="R922" s="1241"/>
      <c r="S922" s="1241"/>
      <c r="T922" s="1241"/>
      <c r="U922" s="1241"/>
      <c r="V922" s="1241"/>
      <c r="W922" s="1241"/>
      <c r="X922" s="1241"/>
      <c r="Y922" s="1241"/>
      <c r="Z922" s="1241"/>
      <c r="AA922" s="1241"/>
      <c r="AB922" s="1241"/>
      <c r="AC922" s="1241"/>
      <c r="AD922" s="1241"/>
      <c r="AE922" s="1241"/>
      <c r="AF922" s="1241"/>
      <c r="AG922" s="1241"/>
      <c r="AH922" s="1241"/>
      <c r="AI922" s="1241"/>
      <c r="AJ922" s="1241"/>
      <c r="AK922" s="1241"/>
      <c r="AL922" s="1241"/>
      <c r="AM922" s="1241"/>
      <c r="AN922" s="1241"/>
      <c r="AO922" s="1241"/>
      <c r="AP922" s="1241"/>
      <c r="AQ922" s="1241"/>
      <c r="AR922" s="1241"/>
      <c r="AS922" s="1241"/>
      <c r="AT922" s="1241"/>
      <c r="AU922" s="1241"/>
      <c r="AV922" s="1241"/>
      <c r="AW922" s="1241"/>
      <c r="AX922" s="1241"/>
      <c r="AY922" s="1241"/>
      <c r="AZ922" s="1241"/>
      <c r="BA922" s="1241"/>
      <c r="BB922" s="1241"/>
      <c r="BC922" s="1241"/>
      <c r="BD922" s="1241"/>
      <c r="BE922" s="1241"/>
      <c r="BF922" s="1241"/>
      <c r="BG922" s="1241"/>
      <c r="BH922" s="1241"/>
      <c r="BI922" s="1241"/>
      <c r="BJ922" s="1241"/>
      <c r="BK922" s="1241"/>
      <c r="BL922" s="1241"/>
      <c r="BM922" s="1241"/>
      <c r="BN922" s="1241"/>
      <c r="BO922" s="1241"/>
      <c r="BP922" s="1241"/>
      <c r="BQ922" s="1241"/>
      <c r="BR922" s="1241"/>
      <c r="BS922" s="1241"/>
      <c r="BT922" s="1241"/>
      <c r="BU922" s="1241"/>
      <c r="BV922" s="1241"/>
      <c r="BW922" s="1241"/>
      <c r="BX922" s="1241"/>
      <c r="BY922" s="1241"/>
      <c r="BZ922" s="1241"/>
      <c r="CA922" s="1241"/>
      <c r="CB922" s="1241"/>
      <c r="CC922" s="1241"/>
      <c r="CD922" s="1241"/>
      <c r="CE922" s="1241"/>
      <c r="CF922" s="1241"/>
      <c r="CG922" s="1241"/>
      <c r="CH922" s="1241"/>
      <c r="CI922" s="1241"/>
      <c r="CJ922" s="1241"/>
      <c r="CK922" s="1241"/>
      <c r="CL922" s="1241"/>
      <c r="CM922" s="1241"/>
      <c r="CN922" s="1241"/>
      <c r="CO922" s="1241"/>
      <c r="CP922" s="1241"/>
      <c r="CQ922" s="1241"/>
      <c r="CR922" s="1241"/>
      <c r="CS922" s="1241"/>
      <c r="CT922" s="1241"/>
      <c r="CU922" s="1241"/>
      <c r="CV922" s="1241"/>
      <c r="CW922" s="1241"/>
      <c r="CX922" s="1241"/>
      <c r="CY922" s="1241"/>
      <c r="CZ922" s="1241"/>
      <c r="DA922" s="1241"/>
      <c r="DB922" s="1241"/>
      <c r="DC922" s="1241"/>
      <c r="DD922" s="1241"/>
      <c r="DE922" s="1241"/>
      <c r="DF922" s="1241"/>
      <c r="DG922" s="1241"/>
      <c r="DH922" s="1241"/>
      <c r="DI922" s="1241"/>
      <c r="DJ922" s="1241"/>
      <c r="DK922" s="1241"/>
      <c r="DL922" s="1241"/>
      <c r="DM922" s="1241"/>
    </row>
    <row r="923" spans="1:117" s="1302" customFormat="1">
      <c r="A923" s="1243"/>
      <c r="B923" s="1480" t="s">
        <v>4342</v>
      </c>
      <c r="C923" s="1480"/>
      <c r="D923" s="1481"/>
      <c r="E923" s="1482" t="s">
        <v>4688</v>
      </c>
      <c r="F923" s="1483"/>
      <c r="G923" s="1487">
        <v>0.64490000000000003</v>
      </c>
      <c r="H923" s="1487">
        <v>0.54800000000000004</v>
      </c>
      <c r="I923" s="1487">
        <v>0.54122586512000004</v>
      </c>
      <c r="J923" s="1487">
        <v>0.52465462462476165</v>
      </c>
      <c r="K923" s="1487">
        <v>0.50859076197165598</v>
      </c>
      <c r="L923" s="1487">
        <v>0.49301874227813985</v>
      </c>
      <c r="M923" s="1487">
        <v>0.4779235063083298</v>
      </c>
      <c r="N923" s="1487">
        <v>0.46329045590966311</v>
      </c>
      <c r="O923" s="1487">
        <v>0.51495642673816533</v>
      </c>
      <c r="P923" s="1241"/>
      <c r="Q923" s="1241"/>
      <c r="R923" s="1241"/>
      <c r="S923" s="1241"/>
      <c r="T923" s="1241"/>
      <c r="U923" s="1241"/>
      <c r="V923" s="1241"/>
      <c r="W923" s="1241"/>
      <c r="X923" s="1241"/>
      <c r="Y923" s="1241"/>
      <c r="Z923" s="1241"/>
      <c r="AA923" s="1241"/>
      <c r="AB923" s="1241"/>
      <c r="AC923" s="1241"/>
      <c r="AD923" s="1241"/>
      <c r="AE923" s="1241"/>
      <c r="AF923" s="1241"/>
      <c r="AG923" s="1241"/>
      <c r="AH923" s="1241"/>
      <c r="AI923" s="1241"/>
      <c r="AJ923" s="1241"/>
      <c r="AK923" s="1241"/>
      <c r="AL923" s="1241"/>
      <c r="AM923" s="1241"/>
      <c r="AN923" s="1241"/>
      <c r="AO923" s="1241"/>
      <c r="AP923" s="1241"/>
      <c r="AQ923" s="1241"/>
      <c r="AR923" s="1241"/>
      <c r="AS923" s="1241"/>
      <c r="AT923" s="1241"/>
      <c r="AU923" s="1241"/>
      <c r="AV923" s="1241"/>
      <c r="AW923" s="1241"/>
      <c r="AX923" s="1241"/>
      <c r="AY923" s="1241"/>
      <c r="AZ923" s="1241"/>
      <c r="BA923" s="1241"/>
      <c r="BB923" s="1241"/>
      <c r="BC923" s="1241"/>
      <c r="BD923" s="1241"/>
      <c r="BE923" s="1241"/>
      <c r="BF923" s="1241"/>
      <c r="BG923" s="1241"/>
      <c r="BH923" s="1241"/>
      <c r="BI923" s="1241"/>
      <c r="BJ923" s="1241"/>
      <c r="BK923" s="1241"/>
      <c r="BL923" s="1241"/>
      <c r="BM923" s="1241"/>
      <c r="BN923" s="1241"/>
      <c r="BO923" s="1241"/>
      <c r="BP923" s="1241"/>
      <c r="BQ923" s="1241"/>
      <c r="BR923" s="1241"/>
      <c r="BS923" s="1241"/>
      <c r="BT923" s="1241"/>
      <c r="BU923" s="1241"/>
      <c r="BV923" s="1241"/>
      <c r="BW923" s="1241"/>
      <c r="BX923" s="1241"/>
      <c r="BY923" s="1241"/>
      <c r="BZ923" s="1241"/>
      <c r="CA923" s="1241"/>
      <c r="CB923" s="1241"/>
      <c r="CC923" s="1241"/>
      <c r="CD923" s="1241"/>
      <c r="CE923" s="1241"/>
      <c r="CF923" s="1241"/>
      <c r="CG923" s="1241"/>
      <c r="CH923" s="1241"/>
      <c r="CI923" s="1241"/>
      <c r="CJ923" s="1241"/>
      <c r="CK923" s="1241"/>
      <c r="CL923" s="1241"/>
      <c r="CM923" s="1241"/>
      <c r="CN923" s="1241"/>
      <c r="CO923" s="1241"/>
      <c r="CP923" s="1241"/>
      <c r="CQ923" s="1241"/>
      <c r="CR923" s="1241"/>
      <c r="CS923" s="1241"/>
      <c r="CT923" s="1241"/>
      <c r="CU923" s="1241"/>
      <c r="CV923" s="1241"/>
      <c r="CW923" s="1241"/>
      <c r="CX923" s="1241"/>
      <c r="CY923" s="1241"/>
      <c r="CZ923" s="1241"/>
      <c r="DA923" s="1241"/>
      <c r="DB923" s="1241"/>
      <c r="DC923" s="1241"/>
      <c r="DD923" s="1241"/>
      <c r="DE923" s="1241"/>
      <c r="DF923" s="1241"/>
      <c r="DG923" s="1241"/>
      <c r="DH923" s="1241"/>
      <c r="DI923" s="1241"/>
      <c r="DJ923" s="1241"/>
      <c r="DK923" s="1241"/>
      <c r="DL923" s="1241"/>
      <c r="DM923" s="1241"/>
    </row>
    <row r="924" spans="1:117" s="1302" customFormat="1">
      <c r="A924" s="1243"/>
      <c r="B924" s="1480"/>
      <c r="C924" s="1480"/>
      <c r="D924" s="1481"/>
      <c r="E924" s="1482"/>
      <c r="F924" s="1483"/>
      <c r="G924" s="1487"/>
      <c r="H924" s="1487"/>
      <c r="I924" s="1487"/>
      <c r="J924" s="1487"/>
      <c r="K924" s="1487"/>
      <c r="L924" s="1487"/>
      <c r="M924" s="1487"/>
      <c r="N924" s="1487"/>
      <c r="O924" s="1487"/>
      <c r="P924" s="1241"/>
      <c r="Q924" s="1241"/>
      <c r="R924" s="1241"/>
      <c r="S924" s="1241"/>
      <c r="T924" s="1241"/>
      <c r="U924" s="1241"/>
      <c r="V924" s="1241"/>
      <c r="W924" s="1241"/>
      <c r="X924" s="1241"/>
      <c r="Y924" s="1241"/>
      <c r="Z924" s="1241"/>
      <c r="AA924" s="1241"/>
      <c r="AB924" s="1241"/>
      <c r="AC924" s="1241"/>
      <c r="AD924" s="1241"/>
      <c r="AE924" s="1241"/>
      <c r="AF924" s="1241"/>
      <c r="AG924" s="1241"/>
      <c r="AH924" s="1241"/>
      <c r="AI924" s="1241"/>
      <c r="AJ924" s="1241"/>
      <c r="AK924" s="1241"/>
      <c r="AL924" s="1241"/>
      <c r="AM924" s="1241"/>
      <c r="AN924" s="1241"/>
      <c r="AO924" s="1241"/>
      <c r="AP924" s="1241"/>
      <c r="AQ924" s="1241"/>
      <c r="AR924" s="1241"/>
      <c r="AS924" s="1241"/>
      <c r="AT924" s="1241"/>
      <c r="AU924" s="1241"/>
      <c r="AV924" s="1241"/>
      <c r="AW924" s="1241"/>
      <c r="AX924" s="1241"/>
      <c r="AY924" s="1241"/>
      <c r="AZ924" s="1241"/>
      <c r="BA924" s="1241"/>
      <c r="BB924" s="1241"/>
      <c r="BC924" s="1241"/>
      <c r="BD924" s="1241"/>
      <c r="BE924" s="1241"/>
      <c r="BF924" s="1241"/>
      <c r="BG924" s="1241"/>
      <c r="BH924" s="1241"/>
      <c r="BI924" s="1241"/>
      <c r="BJ924" s="1241"/>
      <c r="BK924" s="1241"/>
      <c r="BL924" s="1241"/>
      <c r="BM924" s="1241"/>
      <c r="BN924" s="1241"/>
      <c r="BO924" s="1241"/>
      <c r="BP924" s="1241"/>
      <c r="BQ924" s="1241"/>
      <c r="BR924" s="1241"/>
      <c r="BS924" s="1241"/>
      <c r="BT924" s="1241"/>
      <c r="BU924" s="1241"/>
      <c r="BV924" s="1241"/>
      <c r="BW924" s="1241"/>
      <c r="BX924" s="1241"/>
      <c r="BY924" s="1241"/>
      <c r="BZ924" s="1241"/>
      <c r="CA924" s="1241"/>
      <c r="CB924" s="1241"/>
      <c r="CC924" s="1241"/>
      <c r="CD924" s="1241"/>
      <c r="CE924" s="1241"/>
      <c r="CF924" s="1241"/>
      <c r="CG924" s="1241"/>
      <c r="CH924" s="1241"/>
      <c r="CI924" s="1241"/>
      <c r="CJ924" s="1241"/>
      <c r="CK924" s="1241"/>
      <c r="CL924" s="1241"/>
      <c r="CM924" s="1241"/>
      <c r="CN924" s="1241"/>
      <c r="CO924" s="1241"/>
      <c r="CP924" s="1241"/>
      <c r="CQ924" s="1241"/>
      <c r="CR924" s="1241"/>
      <c r="CS924" s="1241"/>
      <c r="CT924" s="1241"/>
      <c r="CU924" s="1241"/>
      <c r="CV924" s="1241"/>
      <c r="CW924" s="1241"/>
      <c r="CX924" s="1241"/>
      <c r="CY924" s="1241"/>
      <c r="CZ924" s="1241"/>
      <c r="DA924" s="1241"/>
      <c r="DB924" s="1241"/>
      <c r="DC924" s="1241"/>
      <c r="DD924" s="1241"/>
      <c r="DE924" s="1241"/>
      <c r="DF924" s="1241"/>
      <c r="DG924" s="1241"/>
      <c r="DH924" s="1241"/>
      <c r="DI924" s="1241"/>
      <c r="DJ924" s="1241"/>
      <c r="DK924" s="1241"/>
      <c r="DL924" s="1241"/>
      <c r="DM924" s="1241"/>
    </row>
    <row r="925" spans="1:117" s="1302" customFormat="1">
      <c r="A925" s="1243"/>
      <c r="B925" s="1480" t="s">
        <v>4266</v>
      </c>
      <c r="C925" s="1480"/>
      <c r="D925" s="1481"/>
      <c r="E925" s="1482" t="s">
        <v>420</v>
      </c>
      <c r="F925" s="1536"/>
      <c r="G925" s="1487">
        <v>0</v>
      </c>
      <c r="H925" s="1487">
        <v>9.1132399999999993</v>
      </c>
      <c r="I925" s="1487">
        <v>10.990132417126722</v>
      </c>
      <c r="J925" s="1487">
        <v>11.787205589594775</v>
      </c>
      <c r="K925" s="1487">
        <v>14.173458213702377</v>
      </c>
      <c r="L925" s="1487">
        <v>16.402536348096842</v>
      </c>
      <c r="M925" s="1487">
        <v>18.481827704800065</v>
      </c>
      <c r="N925" s="1487">
        <v>20.418414947124202</v>
      </c>
      <c r="O925" s="1487">
        <v>14.350857195981938</v>
      </c>
      <c r="P925" s="1241"/>
      <c r="Q925" s="1241"/>
      <c r="R925" s="1241"/>
      <c r="S925" s="1241"/>
      <c r="T925" s="1241"/>
      <c r="U925" s="1241"/>
      <c r="V925" s="1241"/>
      <c r="W925" s="1241"/>
      <c r="X925" s="1241"/>
      <c r="Y925" s="1241"/>
      <c r="Z925" s="1241"/>
      <c r="AA925" s="1241"/>
      <c r="AB925" s="1241"/>
      <c r="AC925" s="1241"/>
      <c r="AD925" s="1241"/>
      <c r="AE925" s="1241"/>
      <c r="AF925" s="1241"/>
      <c r="AG925" s="1241"/>
      <c r="AH925" s="1241"/>
      <c r="AI925" s="1241"/>
      <c r="AJ925" s="1241"/>
      <c r="AK925" s="1241"/>
      <c r="AL925" s="1241"/>
      <c r="AM925" s="1241"/>
      <c r="AN925" s="1241"/>
      <c r="AO925" s="1241"/>
      <c r="AP925" s="1241"/>
      <c r="AQ925" s="1241"/>
      <c r="AR925" s="1241"/>
      <c r="AS925" s="1241"/>
      <c r="AT925" s="1241"/>
      <c r="AU925" s="1241"/>
      <c r="AV925" s="1241"/>
      <c r="AW925" s="1241"/>
      <c r="AX925" s="1241"/>
      <c r="AY925" s="1241"/>
      <c r="AZ925" s="1241"/>
      <c r="BA925" s="1241"/>
      <c r="BB925" s="1241"/>
      <c r="BC925" s="1241"/>
      <c r="BD925" s="1241"/>
      <c r="BE925" s="1241"/>
      <c r="BF925" s="1241"/>
      <c r="BG925" s="1241"/>
      <c r="BH925" s="1241"/>
      <c r="BI925" s="1241"/>
      <c r="BJ925" s="1241"/>
      <c r="BK925" s="1241"/>
      <c r="BL925" s="1241"/>
      <c r="BM925" s="1241"/>
      <c r="BN925" s="1241"/>
      <c r="BO925" s="1241"/>
      <c r="BP925" s="1241"/>
      <c r="BQ925" s="1241"/>
      <c r="BR925" s="1241"/>
      <c r="BS925" s="1241"/>
      <c r="BT925" s="1241"/>
      <c r="BU925" s="1241"/>
      <c r="BV925" s="1241"/>
      <c r="BW925" s="1241"/>
      <c r="BX925" s="1241"/>
      <c r="BY925" s="1241"/>
      <c r="BZ925" s="1241"/>
      <c r="CA925" s="1241"/>
      <c r="CB925" s="1241"/>
      <c r="CC925" s="1241"/>
      <c r="CD925" s="1241"/>
      <c r="CE925" s="1241"/>
      <c r="CF925" s="1241"/>
      <c r="CG925" s="1241"/>
      <c r="CH925" s="1241"/>
      <c r="CI925" s="1241"/>
      <c r="CJ925" s="1241"/>
      <c r="CK925" s="1241"/>
      <c r="CL925" s="1241"/>
      <c r="CM925" s="1241"/>
      <c r="CN925" s="1241"/>
      <c r="CO925" s="1241"/>
      <c r="CP925" s="1241"/>
      <c r="CQ925" s="1241"/>
      <c r="CR925" s="1241"/>
      <c r="CS925" s="1241"/>
      <c r="CT925" s="1241"/>
      <c r="CU925" s="1241"/>
      <c r="CV925" s="1241"/>
      <c r="CW925" s="1241"/>
      <c r="CX925" s="1241"/>
      <c r="CY925" s="1241"/>
      <c r="CZ925" s="1241"/>
      <c r="DA925" s="1241"/>
      <c r="DB925" s="1241"/>
      <c r="DC925" s="1241"/>
      <c r="DD925" s="1241"/>
      <c r="DE925" s="1241"/>
      <c r="DF925" s="1241"/>
      <c r="DG925" s="1241"/>
      <c r="DH925" s="1241"/>
      <c r="DI925" s="1241"/>
      <c r="DJ925" s="1241"/>
      <c r="DK925" s="1241"/>
      <c r="DL925" s="1241"/>
      <c r="DM925" s="1241"/>
    </row>
    <row r="926" spans="1:117" s="1302" customFormat="1">
      <c r="A926" s="1243"/>
      <c r="B926" s="1481"/>
      <c r="C926" s="1480"/>
      <c r="D926" s="1481"/>
      <c r="E926" s="1537"/>
      <c r="F926" s="1487"/>
      <c r="G926" s="1487"/>
      <c r="H926" s="1487"/>
      <c r="I926" s="1487"/>
      <c r="J926" s="1487"/>
      <c r="K926" s="1487"/>
      <c r="L926" s="1487"/>
      <c r="M926" s="1487"/>
      <c r="N926" s="1487"/>
      <c r="O926" s="1487"/>
      <c r="P926" s="1241"/>
      <c r="Q926" s="1241"/>
      <c r="R926" s="1241"/>
      <c r="S926" s="1241"/>
      <c r="T926" s="1241"/>
      <c r="U926" s="1241"/>
      <c r="V926" s="1241"/>
      <c r="W926" s="1241"/>
      <c r="X926" s="1241"/>
      <c r="Y926" s="1241"/>
      <c r="Z926" s="1241"/>
      <c r="AA926" s="1241"/>
      <c r="AB926" s="1241"/>
      <c r="AC926" s="1241"/>
      <c r="AD926" s="1241"/>
      <c r="AE926" s="1241"/>
      <c r="AF926" s="1241"/>
      <c r="AG926" s="1241"/>
      <c r="AH926" s="1241"/>
      <c r="AI926" s="1241"/>
      <c r="AJ926" s="1241"/>
      <c r="AK926" s="1241"/>
      <c r="AL926" s="1241"/>
      <c r="AM926" s="1241"/>
      <c r="AN926" s="1241"/>
      <c r="AO926" s="1241"/>
      <c r="AP926" s="1241"/>
      <c r="AQ926" s="1241"/>
      <c r="AR926" s="1241"/>
      <c r="AS926" s="1241"/>
      <c r="AT926" s="1241"/>
      <c r="AU926" s="1241"/>
      <c r="AV926" s="1241"/>
      <c r="AW926" s="1241"/>
      <c r="AX926" s="1241"/>
      <c r="AY926" s="1241"/>
      <c r="AZ926" s="1241"/>
      <c r="BA926" s="1241"/>
      <c r="BB926" s="1241"/>
      <c r="BC926" s="1241"/>
      <c r="BD926" s="1241"/>
      <c r="BE926" s="1241"/>
      <c r="BF926" s="1241"/>
      <c r="BG926" s="1241"/>
      <c r="BH926" s="1241"/>
      <c r="BI926" s="1241"/>
      <c r="BJ926" s="1241"/>
      <c r="BK926" s="1241"/>
      <c r="BL926" s="1241"/>
      <c r="BM926" s="1241"/>
      <c r="BN926" s="1241"/>
      <c r="BO926" s="1241"/>
      <c r="BP926" s="1241"/>
      <c r="BQ926" s="1241"/>
      <c r="BR926" s="1241"/>
      <c r="BS926" s="1241"/>
      <c r="BT926" s="1241"/>
      <c r="BU926" s="1241"/>
      <c r="BV926" s="1241"/>
      <c r="BW926" s="1241"/>
      <c r="BX926" s="1241"/>
      <c r="BY926" s="1241"/>
      <c r="BZ926" s="1241"/>
      <c r="CA926" s="1241"/>
      <c r="CB926" s="1241"/>
      <c r="CC926" s="1241"/>
      <c r="CD926" s="1241"/>
      <c r="CE926" s="1241"/>
      <c r="CF926" s="1241"/>
      <c r="CG926" s="1241"/>
      <c r="CH926" s="1241"/>
      <c r="CI926" s="1241"/>
      <c r="CJ926" s="1241"/>
      <c r="CK926" s="1241"/>
      <c r="CL926" s="1241"/>
      <c r="CM926" s="1241"/>
      <c r="CN926" s="1241"/>
      <c r="CO926" s="1241"/>
      <c r="CP926" s="1241"/>
      <c r="CQ926" s="1241"/>
      <c r="CR926" s="1241"/>
      <c r="CS926" s="1241"/>
      <c r="CT926" s="1241"/>
      <c r="CU926" s="1241"/>
      <c r="CV926" s="1241"/>
      <c r="CW926" s="1241"/>
      <c r="CX926" s="1241"/>
      <c r="CY926" s="1241"/>
      <c r="CZ926" s="1241"/>
      <c r="DA926" s="1241"/>
      <c r="DB926" s="1241"/>
      <c r="DC926" s="1241"/>
      <c r="DD926" s="1241"/>
      <c r="DE926" s="1241"/>
      <c r="DF926" s="1241"/>
      <c r="DG926" s="1241"/>
      <c r="DH926" s="1241"/>
      <c r="DI926" s="1241"/>
      <c r="DJ926" s="1241"/>
      <c r="DK926" s="1241"/>
      <c r="DL926" s="1241"/>
      <c r="DM926" s="1241"/>
    </row>
    <row r="927" spans="1:117" s="1302" customFormat="1">
      <c r="A927" s="1243"/>
      <c r="B927" s="1480" t="s">
        <v>4267</v>
      </c>
      <c r="C927" s="1480"/>
      <c r="D927" s="1481"/>
      <c r="E927" s="1482" t="s">
        <v>1065</v>
      </c>
      <c r="F927" s="1522"/>
      <c r="G927" s="1487" t="s">
        <v>3878</v>
      </c>
      <c r="H927" s="1487">
        <v>1.6114470000000001</v>
      </c>
      <c r="I927" s="1487">
        <v>0.13755558287327929</v>
      </c>
      <c r="J927" s="1487">
        <v>0.37229943171032609</v>
      </c>
      <c r="K927" s="1487">
        <v>0.44766933080301641</v>
      </c>
      <c r="L927" s="1487">
        <v>0.51807486639540556</v>
      </c>
      <c r="M927" s="1487">
        <v>0.58374937971212049</v>
      </c>
      <c r="N927" s="1487">
        <v>0.64491657700027716</v>
      </c>
      <c r="O927" s="1487">
        <v>0.27027034852345544</v>
      </c>
      <c r="P927" s="1241"/>
      <c r="Q927" s="1241"/>
      <c r="R927" s="1241"/>
      <c r="S927" s="1241"/>
      <c r="T927" s="1241"/>
      <c r="U927" s="1241"/>
      <c r="V927" s="1241"/>
      <c r="W927" s="1241"/>
      <c r="X927" s="1241"/>
      <c r="Y927" s="1241"/>
      <c r="Z927" s="1241"/>
      <c r="AA927" s="1241"/>
      <c r="AB927" s="1241"/>
      <c r="AC927" s="1241"/>
      <c r="AD927" s="1241"/>
      <c r="AE927" s="1241"/>
      <c r="AF927" s="1241"/>
      <c r="AG927" s="1241"/>
      <c r="AH927" s="1241"/>
      <c r="AI927" s="1241"/>
      <c r="AJ927" s="1241"/>
      <c r="AK927" s="1241"/>
      <c r="AL927" s="1241"/>
      <c r="AM927" s="1241"/>
      <c r="AN927" s="1241"/>
      <c r="AO927" s="1241"/>
      <c r="AP927" s="1241"/>
      <c r="AQ927" s="1241"/>
      <c r="AR927" s="1241"/>
      <c r="AS927" s="1241"/>
      <c r="AT927" s="1241"/>
      <c r="AU927" s="1241"/>
      <c r="AV927" s="1241"/>
      <c r="AW927" s="1241"/>
      <c r="AX927" s="1241"/>
      <c r="AY927" s="1241"/>
      <c r="AZ927" s="1241"/>
      <c r="BA927" s="1241"/>
      <c r="BB927" s="1241"/>
      <c r="BC927" s="1241"/>
      <c r="BD927" s="1241"/>
      <c r="BE927" s="1241"/>
      <c r="BF927" s="1241"/>
      <c r="BG927" s="1241"/>
      <c r="BH927" s="1241"/>
      <c r="BI927" s="1241"/>
      <c r="BJ927" s="1241"/>
      <c r="BK927" s="1241"/>
      <c r="BL927" s="1241"/>
      <c r="BM927" s="1241"/>
      <c r="BN927" s="1241"/>
      <c r="BO927" s="1241"/>
      <c r="BP927" s="1241"/>
      <c r="BQ927" s="1241"/>
      <c r="BR927" s="1241"/>
      <c r="BS927" s="1241"/>
      <c r="BT927" s="1241"/>
      <c r="BU927" s="1241"/>
      <c r="BV927" s="1241"/>
      <c r="BW927" s="1241"/>
      <c r="BX927" s="1241"/>
      <c r="BY927" s="1241"/>
      <c r="BZ927" s="1241"/>
      <c r="CA927" s="1241"/>
      <c r="CB927" s="1241"/>
      <c r="CC927" s="1241"/>
      <c r="CD927" s="1241"/>
      <c r="CE927" s="1241"/>
      <c r="CF927" s="1241"/>
      <c r="CG927" s="1241"/>
      <c r="CH927" s="1241"/>
      <c r="CI927" s="1241"/>
      <c r="CJ927" s="1241"/>
      <c r="CK927" s="1241"/>
      <c r="CL927" s="1241"/>
      <c r="CM927" s="1241"/>
      <c r="CN927" s="1241"/>
      <c r="CO927" s="1241"/>
      <c r="CP927" s="1241"/>
      <c r="CQ927" s="1241"/>
      <c r="CR927" s="1241"/>
      <c r="CS927" s="1241"/>
      <c r="CT927" s="1241"/>
      <c r="CU927" s="1241"/>
      <c r="CV927" s="1241"/>
      <c r="CW927" s="1241"/>
      <c r="CX927" s="1241"/>
      <c r="CY927" s="1241"/>
      <c r="CZ927" s="1241"/>
      <c r="DA927" s="1241"/>
      <c r="DB927" s="1241"/>
      <c r="DC927" s="1241"/>
      <c r="DD927" s="1241"/>
      <c r="DE927" s="1241"/>
      <c r="DF927" s="1241"/>
      <c r="DG927" s="1241"/>
      <c r="DH927" s="1241"/>
      <c r="DI927" s="1241"/>
      <c r="DJ927" s="1241"/>
      <c r="DK927" s="1241"/>
      <c r="DL927" s="1241"/>
      <c r="DM927" s="1241"/>
    </row>
    <row r="928" spans="1:117" s="1302" customFormat="1">
      <c r="A928" s="1241"/>
      <c r="B928" s="1459"/>
      <c r="C928" s="1241"/>
      <c r="D928" s="1459"/>
      <c r="E928" s="1460"/>
      <c r="F928" s="1540"/>
      <c r="G928" s="1473"/>
      <c r="H928" s="1473"/>
      <c r="I928" s="1473"/>
      <c r="J928" s="1473"/>
      <c r="K928" s="1473"/>
      <c r="L928" s="1473"/>
      <c r="M928" s="1473"/>
      <c r="N928" s="1473"/>
      <c r="O928" s="1540"/>
      <c r="P928" s="1241"/>
      <c r="Q928" s="1241"/>
      <c r="R928" s="1241"/>
      <c r="S928" s="1241"/>
      <c r="T928" s="1241"/>
      <c r="U928" s="1241"/>
      <c r="V928" s="1241"/>
      <c r="W928" s="1241"/>
      <c r="X928" s="1241"/>
      <c r="Y928" s="1241"/>
      <c r="Z928" s="1241"/>
      <c r="AA928" s="1241"/>
      <c r="AB928" s="1241"/>
      <c r="AC928" s="1241"/>
      <c r="AD928" s="1241"/>
      <c r="AE928" s="1241"/>
      <c r="AF928" s="1241"/>
      <c r="AG928" s="1241"/>
      <c r="AH928" s="1241"/>
      <c r="AI928" s="1241"/>
      <c r="AJ928" s="1241"/>
      <c r="AK928" s="1241"/>
      <c r="AL928" s="1241"/>
      <c r="AM928" s="1241"/>
      <c r="AN928" s="1241"/>
      <c r="AO928" s="1241"/>
      <c r="AP928" s="1241"/>
      <c r="AQ928" s="1241"/>
      <c r="AR928" s="1241"/>
      <c r="AS928" s="1241"/>
      <c r="AT928" s="1241"/>
      <c r="AU928" s="1241"/>
      <c r="AV928" s="1241"/>
      <c r="AW928" s="1241"/>
      <c r="AX928" s="1241"/>
      <c r="AY928" s="1241"/>
      <c r="AZ928" s="1241"/>
      <c r="BA928" s="1241"/>
      <c r="BB928" s="1241"/>
      <c r="BC928" s="1241"/>
      <c r="BD928" s="1241"/>
      <c r="BE928" s="1241"/>
      <c r="BF928" s="1241"/>
      <c r="BG928" s="1241"/>
      <c r="BH928" s="1241"/>
      <c r="BI928" s="1241"/>
      <c r="BJ928" s="1241"/>
      <c r="BK928" s="1241"/>
      <c r="BL928" s="1241"/>
      <c r="BM928" s="1241"/>
      <c r="BN928" s="1241"/>
      <c r="BO928" s="1241"/>
      <c r="BP928" s="1241"/>
      <c r="BQ928" s="1241"/>
      <c r="BR928" s="1241"/>
      <c r="BS928" s="1241"/>
      <c r="BT928" s="1241"/>
      <c r="BU928" s="1241"/>
      <c r="BV928" s="1241"/>
      <c r="BW928" s="1241"/>
      <c r="BX928" s="1241"/>
      <c r="BY928" s="1241"/>
      <c r="BZ928" s="1241"/>
      <c r="CA928" s="1241"/>
      <c r="CB928" s="1241"/>
      <c r="CC928" s="1241"/>
      <c r="CD928" s="1241"/>
      <c r="CE928" s="1241"/>
      <c r="CF928" s="1241"/>
      <c r="CG928" s="1241"/>
      <c r="CH928" s="1241"/>
      <c r="CI928" s="1241"/>
      <c r="CJ928" s="1241"/>
      <c r="CK928" s="1241"/>
      <c r="CL928" s="1241"/>
      <c r="CM928" s="1241"/>
      <c r="CN928" s="1241"/>
      <c r="CO928" s="1241"/>
      <c r="CP928" s="1241"/>
      <c r="CQ928" s="1241"/>
      <c r="CR928" s="1241"/>
      <c r="CS928" s="1241"/>
      <c r="CT928" s="1241"/>
      <c r="CU928" s="1241"/>
      <c r="CV928" s="1241"/>
      <c r="CW928" s="1241"/>
      <c r="CX928" s="1241"/>
      <c r="CY928" s="1241"/>
      <c r="CZ928" s="1241"/>
      <c r="DA928" s="1241"/>
      <c r="DB928" s="1241"/>
      <c r="DC928" s="1241"/>
      <c r="DD928" s="1241"/>
      <c r="DE928" s="1241"/>
      <c r="DF928" s="1241"/>
      <c r="DG928" s="1241"/>
      <c r="DH928" s="1241"/>
      <c r="DI928" s="1241"/>
      <c r="DJ928" s="1241"/>
      <c r="DK928" s="1241"/>
      <c r="DL928" s="1241"/>
      <c r="DM928" s="1241"/>
    </row>
    <row r="929" spans="1:117" s="1302" customFormat="1" hidden="1">
      <c r="A929" s="1241"/>
      <c r="B929" s="1558" t="s">
        <v>4343</v>
      </c>
      <c r="C929" s="1559"/>
      <c r="D929" s="1558"/>
      <c r="E929" s="1460"/>
      <c r="F929" s="1540"/>
      <c r="G929" s="1473"/>
      <c r="H929" s="1473"/>
      <c r="I929" s="1473"/>
      <c r="J929" s="1473"/>
      <c r="K929" s="1473"/>
      <c r="L929" s="1473"/>
      <c r="M929" s="1473"/>
      <c r="N929" s="1473"/>
      <c r="O929" s="1540"/>
      <c r="P929" s="1241"/>
      <c r="Q929" s="1241"/>
      <c r="R929" s="1241"/>
      <c r="S929" s="1241"/>
      <c r="T929" s="1241"/>
      <c r="U929" s="1241"/>
      <c r="V929" s="1241"/>
      <c r="W929" s="1241"/>
      <c r="X929" s="1241"/>
      <c r="Y929" s="1241"/>
      <c r="Z929" s="1241"/>
      <c r="AA929" s="1241"/>
      <c r="AB929" s="1241"/>
      <c r="AC929" s="1241"/>
      <c r="AD929" s="1241"/>
      <c r="AE929" s="1241"/>
      <c r="AF929" s="1241"/>
      <c r="AG929" s="1241"/>
      <c r="AH929" s="1241"/>
      <c r="AI929" s="1241"/>
      <c r="AJ929" s="1241"/>
      <c r="AK929" s="1241"/>
      <c r="AL929" s="1241"/>
      <c r="AM929" s="1241"/>
      <c r="AN929" s="1241"/>
      <c r="AO929" s="1241"/>
      <c r="AP929" s="1241"/>
      <c r="AQ929" s="1241"/>
      <c r="AR929" s="1241"/>
      <c r="AS929" s="1241"/>
      <c r="AT929" s="1241"/>
      <c r="AU929" s="1241"/>
      <c r="AV929" s="1241"/>
      <c r="AW929" s="1241"/>
      <c r="AX929" s="1241"/>
      <c r="AY929" s="1241"/>
      <c r="AZ929" s="1241"/>
      <c r="BA929" s="1241"/>
      <c r="BB929" s="1241"/>
      <c r="BC929" s="1241"/>
      <c r="BD929" s="1241"/>
      <c r="BE929" s="1241"/>
      <c r="BF929" s="1241"/>
      <c r="BG929" s="1241"/>
      <c r="BH929" s="1241"/>
      <c r="BI929" s="1241"/>
      <c r="BJ929" s="1241"/>
      <c r="BK929" s="1241"/>
      <c r="BL929" s="1241"/>
      <c r="BM929" s="1241"/>
      <c r="BN929" s="1241"/>
      <c r="BO929" s="1241"/>
      <c r="BP929" s="1241"/>
      <c r="BQ929" s="1241"/>
      <c r="BR929" s="1241"/>
      <c r="BS929" s="1241"/>
      <c r="BT929" s="1241"/>
      <c r="BU929" s="1241"/>
      <c r="BV929" s="1241"/>
      <c r="BW929" s="1241"/>
      <c r="BX929" s="1241"/>
      <c r="BY929" s="1241"/>
      <c r="BZ929" s="1241"/>
      <c r="CA929" s="1241"/>
      <c r="CB929" s="1241"/>
      <c r="CC929" s="1241"/>
      <c r="CD929" s="1241"/>
      <c r="CE929" s="1241"/>
      <c r="CF929" s="1241"/>
      <c r="CG929" s="1241"/>
      <c r="CH929" s="1241"/>
      <c r="CI929" s="1241"/>
      <c r="CJ929" s="1241"/>
      <c r="CK929" s="1241"/>
      <c r="CL929" s="1241"/>
      <c r="CM929" s="1241"/>
      <c r="CN929" s="1241"/>
      <c r="CO929" s="1241"/>
      <c r="CP929" s="1241"/>
      <c r="CQ929" s="1241"/>
      <c r="CR929" s="1241"/>
      <c r="CS929" s="1241"/>
      <c r="CT929" s="1241"/>
      <c r="CU929" s="1241"/>
      <c r="CV929" s="1241"/>
      <c r="CW929" s="1241"/>
      <c r="CX929" s="1241"/>
      <c r="CY929" s="1241"/>
      <c r="CZ929" s="1241"/>
      <c r="DA929" s="1241"/>
      <c r="DB929" s="1241"/>
      <c r="DC929" s="1241"/>
      <c r="DD929" s="1241"/>
      <c r="DE929" s="1241"/>
      <c r="DF929" s="1241"/>
      <c r="DG929" s="1241"/>
      <c r="DH929" s="1241"/>
      <c r="DI929" s="1241"/>
      <c r="DJ929" s="1241"/>
      <c r="DK929" s="1241"/>
      <c r="DL929" s="1241"/>
      <c r="DM929" s="1241"/>
    </row>
    <row r="930" spans="1:117" s="1302" customFormat="1" hidden="1">
      <c r="A930" s="1241"/>
      <c r="B930" s="1558"/>
      <c r="C930" s="1559"/>
      <c r="D930" s="1558"/>
      <c r="E930" s="1460"/>
      <c r="F930" s="1540"/>
      <c r="G930" s="1473"/>
      <c r="H930" s="1473"/>
      <c r="I930" s="1473"/>
      <c r="J930" s="1473"/>
      <c r="K930" s="1473"/>
      <c r="L930" s="1473"/>
      <c r="M930" s="1473"/>
      <c r="N930" s="1473"/>
      <c r="O930" s="1540"/>
      <c r="P930" s="1241"/>
      <c r="Q930" s="1241"/>
      <c r="R930" s="1241"/>
      <c r="S930" s="1241"/>
      <c r="T930" s="1241"/>
      <c r="U930" s="1241"/>
      <c r="V930" s="1241"/>
      <c r="W930" s="1241"/>
      <c r="X930" s="1241"/>
      <c r="Y930" s="1241"/>
      <c r="Z930" s="1241"/>
      <c r="AA930" s="1241"/>
      <c r="AB930" s="1241"/>
      <c r="AC930" s="1241"/>
      <c r="AD930" s="1241"/>
      <c r="AE930" s="1241"/>
      <c r="AF930" s="1241"/>
      <c r="AG930" s="1241"/>
      <c r="AH930" s="1241"/>
      <c r="AI930" s="1241"/>
      <c r="AJ930" s="1241"/>
      <c r="AK930" s="1241"/>
      <c r="AL930" s="1241"/>
      <c r="AM930" s="1241"/>
      <c r="AN930" s="1241"/>
      <c r="AO930" s="1241"/>
      <c r="AP930" s="1241"/>
      <c r="AQ930" s="1241"/>
      <c r="AR930" s="1241"/>
      <c r="AS930" s="1241"/>
      <c r="AT930" s="1241"/>
      <c r="AU930" s="1241"/>
      <c r="AV930" s="1241"/>
      <c r="AW930" s="1241"/>
      <c r="AX930" s="1241"/>
      <c r="AY930" s="1241"/>
      <c r="AZ930" s="1241"/>
      <c r="BA930" s="1241"/>
      <c r="BB930" s="1241"/>
      <c r="BC930" s="1241"/>
      <c r="BD930" s="1241"/>
      <c r="BE930" s="1241"/>
      <c r="BF930" s="1241"/>
      <c r="BG930" s="1241"/>
      <c r="BH930" s="1241"/>
      <c r="BI930" s="1241"/>
      <c r="BJ930" s="1241"/>
      <c r="BK930" s="1241"/>
      <c r="BL930" s="1241"/>
      <c r="BM930" s="1241"/>
      <c r="BN930" s="1241"/>
      <c r="BO930" s="1241"/>
      <c r="BP930" s="1241"/>
      <c r="BQ930" s="1241"/>
      <c r="BR930" s="1241"/>
      <c r="BS930" s="1241"/>
      <c r="BT930" s="1241"/>
      <c r="BU930" s="1241"/>
      <c r="BV930" s="1241"/>
      <c r="BW930" s="1241"/>
      <c r="BX930" s="1241"/>
      <c r="BY930" s="1241"/>
      <c r="BZ930" s="1241"/>
      <c r="CA930" s="1241"/>
      <c r="CB930" s="1241"/>
      <c r="CC930" s="1241"/>
      <c r="CD930" s="1241"/>
      <c r="CE930" s="1241"/>
      <c r="CF930" s="1241"/>
      <c r="CG930" s="1241"/>
      <c r="CH930" s="1241"/>
      <c r="CI930" s="1241"/>
      <c r="CJ930" s="1241"/>
      <c r="CK930" s="1241"/>
      <c r="CL930" s="1241"/>
      <c r="CM930" s="1241"/>
      <c r="CN930" s="1241"/>
      <c r="CO930" s="1241"/>
      <c r="CP930" s="1241"/>
      <c r="CQ930" s="1241"/>
      <c r="CR930" s="1241"/>
      <c r="CS930" s="1241"/>
      <c r="CT930" s="1241"/>
      <c r="CU930" s="1241"/>
      <c r="CV930" s="1241"/>
      <c r="CW930" s="1241"/>
      <c r="CX930" s="1241"/>
      <c r="CY930" s="1241"/>
      <c r="CZ930" s="1241"/>
      <c r="DA930" s="1241"/>
      <c r="DB930" s="1241"/>
      <c r="DC930" s="1241"/>
      <c r="DD930" s="1241"/>
      <c r="DE930" s="1241"/>
      <c r="DF930" s="1241"/>
      <c r="DG930" s="1241"/>
      <c r="DH930" s="1241"/>
      <c r="DI930" s="1241"/>
      <c r="DJ930" s="1241"/>
      <c r="DK930" s="1241"/>
      <c r="DL930" s="1241"/>
      <c r="DM930" s="1241"/>
    </row>
    <row r="931" spans="1:117" s="1302" customFormat="1" hidden="1">
      <c r="A931" s="1241"/>
      <c r="B931" s="1558" t="s">
        <v>4275</v>
      </c>
      <c r="C931" s="1559"/>
      <c r="D931" s="1558"/>
      <c r="E931" s="1460"/>
      <c r="F931" s="1540"/>
      <c r="G931" s="1473" t="s">
        <v>3878</v>
      </c>
      <c r="H931" s="1473" t="s">
        <v>3878</v>
      </c>
      <c r="I931" s="1473">
        <v>111.66474720000001</v>
      </c>
      <c r="J931" s="1473">
        <v>111.66474720000001</v>
      </c>
      <c r="K931" s="1473">
        <v>111.66474720000001</v>
      </c>
      <c r="L931" s="1473">
        <v>111.66474720000001</v>
      </c>
      <c r="M931" s="1473">
        <v>111.66474720000001</v>
      </c>
      <c r="N931" s="1473">
        <v>111.66474720000001</v>
      </c>
      <c r="O931" s="1473">
        <v>111.66474720000001</v>
      </c>
      <c r="P931" s="1241"/>
      <c r="Q931" s="1241"/>
      <c r="R931" s="1241"/>
      <c r="S931" s="1241"/>
      <c r="T931" s="1241"/>
      <c r="U931" s="1241"/>
      <c r="V931" s="1241"/>
      <c r="W931" s="1241"/>
      <c r="X931" s="1241"/>
      <c r="Y931" s="1241"/>
      <c r="Z931" s="1241"/>
      <c r="AA931" s="1241"/>
      <c r="AB931" s="1241"/>
      <c r="AC931" s="1241"/>
      <c r="AD931" s="1241"/>
      <c r="AE931" s="1241"/>
      <c r="AF931" s="1241"/>
      <c r="AG931" s="1241"/>
      <c r="AH931" s="1241"/>
      <c r="AI931" s="1241"/>
      <c r="AJ931" s="1241"/>
      <c r="AK931" s="1241"/>
      <c r="AL931" s="1241"/>
      <c r="AM931" s="1241"/>
      <c r="AN931" s="1241"/>
      <c r="AO931" s="1241"/>
      <c r="AP931" s="1241"/>
      <c r="AQ931" s="1241"/>
      <c r="AR931" s="1241"/>
      <c r="AS931" s="1241"/>
      <c r="AT931" s="1241"/>
      <c r="AU931" s="1241"/>
      <c r="AV931" s="1241"/>
      <c r="AW931" s="1241"/>
      <c r="AX931" s="1241"/>
      <c r="AY931" s="1241"/>
      <c r="AZ931" s="1241"/>
      <c r="BA931" s="1241"/>
      <c r="BB931" s="1241"/>
      <c r="BC931" s="1241"/>
      <c r="BD931" s="1241"/>
      <c r="BE931" s="1241"/>
      <c r="BF931" s="1241"/>
      <c r="BG931" s="1241"/>
      <c r="BH931" s="1241"/>
      <c r="BI931" s="1241"/>
      <c r="BJ931" s="1241"/>
      <c r="BK931" s="1241"/>
      <c r="BL931" s="1241"/>
      <c r="BM931" s="1241"/>
      <c r="BN931" s="1241"/>
      <c r="BO931" s="1241"/>
      <c r="BP931" s="1241"/>
      <c r="BQ931" s="1241"/>
      <c r="BR931" s="1241"/>
      <c r="BS931" s="1241"/>
      <c r="BT931" s="1241"/>
      <c r="BU931" s="1241"/>
      <c r="BV931" s="1241"/>
      <c r="BW931" s="1241"/>
      <c r="BX931" s="1241"/>
      <c r="BY931" s="1241"/>
      <c r="BZ931" s="1241"/>
      <c r="CA931" s="1241"/>
      <c r="CB931" s="1241"/>
      <c r="CC931" s="1241"/>
      <c r="CD931" s="1241"/>
      <c r="CE931" s="1241"/>
      <c r="CF931" s="1241"/>
      <c r="CG931" s="1241"/>
      <c r="CH931" s="1241"/>
      <c r="CI931" s="1241"/>
      <c r="CJ931" s="1241"/>
      <c r="CK931" s="1241"/>
      <c r="CL931" s="1241"/>
      <c r="CM931" s="1241"/>
      <c r="CN931" s="1241"/>
      <c r="CO931" s="1241"/>
      <c r="CP931" s="1241"/>
      <c r="CQ931" s="1241"/>
      <c r="CR931" s="1241"/>
      <c r="CS931" s="1241"/>
      <c r="CT931" s="1241"/>
      <c r="CU931" s="1241"/>
      <c r="CV931" s="1241"/>
      <c r="CW931" s="1241"/>
      <c r="CX931" s="1241"/>
      <c r="CY931" s="1241"/>
      <c r="CZ931" s="1241"/>
      <c r="DA931" s="1241"/>
      <c r="DB931" s="1241"/>
      <c r="DC931" s="1241"/>
      <c r="DD931" s="1241"/>
      <c r="DE931" s="1241"/>
      <c r="DF931" s="1241"/>
      <c r="DG931" s="1241"/>
      <c r="DH931" s="1241"/>
      <c r="DI931" s="1241"/>
      <c r="DJ931" s="1241"/>
      <c r="DK931" s="1241"/>
      <c r="DL931" s="1241"/>
      <c r="DM931" s="1241"/>
    </row>
    <row r="932" spans="1:117" s="1302" customFormat="1" hidden="1">
      <c r="A932" s="1241"/>
      <c r="B932" s="1572" t="s">
        <v>4276</v>
      </c>
      <c r="C932" s="1562"/>
      <c r="D932" s="1563"/>
      <c r="E932" s="1564"/>
      <c r="F932" s="1565"/>
      <c r="G932" s="1566"/>
      <c r="H932" s="1566" t="s">
        <v>3878</v>
      </c>
      <c r="I932" s="1566">
        <v>15.360109387493383</v>
      </c>
      <c r="J932" s="1566">
        <v>41.572721924637229</v>
      </c>
      <c r="K932" s="1566">
        <v>49.988882653312004</v>
      </c>
      <c r="L932" s="1566">
        <v>57.850698986716743</v>
      </c>
      <c r="M932" s="1566">
        <v>65.184226913710745</v>
      </c>
      <c r="N932" s="1566">
        <v>72.014446535825286</v>
      </c>
      <c r="O932" s="1566">
        <v>30.179670143527549</v>
      </c>
      <c r="P932" s="1241"/>
      <c r="Q932" s="1241"/>
      <c r="R932" s="1241"/>
      <c r="S932" s="1241"/>
      <c r="T932" s="1241"/>
      <c r="U932" s="1241"/>
      <c r="V932" s="1241"/>
      <c r="W932" s="1241"/>
      <c r="X932" s="1241"/>
      <c r="Y932" s="1241"/>
      <c r="Z932" s="1241"/>
      <c r="AA932" s="1241"/>
      <c r="AB932" s="1241"/>
      <c r="AC932" s="1241"/>
      <c r="AD932" s="1241"/>
      <c r="AE932" s="1241"/>
      <c r="AF932" s="1241"/>
      <c r="AG932" s="1241"/>
      <c r="AH932" s="1241"/>
      <c r="AI932" s="1241"/>
      <c r="AJ932" s="1241"/>
      <c r="AK932" s="1241"/>
      <c r="AL932" s="1241"/>
      <c r="AM932" s="1241"/>
      <c r="AN932" s="1241"/>
      <c r="AO932" s="1241"/>
      <c r="AP932" s="1241"/>
      <c r="AQ932" s="1241"/>
      <c r="AR932" s="1241"/>
      <c r="AS932" s="1241"/>
      <c r="AT932" s="1241"/>
      <c r="AU932" s="1241"/>
      <c r="AV932" s="1241"/>
      <c r="AW932" s="1241"/>
      <c r="AX932" s="1241"/>
      <c r="AY932" s="1241"/>
      <c r="AZ932" s="1241"/>
      <c r="BA932" s="1241"/>
      <c r="BB932" s="1241"/>
      <c r="BC932" s="1241"/>
      <c r="BD932" s="1241"/>
      <c r="BE932" s="1241"/>
      <c r="BF932" s="1241"/>
      <c r="BG932" s="1241"/>
      <c r="BH932" s="1241"/>
      <c r="BI932" s="1241"/>
      <c r="BJ932" s="1241"/>
      <c r="BK932" s="1241"/>
      <c r="BL932" s="1241"/>
      <c r="BM932" s="1241"/>
      <c r="BN932" s="1241"/>
      <c r="BO932" s="1241"/>
      <c r="BP932" s="1241"/>
      <c r="BQ932" s="1241"/>
      <c r="BR932" s="1241"/>
      <c r="BS932" s="1241"/>
      <c r="BT932" s="1241"/>
      <c r="BU932" s="1241"/>
      <c r="BV932" s="1241"/>
      <c r="BW932" s="1241"/>
      <c r="BX932" s="1241"/>
      <c r="BY932" s="1241"/>
      <c r="BZ932" s="1241"/>
      <c r="CA932" s="1241"/>
      <c r="CB932" s="1241"/>
      <c r="CC932" s="1241"/>
      <c r="CD932" s="1241"/>
      <c r="CE932" s="1241"/>
      <c r="CF932" s="1241"/>
      <c r="CG932" s="1241"/>
      <c r="CH932" s="1241"/>
      <c r="CI932" s="1241"/>
      <c r="CJ932" s="1241"/>
      <c r="CK932" s="1241"/>
      <c r="CL932" s="1241"/>
      <c r="CM932" s="1241"/>
      <c r="CN932" s="1241"/>
      <c r="CO932" s="1241"/>
      <c r="CP932" s="1241"/>
      <c r="CQ932" s="1241"/>
      <c r="CR932" s="1241"/>
      <c r="CS932" s="1241"/>
      <c r="CT932" s="1241"/>
      <c r="CU932" s="1241"/>
      <c r="CV932" s="1241"/>
      <c r="CW932" s="1241"/>
      <c r="CX932" s="1241"/>
      <c r="CY932" s="1241"/>
      <c r="CZ932" s="1241"/>
      <c r="DA932" s="1241"/>
      <c r="DB932" s="1241"/>
      <c r="DC932" s="1241"/>
      <c r="DD932" s="1241"/>
      <c r="DE932" s="1241"/>
      <c r="DF932" s="1241"/>
      <c r="DG932" s="1241"/>
      <c r="DH932" s="1241"/>
      <c r="DI932" s="1241"/>
      <c r="DJ932" s="1241"/>
      <c r="DK932" s="1241"/>
      <c r="DL932" s="1241"/>
      <c r="DM932" s="1241"/>
    </row>
    <row r="933" spans="1:117" s="1302" customFormat="1" hidden="1">
      <c r="A933" s="1241"/>
      <c r="B933" s="1558"/>
      <c r="C933" s="1559"/>
      <c r="D933" s="1558"/>
      <c r="E933" s="1460"/>
      <c r="F933" s="1540"/>
      <c r="G933" s="1473"/>
      <c r="H933" s="1473"/>
      <c r="I933" s="1473"/>
      <c r="J933" s="1473"/>
      <c r="K933" s="1473"/>
      <c r="L933" s="1473"/>
      <c r="M933" s="1473"/>
      <c r="N933" s="1473"/>
      <c r="O933" s="1540"/>
      <c r="P933" s="1241"/>
      <c r="Q933" s="1241"/>
      <c r="R933" s="1241"/>
      <c r="S933" s="1241"/>
      <c r="T933" s="1241"/>
      <c r="U933" s="1241"/>
      <c r="V933" s="1241"/>
      <c r="W933" s="1241"/>
      <c r="X933" s="1241"/>
      <c r="Y933" s="1241"/>
      <c r="Z933" s="1241"/>
      <c r="AA933" s="1241"/>
      <c r="AB933" s="1241"/>
      <c r="AC933" s="1241"/>
      <c r="AD933" s="1241"/>
      <c r="AE933" s="1241"/>
      <c r="AF933" s="1241"/>
      <c r="AG933" s="1241"/>
      <c r="AH933" s="1241"/>
      <c r="AI933" s="1241"/>
      <c r="AJ933" s="1241"/>
      <c r="AK933" s="1241"/>
      <c r="AL933" s="1241"/>
      <c r="AM933" s="1241"/>
      <c r="AN933" s="1241"/>
      <c r="AO933" s="1241"/>
      <c r="AP933" s="1241"/>
      <c r="AQ933" s="1241"/>
      <c r="AR933" s="1241"/>
      <c r="AS933" s="1241"/>
      <c r="AT933" s="1241"/>
      <c r="AU933" s="1241"/>
      <c r="AV933" s="1241"/>
      <c r="AW933" s="1241"/>
      <c r="AX933" s="1241"/>
      <c r="AY933" s="1241"/>
      <c r="AZ933" s="1241"/>
      <c r="BA933" s="1241"/>
      <c r="BB933" s="1241"/>
      <c r="BC933" s="1241"/>
      <c r="BD933" s="1241"/>
      <c r="BE933" s="1241"/>
      <c r="BF933" s="1241"/>
      <c r="BG933" s="1241"/>
      <c r="BH933" s="1241"/>
      <c r="BI933" s="1241"/>
      <c r="BJ933" s="1241"/>
      <c r="BK933" s="1241"/>
      <c r="BL933" s="1241"/>
      <c r="BM933" s="1241"/>
      <c r="BN933" s="1241"/>
      <c r="BO933" s="1241"/>
      <c r="BP933" s="1241"/>
      <c r="BQ933" s="1241"/>
      <c r="BR933" s="1241"/>
      <c r="BS933" s="1241"/>
      <c r="BT933" s="1241"/>
      <c r="BU933" s="1241"/>
      <c r="BV933" s="1241"/>
      <c r="BW933" s="1241"/>
      <c r="BX933" s="1241"/>
      <c r="BY933" s="1241"/>
      <c r="BZ933" s="1241"/>
      <c r="CA933" s="1241"/>
      <c r="CB933" s="1241"/>
      <c r="CC933" s="1241"/>
      <c r="CD933" s="1241"/>
      <c r="CE933" s="1241"/>
      <c r="CF933" s="1241"/>
      <c r="CG933" s="1241"/>
      <c r="CH933" s="1241"/>
      <c r="CI933" s="1241"/>
      <c r="CJ933" s="1241"/>
      <c r="CK933" s="1241"/>
      <c r="CL933" s="1241"/>
      <c r="CM933" s="1241"/>
      <c r="CN933" s="1241"/>
      <c r="CO933" s="1241"/>
      <c r="CP933" s="1241"/>
      <c r="CQ933" s="1241"/>
      <c r="CR933" s="1241"/>
      <c r="CS933" s="1241"/>
      <c r="CT933" s="1241"/>
      <c r="CU933" s="1241"/>
      <c r="CV933" s="1241"/>
      <c r="CW933" s="1241"/>
      <c r="CX933" s="1241"/>
      <c r="CY933" s="1241"/>
      <c r="CZ933" s="1241"/>
      <c r="DA933" s="1241"/>
      <c r="DB933" s="1241"/>
      <c r="DC933" s="1241"/>
      <c r="DD933" s="1241"/>
      <c r="DE933" s="1241"/>
      <c r="DF933" s="1241"/>
      <c r="DG933" s="1241"/>
      <c r="DH933" s="1241"/>
      <c r="DI933" s="1241"/>
      <c r="DJ933" s="1241"/>
      <c r="DK933" s="1241"/>
      <c r="DL933" s="1241"/>
      <c r="DM933" s="1241"/>
    </row>
    <row r="934" spans="1:117" s="1302" customFormat="1" hidden="1">
      <c r="A934" s="1241"/>
      <c r="B934" s="1558" t="s">
        <v>4344</v>
      </c>
      <c r="C934" s="1559"/>
      <c r="D934" s="1558"/>
      <c r="E934" s="1460"/>
      <c r="F934" s="1540"/>
      <c r="G934" s="1473"/>
      <c r="H934" s="1473"/>
      <c r="I934" s="1473"/>
      <c r="J934" s="1473"/>
      <c r="K934" s="1473"/>
      <c r="L934" s="1473"/>
      <c r="M934" s="1473"/>
      <c r="N934" s="1473"/>
      <c r="O934" s="1540"/>
      <c r="P934" s="1241"/>
      <c r="Q934" s="1241"/>
      <c r="R934" s="1241"/>
      <c r="S934" s="1241"/>
      <c r="T934" s="1241"/>
      <c r="U934" s="1241"/>
      <c r="V934" s="1241"/>
      <c r="W934" s="1241"/>
      <c r="X934" s="1241"/>
      <c r="Y934" s="1241"/>
      <c r="Z934" s="1241"/>
      <c r="AA934" s="1241"/>
      <c r="AB934" s="1241"/>
      <c r="AC934" s="1241"/>
      <c r="AD934" s="1241"/>
      <c r="AE934" s="1241"/>
      <c r="AF934" s="1241"/>
      <c r="AG934" s="1241"/>
      <c r="AH934" s="1241"/>
      <c r="AI934" s="1241"/>
      <c r="AJ934" s="1241"/>
      <c r="AK934" s="1241"/>
      <c r="AL934" s="1241"/>
      <c r="AM934" s="1241"/>
      <c r="AN934" s="1241"/>
      <c r="AO934" s="1241"/>
      <c r="AP934" s="1241"/>
      <c r="AQ934" s="1241"/>
      <c r="AR934" s="1241"/>
      <c r="AS934" s="1241"/>
      <c r="AT934" s="1241"/>
      <c r="AU934" s="1241"/>
      <c r="AV934" s="1241"/>
      <c r="AW934" s="1241"/>
      <c r="AX934" s="1241"/>
      <c r="AY934" s="1241"/>
      <c r="AZ934" s="1241"/>
      <c r="BA934" s="1241"/>
      <c r="BB934" s="1241"/>
      <c r="BC934" s="1241"/>
      <c r="BD934" s="1241"/>
      <c r="BE934" s="1241"/>
      <c r="BF934" s="1241"/>
      <c r="BG934" s="1241"/>
      <c r="BH934" s="1241"/>
      <c r="BI934" s="1241"/>
      <c r="BJ934" s="1241"/>
      <c r="BK934" s="1241"/>
      <c r="BL934" s="1241"/>
      <c r="BM934" s="1241"/>
      <c r="BN934" s="1241"/>
      <c r="BO934" s="1241"/>
      <c r="BP934" s="1241"/>
      <c r="BQ934" s="1241"/>
      <c r="BR934" s="1241"/>
      <c r="BS934" s="1241"/>
      <c r="BT934" s="1241"/>
      <c r="BU934" s="1241"/>
      <c r="BV934" s="1241"/>
      <c r="BW934" s="1241"/>
      <c r="BX934" s="1241"/>
      <c r="BY934" s="1241"/>
      <c r="BZ934" s="1241"/>
      <c r="CA934" s="1241"/>
      <c r="CB934" s="1241"/>
      <c r="CC934" s="1241"/>
      <c r="CD934" s="1241"/>
      <c r="CE934" s="1241"/>
      <c r="CF934" s="1241"/>
      <c r="CG934" s="1241"/>
      <c r="CH934" s="1241"/>
      <c r="CI934" s="1241"/>
      <c r="CJ934" s="1241"/>
      <c r="CK934" s="1241"/>
      <c r="CL934" s="1241"/>
      <c r="CM934" s="1241"/>
      <c r="CN934" s="1241"/>
      <c r="CO934" s="1241"/>
      <c r="CP934" s="1241"/>
      <c r="CQ934" s="1241"/>
      <c r="CR934" s="1241"/>
      <c r="CS934" s="1241"/>
      <c r="CT934" s="1241"/>
      <c r="CU934" s="1241"/>
      <c r="CV934" s="1241"/>
      <c r="CW934" s="1241"/>
      <c r="CX934" s="1241"/>
      <c r="CY934" s="1241"/>
      <c r="CZ934" s="1241"/>
      <c r="DA934" s="1241"/>
      <c r="DB934" s="1241"/>
      <c r="DC934" s="1241"/>
      <c r="DD934" s="1241"/>
      <c r="DE934" s="1241"/>
      <c r="DF934" s="1241"/>
      <c r="DG934" s="1241"/>
      <c r="DH934" s="1241"/>
      <c r="DI934" s="1241"/>
      <c r="DJ934" s="1241"/>
      <c r="DK934" s="1241"/>
      <c r="DL934" s="1241"/>
      <c r="DM934" s="1241"/>
    </row>
    <row r="935" spans="1:117" s="1302" customFormat="1" hidden="1">
      <c r="A935" s="1241"/>
      <c r="B935" s="1558"/>
      <c r="C935" s="1559"/>
      <c r="D935" s="1558"/>
      <c r="E935" s="1460"/>
      <c r="F935" s="1540"/>
      <c r="G935" s="1473"/>
      <c r="H935" s="1473"/>
      <c r="I935" s="1473"/>
      <c r="J935" s="1473"/>
      <c r="K935" s="1473"/>
      <c r="L935" s="1473"/>
      <c r="M935" s="1473"/>
      <c r="N935" s="1473"/>
      <c r="O935" s="1540"/>
      <c r="P935" s="1241"/>
      <c r="Q935" s="1241"/>
      <c r="R935" s="1241"/>
      <c r="S935" s="1241"/>
      <c r="T935" s="1241"/>
      <c r="U935" s="1241"/>
      <c r="V935" s="1241"/>
      <c r="W935" s="1241"/>
      <c r="X935" s="1241"/>
      <c r="Y935" s="1241"/>
      <c r="Z935" s="1241"/>
      <c r="AA935" s="1241"/>
      <c r="AB935" s="1241"/>
      <c r="AC935" s="1241"/>
      <c r="AD935" s="1241"/>
      <c r="AE935" s="1241"/>
      <c r="AF935" s="1241"/>
      <c r="AG935" s="1241"/>
      <c r="AH935" s="1241"/>
      <c r="AI935" s="1241"/>
      <c r="AJ935" s="1241"/>
      <c r="AK935" s="1241"/>
      <c r="AL935" s="1241"/>
      <c r="AM935" s="1241"/>
      <c r="AN935" s="1241"/>
      <c r="AO935" s="1241"/>
      <c r="AP935" s="1241"/>
      <c r="AQ935" s="1241"/>
      <c r="AR935" s="1241"/>
      <c r="AS935" s="1241"/>
      <c r="AT935" s="1241"/>
      <c r="AU935" s="1241"/>
      <c r="AV935" s="1241"/>
      <c r="AW935" s="1241"/>
      <c r="AX935" s="1241"/>
      <c r="AY935" s="1241"/>
      <c r="AZ935" s="1241"/>
      <c r="BA935" s="1241"/>
      <c r="BB935" s="1241"/>
      <c r="BC935" s="1241"/>
      <c r="BD935" s="1241"/>
      <c r="BE935" s="1241"/>
      <c r="BF935" s="1241"/>
      <c r="BG935" s="1241"/>
      <c r="BH935" s="1241"/>
      <c r="BI935" s="1241"/>
      <c r="BJ935" s="1241"/>
      <c r="BK935" s="1241"/>
      <c r="BL935" s="1241"/>
      <c r="BM935" s="1241"/>
      <c r="BN935" s="1241"/>
      <c r="BO935" s="1241"/>
      <c r="BP935" s="1241"/>
      <c r="BQ935" s="1241"/>
      <c r="BR935" s="1241"/>
      <c r="BS935" s="1241"/>
      <c r="BT935" s="1241"/>
      <c r="BU935" s="1241"/>
      <c r="BV935" s="1241"/>
      <c r="BW935" s="1241"/>
      <c r="BX935" s="1241"/>
      <c r="BY935" s="1241"/>
      <c r="BZ935" s="1241"/>
      <c r="CA935" s="1241"/>
      <c r="CB935" s="1241"/>
      <c r="CC935" s="1241"/>
      <c r="CD935" s="1241"/>
      <c r="CE935" s="1241"/>
      <c r="CF935" s="1241"/>
      <c r="CG935" s="1241"/>
      <c r="CH935" s="1241"/>
      <c r="CI935" s="1241"/>
      <c r="CJ935" s="1241"/>
      <c r="CK935" s="1241"/>
      <c r="CL935" s="1241"/>
      <c r="CM935" s="1241"/>
      <c r="CN935" s="1241"/>
      <c r="CO935" s="1241"/>
      <c r="CP935" s="1241"/>
      <c r="CQ935" s="1241"/>
      <c r="CR935" s="1241"/>
      <c r="CS935" s="1241"/>
      <c r="CT935" s="1241"/>
      <c r="CU935" s="1241"/>
      <c r="CV935" s="1241"/>
      <c r="CW935" s="1241"/>
      <c r="CX935" s="1241"/>
      <c r="CY935" s="1241"/>
      <c r="CZ935" s="1241"/>
      <c r="DA935" s="1241"/>
      <c r="DB935" s="1241"/>
      <c r="DC935" s="1241"/>
      <c r="DD935" s="1241"/>
      <c r="DE935" s="1241"/>
      <c r="DF935" s="1241"/>
      <c r="DG935" s="1241"/>
      <c r="DH935" s="1241"/>
      <c r="DI935" s="1241"/>
      <c r="DJ935" s="1241"/>
      <c r="DK935" s="1241"/>
      <c r="DL935" s="1241"/>
      <c r="DM935" s="1241"/>
    </row>
    <row r="936" spans="1:117" s="1302" customFormat="1" hidden="1">
      <c r="A936" s="1241"/>
      <c r="B936" s="1558" t="s">
        <v>4275</v>
      </c>
      <c r="C936" s="1559"/>
      <c r="D936" s="1558"/>
      <c r="E936" s="1460"/>
      <c r="F936" s="1540"/>
      <c r="G936" s="1473"/>
      <c r="H936" s="1473" t="s">
        <v>3878</v>
      </c>
      <c r="I936" s="1473">
        <v>41.874280200000008</v>
      </c>
      <c r="J936" s="1473">
        <v>41.874280200000008</v>
      </c>
      <c r="K936" s="1473">
        <v>41.874280200000008</v>
      </c>
      <c r="L936" s="1473">
        <v>41.874280200000008</v>
      </c>
      <c r="M936" s="1473">
        <v>41.874280200000008</v>
      </c>
      <c r="N936" s="1473">
        <v>41.874280200000008</v>
      </c>
      <c r="O936" s="1473">
        <v>41.874280200000008</v>
      </c>
      <c r="P936" s="1241"/>
      <c r="Q936" s="1241"/>
      <c r="R936" s="1241"/>
      <c r="S936" s="1241"/>
      <c r="T936" s="1241"/>
      <c r="U936" s="1241"/>
      <c r="V936" s="1241"/>
      <c r="W936" s="1241"/>
      <c r="X936" s="1241"/>
      <c r="Y936" s="1241"/>
      <c r="Z936" s="1241"/>
      <c r="AA936" s="1241"/>
      <c r="AB936" s="1241"/>
      <c r="AC936" s="1241"/>
      <c r="AD936" s="1241"/>
      <c r="AE936" s="1241"/>
      <c r="AF936" s="1241"/>
      <c r="AG936" s="1241"/>
      <c r="AH936" s="1241"/>
      <c r="AI936" s="1241"/>
      <c r="AJ936" s="1241"/>
      <c r="AK936" s="1241"/>
      <c r="AL936" s="1241"/>
      <c r="AM936" s="1241"/>
      <c r="AN936" s="1241"/>
      <c r="AO936" s="1241"/>
      <c r="AP936" s="1241"/>
      <c r="AQ936" s="1241"/>
      <c r="AR936" s="1241"/>
      <c r="AS936" s="1241"/>
      <c r="AT936" s="1241"/>
      <c r="AU936" s="1241"/>
      <c r="AV936" s="1241"/>
      <c r="AW936" s="1241"/>
      <c r="AX936" s="1241"/>
      <c r="AY936" s="1241"/>
      <c r="AZ936" s="1241"/>
      <c r="BA936" s="1241"/>
      <c r="BB936" s="1241"/>
      <c r="BC936" s="1241"/>
      <c r="BD936" s="1241"/>
      <c r="BE936" s="1241"/>
      <c r="BF936" s="1241"/>
      <c r="BG936" s="1241"/>
      <c r="BH936" s="1241"/>
      <c r="BI936" s="1241"/>
      <c r="BJ936" s="1241"/>
      <c r="BK936" s="1241"/>
      <c r="BL936" s="1241"/>
      <c r="BM936" s="1241"/>
      <c r="BN936" s="1241"/>
      <c r="BO936" s="1241"/>
      <c r="BP936" s="1241"/>
      <c r="BQ936" s="1241"/>
      <c r="BR936" s="1241"/>
      <c r="BS936" s="1241"/>
      <c r="BT936" s="1241"/>
      <c r="BU936" s="1241"/>
      <c r="BV936" s="1241"/>
      <c r="BW936" s="1241"/>
      <c r="BX936" s="1241"/>
      <c r="BY936" s="1241"/>
      <c r="BZ936" s="1241"/>
      <c r="CA936" s="1241"/>
      <c r="CB936" s="1241"/>
      <c r="CC936" s="1241"/>
      <c r="CD936" s="1241"/>
      <c r="CE936" s="1241"/>
      <c r="CF936" s="1241"/>
      <c r="CG936" s="1241"/>
      <c r="CH936" s="1241"/>
      <c r="CI936" s="1241"/>
      <c r="CJ936" s="1241"/>
      <c r="CK936" s="1241"/>
      <c r="CL936" s="1241"/>
      <c r="CM936" s="1241"/>
      <c r="CN936" s="1241"/>
      <c r="CO936" s="1241"/>
      <c r="CP936" s="1241"/>
      <c r="CQ936" s="1241"/>
      <c r="CR936" s="1241"/>
      <c r="CS936" s="1241"/>
      <c r="CT936" s="1241"/>
      <c r="CU936" s="1241"/>
      <c r="CV936" s="1241"/>
      <c r="CW936" s="1241"/>
      <c r="CX936" s="1241"/>
      <c r="CY936" s="1241"/>
      <c r="CZ936" s="1241"/>
      <c r="DA936" s="1241"/>
      <c r="DB936" s="1241"/>
      <c r="DC936" s="1241"/>
      <c r="DD936" s="1241"/>
      <c r="DE936" s="1241"/>
      <c r="DF936" s="1241"/>
      <c r="DG936" s="1241"/>
      <c r="DH936" s="1241"/>
      <c r="DI936" s="1241"/>
      <c r="DJ936" s="1241"/>
      <c r="DK936" s="1241"/>
      <c r="DL936" s="1241"/>
      <c r="DM936" s="1241"/>
    </row>
    <row r="937" spans="1:117" s="1302" customFormat="1" hidden="1">
      <c r="A937" s="1241"/>
      <c r="B937" s="1572" t="s">
        <v>4345</v>
      </c>
      <c r="C937" s="1562"/>
      <c r="D937" s="1563"/>
      <c r="E937" s="1564"/>
      <c r="F937" s="1565"/>
      <c r="G937" s="1566"/>
      <c r="H937" s="1566" t="s">
        <v>3878</v>
      </c>
      <c r="I937" s="1566">
        <v>5.7600410203100196</v>
      </c>
      <c r="J937" s="1566">
        <v>15.589770721738963</v>
      </c>
      <c r="K937" s="1566">
        <v>18.745830994992005</v>
      </c>
      <c r="L937" s="1566">
        <v>21.69401212001878</v>
      </c>
      <c r="M937" s="1566">
        <v>24.444085092641533</v>
      </c>
      <c r="N937" s="1566">
        <v>27.005417450934488</v>
      </c>
      <c r="O937" s="1566">
        <v>11.317376303822831</v>
      </c>
      <c r="P937" s="1241"/>
      <c r="Q937" s="1241"/>
      <c r="R937" s="1241"/>
      <c r="S937" s="1241"/>
      <c r="T937" s="1241"/>
      <c r="U937" s="1241"/>
      <c r="V937" s="1241"/>
      <c r="W937" s="1241"/>
      <c r="X937" s="1241"/>
      <c r="Y937" s="1241"/>
      <c r="Z937" s="1241"/>
      <c r="AA937" s="1241"/>
      <c r="AB937" s="1241"/>
      <c r="AC937" s="1241"/>
      <c r="AD937" s="1241"/>
      <c r="AE937" s="1241"/>
      <c r="AF937" s="1241"/>
      <c r="AG937" s="1241"/>
      <c r="AH937" s="1241"/>
      <c r="AI937" s="1241"/>
      <c r="AJ937" s="1241"/>
      <c r="AK937" s="1241"/>
      <c r="AL937" s="1241"/>
      <c r="AM937" s="1241"/>
      <c r="AN937" s="1241"/>
      <c r="AO937" s="1241"/>
      <c r="AP937" s="1241"/>
      <c r="AQ937" s="1241"/>
      <c r="AR937" s="1241"/>
      <c r="AS937" s="1241"/>
      <c r="AT937" s="1241"/>
      <c r="AU937" s="1241"/>
      <c r="AV937" s="1241"/>
      <c r="AW937" s="1241"/>
      <c r="AX937" s="1241"/>
      <c r="AY937" s="1241"/>
      <c r="AZ937" s="1241"/>
      <c r="BA937" s="1241"/>
      <c r="BB937" s="1241"/>
      <c r="BC937" s="1241"/>
      <c r="BD937" s="1241"/>
      <c r="BE937" s="1241"/>
      <c r="BF937" s="1241"/>
      <c r="BG937" s="1241"/>
      <c r="BH937" s="1241"/>
      <c r="BI937" s="1241"/>
      <c r="BJ937" s="1241"/>
      <c r="BK937" s="1241"/>
      <c r="BL937" s="1241"/>
      <c r="BM937" s="1241"/>
      <c r="BN937" s="1241"/>
      <c r="BO937" s="1241"/>
      <c r="BP937" s="1241"/>
      <c r="BQ937" s="1241"/>
      <c r="BR937" s="1241"/>
      <c r="BS937" s="1241"/>
      <c r="BT937" s="1241"/>
      <c r="BU937" s="1241"/>
      <c r="BV937" s="1241"/>
      <c r="BW937" s="1241"/>
      <c r="BX937" s="1241"/>
      <c r="BY937" s="1241"/>
      <c r="BZ937" s="1241"/>
      <c r="CA937" s="1241"/>
      <c r="CB937" s="1241"/>
      <c r="CC937" s="1241"/>
      <c r="CD937" s="1241"/>
      <c r="CE937" s="1241"/>
      <c r="CF937" s="1241"/>
      <c r="CG937" s="1241"/>
      <c r="CH937" s="1241"/>
      <c r="CI937" s="1241"/>
      <c r="CJ937" s="1241"/>
      <c r="CK937" s="1241"/>
      <c r="CL937" s="1241"/>
      <c r="CM937" s="1241"/>
      <c r="CN937" s="1241"/>
      <c r="CO937" s="1241"/>
      <c r="CP937" s="1241"/>
      <c r="CQ937" s="1241"/>
      <c r="CR937" s="1241"/>
      <c r="CS937" s="1241"/>
      <c r="CT937" s="1241"/>
      <c r="CU937" s="1241"/>
      <c r="CV937" s="1241"/>
      <c r="CW937" s="1241"/>
      <c r="CX937" s="1241"/>
      <c r="CY937" s="1241"/>
      <c r="CZ937" s="1241"/>
      <c r="DA937" s="1241"/>
      <c r="DB937" s="1241"/>
      <c r="DC937" s="1241"/>
      <c r="DD937" s="1241"/>
      <c r="DE937" s="1241"/>
      <c r="DF937" s="1241"/>
      <c r="DG937" s="1241"/>
      <c r="DH937" s="1241"/>
      <c r="DI937" s="1241"/>
      <c r="DJ937" s="1241"/>
      <c r="DK937" s="1241"/>
      <c r="DL937" s="1241"/>
      <c r="DM937" s="1241"/>
    </row>
    <row r="938" spans="1:117" s="1302" customFormat="1">
      <c r="A938" s="1241"/>
      <c r="B938" s="1459"/>
      <c r="C938" s="1241"/>
      <c r="D938" s="1459"/>
      <c r="E938" s="1460"/>
      <c r="F938" s="1540"/>
      <c r="G938" s="1473"/>
      <c r="H938" s="1473"/>
      <c r="I938" s="1473"/>
      <c r="J938" s="1473"/>
      <c r="K938" s="1473"/>
      <c r="L938" s="1473"/>
      <c r="M938" s="1473"/>
      <c r="N938" s="1473"/>
      <c r="O938" s="1540"/>
      <c r="P938" s="1241"/>
      <c r="Q938" s="1241"/>
      <c r="R938" s="1241"/>
      <c r="S938" s="1241"/>
      <c r="T938" s="1241"/>
      <c r="U938" s="1241"/>
      <c r="V938" s="1241"/>
      <c r="W938" s="1241"/>
      <c r="X938" s="1241"/>
      <c r="Y938" s="1241"/>
      <c r="Z938" s="1241"/>
      <c r="AA938" s="1241"/>
      <c r="AB938" s="1241"/>
      <c r="AC938" s="1241"/>
      <c r="AD938" s="1241"/>
      <c r="AE938" s="1241"/>
      <c r="AF938" s="1241"/>
      <c r="AG938" s="1241"/>
      <c r="AH938" s="1241"/>
      <c r="AI938" s="1241"/>
      <c r="AJ938" s="1241"/>
      <c r="AK938" s="1241"/>
      <c r="AL938" s="1241"/>
      <c r="AM938" s="1241"/>
      <c r="AN938" s="1241"/>
      <c r="AO938" s="1241"/>
      <c r="AP938" s="1241"/>
      <c r="AQ938" s="1241"/>
      <c r="AR938" s="1241"/>
      <c r="AS938" s="1241"/>
      <c r="AT938" s="1241"/>
      <c r="AU938" s="1241"/>
      <c r="AV938" s="1241"/>
      <c r="AW938" s="1241"/>
      <c r="AX938" s="1241"/>
      <c r="AY938" s="1241"/>
      <c r="AZ938" s="1241"/>
      <c r="BA938" s="1241"/>
      <c r="BB938" s="1241"/>
      <c r="BC938" s="1241"/>
      <c r="BD938" s="1241"/>
      <c r="BE938" s="1241"/>
      <c r="BF938" s="1241"/>
      <c r="BG938" s="1241"/>
      <c r="BH938" s="1241"/>
      <c r="BI938" s="1241"/>
      <c r="BJ938" s="1241"/>
      <c r="BK938" s="1241"/>
      <c r="BL938" s="1241"/>
      <c r="BM938" s="1241"/>
      <c r="BN938" s="1241"/>
      <c r="BO938" s="1241"/>
      <c r="BP938" s="1241"/>
      <c r="BQ938" s="1241"/>
      <c r="BR938" s="1241"/>
      <c r="BS938" s="1241"/>
      <c r="BT938" s="1241"/>
      <c r="BU938" s="1241"/>
      <c r="BV938" s="1241"/>
      <c r="BW938" s="1241"/>
      <c r="BX938" s="1241"/>
      <c r="BY938" s="1241"/>
      <c r="BZ938" s="1241"/>
      <c r="CA938" s="1241"/>
      <c r="CB938" s="1241"/>
      <c r="CC938" s="1241"/>
      <c r="CD938" s="1241"/>
      <c r="CE938" s="1241"/>
      <c r="CF938" s="1241"/>
      <c r="CG938" s="1241"/>
      <c r="CH938" s="1241"/>
      <c r="CI938" s="1241"/>
      <c r="CJ938" s="1241"/>
      <c r="CK938" s="1241"/>
      <c r="CL938" s="1241"/>
      <c r="CM938" s="1241"/>
      <c r="CN938" s="1241"/>
      <c r="CO938" s="1241"/>
      <c r="CP938" s="1241"/>
      <c r="CQ938" s="1241"/>
      <c r="CR938" s="1241"/>
      <c r="CS938" s="1241"/>
      <c r="CT938" s="1241"/>
      <c r="CU938" s="1241"/>
      <c r="CV938" s="1241"/>
      <c r="CW938" s="1241"/>
      <c r="CX938" s="1241"/>
      <c r="CY938" s="1241"/>
      <c r="CZ938" s="1241"/>
      <c r="DA938" s="1241"/>
      <c r="DB938" s="1241"/>
      <c r="DC938" s="1241"/>
      <c r="DD938" s="1241"/>
      <c r="DE938" s="1241"/>
      <c r="DF938" s="1241"/>
      <c r="DG938" s="1241"/>
      <c r="DH938" s="1241"/>
      <c r="DI938" s="1241"/>
      <c r="DJ938" s="1241"/>
      <c r="DK938" s="1241"/>
      <c r="DL938" s="1241"/>
      <c r="DM938" s="1241"/>
    </row>
    <row r="939" spans="1:117" s="1302" customFormat="1">
      <c r="A939" s="1459" t="s">
        <v>4279</v>
      </c>
      <c r="B939" s="1459"/>
      <c r="C939" s="1466" t="s">
        <v>4280</v>
      </c>
      <c r="D939" s="1459"/>
      <c r="E939" s="1460"/>
      <c r="F939" s="1507"/>
      <c r="G939" s="1473"/>
      <c r="H939" s="1473"/>
      <c r="I939" s="1473"/>
      <c r="J939" s="1473"/>
      <c r="K939" s="1473"/>
      <c r="L939" s="1473"/>
      <c r="M939" s="1473"/>
      <c r="N939" s="1473"/>
      <c r="O939" s="1507"/>
      <c r="P939" s="1241"/>
      <c r="Q939" s="1241"/>
      <c r="R939" s="1241"/>
      <c r="S939" s="1241"/>
      <c r="T939" s="1241"/>
      <c r="U939" s="1241"/>
      <c r="V939" s="1241"/>
      <c r="W939" s="1241"/>
      <c r="X939" s="1241"/>
      <c r="Y939" s="1241"/>
      <c r="Z939" s="1241"/>
      <c r="AA939" s="1241"/>
      <c r="AB939" s="1241"/>
      <c r="AC939" s="1241"/>
      <c r="AD939" s="1241"/>
      <c r="AE939" s="1241"/>
      <c r="AF939" s="1241"/>
      <c r="AG939" s="1241"/>
      <c r="AH939" s="1241"/>
      <c r="AI939" s="1241"/>
      <c r="AJ939" s="1241"/>
      <c r="AK939" s="1241"/>
      <c r="AL939" s="1241"/>
      <c r="AM939" s="1241"/>
      <c r="AN939" s="1241"/>
      <c r="AO939" s="1241"/>
      <c r="AP939" s="1241"/>
      <c r="AQ939" s="1241"/>
      <c r="AR939" s="1241"/>
      <c r="AS939" s="1241"/>
      <c r="AT939" s="1241"/>
      <c r="AU939" s="1241"/>
      <c r="AV939" s="1241"/>
      <c r="AW939" s="1241"/>
      <c r="AX939" s="1241"/>
      <c r="AY939" s="1241"/>
      <c r="AZ939" s="1241"/>
      <c r="BA939" s="1241"/>
      <c r="BB939" s="1241"/>
      <c r="BC939" s="1241"/>
      <c r="BD939" s="1241"/>
      <c r="BE939" s="1241"/>
      <c r="BF939" s="1241"/>
      <c r="BG939" s="1241"/>
      <c r="BH939" s="1241"/>
      <c r="BI939" s="1241"/>
      <c r="BJ939" s="1241"/>
      <c r="BK939" s="1241"/>
      <c r="BL939" s="1241"/>
      <c r="BM939" s="1241"/>
      <c r="BN939" s="1241"/>
      <c r="BO939" s="1241"/>
      <c r="BP939" s="1241"/>
      <c r="BQ939" s="1241"/>
      <c r="BR939" s="1241"/>
      <c r="BS939" s="1241"/>
      <c r="BT939" s="1241"/>
      <c r="BU939" s="1241"/>
      <c r="BV939" s="1241"/>
      <c r="BW939" s="1241"/>
      <c r="BX939" s="1241"/>
      <c r="BY939" s="1241"/>
      <c r="BZ939" s="1241"/>
      <c r="CA939" s="1241"/>
      <c r="CB939" s="1241"/>
      <c r="CC939" s="1241"/>
      <c r="CD939" s="1241"/>
      <c r="CE939" s="1241"/>
      <c r="CF939" s="1241"/>
      <c r="CG939" s="1241"/>
      <c r="CH939" s="1241"/>
      <c r="CI939" s="1241"/>
      <c r="CJ939" s="1241"/>
      <c r="CK939" s="1241"/>
      <c r="CL939" s="1241"/>
      <c r="CM939" s="1241"/>
      <c r="CN939" s="1241"/>
      <c r="CO939" s="1241"/>
      <c r="CP939" s="1241"/>
      <c r="CQ939" s="1241"/>
      <c r="CR939" s="1241"/>
      <c r="CS939" s="1241"/>
      <c r="CT939" s="1241"/>
      <c r="CU939" s="1241"/>
      <c r="CV939" s="1241"/>
      <c r="CW939" s="1241"/>
      <c r="CX939" s="1241"/>
      <c r="CY939" s="1241"/>
      <c r="CZ939" s="1241"/>
      <c r="DA939" s="1241"/>
      <c r="DB939" s="1241"/>
      <c r="DC939" s="1241"/>
      <c r="DD939" s="1241"/>
      <c r="DE939" s="1241"/>
      <c r="DF939" s="1241"/>
      <c r="DG939" s="1241"/>
      <c r="DH939" s="1241"/>
      <c r="DI939" s="1241"/>
      <c r="DJ939" s="1241"/>
      <c r="DK939" s="1241"/>
      <c r="DL939" s="1241"/>
      <c r="DM939" s="1241"/>
    </row>
    <row r="940" spans="1:117" s="1302" customFormat="1">
      <c r="A940" s="1241"/>
      <c r="B940" s="1508" t="s">
        <v>4032</v>
      </c>
      <c r="C940" s="1241" t="s">
        <v>4033</v>
      </c>
      <c r="D940" s="1241"/>
      <c r="E940" s="1509" t="s">
        <v>420</v>
      </c>
      <c r="F940" s="1529"/>
      <c r="G940" s="1471">
        <v>0</v>
      </c>
      <c r="H940" s="1471">
        <v>1.6691532</v>
      </c>
      <c r="I940" s="1471">
        <v>1.8689609569783767</v>
      </c>
      <c r="J940" s="1471">
        <v>2.3827022665119899</v>
      </c>
      <c r="K940" s="1471">
        <v>2.9141052647181094</v>
      </c>
      <c r="L940" s="1471">
        <v>3.460049174596656</v>
      </c>
      <c r="M940" s="1471">
        <v>4.0176354573792983</v>
      </c>
      <c r="N940" s="1471">
        <v>4.5841756689440443</v>
      </c>
      <c r="O940" s="1471">
        <v>2.6996295048614383</v>
      </c>
      <c r="P940" s="1241"/>
      <c r="Q940" s="1241"/>
      <c r="R940" s="1241"/>
      <c r="S940" s="1241"/>
      <c r="T940" s="1241"/>
      <c r="U940" s="1241"/>
      <c r="V940" s="1241"/>
      <c r="W940" s="1241"/>
      <c r="X940" s="1241"/>
      <c r="Y940" s="1241"/>
      <c r="Z940" s="1241"/>
      <c r="AA940" s="1241"/>
      <c r="AB940" s="1241"/>
      <c r="AC940" s="1241"/>
      <c r="AD940" s="1241"/>
      <c r="AE940" s="1241"/>
      <c r="AF940" s="1241"/>
      <c r="AG940" s="1241"/>
      <c r="AH940" s="1241"/>
      <c r="AI940" s="1241"/>
      <c r="AJ940" s="1241"/>
      <c r="AK940" s="1241"/>
      <c r="AL940" s="1241"/>
      <c r="AM940" s="1241"/>
      <c r="AN940" s="1241"/>
      <c r="AO940" s="1241"/>
      <c r="AP940" s="1241"/>
      <c r="AQ940" s="1241"/>
      <c r="AR940" s="1241"/>
      <c r="AS940" s="1241"/>
      <c r="AT940" s="1241"/>
      <c r="AU940" s="1241"/>
      <c r="AV940" s="1241"/>
      <c r="AW940" s="1241"/>
      <c r="AX940" s="1241"/>
      <c r="AY940" s="1241"/>
      <c r="AZ940" s="1241"/>
      <c r="BA940" s="1241"/>
      <c r="BB940" s="1241"/>
      <c r="BC940" s="1241"/>
      <c r="BD940" s="1241"/>
      <c r="BE940" s="1241"/>
      <c r="BF940" s="1241"/>
      <c r="BG940" s="1241"/>
      <c r="BH940" s="1241"/>
      <c r="BI940" s="1241"/>
      <c r="BJ940" s="1241"/>
      <c r="BK940" s="1241"/>
      <c r="BL940" s="1241"/>
      <c r="BM940" s="1241"/>
      <c r="BN940" s="1241"/>
      <c r="BO940" s="1241"/>
      <c r="BP940" s="1241"/>
      <c r="BQ940" s="1241"/>
      <c r="BR940" s="1241"/>
      <c r="BS940" s="1241"/>
      <c r="BT940" s="1241"/>
      <c r="BU940" s="1241"/>
      <c r="BV940" s="1241"/>
      <c r="BW940" s="1241"/>
      <c r="BX940" s="1241"/>
      <c r="BY940" s="1241"/>
      <c r="BZ940" s="1241"/>
      <c r="CA940" s="1241"/>
      <c r="CB940" s="1241"/>
      <c r="CC940" s="1241"/>
      <c r="CD940" s="1241"/>
      <c r="CE940" s="1241"/>
      <c r="CF940" s="1241"/>
      <c r="CG940" s="1241"/>
      <c r="CH940" s="1241"/>
      <c r="CI940" s="1241"/>
      <c r="CJ940" s="1241"/>
      <c r="CK940" s="1241"/>
      <c r="CL940" s="1241"/>
      <c r="CM940" s="1241"/>
      <c r="CN940" s="1241"/>
      <c r="CO940" s="1241"/>
      <c r="CP940" s="1241"/>
      <c r="CQ940" s="1241"/>
      <c r="CR940" s="1241"/>
      <c r="CS940" s="1241"/>
      <c r="CT940" s="1241"/>
      <c r="CU940" s="1241"/>
      <c r="CV940" s="1241"/>
      <c r="CW940" s="1241"/>
      <c r="CX940" s="1241"/>
      <c r="CY940" s="1241"/>
      <c r="CZ940" s="1241"/>
      <c r="DA940" s="1241"/>
      <c r="DB940" s="1241"/>
      <c r="DC940" s="1241"/>
      <c r="DD940" s="1241"/>
      <c r="DE940" s="1241"/>
      <c r="DF940" s="1241"/>
      <c r="DG940" s="1241"/>
      <c r="DH940" s="1241"/>
      <c r="DI940" s="1241"/>
      <c r="DJ940" s="1241"/>
      <c r="DK940" s="1241"/>
      <c r="DL940" s="1241"/>
      <c r="DM940" s="1241"/>
    </row>
    <row r="941" spans="1:117" s="1302" customFormat="1">
      <c r="A941" s="1241"/>
      <c r="B941" s="1508" t="s">
        <v>3997</v>
      </c>
      <c r="C941" s="1241" t="s">
        <v>3998</v>
      </c>
      <c r="D941" s="1241"/>
      <c r="E941" s="1509" t="s">
        <v>420</v>
      </c>
      <c r="F941" s="1529"/>
      <c r="G941" s="1471">
        <v>0</v>
      </c>
      <c r="H941" s="1471">
        <v>8.9021504</v>
      </c>
      <c r="I941" s="1471">
        <v>9.637533609478858</v>
      </c>
      <c r="J941" s="1471">
        <v>11.317835765931951</v>
      </c>
      <c r="K941" s="1471">
        <v>12.78446180650525</v>
      </c>
      <c r="L941" s="1471">
        <v>14.052036443770092</v>
      </c>
      <c r="M941" s="1471">
        <v>15.134393761778327</v>
      </c>
      <c r="N941" s="1471">
        <v>16.044614841304156</v>
      </c>
      <c r="O941" s="1471">
        <v>12.222498417614423</v>
      </c>
      <c r="P941" s="1241"/>
      <c r="Q941" s="1241"/>
      <c r="R941" s="1241"/>
      <c r="S941" s="1241"/>
      <c r="T941" s="1241"/>
      <c r="U941" s="1241"/>
      <c r="V941" s="1241"/>
      <c r="W941" s="1241"/>
      <c r="X941" s="1241"/>
      <c r="Y941" s="1241"/>
      <c r="Z941" s="1241"/>
      <c r="AA941" s="1241"/>
      <c r="AB941" s="1241"/>
      <c r="AC941" s="1241"/>
      <c r="AD941" s="1241"/>
      <c r="AE941" s="1241"/>
      <c r="AF941" s="1241"/>
      <c r="AG941" s="1241"/>
      <c r="AH941" s="1241"/>
      <c r="AI941" s="1241"/>
      <c r="AJ941" s="1241"/>
      <c r="AK941" s="1241"/>
      <c r="AL941" s="1241"/>
      <c r="AM941" s="1241"/>
      <c r="AN941" s="1241"/>
      <c r="AO941" s="1241"/>
      <c r="AP941" s="1241"/>
      <c r="AQ941" s="1241"/>
      <c r="AR941" s="1241"/>
      <c r="AS941" s="1241"/>
      <c r="AT941" s="1241"/>
      <c r="AU941" s="1241"/>
      <c r="AV941" s="1241"/>
      <c r="AW941" s="1241"/>
      <c r="AX941" s="1241"/>
      <c r="AY941" s="1241"/>
      <c r="AZ941" s="1241"/>
      <c r="BA941" s="1241"/>
      <c r="BB941" s="1241"/>
      <c r="BC941" s="1241"/>
      <c r="BD941" s="1241"/>
      <c r="BE941" s="1241"/>
      <c r="BF941" s="1241"/>
      <c r="BG941" s="1241"/>
      <c r="BH941" s="1241"/>
      <c r="BI941" s="1241"/>
      <c r="BJ941" s="1241"/>
      <c r="BK941" s="1241"/>
      <c r="BL941" s="1241"/>
      <c r="BM941" s="1241"/>
      <c r="BN941" s="1241"/>
      <c r="BO941" s="1241"/>
      <c r="BP941" s="1241"/>
      <c r="BQ941" s="1241"/>
      <c r="BR941" s="1241"/>
      <c r="BS941" s="1241"/>
      <c r="BT941" s="1241"/>
      <c r="BU941" s="1241"/>
      <c r="BV941" s="1241"/>
      <c r="BW941" s="1241"/>
      <c r="BX941" s="1241"/>
      <c r="BY941" s="1241"/>
      <c r="BZ941" s="1241"/>
      <c r="CA941" s="1241"/>
      <c r="CB941" s="1241"/>
      <c r="CC941" s="1241"/>
      <c r="CD941" s="1241"/>
      <c r="CE941" s="1241"/>
      <c r="CF941" s="1241"/>
      <c r="CG941" s="1241"/>
      <c r="CH941" s="1241"/>
      <c r="CI941" s="1241"/>
      <c r="CJ941" s="1241"/>
      <c r="CK941" s="1241"/>
      <c r="CL941" s="1241"/>
      <c r="CM941" s="1241"/>
      <c r="CN941" s="1241"/>
      <c r="CO941" s="1241"/>
      <c r="CP941" s="1241"/>
      <c r="CQ941" s="1241"/>
      <c r="CR941" s="1241"/>
      <c r="CS941" s="1241"/>
      <c r="CT941" s="1241"/>
      <c r="CU941" s="1241"/>
      <c r="CV941" s="1241"/>
      <c r="CW941" s="1241"/>
      <c r="CX941" s="1241"/>
      <c r="CY941" s="1241"/>
      <c r="CZ941" s="1241"/>
      <c r="DA941" s="1241"/>
      <c r="DB941" s="1241"/>
      <c r="DC941" s="1241"/>
      <c r="DD941" s="1241"/>
      <c r="DE941" s="1241"/>
      <c r="DF941" s="1241"/>
      <c r="DG941" s="1241"/>
      <c r="DH941" s="1241"/>
      <c r="DI941" s="1241"/>
      <c r="DJ941" s="1241"/>
      <c r="DK941" s="1241"/>
      <c r="DL941" s="1241"/>
      <c r="DM941" s="1241"/>
    </row>
    <row r="942" spans="1:117" s="1302" customFormat="1">
      <c r="A942" s="1241"/>
      <c r="B942" s="1508" t="s">
        <v>3999</v>
      </c>
      <c r="C942" s="1241" t="s">
        <v>4000</v>
      </c>
      <c r="D942" s="1241"/>
      <c r="E942" s="1509" t="s">
        <v>420</v>
      </c>
      <c r="F942" s="1529"/>
      <c r="G942" s="1471">
        <v>0</v>
      </c>
      <c r="H942" s="1471">
        <v>0.55638440000000011</v>
      </c>
      <c r="I942" s="1471">
        <v>0.60797525106525507</v>
      </c>
      <c r="J942" s="1471">
        <v>0.73105637722526973</v>
      </c>
      <c r="K942" s="1471">
        <v>0.84603056072461236</v>
      </c>
      <c r="L942" s="1471">
        <v>0.95327885422560932</v>
      </c>
      <c r="M942" s="1471">
        <v>1.0531665762062239</v>
      </c>
      <c r="N942" s="1471">
        <v>1.1460439172360111</v>
      </c>
      <c r="O942" s="1471">
        <v>0.80098897396987734</v>
      </c>
      <c r="P942" s="1241"/>
      <c r="Q942" s="1241"/>
      <c r="R942" s="1241"/>
      <c r="S942" s="1241"/>
      <c r="T942" s="1241"/>
      <c r="U942" s="1241"/>
      <c r="V942" s="1241"/>
      <c r="W942" s="1241"/>
      <c r="X942" s="1241"/>
      <c r="Y942" s="1241"/>
      <c r="Z942" s="1241"/>
      <c r="AA942" s="1241"/>
      <c r="AB942" s="1241"/>
      <c r="AC942" s="1241"/>
      <c r="AD942" s="1241"/>
      <c r="AE942" s="1241"/>
      <c r="AF942" s="1241"/>
      <c r="AG942" s="1241"/>
      <c r="AH942" s="1241"/>
      <c r="AI942" s="1241"/>
      <c r="AJ942" s="1241"/>
      <c r="AK942" s="1241"/>
      <c r="AL942" s="1241"/>
      <c r="AM942" s="1241"/>
      <c r="AN942" s="1241"/>
      <c r="AO942" s="1241"/>
      <c r="AP942" s="1241"/>
      <c r="AQ942" s="1241"/>
      <c r="AR942" s="1241"/>
      <c r="AS942" s="1241"/>
      <c r="AT942" s="1241"/>
      <c r="AU942" s="1241"/>
      <c r="AV942" s="1241"/>
      <c r="AW942" s="1241"/>
      <c r="AX942" s="1241"/>
      <c r="AY942" s="1241"/>
      <c r="AZ942" s="1241"/>
      <c r="BA942" s="1241"/>
      <c r="BB942" s="1241"/>
      <c r="BC942" s="1241"/>
      <c r="BD942" s="1241"/>
      <c r="BE942" s="1241"/>
      <c r="BF942" s="1241"/>
      <c r="BG942" s="1241"/>
      <c r="BH942" s="1241"/>
      <c r="BI942" s="1241"/>
      <c r="BJ942" s="1241"/>
      <c r="BK942" s="1241"/>
      <c r="BL942" s="1241"/>
      <c r="BM942" s="1241"/>
      <c r="BN942" s="1241"/>
      <c r="BO942" s="1241"/>
      <c r="BP942" s="1241"/>
      <c r="BQ942" s="1241"/>
      <c r="BR942" s="1241"/>
      <c r="BS942" s="1241"/>
      <c r="BT942" s="1241"/>
      <c r="BU942" s="1241"/>
      <c r="BV942" s="1241"/>
      <c r="BW942" s="1241"/>
      <c r="BX942" s="1241"/>
      <c r="BY942" s="1241"/>
      <c r="BZ942" s="1241"/>
      <c r="CA942" s="1241"/>
      <c r="CB942" s="1241"/>
      <c r="CC942" s="1241"/>
      <c r="CD942" s="1241"/>
      <c r="CE942" s="1241"/>
      <c r="CF942" s="1241"/>
      <c r="CG942" s="1241"/>
      <c r="CH942" s="1241"/>
      <c r="CI942" s="1241"/>
      <c r="CJ942" s="1241"/>
      <c r="CK942" s="1241"/>
      <c r="CL942" s="1241"/>
      <c r="CM942" s="1241"/>
      <c r="CN942" s="1241"/>
      <c r="CO942" s="1241"/>
      <c r="CP942" s="1241"/>
      <c r="CQ942" s="1241"/>
      <c r="CR942" s="1241"/>
      <c r="CS942" s="1241"/>
      <c r="CT942" s="1241"/>
      <c r="CU942" s="1241"/>
      <c r="CV942" s="1241"/>
      <c r="CW942" s="1241"/>
      <c r="CX942" s="1241"/>
      <c r="CY942" s="1241"/>
      <c r="CZ942" s="1241"/>
      <c r="DA942" s="1241"/>
      <c r="DB942" s="1241"/>
      <c r="DC942" s="1241"/>
      <c r="DD942" s="1241"/>
      <c r="DE942" s="1241"/>
      <c r="DF942" s="1241"/>
      <c r="DG942" s="1241"/>
      <c r="DH942" s="1241"/>
      <c r="DI942" s="1241"/>
      <c r="DJ942" s="1241"/>
      <c r="DK942" s="1241"/>
      <c r="DL942" s="1241"/>
      <c r="DM942" s="1241"/>
    </row>
    <row r="943" spans="1:117" s="1302" customFormat="1">
      <c r="A943" s="1241"/>
      <c r="B943" s="1508" t="s">
        <v>4001</v>
      </c>
      <c r="C943" s="1241" t="s">
        <v>4002</v>
      </c>
      <c r="D943" s="1241"/>
      <c r="E943" s="1509" t="s">
        <v>420</v>
      </c>
      <c r="F943" s="1529"/>
      <c r="G943" s="1471">
        <v>0</v>
      </c>
      <c r="H943" s="1471">
        <v>0</v>
      </c>
      <c r="I943" s="1471">
        <v>4.5035203782611485E-2</v>
      </c>
      <c r="J943" s="1471">
        <v>0.18953313483618103</v>
      </c>
      <c r="K943" s="1471">
        <v>0.37601358254427225</v>
      </c>
      <c r="L943" s="1471">
        <v>0.60021261191982811</v>
      </c>
      <c r="M943" s="1471">
        <v>0.85813572876062694</v>
      </c>
      <c r="N943" s="1471">
        <v>1.1460439172360111</v>
      </c>
      <c r="O943" s="1471">
        <v>0.29666258295180636</v>
      </c>
      <c r="P943" s="1241"/>
      <c r="Q943" s="1241"/>
      <c r="R943" s="1241"/>
      <c r="S943" s="1241"/>
      <c r="T943" s="1241"/>
      <c r="U943" s="1241"/>
      <c r="V943" s="1241"/>
      <c r="W943" s="1241"/>
      <c r="X943" s="1241"/>
      <c r="Y943" s="1241"/>
      <c r="Z943" s="1241"/>
      <c r="AA943" s="1241"/>
      <c r="AB943" s="1241"/>
      <c r="AC943" s="1241"/>
      <c r="AD943" s="1241"/>
      <c r="AE943" s="1241"/>
      <c r="AF943" s="1241"/>
      <c r="AG943" s="1241"/>
      <c r="AH943" s="1241"/>
      <c r="AI943" s="1241"/>
      <c r="AJ943" s="1241"/>
      <c r="AK943" s="1241"/>
      <c r="AL943" s="1241"/>
      <c r="AM943" s="1241"/>
      <c r="AN943" s="1241"/>
      <c r="AO943" s="1241"/>
      <c r="AP943" s="1241"/>
      <c r="AQ943" s="1241"/>
      <c r="AR943" s="1241"/>
      <c r="AS943" s="1241"/>
      <c r="AT943" s="1241"/>
      <c r="AU943" s="1241"/>
      <c r="AV943" s="1241"/>
      <c r="AW943" s="1241"/>
      <c r="AX943" s="1241"/>
      <c r="AY943" s="1241"/>
      <c r="AZ943" s="1241"/>
      <c r="BA943" s="1241"/>
      <c r="BB943" s="1241"/>
      <c r="BC943" s="1241"/>
      <c r="BD943" s="1241"/>
      <c r="BE943" s="1241"/>
      <c r="BF943" s="1241"/>
      <c r="BG943" s="1241"/>
      <c r="BH943" s="1241"/>
      <c r="BI943" s="1241"/>
      <c r="BJ943" s="1241"/>
      <c r="BK943" s="1241"/>
      <c r="BL943" s="1241"/>
      <c r="BM943" s="1241"/>
      <c r="BN943" s="1241"/>
      <c r="BO943" s="1241"/>
      <c r="BP943" s="1241"/>
      <c r="BQ943" s="1241"/>
      <c r="BR943" s="1241"/>
      <c r="BS943" s="1241"/>
      <c r="BT943" s="1241"/>
      <c r="BU943" s="1241"/>
      <c r="BV943" s="1241"/>
      <c r="BW943" s="1241"/>
      <c r="BX943" s="1241"/>
      <c r="BY943" s="1241"/>
      <c r="BZ943" s="1241"/>
      <c r="CA943" s="1241"/>
      <c r="CB943" s="1241"/>
      <c r="CC943" s="1241"/>
      <c r="CD943" s="1241"/>
      <c r="CE943" s="1241"/>
      <c r="CF943" s="1241"/>
      <c r="CG943" s="1241"/>
      <c r="CH943" s="1241"/>
      <c r="CI943" s="1241"/>
      <c r="CJ943" s="1241"/>
      <c r="CK943" s="1241"/>
      <c r="CL943" s="1241"/>
      <c r="CM943" s="1241"/>
      <c r="CN943" s="1241"/>
      <c r="CO943" s="1241"/>
      <c r="CP943" s="1241"/>
      <c r="CQ943" s="1241"/>
      <c r="CR943" s="1241"/>
      <c r="CS943" s="1241"/>
      <c r="CT943" s="1241"/>
      <c r="CU943" s="1241"/>
      <c r="CV943" s="1241"/>
      <c r="CW943" s="1241"/>
      <c r="CX943" s="1241"/>
      <c r="CY943" s="1241"/>
      <c r="CZ943" s="1241"/>
      <c r="DA943" s="1241"/>
      <c r="DB943" s="1241"/>
      <c r="DC943" s="1241"/>
      <c r="DD943" s="1241"/>
      <c r="DE943" s="1241"/>
      <c r="DF943" s="1241"/>
      <c r="DG943" s="1241"/>
      <c r="DH943" s="1241"/>
      <c r="DI943" s="1241"/>
      <c r="DJ943" s="1241"/>
      <c r="DK943" s="1241"/>
      <c r="DL943" s="1241"/>
      <c r="DM943" s="1241"/>
    </row>
    <row r="944" spans="1:117" s="1302" customFormat="1">
      <c r="A944" s="1241"/>
      <c r="B944" s="1508" t="s">
        <v>4011</v>
      </c>
      <c r="C944" s="1241" t="s">
        <v>4012</v>
      </c>
      <c r="D944" s="1241"/>
      <c r="E944" s="1509" t="s">
        <v>420</v>
      </c>
      <c r="F944" s="1529"/>
      <c r="G944" s="1471">
        <v>0</v>
      </c>
      <c r="H944" s="1471">
        <v>0</v>
      </c>
      <c r="I944" s="1471">
        <v>0</v>
      </c>
      <c r="J944" s="1471">
        <v>0</v>
      </c>
      <c r="K944" s="1471">
        <v>0</v>
      </c>
      <c r="L944" s="1471">
        <v>0</v>
      </c>
      <c r="M944" s="1471">
        <v>0</v>
      </c>
      <c r="N944" s="1471">
        <v>0</v>
      </c>
      <c r="O944" s="1471">
        <v>0</v>
      </c>
      <c r="P944" s="1241"/>
      <c r="Q944" s="1241"/>
      <c r="R944" s="1241"/>
      <c r="S944" s="1241"/>
      <c r="T944" s="1241"/>
      <c r="U944" s="1241"/>
      <c r="V944" s="1241"/>
      <c r="W944" s="1241"/>
      <c r="X944" s="1241"/>
      <c r="Y944" s="1241"/>
      <c r="Z944" s="1241"/>
      <c r="AA944" s="1241"/>
      <c r="AB944" s="1241"/>
      <c r="AC944" s="1241"/>
      <c r="AD944" s="1241"/>
      <c r="AE944" s="1241"/>
      <c r="AF944" s="1241"/>
      <c r="AG944" s="1241"/>
      <c r="AH944" s="1241"/>
      <c r="AI944" s="1241"/>
      <c r="AJ944" s="1241"/>
      <c r="AK944" s="1241"/>
      <c r="AL944" s="1241"/>
      <c r="AM944" s="1241"/>
      <c r="AN944" s="1241"/>
      <c r="AO944" s="1241"/>
      <c r="AP944" s="1241"/>
      <c r="AQ944" s="1241"/>
      <c r="AR944" s="1241"/>
      <c r="AS944" s="1241"/>
      <c r="AT944" s="1241"/>
      <c r="AU944" s="1241"/>
      <c r="AV944" s="1241"/>
      <c r="AW944" s="1241"/>
      <c r="AX944" s="1241"/>
      <c r="AY944" s="1241"/>
      <c r="AZ944" s="1241"/>
      <c r="BA944" s="1241"/>
      <c r="BB944" s="1241"/>
      <c r="BC944" s="1241"/>
      <c r="BD944" s="1241"/>
      <c r="BE944" s="1241"/>
      <c r="BF944" s="1241"/>
      <c r="BG944" s="1241"/>
      <c r="BH944" s="1241"/>
      <c r="BI944" s="1241"/>
      <c r="BJ944" s="1241"/>
      <c r="BK944" s="1241"/>
      <c r="BL944" s="1241"/>
      <c r="BM944" s="1241"/>
      <c r="BN944" s="1241"/>
      <c r="BO944" s="1241"/>
      <c r="BP944" s="1241"/>
      <c r="BQ944" s="1241"/>
      <c r="BR944" s="1241"/>
      <c r="BS944" s="1241"/>
      <c r="BT944" s="1241"/>
      <c r="BU944" s="1241"/>
      <c r="BV944" s="1241"/>
      <c r="BW944" s="1241"/>
      <c r="BX944" s="1241"/>
      <c r="BY944" s="1241"/>
      <c r="BZ944" s="1241"/>
      <c r="CA944" s="1241"/>
      <c r="CB944" s="1241"/>
      <c r="CC944" s="1241"/>
      <c r="CD944" s="1241"/>
      <c r="CE944" s="1241"/>
      <c r="CF944" s="1241"/>
      <c r="CG944" s="1241"/>
      <c r="CH944" s="1241"/>
      <c r="CI944" s="1241"/>
      <c r="CJ944" s="1241"/>
      <c r="CK944" s="1241"/>
      <c r="CL944" s="1241"/>
      <c r="CM944" s="1241"/>
      <c r="CN944" s="1241"/>
      <c r="CO944" s="1241"/>
      <c r="CP944" s="1241"/>
      <c r="CQ944" s="1241"/>
      <c r="CR944" s="1241"/>
      <c r="CS944" s="1241"/>
      <c r="CT944" s="1241"/>
      <c r="CU944" s="1241"/>
      <c r="CV944" s="1241"/>
      <c r="CW944" s="1241"/>
      <c r="CX944" s="1241"/>
      <c r="CY944" s="1241"/>
      <c r="CZ944" s="1241"/>
      <c r="DA944" s="1241"/>
      <c r="DB944" s="1241"/>
      <c r="DC944" s="1241"/>
      <c r="DD944" s="1241"/>
      <c r="DE944" s="1241"/>
      <c r="DF944" s="1241"/>
      <c r="DG944" s="1241"/>
      <c r="DH944" s="1241"/>
      <c r="DI944" s="1241"/>
      <c r="DJ944" s="1241"/>
      <c r="DK944" s="1241"/>
      <c r="DL944" s="1241"/>
      <c r="DM944" s="1241"/>
    </row>
    <row r="945" spans="1:117" s="1302" customFormat="1">
      <c r="A945" s="1241"/>
      <c r="B945" s="1508" t="s">
        <v>4025</v>
      </c>
      <c r="C945" s="1241" t="s">
        <v>4026</v>
      </c>
      <c r="D945" s="1241"/>
      <c r="E945" s="1509" t="s">
        <v>420</v>
      </c>
      <c r="F945" s="1529"/>
      <c r="G945" s="1471">
        <v>0</v>
      </c>
      <c r="H945" s="1471">
        <v>0</v>
      </c>
      <c r="I945" s="1471">
        <v>0</v>
      </c>
      <c r="J945" s="1471">
        <v>0</v>
      </c>
      <c r="K945" s="1471">
        <v>0</v>
      </c>
      <c r="L945" s="1471">
        <v>0</v>
      </c>
      <c r="M945" s="1471">
        <v>0</v>
      </c>
      <c r="N945" s="1471">
        <v>0</v>
      </c>
      <c r="O945" s="1471">
        <v>0</v>
      </c>
      <c r="P945" s="1241"/>
      <c r="Q945" s="1241"/>
      <c r="R945" s="1241"/>
      <c r="S945" s="1241"/>
      <c r="T945" s="1241"/>
      <c r="U945" s="1241"/>
      <c r="V945" s="1241"/>
      <c r="W945" s="1241"/>
      <c r="X945" s="1241"/>
      <c r="Y945" s="1241"/>
      <c r="Z945" s="1241"/>
      <c r="AA945" s="1241"/>
      <c r="AB945" s="1241"/>
      <c r="AC945" s="1241"/>
      <c r="AD945" s="1241"/>
      <c r="AE945" s="1241"/>
      <c r="AF945" s="1241"/>
      <c r="AG945" s="1241"/>
      <c r="AH945" s="1241"/>
      <c r="AI945" s="1241"/>
      <c r="AJ945" s="1241"/>
      <c r="AK945" s="1241"/>
      <c r="AL945" s="1241"/>
      <c r="AM945" s="1241"/>
      <c r="AN945" s="1241"/>
      <c r="AO945" s="1241"/>
      <c r="AP945" s="1241"/>
      <c r="AQ945" s="1241"/>
      <c r="AR945" s="1241"/>
      <c r="AS945" s="1241"/>
      <c r="AT945" s="1241"/>
      <c r="AU945" s="1241"/>
      <c r="AV945" s="1241"/>
      <c r="AW945" s="1241"/>
      <c r="AX945" s="1241"/>
      <c r="AY945" s="1241"/>
      <c r="AZ945" s="1241"/>
      <c r="BA945" s="1241"/>
      <c r="BB945" s="1241"/>
      <c r="BC945" s="1241"/>
      <c r="BD945" s="1241"/>
      <c r="BE945" s="1241"/>
      <c r="BF945" s="1241"/>
      <c r="BG945" s="1241"/>
      <c r="BH945" s="1241"/>
      <c r="BI945" s="1241"/>
      <c r="BJ945" s="1241"/>
      <c r="BK945" s="1241"/>
      <c r="BL945" s="1241"/>
      <c r="BM945" s="1241"/>
      <c r="BN945" s="1241"/>
      <c r="BO945" s="1241"/>
      <c r="BP945" s="1241"/>
      <c r="BQ945" s="1241"/>
      <c r="BR945" s="1241"/>
      <c r="BS945" s="1241"/>
      <c r="BT945" s="1241"/>
      <c r="BU945" s="1241"/>
      <c r="BV945" s="1241"/>
      <c r="BW945" s="1241"/>
      <c r="BX945" s="1241"/>
      <c r="BY945" s="1241"/>
      <c r="BZ945" s="1241"/>
      <c r="CA945" s="1241"/>
      <c r="CB945" s="1241"/>
      <c r="CC945" s="1241"/>
      <c r="CD945" s="1241"/>
      <c r="CE945" s="1241"/>
      <c r="CF945" s="1241"/>
      <c r="CG945" s="1241"/>
      <c r="CH945" s="1241"/>
      <c r="CI945" s="1241"/>
      <c r="CJ945" s="1241"/>
      <c r="CK945" s="1241"/>
      <c r="CL945" s="1241"/>
      <c r="CM945" s="1241"/>
      <c r="CN945" s="1241"/>
      <c r="CO945" s="1241"/>
      <c r="CP945" s="1241"/>
      <c r="CQ945" s="1241"/>
      <c r="CR945" s="1241"/>
      <c r="CS945" s="1241"/>
      <c r="CT945" s="1241"/>
      <c r="CU945" s="1241"/>
      <c r="CV945" s="1241"/>
      <c r="CW945" s="1241"/>
      <c r="CX945" s="1241"/>
      <c r="CY945" s="1241"/>
      <c r="CZ945" s="1241"/>
      <c r="DA945" s="1241"/>
      <c r="DB945" s="1241"/>
      <c r="DC945" s="1241"/>
      <c r="DD945" s="1241"/>
      <c r="DE945" s="1241"/>
      <c r="DF945" s="1241"/>
      <c r="DG945" s="1241"/>
      <c r="DH945" s="1241"/>
      <c r="DI945" s="1241"/>
      <c r="DJ945" s="1241"/>
      <c r="DK945" s="1241"/>
      <c r="DL945" s="1241"/>
      <c r="DM945" s="1241"/>
    </row>
    <row r="946" spans="1:117" s="1302" customFormat="1">
      <c r="A946" s="1241"/>
      <c r="B946" s="1508"/>
      <c r="C946" s="1241"/>
      <c r="D946" s="1241"/>
      <c r="E946" s="1509"/>
      <c r="F946" s="1470"/>
      <c r="G946" s="1471"/>
      <c r="H946" s="1471"/>
      <c r="I946" s="1471"/>
      <c r="J946" s="1471"/>
      <c r="K946" s="1471"/>
      <c r="L946" s="1471"/>
      <c r="M946" s="1471"/>
      <c r="N946" s="1471"/>
      <c r="O946" s="1549"/>
      <c r="P946" s="1241"/>
      <c r="Q946" s="1241"/>
      <c r="R946" s="1241"/>
      <c r="S946" s="1241"/>
      <c r="T946" s="1241"/>
      <c r="U946" s="1241"/>
      <c r="V946" s="1241"/>
      <c r="W946" s="1241"/>
      <c r="X946" s="1241"/>
      <c r="Y946" s="1241"/>
      <c r="Z946" s="1241"/>
      <c r="AA946" s="1241"/>
      <c r="AB946" s="1241"/>
      <c r="AC946" s="1241"/>
      <c r="AD946" s="1241"/>
      <c r="AE946" s="1241"/>
      <c r="AF946" s="1241"/>
      <c r="AG946" s="1241"/>
      <c r="AH946" s="1241"/>
      <c r="AI946" s="1241"/>
      <c r="AJ946" s="1241"/>
      <c r="AK946" s="1241"/>
      <c r="AL946" s="1241"/>
      <c r="AM946" s="1241"/>
      <c r="AN946" s="1241"/>
      <c r="AO946" s="1241"/>
      <c r="AP946" s="1241"/>
      <c r="AQ946" s="1241"/>
      <c r="AR946" s="1241"/>
      <c r="AS946" s="1241"/>
      <c r="AT946" s="1241"/>
      <c r="AU946" s="1241"/>
      <c r="AV946" s="1241"/>
      <c r="AW946" s="1241"/>
      <c r="AX946" s="1241"/>
      <c r="AY946" s="1241"/>
      <c r="AZ946" s="1241"/>
      <c r="BA946" s="1241"/>
      <c r="BB946" s="1241"/>
      <c r="BC946" s="1241"/>
      <c r="BD946" s="1241"/>
      <c r="BE946" s="1241"/>
      <c r="BF946" s="1241"/>
      <c r="BG946" s="1241"/>
      <c r="BH946" s="1241"/>
      <c r="BI946" s="1241"/>
      <c r="BJ946" s="1241"/>
      <c r="BK946" s="1241"/>
      <c r="BL946" s="1241"/>
      <c r="BM946" s="1241"/>
      <c r="BN946" s="1241"/>
      <c r="BO946" s="1241"/>
      <c r="BP946" s="1241"/>
      <c r="BQ946" s="1241"/>
      <c r="BR946" s="1241"/>
      <c r="BS946" s="1241"/>
      <c r="BT946" s="1241"/>
      <c r="BU946" s="1241"/>
      <c r="BV946" s="1241"/>
      <c r="BW946" s="1241"/>
      <c r="BX946" s="1241"/>
      <c r="BY946" s="1241"/>
      <c r="BZ946" s="1241"/>
      <c r="CA946" s="1241"/>
      <c r="CB946" s="1241"/>
      <c r="CC946" s="1241"/>
      <c r="CD946" s="1241"/>
      <c r="CE946" s="1241"/>
      <c r="CF946" s="1241"/>
      <c r="CG946" s="1241"/>
      <c r="CH946" s="1241"/>
      <c r="CI946" s="1241"/>
      <c r="CJ946" s="1241"/>
      <c r="CK946" s="1241"/>
      <c r="CL946" s="1241"/>
      <c r="CM946" s="1241"/>
      <c r="CN946" s="1241"/>
      <c r="CO946" s="1241"/>
      <c r="CP946" s="1241"/>
      <c r="CQ946" s="1241"/>
      <c r="CR946" s="1241"/>
      <c r="CS946" s="1241"/>
      <c r="CT946" s="1241"/>
      <c r="CU946" s="1241"/>
      <c r="CV946" s="1241"/>
      <c r="CW946" s="1241"/>
      <c r="CX946" s="1241"/>
      <c r="CY946" s="1241"/>
      <c r="CZ946" s="1241"/>
      <c r="DA946" s="1241"/>
      <c r="DB946" s="1241"/>
      <c r="DC946" s="1241"/>
      <c r="DD946" s="1241"/>
      <c r="DE946" s="1241"/>
      <c r="DF946" s="1241"/>
      <c r="DG946" s="1241"/>
      <c r="DH946" s="1241"/>
      <c r="DI946" s="1241"/>
      <c r="DJ946" s="1241"/>
      <c r="DK946" s="1241"/>
      <c r="DL946" s="1241"/>
      <c r="DM946" s="1241"/>
    </row>
    <row r="947" spans="1:117" s="1302" customFormat="1">
      <c r="A947" s="1459" t="s">
        <v>4279</v>
      </c>
      <c r="B947" s="1508"/>
      <c r="C947" s="1241" t="s">
        <v>4281</v>
      </c>
      <c r="D947" s="1241"/>
      <c r="F947" s="1470"/>
      <c r="G947" s="1471"/>
      <c r="H947" s="1471"/>
      <c r="I947" s="1471"/>
      <c r="J947" s="1471"/>
      <c r="K947" s="1471"/>
      <c r="L947" s="1471"/>
      <c r="M947" s="1471"/>
      <c r="N947" s="1471"/>
      <c r="O947" s="1471"/>
      <c r="P947" s="1241"/>
      <c r="Q947" s="1241"/>
      <c r="R947" s="1241"/>
      <c r="S947" s="1241"/>
      <c r="T947" s="1241"/>
      <c r="U947" s="1241"/>
      <c r="V947" s="1241"/>
      <c r="W947" s="1241"/>
      <c r="X947" s="1241"/>
      <c r="Y947" s="1241"/>
      <c r="Z947" s="1241"/>
      <c r="AA947" s="1241"/>
      <c r="AB947" s="1241"/>
      <c r="AC947" s="1241"/>
      <c r="AD947" s="1241"/>
      <c r="AE947" s="1241"/>
      <c r="AF947" s="1241"/>
      <c r="AG947" s="1241"/>
      <c r="AH947" s="1241"/>
      <c r="AI947" s="1241"/>
      <c r="AJ947" s="1241"/>
      <c r="AK947" s="1241"/>
      <c r="AL947" s="1241"/>
      <c r="AM947" s="1241"/>
      <c r="AN947" s="1241"/>
      <c r="AO947" s="1241"/>
      <c r="AP947" s="1241"/>
      <c r="AQ947" s="1241"/>
      <c r="AR947" s="1241"/>
      <c r="AS947" s="1241"/>
      <c r="AT947" s="1241"/>
      <c r="AU947" s="1241"/>
      <c r="AV947" s="1241"/>
      <c r="AW947" s="1241"/>
      <c r="AX947" s="1241"/>
      <c r="AY947" s="1241"/>
      <c r="AZ947" s="1241"/>
      <c r="BA947" s="1241"/>
      <c r="BB947" s="1241"/>
      <c r="BC947" s="1241"/>
      <c r="BD947" s="1241"/>
      <c r="BE947" s="1241"/>
      <c r="BF947" s="1241"/>
      <c r="BG947" s="1241"/>
      <c r="BH947" s="1241"/>
      <c r="BI947" s="1241"/>
      <c r="BJ947" s="1241"/>
      <c r="BK947" s="1241"/>
      <c r="BL947" s="1241"/>
      <c r="BM947" s="1241"/>
      <c r="BN947" s="1241"/>
      <c r="BO947" s="1241"/>
      <c r="BP947" s="1241"/>
      <c r="BQ947" s="1241"/>
      <c r="BR947" s="1241"/>
      <c r="BS947" s="1241"/>
      <c r="BT947" s="1241"/>
      <c r="BU947" s="1241"/>
      <c r="BV947" s="1241"/>
      <c r="BW947" s="1241"/>
      <c r="BX947" s="1241"/>
      <c r="BY947" s="1241"/>
      <c r="BZ947" s="1241"/>
      <c r="CA947" s="1241"/>
      <c r="CB947" s="1241"/>
      <c r="CC947" s="1241"/>
      <c r="CD947" s="1241"/>
      <c r="CE947" s="1241"/>
      <c r="CF947" s="1241"/>
      <c r="CG947" s="1241"/>
      <c r="CH947" s="1241"/>
      <c r="CI947" s="1241"/>
      <c r="CJ947" s="1241"/>
      <c r="CK947" s="1241"/>
      <c r="CL947" s="1241"/>
      <c r="CM947" s="1241"/>
      <c r="CN947" s="1241"/>
      <c r="CO947" s="1241"/>
      <c r="CP947" s="1241"/>
      <c r="CQ947" s="1241"/>
      <c r="CR947" s="1241"/>
      <c r="CS947" s="1241"/>
      <c r="CT947" s="1241"/>
      <c r="CU947" s="1241"/>
      <c r="CV947" s="1241"/>
      <c r="CW947" s="1241"/>
      <c r="CX947" s="1241"/>
      <c r="CY947" s="1241"/>
      <c r="CZ947" s="1241"/>
      <c r="DA947" s="1241"/>
      <c r="DB947" s="1241"/>
      <c r="DC947" s="1241"/>
      <c r="DD947" s="1241"/>
      <c r="DE947" s="1241"/>
      <c r="DF947" s="1241"/>
      <c r="DG947" s="1241"/>
      <c r="DH947" s="1241"/>
      <c r="DI947" s="1241"/>
      <c r="DJ947" s="1241"/>
      <c r="DK947" s="1241"/>
      <c r="DL947" s="1241"/>
      <c r="DM947" s="1241"/>
    </row>
    <row r="948" spans="1:117" s="1302" customFormat="1">
      <c r="A948" s="1241"/>
      <c r="B948" s="1508"/>
      <c r="C948" s="1241" t="s">
        <v>4282</v>
      </c>
      <c r="D948" s="1241"/>
      <c r="E948" s="1509" t="s">
        <v>1065</v>
      </c>
      <c r="F948" s="1470"/>
      <c r="G948" s="1471"/>
      <c r="H948" s="1471">
        <v>19.412251716</v>
      </c>
      <c r="I948" s="1471">
        <v>21.736015929658521</v>
      </c>
      <c r="J948" s="1471">
        <v>27.710827359534445</v>
      </c>
      <c r="K948" s="1471">
        <v>33.89104422867161</v>
      </c>
      <c r="L948" s="1471">
        <v>40.240371900559111</v>
      </c>
      <c r="M948" s="1471">
        <v>46.72510036932124</v>
      </c>
      <c r="N948" s="1471">
        <v>53.313963029819234</v>
      </c>
      <c r="O948" s="1471">
        <v>31.396691141538529</v>
      </c>
      <c r="P948" s="1241"/>
      <c r="Q948" s="1241"/>
      <c r="R948" s="1241"/>
      <c r="S948" s="1241"/>
      <c r="T948" s="1241"/>
      <c r="U948" s="1241"/>
      <c r="V948" s="1241"/>
      <c r="W948" s="1241"/>
      <c r="X948" s="1241"/>
      <c r="Y948" s="1241"/>
      <c r="Z948" s="1241"/>
      <c r="AA948" s="1241"/>
      <c r="AB948" s="1241"/>
      <c r="AC948" s="1241"/>
      <c r="AD948" s="1241"/>
      <c r="AE948" s="1241"/>
      <c r="AF948" s="1241"/>
      <c r="AG948" s="1241"/>
      <c r="AH948" s="1241"/>
      <c r="AI948" s="1241"/>
      <c r="AJ948" s="1241"/>
      <c r="AK948" s="1241"/>
      <c r="AL948" s="1241"/>
      <c r="AM948" s="1241"/>
      <c r="AN948" s="1241"/>
      <c r="AO948" s="1241"/>
      <c r="AP948" s="1241"/>
      <c r="AQ948" s="1241"/>
      <c r="AR948" s="1241"/>
      <c r="AS948" s="1241"/>
      <c r="AT948" s="1241"/>
      <c r="AU948" s="1241"/>
      <c r="AV948" s="1241"/>
      <c r="AW948" s="1241"/>
      <c r="AX948" s="1241"/>
      <c r="AY948" s="1241"/>
      <c r="AZ948" s="1241"/>
      <c r="BA948" s="1241"/>
      <c r="BB948" s="1241"/>
      <c r="BC948" s="1241"/>
      <c r="BD948" s="1241"/>
      <c r="BE948" s="1241"/>
      <c r="BF948" s="1241"/>
      <c r="BG948" s="1241"/>
      <c r="BH948" s="1241"/>
      <c r="BI948" s="1241"/>
      <c r="BJ948" s="1241"/>
      <c r="BK948" s="1241"/>
      <c r="BL948" s="1241"/>
      <c r="BM948" s="1241"/>
      <c r="BN948" s="1241"/>
      <c r="BO948" s="1241"/>
      <c r="BP948" s="1241"/>
      <c r="BQ948" s="1241"/>
      <c r="BR948" s="1241"/>
      <c r="BS948" s="1241"/>
      <c r="BT948" s="1241"/>
      <c r="BU948" s="1241"/>
      <c r="BV948" s="1241"/>
      <c r="BW948" s="1241"/>
      <c r="BX948" s="1241"/>
      <c r="BY948" s="1241"/>
      <c r="BZ948" s="1241"/>
      <c r="CA948" s="1241"/>
      <c r="CB948" s="1241"/>
      <c r="CC948" s="1241"/>
      <c r="CD948" s="1241"/>
      <c r="CE948" s="1241"/>
      <c r="CF948" s="1241"/>
      <c r="CG948" s="1241"/>
      <c r="CH948" s="1241"/>
      <c r="CI948" s="1241"/>
      <c r="CJ948" s="1241"/>
      <c r="CK948" s="1241"/>
      <c r="CL948" s="1241"/>
      <c r="CM948" s="1241"/>
      <c r="CN948" s="1241"/>
      <c r="CO948" s="1241"/>
      <c r="CP948" s="1241"/>
      <c r="CQ948" s="1241"/>
      <c r="CR948" s="1241"/>
      <c r="CS948" s="1241"/>
      <c r="CT948" s="1241"/>
      <c r="CU948" s="1241"/>
      <c r="CV948" s="1241"/>
      <c r="CW948" s="1241"/>
      <c r="CX948" s="1241"/>
      <c r="CY948" s="1241"/>
      <c r="CZ948" s="1241"/>
      <c r="DA948" s="1241"/>
      <c r="DB948" s="1241"/>
      <c r="DC948" s="1241"/>
      <c r="DD948" s="1241"/>
      <c r="DE948" s="1241"/>
      <c r="DF948" s="1241"/>
      <c r="DG948" s="1241"/>
      <c r="DH948" s="1241"/>
      <c r="DI948" s="1241"/>
      <c r="DJ948" s="1241"/>
      <c r="DK948" s="1241"/>
      <c r="DL948" s="1241"/>
      <c r="DM948" s="1241"/>
    </row>
    <row r="949" spans="1:117" s="1302" customFormat="1">
      <c r="A949" s="1241"/>
      <c r="B949" s="1508"/>
      <c r="C949" s="1241" t="s">
        <v>1255</v>
      </c>
      <c r="D949" s="1241"/>
      <c r="E949" s="1509" t="s">
        <v>4283</v>
      </c>
      <c r="F949" s="1470"/>
      <c r="G949" s="1471"/>
      <c r="H949" s="1471">
        <v>23.497366848266299</v>
      </c>
      <c r="I949" s="1471">
        <v>25.438422466376299</v>
      </c>
      <c r="J949" s="1471">
        <v>29.873606597405054</v>
      </c>
      <c r="K949" s="1471">
        <v>33.744789239362113</v>
      </c>
      <c r="L949" s="1471">
        <v>37.09057255250071</v>
      </c>
      <c r="M949" s="1471">
        <v>39.947471820585996</v>
      </c>
      <c r="N949" s="1471">
        <v>42.350014763316253</v>
      </c>
      <c r="O949" s="1471">
        <v>32.261477981886316</v>
      </c>
      <c r="P949" s="1241"/>
      <c r="Q949" s="1241"/>
      <c r="R949" s="1241"/>
      <c r="S949" s="1241"/>
      <c r="T949" s="1241"/>
      <c r="U949" s="1241"/>
      <c r="V949" s="1241"/>
      <c r="W949" s="1241"/>
      <c r="X949" s="1241"/>
      <c r="Y949" s="1241"/>
      <c r="Z949" s="1241"/>
      <c r="AA949" s="1241"/>
      <c r="AB949" s="1241"/>
      <c r="AC949" s="1241"/>
      <c r="AD949" s="1241"/>
      <c r="AE949" s="1241"/>
      <c r="AF949" s="1241"/>
      <c r="AG949" s="1241"/>
      <c r="AH949" s="1241"/>
      <c r="AI949" s="1241"/>
      <c r="AJ949" s="1241"/>
      <c r="AK949" s="1241"/>
      <c r="AL949" s="1241"/>
      <c r="AM949" s="1241"/>
      <c r="AN949" s="1241"/>
      <c r="AO949" s="1241"/>
      <c r="AP949" s="1241"/>
      <c r="AQ949" s="1241"/>
      <c r="AR949" s="1241"/>
      <c r="AS949" s="1241"/>
      <c r="AT949" s="1241"/>
      <c r="AU949" s="1241"/>
      <c r="AV949" s="1241"/>
      <c r="AW949" s="1241"/>
      <c r="AX949" s="1241"/>
      <c r="AY949" s="1241"/>
      <c r="AZ949" s="1241"/>
      <c r="BA949" s="1241"/>
      <c r="BB949" s="1241"/>
      <c r="BC949" s="1241"/>
      <c r="BD949" s="1241"/>
      <c r="BE949" s="1241"/>
      <c r="BF949" s="1241"/>
      <c r="BG949" s="1241"/>
      <c r="BH949" s="1241"/>
      <c r="BI949" s="1241"/>
      <c r="BJ949" s="1241"/>
      <c r="BK949" s="1241"/>
      <c r="BL949" s="1241"/>
      <c r="BM949" s="1241"/>
      <c r="BN949" s="1241"/>
      <c r="BO949" s="1241"/>
      <c r="BP949" s="1241"/>
      <c r="BQ949" s="1241"/>
      <c r="BR949" s="1241"/>
      <c r="BS949" s="1241"/>
      <c r="BT949" s="1241"/>
      <c r="BU949" s="1241"/>
      <c r="BV949" s="1241"/>
      <c r="BW949" s="1241"/>
      <c r="BX949" s="1241"/>
      <c r="BY949" s="1241"/>
      <c r="BZ949" s="1241"/>
      <c r="CA949" s="1241"/>
      <c r="CB949" s="1241"/>
      <c r="CC949" s="1241"/>
      <c r="CD949" s="1241"/>
      <c r="CE949" s="1241"/>
      <c r="CF949" s="1241"/>
      <c r="CG949" s="1241"/>
      <c r="CH949" s="1241"/>
      <c r="CI949" s="1241"/>
      <c r="CJ949" s="1241"/>
      <c r="CK949" s="1241"/>
      <c r="CL949" s="1241"/>
      <c r="CM949" s="1241"/>
      <c r="CN949" s="1241"/>
      <c r="CO949" s="1241"/>
      <c r="CP949" s="1241"/>
      <c r="CQ949" s="1241"/>
      <c r="CR949" s="1241"/>
      <c r="CS949" s="1241"/>
      <c r="CT949" s="1241"/>
      <c r="CU949" s="1241"/>
      <c r="CV949" s="1241"/>
      <c r="CW949" s="1241"/>
      <c r="CX949" s="1241"/>
      <c r="CY949" s="1241"/>
      <c r="CZ949" s="1241"/>
      <c r="DA949" s="1241"/>
      <c r="DB949" s="1241"/>
      <c r="DC949" s="1241"/>
      <c r="DD949" s="1241"/>
      <c r="DE949" s="1241"/>
      <c r="DF949" s="1241"/>
      <c r="DG949" s="1241"/>
      <c r="DH949" s="1241"/>
      <c r="DI949" s="1241"/>
      <c r="DJ949" s="1241"/>
      <c r="DK949" s="1241"/>
      <c r="DL949" s="1241"/>
      <c r="DM949" s="1241"/>
    </row>
    <row r="950" spans="1:117" s="1302" customFormat="1">
      <c r="A950" s="1241"/>
      <c r="B950" s="1508"/>
      <c r="C950" s="1241" t="s">
        <v>3861</v>
      </c>
      <c r="D950" s="1241"/>
      <c r="E950" s="1509" t="s">
        <v>3925</v>
      </c>
      <c r="F950" s="1470"/>
      <c r="G950" s="1471"/>
      <c r="H950" s="1471">
        <v>0.55638440000000011</v>
      </c>
      <c r="I950" s="1471">
        <v>0.60797525106525507</v>
      </c>
      <c r="J950" s="1471">
        <v>0.73105637722526973</v>
      </c>
      <c r="K950" s="1471">
        <v>0.84603056072461236</v>
      </c>
      <c r="L950" s="1471">
        <v>0.95327885422560932</v>
      </c>
      <c r="M950" s="1471">
        <v>1.0531665762062239</v>
      </c>
      <c r="N950" s="1471">
        <v>1.1460439172360111</v>
      </c>
      <c r="O950" s="1471">
        <v>0.80098897396987734</v>
      </c>
      <c r="P950" s="1241"/>
      <c r="Q950" s="1241"/>
      <c r="R950" s="1241"/>
      <c r="S950" s="1241"/>
      <c r="T950" s="1241"/>
      <c r="U950" s="1241"/>
      <c r="V950" s="1241"/>
      <c r="W950" s="1241"/>
      <c r="X950" s="1241"/>
      <c r="Y950" s="1241"/>
      <c r="Z950" s="1241"/>
      <c r="AA950" s="1241"/>
      <c r="AB950" s="1241"/>
      <c r="AC950" s="1241"/>
      <c r="AD950" s="1241"/>
      <c r="AE950" s="1241"/>
      <c r="AF950" s="1241"/>
      <c r="AG950" s="1241"/>
      <c r="AH950" s="1241"/>
      <c r="AI950" s="1241"/>
      <c r="AJ950" s="1241"/>
      <c r="AK950" s="1241"/>
      <c r="AL950" s="1241"/>
      <c r="AM950" s="1241"/>
      <c r="AN950" s="1241"/>
      <c r="AO950" s="1241"/>
      <c r="AP950" s="1241"/>
      <c r="AQ950" s="1241"/>
      <c r="AR950" s="1241"/>
      <c r="AS950" s="1241"/>
      <c r="AT950" s="1241"/>
      <c r="AU950" s="1241"/>
      <c r="AV950" s="1241"/>
      <c r="AW950" s="1241"/>
      <c r="AX950" s="1241"/>
      <c r="AY950" s="1241"/>
      <c r="AZ950" s="1241"/>
      <c r="BA950" s="1241"/>
      <c r="BB950" s="1241"/>
      <c r="BC950" s="1241"/>
      <c r="BD950" s="1241"/>
      <c r="BE950" s="1241"/>
      <c r="BF950" s="1241"/>
      <c r="BG950" s="1241"/>
      <c r="BH950" s="1241"/>
      <c r="BI950" s="1241"/>
      <c r="BJ950" s="1241"/>
      <c r="BK950" s="1241"/>
      <c r="BL950" s="1241"/>
      <c r="BM950" s="1241"/>
      <c r="BN950" s="1241"/>
      <c r="BO950" s="1241"/>
      <c r="BP950" s="1241"/>
      <c r="BQ950" s="1241"/>
      <c r="BR950" s="1241"/>
      <c r="BS950" s="1241"/>
      <c r="BT950" s="1241"/>
      <c r="BU950" s="1241"/>
      <c r="BV950" s="1241"/>
      <c r="BW950" s="1241"/>
      <c r="BX950" s="1241"/>
      <c r="BY950" s="1241"/>
      <c r="BZ950" s="1241"/>
      <c r="CA950" s="1241"/>
      <c r="CB950" s="1241"/>
      <c r="CC950" s="1241"/>
      <c r="CD950" s="1241"/>
      <c r="CE950" s="1241"/>
      <c r="CF950" s="1241"/>
      <c r="CG950" s="1241"/>
      <c r="CH950" s="1241"/>
      <c r="CI950" s="1241"/>
      <c r="CJ950" s="1241"/>
      <c r="CK950" s="1241"/>
      <c r="CL950" s="1241"/>
      <c r="CM950" s="1241"/>
      <c r="CN950" s="1241"/>
      <c r="CO950" s="1241"/>
      <c r="CP950" s="1241"/>
      <c r="CQ950" s="1241"/>
      <c r="CR950" s="1241"/>
      <c r="CS950" s="1241"/>
      <c r="CT950" s="1241"/>
      <c r="CU950" s="1241"/>
      <c r="CV950" s="1241"/>
      <c r="CW950" s="1241"/>
      <c r="CX950" s="1241"/>
      <c r="CY950" s="1241"/>
      <c r="CZ950" s="1241"/>
      <c r="DA950" s="1241"/>
      <c r="DB950" s="1241"/>
      <c r="DC950" s="1241"/>
      <c r="DD950" s="1241"/>
      <c r="DE950" s="1241"/>
      <c r="DF950" s="1241"/>
      <c r="DG950" s="1241"/>
      <c r="DH950" s="1241"/>
      <c r="DI950" s="1241"/>
      <c r="DJ950" s="1241"/>
      <c r="DK950" s="1241"/>
      <c r="DL950" s="1241"/>
      <c r="DM950" s="1241"/>
    </row>
    <row r="951" spans="1:117" s="1302" customFormat="1">
      <c r="A951" s="1241"/>
      <c r="B951" s="1508"/>
      <c r="C951" s="1241" t="s">
        <v>524</v>
      </c>
      <c r="D951" s="1241"/>
      <c r="E951" s="1509" t="s">
        <v>3923</v>
      </c>
      <c r="F951" s="1470"/>
      <c r="G951" s="1471"/>
      <c r="H951" s="1471">
        <v>0</v>
      </c>
      <c r="I951" s="1471">
        <v>5.0120518659499673E-2</v>
      </c>
      <c r="J951" s="1471">
        <v>0.21093496250189334</v>
      </c>
      <c r="K951" s="1471">
        <v>0.41847253253491734</v>
      </c>
      <c r="L951" s="1471">
        <v>0.66798781594522494</v>
      </c>
      <c r="M951" s="1471">
        <v>0.95503526559675511</v>
      </c>
      <c r="N951" s="1471">
        <v>1.2754536610004601</v>
      </c>
      <c r="O951" s="1471">
        <v>0.33016132437602946</v>
      </c>
      <c r="P951" s="1241"/>
      <c r="Q951" s="1241"/>
      <c r="R951" s="1241"/>
      <c r="S951" s="1241"/>
      <c r="T951" s="1241"/>
      <c r="U951" s="1241"/>
      <c r="V951" s="1241"/>
      <c r="W951" s="1241"/>
      <c r="X951" s="1241"/>
      <c r="Y951" s="1241"/>
      <c r="Z951" s="1241"/>
      <c r="AA951" s="1241"/>
      <c r="AB951" s="1241"/>
      <c r="AC951" s="1241"/>
      <c r="AD951" s="1241"/>
      <c r="AE951" s="1241"/>
      <c r="AF951" s="1241"/>
      <c r="AG951" s="1241"/>
      <c r="AH951" s="1241"/>
      <c r="AI951" s="1241"/>
      <c r="AJ951" s="1241"/>
      <c r="AK951" s="1241"/>
      <c r="AL951" s="1241"/>
      <c r="AM951" s="1241"/>
      <c r="AN951" s="1241"/>
      <c r="AO951" s="1241"/>
      <c r="AP951" s="1241"/>
      <c r="AQ951" s="1241"/>
      <c r="AR951" s="1241"/>
      <c r="AS951" s="1241"/>
      <c r="AT951" s="1241"/>
      <c r="AU951" s="1241"/>
      <c r="AV951" s="1241"/>
      <c r="AW951" s="1241"/>
      <c r="AX951" s="1241"/>
      <c r="AY951" s="1241"/>
      <c r="AZ951" s="1241"/>
      <c r="BA951" s="1241"/>
      <c r="BB951" s="1241"/>
      <c r="BC951" s="1241"/>
      <c r="BD951" s="1241"/>
      <c r="BE951" s="1241"/>
      <c r="BF951" s="1241"/>
      <c r="BG951" s="1241"/>
      <c r="BH951" s="1241"/>
      <c r="BI951" s="1241"/>
      <c r="BJ951" s="1241"/>
      <c r="BK951" s="1241"/>
      <c r="BL951" s="1241"/>
      <c r="BM951" s="1241"/>
      <c r="BN951" s="1241"/>
      <c r="BO951" s="1241"/>
      <c r="BP951" s="1241"/>
      <c r="BQ951" s="1241"/>
      <c r="BR951" s="1241"/>
      <c r="BS951" s="1241"/>
      <c r="BT951" s="1241"/>
      <c r="BU951" s="1241"/>
      <c r="BV951" s="1241"/>
      <c r="BW951" s="1241"/>
      <c r="BX951" s="1241"/>
      <c r="BY951" s="1241"/>
      <c r="BZ951" s="1241"/>
      <c r="CA951" s="1241"/>
      <c r="CB951" s="1241"/>
      <c r="CC951" s="1241"/>
      <c r="CD951" s="1241"/>
      <c r="CE951" s="1241"/>
      <c r="CF951" s="1241"/>
      <c r="CG951" s="1241"/>
      <c r="CH951" s="1241"/>
      <c r="CI951" s="1241"/>
      <c r="CJ951" s="1241"/>
      <c r="CK951" s="1241"/>
      <c r="CL951" s="1241"/>
      <c r="CM951" s="1241"/>
      <c r="CN951" s="1241"/>
      <c r="CO951" s="1241"/>
      <c r="CP951" s="1241"/>
      <c r="CQ951" s="1241"/>
      <c r="CR951" s="1241"/>
      <c r="CS951" s="1241"/>
      <c r="CT951" s="1241"/>
      <c r="CU951" s="1241"/>
      <c r="CV951" s="1241"/>
      <c r="CW951" s="1241"/>
      <c r="CX951" s="1241"/>
      <c r="CY951" s="1241"/>
      <c r="CZ951" s="1241"/>
      <c r="DA951" s="1241"/>
      <c r="DB951" s="1241"/>
      <c r="DC951" s="1241"/>
      <c r="DD951" s="1241"/>
      <c r="DE951" s="1241"/>
      <c r="DF951" s="1241"/>
      <c r="DG951" s="1241"/>
      <c r="DH951" s="1241"/>
      <c r="DI951" s="1241"/>
      <c r="DJ951" s="1241"/>
      <c r="DK951" s="1241"/>
      <c r="DL951" s="1241"/>
      <c r="DM951" s="1241"/>
    </row>
    <row r="952" spans="1:117" s="1302" customFormat="1">
      <c r="A952" s="1241"/>
      <c r="B952" s="1508"/>
      <c r="C952" s="1241" t="s">
        <v>3867</v>
      </c>
      <c r="D952" s="1241"/>
      <c r="E952" s="1509" t="s">
        <v>3925</v>
      </c>
      <c r="F952" s="1470"/>
      <c r="G952" s="1471"/>
      <c r="H952" s="1471">
        <v>0</v>
      </c>
      <c r="I952" s="1471">
        <v>0</v>
      </c>
      <c r="J952" s="1471">
        <v>0</v>
      </c>
      <c r="K952" s="1471">
        <v>0</v>
      </c>
      <c r="L952" s="1471">
        <v>0</v>
      </c>
      <c r="M952" s="1471">
        <v>0</v>
      </c>
      <c r="N952" s="1471">
        <v>0</v>
      </c>
      <c r="O952" s="1471">
        <v>0</v>
      </c>
      <c r="P952" s="1241"/>
      <c r="Q952" s="1241"/>
      <c r="R952" s="1241"/>
      <c r="S952" s="1241"/>
      <c r="T952" s="1241"/>
      <c r="U952" s="1241"/>
      <c r="V952" s="1241"/>
      <c r="W952" s="1241"/>
      <c r="X952" s="1241"/>
      <c r="Y952" s="1241"/>
      <c r="Z952" s="1241"/>
      <c r="AA952" s="1241"/>
      <c r="AB952" s="1241"/>
      <c r="AC952" s="1241"/>
      <c r="AD952" s="1241"/>
      <c r="AE952" s="1241"/>
      <c r="AF952" s="1241"/>
      <c r="AG952" s="1241"/>
      <c r="AH952" s="1241"/>
      <c r="AI952" s="1241"/>
      <c r="AJ952" s="1241"/>
      <c r="AK952" s="1241"/>
      <c r="AL952" s="1241"/>
      <c r="AM952" s="1241"/>
      <c r="AN952" s="1241"/>
      <c r="AO952" s="1241"/>
      <c r="AP952" s="1241"/>
      <c r="AQ952" s="1241"/>
      <c r="AR952" s="1241"/>
      <c r="AS952" s="1241"/>
      <c r="AT952" s="1241"/>
      <c r="AU952" s="1241"/>
      <c r="AV952" s="1241"/>
      <c r="AW952" s="1241"/>
      <c r="AX952" s="1241"/>
      <c r="AY952" s="1241"/>
      <c r="AZ952" s="1241"/>
      <c r="BA952" s="1241"/>
      <c r="BB952" s="1241"/>
      <c r="BC952" s="1241"/>
      <c r="BD952" s="1241"/>
      <c r="BE952" s="1241"/>
      <c r="BF952" s="1241"/>
      <c r="BG952" s="1241"/>
      <c r="BH952" s="1241"/>
      <c r="BI952" s="1241"/>
      <c r="BJ952" s="1241"/>
      <c r="BK952" s="1241"/>
      <c r="BL952" s="1241"/>
      <c r="BM952" s="1241"/>
      <c r="BN952" s="1241"/>
      <c r="BO952" s="1241"/>
      <c r="BP952" s="1241"/>
      <c r="BQ952" s="1241"/>
      <c r="BR952" s="1241"/>
      <c r="BS952" s="1241"/>
      <c r="BT952" s="1241"/>
      <c r="BU952" s="1241"/>
      <c r="BV952" s="1241"/>
      <c r="BW952" s="1241"/>
      <c r="BX952" s="1241"/>
      <c r="BY952" s="1241"/>
      <c r="BZ952" s="1241"/>
      <c r="CA952" s="1241"/>
      <c r="CB952" s="1241"/>
      <c r="CC952" s="1241"/>
      <c r="CD952" s="1241"/>
      <c r="CE952" s="1241"/>
      <c r="CF952" s="1241"/>
      <c r="CG952" s="1241"/>
      <c r="CH952" s="1241"/>
      <c r="CI952" s="1241"/>
      <c r="CJ952" s="1241"/>
      <c r="CK952" s="1241"/>
      <c r="CL952" s="1241"/>
      <c r="CM952" s="1241"/>
      <c r="CN952" s="1241"/>
      <c r="CO952" s="1241"/>
      <c r="CP952" s="1241"/>
      <c r="CQ952" s="1241"/>
      <c r="CR952" s="1241"/>
      <c r="CS952" s="1241"/>
      <c r="CT952" s="1241"/>
      <c r="CU952" s="1241"/>
      <c r="CV952" s="1241"/>
      <c r="CW952" s="1241"/>
      <c r="CX952" s="1241"/>
      <c r="CY952" s="1241"/>
      <c r="CZ952" s="1241"/>
      <c r="DA952" s="1241"/>
      <c r="DB952" s="1241"/>
      <c r="DC952" s="1241"/>
      <c r="DD952" s="1241"/>
      <c r="DE952" s="1241"/>
      <c r="DF952" s="1241"/>
      <c r="DG952" s="1241"/>
      <c r="DH952" s="1241"/>
      <c r="DI952" s="1241"/>
      <c r="DJ952" s="1241"/>
      <c r="DK952" s="1241"/>
      <c r="DL952" s="1241"/>
      <c r="DM952" s="1241"/>
    </row>
    <row r="953" spans="1:117" s="1302" customFormat="1">
      <c r="A953" s="1241"/>
      <c r="B953" s="1508"/>
      <c r="C953" s="1241" t="s">
        <v>4284</v>
      </c>
      <c r="D953" s="1241"/>
      <c r="E953" s="1509" t="s">
        <v>3925</v>
      </c>
      <c r="F953" s="1529"/>
      <c r="G953" s="1471"/>
      <c r="H953" s="1471">
        <v>0</v>
      </c>
      <c r="I953" s="1471">
        <v>0</v>
      </c>
      <c r="J953" s="1471">
        <v>0</v>
      </c>
      <c r="K953" s="1471">
        <v>0</v>
      </c>
      <c r="L953" s="1471">
        <v>0</v>
      </c>
      <c r="M953" s="1471">
        <v>0</v>
      </c>
      <c r="N953" s="1471">
        <v>0</v>
      </c>
      <c r="O953" s="1471">
        <v>0</v>
      </c>
      <c r="P953" s="1241"/>
      <c r="Q953" s="1241"/>
      <c r="R953" s="1241"/>
      <c r="S953" s="1241"/>
      <c r="T953" s="1241"/>
      <c r="U953" s="1241"/>
      <c r="V953" s="1241"/>
      <c r="W953" s="1241"/>
      <c r="X953" s="1241"/>
      <c r="Y953" s="1241"/>
      <c r="Z953" s="1241"/>
      <c r="AA953" s="1241"/>
      <c r="AB953" s="1241"/>
      <c r="AC953" s="1241"/>
      <c r="AD953" s="1241"/>
      <c r="AE953" s="1241"/>
      <c r="AF953" s="1241"/>
      <c r="AG953" s="1241"/>
      <c r="AH953" s="1241"/>
      <c r="AI953" s="1241"/>
      <c r="AJ953" s="1241"/>
      <c r="AK953" s="1241"/>
      <c r="AL953" s="1241"/>
      <c r="AM953" s="1241"/>
      <c r="AN953" s="1241"/>
      <c r="AO953" s="1241"/>
      <c r="AP953" s="1241"/>
      <c r="AQ953" s="1241"/>
      <c r="AR953" s="1241"/>
      <c r="AS953" s="1241"/>
      <c r="AT953" s="1241"/>
      <c r="AU953" s="1241"/>
      <c r="AV953" s="1241"/>
      <c r="AW953" s="1241"/>
      <c r="AX953" s="1241"/>
      <c r="AY953" s="1241"/>
      <c r="AZ953" s="1241"/>
      <c r="BA953" s="1241"/>
      <c r="BB953" s="1241"/>
      <c r="BC953" s="1241"/>
      <c r="BD953" s="1241"/>
      <c r="BE953" s="1241"/>
      <c r="BF953" s="1241"/>
      <c r="BG953" s="1241"/>
      <c r="BH953" s="1241"/>
      <c r="BI953" s="1241"/>
      <c r="BJ953" s="1241"/>
      <c r="BK953" s="1241"/>
      <c r="BL953" s="1241"/>
      <c r="BM953" s="1241"/>
      <c r="BN953" s="1241"/>
      <c r="BO953" s="1241"/>
      <c r="BP953" s="1241"/>
      <c r="BQ953" s="1241"/>
      <c r="BR953" s="1241"/>
      <c r="BS953" s="1241"/>
      <c r="BT953" s="1241"/>
      <c r="BU953" s="1241"/>
      <c r="BV953" s="1241"/>
      <c r="BW953" s="1241"/>
      <c r="BX953" s="1241"/>
      <c r="BY953" s="1241"/>
      <c r="BZ953" s="1241"/>
      <c r="CA953" s="1241"/>
      <c r="CB953" s="1241"/>
      <c r="CC953" s="1241"/>
      <c r="CD953" s="1241"/>
      <c r="CE953" s="1241"/>
      <c r="CF953" s="1241"/>
      <c r="CG953" s="1241"/>
      <c r="CH953" s="1241"/>
      <c r="CI953" s="1241"/>
      <c r="CJ953" s="1241"/>
      <c r="CK953" s="1241"/>
      <c r="CL953" s="1241"/>
      <c r="CM953" s="1241"/>
      <c r="CN953" s="1241"/>
      <c r="CO953" s="1241"/>
      <c r="CP953" s="1241"/>
      <c r="CQ953" s="1241"/>
      <c r="CR953" s="1241"/>
      <c r="CS953" s="1241"/>
      <c r="CT953" s="1241"/>
      <c r="CU953" s="1241"/>
      <c r="CV953" s="1241"/>
      <c r="CW953" s="1241"/>
      <c r="CX953" s="1241"/>
      <c r="CY953" s="1241"/>
      <c r="CZ953" s="1241"/>
      <c r="DA953" s="1241"/>
      <c r="DB953" s="1241"/>
      <c r="DC953" s="1241"/>
      <c r="DD953" s="1241"/>
      <c r="DE953" s="1241"/>
      <c r="DF953" s="1241"/>
      <c r="DG953" s="1241"/>
      <c r="DH953" s="1241"/>
      <c r="DI953" s="1241"/>
      <c r="DJ953" s="1241"/>
      <c r="DK953" s="1241"/>
      <c r="DL953" s="1241"/>
      <c r="DM953" s="1241"/>
    </row>
    <row r="954" spans="1:117" s="1302" customFormat="1">
      <c r="A954" s="1241"/>
      <c r="B954" s="1508"/>
      <c r="C954" s="1241"/>
      <c r="D954" s="1241"/>
      <c r="E954" s="1509"/>
      <c r="F954" s="1529"/>
      <c r="G954" s="1471"/>
      <c r="H954" s="1471"/>
      <c r="I954" s="1471"/>
      <c r="J954" s="1471"/>
      <c r="K954" s="1471"/>
      <c r="L954" s="1471"/>
      <c r="M954" s="1471"/>
      <c r="N954" s="1471"/>
      <c r="O954" s="1529"/>
      <c r="P954" s="1241"/>
      <c r="Q954" s="1241"/>
      <c r="R954" s="1241"/>
      <c r="S954" s="1241"/>
      <c r="T954" s="1241"/>
      <c r="U954" s="1241"/>
      <c r="V954" s="1241"/>
      <c r="W954" s="1241"/>
      <c r="X954" s="1241"/>
      <c r="Y954" s="1241"/>
      <c r="Z954" s="1241"/>
      <c r="AA954" s="1241"/>
      <c r="AB954" s="1241"/>
      <c r="AC954" s="1241"/>
      <c r="AD954" s="1241"/>
      <c r="AE954" s="1241"/>
      <c r="AF954" s="1241"/>
      <c r="AG954" s="1241"/>
      <c r="AH954" s="1241"/>
      <c r="AI954" s="1241"/>
      <c r="AJ954" s="1241"/>
      <c r="AK954" s="1241"/>
      <c r="AL954" s="1241"/>
      <c r="AM954" s="1241"/>
      <c r="AN954" s="1241"/>
      <c r="AO954" s="1241"/>
      <c r="AP954" s="1241"/>
      <c r="AQ954" s="1241"/>
      <c r="AR954" s="1241"/>
      <c r="AS954" s="1241"/>
      <c r="AT954" s="1241"/>
      <c r="AU954" s="1241"/>
      <c r="AV954" s="1241"/>
      <c r="AW954" s="1241"/>
      <c r="AX954" s="1241"/>
      <c r="AY954" s="1241"/>
      <c r="AZ954" s="1241"/>
      <c r="BA954" s="1241"/>
      <c r="BB954" s="1241"/>
      <c r="BC954" s="1241"/>
      <c r="BD954" s="1241"/>
      <c r="BE954" s="1241"/>
      <c r="BF954" s="1241"/>
      <c r="BG954" s="1241"/>
      <c r="BH954" s="1241"/>
      <c r="BI954" s="1241"/>
      <c r="BJ954" s="1241"/>
      <c r="BK954" s="1241"/>
      <c r="BL954" s="1241"/>
      <c r="BM954" s="1241"/>
      <c r="BN954" s="1241"/>
      <c r="BO954" s="1241"/>
      <c r="BP954" s="1241"/>
      <c r="BQ954" s="1241"/>
      <c r="BR954" s="1241"/>
      <c r="BS954" s="1241"/>
      <c r="BT954" s="1241"/>
      <c r="BU954" s="1241"/>
      <c r="BV954" s="1241"/>
      <c r="BW954" s="1241"/>
      <c r="BX954" s="1241"/>
      <c r="BY954" s="1241"/>
      <c r="BZ954" s="1241"/>
      <c r="CA954" s="1241"/>
      <c r="CB954" s="1241"/>
      <c r="CC954" s="1241"/>
      <c r="CD954" s="1241"/>
      <c r="CE954" s="1241"/>
      <c r="CF954" s="1241"/>
      <c r="CG954" s="1241"/>
      <c r="CH954" s="1241"/>
      <c r="CI954" s="1241"/>
      <c r="CJ954" s="1241"/>
      <c r="CK954" s="1241"/>
      <c r="CL954" s="1241"/>
      <c r="CM954" s="1241"/>
      <c r="CN954" s="1241"/>
      <c r="CO954" s="1241"/>
      <c r="CP954" s="1241"/>
      <c r="CQ954" s="1241"/>
      <c r="CR954" s="1241"/>
      <c r="CS954" s="1241"/>
      <c r="CT954" s="1241"/>
      <c r="CU954" s="1241"/>
      <c r="CV954" s="1241"/>
      <c r="CW954" s="1241"/>
      <c r="CX954" s="1241"/>
      <c r="CY954" s="1241"/>
      <c r="CZ954" s="1241"/>
      <c r="DA954" s="1241"/>
      <c r="DB954" s="1241"/>
      <c r="DC954" s="1241"/>
      <c r="DD954" s="1241"/>
      <c r="DE954" s="1241"/>
      <c r="DF954" s="1241"/>
      <c r="DG954" s="1241"/>
      <c r="DH954" s="1241"/>
      <c r="DI954" s="1241"/>
      <c r="DJ954" s="1241"/>
      <c r="DK954" s="1241"/>
      <c r="DL954" s="1241"/>
      <c r="DM954" s="1241"/>
    </row>
    <row r="955" spans="1:117" s="1302" customFormat="1" ht="16">
      <c r="A955" s="1459" t="s">
        <v>4106</v>
      </c>
      <c r="B955" s="1508"/>
      <c r="C955" s="1241" t="s">
        <v>122</v>
      </c>
      <c r="D955" s="1243"/>
      <c r="E955" s="1242" t="s">
        <v>4680</v>
      </c>
      <c r="F955" s="1529"/>
      <c r="G955" s="1471"/>
      <c r="H955" s="1471">
        <v>39.043185234633718</v>
      </c>
      <c r="I955" s="1471">
        <v>42.389884780095024</v>
      </c>
      <c r="J955" s="1471">
        <v>50.149041584641921</v>
      </c>
      <c r="K955" s="1471">
        <v>57.084267188353564</v>
      </c>
      <c r="L955" s="1471">
        <v>63.248204477477714</v>
      </c>
      <c r="M955" s="1471">
        <v>68.690755378958301</v>
      </c>
      <c r="N955" s="1471">
        <v>73.459208225855647</v>
      </c>
      <c r="O955" s="1471">
        <v>54.405616744920117</v>
      </c>
      <c r="P955" s="1241"/>
      <c r="Q955" s="1241"/>
      <c r="R955" s="1241"/>
      <c r="S955" s="1241"/>
      <c r="T955" s="1241"/>
      <c r="U955" s="1241"/>
      <c r="V955" s="1241"/>
      <c r="W955" s="1241"/>
      <c r="X955" s="1241"/>
      <c r="Y955" s="1241"/>
      <c r="Z955" s="1241"/>
      <c r="AA955" s="1241"/>
      <c r="AB955" s="1241"/>
      <c r="AC955" s="1241"/>
      <c r="AD955" s="1241"/>
      <c r="AE955" s="1241"/>
      <c r="AF955" s="1241"/>
      <c r="AG955" s="1241"/>
      <c r="AH955" s="1241"/>
      <c r="AI955" s="1241"/>
      <c r="AJ955" s="1241"/>
      <c r="AK955" s="1241"/>
      <c r="AL955" s="1241"/>
      <c r="AM955" s="1241"/>
      <c r="AN955" s="1241"/>
      <c r="AO955" s="1241"/>
      <c r="AP955" s="1241"/>
      <c r="AQ955" s="1241"/>
      <c r="AR955" s="1241"/>
      <c r="AS955" s="1241"/>
      <c r="AT955" s="1241"/>
      <c r="AU955" s="1241"/>
      <c r="AV955" s="1241"/>
      <c r="AW955" s="1241"/>
      <c r="AX955" s="1241"/>
      <c r="AY955" s="1241"/>
      <c r="AZ955" s="1241"/>
      <c r="BA955" s="1241"/>
      <c r="BB955" s="1241"/>
      <c r="BC955" s="1241"/>
      <c r="BD955" s="1241"/>
      <c r="BE955" s="1241"/>
      <c r="BF955" s="1241"/>
      <c r="BG955" s="1241"/>
      <c r="BH955" s="1241"/>
      <c r="BI955" s="1241"/>
      <c r="BJ955" s="1241"/>
      <c r="BK955" s="1241"/>
      <c r="BL955" s="1241"/>
      <c r="BM955" s="1241"/>
      <c r="BN955" s="1241"/>
      <c r="BO955" s="1241"/>
      <c r="BP955" s="1241"/>
      <c r="BQ955" s="1241"/>
      <c r="BR955" s="1241"/>
      <c r="BS955" s="1241"/>
      <c r="BT955" s="1241"/>
      <c r="BU955" s="1241"/>
      <c r="BV955" s="1241"/>
      <c r="BW955" s="1241"/>
      <c r="BX955" s="1241"/>
      <c r="BY955" s="1241"/>
      <c r="BZ955" s="1241"/>
      <c r="CA955" s="1241"/>
      <c r="CB955" s="1241"/>
      <c r="CC955" s="1241"/>
      <c r="CD955" s="1241"/>
      <c r="CE955" s="1241"/>
      <c r="CF955" s="1241"/>
      <c r="CG955" s="1241"/>
      <c r="CH955" s="1241"/>
      <c r="CI955" s="1241"/>
      <c r="CJ955" s="1241"/>
      <c r="CK955" s="1241"/>
      <c r="CL955" s="1241"/>
      <c r="CM955" s="1241"/>
      <c r="CN955" s="1241"/>
      <c r="CO955" s="1241"/>
      <c r="CP955" s="1241"/>
      <c r="CQ955" s="1241"/>
      <c r="CR955" s="1241"/>
      <c r="CS955" s="1241"/>
      <c r="CT955" s="1241"/>
      <c r="CU955" s="1241"/>
      <c r="CV955" s="1241"/>
      <c r="CW955" s="1241"/>
      <c r="CX955" s="1241"/>
      <c r="CY955" s="1241"/>
      <c r="CZ955" s="1241"/>
      <c r="DA955" s="1241"/>
      <c r="DB955" s="1241"/>
      <c r="DC955" s="1241"/>
      <c r="DD955" s="1241"/>
      <c r="DE955" s="1241"/>
      <c r="DF955" s="1241"/>
      <c r="DG955" s="1241"/>
      <c r="DH955" s="1241"/>
      <c r="DI955" s="1241"/>
      <c r="DJ955" s="1241"/>
      <c r="DK955" s="1241"/>
      <c r="DL955" s="1241"/>
      <c r="DM955" s="1241"/>
    </row>
    <row r="956" spans="1:117" s="1302" customFormat="1" ht="16">
      <c r="A956" s="1459"/>
      <c r="B956" s="1459"/>
      <c r="C956" s="1241" t="s">
        <v>4297</v>
      </c>
      <c r="D956" s="1243"/>
      <c r="E956" s="1242" t="s">
        <v>4680</v>
      </c>
      <c r="F956" s="1529"/>
      <c r="G956" s="1471"/>
      <c r="H956" s="1471">
        <v>4.7203652496000011E-3</v>
      </c>
      <c r="I956" s="1471">
        <v>5.3500436647109717E-3</v>
      </c>
      <c r="J956" s="1471">
        <v>7.0102475847464403E-3</v>
      </c>
      <c r="K956" s="1471">
        <v>8.7806404658093591E-3</v>
      </c>
      <c r="L956" s="1471">
        <v>1.064627832944666E-2</v>
      </c>
      <c r="M956" s="1471">
        <v>1.2593232313875415E-2</v>
      </c>
      <c r="N956" s="1471">
        <v>1.4608534296926481E-2</v>
      </c>
      <c r="O956" s="1471">
        <v>8.0602403920503832E-3</v>
      </c>
      <c r="P956" s="1241"/>
      <c r="Q956" s="1241"/>
      <c r="R956" s="1241"/>
      <c r="S956" s="1241"/>
      <c r="T956" s="1241"/>
      <c r="U956" s="1241"/>
      <c r="V956" s="1241"/>
      <c r="W956" s="1241"/>
      <c r="X956" s="1241"/>
      <c r="Y956" s="1241"/>
      <c r="Z956" s="1241"/>
      <c r="AA956" s="1241"/>
      <c r="AB956" s="1241"/>
      <c r="AC956" s="1241"/>
      <c r="AD956" s="1241"/>
      <c r="AE956" s="1241"/>
      <c r="AF956" s="1241"/>
      <c r="AG956" s="1241"/>
      <c r="AH956" s="1241"/>
      <c r="AI956" s="1241"/>
      <c r="AJ956" s="1241"/>
      <c r="AK956" s="1241"/>
      <c r="AL956" s="1241"/>
      <c r="AM956" s="1241"/>
      <c r="AN956" s="1241"/>
      <c r="AO956" s="1241"/>
      <c r="AP956" s="1241"/>
      <c r="AQ956" s="1241"/>
      <c r="AR956" s="1241"/>
      <c r="AS956" s="1241"/>
      <c r="AT956" s="1241"/>
      <c r="AU956" s="1241"/>
      <c r="AV956" s="1241"/>
      <c r="AW956" s="1241"/>
      <c r="AX956" s="1241"/>
      <c r="AY956" s="1241"/>
      <c r="AZ956" s="1241"/>
      <c r="BA956" s="1241"/>
      <c r="BB956" s="1241"/>
      <c r="BC956" s="1241"/>
      <c r="BD956" s="1241"/>
      <c r="BE956" s="1241"/>
      <c r="BF956" s="1241"/>
      <c r="BG956" s="1241"/>
      <c r="BH956" s="1241"/>
      <c r="BI956" s="1241"/>
      <c r="BJ956" s="1241"/>
      <c r="BK956" s="1241"/>
      <c r="BL956" s="1241"/>
      <c r="BM956" s="1241"/>
      <c r="BN956" s="1241"/>
      <c r="BO956" s="1241"/>
      <c r="BP956" s="1241"/>
      <c r="BQ956" s="1241"/>
      <c r="BR956" s="1241"/>
      <c r="BS956" s="1241"/>
      <c r="BT956" s="1241"/>
      <c r="BU956" s="1241"/>
      <c r="BV956" s="1241"/>
      <c r="BW956" s="1241"/>
      <c r="BX956" s="1241"/>
      <c r="BY956" s="1241"/>
      <c r="BZ956" s="1241"/>
      <c r="CA956" s="1241"/>
      <c r="CB956" s="1241"/>
      <c r="CC956" s="1241"/>
      <c r="CD956" s="1241"/>
      <c r="CE956" s="1241"/>
      <c r="CF956" s="1241"/>
      <c r="CG956" s="1241"/>
      <c r="CH956" s="1241"/>
      <c r="CI956" s="1241"/>
      <c r="CJ956" s="1241"/>
      <c r="CK956" s="1241"/>
      <c r="CL956" s="1241"/>
      <c r="CM956" s="1241"/>
      <c r="CN956" s="1241"/>
      <c r="CO956" s="1241"/>
      <c r="CP956" s="1241"/>
      <c r="CQ956" s="1241"/>
      <c r="CR956" s="1241"/>
      <c r="CS956" s="1241"/>
      <c r="CT956" s="1241"/>
      <c r="CU956" s="1241"/>
      <c r="CV956" s="1241"/>
      <c r="CW956" s="1241"/>
      <c r="CX956" s="1241"/>
      <c r="CY956" s="1241"/>
      <c r="CZ956" s="1241"/>
      <c r="DA956" s="1241"/>
      <c r="DB956" s="1241"/>
      <c r="DC956" s="1241"/>
      <c r="DD956" s="1241"/>
      <c r="DE956" s="1241"/>
      <c r="DF956" s="1241"/>
      <c r="DG956" s="1241"/>
      <c r="DH956" s="1241"/>
      <c r="DI956" s="1241"/>
      <c r="DJ956" s="1241"/>
      <c r="DK956" s="1241"/>
      <c r="DL956" s="1241"/>
      <c r="DM956" s="1241"/>
    </row>
    <row r="957" spans="1:117" s="1302" customFormat="1" ht="16">
      <c r="A957" s="1241"/>
      <c r="B957" s="1508"/>
      <c r="C957" s="1241" t="s">
        <v>4298</v>
      </c>
      <c r="D957" s="1243"/>
      <c r="E957" s="1242" t="s">
        <v>4680</v>
      </c>
      <c r="F957" s="1529"/>
      <c r="G957" s="1471"/>
      <c r="H957" s="1471">
        <v>0.23232384480887658</v>
      </c>
      <c r="I957" s="1471">
        <v>0.25169054034630645</v>
      </c>
      <c r="J957" s="1471">
        <v>0.29610382834255</v>
      </c>
      <c r="K957" s="1471">
        <v>0.33510387421803367</v>
      </c>
      <c r="L957" s="1471">
        <v>0.36905577411136176</v>
      </c>
      <c r="M957" s="1471">
        <v>0.39830503794708788</v>
      </c>
      <c r="N957" s="1471">
        <v>0.42317851709388926</v>
      </c>
      <c r="O957" s="1471">
        <v>0.32012962981006471</v>
      </c>
      <c r="P957" s="1241"/>
      <c r="Q957" s="1241"/>
      <c r="R957" s="1241"/>
      <c r="S957" s="1241"/>
      <c r="T957" s="1241"/>
      <c r="U957" s="1241"/>
      <c r="V957" s="1241"/>
      <c r="W957" s="1241"/>
      <c r="X957" s="1241"/>
      <c r="Y957" s="1241"/>
      <c r="Z957" s="1241"/>
      <c r="AA957" s="1241"/>
      <c r="AB957" s="1241"/>
      <c r="AC957" s="1241"/>
      <c r="AD957" s="1241"/>
      <c r="AE957" s="1241"/>
      <c r="AF957" s="1241"/>
      <c r="AG957" s="1241"/>
      <c r="AH957" s="1241"/>
      <c r="AI957" s="1241"/>
      <c r="AJ957" s="1241"/>
      <c r="AK957" s="1241"/>
      <c r="AL957" s="1241"/>
      <c r="AM957" s="1241"/>
      <c r="AN957" s="1241"/>
      <c r="AO957" s="1241"/>
      <c r="AP957" s="1241"/>
      <c r="AQ957" s="1241"/>
      <c r="AR957" s="1241"/>
      <c r="AS957" s="1241"/>
      <c r="AT957" s="1241"/>
      <c r="AU957" s="1241"/>
      <c r="AV957" s="1241"/>
      <c r="AW957" s="1241"/>
      <c r="AX957" s="1241"/>
      <c r="AY957" s="1241"/>
      <c r="AZ957" s="1241"/>
      <c r="BA957" s="1241"/>
      <c r="BB957" s="1241"/>
      <c r="BC957" s="1241"/>
      <c r="BD957" s="1241"/>
      <c r="BE957" s="1241"/>
      <c r="BF957" s="1241"/>
      <c r="BG957" s="1241"/>
      <c r="BH957" s="1241"/>
      <c r="BI957" s="1241"/>
      <c r="BJ957" s="1241"/>
      <c r="BK957" s="1241"/>
      <c r="BL957" s="1241"/>
      <c r="BM957" s="1241"/>
      <c r="BN957" s="1241"/>
      <c r="BO957" s="1241"/>
      <c r="BP957" s="1241"/>
      <c r="BQ957" s="1241"/>
      <c r="BR957" s="1241"/>
      <c r="BS957" s="1241"/>
      <c r="BT957" s="1241"/>
      <c r="BU957" s="1241"/>
      <c r="BV957" s="1241"/>
      <c r="BW957" s="1241"/>
      <c r="BX957" s="1241"/>
      <c r="BY957" s="1241"/>
      <c r="BZ957" s="1241"/>
      <c r="CA957" s="1241"/>
      <c r="CB957" s="1241"/>
      <c r="CC957" s="1241"/>
      <c r="CD957" s="1241"/>
      <c r="CE957" s="1241"/>
      <c r="CF957" s="1241"/>
      <c r="CG957" s="1241"/>
      <c r="CH957" s="1241"/>
      <c r="CI957" s="1241"/>
      <c r="CJ957" s="1241"/>
      <c r="CK957" s="1241"/>
      <c r="CL957" s="1241"/>
      <c r="CM957" s="1241"/>
      <c r="CN957" s="1241"/>
      <c r="CO957" s="1241"/>
      <c r="CP957" s="1241"/>
      <c r="CQ957" s="1241"/>
      <c r="CR957" s="1241"/>
      <c r="CS957" s="1241"/>
      <c r="CT957" s="1241"/>
      <c r="CU957" s="1241"/>
      <c r="CV957" s="1241"/>
      <c r="CW957" s="1241"/>
      <c r="CX957" s="1241"/>
      <c r="CY957" s="1241"/>
      <c r="CZ957" s="1241"/>
      <c r="DA957" s="1241"/>
      <c r="DB957" s="1241"/>
      <c r="DC957" s="1241"/>
      <c r="DD957" s="1241"/>
      <c r="DE957" s="1241"/>
      <c r="DF957" s="1241"/>
      <c r="DG957" s="1241"/>
      <c r="DH957" s="1241"/>
      <c r="DI957" s="1241"/>
      <c r="DJ957" s="1241"/>
      <c r="DK957" s="1241"/>
      <c r="DL957" s="1241"/>
      <c r="DM957" s="1241"/>
    </row>
    <row r="958" spans="1:117" s="1302" customFormat="1">
      <c r="A958" s="1241"/>
      <c r="B958" s="1508"/>
      <c r="C958" s="1241"/>
      <c r="D958" s="1241"/>
      <c r="E958" s="1508"/>
      <c r="F958" s="1542"/>
      <c r="G958" s="1471"/>
      <c r="H958" s="1471"/>
      <c r="I958" s="1471"/>
      <c r="J958" s="1471"/>
      <c r="K958" s="1471"/>
      <c r="L958" s="1471"/>
      <c r="M958" s="1471"/>
      <c r="N958" s="1471"/>
      <c r="O958" s="1543"/>
      <c r="P958" s="1241"/>
      <c r="Q958" s="1241"/>
      <c r="R958" s="1241"/>
      <c r="S958" s="1241"/>
      <c r="T958" s="1241"/>
      <c r="U958" s="1241"/>
      <c r="V958" s="1241"/>
      <c r="W958" s="1241"/>
      <c r="X958" s="1241"/>
      <c r="Y958" s="1241"/>
      <c r="Z958" s="1241"/>
      <c r="AA958" s="1241"/>
      <c r="AB958" s="1241"/>
      <c r="AC958" s="1241"/>
      <c r="AD958" s="1241"/>
      <c r="AE958" s="1241"/>
      <c r="AF958" s="1241"/>
      <c r="AG958" s="1241"/>
      <c r="AH958" s="1241"/>
      <c r="AI958" s="1241"/>
      <c r="AJ958" s="1241"/>
      <c r="AK958" s="1241"/>
      <c r="AL958" s="1241"/>
      <c r="AM958" s="1241"/>
      <c r="AN958" s="1241"/>
      <c r="AO958" s="1241"/>
      <c r="AP958" s="1241"/>
      <c r="AQ958" s="1241"/>
      <c r="AR958" s="1241"/>
      <c r="AS958" s="1241"/>
      <c r="AT958" s="1241"/>
      <c r="AU958" s="1241"/>
      <c r="AV958" s="1241"/>
      <c r="AW958" s="1241"/>
      <c r="AX958" s="1241"/>
      <c r="AY958" s="1241"/>
      <c r="AZ958" s="1241"/>
      <c r="BA958" s="1241"/>
      <c r="BB958" s="1241"/>
      <c r="BC958" s="1241"/>
      <c r="BD958" s="1241"/>
      <c r="BE958" s="1241"/>
      <c r="BF958" s="1241"/>
      <c r="BG958" s="1241"/>
      <c r="BH958" s="1241"/>
      <c r="BI958" s="1241"/>
      <c r="BJ958" s="1241"/>
      <c r="BK958" s="1241"/>
      <c r="BL958" s="1241"/>
      <c r="BM958" s="1241"/>
      <c r="BN958" s="1241"/>
      <c r="BO958" s="1241"/>
      <c r="BP958" s="1241"/>
      <c r="BQ958" s="1241"/>
      <c r="BR958" s="1241"/>
      <c r="BS958" s="1241"/>
      <c r="BT958" s="1241"/>
      <c r="BU958" s="1241"/>
      <c r="BV958" s="1241"/>
      <c r="BW958" s="1241"/>
      <c r="BX958" s="1241"/>
      <c r="BY958" s="1241"/>
      <c r="BZ958" s="1241"/>
      <c r="CA958" s="1241"/>
      <c r="CB958" s="1241"/>
      <c r="CC958" s="1241"/>
      <c r="CD958" s="1241"/>
      <c r="CE958" s="1241"/>
      <c r="CF958" s="1241"/>
      <c r="CG958" s="1241"/>
      <c r="CH958" s="1241"/>
      <c r="CI958" s="1241"/>
      <c r="CJ958" s="1241"/>
      <c r="CK958" s="1241"/>
      <c r="CL958" s="1241"/>
      <c r="CM958" s="1241"/>
      <c r="CN958" s="1241"/>
      <c r="CO958" s="1241"/>
      <c r="CP958" s="1241"/>
      <c r="CQ958" s="1241"/>
      <c r="CR958" s="1241"/>
      <c r="CS958" s="1241"/>
      <c r="CT958" s="1241"/>
      <c r="CU958" s="1241"/>
      <c r="CV958" s="1241"/>
      <c r="CW958" s="1241"/>
      <c r="CX958" s="1241"/>
      <c r="CY958" s="1241"/>
      <c r="CZ958" s="1241"/>
      <c r="DA958" s="1241"/>
      <c r="DB958" s="1241"/>
      <c r="DC958" s="1241"/>
      <c r="DD958" s="1241"/>
      <c r="DE958" s="1241"/>
      <c r="DF958" s="1241"/>
      <c r="DG958" s="1241"/>
      <c r="DH958" s="1241"/>
      <c r="DI958" s="1241"/>
      <c r="DJ958" s="1241"/>
      <c r="DK958" s="1241"/>
      <c r="DL958" s="1241"/>
      <c r="DM958" s="1241"/>
    </row>
    <row r="959" spans="1:117" ht="16">
      <c r="A959" s="1243"/>
      <c r="B959" s="1520" t="s">
        <v>4346</v>
      </c>
      <c r="C959" s="1520"/>
      <c r="D959" s="1521"/>
      <c r="E959" s="1242" t="s">
        <v>4684</v>
      </c>
      <c r="F959" s="1522"/>
      <c r="G959" s="1489">
        <v>0</v>
      </c>
      <c r="H959" s="1484">
        <v>1.9344149238989554</v>
      </c>
      <c r="I959" s="1484">
        <v>1.898236732042484</v>
      </c>
      <c r="J959" s="1484">
        <v>1.8103909366109985</v>
      </c>
      <c r="K959" s="1484">
        <v>1.7261449402168125</v>
      </c>
      <c r="L959" s="1484">
        <v>1.6453606576983453</v>
      </c>
      <c r="M959" s="1484">
        <v>1.5679050850010963</v>
      </c>
      <c r="N959" s="1484">
        <v>1.493650117480593</v>
      </c>
      <c r="O959" s="1484">
        <v>1.7594203161503861</v>
      </c>
    </row>
    <row r="960" spans="1:117" s="1302" customFormat="1">
      <c r="A960" s="1241"/>
      <c r="B960" s="1241"/>
      <c r="C960" s="1241"/>
      <c r="D960" s="1241"/>
      <c r="E960" s="1241"/>
      <c r="F960" s="1573"/>
      <c r="G960" s="1242"/>
      <c r="H960" s="1242"/>
      <c r="I960" s="1242"/>
      <c r="J960" s="1242"/>
      <c r="K960" s="1242"/>
      <c r="L960" s="1242"/>
      <c r="M960" s="1242"/>
      <c r="N960" s="1242"/>
      <c r="O960" s="1573"/>
      <c r="P960" s="1241"/>
      <c r="Q960" s="1241"/>
      <c r="R960" s="1241"/>
      <c r="S960" s="1241"/>
      <c r="T960" s="1241"/>
      <c r="U960" s="1241"/>
      <c r="V960" s="1241"/>
      <c r="W960" s="1241"/>
      <c r="X960" s="1241"/>
      <c r="Y960" s="1241"/>
      <c r="Z960" s="1241"/>
      <c r="AA960" s="1241"/>
      <c r="AB960" s="1241"/>
      <c r="AC960" s="1241"/>
      <c r="AD960" s="1241"/>
      <c r="AE960" s="1241"/>
      <c r="AF960" s="1241"/>
      <c r="AG960" s="1241"/>
      <c r="AH960" s="1241"/>
      <c r="AI960" s="1241"/>
      <c r="AJ960" s="1241"/>
      <c r="AK960" s="1241"/>
      <c r="AL960" s="1241"/>
      <c r="AM960" s="1241"/>
      <c r="AN960" s="1241"/>
      <c r="AO960" s="1241"/>
      <c r="AP960" s="1241"/>
      <c r="AQ960" s="1241"/>
      <c r="AR960" s="1241"/>
      <c r="AS960" s="1241"/>
      <c r="AT960" s="1241"/>
      <c r="AU960" s="1241"/>
      <c r="AV960" s="1241"/>
      <c r="AW960" s="1241"/>
      <c r="AX960" s="1241"/>
      <c r="AY960" s="1241"/>
      <c r="AZ960" s="1241"/>
      <c r="BA960" s="1241"/>
      <c r="BB960" s="1241"/>
      <c r="BC960" s="1241"/>
      <c r="BD960" s="1241"/>
      <c r="BE960" s="1241"/>
      <c r="BF960" s="1241"/>
      <c r="BG960" s="1241"/>
      <c r="BH960" s="1241"/>
      <c r="BI960" s="1241"/>
      <c r="BJ960" s="1241"/>
      <c r="BK960" s="1241"/>
      <c r="BL960" s="1241"/>
      <c r="BM960" s="1241"/>
      <c r="BN960" s="1241"/>
      <c r="BO960" s="1241"/>
      <c r="BP960" s="1241"/>
      <c r="BQ960" s="1241"/>
      <c r="BR960" s="1241"/>
      <c r="BS960" s="1241"/>
      <c r="BT960" s="1241"/>
      <c r="BU960" s="1241"/>
      <c r="BV960" s="1241"/>
      <c r="BW960" s="1241"/>
      <c r="BX960" s="1241"/>
      <c r="BY960" s="1241"/>
      <c r="BZ960" s="1241"/>
      <c r="CA960" s="1241"/>
      <c r="CB960" s="1241"/>
      <c r="CC960" s="1241"/>
      <c r="CD960" s="1241"/>
      <c r="CE960" s="1241"/>
      <c r="CF960" s="1241"/>
      <c r="CG960" s="1241"/>
      <c r="CH960" s="1241"/>
      <c r="CI960" s="1241"/>
      <c r="CJ960" s="1241"/>
      <c r="CK960" s="1241"/>
      <c r="CL960" s="1241"/>
      <c r="CM960" s="1241"/>
      <c r="CN960" s="1241"/>
      <c r="CO960" s="1241"/>
      <c r="CP960" s="1241"/>
      <c r="CQ960" s="1241"/>
      <c r="CR960" s="1241"/>
      <c r="CS960" s="1241"/>
      <c r="CT960" s="1241"/>
      <c r="CU960" s="1241"/>
      <c r="CV960" s="1241"/>
      <c r="CW960" s="1241"/>
      <c r="CX960" s="1241"/>
      <c r="CY960" s="1241"/>
      <c r="CZ960" s="1241"/>
      <c r="DA960" s="1241"/>
      <c r="DB960" s="1241"/>
      <c r="DC960" s="1241"/>
      <c r="DD960" s="1241"/>
      <c r="DE960" s="1241"/>
      <c r="DF960" s="1241"/>
      <c r="DG960" s="1241"/>
      <c r="DH960" s="1241"/>
      <c r="DI960" s="1241"/>
      <c r="DJ960" s="1241"/>
      <c r="DK960" s="1241"/>
      <c r="DL960" s="1241"/>
      <c r="DM960" s="1241"/>
    </row>
    <row r="961" spans="1:117" s="1302" customFormat="1">
      <c r="A961" s="1459">
        <v>1.6</v>
      </c>
      <c r="B961" s="1459" t="s">
        <v>425</v>
      </c>
      <c r="C961" s="1241"/>
      <c r="D961" s="1241"/>
      <c r="E961" s="1528" t="s">
        <v>840</v>
      </c>
      <c r="F961" s="1467"/>
      <c r="G961" s="1224">
        <v>2015</v>
      </c>
      <c r="H961" s="1224">
        <v>2020</v>
      </c>
      <c r="I961" s="1224">
        <v>2022</v>
      </c>
      <c r="J961" s="1224">
        <v>2027</v>
      </c>
      <c r="K961" s="1224">
        <v>2032</v>
      </c>
      <c r="L961" s="1224">
        <v>2037</v>
      </c>
      <c r="M961" s="1224">
        <v>2042</v>
      </c>
      <c r="N961" s="1224">
        <v>2047</v>
      </c>
      <c r="O961" s="1546">
        <v>2030</v>
      </c>
      <c r="P961" s="1241"/>
      <c r="Q961" s="1241"/>
      <c r="R961" s="1241"/>
      <c r="S961" s="1241"/>
      <c r="T961" s="1241"/>
      <c r="U961" s="1241"/>
      <c r="V961" s="1241"/>
      <c r="W961" s="1241"/>
      <c r="X961" s="1241"/>
      <c r="Y961" s="1241"/>
      <c r="Z961" s="1241"/>
      <c r="AA961" s="1241"/>
      <c r="AB961" s="1241"/>
      <c r="AC961" s="1241"/>
      <c r="AD961" s="1241"/>
      <c r="AE961" s="1241"/>
      <c r="AF961" s="1241"/>
      <c r="AG961" s="1241"/>
      <c r="AH961" s="1241"/>
      <c r="AI961" s="1241"/>
      <c r="AJ961" s="1241"/>
      <c r="AK961" s="1241"/>
      <c r="AL961" s="1241"/>
      <c r="AM961" s="1241"/>
      <c r="AN961" s="1241"/>
      <c r="AO961" s="1241"/>
      <c r="AP961" s="1241"/>
      <c r="AQ961" s="1241"/>
      <c r="AR961" s="1241"/>
      <c r="AS961" s="1241"/>
      <c r="AT961" s="1241"/>
      <c r="AU961" s="1241"/>
      <c r="AV961" s="1241"/>
      <c r="AW961" s="1241"/>
      <c r="AX961" s="1241"/>
      <c r="AY961" s="1241"/>
      <c r="AZ961" s="1241"/>
      <c r="BA961" s="1241"/>
      <c r="BB961" s="1241"/>
      <c r="BC961" s="1241"/>
      <c r="BD961" s="1241"/>
      <c r="BE961" s="1241"/>
      <c r="BF961" s="1241"/>
      <c r="BG961" s="1241"/>
      <c r="BH961" s="1241"/>
      <c r="BI961" s="1241"/>
      <c r="BJ961" s="1241"/>
      <c r="BK961" s="1241"/>
      <c r="BL961" s="1241"/>
      <c r="BM961" s="1241"/>
      <c r="BN961" s="1241"/>
      <c r="BO961" s="1241"/>
      <c r="BP961" s="1241"/>
      <c r="BQ961" s="1241"/>
      <c r="BR961" s="1241"/>
      <c r="BS961" s="1241"/>
      <c r="BT961" s="1241"/>
      <c r="BU961" s="1241"/>
      <c r="BV961" s="1241"/>
      <c r="BW961" s="1241"/>
      <c r="BX961" s="1241"/>
      <c r="BY961" s="1241"/>
      <c r="BZ961" s="1241"/>
      <c r="CA961" s="1241"/>
      <c r="CB961" s="1241"/>
      <c r="CC961" s="1241"/>
      <c r="CD961" s="1241"/>
      <c r="CE961" s="1241"/>
      <c r="CF961" s="1241"/>
      <c r="CG961" s="1241"/>
      <c r="CH961" s="1241"/>
      <c r="CI961" s="1241"/>
      <c r="CJ961" s="1241"/>
      <c r="CK961" s="1241"/>
      <c r="CL961" s="1241"/>
      <c r="CM961" s="1241"/>
      <c r="CN961" s="1241"/>
      <c r="CO961" s="1241"/>
      <c r="CP961" s="1241"/>
      <c r="CQ961" s="1241"/>
      <c r="CR961" s="1241"/>
      <c r="CS961" s="1241"/>
      <c r="CT961" s="1241"/>
      <c r="CU961" s="1241"/>
      <c r="CV961" s="1241"/>
      <c r="CW961" s="1241"/>
      <c r="CX961" s="1241"/>
      <c r="CY961" s="1241"/>
      <c r="CZ961" s="1241"/>
      <c r="DA961" s="1241"/>
      <c r="DB961" s="1241"/>
      <c r="DC961" s="1241"/>
      <c r="DD961" s="1241"/>
      <c r="DE961" s="1241"/>
      <c r="DF961" s="1241"/>
      <c r="DG961" s="1241"/>
      <c r="DH961" s="1241"/>
      <c r="DI961" s="1241"/>
      <c r="DJ961" s="1241"/>
      <c r="DK961" s="1241"/>
      <c r="DL961" s="1241"/>
      <c r="DM961" s="1241"/>
    </row>
    <row r="962" spans="1:117" s="1302" customFormat="1">
      <c r="A962" s="1241"/>
      <c r="B962" s="1459"/>
      <c r="C962" s="1466"/>
      <c r="D962" s="1241"/>
      <c r="E962" s="1460"/>
      <c r="F962" s="1467"/>
      <c r="G962" s="1224"/>
      <c r="H962" s="1224"/>
      <c r="I962" s="1224"/>
      <c r="J962" s="1224"/>
      <c r="K962" s="1224"/>
      <c r="L962" s="1224"/>
      <c r="M962" s="1224"/>
      <c r="N962" s="1224"/>
      <c r="O962" s="1467"/>
      <c r="P962" s="1241"/>
      <c r="Q962" s="1241"/>
      <c r="R962" s="1241"/>
      <c r="S962" s="1241"/>
      <c r="T962" s="1241"/>
      <c r="U962" s="1241"/>
      <c r="V962" s="1241"/>
      <c r="W962" s="1241"/>
      <c r="X962" s="1241"/>
      <c r="Y962" s="1241"/>
      <c r="Z962" s="1241"/>
      <c r="AA962" s="1241"/>
      <c r="AB962" s="1241"/>
      <c r="AC962" s="1241"/>
      <c r="AD962" s="1241"/>
      <c r="AE962" s="1241"/>
      <c r="AF962" s="1241"/>
      <c r="AG962" s="1241"/>
      <c r="AH962" s="1241"/>
      <c r="AI962" s="1241"/>
      <c r="AJ962" s="1241"/>
      <c r="AK962" s="1241"/>
      <c r="AL962" s="1241"/>
      <c r="AM962" s="1241"/>
      <c r="AN962" s="1241"/>
      <c r="AO962" s="1241"/>
      <c r="AP962" s="1241"/>
      <c r="AQ962" s="1241"/>
      <c r="AR962" s="1241"/>
      <c r="AS962" s="1241"/>
      <c r="AT962" s="1241"/>
      <c r="AU962" s="1241"/>
      <c r="AV962" s="1241"/>
      <c r="AW962" s="1241"/>
      <c r="AX962" s="1241"/>
      <c r="AY962" s="1241"/>
      <c r="AZ962" s="1241"/>
      <c r="BA962" s="1241"/>
      <c r="BB962" s="1241"/>
      <c r="BC962" s="1241"/>
      <c r="BD962" s="1241"/>
      <c r="BE962" s="1241"/>
      <c r="BF962" s="1241"/>
      <c r="BG962" s="1241"/>
      <c r="BH962" s="1241"/>
      <c r="BI962" s="1241"/>
      <c r="BJ962" s="1241"/>
      <c r="BK962" s="1241"/>
      <c r="BL962" s="1241"/>
      <c r="BM962" s="1241"/>
      <c r="BN962" s="1241"/>
      <c r="BO962" s="1241"/>
      <c r="BP962" s="1241"/>
      <c r="BQ962" s="1241"/>
      <c r="BR962" s="1241"/>
      <c r="BS962" s="1241"/>
      <c r="BT962" s="1241"/>
      <c r="BU962" s="1241"/>
      <c r="BV962" s="1241"/>
      <c r="BW962" s="1241"/>
      <c r="BX962" s="1241"/>
      <c r="BY962" s="1241"/>
      <c r="BZ962" s="1241"/>
      <c r="CA962" s="1241"/>
      <c r="CB962" s="1241"/>
      <c r="CC962" s="1241"/>
      <c r="CD962" s="1241"/>
      <c r="CE962" s="1241"/>
      <c r="CF962" s="1241"/>
      <c r="CG962" s="1241"/>
      <c r="CH962" s="1241"/>
      <c r="CI962" s="1241"/>
      <c r="CJ962" s="1241"/>
      <c r="CK962" s="1241"/>
      <c r="CL962" s="1241"/>
      <c r="CM962" s="1241"/>
      <c r="CN962" s="1241"/>
      <c r="CO962" s="1241"/>
      <c r="CP962" s="1241"/>
      <c r="CQ962" s="1241"/>
      <c r="CR962" s="1241"/>
      <c r="CS962" s="1241"/>
      <c r="CT962" s="1241"/>
      <c r="CU962" s="1241"/>
      <c r="CV962" s="1241"/>
      <c r="CW962" s="1241"/>
      <c r="CX962" s="1241"/>
      <c r="CY962" s="1241"/>
      <c r="CZ962" s="1241"/>
      <c r="DA962" s="1241"/>
      <c r="DB962" s="1241"/>
      <c r="DC962" s="1241"/>
      <c r="DD962" s="1241"/>
      <c r="DE962" s="1241"/>
      <c r="DF962" s="1241"/>
      <c r="DG962" s="1241"/>
      <c r="DH962" s="1241"/>
      <c r="DI962" s="1241"/>
      <c r="DJ962" s="1241"/>
      <c r="DK962" s="1241"/>
      <c r="DL962" s="1241"/>
      <c r="DM962" s="1241"/>
    </row>
    <row r="963" spans="1:117" s="1302" customFormat="1">
      <c r="A963" s="1241"/>
      <c r="B963" s="1468" t="s">
        <v>4347</v>
      </c>
      <c r="C963" s="1241"/>
      <c r="D963" s="1241"/>
      <c r="E963" s="1469" t="s">
        <v>3925</v>
      </c>
      <c r="F963" s="1470"/>
      <c r="G963" s="1471">
        <v>0</v>
      </c>
      <c r="H963" s="1471">
        <v>15.2</v>
      </c>
      <c r="I963" s="1471">
        <v>15.863731712000002</v>
      </c>
      <c r="J963" s="1471">
        <v>17.652644602762074</v>
      </c>
      <c r="K963" s="1471">
        <v>19.643288674360623</v>
      </c>
      <c r="L963" s="1471">
        <v>21.858412641689377</v>
      </c>
      <c r="M963" s="1471">
        <v>24.323330534667594</v>
      </c>
      <c r="N963" s="1471">
        <v>27.066210982325387</v>
      </c>
      <c r="O963" s="1471">
        <v>18.821421924604561</v>
      </c>
      <c r="P963" s="1241"/>
      <c r="Q963" s="1241"/>
      <c r="R963" s="1241"/>
      <c r="S963" s="1241"/>
      <c r="T963" s="1241"/>
      <c r="U963" s="1241"/>
      <c r="V963" s="1241"/>
      <c r="W963" s="1241"/>
      <c r="X963" s="1241"/>
      <c r="Y963" s="1241"/>
      <c r="Z963" s="1241"/>
      <c r="AA963" s="1241"/>
      <c r="AB963" s="1241"/>
      <c r="AC963" s="1241"/>
      <c r="AD963" s="1241"/>
      <c r="AE963" s="1241"/>
      <c r="AF963" s="1241"/>
      <c r="AG963" s="1241"/>
      <c r="AH963" s="1241"/>
      <c r="AI963" s="1241"/>
      <c r="AJ963" s="1241"/>
      <c r="AK963" s="1241"/>
      <c r="AL963" s="1241"/>
      <c r="AM963" s="1241"/>
      <c r="AN963" s="1241"/>
      <c r="AO963" s="1241"/>
      <c r="AP963" s="1241"/>
      <c r="AQ963" s="1241"/>
      <c r="AR963" s="1241"/>
      <c r="AS963" s="1241"/>
      <c r="AT963" s="1241"/>
      <c r="AU963" s="1241"/>
      <c r="AV963" s="1241"/>
      <c r="AW963" s="1241"/>
      <c r="AX963" s="1241"/>
      <c r="AY963" s="1241"/>
      <c r="AZ963" s="1241"/>
      <c r="BA963" s="1241"/>
      <c r="BB963" s="1241"/>
      <c r="BC963" s="1241"/>
      <c r="BD963" s="1241"/>
      <c r="BE963" s="1241"/>
      <c r="BF963" s="1241"/>
      <c r="BG963" s="1241"/>
      <c r="BH963" s="1241"/>
      <c r="BI963" s="1241"/>
      <c r="BJ963" s="1241"/>
      <c r="BK963" s="1241"/>
      <c r="BL963" s="1241"/>
      <c r="BM963" s="1241"/>
      <c r="BN963" s="1241"/>
      <c r="BO963" s="1241"/>
      <c r="BP963" s="1241"/>
      <c r="BQ963" s="1241"/>
      <c r="BR963" s="1241"/>
      <c r="BS963" s="1241"/>
      <c r="BT963" s="1241"/>
      <c r="BU963" s="1241"/>
      <c r="BV963" s="1241"/>
      <c r="BW963" s="1241"/>
      <c r="BX963" s="1241"/>
      <c r="BY963" s="1241"/>
      <c r="BZ963" s="1241"/>
      <c r="CA963" s="1241"/>
      <c r="CB963" s="1241"/>
      <c r="CC963" s="1241"/>
      <c r="CD963" s="1241"/>
      <c r="CE963" s="1241"/>
      <c r="CF963" s="1241"/>
      <c r="CG963" s="1241"/>
      <c r="CH963" s="1241"/>
      <c r="CI963" s="1241"/>
      <c r="CJ963" s="1241"/>
      <c r="CK963" s="1241"/>
      <c r="CL963" s="1241"/>
      <c r="CM963" s="1241"/>
      <c r="CN963" s="1241"/>
      <c r="CO963" s="1241"/>
      <c r="CP963" s="1241"/>
      <c r="CQ963" s="1241"/>
      <c r="CR963" s="1241"/>
      <c r="CS963" s="1241"/>
      <c r="CT963" s="1241"/>
      <c r="CU963" s="1241"/>
      <c r="CV963" s="1241"/>
      <c r="CW963" s="1241"/>
      <c r="CX963" s="1241"/>
      <c r="CY963" s="1241"/>
      <c r="CZ963" s="1241"/>
      <c r="DA963" s="1241"/>
      <c r="DB963" s="1241"/>
      <c r="DC963" s="1241"/>
      <c r="DD963" s="1241"/>
      <c r="DE963" s="1241"/>
      <c r="DF963" s="1241"/>
      <c r="DG963" s="1241"/>
      <c r="DH963" s="1241"/>
      <c r="DI963" s="1241"/>
      <c r="DJ963" s="1241"/>
      <c r="DK963" s="1241"/>
      <c r="DL963" s="1241"/>
      <c r="DM963" s="1241"/>
    </row>
    <row r="964" spans="1:117" s="1302" customFormat="1">
      <c r="A964" s="1241"/>
      <c r="B964" s="1468" t="s">
        <v>3849</v>
      </c>
      <c r="C964" s="1241"/>
      <c r="D964" s="1241"/>
      <c r="E964" s="1469" t="s">
        <v>420</v>
      </c>
      <c r="F964" s="1470"/>
      <c r="G964" s="1471" t="s">
        <v>3878</v>
      </c>
      <c r="H964" s="1471">
        <v>13.4064</v>
      </c>
      <c r="I964" s="1471">
        <v>13.677383047416196</v>
      </c>
      <c r="J964" s="1471">
        <v>14.379046956588853</v>
      </c>
      <c r="K964" s="1471">
        <v>15.116706950665231</v>
      </c>
      <c r="L964" s="1471">
        <v>15.892209666064065</v>
      </c>
      <c r="M964" s="1471">
        <v>16.707496473564024</v>
      </c>
      <c r="N964" s="1471">
        <v>17.564608338274425</v>
      </c>
      <c r="O964" s="1471">
        <v>14.817207309382411</v>
      </c>
      <c r="P964" s="1241"/>
      <c r="Q964" s="1241"/>
      <c r="R964" s="1241"/>
      <c r="S964" s="1241"/>
      <c r="T964" s="1241"/>
      <c r="U964" s="1241"/>
      <c r="V964" s="1241"/>
      <c r="W964" s="1241"/>
      <c r="X964" s="1241"/>
      <c r="Y964" s="1241"/>
      <c r="Z964" s="1241"/>
      <c r="AA964" s="1241"/>
      <c r="AB964" s="1241"/>
      <c r="AC964" s="1241"/>
      <c r="AD964" s="1241"/>
      <c r="AE964" s="1241"/>
      <c r="AF964" s="1241"/>
      <c r="AG964" s="1241"/>
      <c r="AH964" s="1241"/>
      <c r="AI964" s="1241"/>
      <c r="AJ964" s="1241"/>
      <c r="AK964" s="1241"/>
      <c r="AL964" s="1241"/>
      <c r="AM964" s="1241"/>
      <c r="AN964" s="1241"/>
      <c r="AO964" s="1241"/>
      <c r="AP964" s="1241"/>
      <c r="AQ964" s="1241"/>
      <c r="AR964" s="1241"/>
      <c r="AS964" s="1241"/>
      <c r="AT964" s="1241"/>
      <c r="AU964" s="1241"/>
      <c r="AV964" s="1241"/>
      <c r="AW964" s="1241"/>
      <c r="AX964" s="1241"/>
      <c r="AY964" s="1241"/>
      <c r="AZ964" s="1241"/>
      <c r="BA964" s="1241"/>
      <c r="BB964" s="1241"/>
      <c r="BC964" s="1241"/>
      <c r="BD964" s="1241"/>
      <c r="BE964" s="1241"/>
      <c r="BF964" s="1241"/>
      <c r="BG964" s="1241"/>
      <c r="BH964" s="1241"/>
      <c r="BI964" s="1241"/>
      <c r="BJ964" s="1241"/>
      <c r="BK964" s="1241"/>
      <c r="BL964" s="1241"/>
      <c r="BM964" s="1241"/>
      <c r="BN964" s="1241"/>
      <c r="BO964" s="1241"/>
      <c r="BP964" s="1241"/>
      <c r="BQ964" s="1241"/>
      <c r="BR964" s="1241"/>
      <c r="BS964" s="1241"/>
      <c r="BT964" s="1241"/>
      <c r="BU964" s="1241"/>
      <c r="BV964" s="1241"/>
      <c r="BW964" s="1241"/>
      <c r="BX964" s="1241"/>
      <c r="BY964" s="1241"/>
      <c r="BZ964" s="1241"/>
      <c r="CA964" s="1241"/>
      <c r="CB964" s="1241"/>
      <c r="CC964" s="1241"/>
      <c r="CD964" s="1241"/>
      <c r="CE964" s="1241"/>
      <c r="CF964" s="1241"/>
      <c r="CG964" s="1241"/>
      <c r="CH964" s="1241"/>
      <c r="CI964" s="1241"/>
      <c r="CJ964" s="1241"/>
      <c r="CK964" s="1241"/>
      <c r="CL964" s="1241"/>
      <c r="CM964" s="1241"/>
      <c r="CN964" s="1241"/>
      <c r="CO964" s="1241"/>
      <c r="CP964" s="1241"/>
      <c r="CQ964" s="1241"/>
      <c r="CR964" s="1241"/>
      <c r="CS964" s="1241"/>
      <c r="CT964" s="1241"/>
      <c r="CU964" s="1241"/>
      <c r="CV964" s="1241"/>
      <c r="CW964" s="1241"/>
      <c r="CX964" s="1241"/>
      <c r="CY964" s="1241"/>
      <c r="CZ964" s="1241"/>
      <c r="DA964" s="1241"/>
      <c r="DB964" s="1241"/>
      <c r="DC964" s="1241"/>
      <c r="DD964" s="1241"/>
      <c r="DE964" s="1241"/>
      <c r="DF964" s="1241"/>
      <c r="DG964" s="1241"/>
      <c r="DH964" s="1241"/>
      <c r="DI964" s="1241"/>
      <c r="DJ964" s="1241"/>
      <c r="DK964" s="1241"/>
      <c r="DL964" s="1241"/>
      <c r="DM964" s="1241"/>
    </row>
    <row r="965" spans="1:117" s="1302" customFormat="1">
      <c r="A965" s="1243"/>
      <c r="B965" s="1243"/>
      <c r="C965" s="1214"/>
      <c r="D965" s="1243"/>
      <c r="E965" s="1215"/>
      <c r="F965" s="1472"/>
      <c r="G965" s="1473"/>
      <c r="H965" s="1473"/>
      <c r="I965" s="1473"/>
      <c r="J965" s="1473"/>
      <c r="K965" s="1473"/>
      <c r="L965" s="1473"/>
      <c r="M965" s="1473"/>
      <c r="N965" s="1473"/>
      <c r="O965" s="1472"/>
      <c r="P965" s="1241"/>
      <c r="Q965" s="1241"/>
      <c r="R965" s="1241"/>
      <c r="S965" s="1241"/>
      <c r="T965" s="1241"/>
      <c r="U965" s="1241"/>
      <c r="V965" s="1241"/>
      <c r="W965" s="1241"/>
      <c r="X965" s="1241"/>
      <c r="Y965" s="1241"/>
      <c r="Z965" s="1241"/>
      <c r="AA965" s="1241"/>
      <c r="AB965" s="1241"/>
      <c r="AC965" s="1241"/>
      <c r="AD965" s="1241"/>
      <c r="AE965" s="1241"/>
      <c r="AF965" s="1241"/>
      <c r="AG965" s="1241"/>
      <c r="AH965" s="1241"/>
      <c r="AI965" s="1241"/>
      <c r="AJ965" s="1241"/>
      <c r="AK965" s="1241"/>
      <c r="AL965" s="1241"/>
      <c r="AM965" s="1241"/>
      <c r="AN965" s="1241"/>
      <c r="AO965" s="1241"/>
      <c r="AP965" s="1241"/>
      <c r="AQ965" s="1241"/>
      <c r="AR965" s="1241"/>
      <c r="AS965" s="1241"/>
      <c r="AT965" s="1241"/>
      <c r="AU965" s="1241"/>
      <c r="AV965" s="1241"/>
      <c r="AW965" s="1241"/>
      <c r="AX965" s="1241"/>
      <c r="AY965" s="1241"/>
      <c r="AZ965" s="1241"/>
      <c r="BA965" s="1241"/>
      <c r="BB965" s="1241"/>
      <c r="BC965" s="1241"/>
      <c r="BD965" s="1241"/>
      <c r="BE965" s="1241"/>
      <c r="BF965" s="1241"/>
      <c r="BG965" s="1241"/>
      <c r="BH965" s="1241"/>
      <c r="BI965" s="1241"/>
      <c r="BJ965" s="1241"/>
      <c r="BK965" s="1241"/>
      <c r="BL965" s="1241"/>
      <c r="BM965" s="1241"/>
      <c r="BN965" s="1241"/>
      <c r="BO965" s="1241"/>
      <c r="BP965" s="1241"/>
      <c r="BQ965" s="1241"/>
      <c r="BR965" s="1241"/>
      <c r="BS965" s="1241"/>
      <c r="BT965" s="1241"/>
      <c r="BU965" s="1241"/>
      <c r="BV965" s="1241"/>
      <c r="BW965" s="1241"/>
      <c r="BX965" s="1241"/>
      <c r="BY965" s="1241"/>
      <c r="BZ965" s="1241"/>
      <c r="CA965" s="1241"/>
      <c r="CB965" s="1241"/>
      <c r="CC965" s="1241"/>
      <c r="CD965" s="1241"/>
      <c r="CE965" s="1241"/>
      <c r="CF965" s="1241"/>
      <c r="CG965" s="1241"/>
      <c r="CH965" s="1241"/>
      <c r="CI965" s="1241"/>
      <c r="CJ965" s="1241"/>
      <c r="CK965" s="1241"/>
      <c r="CL965" s="1241"/>
      <c r="CM965" s="1241"/>
      <c r="CN965" s="1241"/>
      <c r="CO965" s="1241"/>
      <c r="CP965" s="1241"/>
      <c r="CQ965" s="1241"/>
      <c r="CR965" s="1241"/>
      <c r="CS965" s="1241"/>
      <c r="CT965" s="1241"/>
      <c r="CU965" s="1241"/>
      <c r="CV965" s="1241"/>
      <c r="CW965" s="1241"/>
      <c r="CX965" s="1241"/>
      <c r="CY965" s="1241"/>
      <c r="CZ965" s="1241"/>
      <c r="DA965" s="1241"/>
      <c r="DB965" s="1241"/>
      <c r="DC965" s="1241"/>
      <c r="DD965" s="1241"/>
      <c r="DE965" s="1241"/>
      <c r="DF965" s="1241"/>
      <c r="DG965" s="1241"/>
      <c r="DH965" s="1241"/>
      <c r="DI965" s="1241"/>
      <c r="DJ965" s="1241"/>
      <c r="DK965" s="1241"/>
      <c r="DL965" s="1241"/>
      <c r="DM965" s="1241"/>
    </row>
    <row r="966" spans="1:117">
      <c r="A966" s="1459"/>
      <c r="B966" s="1530" t="s">
        <v>4348</v>
      </c>
      <c r="C966" s="1531"/>
      <c r="D966" s="1531"/>
      <c r="E966" s="1532" t="s">
        <v>840</v>
      </c>
      <c r="F966" s="1533"/>
      <c r="G966" s="1534">
        <v>2015</v>
      </c>
      <c r="H966" s="1534">
        <v>2020</v>
      </c>
      <c r="I966" s="1534">
        <v>2022</v>
      </c>
      <c r="J966" s="1534">
        <v>2027</v>
      </c>
      <c r="K966" s="1534">
        <v>2032</v>
      </c>
      <c r="L966" s="1534">
        <v>2037</v>
      </c>
      <c r="M966" s="1534">
        <v>2042</v>
      </c>
      <c r="N966" s="1534">
        <v>2047</v>
      </c>
      <c r="O966" s="1534">
        <v>2030</v>
      </c>
    </row>
    <row r="967" spans="1:117">
      <c r="A967" s="1243"/>
      <c r="B967" s="1475" t="s">
        <v>4264</v>
      </c>
      <c r="C967" s="1476"/>
      <c r="D967" s="1475"/>
      <c r="E967" s="1477"/>
      <c r="F967" s="1478"/>
      <c r="G967" s="1479"/>
      <c r="H967" s="1479"/>
      <c r="I967" s="1479"/>
      <c r="J967" s="1479"/>
      <c r="K967" s="1479"/>
      <c r="L967" s="1479"/>
      <c r="M967" s="1479"/>
      <c r="N967" s="1479"/>
      <c r="O967" s="1478"/>
    </row>
    <row r="968" spans="1:117">
      <c r="A968" s="1243"/>
      <c r="B968" s="1480" t="s">
        <v>4349</v>
      </c>
      <c r="C968" s="1480"/>
      <c r="D968" s="1481"/>
      <c r="E968" s="1482" t="s">
        <v>4688</v>
      </c>
      <c r="F968" s="1483"/>
      <c r="G968" s="1483"/>
      <c r="H968" s="1522">
        <v>0.88200000000000001</v>
      </c>
      <c r="I968" s="1522">
        <v>0.86217942258000002</v>
      </c>
      <c r="J968" s="1522">
        <v>0.81455483187708844</v>
      </c>
      <c r="K968" s="1522">
        <v>0.7695609020090558</v>
      </c>
      <c r="L968" s="1522">
        <v>0.72705232198580183</v>
      </c>
      <c r="M968" s="1522">
        <v>0.6868918074254321</v>
      </c>
      <c r="N968" s="1522">
        <v>0.64894965718490705</v>
      </c>
      <c r="O968" s="1522">
        <v>0.78725227927717911</v>
      </c>
    </row>
    <row r="969" spans="1:117">
      <c r="A969" s="1243"/>
      <c r="B969" s="1480"/>
      <c r="C969" s="1480"/>
      <c r="D969" s="1481"/>
      <c r="E969" s="1482"/>
      <c r="F969" s="1483"/>
      <c r="G969" s="1483"/>
      <c r="H969" s="1522"/>
      <c r="I969" s="1522"/>
      <c r="J969" s="1522"/>
      <c r="K969" s="1522"/>
      <c r="L969" s="1522"/>
      <c r="M969" s="1522"/>
      <c r="N969" s="1522"/>
      <c r="O969" s="1523"/>
    </row>
    <row r="970" spans="1:117">
      <c r="A970" s="1243"/>
      <c r="B970" s="1480" t="s">
        <v>4266</v>
      </c>
      <c r="C970" s="1480"/>
      <c r="D970" s="1481"/>
      <c r="E970" s="1482" t="s">
        <v>420</v>
      </c>
      <c r="F970" s="1536"/>
      <c r="G970" s="1487"/>
      <c r="H970" s="1522">
        <v>0</v>
      </c>
      <c r="I970" s="1522">
        <v>13.105127223216</v>
      </c>
      <c r="J970" s="1522">
        <v>12.921879317611397</v>
      </c>
      <c r="K970" s="1522">
        <v>13.584785103346873</v>
      </c>
      <c r="L970" s="1522">
        <v>14.281698642131294</v>
      </c>
      <c r="M970" s="1522">
        <v>15.01436456690093</v>
      </c>
      <c r="N970" s="1522">
        <v>15.784617012067717</v>
      </c>
      <c r="O970" s="1487">
        <v>13.897084698794437</v>
      </c>
    </row>
    <row r="971" spans="1:117" s="1302" customFormat="1">
      <c r="A971" s="1243"/>
      <c r="B971" s="1481"/>
      <c r="C971" s="1480"/>
      <c r="D971" s="1481"/>
      <c r="E971" s="1537"/>
      <c r="F971" s="1487"/>
      <c r="G971" s="1522"/>
      <c r="H971" s="1522"/>
      <c r="I971" s="1522"/>
      <c r="J971" s="1522"/>
      <c r="K971" s="1522"/>
      <c r="L971" s="1522"/>
      <c r="M971" s="1522"/>
      <c r="N971" s="1522"/>
      <c r="O971" s="1487"/>
      <c r="P971" s="1241"/>
      <c r="Q971" s="1241"/>
      <c r="R971" s="1241"/>
      <c r="S971" s="1241"/>
      <c r="T971" s="1241"/>
      <c r="U971" s="1241"/>
      <c r="V971" s="1241"/>
      <c r="W971" s="1241"/>
      <c r="X971" s="1241"/>
      <c r="Y971" s="1241"/>
      <c r="Z971" s="1241"/>
      <c r="AA971" s="1241"/>
      <c r="AB971" s="1241"/>
      <c r="AC971" s="1241"/>
      <c r="AD971" s="1241"/>
      <c r="AE971" s="1241"/>
      <c r="AF971" s="1241"/>
      <c r="AG971" s="1241"/>
      <c r="AH971" s="1241"/>
      <c r="AI971" s="1241"/>
      <c r="AJ971" s="1241"/>
      <c r="AK971" s="1241"/>
      <c r="AL971" s="1241"/>
      <c r="AM971" s="1241"/>
      <c r="AN971" s="1241"/>
      <c r="AO971" s="1241"/>
      <c r="AP971" s="1241"/>
      <c r="AQ971" s="1241"/>
      <c r="AR971" s="1241"/>
      <c r="AS971" s="1241"/>
      <c r="AT971" s="1241"/>
      <c r="AU971" s="1241"/>
      <c r="AV971" s="1241"/>
      <c r="AW971" s="1241"/>
      <c r="AX971" s="1241"/>
      <c r="AY971" s="1241"/>
      <c r="AZ971" s="1241"/>
      <c r="BA971" s="1241"/>
      <c r="BB971" s="1241"/>
      <c r="BC971" s="1241"/>
      <c r="BD971" s="1241"/>
      <c r="BE971" s="1241"/>
      <c r="BF971" s="1241"/>
      <c r="BG971" s="1241"/>
      <c r="BH971" s="1241"/>
      <c r="BI971" s="1241"/>
      <c r="BJ971" s="1241"/>
      <c r="BK971" s="1241"/>
      <c r="BL971" s="1241"/>
      <c r="BM971" s="1241"/>
      <c r="BN971" s="1241"/>
      <c r="BO971" s="1241"/>
      <c r="BP971" s="1241"/>
      <c r="BQ971" s="1241"/>
      <c r="BR971" s="1241"/>
      <c r="BS971" s="1241"/>
      <c r="BT971" s="1241"/>
      <c r="BU971" s="1241"/>
      <c r="BV971" s="1241"/>
      <c r="BW971" s="1241"/>
      <c r="BX971" s="1241"/>
      <c r="BY971" s="1241"/>
      <c r="BZ971" s="1241"/>
      <c r="CA971" s="1241"/>
      <c r="CB971" s="1241"/>
      <c r="CC971" s="1241"/>
      <c r="CD971" s="1241"/>
      <c r="CE971" s="1241"/>
      <c r="CF971" s="1241"/>
      <c r="CG971" s="1241"/>
      <c r="CH971" s="1241"/>
      <c r="CI971" s="1241"/>
      <c r="CJ971" s="1241"/>
      <c r="CK971" s="1241"/>
      <c r="CL971" s="1241"/>
      <c r="CM971" s="1241"/>
      <c r="CN971" s="1241"/>
      <c r="CO971" s="1241"/>
      <c r="CP971" s="1241"/>
      <c r="CQ971" s="1241"/>
      <c r="CR971" s="1241"/>
      <c r="CS971" s="1241"/>
      <c r="CT971" s="1241"/>
      <c r="CU971" s="1241"/>
      <c r="CV971" s="1241"/>
      <c r="CW971" s="1241"/>
      <c r="CX971" s="1241"/>
      <c r="CY971" s="1241"/>
      <c r="CZ971" s="1241"/>
      <c r="DA971" s="1241"/>
      <c r="DB971" s="1241"/>
      <c r="DC971" s="1241"/>
      <c r="DD971" s="1241"/>
      <c r="DE971" s="1241"/>
      <c r="DF971" s="1241"/>
      <c r="DG971" s="1241"/>
      <c r="DH971" s="1241"/>
      <c r="DI971" s="1241"/>
      <c r="DJ971" s="1241"/>
      <c r="DK971" s="1241"/>
      <c r="DL971" s="1241"/>
      <c r="DM971" s="1241"/>
    </row>
    <row r="972" spans="1:117" s="1302" customFormat="1">
      <c r="A972" s="1243"/>
      <c r="B972" s="1480" t="s">
        <v>4267</v>
      </c>
      <c r="C972" s="1480"/>
      <c r="D972" s="1481"/>
      <c r="E972" s="1482" t="s">
        <v>1065</v>
      </c>
      <c r="F972" s="1522"/>
      <c r="G972" s="1489"/>
      <c r="H972" s="1522" t="s">
        <v>3878</v>
      </c>
      <c r="I972" s="1522">
        <v>0.30127277678399977</v>
      </c>
      <c r="J972" s="1522">
        <v>0.75550372980479885</v>
      </c>
      <c r="K972" s="1522">
        <v>0.79426185324198073</v>
      </c>
      <c r="L972" s="1522">
        <v>0.83500830853393637</v>
      </c>
      <c r="M972" s="1522">
        <v>0.87784509916313525</v>
      </c>
      <c r="N972" s="1522">
        <v>0.92287946149630784</v>
      </c>
      <c r="O972" s="1487">
        <v>0.48196225779441626</v>
      </c>
      <c r="P972" s="1241"/>
      <c r="Q972" s="1241"/>
      <c r="R972" s="1241"/>
      <c r="S972" s="1241"/>
      <c r="T972" s="1241"/>
      <c r="U972" s="1241"/>
      <c r="V972" s="1241"/>
      <c r="W972" s="1241"/>
      <c r="X972" s="1241"/>
      <c r="Y972" s="1241"/>
      <c r="Z972" s="1241"/>
      <c r="AA972" s="1241"/>
      <c r="AB972" s="1241"/>
      <c r="AC972" s="1241"/>
      <c r="AD972" s="1241"/>
      <c r="AE972" s="1241"/>
      <c r="AF972" s="1241"/>
      <c r="AG972" s="1241"/>
      <c r="AH972" s="1241"/>
      <c r="AI972" s="1241"/>
      <c r="AJ972" s="1241"/>
      <c r="AK972" s="1241"/>
      <c r="AL972" s="1241"/>
      <c r="AM972" s="1241"/>
      <c r="AN972" s="1241"/>
      <c r="AO972" s="1241"/>
      <c r="AP972" s="1241"/>
      <c r="AQ972" s="1241"/>
      <c r="AR972" s="1241"/>
      <c r="AS972" s="1241"/>
      <c r="AT972" s="1241"/>
      <c r="AU972" s="1241"/>
      <c r="AV972" s="1241"/>
      <c r="AW972" s="1241"/>
      <c r="AX972" s="1241"/>
      <c r="AY972" s="1241"/>
      <c r="AZ972" s="1241"/>
      <c r="BA972" s="1241"/>
      <c r="BB972" s="1241"/>
      <c r="BC972" s="1241"/>
      <c r="BD972" s="1241"/>
      <c r="BE972" s="1241"/>
      <c r="BF972" s="1241"/>
      <c r="BG972" s="1241"/>
      <c r="BH972" s="1241"/>
      <c r="BI972" s="1241"/>
      <c r="BJ972" s="1241"/>
      <c r="BK972" s="1241"/>
      <c r="BL972" s="1241"/>
      <c r="BM972" s="1241"/>
      <c r="BN972" s="1241"/>
      <c r="BO972" s="1241"/>
      <c r="BP972" s="1241"/>
      <c r="BQ972" s="1241"/>
      <c r="BR972" s="1241"/>
      <c r="BS972" s="1241"/>
      <c r="BT972" s="1241"/>
      <c r="BU972" s="1241"/>
      <c r="BV972" s="1241"/>
      <c r="BW972" s="1241"/>
      <c r="BX972" s="1241"/>
      <c r="BY972" s="1241"/>
      <c r="BZ972" s="1241"/>
      <c r="CA972" s="1241"/>
      <c r="CB972" s="1241"/>
      <c r="CC972" s="1241"/>
      <c r="CD972" s="1241"/>
      <c r="CE972" s="1241"/>
      <c r="CF972" s="1241"/>
      <c r="CG972" s="1241"/>
      <c r="CH972" s="1241"/>
      <c r="CI972" s="1241"/>
      <c r="CJ972" s="1241"/>
      <c r="CK972" s="1241"/>
      <c r="CL972" s="1241"/>
      <c r="CM972" s="1241"/>
      <c r="CN972" s="1241"/>
      <c r="CO972" s="1241"/>
      <c r="CP972" s="1241"/>
      <c r="CQ972" s="1241"/>
      <c r="CR972" s="1241"/>
      <c r="CS972" s="1241"/>
      <c r="CT972" s="1241"/>
      <c r="CU972" s="1241"/>
      <c r="CV972" s="1241"/>
      <c r="CW972" s="1241"/>
      <c r="CX972" s="1241"/>
      <c r="CY972" s="1241"/>
      <c r="CZ972" s="1241"/>
      <c r="DA972" s="1241"/>
      <c r="DB972" s="1241"/>
      <c r="DC972" s="1241"/>
      <c r="DD972" s="1241"/>
      <c r="DE972" s="1241"/>
      <c r="DF972" s="1241"/>
      <c r="DG972" s="1241"/>
      <c r="DH972" s="1241"/>
      <c r="DI972" s="1241"/>
      <c r="DJ972" s="1241"/>
      <c r="DK972" s="1241"/>
      <c r="DL972" s="1241"/>
      <c r="DM972" s="1241"/>
    </row>
    <row r="973" spans="1:117" s="1302" customFormat="1">
      <c r="A973" s="1241"/>
      <c r="B973" s="1459"/>
      <c r="C973" s="1241"/>
      <c r="D973" s="1459"/>
      <c r="E973" s="1460"/>
      <c r="F973" s="1540"/>
      <c r="G973" s="1473"/>
      <c r="H973" s="1473"/>
      <c r="I973" s="1473"/>
      <c r="J973" s="1473"/>
      <c r="K973" s="1473"/>
      <c r="L973" s="1473"/>
      <c r="M973" s="1473"/>
      <c r="N973" s="1473"/>
      <c r="O973" s="1540"/>
      <c r="P973" s="1241"/>
      <c r="Q973" s="1241"/>
      <c r="R973" s="1241"/>
      <c r="S973" s="1241"/>
      <c r="T973" s="1241"/>
      <c r="U973" s="1241"/>
      <c r="V973" s="1241"/>
      <c r="W973" s="1241"/>
      <c r="X973" s="1241"/>
      <c r="Y973" s="1241"/>
      <c r="Z973" s="1241"/>
      <c r="AA973" s="1241"/>
      <c r="AB973" s="1241"/>
      <c r="AC973" s="1241"/>
      <c r="AD973" s="1241"/>
      <c r="AE973" s="1241"/>
      <c r="AF973" s="1241"/>
      <c r="AG973" s="1241"/>
      <c r="AH973" s="1241"/>
      <c r="AI973" s="1241"/>
      <c r="AJ973" s="1241"/>
      <c r="AK973" s="1241"/>
      <c r="AL973" s="1241"/>
      <c r="AM973" s="1241"/>
      <c r="AN973" s="1241"/>
      <c r="AO973" s="1241"/>
      <c r="AP973" s="1241"/>
      <c r="AQ973" s="1241"/>
      <c r="AR973" s="1241"/>
      <c r="AS973" s="1241"/>
      <c r="AT973" s="1241"/>
      <c r="AU973" s="1241"/>
      <c r="AV973" s="1241"/>
      <c r="AW973" s="1241"/>
      <c r="AX973" s="1241"/>
      <c r="AY973" s="1241"/>
      <c r="AZ973" s="1241"/>
      <c r="BA973" s="1241"/>
      <c r="BB973" s="1241"/>
      <c r="BC973" s="1241"/>
      <c r="BD973" s="1241"/>
      <c r="BE973" s="1241"/>
      <c r="BF973" s="1241"/>
      <c r="BG973" s="1241"/>
      <c r="BH973" s="1241"/>
      <c r="BI973" s="1241"/>
      <c r="BJ973" s="1241"/>
      <c r="BK973" s="1241"/>
      <c r="BL973" s="1241"/>
      <c r="BM973" s="1241"/>
      <c r="BN973" s="1241"/>
      <c r="BO973" s="1241"/>
      <c r="BP973" s="1241"/>
      <c r="BQ973" s="1241"/>
      <c r="BR973" s="1241"/>
      <c r="BS973" s="1241"/>
      <c r="BT973" s="1241"/>
      <c r="BU973" s="1241"/>
      <c r="BV973" s="1241"/>
      <c r="BW973" s="1241"/>
      <c r="BX973" s="1241"/>
      <c r="BY973" s="1241"/>
      <c r="BZ973" s="1241"/>
      <c r="CA973" s="1241"/>
      <c r="CB973" s="1241"/>
      <c r="CC973" s="1241"/>
      <c r="CD973" s="1241"/>
      <c r="CE973" s="1241"/>
      <c r="CF973" s="1241"/>
      <c r="CG973" s="1241"/>
      <c r="CH973" s="1241"/>
      <c r="CI973" s="1241"/>
      <c r="CJ973" s="1241"/>
      <c r="CK973" s="1241"/>
      <c r="CL973" s="1241"/>
      <c r="CM973" s="1241"/>
      <c r="CN973" s="1241"/>
      <c r="CO973" s="1241"/>
      <c r="CP973" s="1241"/>
      <c r="CQ973" s="1241"/>
      <c r="CR973" s="1241"/>
      <c r="CS973" s="1241"/>
      <c r="CT973" s="1241"/>
      <c r="CU973" s="1241"/>
      <c r="CV973" s="1241"/>
      <c r="CW973" s="1241"/>
      <c r="CX973" s="1241"/>
      <c r="CY973" s="1241"/>
      <c r="CZ973" s="1241"/>
      <c r="DA973" s="1241"/>
      <c r="DB973" s="1241"/>
      <c r="DC973" s="1241"/>
      <c r="DD973" s="1241"/>
      <c r="DE973" s="1241"/>
      <c r="DF973" s="1241"/>
      <c r="DG973" s="1241"/>
      <c r="DH973" s="1241"/>
      <c r="DI973" s="1241"/>
      <c r="DJ973" s="1241"/>
      <c r="DK973" s="1241"/>
      <c r="DL973" s="1241"/>
      <c r="DM973" s="1241"/>
    </row>
    <row r="974" spans="1:117" s="1302" customFormat="1" hidden="1">
      <c r="A974" s="1241"/>
      <c r="B974" s="1558" t="s">
        <v>4336</v>
      </c>
      <c r="C974" s="1559"/>
      <c r="D974" s="1558"/>
      <c r="E974" s="1460"/>
      <c r="F974" s="1540"/>
      <c r="G974" s="1473"/>
      <c r="H974" s="1473"/>
      <c r="I974" s="1473"/>
      <c r="J974" s="1473"/>
      <c r="K974" s="1473"/>
      <c r="L974" s="1473"/>
      <c r="M974" s="1473"/>
      <c r="N974" s="1473"/>
      <c r="O974" s="1540"/>
      <c r="P974" s="1241"/>
      <c r="Q974" s="1241"/>
      <c r="R974" s="1241"/>
      <c r="S974" s="1241"/>
      <c r="T974" s="1241"/>
      <c r="U974" s="1241"/>
      <c r="V974" s="1241"/>
      <c r="W974" s="1241"/>
      <c r="X974" s="1241"/>
      <c r="Y974" s="1241"/>
      <c r="Z974" s="1241"/>
      <c r="AA974" s="1241"/>
      <c r="AB974" s="1241"/>
      <c r="AC974" s="1241"/>
      <c r="AD974" s="1241"/>
      <c r="AE974" s="1241"/>
      <c r="AF974" s="1241"/>
      <c r="AG974" s="1241"/>
      <c r="AH974" s="1241"/>
      <c r="AI974" s="1241"/>
      <c r="AJ974" s="1241"/>
      <c r="AK974" s="1241"/>
      <c r="AL974" s="1241"/>
      <c r="AM974" s="1241"/>
      <c r="AN974" s="1241"/>
      <c r="AO974" s="1241"/>
      <c r="AP974" s="1241"/>
      <c r="AQ974" s="1241"/>
      <c r="AR974" s="1241"/>
      <c r="AS974" s="1241"/>
      <c r="AT974" s="1241"/>
      <c r="AU974" s="1241"/>
      <c r="AV974" s="1241"/>
      <c r="AW974" s="1241"/>
      <c r="AX974" s="1241"/>
      <c r="AY974" s="1241"/>
      <c r="AZ974" s="1241"/>
      <c r="BA974" s="1241"/>
      <c r="BB974" s="1241"/>
      <c r="BC974" s="1241"/>
      <c r="BD974" s="1241"/>
      <c r="BE974" s="1241"/>
      <c r="BF974" s="1241"/>
      <c r="BG974" s="1241"/>
      <c r="BH974" s="1241"/>
      <c r="BI974" s="1241"/>
      <c r="BJ974" s="1241"/>
      <c r="BK974" s="1241"/>
      <c r="BL974" s="1241"/>
      <c r="BM974" s="1241"/>
      <c r="BN974" s="1241"/>
      <c r="BO974" s="1241"/>
      <c r="BP974" s="1241"/>
      <c r="BQ974" s="1241"/>
      <c r="BR974" s="1241"/>
      <c r="BS974" s="1241"/>
      <c r="BT974" s="1241"/>
      <c r="BU974" s="1241"/>
      <c r="BV974" s="1241"/>
      <c r="BW974" s="1241"/>
      <c r="BX974" s="1241"/>
      <c r="BY974" s="1241"/>
      <c r="BZ974" s="1241"/>
      <c r="CA974" s="1241"/>
      <c r="CB974" s="1241"/>
      <c r="CC974" s="1241"/>
      <c r="CD974" s="1241"/>
      <c r="CE974" s="1241"/>
      <c r="CF974" s="1241"/>
      <c r="CG974" s="1241"/>
      <c r="CH974" s="1241"/>
      <c r="CI974" s="1241"/>
      <c r="CJ974" s="1241"/>
      <c r="CK974" s="1241"/>
      <c r="CL974" s="1241"/>
      <c r="CM974" s="1241"/>
      <c r="CN974" s="1241"/>
      <c r="CO974" s="1241"/>
      <c r="CP974" s="1241"/>
      <c r="CQ974" s="1241"/>
      <c r="CR974" s="1241"/>
      <c r="CS974" s="1241"/>
      <c r="CT974" s="1241"/>
      <c r="CU974" s="1241"/>
      <c r="CV974" s="1241"/>
      <c r="CW974" s="1241"/>
      <c r="CX974" s="1241"/>
      <c r="CY974" s="1241"/>
      <c r="CZ974" s="1241"/>
      <c r="DA974" s="1241"/>
      <c r="DB974" s="1241"/>
      <c r="DC974" s="1241"/>
      <c r="DD974" s="1241"/>
      <c r="DE974" s="1241"/>
      <c r="DF974" s="1241"/>
      <c r="DG974" s="1241"/>
      <c r="DH974" s="1241"/>
      <c r="DI974" s="1241"/>
      <c r="DJ974" s="1241"/>
      <c r="DK974" s="1241"/>
      <c r="DL974" s="1241"/>
      <c r="DM974" s="1241"/>
    </row>
    <row r="975" spans="1:117" s="1302" customFormat="1" hidden="1">
      <c r="A975" s="1241"/>
      <c r="B975" s="1558"/>
      <c r="C975" s="1559"/>
      <c r="D975" s="1558"/>
      <c r="E975" s="1460"/>
      <c r="F975" s="1540"/>
      <c r="G975" s="1473"/>
      <c r="H975" s="1473"/>
      <c r="I975" s="1473"/>
      <c r="J975" s="1473"/>
      <c r="K975" s="1473"/>
      <c r="L975" s="1473"/>
      <c r="M975" s="1473"/>
      <c r="N975" s="1473"/>
      <c r="O975" s="1540"/>
      <c r="P975" s="1241"/>
      <c r="Q975" s="1241"/>
      <c r="R975" s="1241"/>
      <c r="S975" s="1241"/>
      <c r="T975" s="1241"/>
      <c r="U975" s="1241"/>
      <c r="V975" s="1241"/>
      <c r="W975" s="1241"/>
      <c r="X975" s="1241"/>
      <c r="Y975" s="1241"/>
      <c r="Z975" s="1241"/>
      <c r="AA975" s="1241"/>
      <c r="AB975" s="1241"/>
      <c r="AC975" s="1241"/>
      <c r="AD975" s="1241"/>
      <c r="AE975" s="1241"/>
      <c r="AF975" s="1241"/>
      <c r="AG975" s="1241"/>
      <c r="AH975" s="1241"/>
      <c r="AI975" s="1241"/>
      <c r="AJ975" s="1241"/>
      <c r="AK975" s="1241"/>
      <c r="AL975" s="1241"/>
      <c r="AM975" s="1241"/>
      <c r="AN975" s="1241"/>
      <c r="AO975" s="1241"/>
      <c r="AP975" s="1241"/>
      <c r="AQ975" s="1241"/>
      <c r="AR975" s="1241"/>
      <c r="AS975" s="1241"/>
      <c r="AT975" s="1241"/>
      <c r="AU975" s="1241"/>
      <c r="AV975" s="1241"/>
      <c r="AW975" s="1241"/>
      <c r="AX975" s="1241"/>
      <c r="AY975" s="1241"/>
      <c r="AZ975" s="1241"/>
      <c r="BA975" s="1241"/>
      <c r="BB975" s="1241"/>
      <c r="BC975" s="1241"/>
      <c r="BD975" s="1241"/>
      <c r="BE975" s="1241"/>
      <c r="BF975" s="1241"/>
      <c r="BG975" s="1241"/>
      <c r="BH975" s="1241"/>
      <c r="BI975" s="1241"/>
      <c r="BJ975" s="1241"/>
      <c r="BK975" s="1241"/>
      <c r="BL975" s="1241"/>
      <c r="BM975" s="1241"/>
      <c r="BN975" s="1241"/>
      <c r="BO975" s="1241"/>
      <c r="BP975" s="1241"/>
      <c r="BQ975" s="1241"/>
      <c r="BR975" s="1241"/>
      <c r="BS975" s="1241"/>
      <c r="BT975" s="1241"/>
      <c r="BU975" s="1241"/>
      <c r="BV975" s="1241"/>
      <c r="BW975" s="1241"/>
      <c r="BX975" s="1241"/>
      <c r="BY975" s="1241"/>
      <c r="BZ975" s="1241"/>
      <c r="CA975" s="1241"/>
      <c r="CB975" s="1241"/>
      <c r="CC975" s="1241"/>
      <c r="CD975" s="1241"/>
      <c r="CE975" s="1241"/>
      <c r="CF975" s="1241"/>
      <c r="CG975" s="1241"/>
      <c r="CH975" s="1241"/>
      <c r="CI975" s="1241"/>
      <c r="CJ975" s="1241"/>
      <c r="CK975" s="1241"/>
      <c r="CL975" s="1241"/>
      <c r="CM975" s="1241"/>
      <c r="CN975" s="1241"/>
      <c r="CO975" s="1241"/>
      <c r="CP975" s="1241"/>
      <c r="CQ975" s="1241"/>
      <c r="CR975" s="1241"/>
      <c r="CS975" s="1241"/>
      <c r="CT975" s="1241"/>
      <c r="CU975" s="1241"/>
      <c r="CV975" s="1241"/>
      <c r="CW975" s="1241"/>
      <c r="CX975" s="1241"/>
      <c r="CY975" s="1241"/>
      <c r="CZ975" s="1241"/>
      <c r="DA975" s="1241"/>
      <c r="DB975" s="1241"/>
      <c r="DC975" s="1241"/>
      <c r="DD975" s="1241"/>
      <c r="DE975" s="1241"/>
      <c r="DF975" s="1241"/>
      <c r="DG975" s="1241"/>
      <c r="DH975" s="1241"/>
      <c r="DI975" s="1241"/>
      <c r="DJ975" s="1241"/>
      <c r="DK975" s="1241"/>
      <c r="DL975" s="1241"/>
      <c r="DM975" s="1241"/>
    </row>
    <row r="976" spans="1:117" s="1302" customFormat="1" hidden="1">
      <c r="A976" s="1241"/>
      <c r="B976" s="1558" t="s">
        <v>4275</v>
      </c>
      <c r="C976" s="1559"/>
      <c r="D976" s="1558"/>
      <c r="E976" s="1460"/>
      <c r="F976" s="1540"/>
      <c r="G976" s="1473"/>
      <c r="H976" s="1473" t="s">
        <v>3878</v>
      </c>
      <c r="I976" s="1473">
        <v>111.66474720000001</v>
      </c>
      <c r="J976" s="1473">
        <v>111.66474720000001</v>
      </c>
      <c r="K976" s="1473">
        <v>111.66474720000001</v>
      </c>
      <c r="L976" s="1473">
        <v>111.66474720000001</v>
      </c>
      <c r="M976" s="1473">
        <v>111.66474720000001</v>
      </c>
      <c r="N976" s="1473">
        <v>111.66474720000001</v>
      </c>
      <c r="O976" s="1473">
        <v>111.66474720000001</v>
      </c>
      <c r="P976" s="1241"/>
      <c r="Q976" s="1241"/>
      <c r="R976" s="1241"/>
      <c r="S976" s="1241"/>
      <c r="T976" s="1241"/>
      <c r="U976" s="1241"/>
      <c r="V976" s="1241"/>
      <c r="W976" s="1241"/>
      <c r="X976" s="1241"/>
      <c r="Y976" s="1241"/>
      <c r="Z976" s="1241"/>
      <c r="AA976" s="1241"/>
      <c r="AB976" s="1241"/>
      <c r="AC976" s="1241"/>
      <c r="AD976" s="1241"/>
      <c r="AE976" s="1241"/>
      <c r="AF976" s="1241"/>
      <c r="AG976" s="1241"/>
      <c r="AH976" s="1241"/>
      <c r="AI976" s="1241"/>
      <c r="AJ976" s="1241"/>
      <c r="AK976" s="1241"/>
      <c r="AL976" s="1241"/>
      <c r="AM976" s="1241"/>
      <c r="AN976" s="1241"/>
      <c r="AO976" s="1241"/>
      <c r="AP976" s="1241"/>
      <c r="AQ976" s="1241"/>
      <c r="AR976" s="1241"/>
      <c r="AS976" s="1241"/>
      <c r="AT976" s="1241"/>
      <c r="AU976" s="1241"/>
      <c r="AV976" s="1241"/>
      <c r="AW976" s="1241"/>
      <c r="AX976" s="1241"/>
      <c r="AY976" s="1241"/>
      <c r="AZ976" s="1241"/>
      <c r="BA976" s="1241"/>
      <c r="BB976" s="1241"/>
      <c r="BC976" s="1241"/>
      <c r="BD976" s="1241"/>
      <c r="BE976" s="1241"/>
      <c r="BF976" s="1241"/>
      <c r="BG976" s="1241"/>
      <c r="BH976" s="1241"/>
      <c r="BI976" s="1241"/>
      <c r="BJ976" s="1241"/>
      <c r="BK976" s="1241"/>
      <c r="BL976" s="1241"/>
      <c r="BM976" s="1241"/>
      <c r="BN976" s="1241"/>
      <c r="BO976" s="1241"/>
      <c r="BP976" s="1241"/>
      <c r="BQ976" s="1241"/>
      <c r="BR976" s="1241"/>
      <c r="BS976" s="1241"/>
      <c r="BT976" s="1241"/>
      <c r="BU976" s="1241"/>
      <c r="BV976" s="1241"/>
      <c r="BW976" s="1241"/>
      <c r="BX976" s="1241"/>
      <c r="BY976" s="1241"/>
      <c r="BZ976" s="1241"/>
      <c r="CA976" s="1241"/>
      <c r="CB976" s="1241"/>
      <c r="CC976" s="1241"/>
      <c r="CD976" s="1241"/>
      <c r="CE976" s="1241"/>
      <c r="CF976" s="1241"/>
      <c r="CG976" s="1241"/>
      <c r="CH976" s="1241"/>
      <c r="CI976" s="1241"/>
      <c r="CJ976" s="1241"/>
      <c r="CK976" s="1241"/>
      <c r="CL976" s="1241"/>
      <c r="CM976" s="1241"/>
      <c r="CN976" s="1241"/>
      <c r="CO976" s="1241"/>
      <c r="CP976" s="1241"/>
      <c r="CQ976" s="1241"/>
      <c r="CR976" s="1241"/>
      <c r="CS976" s="1241"/>
      <c r="CT976" s="1241"/>
      <c r="CU976" s="1241"/>
      <c r="CV976" s="1241"/>
      <c r="CW976" s="1241"/>
      <c r="CX976" s="1241"/>
      <c r="CY976" s="1241"/>
      <c r="CZ976" s="1241"/>
      <c r="DA976" s="1241"/>
      <c r="DB976" s="1241"/>
      <c r="DC976" s="1241"/>
      <c r="DD976" s="1241"/>
      <c r="DE976" s="1241"/>
      <c r="DF976" s="1241"/>
      <c r="DG976" s="1241"/>
      <c r="DH976" s="1241"/>
      <c r="DI976" s="1241"/>
      <c r="DJ976" s="1241"/>
      <c r="DK976" s="1241"/>
      <c r="DL976" s="1241"/>
      <c r="DM976" s="1241"/>
    </row>
    <row r="977" spans="1:117" s="1302" customFormat="1" hidden="1">
      <c r="A977" s="1241"/>
      <c r="B977" s="1572" t="s">
        <v>4276</v>
      </c>
      <c r="C977" s="1562"/>
      <c r="D977" s="1563"/>
      <c r="E977" s="1564"/>
      <c r="F977" s="1565"/>
      <c r="G977" s="1566"/>
      <c r="H977" s="1566" t="s">
        <v>3878</v>
      </c>
      <c r="I977" s="1566">
        <v>33.641548457827369</v>
      </c>
      <c r="J977" s="1566">
        <v>84.363132997309975</v>
      </c>
      <c r="K977" s="1566">
        <v>88.691049052869289</v>
      </c>
      <c r="L977" s="1566">
        <v>93.240991682341615</v>
      </c>
      <c r="M977" s="1566">
        <v>98.02435107881044</v>
      </c>
      <c r="N977" s="1566">
        <v>103.05310176405736</v>
      </c>
      <c r="O977" s="1566">
        <v>53.818193676554728</v>
      </c>
      <c r="P977" s="1241"/>
      <c r="Q977" s="1241"/>
      <c r="R977" s="1241"/>
      <c r="S977" s="1241"/>
      <c r="T977" s="1241"/>
      <c r="U977" s="1241"/>
      <c r="V977" s="1241"/>
      <c r="W977" s="1241"/>
      <c r="X977" s="1241"/>
      <c r="Y977" s="1241"/>
      <c r="Z977" s="1241"/>
      <c r="AA977" s="1241"/>
      <c r="AB977" s="1241"/>
      <c r="AC977" s="1241"/>
      <c r="AD977" s="1241"/>
      <c r="AE977" s="1241"/>
      <c r="AF977" s="1241"/>
      <c r="AG977" s="1241"/>
      <c r="AH977" s="1241"/>
      <c r="AI977" s="1241"/>
      <c r="AJ977" s="1241"/>
      <c r="AK977" s="1241"/>
      <c r="AL977" s="1241"/>
      <c r="AM977" s="1241"/>
      <c r="AN977" s="1241"/>
      <c r="AO977" s="1241"/>
      <c r="AP977" s="1241"/>
      <c r="AQ977" s="1241"/>
      <c r="AR977" s="1241"/>
      <c r="AS977" s="1241"/>
      <c r="AT977" s="1241"/>
      <c r="AU977" s="1241"/>
      <c r="AV977" s="1241"/>
      <c r="AW977" s="1241"/>
      <c r="AX977" s="1241"/>
      <c r="AY977" s="1241"/>
      <c r="AZ977" s="1241"/>
      <c r="BA977" s="1241"/>
      <c r="BB977" s="1241"/>
      <c r="BC977" s="1241"/>
      <c r="BD977" s="1241"/>
      <c r="BE977" s="1241"/>
      <c r="BF977" s="1241"/>
      <c r="BG977" s="1241"/>
      <c r="BH977" s="1241"/>
      <c r="BI977" s="1241"/>
      <c r="BJ977" s="1241"/>
      <c r="BK977" s="1241"/>
      <c r="BL977" s="1241"/>
      <c r="BM977" s="1241"/>
      <c r="BN977" s="1241"/>
      <c r="BO977" s="1241"/>
      <c r="BP977" s="1241"/>
      <c r="BQ977" s="1241"/>
      <c r="BR977" s="1241"/>
      <c r="BS977" s="1241"/>
      <c r="BT977" s="1241"/>
      <c r="BU977" s="1241"/>
      <c r="BV977" s="1241"/>
      <c r="BW977" s="1241"/>
      <c r="BX977" s="1241"/>
      <c r="BY977" s="1241"/>
      <c r="BZ977" s="1241"/>
      <c r="CA977" s="1241"/>
      <c r="CB977" s="1241"/>
      <c r="CC977" s="1241"/>
      <c r="CD977" s="1241"/>
      <c r="CE977" s="1241"/>
      <c r="CF977" s="1241"/>
      <c r="CG977" s="1241"/>
      <c r="CH977" s="1241"/>
      <c r="CI977" s="1241"/>
      <c r="CJ977" s="1241"/>
      <c r="CK977" s="1241"/>
      <c r="CL977" s="1241"/>
      <c r="CM977" s="1241"/>
      <c r="CN977" s="1241"/>
      <c r="CO977" s="1241"/>
      <c r="CP977" s="1241"/>
      <c r="CQ977" s="1241"/>
      <c r="CR977" s="1241"/>
      <c r="CS977" s="1241"/>
      <c r="CT977" s="1241"/>
      <c r="CU977" s="1241"/>
      <c r="CV977" s="1241"/>
      <c r="CW977" s="1241"/>
      <c r="CX977" s="1241"/>
      <c r="CY977" s="1241"/>
      <c r="CZ977" s="1241"/>
      <c r="DA977" s="1241"/>
      <c r="DB977" s="1241"/>
      <c r="DC977" s="1241"/>
      <c r="DD977" s="1241"/>
      <c r="DE977" s="1241"/>
      <c r="DF977" s="1241"/>
      <c r="DG977" s="1241"/>
      <c r="DH977" s="1241"/>
      <c r="DI977" s="1241"/>
      <c r="DJ977" s="1241"/>
      <c r="DK977" s="1241"/>
      <c r="DL977" s="1241"/>
      <c r="DM977" s="1241"/>
    </row>
    <row r="978" spans="1:117" s="1302" customFormat="1" hidden="1">
      <c r="A978" s="1241"/>
      <c r="B978" s="1558"/>
      <c r="C978" s="1559"/>
      <c r="D978" s="1558"/>
      <c r="E978" s="1460"/>
      <c r="F978" s="1540"/>
      <c r="G978" s="1473"/>
      <c r="H978" s="1473"/>
      <c r="I978" s="1473"/>
      <c r="J978" s="1473"/>
      <c r="K978" s="1473"/>
      <c r="L978" s="1473"/>
      <c r="M978" s="1473"/>
      <c r="N978" s="1473"/>
      <c r="O978" s="1540"/>
      <c r="P978" s="1241"/>
      <c r="Q978" s="1241"/>
      <c r="R978" s="1241"/>
      <c r="S978" s="1241"/>
      <c r="T978" s="1241"/>
      <c r="U978" s="1241"/>
      <c r="V978" s="1241"/>
      <c r="W978" s="1241"/>
      <c r="X978" s="1241"/>
      <c r="Y978" s="1241"/>
      <c r="Z978" s="1241"/>
      <c r="AA978" s="1241"/>
      <c r="AB978" s="1241"/>
      <c r="AC978" s="1241"/>
      <c r="AD978" s="1241"/>
      <c r="AE978" s="1241"/>
      <c r="AF978" s="1241"/>
      <c r="AG978" s="1241"/>
      <c r="AH978" s="1241"/>
      <c r="AI978" s="1241"/>
      <c r="AJ978" s="1241"/>
      <c r="AK978" s="1241"/>
      <c r="AL978" s="1241"/>
      <c r="AM978" s="1241"/>
      <c r="AN978" s="1241"/>
      <c r="AO978" s="1241"/>
      <c r="AP978" s="1241"/>
      <c r="AQ978" s="1241"/>
      <c r="AR978" s="1241"/>
      <c r="AS978" s="1241"/>
      <c r="AT978" s="1241"/>
      <c r="AU978" s="1241"/>
      <c r="AV978" s="1241"/>
      <c r="AW978" s="1241"/>
      <c r="AX978" s="1241"/>
      <c r="AY978" s="1241"/>
      <c r="AZ978" s="1241"/>
      <c r="BA978" s="1241"/>
      <c r="BB978" s="1241"/>
      <c r="BC978" s="1241"/>
      <c r="BD978" s="1241"/>
      <c r="BE978" s="1241"/>
      <c r="BF978" s="1241"/>
      <c r="BG978" s="1241"/>
      <c r="BH978" s="1241"/>
      <c r="BI978" s="1241"/>
      <c r="BJ978" s="1241"/>
      <c r="BK978" s="1241"/>
      <c r="BL978" s="1241"/>
      <c r="BM978" s="1241"/>
      <c r="BN978" s="1241"/>
      <c r="BO978" s="1241"/>
      <c r="BP978" s="1241"/>
      <c r="BQ978" s="1241"/>
      <c r="BR978" s="1241"/>
      <c r="BS978" s="1241"/>
      <c r="BT978" s="1241"/>
      <c r="BU978" s="1241"/>
      <c r="BV978" s="1241"/>
      <c r="BW978" s="1241"/>
      <c r="BX978" s="1241"/>
      <c r="BY978" s="1241"/>
      <c r="BZ978" s="1241"/>
      <c r="CA978" s="1241"/>
      <c r="CB978" s="1241"/>
      <c r="CC978" s="1241"/>
      <c r="CD978" s="1241"/>
      <c r="CE978" s="1241"/>
      <c r="CF978" s="1241"/>
      <c r="CG978" s="1241"/>
      <c r="CH978" s="1241"/>
      <c r="CI978" s="1241"/>
      <c r="CJ978" s="1241"/>
      <c r="CK978" s="1241"/>
      <c r="CL978" s="1241"/>
      <c r="CM978" s="1241"/>
      <c r="CN978" s="1241"/>
      <c r="CO978" s="1241"/>
      <c r="CP978" s="1241"/>
      <c r="CQ978" s="1241"/>
      <c r="CR978" s="1241"/>
      <c r="CS978" s="1241"/>
      <c r="CT978" s="1241"/>
      <c r="CU978" s="1241"/>
      <c r="CV978" s="1241"/>
      <c r="CW978" s="1241"/>
      <c r="CX978" s="1241"/>
      <c r="CY978" s="1241"/>
      <c r="CZ978" s="1241"/>
      <c r="DA978" s="1241"/>
      <c r="DB978" s="1241"/>
      <c r="DC978" s="1241"/>
      <c r="DD978" s="1241"/>
      <c r="DE978" s="1241"/>
      <c r="DF978" s="1241"/>
      <c r="DG978" s="1241"/>
      <c r="DH978" s="1241"/>
      <c r="DI978" s="1241"/>
      <c r="DJ978" s="1241"/>
      <c r="DK978" s="1241"/>
      <c r="DL978" s="1241"/>
      <c r="DM978" s="1241"/>
    </row>
    <row r="979" spans="1:117" s="1302" customFormat="1" hidden="1">
      <c r="A979" s="1241"/>
      <c r="B979" s="1558"/>
      <c r="C979" s="1559"/>
      <c r="D979" s="1558"/>
      <c r="E979" s="1460"/>
      <c r="F979" s="1540"/>
      <c r="G979" s="1473"/>
      <c r="H979" s="1473"/>
      <c r="I979" s="1473"/>
      <c r="J979" s="1473"/>
      <c r="K979" s="1473"/>
      <c r="L979" s="1473"/>
      <c r="M979" s="1473"/>
      <c r="N979" s="1473"/>
      <c r="O979" s="1540"/>
      <c r="P979" s="1241"/>
      <c r="Q979" s="1241"/>
      <c r="R979" s="1241"/>
      <c r="S979" s="1241"/>
      <c r="T979" s="1241"/>
      <c r="U979" s="1241"/>
      <c r="V979" s="1241"/>
      <c r="W979" s="1241"/>
      <c r="X979" s="1241"/>
      <c r="Y979" s="1241"/>
      <c r="Z979" s="1241"/>
      <c r="AA979" s="1241"/>
      <c r="AB979" s="1241"/>
      <c r="AC979" s="1241"/>
      <c r="AD979" s="1241"/>
      <c r="AE979" s="1241"/>
      <c r="AF979" s="1241"/>
      <c r="AG979" s="1241"/>
      <c r="AH979" s="1241"/>
      <c r="AI979" s="1241"/>
      <c r="AJ979" s="1241"/>
      <c r="AK979" s="1241"/>
      <c r="AL979" s="1241"/>
      <c r="AM979" s="1241"/>
      <c r="AN979" s="1241"/>
      <c r="AO979" s="1241"/>
      <c r="AP979" s="1241"/>
      <c r="AQ979" s="1241"/>
      <c r="AR979" s="1241"/>
      <c r="AS979" s="1241"/>
      <c r="AT979" s="1241"/>
      <c r="AU979" s="1241"/>
      <c r="AV979" s="1241"/>
      <c r="AW979" s="1241"/>
      <c r="AX979" s="1241"/>
      <c r="AY979" s="1241"/>
      <c r="AZ979" s="1241"/>
      <c r="BA979" s="1241"/>
      <c r="BB979" s="1241"/>
      <c r="BC979" s="1241"/>
      <c r="BD979" s="1241"/>
      <c r="BE979" s="1241"/>
      <c r="BF979" s="1241"/>
      <c r="BG979" s="1241"/>
      <c r="BH979" s="1241"/>
      <c r="BI979" s="1241"/>
      <c r="BJ979" s="1241"/>
      <c r="BK979" s="1241"/>
      <c r="BL979" s="1241"/>
      <c r="BM979" s="1241"/>
      <c r="BN979" s="1241"/>
      <c r="BO979" s="1241"/>
      <c r="BP979" s="1241"/>
      <c r="BQ979" s="1241"/>
      <c r="BR979" s="1241"/>
      <c r="BS979" s="1241"/>
      <c r="BT979" s="1241"/>
      <c r="BU979" s="1241"/>
      <c r="BV979" s="1241"/>
      <c r="BW979" s="1241"/>
      <c r="BX979" s="1241"/>
      <c r="BY979" s="1241"/>
      <c r="BZ979" s="1241"/>
      <c r="CA979" s="1241"/>
      <c r="CB979" s="1241"/>
      <c r="CC979" s="1241"/>
      <c r="CD979" s="1241"/>
      <c r="CE979" s="1241"/>
      <c r="CF979" s="1241"/>
      <c r="CG979" s="1241"/>
      <c r="CH979" s="1241"/>
      <c r="CI979" s="1241"/>
      <c r="CJ979" s="1241"/>
      <c r="CK979" s="1241"/>
      <c r="CL979" s="1241"/>
      <c r="CM979" s="1241"/>
      <c r="CN979" s="1241"/>
      <c r="CO979" s="1241"/>
      <c r="CP979" s="1241"/>
      <c r="CQ979" s="1241"/>
      <c r="CR979" s="1241"/>
      <c r="CS979" s="1241"/>
      <c r="CT979" s="1241"/>
      <c r="CU979" s="1241"/>
      <c r="CV979" s="1241"/>
      <c r="CW979" s="1241"/>
      <c r="CX979" s="1241"/>
      <c r="CY979" s="1241"/>
      <c r="CZ979" s="1241"/>
      <c r="DA979" s="1241"/>
      <c r="DB979" s="1241"/>
      <c r="DC979" s="1241"/>
      <c r="DD979" s="1241"/>
      <c r="DE979" s="1241"/>
      <c r="DF979" s="1241"/>
      <c r="DG979" s="1241"/>
      <c r="DH979" s="1241"/>
      <c r="DI979" s="1241"/>
      <c r="DJ979" s="1241"/>
      <c r="DK979" s="1241"/>
      <c r="DL979" s="1241"/>
      <c r="DM979" s="1241"/>
    </row>
    <row r="980" spans="1:117" s="1302" customFormat="1" hidden="1">
      <c r="A980" s="1241"/>
      <c r="B980" s="1558" t="s">
        <v>4337</v>
      </c>
      <c r="C980" s="1559"/>
      <c r="D980" s="1558"/>
      <c r="E980" s="1460"/>
      <c r="F980" s="1540"/>
      <c r="G980" s="1473"/>
      <c r="H980" s="1473"/>
      <c r="I980" s="1473"/>
      <c r="J980" s="1473"/>
      <c r="K980" s="1473"/>
      <c r="L980" s="1473"/>
      <c r="M980" s="1473"/>
      <c r="N980" s="1473"/>
      <c r="O980" s="1540"/>
      <c r="P980" s="1241"/>
      <c r="Q980" s="1241"/>
      <c r="R980" s="1241"/>
      <c r="S980" s="1241"/>
      <c r="T980" s="1241"/>
      <c r="U980" s="1241"/>
      <c r="V980" s="1241"/>
      <c r="W980" s="1241"/>
      <c r="X980" s="1241"/>
      <c r="Y980" s="1241"/>
      <c r="Z980" s="1241"/>
      <c r="AA980" s="1241"/>
      <c r="AB980" s="1241"/>
      <c r="AC980" s="1241"/>
      <c r="AD980" s="1241"/>
      <c r="AE980" s="1241"/>
      <c r="AF980" s="1241"/>
      <c r="AG980" s="1241"/>
      <c r="AH980" s="1241"/>
      <c r="AI980" s="1241"/>
      <c r="AJ980" s="1241"/>
      <c r="AK980" s="1241"/>
      <c r="AL980" s="1241"/>
      <c r="AM980" s="1241"/>
      <c r="AN980" s="1241"/>
      <c r="AO980" s="1241"/>
      <c r="AP980" s="1241"/>
      <c r="AQ980" s="1241"/>
      <c r="AR980" s="1241"/>
      <c r="AS980" s="1241"/>
      <c r="AT980" s="1241"/>
      <c r="AU980" s="1241"/>
      <c r="AV980" s="1241"/>
      <c r="AW980" s="1241"/>
      <c r="AX980" s="1241"/>
      <c r="AY980" s="1241"/>
      <c r="AZ980" s="1241"/>
      <c r="BA980" s="1241"/>
      <c r="BB980" s="1241"/>
      <c r="BC980" s="1241"/>
      <c r="BD980" s="1241"/>
      <c r="BE980" s="1241"/>
      <c r="BF980" s="1241"/>
      <c r="BG980" s="1241"/>
      <c r="BH980" s="1241"/>
      <c r="BI980" s="1241"/>
      <c r="BJ980" s="1241"/>
      <c r="BK980" s="1241"/>
      <c r="BL980" s="1241"/>
      <c r="BM980" s="1241"/>
      <c r="BN980" s="1241"/>
      <c r="BO980" s="1241"/>
      <c r="BP980" s="1241"/>
      <c r="BQ980" s="1241"/>
      <c r="BR980" s="1241"/>
      <c r="BS980" s="1241"/>
      <c r="BT980" s="1241"/>
      <c r="BU980" s="1241"/>
      <c r="BV980" s="1241"/>
      <c r="BW980" s="1241"/>
      <c r="BX980" s="1241"/>
      <c r="BY980" s="1241"/>
      <c r="BZ980" s="1241"/>
      <c r="CA980" s="1241"/>
      <c r="CB980" s="1241"/>
      <c r="CC980" s="1241"/>
      <c r="CD980" s="1241"/>
      <c r="CE980" s="1241"/>
      <c r="CF980" s="1241"/>
      <c r="CG980" s="1241"/>
      <c r="CH980" s="1241"/>
      <c r="CI980" s="1241"/>
      <c r="CJ980" s="1241"/>
      <c r="CK980" s="1241"/>
      <c r="CL980" s="1241"/>
      <c r="CM980" s="1241"/>
      <c r="CN980" s="1241"/>
      <c r="CO980" s="1241"/>
      <c r="CP980" s="1241"/>
      <c r="CQ980" s="1241"/>
      <c r="CR980" s="1241"/>
      <c r="CS980" s="1241"/>
      <c r="CT980" s="1241"/>
      <c r="CU980" s="1241"/>
      <c r="CV980" s="1241"/>
      <c r="CW980" s="1241"/>
      <c r="CX980" s="1241"/>
      <c r="CY980" s="1241"/>
      <c r="CZ980" s="1241"/>
      <c r="DA980" s="1241"/>
      <c r="DB980" s="1241"/>
      <c r="DC980" s="1241"/>
      <c r="DD980" s="1241"/>
      <c r="DE980" s="1241"/>
      <c r="DF980" s="1241"/>
      <c r="DG980" s="1241"/>
      <c r="DH980" s="1241"/>
      <c r="DI980" s="1241"/>
      <c r="DJ980" s="1241"/>
      <c r="DK980" s="1241"/>
      <c r="DL980" s="1241"/>
      <c r="DM980" s="1241"/>
    </row>
    <row r="981" spans="1:117" s="1302" customFormat="1" hidden="1">
      <c r="A981" s="1241"/>
      <c r="B981" s="1558"/>
      <c r="C981" s="1559"/>
      <c r="D981" s="1558"/>
      <c r="E981" s="1460"/>
      <c r="F981" s="1540"/>
      <c r="G981" s="1473"/>
      <c r="H981" s="1473"/>
      <c r="I981" s="1473"/>
      <c r="J981" s="1473"/>
      <c r="K981" s="1473"/>
      <c r="L981" s="1473"/>
      <c r="M981" s="1473"/>
      <c r="N981" s="1473"/>
      <c r="O981" s="1540"/>
      <c r="P981" s="1241"/>
      <c r="Q981" s="1241"/>
      <c r="R981" s="1241"/>
      <c r="S981" s="1241"/>
      <c r="T981" s="1241"/>
      <c r="U981" s="1241"/>
      <c r="V981" s="1241"/>
      <c r="W981" s="1241"/>
      <c r="X981" s="1241"/>
      <c r="Y981" s="1241"/>
      <c r="Z981" s="1241"/>
      <c r="AA981" s="1241"/>
      <c r="AB981" s="1241"/>
      <c r="AC981" s="1241"/>
      <c r="AD981" s="1241"/>
      <c r="AE981" s="1241"/>
      <c r="AF981" s="1241"/>
      <c r="AG981" s="1241"/>
      <c r="AH981" s="1241"/>
      <c r="AI981" s="1241"/>
      <c r="AJ981" s="1241"/>
      <c r="AK981" s="1241"/>
      <c r="AL981" s="1241"/>
      <c r="AM981" s="1241"/>
      <c r="AN981" s="1241"/>
      <c r="AO981" s="1241"/>
      <c r="AP981" s="1241"/>
      <c r="AQ981" s="1241"/>
      <c r="AR981" s="1241"/>
      <c r="AS981" s="1241"/>
      <c r="AT981" s="1241"/>
      <c r="AU981" s="1241"/>
      <c r="AV981" s="1241"/>
      <c r="AW981" s="1241"/>
      <c r="AX981" s="1241"/>
      <c r="AY981" s="1241"/>
      <c r="AZ981" s="1241"/>
      <c r="BA981" s="1241"/>
      <c r="BB981" s="1241"/>
      <c r="BC981" s="1241"/>
      <c r="BD981" s="1241"/>
      <c r="BE981" s="1241"/>
      <c r="BF981" s="1241"/>
      <c r="BG981" s="1241"/>
      <c r="BH981" s="1241"/>
      <c r="BI981" s="1241"/>
      <c r="BJ981" s="1241"/>
      <c r="BK981" s="1241"/>
      <c r="BL981" s="1241"/>
      <c r="BM981" s="1241"/>
      <c r="BN981" s="1241"/>
      <c r="BO981" s="1241"/>
      <c r="BP981" s="1241"/>
      <c r="BQ981" s="1241"/>
      <c r="BR981" s="1241"/>
      <c r="BS981" s="1241"/>
      <c r="BT981" s="1241"/>
      <c r="BU981" s="1241"/>
      <c r="BV981" s="1241"/>
      <c r="BW981" s="1241"/>
      <c r="BX981" s="1241"/>
      <c r="BY981" s="1241"/>
      <c r="BZ981" s="1241"/>
      <c r="CA981" s="1241"/>
      <c r="CB981" s="1241"/>
      <c r="CC981" s="1241"/>
      <c r="CD981" s="1241"/>
      <c r="CE981" s="1241"/>
      <c r="CF981" s="1241"/>
      <c r="CG981" s="1241"/>
      <c r="CH981" s="1241"/>
      <c r="CI981" s="1241"/>
      <c r="CJ981" s="1241"/>
      <c r="CK981" s="1241"/>
      <c r="CL981" s="1241"/>
      <c r="CM981" s="1241"/>
      <c r="CN981" s="1241"/>
      <c r="CO981" s="1241"/>
      <c r="CP981" s="1241"/>
      <c r="CQ981" s="1241"/>
      <c r="CR981" s="1241"/>
      <c r="CS981" s="1241"/>
      <c r="CT981" s="1241"/>
      <c r="CU981" s="1241"/>
      <c r="CV981" s="1241"/>
      <c r="CW981" s="1241"/>
      <c r="CX981" s="1241"/>
      <c r="CY981" s="1241"/>
      <c r="CZ981" s="1241"/>
      <c r="DA981" s="1241"/>
      <c r="DB981" s="1241"/>
      <c r="DC981" s="1241"/>
      <c r="DD981" s="1241"/>
      <c r="DE981" s="1241"/>
      <c r="DF981" s="1241"/>
      <c r="DG981" s="1241"/>
      <c r="DH981" s="1241"/>
      <c r="DI981" s="1241"/>
      <c r="DJ981" s="1241"/>
      <c r="DK981" s="1241"/>
      <c r="DL981" s="1241"/>
      <c r="DM981" s="1241"/>
    </row>
    <row r="982" spans="1:117" s="1302" customFormat="1" hidden="1">
      <c r="A982" s="1241"/>
      <c r="B982" s="1558" t="s">
        <v>4275</v>
      </c>
      <c r="C982" s="1559"/>
      <c r="D982" s="1558"/>
      <c r="E982" s="1460"/>
      <c r="F982" s="1540"/>
      <c r="G982" s="1473"/>
      <c r="H982" s="1473" t="s">
        <v>3878</v>
      </c>
      <c r="I982" s="1473">
        <v>41.874280200000008</v>
      </c>
      <c r="J982" s="1473">
        <v>41.874280200000008</v>
      </c>
      <c r="K982" s="1473">
        <v>41.874280200000008</v>
      </c>
      <c r="L982" s="1473">
        <v>41.874280200000008</v>
      </c>
      <c r="M982" s="1473">
        <v>41.874280200000008</v>
      </c>
      <c r="N982" s="1473">
        <v>41.874280200000008</v>
      </c>
      <c r="O982" s="1473">
        <v>41.874280200000008</v>
      </c>
      <c r="P982" s="1241"/>
      <c r="Q982" s="1241"/>
      <c r="R982" s="1241"/>
      <c r="S982" s="1241"/>
      <c r="T982" s="1241"/>
      <c r="U982" s="1241"/>
      <c r="V982" s="1241"/>
      <c r="W982" s="1241"/>
      <c r="X982" s="1241"/>
      <c r="Y982" s="1241"/>
      <c r="Z982" s="1241"/>
      <c r="AA982" s="1241"/>
      <c r="AB982" s="1241"/>
      <c r="AC982" s="1241"/>
      <c r="AD982" s="1241"/>
      <c r="AE982" s="1241"/>
      <c r="AF982" s="1241"/>
      <c r="AG982" s="1241"/>
      <c r="AH982" s="1241"/>
      <c r="AI982" s="1241"/>
      <c r="AJ982" s="1241"/>
      <c r="AK982" s="1241"/>
      <c r="AL982" s="1241"/>
      <c r="AM982" s="1241"/>
      <c r="AN982" s="1241"/>
      <c r="AO982" s="1241"/>
      <c r="AP982" s="1241"/>
      <c r="AQ982" s="1241"/>
      <c r="AR982" s="1241"/>
      <c r="AS982" s="1241"/>
      <c r="AT982" s="1241"/>
      <c r="AU982" s="1241"/>
      <c r="AV982" s="1241"/>
      <c r="AW982" s="1241"/>
      <c r="AX982" s="1241"/>
      <c r="AY982" s="1241"/>
      <c r="AZ982" s="1241"/>
      <c r="BA982" s="1241"/>
      <c r="BB982" s="1241"/>
      <c r="BC982" s="1241"/>
      <c r="BD982" s="1241"/>
      <c r="BE982" s="1241"/>
      <c r="BF982" s="1241"/>
      <c r="BG982" s="1241"/>
      <c r="BH982" s="1241"/>
      <c r="BI982" s="1241"/>
      <c r="BJ982" s="1241"/>
      <c r="BK982" s="1241"/>
      <c r="BL982" s="1241"/>
      <c r="BM982" s="1241"/>
      <c r="BN982" s="1241"/>
      <c r="BO982" s="1241"/>
      <c r="BP982" s="1241"/>
      <c r="BQ982" s="1241"/>
      <c r="BR982" s="1241"/>
      <c r="BS982" s="1241"/>
      <c r="BT982" s="1241"/>
      <c r="BU982" s="1241"/>
      <c r="BV982" s="1241"/>
      <c r="BW982" s="1241"/>
      <c r="BX982" s="1241"/>
      <c r="BY982" s="1241"/>
      <c r="BZ982" s="1241"/>
      <c r="CA982" s="1241"/>
      <c r="CB982" s="1241"/>
      <c r="CC982" s="1241"/>
      <c r="CD982" s="1241"/>
      <c r="CE982" s="1241"/>
      <c r="CF982" s="1241"/>
      <c r="CG982" s="1241"/>
      <c r="CH982" s="1241"/>
      <c r="CI982" s="1241"/>
      <c r="CJ982" s="1241"/>
      <c r="CK982" s="1241"/>
      <c r="CL982" s="1241"/>
      <c r="CM982" s="1241"/>
      <c r="CN982" s="1241"/>
      <c r="CO982" s="1241"/>
      <c r="CP982" s="1241"/>
      <c r="CQ982" s="1241"/>
      <c r="CR982" s="1241"/>
      <c r="CS982" s="1241"/>
      <c r="CT982" s="1241"/>
      <c r="CU982" s="1241"/>
      <c r="CV982" s="1241"/>
      <c r="CW982" s="1241"/>
      <c r="CX982" s="1241"/>
      <c r="CY982" s="1241"/>
      <c r="CZ982" s="1241"/>
      <c r="DA982" s="1241"/>
      <c r="DB982" s="1241"/>
      <c r="DC982" s="1241"/>
      <c r="DD982" s="1241"/>
      <c r="DE982" s="1241"/>
      <c r="DF982" s="1241"/>
      <c r="DG982" s="1241"/>
      <c r="DH982" s="1241"/>
      <c r="DI982" s="1241"/>
      <c r="DJ982" s="1241"/>
      <c r="DK982" s="1241"/>
      <c r="DL982" s="1241"/>
      <c r="DM982" s="1241"/>
    </row>
    <row r="983" spans="1:117" s="1302" customFormat="1" hidden="1">
      <c r="A983" s="1241"/>
      <c r="B983" s="1572" t="s">
        <v>4276</v>
      </c>
      <c r="C983" s="1562"/>
      <c r="D983" s="1563"/>
      <c r="E983" s="1564"/>
      <c r="F983" s="1565"/>
      <c r="G983" s="1566"/>
      <c r="H983" s="1566" t="s">
        <v>3878</v>
      </c>
      <c r="I983" s="1566">
        <v>12.615580671685263</v>
      </c>
      <c r="J983" s="1566">
        <v>31.636174873991244</v>
      </c>
      <c r="K983" s="1566">
        <v>33.259143394825983</v>
      </c>
      <c r="L983" s="1566">
        <v>34.965371880878109</v>
      </c>
      <c r="M983" s="1566">
        <v>36.759131654553919</v>
      </c>
      <c r="N983" s="1566">
        <v>38.644913161521515</v>
      </c>
      <c r="O983" s="1566">
        <v>20.181822628708023</v>
      </c>
      <c r="P983" s="1241"/>
      <c r="Q983" s="1241"/>
      <c r="R983" s="1241"/>
      <c r="S983" s="1241"/>
      <c r="T983" s="1241"/>
      <c r="U983" s="1241"/>
      <c r="V983" s="1241"/>
      <c r="W983" s="1241"/>
      <c r="X983" s="1241"/>
      <c r="Y983" s="1241"/>
      <c r="Z983" s="1241"/>
      <c r="AA983" s="1241"/>
      <c r="AB983" s="1241"/>
      <c r="AC983" s="1241"/>
      <c r="AD983" s="1241"/>
      <c r="AE983" s="1241"/>
      <c r="AF983" s="1241"/>
      <c r="AG983" s="1241"/>
      <c r="AH983" s="1241"/>
      <c r="AI983" s="1241"/>
      <c r="AJ983" s="1241"/>
      <c r="AK983" s="1241"/>
      <c r="AL983" s="1241"/>
      <c r="AM983" s="1241"/>
      <c r="AN983" s="1241"/>
      <c r="AO983" s="1241"/>
      <c r="AP983" s="1241"/>
      <c r="AQ983" s="1241"/>
      <c r="AR983" s="1241"/>
      <c r="AS983" s="1241"/>
      <c r="AT983" s="1241"/>
      <c r="AU983" s="1241"/>
      <c r="AV983" s="1241"/>
      <c r="AW983" s="1241"/>
      <c r="AX983" s="1241"/>
      <c r="AY983" s="1241"/>
      <c r="AZ983" s="1241"/>
      <c r="BA983" s="1241"/>
      <c r="BB983" s="1241"/>
      <c r="BC983" s="1241"/>
      <c r="BD983" s="1241"/>
      <c r="BE983" s="1241"/>
      <c r="BF983" s="1241"/>
      <c r="BG983" s="1241"/>
      <c r="BH983" s="1241"/>
      <c r="BI983" s="1241"/>
      <c r="BJ983" s="1241"/>
      <c r="BK983" s="1241"/>
      <c r="BL983" s="1241"/>
      <c r="BM983" s="1241"/>
      <c r="BN983" s="1241"/>
      <c r="BO983" s="1241"/>
      <c r="BP983" s="1241"/>
      <c r="BQ983" s="1241"/>
      <c r="BR983" s="1241"/>
      <c r="BS983" s="1241"/>
      <c r="BT983" s="1241"/>
      <c r="BU983" s="1241"/>
      <c r="BV983" s="1241"/>
      <c r="BW983" s="1241"/>
      <c r="BX983" s="1241"/>
      <c r="BY983" s="1241"/>
      <c r="BZ983" s="1241"/>
      <c r="CA983" s="1241"/>
      <c r="CB983" s="1241"/>
      <c r="CC983" s="1241"/>
      <c r="CD983" s="1241"/>
      <c r="CE983" s="1241"/>
      <c r="CF983" s="1241"/>
      <c r="CG983" s="1241"/>
      <c r="CH983" s="1241"/>
      <c r="CI983" s="1241"/>
      <c r="CJ983" s="1241"/>
      <c r="CK983" s="1241"/>
      <c r="CL983" s="1241"/>
      <c r="CM983" s="1241"/>
      <c r="CN983" s="1241"/>
      <c r="CO983" s="1241"/>
      <c r="CP983" s="1241"/>
      <c r="CQ983" s="1241"/>
      <c r="CR983" s="1241"/>
      <c r="CS983" s="1241"/>
      <c r="CT983" s="1241"/>
      <c r="CU983" s="1241"/>
      <c r="CV983" s="1241"/>
      <c r="CW983" s="1241"/>
      <c r="CX983" s="1241"/>
      <c r="CY983" s="1241"/>
      <c r="CZ983" s="1241"/>
      <c r="DA983" s="1241"/>
      <c r="DB983" s="1241"/>
      <c r="DC983" s="1241"/>
      <c r="DD983" s="1241"/>
      <c r="DE983" s="1241"/>
      <c r="DF983" s="1241"/>
      <c r="DG983" s="1241"/>
      <c r="DH983" s="1241"/>
      <c r="DI983" s="1241"/>
      <c r="DJ983" s="1241"/>
      <c r="DK983" s="1241"/>
      <c r="DL983" s="1241"/>
      <c r="DM983" s="1241"/>
    </row>
    <row r="984" spans="1:117" s="1302" customFormat="1" hidden="1">
      <c r="A984" s="1241"/>
      <c r="B984" s="1459"/>
      <c r="C984" s="1241"/>
      <c r="D984" s="1459"/>
      <c r="E984" s="1460"/>
      <c r="F984" s="1540"/>
      <c r="G984" s="1473"/>
      <c r="H984" s="1473"/>
      <c r="I984" s="1473"/>
      <c r="J984" s="1473"/>
      <c r="K984" s="1473"/>
      <c r="L984" s="1473"/>
      <c r="M984" s="1473"/>
      <c r="N984" s="1473"/>
      <c r="O984" s="1540"/>
      <c r="P984" s="1241"/>
      <c r="Q984" s="1241"/>
      <c r="R984" s="1241"/>
      <c r="S984" s="1241"/>
      <c r="T984" s="1241"/>
      <c r="U984" s="1241"/>
      <c r="V984" s="1241"/>
      <c r="W984" s="1241"/>
      <c r="X984" s="1241"/>
      <c r="Y984" s="1241"/>
      <c r="Z984" s="1241"/>
      <c r="AA984" s="1241"/>
      <c r="AB984" s="1241"/>
      <c r="AC984" s="1241"/>
      <c r="AD984" s="1241"/>
      <c r="AE984" s="1241"/>
      <c r="AF984" s="1241"/>
      <c r="AG984" s="1241"/>
      <c r="AH984" s="1241"/>
      <c r="AI984" s="1241"/>
      <c r="AJ984" s="1241"/>
      <c r="AK984" s="1241"/>
      <c r="AL984" s="1241"/>
      <c r="AM984" s="1241"/>
      <c r="AN984" s="1241"/>
      <c r="AO984" s="1241"/>
      <c r="AP984" s="1241"/>
      <c r="AQ984" s="1241"/>
      <c r="AR984" s="1241"/>
      <c r="AS984" s="1241"/>
      <c r="AT984" s="1241"/>
      <c r="AU984" s="1241"/>
      <c r="AV984" s="1241"/>
      <c r="AW984" s="1241"/>
      <c r="AX984" s="1241"/>
      <c r="AY984" s="1241"/>
      <c r="AZ984" s="1241"/>
      <c r="BA984" s="1241"/>
      <c r="BB984" s="1241"/>
      <c r="BC984" s="1241"/>
      <c r="BD984" s="1241"/>
      <c r="BE984" s="1241"/>
      <c r="BF984" s="1241"/>
      <c r="BG984" s="1241"/>
      <c r="BH984" s="1241"/>
      <c r="BI984" s="1241"/>
      <c r="BJ984" s="1241"/>
      <c r="BK984" s="1241"/>
      <c r="BL984" s="1241"/>
      <c r="BM984" s="1241"/>
      <c r="BN984" s="1241"/>
      <c r="BO984" s="1241"/>
      <c r="BP984" s="1241"/>
      <c r="BQ984" s="1241"/>
      <c r="BR984" s="1241"/>
      <c r="BS984" s="1241"/>
      <c r="BT984" s="1241"/>
      <c r="BU984" s="1241"/>
      <c r="BV984" s="1241"/>
      <c r="BW984" s="1241"/>
      <c r="BX984" s="1241"/>
      <c r="BY984" s="1241"/>
      <c r="BZ984" s="1241"/>
      <c r="CA984" s="1241"/>
      <c r="CB984" s="1241"/>
      <c r="CC984" s="1241"/>
      <c r="CD984" s="1241"/>
      <c r="CE984" s="1241"/>
      <c r="CF984" s="1241"/>
      <c r="CG984" s="1241"/>
      <c r="CH984" s="1241"/>
      <c r="CI984" s="1241"/>
      <c r="CJ984" s="1241"/>
      <c r="CK984" s="1241"/>
      <c r="CL984" s="1241"/>
      <c r="CM984" s="1241"/>
      <c r="CN984" s="1241"/>
      <c r="CO984" s="1241"/>
      <c r="CP984" s="1241"/>
      <c r="CQ984" s="1241"/>
      <c r="CR984" s="1241"/>
      <c r="CS984" s="1241"/>
      <c r="CT984" s="1241"/>
      <c r="CU984" s="1241"/>
      <c r="CV984" s="1241"/>
      <c r="CW984" s="1241"/>
      <c r="CX984" s="1241"/>
      <c r="CY984" s="1241"/>
      <c r="CZ984" s="1241"/>
      <c r="DA984" s="1241"/>
      <c r="DB984" s="1241"/>
      <c r="DC984" s="1241"/>
      <c r="DD984" s="1241"/>
      <c r="DE984" s="1241"/>
      <c r="DF984" s="1241"/>
      <c r="DG984" s="1241"/>
      <c r="DH984" s="1241"/>
      <c r="DI984" s="1241"/>
      <c r="DJ984" s="1241"/>
      <c r="DK984" s="1241"/>
      <c r="DL984" s="1241"/>
      <c r="DM984" s="1241"/>
    </row>
    <row r="985" spans="1:117" s="1302" customFormat="1">
      <c r="A985" s="1459" t="s">
        <v>4279</v>
      </c>
      <c r="B985" s="1459"/>
      <c r="C985" s="1466" t="s">
        <v>4280</v>
      </c>
      <c r="D985" s="1459"/>
      <c r="E985" s="1460"/>
      <c r="F985" s="1574"/>
      <c r="G985" s="1473"/>
      <c r="H985" s="1473"/>
      <c r="I985" s="1473"/>
      <c r="J985" s="1473"/>
      <c r="K985" s="1473"/>
      <c r="L985" s="1473"/>
      <c r="M985" s="1473"/>
      <c r="N985" s="1473"/>
      <c r="O985" s="1575"/>
      <c r="P985" s="1241"/>
      <c r="Q985" s="1241"/>
      <c r="R985" s="1241"/>
      <c r="S985" s="1241"/>
      <c r="T985" s="1241"/>
      <c r="U985" s="1241"/>
      <c r="V985" s="1241"/>
      <c r="W985" s="1241"/>
      <c r="X985" s="1241"/>
      <c r="Y985" s="1241"/>
      <c r="Z985" s="1241"/>
      <c r="AA985" s="1241"/>
      <c r="AB985" s="1241"/>
      <c r="AC985" s="1241"/>
      <c r="AD985" s="1241"/>
      <c r="AE985" s="1241"/>
      <c r="AF985" s="1241"/>
      <c r="AG985" s="1241"/>
      <c r="AH985" s="1241"/>
      <c r="AI985" s="1241"/>
      <c r="AJ985" s="1241"/>
      <c r="AK985" s="1241"/>
      <c r="AL985" s="1241"/>
      <c r="AM985" s="1241"/>
      <c r="AN985" s="1241"/>
      <c r="AO985" s="1241"/>
      <c r="AP985" s="1241"/>
      <c r="AQ985" s="1241"/>
      <c r="AR985" s="1241"/>
      <c r="AS985" s="1241"/>
      <c r="AT985" s="1241"/>
      <c r="AU985" s="1241"/>
      <c r="AV985" s="1241"/>
      <c r="AW985" s="1241"/>
      <c r="AX985" s="1241"/>
      <c r="AY985" s="1241"/>
      <c r="AZ985" s="1241"/>
      <c r="BA985" s="1241"/>
      <c r="BB985" s="1241"/>
      <c r="BC985" s="1241"/>
      <c r="BD985" s="1241"/>
      <c r="BE985" s="1241"/>
      <c r="BF985" s="1241"/>
      <c r="BG985" s="1241"/>
      <c r="BH985" s="1241"/>
      <c r="BI985" s="1241"/>
      <c r="BJ985" s="1241"/>
      <c r="BK985" s="1241"/>
      <c r="BL985" s="1241"/>
      <c r="BM985" s="1241"/>
      <c r="BN985" s="1241"/>
      <c r="BO985" s="1241"/>
      <c r="BP985" s="1241"/>
      <c r="BQ985" s="1241"/>
      <c r="BR985" s="1241"/>
      <c r="BS985" s="1241"/>
      <c r="BT985" s="1241"/>
      <c r="BU985" s="1241"/>
      <c r="BV985" s="1241"/>
      <c r="BW985" s="1241"/>
      <c r="BX985" s="1241"/>
      <c r="BY985" s="1241"/>
      <c r="BZ985" s="1241"/>
      <c r="CA985" s="1241"/>
      <c r="CB985" s="1241"/>
      <c r="CC985" s="1241"/>
      <c r="CD985" s="1241"/>
      <c r="CE985" s="1241"/>
      <c r="CF985" s="1241"/>
      <c r="CG985" s="1241"/>
      <c r="CH985" s="1241"/>
      <c r="CI985" s="1241"/>
      <c r="CJ985" s="1241"/>
      <c r="CK985" s="1241"/>
      <c r="CL985" s="1241"/>
      <c r="CM985" s="1241"/>
      <c r="CN985" s="1241"/>
      <c r="CO985" s="1241"/>
      <c r="CP985" s="1241"/>
      <c r="CQ985" s="1241"/>
      <c r="CR985" s="1241"/>
      <c r="CS985" s="1241"/>
      <c r="CT985" s="1241"/>
      <c r="CU985" s="1241"/>
      <c r="CV985" s="1241"/>
      <c r="CW985" s="1241"/>
      <c r="CX985" s="1241"/>
      <c r="CY985" s="1241"/>
      <c r="CZ985" s="1241"/>
      <c r="DA985" s="1241"/>
      <c r="DB985" s="1241"/>
      <c r="DC985" s="1241"/>
      <c r="DD985" s="1241"/>
      <c r="DE985" s="1241"/>
      <c r="DF985" s="1241"/>
      <c r="DG985" s="1241"/>
      <c r="DH985" s="1241"/>
      <c r="DI985" s="1241"/>
      <c r="DJ985" s="1241"/>
      <c r="DK985" s="1241"/>
      <c r="DL985" s="1241"/>
      <c r="DM985" s="1241"/>
    </row>
    <row r="986" spans="1:117" s="1302" customFormat="1">
      <c r="A986" s="1241"/>
      <c r="B986" s="1508" t="s">
        <v>4032</v>
      </c>
      <c r="C986" s="1241" t="s">
        <v>4033</v>
      </c>
      <c r="D986" s="1241"/>
      <c r="E986" s="1509" t="s">
        <v>420</v>
      </c>
      <c r="F986" s="1470"/>
      <c r="G986" s="1471"/>
      <c r="H986" s="1471">
        <v>3.3515999999999999</v>
      </c>
      <c r="I986" s="1471">
        <v>3.4700027361037389</v>
      </c>
      <c r="J986" s="1471">
        <v>3.7811567922881797</v>
      </c>
      <c r="K986" s="1471">
        <v>4.1151035587922014</v>
      </c>
      <c r="L986" s="1471">
        <v>4.4733627208180335</v>
      </c>
      <c r="M986" s="1471">
        <v>4.8575499006473182</v>
      </c>
      <c r="N986" s="1471">
        <v>5.269382501482327</v>
      </c>
      <c r="O986" s="1471">
        <v>3.9786945552971287</v>
      </c>
      <c r="P986" s="1241"/>
      <c r="Q986" s="1241"/>
      <c r="R986" s="1241"/>
      <c r="S986" s="1241"/>
      <c r="T986" s="1241"/>
      <c r="U986" s="1241"/>
      <c r="V986" s="1241"/>
      <c r="W986" s="1241"/>
      <c r="X986" s="1241"/>
      <c r="Y986" s="1241"/>
      <c r="Z986" s="1241"/>
      <c r="AA986" s="1241"/>
      <c r="AB986" s="1241"/>
      <c r="AC986" s="1241"/>
      <c r="AD986" s="1241"/>
      <c r="AE986" s="1241"/>
      <c r="AF986" s="1241"/>
      <c r="AG986" s="1241"/>
      <c r="AH986" s="1241"/>
      <c r="AI986" s="1241"/>
      <c r="AJ986" s="1241"/>
      <c r="AK986" s="1241"/>
      <c r="AL986" s="1241"/>
      <c r="AM986" s="1241"/>
      <c r="AN986" s="1241"/>
      <c r="AO986" s="1241"/>
      <c r="AP986" s="1241"/>
      <c r="AQ986" s="1241"/>
      <c r="AR986" s="1241"/>
      <c r="AS986" s="1241"/>
      <c r="AT986" s="1241"/>
      <c r="AU986" s="1241"/>
      <c r="AV986" s="1241"/>
      <c r="AW986" s="1241"/>
      <c r="AX986" s="1241"/>
      <c r="AY986" s="1241"/>
      <c r="AZ986" s="1241"/>
      <c r="BA986" s="1241"/>
      <c r="BB986" s="1241"/>
      <c r="BC986" s="1241"/>
      <c r="BD986" s="1241"/>
      <c r="BE986" s="1241"/>
      <c r="BF986" s="1241"/>
      <c r="BG986" s="1241"/>
      <c r="BH986" s="1241"/>
      <c r="BI986" s="1241"/>
      <c r="BJ986" s="1241"/>
      <c r="BK986" s="1241"/>
      <c r="BL986" s="1241"/>
      <c r="BM986" s="1241"/>
      <c r="BN986" s="1241"/>
      <c r="BO986" s="1241"/>
      <c r="BP986" s="1241"/>
      <c r="BQ986" s="1241"/>
      <c r="BR986" s="1241"/>
      <c r="BS986" s="1241"/>
      <c r="BT986" s="1241"/>
      <c r="BU986" s="1241"/>
      <c r="BV986" s="1241"/>
      <c r="BW986" s="1241"/>
      <c r="BX986" s="1241"/>
      <c r="BY986" s="1241"/>
      <c r="BZ986" s="1241"/>
      <c r="CA986" s="1241"/>
      <c r="CB986" s="1241"/>
      <c r="CC986" s="1241"/>
      <c r="CD986" s="1241"/>
      <c r="CE986" s="1241"/>
      <c r="CF986" s="1241"/>
      <c r="CG986" s="1241"/>
      <c r="CH986" s="1241"/>
      <c r="CI986" s="1241"/>
      <c r="CJ986" s="1241"/>
      <c r="CK986" s="1241"/>
      <c r="CL986" s="1241"/>
      <c r="CM986" s="1241"/>
      <c r="CN986" s="1241"/>
      <c r="CO986" s="1241"/>
      <c r="CP986" s="1241"/>
      <c r="CQ986" s="1241"/>
      <c r="CR986" s="1241"/>
      <c r="CS986" s="1241"/>
      <c r="CT986" s="1241"/>
      <c r="CU986" s="1241"/>
      <c r="CV986" s="1241"/>
      <c r="CW986" s="1241"/>
      <c r="CX986" s="1241"/>
      <c r="CY986" s="1241"/>
      <c r="CZ986" s="1241"/>
      <c r="DA986" s="1241"/>
      <c r="DB986" s="1241"/>
      <c r="DC986" s="1241"/>
      <c r="DD986" s="1241"/>
      <c r="DE986" s="1241"/>
      <c r="DF986" s="1241"/>
      <c r="DG986" s="1241"/>
      <c r="DH986" s="1241"/>
      <c r="DI986" s="1241"/>
      <c r="DJ986" s="1241"/>
      <c r="DK986" s="1241"/>
      <c r="DL986" s="1241"/>
      <c r="DM986" s="1241"/>
    </row>
    <row r="987" spans="1:117" s="1302" customFormat="1">
      <c r="A987" s="1241"/>
      <c r="B987" s="1508" t="s">
        <v>3997</v>
      </c>
      <c r="C987" s="1241" t="s">
        <v>3998</v>
      </c>
      <c r="D987" s="1241"/>
      <c r="E987" s="1509" t="s">
        <v>420</v>
      </c>
      <c r="F987" s="1470"/>
      <c r="G987" s="1471"/>
      <c r="H987" s="1471">
        <v>9.5185439999999986</v>
      </c>
      <c r="I987" s="1471">
        <v>9.6450878971409022</v>
      </c>
      <c r="J987" s="1471">
        <v>9.9668097700948302</v>
      </c>
      <c r="K987" s="1471">
        <v>10.296157067508654</v>
      </c>
      <c r="L987" s="1471">
        <v>10.633065467312866</v>
      </c>
      <c r="M987" s="1471">
        <v>10.977443979297252</v>
      </c>
      <c r="N987" s="1471">
        <v>11.346736986525279</v>
      </c>
      <c r="O987" s="1471">
        <v>10.163506643324528</v>
      </c>
      <c r="P987" s="1241"/>
      <c r="Q987" s="1241"/>
      <c r="R987" s="1241"/>
      <c r="S987" s="1241"/>
      <c r="T987" s="1241"/>
      <c r="U987" s="1241"/>
      <c r="V987" s="1241"/>
      <c r="W987" s="1241"/>
      <c r="X987" s="1241"/>
      <c r="Y987" s="1241"/>
      <c r="Z987" s="1241"/>
      <c r="AA987" s="1241"/>
      <c r="AB987" s="1241"/>
      <c r="AC987" s="1241"/>
      <c r="AD987" s="1241"/>
      <c r="AE987" s="1241"/>
      <c r="AF987" s="1241"/>
      <c r="AG987" s="1241"/>
      <c r="AH987" s="1241"/>
      <c r="AI987" s="1241"/>
      <c r="AJ987" s="1241"/>
      <c r="AK987" s="1241"/>
      <c r="AL987" s="1241"/>
      <c r="AM987" s="1241"/>
      <c r="AN987" s="1241"/>
      <c r="AO987" s="1241"/>
      <c r="AP987" s="1241"/>
      <c r="AQ987" s="1241"/>
      <c r="AR987" s="1241"/>
      <c r="AS987" s="1241"/>
      <c r="AT987" s="1241"/>
      <c r="AU987" s="1241"/>
      <c r="AV987" s="1241"/>
      <c r="AW987" s="1241"/>
      <c r="AX987" s="1241"/>
      <c r="AY987" s="1241"/>
      <c r="AZ987" s="1241"/>
      <c r="BA987" s="1241"/>
      <c r="BB987" s="1241"/>
      <c r="BC987" s="1241"/>
      <c r="BD987" s="1241"/>
      <c r="BE987" s="1241"/>
      <c r="BF987" s="1241"/>
      <c r="BG987" s="1241"/>
      <c r="BH987" s="1241"/>
      <c r="BI987" s="1241"/>
      <c r="BJ987" s="1241"/>
      <c r="BK987" s="1241"/>
      <c r="BL987" s="1241"/>
      <c r="BM987" s="1241"/>
      <c r="BN987" s="1241"/>
      <c r="BO987" s="1241"/>
      <c r="BP987" s="1241"/>
      <c r="BQ987" s="1241"/>
      <c r="BR987" s="1241"/>
      <c r="BS987" s="1241"/>
      <c r="BT987" s="1241"/>
      <c r="BU987" s="1241"/>
      <c r="BV987" s="1241"/>
      <c r="BW987" s="1241"/>
      <c r="BX987" s="1241"/>
      <c r="BY987" s="1241"/>
      <c r="BZ987" s="1241"/>
      <c r="CA987" s="1241"/>
      <c r="CB987" s="1241"/>
      <c r="CC987" s="1241"/>
      <c r="CD987" s="1241"/>
      <c r="CE987" s="1241"/>
      <c r="CF987" s="1241"/>
      <c r="CG987" s="1241"/>
      <c r="CH987" s="1241"/>
      <c r="CI987" s="1241"/>
      <c r="CJ987" s="1241"/>
      <c r="CK987" s="1241"/>
      <c r="CL987" s="1241"/>
      <c r="CM987" s="1241"/>
      <c r="CN987" s="1241"/>
      <c r="CO987" s="1241"/>
      <c r="CP987" s="1241"/>
      <c r="CQ987" s="1241"/>
      <c r="CR987" s="1241"/>
      <c r="CS987" s="1241"/>
      <c r="CT987" s="1241"/>
      <c r="CU987" s="1241"/>
      <c r="CV987" s="1241"/>
      <c r="CW987" s="1241"/>
      <c r="CX987" s="1241"/>
      <c r="CY987" s="1241"/>
      <c r="CZ987" s="1241"/>
      <c r="DA987" s="1241"/>
      <c r="DB987" s="1241"/>
      <c r="DC987" s="1241"/>
      <c r="DD987" s="1241"/>
      <c r="DE987" s="1241"/>
      <c r="DF987" s="1241"/>
      <c r="DG987" s="1241"/>
      <c r="DH987" s="1241"/>
      <c r="DI987" s="1241"/>
      <c r="DJ987" s="1241"/>
      <c r="DK987" s="1241"/>
      <c r="DL987" s="1241"/>
      <c r="DM987" s="1241"/>
    </row>
    <row r="988" spans="1:117" s="1302" customFormat="1">
      <c r="A988" s="1241"/>
      <c r="B988" s="1508" t="s">
        <v>3999</v>
      </c>
      <c r="C988" s="1241" t="s">
        <v>4000</v>
      </c>
      <c r="D988" s="1241"/>
      <c r="E988" s="1509" t="s">
        <v>420</v>
      </c>
      <c r="F988" s="1470"/>
      <c r="G988" s="1471"/>
      <c r="H988" s="1471">
        <v>0.13406399999999999</v>
      </c>
      <c r="I988" s="1471">
        <v>0.13677383047416197</v>
      </c>
      <c r="J988" s="1471">
        <v>0.14379046956588853</v>
      </c>
      <c r="K988" s="1471">
        <v>0.15116706950665232</v>
      </c>
      <c r="L988" s="1471">
        <v>0.15892209666064067</v>
      </c>
      <c r="M988" s="1471">
        <v>0.16707496473564024</v>
      </c>
      <c r="N988" s="1471">
        <v>0.17564608338274426</v>
      </c>
      <c r="O988" s="1471">
        <v>0.1481720730938241</v>
      </c>
      <c r="P988" s="1241"/>
      <c r="Q988" s="1241"/>
      <c r="R988" s="1241"/>
      <c r="S988" s="1241"/>
      <c r="T988" s="1241"/>
      <c r="U988" s="1241"/>
      <c r="V988" s="1241"/>
      <c r="W988" s="1241"/>
      <c r="X988" s="1241"/>
      <c r="Y988" s="1241"/>
      <c r="Z988" s="1241"/>
      <c r="AA988" s="1241"/>
      <c r="AB988" s="1241"/>
      <c r="AC988" s="1241"/>
      <c r="AD988" s="1241"/>
      <c r="AE988" s="1241"/>
      <c r="AF988" s="1241"/>
      <c r="AG988" s="1241"/>
      <c r="AH988" s="1241"/>
      <c r="AI988" s="1241"/>
      <c r="AJ988" s="1241"/>
      <c r="AK988" s="1241"/>
      <c r="AL988" s="1241"/>
      <c r="AM988" s="1241"/>
      <c r="AN988" s="1241"/>
      <c r="AO988" s="1241"/>
      <c r="AP988" s="1241"/>
      <c r="AQ988" s="1241"/>
      <c r="AR988" s="1241"/>
      <c r="AS988" s="1241"/>
      <c r="AT988" s="1241"/>
      <c r="AU988" s="1241"/>
      <c r="AV988" s="1241"/>
      <c r="AW988" s="1241"/>
      <c r="AX988" s="1241"/>
      <c r="AY988" s="1241"/>
      <c r="AZ988" s="1241"/>
      <c r="BA988" s="1241"/>
      <c r="BB988" s="1241"/>
      <c r="BC988" s="1241"/>
      <c r="BD988" s="1241"/>
      <c r="BE988" s="1241"/>
      <c r="BF988" s="1241"/>
      <c r="BG988" s="1241"/>
      <c r="BH988" s="1241"/>
      <c r="BI988" s="1241"/>
      <c r="BJ988" s="1241"/>
      <c r="BK988" s="1241"/>
      <c r="BL988" s="1241"/>
      <c r="BM988" s="1241"/>
      <c r="BN988" s="1241"/>
      <c r="BO988" s="1241"/>
      <c r="BP988" s="1241"/>
      <c r="BQ988" s="1241"/>
      <c r="BR988" s="1241"/>
      <c r="BS988" s="1241"/>
      <c r="BT988" s="1241"/>
      <c r="BU988" s="1241"/>
      <c r="BV988" s="1241"/>
      <c r="BW988" s="1241"/>
      <c r="BX988" s="1241"/>
      <c r="BY988" s="1241"/>
      <c r="BZ988" s="1241"/>
      <c r="CA988" s="1241"/>
      <c r="CB988" s="1241"/>
      <c r="CC988" s="1241"/>
      <c r="CD988" s="1241"/>
      <c r="CE988" s="1241"/>
      <c r="CF988" s="1241"/>
      <c r="CG988" s="1241"/>
      <c r="CH988" s="1241"/>
      <c r="CI988" s="1241"/>
      <c r="CJ988" s="1241"/>
      <c r="CK988" s="1241"/>
      <c r="CL988" s="1241"/>
      <c r="CM988" s="1241"/>
      <c r="CN988" s="1241"/>
      <c r="CO988" s="1241"/>
      <c r="CP988" s="1241"/>
      <c r="CQ988" s="1241"/>
      <c r="CR988" s="1241"/>
      <c r="CS988" s="1241"/>
      <c r="CT988" s="1241"/>
      <c r="CU988" s="1241"/>
      <c r="CV988" s="1241"/>
      <c r="CW988" s="1241"/>
      <c r="CX988" s="1241"/>
      <c r="CY988" s="1241"/>
      <c r="CZ988" s="1241"/>
      <c r="DA988" s="1241"/>
      <c r="DB988" s="1241"/>
      <c r="DC988" s="1241"/>
      <c r="DD988" s="1241"/>
      <c r="DE988" s="1241"/>
      <c r="DF988" s="1241"/>
      <c r="DG988" s="1241"/>
      <c r="DH988" s="1241"/>
      <c r="DI988" s="1241"/>
      <c r="DJ988" s="1241"/>
      <c r="DK988" s="1241"/>
      <c r="DL988" s="1241"/>
      <c r="DM988" s="1241"/>
    </row>
    <row r="989" spans="1:117" s="1302" customFormat="1">
      <c r="A989" s="1241"/>
      <c r="B989" s="1508" t="s">
        <v>4001</v>
      </c>
      <c r="C989" s="1241" t="s">
        <v>4002</v>
      </c>
      <c r="D989" s="1241"/>
      <c r="E989" s="1509" t="s">
        <v>420</v>
      </c>
      <c r="F989" s="1576"/>
      <c r="G989" s="1577"/>
      <c r="H989" s="1541">
        <v>0.40219199999999999</v>
      </c>
      <c r="I989" s="1541">
        <v>0.42551858369739276</v>
      </c>
      <c r="J989" s="1471">
        <v>0.48728992463995552</v>
      </c>
      <c r="K989" s="1471">
        <v>0.55427925485772511</v>
      </c>
      <c r="L989" s="1471">
        <v>0.62685938127252694</v>
      </c>
      <c r="M989" s="1471">
        <v>0.70542762888381427</v>
      </c>
      <c r="N989" s="1471">
        <v>0.79040737522234905</v>
      </c>
      <c r="O989" s="1471">
        <v>0.52683403766693016</v>
      </c>
      <c r="P989" s="1241"/>
      <c r="Q989" s="1241"/>
      <c r="R989" s="1241"/>
      <c r="S989" s="1241"/>
      <c r="T989" s="1241"/>
      <c r="U989" s="1241"/>
      <c r="V989" s="1241"/>
      <c r="W989" s="1241"/>
      <c r="X989" s="1241"/>
      <c r="Y989" s="1241"/>
      <c r="Z989" s="1241"/>
      <c r="AA989" s="1241"/>
      <c r="AB989" s="1241"/>
      <c r="AC989" s="1241"/>
      <c r="AD989" s="1241"/>
      <c r="AE989" s="1241"/>
      <c r="AF989" s="1241"/>
      <c r="AG989" s="1241"/>
      <c r="AH989" s="1241"/>
      <c r="AI989" s="1241"/>
      <c r="AJ989" s="1241"/>
      <c r="AK989" s="1241"/>
      <c r="AL989" s="1241"/>
      <c r="AM989" s="1241"/>
      <c r="AN989" s="1241"/>
      <c r="AO989" s="1241"/>
      <c r="AP989" s="1241"/>
      <c r="AQ989" s="1241"/>
      <c r="AR989" s="1241"/>
      <c r="AS989" s="1241"/>
      <c r="AT989" s="1241"/>
      <c r="AU989" s="1241"/>
      <c r="AV989" s="1241"/>
      <c r="AW989" s="1241"/>
      <c r="AX989" s="1241"/>
      <c r="AY989" s="1241"/>
      <c r="AZ989" s="1241"/>
      <c r="BA989" s="1241"/>
      <c r="BB989" s="1241"/>
      <c r="BC989" s="1241"/>
      <c r="BD989" s="1241"/>
      <c r="BE989" s="1241"/>
      <c r="BF989" s="1241"/>
      <c r="BG989" s="1241"/>
      <c r="BH989" s="1241"/>
      <c r="BI989" s="1241"/>
      <c r="BJ989" s="1241"/>
      <c r="BK989" s="1241"/>
      <c r="BL989" s="1241"/>
      <c r="BM989" s="1241"/>
      <c r="BN989" s="1241"/>
      <c r="BO989" s="1241"/>
      <c r="BP989" s="1241"/>
      <c r="BQ989" s="1241"/>
      <c r="BR989" s="1241"/>
      <c r="BS989" s="1241"/>
      <c r="BT989" s="1241"/>
      <c r="BU989" s="1241"/>
      <c r="BV989" s="1241"/>
      <c r="BW989" s="1241"/>
      <c r="BX989" s="1241"/>
      <c r="BY989" s="1241"/>
      <c r="BZ989" s="1241"/>
      <c r="CA989" s="1241"/>
      <c r="CB989" s="1241"/>
      <c r="CC989" s="1241"/>
      <c r="CD989" s="1241"/>
      <c r="CE989" s="1241"/>
      <c r="CF989" s="1241"/>
      <c r="CG989" s="1241"/>
      <c r="CH989" s="1241"/>
      <c r="CI989" s="1241"/>
      <c r="CJ989" s="1241"/>
      <c r="CK989" s="1241"/>
      <c r="CL989" s="1241"/>
      <c r="CM989" s="1241"/>
      <c r="CN989" s="1241"/>
      <c r="CO989" s="1241"/>
      <c r="CP989" s="1241"/>
      <c r="CQ989" s="1241"/>
      <c r="CR989" s="1241"/>
      <c r="CS989" s="1241"/>
      <c r="CT989" s="1241"/>
      <c r="CU989" s="1241"/>
      <c r="CV989" s="1241"/>
      <c r="CW989" s="1241"/>
      <c r="CX989" s="1241"/>
      <c r="CY989" s="1241"/>
      <c r="CZ989" s="1241"/>
      <c r="DA989" s="1241"/>
      <c r="DB989" s="1241"/>
      <c r="DC989" s="1241"/>
      <c r="DD989" s="1241"/>
      <c r="DE989" s="1241"/>
      <c r="DF989" s="1241"/>
      <c r="DG989" s="1241"/>
      <c r="DH989" s="1241"/>
      <c r="DI989" s="1241"/>
      <c r="DJ989" s="1241"/>
      <c r="DK989" s="1241"/>
      <c r="DL989" s="1241"/>
      <c r="DM989" s="1241"/>
    </row>
    <row r="990" spans="1:117" s="1302" customFormat="1">
      <c r="A990" s="1241"/>
      <c r="B990" s="1508" t="s">
        <v>4011</v>
      </c>
      <c r="C990" s="1241" t="s">
        <v>4012</v>
      </c>
      <c r="D990" s="1241"/>
      <c r="E990" s="1509" t="s">
        <v>420</v>
      </c>
      <c r="F990" s="1576"/>
      <c r="G990" s="1577"/>
      <c r="H990" s="1471">
        <v>0</v>
      </c>
      <c r="I990" s="1471">
        <v>0</v>
      </c>
      <c r="J990" s="1471">
        <v>0</v>
      </c>
      <c r="K990" s="1471">
        <v>0</v>
      </c>
      <c r="L990" s="1471">
        <v>0</v>
      </c>
      <c r="M990" s="1471">
        <v>0</v>
      </c>
      <c r="N990" s="1471">
        <v>0</v>
      </c>
      <c r="O990" s="1471">
        <v>0</v>
      </c>
      <c r="P990" s="1241"/>
      <c r="Q990" s="1241"/>
      <c r="R990" s="1241"/>
      <c r="S990" s="1241"/>
      <c r="T990" s="1241"/>
      <c r="U990" s="1241"/>
      <c r="V990" s="1241"/>
      <c r="W990" s="1241"/>
      <c r="X990" s="1241"/>
      <c r="Y990" s="1241"/>
      <c r="Z990" s="1241"/>
      <c r="AA990" s="1241"/>
      <c r="AB990" s="1241"/>
      <c r="AC990" s="1241"/>
      <c r="AD990" s="1241"/>
      <c r="AE990" s="1241"/>
      <c r="AF990" s="1241"/>
      <c r="AG990" s="1241"/>
      <c r="AH990" s="1241"/>
      <c r="AI990" s="1241"/>
      <c r="AJ990" s="1241"/>
      <c r="AK990" s="1241"/>
      <c r="AL990" s="1241"/>
      <c r="AM990" s="1241"/>
      <c r="AN990" s="1241"/>
      <c r="AO990" s="1241"/>
      <c r="AP990" s="1241"/>
      <c r="AQ990" s="1241"/>
      <c r="AR990" s="1241"/>
      <c r="AS990" s="1241"/>
      <c r="AT990" s="1241"/>
      <c r="AU990" s="1241"/>
      <c r="AV990" s="1241"/>
      <c r="AW990" s="1241"/>
      <c r="AX990" s="1241"/>
      <c r="AY990" s="1241"/>
      <c r="AZ990" s="1241"/>
      <c r="BA990" s="1241"/>
      <c r="BB990" s="1241"/>
      <c r="BC990" s="1241"/>
      <c r="BD990" s="1241"/>
      <c r="BE990" s="1241"/>
      <c r="BF990" s="1241"/>
      <c r="BG990" s="1241"/>
      <c r="BH990" s="1241"/>
      <c r="BI990" s="1241"/>
      <c r="BJ990" s="1241"/>
      <c r="BK990" s="1241"/>
      <c r="BL990" s="1241"/>
      <c r="BM990" s="1241"/>
      <c r="BN990" s="1241"/>
      <c r="BO990" s="1241"/>
      <c r="BP990" s="1241"/>
      <c r="BQ990" s="1241"/>
      <c r="BR990" s="1241"/>
      <c r="BS990" s="1241"/>
      <c r="BT990" s="1241"/>
      <c r="BU990" s="1241"/>
      <c r="BV990" s="1241"/>
      <c r="BW990" s="1241"/>
      <c r="BX990" s="1241"/>
      <c r="BY990" s="1241"/>
      <c r="BZ990" s="1241"/>
      <c r="CA990" s="1241"/>
      <c r="CB990" s="1241"/>
      <c r="CC990" s="1241"/>
      <c r="CD990" s="1241"/>
      <c r="CE990" s="1241"/>
      <c r="CF990" s="1241"/>
      <c r="CG990" s="1241"/>
      <c r="CH990" s="1241"/>
      <c r="CI990" s="1241"/>
      <c r="CJ990" s="1241"/>
      <c r="CK990" s="1241"/>
      <c r="CL990" s="1241"/>
      <c r="CM990" s="1241"/>
      <c r="CN990" s="1241"/>
      <c r="CO990" s="1241"/>
      <c r="CP990" s="1241"/>
      <c r="CQ990" s="1241"/>
      <c r="CR990" s="1241"/>
      <c r="CS990" s="1241"/>
      <c r="CT990" s="1241"/>
      <c r="CU990" s="1241"/>
      <c r="CV990" s="1241"/>
      <c r="CW990" s="1241"/>
      <c r="CX990" s="1241"/>
      <c r="CY990" s="1241"/>
      <c r="CZ990" s="1241"/>
      <c r="DA990" s="1241"/>
      <c r="DB990" s="1241"/>
      <c r="DC990" s="1241"/>
      <c r="DD990" s="1241"/>
      <c r="DE990" s="1241"/>
      <c r="DF990" s="1241"/>
      <c r="DG990" s="1241"/>
      <c r="DH990" s="1241"/>
      <c r="DI990" s="1241"/>
      <c r="DJ990" s="1241"/>
      <c r="DK990" s="1241"/>
      <c r="DL990" s="1241"/>
      <c r="DM990" s="1241"/>
    </row>
    <row r="991" spans="1:117" s="1302" customFormat="1">
      <c r="A991" s="1241"/>
      <c r="B991" s="1508" t="s">
        <v>4025</v>
      </c>
      <c r="C991" s="1241" t="s">
        <v>4026</v>
      </c>
      <c r="D991" s="1241"/>
      <c r="E991" s="1509" t="s">
        <v>420</v>
      </c>
      <c r="F991" s="1576"/>
      <c r="G991" s="1577"/>
      <c r="H991" s="1471">
        <v>0</v>
      </c>
      <c r="I991" s="1471">
        <v>0</v>
      </c>
      <c r="J991" s="1471">
        <v>0</v>
      </c>
      <c r="K991" s="1471">
        <v>0</v>
      </c>
      <c r="L991" s="1471">
        <v>0</v>
      </c>
      <c r="M991" s="1471">
        <v>0</v>
      </c>
      <c r="N991" s="1471">
        <v>-1.7564608338272492E-2</v>
      </c>
      <c r="O991" s="1471">
        <v>0</v>
      </c>
      <c r="P991" s="1241"/>
      <c r="Q991" s="1241"/>
      <c r="R991" s="1241"/>
      <c r="S991" s="1241"/>
      <c r="T991" s="1241"/>
      <c r="U991" s="1241"/>
      <c r="V991" s="1241"/>
      <c r="W991" s="1241"/>
      <c r="X991" s="1241"/>
      <c r="Y991" s="1241"/>
      <c r="Z991" s="1241"/>
      <c r="AA991" s="1241"/>
      <c r="AB991" s="1241"/>
      <c r="AC991" s="1241"/>
      <c r="AD991" s="1241"/>
      <c r="AE991" s="1241"/>
      <c r="AF991" s="1241"/>
      <c r="AG991" s="1241"/>
      <c r="AH991" s="1241"/>
      <c r="AI991" s="1241"/>
      <c r="AJ991" s="1241"/>
      <c r="AK991" s="1241"/>
      <c r="AL991" s="1241"/>
      <c r="AM991" s="1241"/>
      <c r="AN991" s="1241"/>
      <c r="AO991" s="1241"/>
      <c r="AP991" s="1241"/>
      <c r="AQ991" s="1241"/>
      <c r="AR991" s="1241"/>
      <c r="AS991" s="1241"/>
      <c r="AT991" s="1241"/>
      <c r="AU991" s="1241"/>
      <c r="AV991" s="1241"/>
      <c r="AW991" s="1241"/>
      <c r="AX991" s="1241"/>
      <c r="AY991" s="1241"/>
      <c r="AZ991" s="1241"/>
      <c r="BA991" s="1241"/>
      <c r="BB991" s="1241"/>
      <c r="BC991" s="1241"/>
      <c r="BD991" s="1241"/>
      <c r="BE991" s="1241"/>
      <c r="BF991" s="1241"/>
      <c r="BG991" s="1241"/>
      <c r="BH991" s="1241"/>
      <c r="BI991" s="1241"/>
      <c r="BJ991" s="1241"/>
      <c r="BK991" s="1241"/>
      <c r="BL991" s="1241"/>
      <c r="BM991" s="1241"/>
      <c r="BN991" s="1241"/>
      <c r="BO991" s="1241"/>
      <c r="BP991" s="1241"/>
      <c r="BQ991" s="1241"/>
      <c r="BR991" s="1241"/>
      <c r="BS991" s="1241"/>
      <c r="BT991" s="1241"/>
      <c r="BU991" s="1241"/>
      <c r="BV991" s="1241"/>
      <c r="BW991" s="1241"/>
      <c r="BX991" s="1241"/>
      <c r="BY991" s="1241"/>
      <c r="BZ991" s="1241"/>
      <c r="CA991" s="1241"/>
      <c r="CB991" s="1241"/>
      <c r="CC991" s="1241"/>
      <c r="CD991" s="1241"/>
      <c r="CE991" s="1241"/>
      <c r="CF991" s="1241"/>
      <c r="CG991" s="1241"/>
      <c r="CH991" s="1241"/>
      <c r="CI991" s="1241"/>
      <c r="CJ991" s="1241"/>
      <c r="CK991" s="1241"/>
      <c r="CL991" s="1241"/>
      <c r="CM991" s="1241"/>
      <c r="CN991" s="1241"/>
      <c r="CO991" s="1241"/>
      <c r="CP991" s="1241"/>
      <c r="CQ991" s="1241"/>
      <c r="CR991" s="1241"/>
      <c r="CS991" s="1241"/>
      <c r="CT991" s="1241"/>
      <c r="CU991" s="1241"/>
      <c r="CV991" s="1241"/>
      <c r="CW991" s="1241"/>
      <c r="CX991" s="1241"/>
      <c r="CY991" s="1241"/>
      <c r="CZ991" s="1241"/>
      <c r="DA991" s="1241"/>
      <c r="DB991" s="1241"/>
      <c r="DC991" s="1241"/>
      <c r="DD991" s="1241"/>
      <c r="DE991" s="1241"/>
      <c r="DF991" s="1241"/>
      <c r="DG991" s="1241"/>
      <c r="DH991" s="1241"/>
      <c r="DI991" s="1241"/>
      <c r="DJ991" s="1241"/>
      <c r="DK991" s="1241"/>
      <c r="DL991" s="1241"/>
      <c r="DM991" s="1241"/>
    </row>
    <row r="992" spans="1:117" s="1302" customFormat="1">
      <c r="A992" s="1241"/>
      <c r="B992" s="1508"/>
      <c r="C992" s="1241"/>
      <c r="D992" s="1241"/>
      <c r="E992" s="1509"/>
      <c r="F992" s="1470"/>
      <c r="G992" s="1471"/>
      <c r="H992" s="1471"/>
      <c r="I992" s="1471"/>
      <c r="J992" s="1471"/>
      <c r="K992" s="1471"/>
      <c r="L992" s="1471"/>
      <c r="M992" s="1471"/>
      <c r="N992" s="1471"/>
      <c r="O992" s="1549"/>
      <c r="P992" s="1241"/>
      <c r="Q992" s="1241"/>
      <c r="R992" s="1241"/>
      <c r="S992" s="1241"/>
      <c r="T992" s="1241"/>
      <c r="U992" s="1241"/>
      <c r="V992" s="1241"/>
      <c r="W992" s="1241"/>
      <c r="X992" s="1241"/>
      <c r="Y992" s="1241"/>
      <c r="Z992" s="1241"/>
      <c r="AA992" s="1241"/>
      <c r="AB992" s="1241"/>
      <c r="AC992" s="1241"/>
      <c r="AD992" s="1241"/>
      <c r="AE992" s="1241"/>
      <c r="AF992" s="1241"/>
      <c r="AG992" s="1241"/>
      <c r="AH992" s="1241"/>
      <c r="AI992" s="1241"/>
      <c r="AJ992" s="1241"/>
      <c r="AK992" s="1241"/>
      <c r="AL992" s="1241"/>
      <c r="AM992" s="1241"/>
      <c r="AN992" s="1241"/>
      <c r="AO992" s="1241"/>
      <c r="AP992" s="1241"/>
      <c r="AQ992" s="1241"/>
      <c r="AR992" s="1241"/>
      <c r="AS992" s="1241"/>
      <c r="AT992" s="1241"/>
      <c r="AU992" s="1241"/>
      <c r="AV992" s="1241"/>
      <c r="AW992" s="1241"/>
      <c r="AX992" s="1241"/>
      <c r="AY992" s="1241"/>
      <c r="AZ992" s="1241"/>
      <c r="BA992" s="1241"/>
      <c r="BB992" s="1241"/>
      <c r="BC992" s="1241"/>
      <c r="BD992" s="1241"/>
      <c r="BE992" s="1241"/>
      <c r="BF992" s="1241"/>
      <c r="BG992" s="1241"/>
      <c r="BH992" s="1241"/>
      <c r="BI992" s="1241"/>
      <c r="BJ992" s="1241"/>
      <c r="BK992" s="1241"/>
      <c r="BL992" s="1241"/>
      <c r="BM992" s="1241"/>
      <c r="BN992" s="1241"/>
      <c r="BO992" s="1241"/>
      <c r="BP992" s="1241"/>
      <c r="BQ992" s="1241"/>
      <c r="BR992" s="1241"/>
      <c r="BS992" s="1241"/>
      <c r="BT992" s="1241"/>
      <c r="BU992" s="1241"/>
      <c r="BV992" s="1241"/>
      <c r="BW992" s="1241"/>
      <c r="BX992" s="1241"/>
      <c r="BY992" s="1241"/>
      <c r="BZ992" s="1241"/>
      <c r="CA992" s="1241"/>
      <c r="CB992" s="1241"/>
      <c r="CC992" s="1241"/>
      <c r="CD992" s="1241"/>
      <c r="CE992" s="1241"/>
      <c r="CF992" s="1241"/>
      <c r="CG992" s="1241"/>
      <c r="CH992" s="1241"/>
      <c r="CI992" s="1241"/>
      <c r="CJ992" s="1241"/>
      <c r="CK992" s="1241"/>
      <c r="CL992" s="1241"/>
      <c r="CM992" s="1241"/>
      <c r="CN992" s="1241"/>
      <c r="CO992" s="1241"/>
      <c r="CP992" s="1241"/>
      <c r="CQ992" s="1241"/>
      <c r="CR992" s="1241"/>
      <c r="CS992" s="1241"/>
      <c r="CT992" s="1241"/>
      <c r="CU992" s="1241"/>
      <c r="CV992" s="1241"/>
      <c r="CW992" s="1241"/>
      <c r="CX992" s="1241"/>
      <c r="CY992" s="1241"/>
      <c r="CZ992" s="1241"/>
      <c r="DA992" s="1241"/>
      <c r="DB992" s="1241"/>
      <c r="DC992" s="1241"/>
      <c r="DD992" s="1241"/>
      <c r="DE992" s="1241"/>
      <c r="DF992" s="1241"/>
      <c r="DG992" s="1241"/>
      <c r="DH992" s="1241"/>
      <c r="DI992" s="1241"/>
      <c r="DJ992" s="1241"/>
      <c r="DK992" s="1241"/>
      <c r="DL992" s="1241"/>
      <c r="DM992" s="1241"/>
    </row>
    <row r="993" spans="1:117" s="1302" customFormat="1">
      <c r="A993" s="1459" t="s">
        <v>4279</v>
      </c>
      <c r="B993" s="1508"/>
      <c r="C993" s="1241" t="s">
        <v>4281</v>
      </c>
      <c r="D993" s="1241"/>
      <c r="F993" s="1470"/>
      <c r="G993" s="1471"/>
      <c r="H993" s="1471"/>
      <c r="I993" s="1471"/>
      <c r="J993" s="1471"/>
      <c r="K993" s="1471"/>
      <c r="L993" s="1471"/>
      <c r="M993" s="1471"/>
      <c r="N993" s="1471"/>
      <c r="O993" s="1471"/>
      <c r="P993" s="1241"/>
      <c r="Q993" s="1241"/>
      <c r="R993" s="1241"/>
      <c r="S993" s="1241"/>
      <c r="T993" s="1241"/>
      <c r="U993" s="1241"/>
      <c r="V993" s="1241"/>
      <c r="W993" s="1241"/>
      <c r="X993" s="1241"/>
      <c r="Y993" s="1241"/>
      <c r="Z993" s="1241"/>
      <c r="AA993" s="1241"/>
      <c r="AB993" s="1241"/>
      <c r="AC993" s="1241"/>
      <c r="AD993" s="1241"/>
      <c r="AE993" s="1241"/>
      <c r="AF993" s="1241"/>
      <c r="AG993" s="1241"/>
      <c r="AH993" s="1241"/>
      <c r="AI993" s="1241"/>
      <c r="AJ993" s="1241"/>
      <c r="AK993" s="1241"/>
      <c r="AL993" s="1241"/>
      <c r="AM993" s="1241"/>
      <c r="AN993" s="1241"/>
      <c r="AO993" s="1241"/>
      <c r="AP993" s="1241"/>
      <c r="AQ993" s="1241"/>
      <c r="AR993" s="1241"/>
      <c r="AS993" s="1241"/>
      <c r="AT993" s="1241"/>
      <c r="AU993" s="1241"/>
      <c r="AV993" s="1241"/>
      <c r="AW993" s="1241"/>
      <c r="AX993" s="1241"/>
      <c r="AY993" s="1241"/>
      <c r="AZ993" s="1241"/>
      <c r="BA993" s="1241"/>
      <c r="BB993" s="1241"/>
      <c r="BC993" s="1241"/>
      <c r="BD993" s="1241"/>
      <c r="BE993" s="1241"/>
      <c r="BF993" s="1241"/>
      <c r="BG993" s="1241"/>
      <c r="BH993" s="1241"/>
      <c r="BI993" s="1241"/>
      <c r="BJ993" s="1241"/>
      <c r="BK993" s="1241"/>
      <c r="BL993" s="1241"/>
      <c r="BM993" s="1241"/>
      <c r="BN993" s="1241"/>
      <c r="BO993" s="1241"/>
      <c r="BP993" s="1241"/>
      <c r="BQ993" s="1241"/>
      <c r="BR993" s="1241"/>
      <c r="BS993" s="1241"/>
      <c r="BT993" s="1241"/>
      <c r="BU993" s="1241"/>
      <c r="BV993" s="1241"/>
      <c r="BW993" s="1241"/>
      <c r="BX993" s="1241"/>
      <c r="BY993" s="1241"/>
      <c r="BZ993" s="1241"/>
      <c r="CA993" s="1241"/>
      <c r="CB993" s="1241"/>
      <c r="CC993" s="1241"/>
      <c r="CD993" s="1241"/>
      <c r="CE993" s="1241"/>
      <c r="CF993" s="1241"/>
      <c r="CG993" s="1241"/>
      <c r="CH993" s="1241"/>
      <c r="CI993" s="1241"/>
      <c r="CJ993" s="1241"/>
      <c r="CK993" s="1241"/>
      <c r="CL993" s="1241"/>
      <c r="CM993" s="1241"/>
      <c r="CN993" s="1241"/>
      <c r="CO993" s="1241"/>
      <c r="CP993" s="1241"/>
      <c r="CQ993" s="1241"/>
      <c r="CR993" s="1241"/>
      <c r="CS993" s="1241"/>
      <c r="CT993" s="1241"/>
      <c r="CU993" s="1241"/>
      <c r="CV993" s="1241"/>
      <c r="CW993" s="1241"/>
      <c r="CX993" s="1241"/>
      <c r="CY993" s="1241"/>
      <c r="CZ993" s="1241"/>
      <c r="DA993" s="1241"/>
      <c r="DB993" s="1241"/>
      <c r="DC993" s="1241"/>
      <c r="DD993" s="1241"/>
      <c r="DE993" s="1241"/>
      <c r="DF993" s="1241"/>
      <c r="DG993" s="1241"/>
      <c r="DH993" s="1241"/>
      <c r="DI993" s="1241"/>
      <c r="DJ993" s="1241"/>
      <c r="DK993" s="1241"/>
      <c r="DL993" s="1241"/>
      <c r="DM993" s="1241"/>
    </row>
    <row r="994" spans="1:117" s="1302" customFormat="1">
      <c r="A994" s="1241"/>
      <c r="B994" s="1508"/>
      <c r="C994" s="1241" t="s">
        <v>4282</v>
      </c>
      <c r="D994" s="1241"/>
      <c r="E994" s="1509" t="s">
        <v>1065</v>
      </c>
      <c r="F994" s="1470"/>
      <c r="G994" s="1471"/>
      <c r="H994" s="1471">
        <v>38.979108000000004</v>
      </c>
      <c r="I994" s="1471">
        <v>40.356131820886482</v>
      </c>
      <c r="J994" s="1471">
        <v>43.974853494311532</v>
      </c>
      <c r="K994" s="1471">
        <v>47.858654388753301</v>
      </c>
      <c r="L994" s="1471">
        <v>52.025208443113733</v>
      </c>
      <c r="M994" s="1471">
        <v>56.493305344528309</v>
      </c>
      <c r="N994" s="1471">
        <v>61.282918492239467</v>
      </c>
      <c r="O994" s="1471">
        <v>46.272217678105612</v>
      </c>
      <c r="P994" s="1241"/>
      <c r="Q994" s="1241"/>
      <c r="R994" s="1241"/>
      <c r="S994" s="1241"/>
      <c r="T994" s="1241"/>
      <c r="U994" s="1241"/>
      <c r="V994" s="1241"/>
      <c r="W994" s="1241"/>
      <c r="X994" s="1241"/>
      <c r="Y994" s="1241"/>
      <c r="Z994" s="1241"/>
      <c r="AA994" s="1241"/>
      <c r="AB994" s="1241"/>
      <c r="AC994" s="1241"/>
      <c r="AD994" s="1241"/>
      <c r="AE994" s="1241"/>
      <c r="AF994" s="1241"/>
      <c r="AG994" s="1241"/>
      <c r="AH994" s="1241"/>
      <c r="AI994" s="1241"/>
      <c r="AJ994" s="1241"/>
      <c r="AK994" s="1241"/>
      <c r="AL994" s="1241"/>
      <c r="AM994" s="1241"/>
      <c r="AN994" s="1241"/>
      <c r="AO994" s="1241"/>
      <c r="AP994" s="1241"/>
      <c r="AQ994" s="1241"/>
      <c r="AR994" s="1241"/>
      <c r="AS994" s="1241"/>
      <c r="AT994" s="1241"/>
      <c r="AU994" s="1241"/>
      <c r="AV994" s="1241"/>
      <c r="AW994" s="1241"/>
      <c r="AX994" s="1241"/>
      <c r="AY994" s="1241"/>
      <c r="AZ994" s="1241"/>
      <c r="BA994" s="1241"/>
      <c r="BB994" s="1241"/>
      <c r="BC994" s="1241"/>
      <c r="BD994" s="1241"/>
      <c r="BE994" s="1241"/>
      <c r="BF994" s="1241"/>
      <c r="BG994" s="1241"/>
      <c r="BH994" s="1241"/>
      <c r="BI994" s="1241"/>
      <c r="BJ994" s="1241"/>
      <c r="BK994" s="1241"/>
      <c r="BL994" s="1241"/>
      <c r="BM994" s="1241"/>
      <c r="BN994" s="1241"/>
      <c r="BO994" s="1241"/>
      <c r="BP994" s="1241"/>
      <c r="BQ994" s="1241"/>
      <c r="BR994" s="1241"/>
      <c r="BS994" s="1241"/>
      <c r="BT994" s="1241"/>
      <c r="BU994" s="1241"/>
      <c r="BV994" s="1241"/>
      <c r="BW994" s="1241"/>
      <c r="BX994" s="1241"/>
      <c r="BY994" s="1241"/>
      <c r="BZ994" s="1241"/>
      <c r="CA994" s="1241"/>
      <c r="CB994" s="1241"/>
      <c r="CC994" s="1241"/>
      <c r="CD994" s="1241"/>
      <c r="CE994" s="1241"/>
      <c r="CF994" s="1241"/>
      <c r="CG994" s="1241"/>
      <c r="CH994" s="1241"/>
      <c r="CI994" s="1241"/>
      <c r="CJ994" s="1241"/>
      <c r="CK994" s="1241"/>
      <c r="CL994" s="1241"/>
      <c r="CM994" s="1241"/>
      <c r="CN994" s="1241"/>
      <c r="CO994" s="1241"/>
      <c r="CP994" s="1241"/>
      <c r="CQ994" s="1241"/>
      <c r="CR994" s="1241"/>
      <c r="CS994" s="1241"/>
      <c r="CT994" s="1241"/>
      <c r="CU994" s="1241"/>
      <c r="CV994" s="1241"/>
      <c r="CW994" s="1241"/>
      <c r="CX994" s="1241"/>
      <c r="CY994" s="1241"/>
      <c r="CZ994" s="1241"/>
      <c r="DA994" s="1241"/>
      <c r="DB994" s="1241"/>
      <c r="DC994" s="1241"/>
      <c r="DD994" s="1241"/>
      <c r="DE994" s="1241"/>
      <c r="DF994" s="1241"/>
      <c r="DG994" s="1241"/>
      <c r="DH994" s="1241"/>
      <c r="DI994" s="1241"/>
      <c r="DJ994" s="1241"/>
      <c r="DK994" s="1241"/>
      <c r="DL994" s="1241"/>
      <c r="DM994" s="1241"/>
    </row>
    <row r="995" spans="1:117" s="1302" customFormat="1">
      <c r="A995" s="1241"/>
      <c r="B995" s="1508"/>
      <c r="C995" s="1241" t="s">
        <v>1255</v>
      </c>
      <c r="D995" s="1241"/>
      <c r="E995" s="1509" t="s">
        <v>4283</v>
      </c>
      <c r="F995" s="1470"/>
      <c r="G995" s="1471"/>
      <c r="H995" s="1471">
        <v>25.12434750926743</v>
      </c>
      <c r="I995" s="1471">
        <v>25.458362128199177</v>
      </c>
      <c r="J995" s="1471">
        <v>26.307552102782143</v>
      </c>
      <c r="K995" s="1471">
        <v>27.176869505891585</v>
      </c>
      <c r="L995" s="1471">
        <v>28.066144558407206</v>
      </c>
      <c r="M995" s="1471">
        <v>28.975137090229314</v>
      </c>
      <c r="N995" s="1471">
        <v>29.949891826493534</v>
      </c>
      <c r="O995" s="1471">
        <v>26.826736612199682</v>
      </c>
      <c r="P995" s="1241"/>
      <c r="Q995" s="1241"/>
      <c r="R995" s="1241"/>
      <c r="S995" s="1241"/>
      <c r="T995" s="1241"/>
      <c r="U995" s="1241"/>
      <c r="V995" s="1241"/>
      <c r="W995" s="1241"/>
      <c r="X995" s="1241"/>
      <c r="Y995" s="1241"/>
      <c r="Z995" s="1241"/>
      <c r="AA995" s="1241"/>
      <c r="AB995" s="1241"/>
      <c r="AC995" s="1241"/>
      <c r="AD995" s="1241"/>
      <c r="AE995" s="1241"/>
      <c r="AF995" s="1241"/>
      <c r="AG995" s="1241"/>
      <c r="AH995" s="1241"/>
      <c r="AI995" s="1241"/>
      <c r="AJ995" s="1241"/>
      <c r="AK995" s="1241"/>
      <c r="AL995" s="1241"/>
      <c r="AM995" s="1241"/>
      <c r="AN995" s="1241"/>
      <c r="AO995" s="1241"/>
      <c r="AP995" s="1241"/>
      <c r="AQ995" s="1241"/>
      <c r="AR995" s="1241"/>
      <c r="AS995" s="1241"/>
      <c r="AT995" s="1241"/>
      <c r="AU995" s="1241"/>
      <c r="AV995" s="1241"/>
      <c r="AW995" s="1241"/>
      <c r="AX995" s="1241"/>
      <c r="AY995" s="1241"/>
      <c r="AZ995" s="1241"/>
      <c r="BA995" s="1241"/>
      <c r="BB995" s="1241"/>
      <c r="BC995" s="1241"/>
      <c r="BD995" s="1241"/>
      <c r="BE995" s="1241"/>
      <c r="BF995" s="1241"/>
      <c r="BG995" s="1241"/>
      <c r="BH995" s="1241"/>
      <c r="BI995" s="1241"/>
      <c r="BJ995" s="1241"/>
      <c r="BK995" s="1241"/>
      <c r="BL995" s="1241"/>
      <c r="BM995" s="1241"/>
      <c r="BN995" s="1241"/>
      <c r="BO995" s="1241"/>
      <c r="BP995" s="1241"/>
      <c r="BQ995" s="1241"/>
      <c r="BR995" s="1241"/>
      <c r="BS995" s="1241"/>
      <c r="BT995" s="1241"/>
      <c r="BU995" s="1241"/>
      <c r="BV995" s="1241"/>
      <c r="BW995" s="1241"/>
      <c r="BX995" s="1241"/>
      <c r="BY995" s="1241"/>
      <c r="BZ995" s="1241"/>
      <c r="CA995" s="1241"/>
      <c r="CB995" s="1241"/>
      <c r="CC995" s="1241"/>
      <c r="CD995" s="1241"/>
      <c r="CE995" s="1241"/>
      <c r="CF995" s="1241"/>
      <c r="CG995" s="1241"/>
      <c r="CH995" s="1241"/>
      <c r="CI995" s="1241"/>
      <c r="CJ995" s="1241"/>
      <c r="CK995" s="1241"/>
      <c r="CL995" s="1241"/>
      <c r="CM995" s="1241"/>
      <c r="CN995" s="1241"/>
      <c r="CO995" s="1241"/>
      <c r="CP995" s="1241"/>
      <c r="CQ995" s="1241"/>
      <c r="CR995" s="1241"/>
      <c r="CS995" s="1241"/>
      <c r="CT995" s="1241"/>
      <c r="CU995" s="1241"/>
      <c r="CV995" s="1241"/>
      <c r="CW995" s="1241"/>
      <c r="CX995" s="1241"/>
      <c r="CY995" s="1241"/>
      <c r="CZ995" s="1241"/>
      <c r="DA995" s="1241"/>
      <c r="DB995" s="1241"/>
      <c r="DC995" s="1241"/>
      <c r="DD995" s="1241"/>
      <c r="DE995" s="1241"/>
      <c r="DF995" s="1241"/>
      <c r="DG995" s="1241"/>
      <c r="DH995" s="1241"/>
      <c r="DI995" s="1241"/>
      <c r="DJ995" s="1241"/>
      <c r="DK995" s="1241"/>
      <c r="DL995" s="1241"/>
      <c r="DM995" s="1241"/>
    </row>
    <row r="996" spans="1:117" s="1302" customFormat="1">
      <c r="A996" s="1241"/>
      <c r="B996" s="1508"/>
      <c r="C996" s="1241" t="s">
        <v>3861</v>
      </c>
      <c r="D996" s="1241"/>
      <c r="E996" s="1509" t="s">
        <v>3925</v>
      </c>
      <c r="F996" s="1470"/>
      <c r="G996" s="1471"/>
      <c r="H996" s="1471">
        <v>0.13406399999999999</v>
      </c>
      <c r="I996" s="1471">
        <v>0.13677383047416197</v>
      </c>
      <c r="J996" s="1471">
        <v>0.14379046956588853</v>
      </c>
      <c r="K996" s="1471">
        <v>0.15116706950665232</v>
      </c>
      <c r="L996" s="1471">
        <v>0.15892209666064067</v>
      </c>
      <c r="M996" s="1471">
        <v>0.16707496473564024</v>
      </c>
      <c r="N996" s="1471">
        <v>0.17564608338274426</v>
      </c>
      <c r="O996" s="1471">
        <v>0.1481720730938241</v>
      </c>
      <c r="P996" s="1241"/>
      <c r="Q996" s="1241"/>
      <c r="R996" s="1241"/>
      <c r="S996" s="1241"/>
      <c r="T996" s="1241"/>
      <c r="U996" s="1241"/>
      <c r="V996" s="1241"/>
      <c r="W996" s="1241"/>
      <c r="X996" s="1241"/>
      <c r="Y996" s="1241"/>
      <c r="Z996" s="1241"/>
      <c r="AA996" s="1241"/>
      <c r="AB996" s="1241"/>
      <c r="AC996" s="1241"/>
      <c r="AD996" s="1241"/>
      <c r="AE996" s="1241"/>
      <c r="AF996" s="1241"/>
      <c r="AG996" s="1241"/>
      <c r="AH996" s="1241"/>
      <c r="AI996" s="1241"/>
      <c r="AJ996" s="1241"/>
      <c r="AK996" s="1241"/>
      <c r="AL996" s="1241"/>
      <c r="AM996" s="1241"/>
      <c r="AN996" s="1241"/>
      <c r="AO996" s="1241"/>
      <c r="AP996" s="1241"/>
      <c r="AQ996" s="1241"/>
      <c r="AR996" s="1241"/>
      <c r="AS996" s="1241"/>
      <c r="AT996" s="1241"/>
      <c r="AU996" s="1241"/>
      <c r="AV996" s="1241"/>
      <c r="AW996" s="1241"/>
      <c r="AX996" s="1241"/>
      <c r="AY996" s="1241"/>
      <c r="AZ996" s="1241"/>
      <c r="BA996" s="1241"/>
      <c r="BB996" s="1241"/>
      <c r="BC996" s="1241"/>
      <c r="BD996" s="1241"/>
      <c r="BE996" s="1241"/>
      <c r="BF996" s="1241"/>
      <c r="BG996" s="1241"/>
      <c r="BH996" s="1241"/>
      <c r="BI996" s="1241"/>
      <c r="BJ996" s="1241"/>
      <c r="BK996" s="1241"/>
      <c r="BL996" s="1241"/>
      <c r="BM996" s="1241"/>
      <c r="BN996" s="1241"/>
      <c r="BO996" s="1241"/>
      <c r="BP996" s="1241"/>
      <c r="BQ996" s="1241"/>
      <c r="BR996" s="1241"/>
      <c r="BS996" s="1241"/>
      <c r="BT996" s="1241"/>
      <c r="BU996" s="1241"/>
      <c r="BV996" s="1241"/>
      <c r="BW996" s="1241"/>
      <c r="BX996" s="1241"/>
      <c r="BY996" s="1241"/>
      <c r="BZ996" s="1241"/>
      <c r="CA996" s="1241"/>
      <c r="CB996" s="1241"/>
      <c r="CC996" s="1241"/>
      <c r="CD996" s="1241"/>
      <c r="CE996" s="1241"/>
      <c r="CF996" s="1241"/>
      <c r="CG996" s="1241"/>
      <c r="CH996" s="1241"/>
      <c r="CI996" s="1241"/>
      <c r="CJ996" s="1241"/>
      <c r="CK996" s="1241"/>
      <c r="CL996" s="1241"/>
      <c r="CM996" s="1241"/>
      <c r="CN996" s="1241"/>
      <c r="CO996" s="1241"/>
      <c r="CP996" s="1241"/>
      <c r="CQ996" s="1241"/>
      <c r="CR996" s="1241"/>
      <c r="CS996" s="1241"/>
      <c r="CT996" s="1241"/>
      <c r="CU996" s="1241"/>
      <c r="CV996" s="1241"/>
      <c r="CW996" s="1241"/>
      <c r="CX996" s="1241"/>
      <c r="CY996" s="1241"/>
      <c r="CZ996" s="1241"/>
      <c r="DA996" s="1241"/>
      <c r="DB996" s="1241"/>
      <c r="DC996" s="1241"/>
      <c r="DD996" s="1241"/>
      <c r="DE996" s="1241"/>
      <c r="DF996" s="1241"/>
      <c r="DG996" s="1241"/>
      <c r="DH996" s="1241"/>
      <c r="DI996" s="1241"/>
      <c r="DJ996" s="1241"/>
      <c r="DK996" s="1241"/>
      <c r="DL996" s="1241"/>
      <c r="DM996" s="1241"/>
    </row>
    <row r="997" spans="1:117" s="1302" customFormat="1">
      <c r="A997" s="1241"/>
      <c r="B997" s="1508"/>
      <c r="C997" s="1241" t="s">
        <v>524</v>
      </c>
      <c r="D997" s="1241"/>
      <c r="E997" s="1509" t="s">
        <v>3923</v>
      </c>
      <c r="F997" s="1470"/>
      <c r="G997" s="1471"/>
      <c r="H997" s="1471">
        <v>0.44760698181818181</v>
      </c>
      <c r="I997" s="1471">
        <v>0.47356757209575862</v>
      </c>
      <c r="J997" s="1471">
        <v>0.54231405010169209</v>
      </c>
      <c r="K997" s="1471">
        <v>0.61686772574118109</v>
      </c>
      <c r="L997" s="1471">
        <v>0.69764350279420939</v>
      </c>
      <c r="M997" s="1471">
        <v>0.78508357166686693</v>
      </c>
      <c r="N997" s="1471">
        <v>0.8796591171134851</v>
      </c>
      <c r="O997" s="1471">
        <v>0.58632343139391363</v>
      </c>
      <c r="P997" s="1241"/>
      <c r="Q997" s="1241"/>
      <c r="R997" s="1241"/>
      <c r="S997" s="1241"/>
      <c r="T997" s="1241"/>
      <c r="U997" s="1241"/>
      <c r="V997" s="1241"/>
      <c r="W997" s="1241"/>
      <c r="X997" s="1241"/>
      <c r="Y997" s="1241"/>
      <c r="Z997" s="1241"/>
      <c r="AA997" s="1241"/>
      <c r="AB997" s="1241"/>
      <c r="AC997" s="1241"/>
      <c r="AD997" s="1241"/>
      <c r="AE997" s="1241"/>
      <c r="AF997" s="1241"/>
      <c r="AG997" s="1241"/>
      <c r="AH997" s="1241"/>
      <c r="AI997" s="1241"/>
      <c r="AJ997" s="1241"/>
      <c r="AK997" s="1241"/>
      <c r="AL997" s="1241"/>
      <c r="AM997" s="1241"/>
      <c r="AN997" s="1241"/>
      <c r="AO997" s="1241"/>
      <c r="AP997" s="1241"/>
      <c r="AQ997" s="1241"/>
      <c r="AR997" s="1241"/>
      <c r="AS997" s="1241"/>
      <c r="AT997" s="1241"/>
      <c r="AU997" s="1241"/>
      <c r="AV997" s="1241"/>
      <c r="AW997" s="1241"/>
      <c r="AX997" s="1241"/>
      <c r="AY997" s="1241"/>
      <c r="AZ997" s="1241"/>
      <c r="BA997" s="1241"/>
      <c r="BB997" s="1241"/>
      <c r="BC997" s="1241"/>
      <c r="BD997" s="1241"/>
      <c r="BE997" s="1241"/>
      <c r="BF997" s="1241"/>
      <c r="BG997" s="1241"/>
      <c r="BH997" s="1241"/>
      <c r="BI997" s="1241"/>
      <c r="BJ997" s="1241"/>
      <c r="BK997" s="1241"/>
      <c r="BL997" s="1241"/>
      <c r="BM997" s="1241"/>
      <c r="BN997" s="1241"/>
      <c r="BO997" s="1241"/>
      <c r="BP997" s="1241"/>
      <c r="BQ997" s="1241"/>
      <c r="BR997" s="1241"/>
      <c r="BS997" s="1241"/>
      <c r="BT997" s="1241"/>
      <c r="BU997" s="1241"/>
      <c r="BV997" s="1241"/>
      <c r="BW997" s="1241"/>
      <c r="BX997" s="1241"/>
      <c r="BY997" s="1241"/>
      <c r="BZ997" s="1241"/>
      <c r="CA997" s="1241"/>
      <c r="CB997" s="1241"/>
      <c r="CC997" s="1241"/>
      <c r="CD997" s="1241"/>
      <c r="CE997" s="1241"/>
      <c r="CF997" s="1241"/>
      <c r="CG997" s="1241"/>
      <c r="CH997" s="1241"/>
      <c r="CI997" s="1241"/>
      <c r="CJ997" s="1241"/>
      <c r="CK997" s="1241"/>
      <c r="CL997" s="1241"/>
      <c r="CM997" s="1241"/>
      <c r="CN997" s="1241"/>
      <c r="CO997" s="1241"/>
      <c r="CP997" s="1241"/>
      <c r="CQ997" s="1241"/>
      <c r="CR997" s="1241"/>
      <c r="CS997" s="1241"/>
      <c r="CT997" s="1241"/>
      <c r="CU997" s="1241"/>
      <c r="CV997" s="1241"/>
      <c r="CW997" s="1241"/>
      <c r="CX997" s="1241"/>
      <c r="CY997" s="1241"/>
      <c r="CZ997" s="1241"/>
      <c r="DA997" s="1241"/>
      <c r="DB997" s="1241"/>
      <c r="DC997" s="1241"/>
      <c r="DD997" s="1241"/>
      <c r="DE997" s="1241"/>
      <c r="DF997" s="1241"/>
      <c r="DG997" s="1241"/>
      <c r="DH997" s="1241"/>
      <c r="DI997" s="1241"/>
      <c r="DJ997" s="1241"/>
      <c r="DK997" s="1241"/>
      <c r="DL997" s="1241"/>
      <c r="DM997" s="1241"/>
    </row>
    <row r="998" spans="1:117" s="1302" customFormat="1">
      <c r="A998" s="1241"/>
      <c r="B998" s="1508"/>
      <c r="C998" s="1241" t="s">
        <v>3867</v>
      </c>
      <c r="D998" s="1241"/>
      <c r="E998" s="1509" t="s">
        <v>3925</v>
      </c>
      <c r="F998" s="1470"/>
      <c r="G998" s="1471"/>
      <c r="H998" s="1471">
        <v>0</v>
      </c>
      <c r="I998" s="1471">
        <v>0</v>
      </c>
      <c r="J998" s="1471">
        <v>0</v>
      </c>
      <c r="K998" s="1471">
        <v>0</v>
      </c>
      <c r="L998" s="1471">
        <v>0</v>
      </c>
      <c r="M998" s="1471">
        <v>0</v>
      </c>
      <c r="N998" s="1471">
        <v>0</v>
      </c>
      <c r="O998" s="1471">
        <v>0</v>
      </c>
      <c r="P998" s="1241"/>
      <c r="Q998" s="1241"/>
      <c r="R998" s="1241"/>
      <c r="S998" s="1241"/>
      <c r="T998" s="1241"/>
      <c r="U998" s="1241"/>
      <c r="V998" s="1241"/>
      <c r="W998" s="1241"/>
      <c r="X998" s="1241"/>
      <c r="Y998" s="1241"/>
      <c r="Z998" s="1241"/>
      <c r="AA998" s="1241"/>
      <c r="AB998" s="1241"/>
      <c r="AC998" s="1241"/>
      <c r="AD998" s="1241"/>
      <c r="AE998" s="1241"/>
      <c r="AF998" s="1241"/>
      <c r="AG998" s="1241"/>
      <c r="AH998" s="1241"/>
      <c r="AI998" s="1241"/>
      <c r="AJ998" s="1241"/>
      <c r="AK998" s="1241"/>
      <c r="AL998" s="1241"/>
      <c r="AM998" s="1241"/>
      <c r="AN998" s="1241"/>
      <c r="AO998" s="1241"/>
      <c r="AP998" s="1241"/>
      <c r="AQ998" s="1241"/>
      <c r="AR998" s="1241"/>
      <c r="AS998" s="1241"/>
      <c r="AT998" s="1241"/>
      <c r="AU998" s="1241"/>
      <c r="AV998" s="1241"/>
      <c r="AW998" s="1241"/>
      <c r="AX998" s="1241"/>
      <c r="AY998" s="1241"/>
      <c r="AZ998" s="1241"/>
      <c r="BA998" s="1241"/>
      <c r="BB998" s="1241"/>
      <c r="BC998" s="1241"/>
      <c r="BD998" s="1241"/>
      <c r="BE998" s="1241"/>
      <c r="BF998" s="1241"/>
      <c r="BG998" s="1241"/>
      <c r="BH998" s="1241"/>
      <c r="BI998" s="1241"/>
      <c r="BJ998" s="1241"/>
      <c r="BK998" s="1241"/>
      <c r="BL998" s="1241"/>
      <c r="BM998" s="1241"/>
      <c r="BN998" s="1241"/>
      <c r="BO998" s="1241"/>
      <c r="BP998" s="1241"/>
      <c r="BQ998" s="1241"/>
      <c r="BR998" s="1241"/>
      <c r="BS998" s="1241"/>
      <c r="BT998" s="1241"/>
      <c r="BU998" s="1241"/>
      <c r="BV998" s="1241"/>
      <c r="BW998" s="1241"/>
      <c r="BX998" s="1241"/>
      <c r="BY998" s="1241"/>
      <c r="BZ998" s="1241"/>
      <c r="CA998" s="1241"/>
      <c r="CB998" s="1241"/>
      <c r="CC998" s="1241"/>
      <c r="CD998" s="1241"/>
      <c r="CE998" s="1241"/>
      <c r="CF998" s="1241"/>
      <c r="CG998" s="1241"/>
      <c r="CH998" s="1241"/>
      <c r="CI998" s="1241"/>
      <c r="CJ998" s="1241"/>
      <c r="CK998" s="1241"/>
      <c r="CL998" s="1241"/>
      <c r="CM998" s="1241"/>
      <c r="CN998" s="1241"/>
      <c r="CO998" s="1241"/>
      <c r="CP998" s="1241"/>
      <c r="CQ998" s="1241"/>
      <c r="CR998" s="1241"/>
      <c r="CS998" s="1241"/>
      <c r="CT998" s="1241"/>
      <c r="CU998" s="1241"/>
      <c r="CV998" s="1241"/>
      <c r="CW998" s="1241"/>
      <c r="CX998" s="1241"/>
      <c r="CY998" s="1241"/>
      <c r="CZ998" s="1241"/>
      <c r="DA998" s="1241"/>
      <c r="DB998" s="1241"/>
      <c r="DC998" s="1241"/>
      <c r="DD998" s="1241"/>
      <c r="DE998" s="1241"/>
      <c r="DF998" s="1241"/>
      <c r="DG998" s="1241"/>
      <c r="DH998" s="1241"/>
      <c r="DI998" s="1241"/>
      <c r="DJ998" s="1241"/>
      <c r="DK998" s="1241"/>
      <c r="DL998" s="1241"/>
      <c r="DM998" s="1241"/>
    </row>
    <row r="999" spans="1:117" s="1302" customFormat="1">
      <c r="A999" s="1241"/>
      <c r="B999" s="1508"/>
      <c r="C999" s="1241" t="s">
        <v>4284</v>
      </c>
      <c r="D999" s="1241"/>
      <c r="E999" s="1509" t="s">
        <v>3925</v>
      </c>
      <c r="F999" s="1470"/>
      <c r="G999" s="1471"/>
      <c r="H999" s="1471">
        <v>0</v>
      </c>
      <c r="I999" s="1471">
        <v>0</v>
      </c>
      <c r="J999" s="1471">
        <v>0</v>
      </c>
      <c r="K999" s="1471">
        <v>0</v>
      </c>
      <c r="L999" s="1471">
        <v>0</v>
      </c>
      <c r="M999" s="1471">
        <v>0</v>
      </c>
      <c r="N999" s="1471">
        <v>-6.1231891915636358E-3</v>
      </c>
      <c r="O999" s="1471">
        <v>0</v>
      </c>
      <c r="P999" s="1241"/>
      <c r="Q999" s="1241"/>
      <c r="R999" s="1241"/>
      <c r="S999" s="1241"/>
      <c r="T999" s="1241"/>
      <c r="U999" s="1241"/>
      <c r="V999" s="1241"/>
      <c r="W999" s="1241"/>
      <c r="X999" s="1241"/>
      <c r="Y999" s="1241"/>
      <c r="Z999" s="1241"/>
      <c r="AA999" s="1241"/>
      <c r="AB999" s="1241"/>
      <c r="AC999" s="1241"/>
      <c r="AD999" s="1241"/>
      <c r="AE999" s="1241"/>
      <c r="AF999" s="1241"/>
      <c r="AG999" s="1241"/>
      <c r="AH999" s="1241"/>
      <c r="AI999" s="1241"/>
      <c r="AJ999" s="1241"/>
      <c r="AK999" s="1241"/>
      <c r="AL999" s="1241"/>
      <c r="AM999" s="1241"/>
      <c r="AN999" s="1241"/>
      <c r="AO999" s="1241"/>
      <c r="AP999" s="1241"/>
      <c r="AQ999" s="1241"/>
      <c r="AR999" s="1241"/>
      <c r="AS999" s="1241"/>
      <c r="AT999" s="1241"/>
      <c r="AU999" s="1241"/>
      <c r="AV999" s="1241"/>
      <c r="AW999" s="1241"/>
      <c r="AX999" s="1241"/>
      <c r="AY999" s="1241"/>
      <c r="AZ999" s="1241"/>
      <c r="BA999" s="1241"/>
      <c r="BB999" s="1241"/>
      <c r="BC999" s="1241"/>
      <c r="BD999" s="1241"/>
      <c r="BE999" s="1241"/>
      <c r="BF999" s="1241"/>
      <c r="BG999" s="1241"/>
      <c r="BH999" s="1241"/>
      <c r="BI999" s="1241"/>
      <c r="BJ999" s="1241"/>
      <c r="BK999" s="1241"/>
      <c r="BL999" s="1241"/>
      <c r="BM999" s="1241"/>
      <c r="BN999" s="1241"/>
      <c r="BO999" s="1241"/>
      <c r="BP999" s="1241"/>
      <c r="BQ999" s="1241"/>
      <c r="BR999" s="1241"/>
      <c r="BS999" s="1241"/>
      <c r="BT999" s="1241"/>
      <c r="BU999" s="1241"/>
      <c r="BV999" s="1241"/>
      <c r="BW999" s="1241"/>
      <c r="BX999" s="1241"/>
      <c r="BY999" s="1241"/>
      <c r="BZ999" s="1241"/>
      <c r="CA999" s="1241"/>
      <c r="CB999" s="1241"/>
      <c r="CC999" s="1241"/>
      <c r="CD999" s="1241"/>
      <c r="CE999" s="1241"/>
      <c r="CF999" s="1241"/>
      <c r="CG999" s="1241"/>
      <c r="CH999" s="1241"/>
      <c r="CI999" s="1241"/>
      <c r="CJ999" s="1241"/>
      <c r="CK999" s="1241"/>
      <c r="CL999" s="1241"/>
      <c r="CM999" s="1241"/>
      <c r="CN999" s="1241"/>
      <c r="CO999" s="1241"/>
      <c r="CP999" s="1241"/>
      <c r="CQ999" s="1241"/>
      <c r="CR999" s="1241"/>
      <c r="CS999" s="1241"/>
      <c r="CT999" s="1241"/>
      <c r="CU999" s="1241"/>
      <c r="CV999" s="1241"/>
      <c r="CW999" s="1241"/>
      <c r="CX999" s="1241"/>
      <c r="CY999" s="1241"/>
      <c r="CZ999" s="1241"/>
      <c r="DA999" s="1241"/>
      <c r="DB999" s="1241"/>
      <c r="DC999" s="1241"/>
      <c r="DD999" s="1241"/>
      <c r="DE999" s="1241"/>
      <c r="DF999" s="1241"/>
      <c r="DG999" s="1241"/>
      <c r="DH999" s="1241"/>
      <c r="DI999" s="1241"/>
      <c r="DJ999" s="1241"/>
      <c r="DK999" s="1241"/>
      <c r="DL999" s="1241"/>
      <c r="DM999" s="1241"/>
    </row>
    <row r="1000" spans="1:117" s="1302" customFormat="1">
      <c r="A1000" s="1241"/>
      <c r="B1000" s="1508"/>
      <c r="C1000" s="1241"/>
      <c r="D1000" s="1241"/>
      <c r="E1000" s="1509"/>
      <c r="F1000" s="1470"/>
      <c r="G1000" s="1471"/>
      <c r="H1000" s="1471"/>
      <c r="I1000" s="1471"/>
      <c r="J1000" s="1471"/>
      <c r="K1000" s="1471"/>
      <c r="L1000" s="1471"/>
      <c r="M1000" s="1471"/>
      <c r="N1000" s="1471"/>
      <c r="O1000" s="1549"/>
      <c r="P1000" s="1241"/>
      <c r="Q1000" s="1241"/>
      <c r="R1000" s="1241"/>
      <c r="S1000" s="1241"/>
      <c r="T1000" s="1241"/>
      <c r="U1000" s="1241"/>
      <c r="V1000" s="1241"/>
      <c r="W1000" s="1241"/>
      <c r="X1000" s="1241"/>
      <c r="Y1000" s="1241"/>
      <c r="Z1000" s="1241"/>
      <c r="AA1000" s="1241"/>
      <c r="AB1000" s="1241"/>
      <c r="AC1000" s="1241"/>
      <c r="AD1000" s="1241"/>
      <c r="AE1000" s="1241"/>
      <c r="AF1000" s="1241"/>
      <c r="AG1000" s="1241"/>
      <c r="AH1000" s="1241"/>
      <c r="AI1000" s="1241"/>
      <c r="AJ1000" s="1241"/>
      <c r="AK1000" s="1241"/>
      <c r="AL1000" s="1241"/>
      <c r="AM1000" s="1241"/>
      <c r="AN1000" s="1241"/>
      <c r="AO1000" s="1241"/>
      <c r="AP1000" s="1241"/>
      <c r="AQ1000" s="1241"/>
      <c r="AR1000" s="1241"/>
      <c r="AS1000" s="1241"/>
      <c r="AT1000" s="1241"/>
      <c r="AU1000" s="1241"/>
      <c r="AV1000" s="1241"/>
      <c r="AW1000" s="1241"/>
      <c r="AX1000" s="1241"/>
      <c r="AY1000" s="1241"/>
      <c r="AZ1000" s="1241"/>
      <c r="BA1000" s="1241"/>
      <c r="BB1000" s="1241"/>
      <c r="BC1000" s="1241"/>
      <c r="BD1000" s="1241"/>
      <c r="BE1000" s="1241"/>
      <c r="BF1000" s="1241"/>
      <c r="BG1000" s="1241"/>
      <c r="BH1000" s="1241"/>
      <c r="BI1000" s="1241"/>
      <c r="BJ1000" s="1241"/>
      <c r="BK1000" s="1241"/>
      <c r="BL1000" s="1241"/>
      <c r="BM1000" s="1241"/>
      <c r="BN1000" s="1241"/>
      <c r="BO1000" s="1241"/>
      <c r="BP1000" s="1241"/>
      <c r="BQ1000" s="1241"/>
      <c r="BR1000" s="1241"/>
      <c r="BS1000" s="1241"/>
      <c r="BT1000" s="1241"/>
      <c r="BU1000" s="1241"/>
      <c r="BV1000" s="1241"/>
      <c r="BW1000" s="1241"/>
      <c r="BX1000" s="1241"/>
      <c r="BY1000" s="1241"/>
      <c r="BZ1000" s="1241"/>
      <c r="CA1000" s="1241"/>
      <c r="CB1000" s="1241"/>
      <c r="CC1000" s="1241"/>
      <c r="CD1000" s="1241"/>
      <c r="CE1000" s="1241"/>
      <c r="CF1000" s="1241"/>
      <c r="CG1000" s="1241"/>
      <c r="CH1000" s="1241"/>
      <c r="CI1000" s="1241"/>
      <c r="CJ1000" s="1241"/>
      <c r="CK1000" s="1241"/>
      <c r="CL1000" s="1241"/>
      <c r="CM1000" s="1241"/>
      <c r="CN1000" s="1241"/>
      <c r="CO1000" s="1241"/>
      <c r="CP1000" s="1241"/>
      <c r="CQ1000" s="1241"/>
      <c r="CR1000" s="1241"/>
      <c r="CS1000" s="1241"/>
      <c r="CT1000" s="1241"/>
      <c r="CU1000" s="1241"/>
      <c r="CV1000" s="1241"/>
      <c r="CW1000" s="1241"/>
      <c r="CX1000" s="1241"/>
      <c r="CY1000" s="1241"/>
      <c r="CZ1000" s="1241"/>
      <c r="DA1000" s="1241"/>
      <c r="DB1000" s="1241"/>
      <c r="DC1000" s="1241"/>
      <c r="DD1000" s="1241"/>
      <c r="DE1000" s="1241"/>
      <c r="DF1000" s="1241"/>
      <c r="DG1000" s="1241"/>
      <c r="DH1000" s="1241"/>
      <c r="DI1000" s="1241"/>
      <c r="DJ1000" s="1241"/>
      <c r="DK1000" s="1241"/>
      <c r="DL1000" s="1241"/>
      <c r="DM1000" s="1241"/>
    </row>
    <row r="1001" spans="1:117" s="1302" customFormat="1" ht="16">
      <c r="A1001" s="1459" t="s">
        <v>4106</v>
      </c>
      <c r="B1001" s="1508"/>
      <c r="C1001" s="1241" t="s">
        <v>122</v>
      </c>
      <c r="D1001" s="1243"/>
      <c r="E1001" s="1242" t="s">
        <v>4680</v>
      </c>
      <c r="F1001" s="1470"/>
      <c r="G1001" s="1471"/>
      <c r="H1001" s="1471">
        <v>41.253271216491889</v>
      </c>
      <c r="I1001" s="1471">
        <v>41.846121467220165</v>
      </c>
      <c r="J1001" s="1471">
        <v>43.359460542447948</v>
      </c>
      <c r="K1001" s="1471">
        <v>44.917940876021028</v>
      </c>
      <c r="L1001" s="1471">
        <v>46.522211254459449</v>
      </c>
      <c r="M1001" s="1471">
        <v>48.172868228530753</v>
      </c>
      <c r="N1001" s="1471">
        <v>49.944095181212163</v>
      </c>
      <c r="O1001" s="1471">
        <v>44.289089171728989</v>
      </c>
      <c r="P1001" s="1241"/>
      <c r="Q1001" s="1241"/>
      <c r="R1001" s="1241"/>
      <c r="S1001" s="1241"/>
      <c r="T1001" s="1241"/>
      <c r="U1001" s="1241"/>
      <c r="V1001" s="1241"/>
      <c r="W1001" s="1241"/>
      <c r="X1001" s="1241"/>
      <c r="Y1001" s="1241"/>
      <c r="Z1001" s="1241"/>
      <c r="AA1001" s="1241"/>
      <c r="AB1001" s="1241"/>
      <c r="AC1001" s="1241"/>
      <c r="AD1001" s="1241"/>
      <c r="AE1001" s="1241"/>
      <c r="AF1001" s="1241"/>
      <c r="AG1001" s="1241"/>
      <c r="AH1001" s="1241"/>
      <c r="AI1001" s="1241"/>
      <c r="AJ1001" s="1241"/>
      <c r="AK1001" s="1241"/>
      <c r="AL1001" s="1241"/>
      <c r="AM1001" s="1241"/>
      <c r="AN1001" s="1241"/>
      <c r="AO1001" s="1241"/>
      <c r="AP1001" s="1241"/>
      <c r="AQ1001" s="1241"/>
      <c r="AR1001" s="1241"/>
      <c r="AS1001" s="1241"/>
      <c r="AT1001" s="1241"/>
      <c r="AU1001" s="1241"/>
      <c r="AV1001" s="1241"/>
      <c r="AW1001" s="1241"/>
      <c r="AX1001" s="1241"/>
      <c r="AY1001" s="1241"/>
      <c r="AZ1001" s="1241"/>
      <c r="BA1001" s="1241"/>
      <c r="BB1001" s="1241"/>
      <c r="BC1001" s="1241"/>
      <c r="BD1001" s="1241"/>
      <c r="BE1001" s="1241"/>
      <c r="BF1001" s="1241"/>
      <c r="BG1001" s="1241"/>
      <c r="BH1001" s="1241"/>
      <c r="BI1001" s="1241"/>
      <c r="BJ1001" s="1241"/>
      <c r="BK1001" s="1241"/>
      <c r="BL1001" s="1241"/>
      <c r="BM1001" s="1241"/>
      <c r="BN1001" s="1241"/>
      <c r="BO1001" s="1241"/>
      <c r="BP1001" s="1241"/>
      <c r="BQ1001" s="1241"/>
      <c r="BR1001" s="1241"/>
      <c r="BS1001" s="1241"/>
      <c r="BT1001" s="1241"/>
      <c r="BU1001" s="1241"/>
      <c r="BV1001" s="1241"/>
      <c r="BW1001" s="1241"/>
      <c r="BX1001" s="1241"/>
      <c r="BY1001" s="1241"/>
      <c r="BZ1001" s="1241"/>
      <c r="CA1001" s="1241"/>
      <c r="CB1001" s="1241"/>
      <c r="CC1001" s="1241"/>
      <c r="CD1001" s="1241"/>
      <c r="CE1001" s="1241"/>
      <c r="CF1001" s="1241"/>
      <c r="CG1001" s="1241"/>
      <c r="CH1001" s="1241"/>
      <c r="CI1001" s="1241"/>
      <c r="CJ1001" s="1241"/>
      <c r="CK1001" s="1241"/>
      <c r="CL1001" s="1241"/>
      <c r="CM1001" s="1241"/>
      <c r="CN1001" s="1241"/>
      <c r="CO1001" s="1241"/>
      <c r="CP1001" s="1241"/>
      <c r="CQ1001" s="1241"/>
      <c r="CR1001" s="1241"/>
      <c r="CS1001" s="1241"/>
      <c r="CT1001" s="1241"/>
      <c r="CU1001" s="1241"/>
      <c r="CV1001" s="1241"/>
      <c r="CW1001" s="1241"/>
      <c r="CX1001" s="1241"/>
      <c r="CY1001" s="1241"/>
      <c r="CZ1001" s="1241"/>
      <c r="DA1001" s="1241"/>
      <c r="DB1001" s="1241"/>
      <c r="DC1001" s="1241"/>
      <c r="DD1001" s="1241"/>
      <c r="DE1001" s="1241"/>
      <c r="DF1001" s="1241"/>
      <c r="DG1001" s="1241"/>
      <c r="DH1001" s="1241"/>
      <c r="DI1001" s="1241"/>
      <c r="DJ1001" s="1241"/>
      <c r="DK1001" s="1241"/>
      <c r="DL1001" s="1241"/>
      <c r="DM1001" s="1241"/>
    </row>
    <row r="1002" spans="1:117" s="1302" customFormat="1" ht="16">
      <c r="A1002" s="1459"/>
      <c r="B1002" s="1459"/>
      <c r="C1002" s="1241" t="s">
        <v>4297</v>
      </c>
      <c r="D1002" s="1243"/>
      <c r="E1002" s="1242" t="s">
        <v>4680</v>
      </c>
      <c r="F1002" s="1470"/>
      <c r="G1002" s="1471"/>
      <c r="H1002" s="1471">
        <v>2.8519127591563635E-3</v>
      </c>
      <c r="I1002" s="1471">
        <v>2.974342405898384E-3</v>
      </c>
      <c r="J1002" s="1471">
        <v>3.29719808130652E-3</v>
      </c>
      <c r="K1002" s="1471">
        <v>3.6453515543734584E-3</v>
      </c>
      <c r="L1002" s="1471">
        <v>4.0205487411718154E-3</v>
      </c>
      <c r="M1002" s="1471">
        <v>4.4246481137299384E-3</v>
      </c>
      <c r="N1002" s="1471">
        <v>4.8596276536106951E-3</v>
      </c>
      <c r="O1002" s="1471">
        <v>3.5029451397392505E-3</v>
      </c>
      <c r="P1002" s="1241"/>
      <c r="Q1002" s="1241"/>
      <c r="R1002" s="1241"/>
      <c r="S1002" s="1241"/>
      <c r="T1002" s="1241"/>
      <c r="U1002" s="1241"/>
      <c r="V1002" s="1241"/>
      <c r="W1002" s="1241"/>
      <c r="X1002" s="1241"/>
      <c r="Y1002" s="1241"/>
      <c r="Z1002" s="1241"/>
      <c r="AA1002" s="1241"/>
      <c r="AB1002" s="1241"/>
      <c r="AC1002" s="1241"/>
      <c r="AD1002" s="1241"/>
      <c r="AE1002" s="1241"/>
      <c r="AF1002" s="1241"/>
      <c r="AG1002" s="1241"/>
      <c r="AH1002" s="1241"/>
      <c r="AI1002" s="1241"/>
      <c r="AJ1002" s="1241"/>
      <c r="AK1002" s="1241"/>
      <c r="AL1002" s="1241"/>
      <c r="AM1002" s="1241"/>
      <c r="AN1002" s="1241"/>
      <c r="AO1002" s="1241"/>
      <c r="AP1002" s="1241"/>
      <c r="AQ1002" s="1241"/>
      <c r="AR1002" s="1241"/>
      <c r="AS1002" s="1241"/>
      <c r="AT1002" s="1241"/>
      <c r="AU1002" s="1241"/>
      <c r="AV1002" s="1241"/>
      <c r="AW1002" s="1241"/>
      <c r="AX1002" s="1241"/>
      <c r="AY1002" s="1241"/>
      <c r="AZ1002" s="1241"/>
      <c r="BA1002" s="1241"/>
      <c r="BB1002" s="1241"/>
      <c r="BC1002" s="1241"/>
      <c r="BD1002" s="1241"/>
      <c r="BE1002" s="1241"/>
      <c r="BF1002" s="1241"/>
      <c r="BG1002" s="1241"/>
      <c r="BH1002" s="1241"/>
      <c r="BI1002" s="1241"/>
      <c r="BJ1002" s="1241"/>
      <c r="BK1002" s="1241"/>
      <c r="BL1002" s="1241"/>
      <c r="BM1002" s="1241"/>
      <c r="BN1002" s="1241"/>
      <c r="BO1002" s="1241"/>
      <c r="BP1002" s="1241"/>
      <c r="BQ1002" s="1241"/>
      <c r="BR1002" s="1241"/>
      <c r="BS1002" s="1241"/>
      <c r="BT1002" s="1241"/>
      <c r="BU1002" s="1241"/>
      <c r="BV1002" s="1241"/>
      <c r="BW1002" s="1241"/>
      <c r="BX1002" s="1241"/>
      <c r="BY1002" s="1241"/>
      <c r="BZ1002" s="1241"/>
      <c r="CA1002" s="1241"/>
      <c r="CB1002" s="1241"/>
      <c r="CC1002" s="1241"/>
      <c r="CD1002" s="1241"/>
      <c r="CE1002" s="1241"/>
      <c r="CF1002" s="1241"/>
      <c r="CG1002" s="1241"/>
      <c r="CH1002" s="1241"/>
      <c r="CI1002" s="1241"/>
      <c r="CJ1002" s="1241"/>
      <c r="CK1002" s="1241"/>
      <c r="CL1002" s="1241"/>
      <c r="CM1002" s="1241"/>
      <c r="CN1002" s="1241"/>
      <c r="CO1002" s="1241"/>
      <c r="CP1002" s="1241"/>
      <c r="CQ1002" s="1241"/>
      <c r="CR1002" s="1241"/>
      <c r="CS1002" s="1241"/>
      <c r="CT1002" s="1241"/>
      <c r="CU1002" s="1241"/>
      <c r="CV1002" s="1241"/>
      <c r="CW1002" s="1241"/>
      <c r="CX1002" s="1241"/>
      <c r="CY1002" s="1241"/>
      <c r="CZ1002" s="1241"/>
      <c r="DA1002" s="1241"/>
      <c r="DB1002" s="1241"/>
      <c r="DC1002" s="1241"/>
      <c r="DD1002" s="1241"/>
      <c r="DE1002" s="1241"/>
      <c r="DF1002" s="1241"/>
      <c r="DG1002" s="1241"/>
      <c r="DH1002" s="1241"/>
      <c r="DI1002" s="1241"/>
      <c r="DJ1002" s="1241"/>
      <c r="DK1002" s="1241"/>
      <c r="DL1002" s="1241"/>
      <c r="DM1002" s="1241"/>
    </row>
    <row r="1003" spans="1:117" s="1302" customFormat="1" ht="16">
      <c r="A1003" s="1241"/>
      <c r="B1003" s="1508"/>
      <c r="C1003" s="1241" t="s">
        <v>4298</v>
      </c>
      <c r="D1003" s="1243"/>
      <c r="E1003" s="1242" t="s">
        <v>4680</v>
      </c>
      <c r="F1003" s="1470"/>
      <c r="G1003" s="1471"/>
      <c r="H1003" s="1471">
        <v>0.23729758765093617</v>
      </c>
      <c r="I1003" s="1471">
        <v>0.24048947634796883</v>
      </c>
      <c r="J1003" s="1471">
        <v>0.24860954577171984</v>
      </c>
      <c r="K1003" s="1471">
        <v>0.25692983183711054</v>
      </c>
      <c r="L1003" s="1471">
        <v>0.26544950681814583</v>
      </c>
      <c r="M1003" s="1471">
        <v>0.27416713113303059</v>
      </c>
      <c r="N1003" s="1471">
        <v>0.28351175991825767</v>
      </c>
      <c r="O1003" s="1471">
        <v>0.25357773130749306</v>
      </c>
      <c r="P1003" s="1241"/>
      <c r="Q1003" s="1241"/>
      <c r="R1003" s="1241"/>
      <c r="S1003" s="1241"/>
      <c r="T1003" s="1241"/>
      <c r="U1003" s="1241"/>
      <c r="V1003" s="1241"/>
      <c r="W1003" s="1241"/>
      <c r="X1003" s="1241"/>
      <c r="Y1003" s="1241"/>
      <c r="Z1003" s="1241"/>
      <c r="AA1003" s="1241"/>
      <c r="AB1003" s="1241"/>
      <c r="AC1003" s="1241"/>
      <c r="AD1003" s="1241"/>
      <c r="AE1003" s="1241"/>
      <c r="AF1003" s="1241"/>
      <c r="AG1003" s="1241"/>
      <c r="AH1003" s="1241"/>
      <c r="AI1003" s="1241"/>
      <c r="AJ1003" s="1241"/>
      <c r="AK1003" s="1241"/>
      <c r="AL1003" s="1241"/>
      <c r="AM1003" s="1241"/>
      <c r="AN1003" s="1241"/>
      <c r="AO1003" s="1241"/>
      <c r="AP1003" s="1241"/>
      <c r="AQ1003" s="1241"/>
      <c r="AR1003" s="1241"/>
      <c r="AS1003" s="1241"/>
      <c r="AT1003" s="1241"/>
      <c r="AU1003" s="1241"/>
      <c r="AV1003" s="1241"/>
      <c r="AW1003" s="1241"/>
      <c r="AX1003" s="1241"/>
      <c r="AY1003" s="1241"/>
      <c r="AZ1003" s="1241"/>
      <c r="BA1003" s="1241"/>
      <c r="BB1003" s="1241"/>
      <c r="BC1003" s="1241"/>
      <c r="BD1003" s="1241"/>
      <c r="BE1003" s="1241"/>
      <c r="BF1003" s="1241"/>
      <c r="BG1003" s="1241"/>
      <c r="BH1003" s="1241"/>
      <c r="BI1003" s="1241"/>
      <c r="BJ1003" s="1241"/>
      <c r="BK1003" s="1241"/>
      <c r="BL1003" s="1241"/>
      <c r="BM1003" s="1241"/>
      <c r="BN1003" s="1241"/>
      <c r="BO1003" s="1241"/>
      <c r="BP1003" s="1241"/>
      <c r="BQ1003" s="1241"/>
      <c r="BR1003" s="1241"/>
      <c r="BS1003" s="1241"/>
      <c r="BT1003" s="1241"/>
      <c r="BU1003" s="1241"/>
      <c r="BV1003" s="1241"/>
      <c r="BW1003" s="1241"/>
      <c r="BX1003" s="1241"/>
      <c r="BY1003" s="1241"/>
      <c r="BZ1003" s="1241"/>
      <c r="CA1003" s="1241"/>
      <c r="CB1003" s="1241"/>
      <c r="CC1003" s="1241"/>
      <c r="CD1003" s="1241"/>
      <c r="CE1003" s="1241"/>
      <c r="CF1003" s="1241"/>
      <c r="CG1003" s="1241"/>
      <c r="CH1003" s="1241"/>
      <c r="CI1003" s="1241"/>
      <c r="CJ1003" s="1241"/>
      <c r="CK1003" s="1241"/>
      <c r="CL1003" s="1241"/>
      <c r="CM1003" s="1241"/>
      <c r="CN1003" s="1241"/>
      <c r="CO1003" s="1241"/>
      <c r="CP1003" s="1241"/>
      <c r="CQ1003" s="1241"/>
      <c r="CR1003" s="1241"/>
      <c r="CS1003" s="1241"/>
      <c r="CT1003" s="1241"/>
      <c r="CU1003" s="1241"/>
      <c r="CV1003" s="1241"/>
      <c r="CW1003" s="1241"/>
      <c r="CX1003" s="1241"/>
      <c r="CY1003" s="1241"/>
      <c r="CZ1003" s="1241"/>
      <c r="DA1003" s="1241"/>
      <c r="DB1003" s="1241"/>
      <c r="DC1003" s="1241"/>
      <c r="DD1003" s="1241"/>
      <c r="DE1003" s="1241"/>
      <c r="DF1003" s="1241"/>
      <c r="DG1003" s="1241"/>
      <c r="DH1003" s="1241"/>
      <c r="DI1003" s="1241"/>
      <c r="DJ1003" s="1241"/>
      <c r="DK1003" s="1241"/>
      <c r="DL1003" s="1241"/>
      <c r="DM1003" s="1241"/>
    </row>
    <row r="1004" spans="1:117" s="1302" customFormat="1">
      <c r="A1004" s="1241"/>
      <c r="B1004" s="1508"/>
      <c r="C1004" s="1241"/>
      <c r="D1004" s="1243"/>
      <c r="E1004" s="1242"/>
      <c r="F1004" s="1519"/>
      <c r="G1004" s="1471"/>
      <c r="H1004" s="1471"/>
      <c r="I1004" s="1471"/>
      <c r="J1004" s="1471"/>
      <c r="K1004" s="1471"/>
      <c r="L1004" s="1471"/>
      <c r="M1004" s="1471"/>
      <c r="N1004" s="1471"/>
      <c r="O1004" s="1470"/>
      <c r="P1004" s="1241"/>
      <c r="Q1004" s="1241"/>
      <c r="R1004" s="1241"/>
      <c r="S1004" s="1241"/>
      <c r="T1004" s="1241"/>
      <c r="U1004" s="1241"/>
      <c r="V1004" s="1241"/>
      <c r="W1004" s="1241"/>
      <c r="X1004" s="1241"/>
      <c r="Y1004" s="1241"/>
      <c r="Z1004" s="1241"/>
      <c r="AA1004" s="1241"/>
      <c r="AB1004" s="1241"/>
      <c r="AC1004" s="1241"/>
      <c r="AD1004" s="1241"/>
      <c r="AE1004" s="1241"/>
      <c r="AF1004" s="1241"/>
      <c r="AG1004" s="1241"/>
      <c r="AH1004" s="1241"/>
      <c r="AI1004" s="1241"/>
      <c r="AJ1004" s="1241"/>
      <c r="AK1004" s="1241"/>
      <c r="AL1004" s="1241"/>
      <c r="AM1004" s="1241"/>
      <c r="AN1004" s="1241"/>
      <c r="AO1004" s="1241"/>
      <c r="AP1004" s="1241"/>
      <c r="AQ1004" s="1241"/>
      <c r="AR1004" s="1241"/>
      <c r="AS1004" s="1241"/>
      <c r="AT1004" s="1241"/>
      <c r="AU1004" s="1241"/>
      <c r="AV1004" s="1241"/>
      <c r="AW1004" s="1241"/>
      <c r="AX1004" s="1241"/>
      <c r="AY1004" s="1241"/>
      <c r="AZ1004" s="1241"/>
      <c r="BA1004" s="1241"/>
      <c r="BB1004" s="1241"/>
      <c r="BC1004" s="1241"/>
      <c r="BD1004" s="1241"/>
      <c r="BE1004" s="1241"/>
      <c r="BF1004" s="1241"/>
      <c r="BG1004" s="1241"/>
      <c r="BH1004" s="1241"/>
      <c r="BI1004" s="1241"/>
      <c r="BJ1004" s="1241"/>
      <c r="BK1004" s="1241"/>
      <c r="BL1004" s="1241"/>
      <c r="BM1004" s="1241"/>
      <c r="BN1004" s="1241"/>
      <c r="BO1004" s="1241"/>
      <c r="BP1004" s="1241"/>
      <c r="BQ1004" s="1241"/>
      <c r="BR1004" s="1241"/>
      <c r="BS1004" s="1241"/>
      <c r="BT1004" s="1241"/>
      <c r="BU1004" s="1241"/>
      <c r="BV1004" s="1241"/>
      <c r="BW1004" s="1241"/>
      <c r="BX1004" s="1241"/>
      <c r="BY1004" s="1241"/>
      <c r="BZ1004" s="1241"/>
      <c r="CA1004" s="1241"/>
      <c r="CB1004" s="1241"/>
      <c r="CC1004" s="1241"/>
      <c r="CD1004" s="1241"/>
      <c r="CE1004" s="1241"/>
      <c r="CF1004" s="1241"/>
      <c r="CG1004" s="1241"/>
      <c r="CH1004" s="1241"/>
      <c r="CI1004" s="1241"/>
      <c r="CJ1004" s="1241"/>
      <c r="CK1004" s="1241"/>
      <c r="CL1004" s="1241"/>
      <c r="CM1004" s="1241"/>
      <c r="CN1004" s="1241"/>
      <c r="CO1004" s="1241"/>
      <c r="CP1004" s="1241"/>
      <c r="CQ1004" s="1241"/>
      <c r="CR1004" s="1241"/>
      <c r="CS1004" s="1241"/>
      <c r="CT1004" s="1241"/>
      <c r="CU1004" s="1241"/>
      <c r="CV1004" s="1241"/>
      <c r="CW1004" s="1241"/>
      <c r="CX1004" s="1241"/>
      <c r="CY1004" s="1241"/>
      <c r="CZ1004" s="1241"/>
      <c r="DA1004" s="1241"/>
      <c r="DB1004" s="1241"/>
      <c r="DC1004" s="1241"/>
      <c r="DD1004" s="1241"/>
      <c r="DE1004" s="1241"/>
      <c r="DF1004" s="1241"/>
      <c r="DG1004" s="1241"/>
      <c r="DH1004" s="1241"/>
      <c r="DI1004" s="1241"/>
      <c r="DJ1004" s="1241"/>
      <c r="DK1004" s="1241"/>
      <c r="DL1004" s="1241"/>
      <c r="DM1004" s="1241"/>
    </row>
    <row r="1005" spans="1:117" ht="16">
      <c r="A1005" s="1243"/>
      <c r="B1005" s="1520" t="s">
        <v>4350</v>
      </c>
      <c r="C1005" s="1520"/>
      <c r="D1005" s="1521"/>
      <c r="E1005" s="1242" t="s">
        <v>4684</v>
      </c>
      <c r="F1005" s="1522"/>
      <c r="G1005" s="1489"/>
      <c r="H1005" s="1489">
        <v>2.729830310322499</v>
      </c>
      <c r="I1005" s="1489">
        <v>2.6531957328889821</v>
      </c>
      <c r="J1005" s="1489">
        <v>2.4705288226035655</v>
      </c>
      <c r="K1005" s="1489">
        <v>2.2999466539623641</v>
      </c>
      <c r="L1005" s="1489">
        <v>2.1406715152213525</v>
      </c>
      <c r="M1005" s="1489">
        <v>1.9919747395908853</v>
      </c>
      <c r="N1005" s="1489">
        <v>1.8559105521488222</v>
      </c>
      <c r="O1005" s="1489">
        <v>2.3667802585065387</v>
      </c>
    </row>
    <row r="1006" spans="1:117" s="1302" customFormat="1">
      <c r="A1006" s="1241"/>
      <c r="B1006" s="1508"/>
      <c r="C1006" s="1241"/>
      <c r="D1006" s="1241"/>
      <c r="E1006" s="1508"/>
      <c r="F1006" s="1542"/>
      <c r="G1006" s="1471"/>
      <c r="H1006" s="1471"/>
      <c r="I1006" s="1471"/>
      <c r="J1006" s="1471"/>
      <c r="K1006" s="1471"/>
      <c r="L1006" s="1471"/>
      <c r="M1006" s="1471"/>
      <c r="N1006" s="1471"/>
      <c r="O1006" s="1542"/>
      <c r="P1006" s="1241"/>
      <c r="Q1006" s="1241"/>
      <c r="R1006" s="1241"/>
      <c r="S1006" s="1241"/>
      <c r="T1006" s="1241"/>
      <c r="U1006" s="1241"/>
      <c r="V1006" s="1241"/>
      <c r="W1006" s="1241"/>
      <c r="X1006" s="1241"/>
      <c r="Y1006" s="1241"/>
      <c r="Z1006" s="1241"/>
      <c r="AA1006" s="1241"/>
      <c r="AB1006" s="1241"/>
      <c r="AC1006" s="1241"/>
      <c r="AD1006" s="1241"/>
      <c r="AE1006" s="1241"/>
      <c r="AF1006" s="1241"/>
      <c r="AG1006" s="1241"/>
      <c r="AH1006" s="1241"/>
      <c r="AI1006" s="1241"/>
      <c r="AJ1006" s="1241"/>
      <c r="AK1006" s="1241"/>
      <c r="AL1006" s="1241"/>
      <c r="AM1006" s="1241"/>
      <c r="AN1006" s="1241"/>
      <c r="AO1006" s="1241"/>
      <c r="AP1006" s="1241"/>
      <c r="AQ1006" s="1241"/>
      <c r="AR1006" s="1241"/>
      <c r="AS1006" s="1241"/>
      <c r="AT1006" s="1241"/>
      <c r="AU1006" s="1241"/>
      <c r="AV1006" s="1241"/>
      <c r="AW1006" s="1241"/>
      <c r="AX1006" s="1241"/>
      <c r="AY1006" s="1241"/>
      <c r="AZ1006" s="1241"/>
      <c r="BA1006" s="1241"/>
      <c r="BB1006" s="1241"/>
      <c r="BC1006" s="1241"/>
      <c r="BD1006" s="1241"/>
      <c r="BE1006" s="1241"/>
      <c r="BF1006" s="1241"/>
      <c r="BG1006" s="1241"/>
      <c r="BH1006" s="1241"/>
      <c r="BI1006" s="1241"/>
      <c r="BJ1006" s="1241"/>
      <c r="BK1006" s="1241"/>
      <c r="BL1006" s="1241"/>
      <c r="BM1006" s="1241"/>
      <c r="BN1006" s="1241"/>
      <c r="BO1006" s="1241"/>
      <c r="BP1006" s="1241"/>
      <c r="BQ1006" s="1241"/>
      <c r="BR1006" s="1241"/>
      <c r="BS1006" s="1241"/>
      <c r="BT1006" s="1241"/>
      <c r="BU1006" s="1241"/>
      <c r="BV1006" s="1241"/>
      <c r="BW1006" s="1241"/>
      <c r="BX1006" s="1241"/>
      <c r="BY1006" s="1241"/>
      <c r="BZ1006" s="1241"/>
      <c r="CA1006" s="1241"/>
      <c r="CB1006" s="1241"/>
      <c r="CC1006" s="1241"/>
      <c r="CD1006" s="1241"/>
      <c r="CE1006" s="1241"/>
      <c r="CF1006" s="1241"/>
      <c r="CG1006" s="1241"/>
      <c r="CH1006" s="1241"/>
      <c r="CI1006" s="1241"/>
      <c r="CJ1006" s="1241"/>
      <c r="CK1006" s="1241"/>
      <c r="CL1006" s="1241"/>
      <c r="CM1006" s="1241"/>
      <c r="CN1006" s="1241"/>
      <c r="CO1006" s="1241"/>
      <c r="CP1006" s="1241"/>
      <c r="CQ1006" s="1241"/>
      <c r="CR1006" s="1241"/>
      <c r="CS1006" s="1241"/>
      <c r="CT1006" s="1241"/>
      <c r="CU1006" s="1241"/>
      <c r="CV1006" s="1241"/>
      <c r="CW1006" s="1241"/>
      <c r="CX1006" s="1241"/>
      <c r="CY1006" s="1241"/>
      <c r="CZ1006" s="1241"/>
      <c r="DA1006" s="1241"/>
      <c r="DB1006" s="1241"/>
      <c r="DC1006" s="1241"/>
      <c r="DD1006" s="1241"/>
      <c r="DE1006" s="1241"/>
      <c r="DF1006" s="1241"/>
      <c r="DG1006" s="1241"/>
      <c r="DH1006" s="1241"/>
      <c r="DI1006" s="1241"/>
      <c r="DJ1006" s="1241"/>
      <c r="DK1006" s="1241"/>
      <c r="DL1006" s="1241"/>
      <c r="DM1006" s="1241"/>
    </row>
    <row r="1007" spans="1:117" s="1302" customFormat="1">
      <c r="A1007" s="1241"/>
      <c r="B1007" s="1241"/>
      <c r="C1007" s="1241"/>
      <c r="D1007" s="1241"/>
      <c r="E1007" s="1241"/>
      <c r="F1007" s="1573"/>
      <c r="G1007" s="1242"/>
      <c r="H1007" s="1242"/>
      <c r="I1007" s="1242"/>
      <c r="J1007" s="1242"/>
      <c r="K1007" s="1242"/>
      <c r="L1007" s="1242"/>
      <c r="M1007" s="1242"/>
      <c r="N1007" s="1242"/>
      <c r="O1007" s="1573"/>
      <c r="P1007" s="1241"/>
      <c r="Q1007" s="1241"/>
      <c r="R1007" s="1241"/>
      <c r="S1007" s="1241"/>
      <c r="T1007" s="1241"/>
      <c r="U1007" s="1241"/>
      <c r="V1007" s="1241"/>
      <c r="W1007" s="1241"/>
      <c r="X1007" s="1241"/>
      <c r="Y1007" s="1241"/>
      <c r="Z1007" s="1241"/>
      <c r="AA1007" s="1241"/>
      <c r="AB1007" s="1241"/>
      <c r="AC1007" s="1241"/>
      <c r="AD1007" s="1241"/>
      <c r="AE1007" s="1241"/>
      <c r="AF1007" s="1241"/>
      <c r="AG1007" s="1241"/>
      <c r="AH1007" s="1241"/>
      <c r="AI1007" s="1241"/>
      <c r="AJ1007" s="1241"/>
      <c r="AK1007" s="1241"/>
      <c r="AL1007" s="1241"/>
      <c r="AM1007" s="1241"/>
      <c r="AN1007" s="1241"/>
      <c r="AO1007" s="1241"/>
      <c r="AP1007" s="1241"/>
      <c r="AQ1007" s="1241"/>
      <c r="AR1007" s="1241"/>
      <c r="AS1007" s="1241"/>
      <c r="AT1007" s="1241"/>
      <c r="AU1007" s="1241"/>
      <c r="AV1007" s="1241"/>
      <c r="AW1007" s="1241"/>
      <c r="AX1007" s="1241"/>
      <c r="AY1007" s="1241"/>
      <c r="AZ1007" s="1241"/>
      <c r="BA1007" s="1241"/>
      <c r="BB1007" s="1241"/>
      <c r="BC1007" s="1241"/>
      <c r="BD1007" s="1241"/>
      <c r="BE1007" s="1241"/>
      <c r="BF1007" s="1241"/>
      <c r="BG1007" s="1241"/>
      <c r="BH1007" s="1241"/>
      <c r="BI1007" s="1241"/>
      <c r="BJ1007" s="1241"/>
      <c r="BK1007" s="1241"/>
      <c r="BL1007" s="1241"/>
      <c r="BM1007" s="1241"/>
      <c r="BN1007" s="1241"/>
      <c r="BO1007" s="1241"/>
      <c r="BP1007" s="1241"/>
      <c r="BQ1007" s="1241"/>
      <c r="BR1007" s="1241"/>
      <c r="BS1007" s="1241"/>
      <c r="BT1007" s="1241"/>
      <c r="BU1007" s="1241"/>
      <c r="BV1007" s="1241"/>
      <c r="BW1007" s="1241"/>
      <c r="BX1007" s="1241"/>
      <c r="BY1007" s="1241"/>
      <c r="BZ1007" s="1241"/>
      <c r="CA1007" s="1241"/>
      <c r="CB1007" s="1241"/>
      <c r="CC1007" s="1241"/>
      <c r="CD1007" s="1241"/>
      <c r="CE1007" s="1241"/>
      <c r="CF1007" s="1241"/>
      <c r="CG1007" s="1241"/>
      <c r="CH1007" s="1241"/>
      <c r="CI1007" s="1241"/>
      <c r="CJ1007" s="1241"/>
      <c r="CK1007" s="1241"/>
      <c r="CL1007" s="1241"/>
      <c r="CM1007" s="1241"/>
      <c r="CN1007" s="1241"/>
      <c r="CO1007" s="1241"/>
      <c r="CP1007" s="1241"/>
      <c r="CQ1007" s="1241"/>
      <c r="CR1007" s="1241"/>
      <c r="CS1007" s="1241"/>
      <c r="CT1007" s="1241"/>
      <c r="CU1007" s="1241"/>
      <c r="CV1007" s="1241"/>
      <c r="CW1007" s="1241"/>
      <c r="CX1007" s="1241"/>
      <c r="CY1007" s="1241"/>
      <c r="CZ1007" s="1241"/>
      <c r="DA1007" s="1241"/>
      <c r="DB1007" s="1241"/>
      <c r="DC1007" s="1241"/>
      <c r="DD1007" s="1241"/>
      <c r="DE1007" s="1241"/>
      <c r="DF1007" s="1241"/>
      <c r="DG1007" s="1241"/>
      <c r="DH1007" s="1241"/>
      <c r="DI1007" s="1241"/>
      <c r="DJ1007" s="1241"/>
      <c r="DK1007" s="1241"/>
      <c r="DL1007" s="1241"/>
      <c r="DM1007" s="1241"/>
    </row>
    <row r="1008" spans="1:117" s="1302" customFormat="1">
      <c r="A1008" s="1459">
        <v>1.7</v>
      </c>
      <c r="B1008" s="1459" t="s">
        <v>4351</v>
      </c>
      <c r="C1008" s="1241"/>
      <c r="D1008" s="1241"/>
      <c r="E1008" s="1528" t="s">
        <v>840</v>
      </c>
      <c r="F1008" s="1467"/>
      <c r="G1008" s="1224">
        <v>2015</v>
      </c>
      <c r="H1008" s="1224">
        <v>2020</v>
      </c>
      <c r="I1008" s="1224">
        <v>2022</v>
      </c>
      <c r="J1008" s="1224">
        <v>2027</v>
      </c>
      <c r="K1008" s="1224">
        <v>2032</v>
      </c>
      <c r="L1008" s="1224">
        <v>2037</v>
      </c>
      <c r="M1008" s="1224">
        <v>2042</v>
      </c>
      <c r="N1008" s="1224">
        <v>2047</v>
      </c>
      <c r="O1008" s="1546">
        <v>2030</v>
      </c>
      <c r="P1008" s="1241"/>
      <c r="Q1008" s="1241"/>
      <c r="R1008" s="1241"/>
      <c r="S1008" s="1241"/>
      <c r="T1008" s="1241"/>
      <c r="U1008" s="1241"/>
      <c r="V1008" s="1241"/>
      <c r="W1008" s="1241"/>
      <c r="X1008" s="1241"/>
      <c r="Y1008" s="1241"/>
      <c r="Z1008" s="1241"/>
      <c r="AA1008" s="1241"/>
      <c r="AB1008" s="1241"/>
      <c r="AC1008" s="1241"/>
      <c r="AD1008" s="1241"/>
      <c r="AE1008" s="1241"/>
      <c r="AF1008" s="1241"/>
      <c r="AG1008" s="1241"/>
      <c r="AH1008" s="1241"/>
      <c r="AI1008" s="1241"/>
      <c r="AJ1008" s="1241"/>
      <c r="AK1008" s="1241"/>
      <c r="AL1008" s="1241"/>
      <c r="AM1008" s="1241"/>
      <c r="AN1008" s="1241"/>
      <c r="AO1008" s="1241"/>
      <c r="AP1008" s="1241"/>
      <c r="AQ1008" s="1241"/>
      <c r="AR1008" s="1241"/>
      <c r="AS1008" s="1241"/>
      <c r="AT1008" s="1241"/>
      <c r="AU1008" s="1241"/>
      <c r="AV1008" s="1241"/>
      <c r="AW1008" s="1241"/>
      <c r="AX1008" s="1241"/>
      <c r="AY1008" s="1241"/>
      <c r="AZ1008" s="1241"/>
      <c r="BA1008" s="1241"/>
      <c r="BB1008" s="1241"/>
      <c r="BC1008" s="1241"/>
      <c r="BD1008" s="1241"/>
      <c r="BE1008" s="1241"/>
      <c r="BF1008" s="1241"/>
      <c r="BG1008" s="1241"/>
      <c r="BH1008" s="1241"/>
      <c r="BI1008" s="1241"/>
      <c r="BJ1008" s="1241"/>
      <c r="BK1008" s="1241"/>
      <c r="BL1008" s="1241"/>
      <c r="BM1008" s="1241"/>
      <c r="BN1008" s="1241"/>
      <c r="BO1008" s="1241"/>
      <c r="BP1008" s="1241"/>
      <c r="BQ1008" s="1241"/>
      <c r="BR1008" s="1241"/>
      <c r="BS1008" s="1241"/>
      <c r="BT1008" s="1241"/>
      <c r="BU1008" s="1241"/>
      <c r="BV1008" s="1241"/>
      <c r="BW1008" s="1241"/>
      <c r="BX1008" s="1241"/>
      <c r="BY1008" s="1241"/>
      <c r="BZ1008" s="1241"/>
      <c r="CA1008" s="1241"/>
      <c r="CB1008" s="1241"/>
      <c r="CC1008" s="1241"/>
      <c r="CD1008" s="1241"/>
      <c r="CE1008" s="1241"/>
      <c r="CF1008" s="1241"/>
      <c r="CG1008" s="1241"/>
      <c r="CH1008" s="1241"/>
      <c r="CI1008" s="1241"/>
      <c r="CJ1008" s="1241"/>
      <c r="CK1008" s="1241"/>
      <c r="CL1008" s="1241"/>
      <c r="CM1008" s="1241"/>
      <c r="CN1008" s="1241"/>
      <c r="CO1008" s="1241"/>
      <c r="CP1008" s="1241"/>
      <c r="CQ1008" s="1241"/>
      <c r="CR1008" s="1241"/>
      <c r="CS1008" s="1241"/>
      <c r="CT1008" s="1241"/>
      <c r="CU1008" s="1241"/>
      <c r="CV1008" s="1241"/>
      <c r="CW1008" s="1241"/>
      <c r="CX1008" s="1241"/>
      <c r="CY1008" s="1241"/>
      <c r="CZ1008" s="1241"/>
      <c r="DA1008" s="1241"/>
      <c r="DB1008" s="1241"/>
      <c r="DC1008" s="1241"/>
      <c r="DD1008" s="1241"/>
      <c r="DE1008" s="1241"/>
      <c r="DF1008" s="1241"/>
      <c r="DG1008" s="1241"/>
      <c r="DH1008" s="1241"/>
      <c r="DI1008" s="1241"/>
      <c r="DJ1008" s="1241"/>
      <c r="DK1008" s="1241"/>
      <c r="DL1008" s="1241"/>
      <c r="DM1008" s="1241"/>
    </row>
    <row r="1009" spans="1:117" s="1302" customFormat="1">
      <c r="A1009" s="1241"/>
      <c r="B1009" s="1459"/>
      <c r="C1009" s="1466"/>
      <c r="D1009" s="1241"/>
      <c r="E1009" s="1460"/>
      <c r="F1009" s="1467"/>
      <c r="G1009" s="1224"/>
      <c r="H1009" s="1224"/>
      <c r="I1009" s="1224"/>
      <c r="J1009" s="1224"/>
      <c r="K1009" s="1224"/>
      <c r="L1009" s="1224"/>
      <c r="M1009" s="1224"/>
      <c r="N1009" s="1224"/>
      <c r="O1009" s="1467"/>
      <c r="P1009" s="1241"/>
      <c r="Q1009" s="1241"/>
      <c r="R1009" s="1241"/>
      <c r="S1009" s="1241"/>
      <c r="T1009" s="1241"/>
      <c r="U1009" s="1241"/>
      <c r="V1009" s="1241"/>
      <c r="W1009" s="1241"/>
      <c r="X1009" s="1241"/>
      <c r="Y1009" s="1241"/>
      <c r="Z1009" s="1241"/>
      <c r="AA1009" s="1241"/>
      <c r="AB1009" s="1241"/>
      <c r="AC1009" s="1241"/>
      <c r="AD1009" s="1241"/>
      <c r="AE1009" s="1241"/>
      <c r="AF1009" s="1241"/>
      <c r="AG1009" s="1241"/>
      <c r="AH1009" s="1241"/>
      <c r="AI1009" s="1241"/>
      <c r="AJ1009" s="1241"/>
      <c r="AK1009" s="1241"/>
      <c r="AL1009" s="1241"/>
      <c r="AM1009" s="1241"/>
      <c r="AN1009" s="1241"/>
      <c r="AO1009" s="1241"/>
      <c r="AP1009" s="1241"/>
      <c r="AQ1009" s="1241"/>
      <c r="AR1009" s="1241"/>
      <c r="AS1009" s="1241"/>
      <c r="AT1009" s="1241"/>
      <c r="AU1009" s="1241"/>
      <c r="AV1009" s="1241"/>
      <c r="AW1009" s="1241"/>
      <c r="AX1009" s="1241"/>
      <c r="AY1009" s="1241"/>
      <c r="AZ1009" s="1241"/>
      <c r="BA1009" s="1241"/>
      <c r="BB1009" s="1241"/>
      <c r="BC1009" s="1241"/>
      <c r="BD1009" s="1241"/>
      <c r="BE1009" s="1241"/>
      <c r="BF1009" s="1241"/>
      <c r="BG1009" s="1241"/>
      <c r="BH1009" s="1241"/>
      <c r="BI1009" s="1241"/>
      <c r="BJ1009" s="1241"/>
      <c r="BK1009" s="1241"/>
      <c r="BL1009" s="1241"/>
      <c r="BM1009" s="1241"/>
      <c r="BN1009" s="1241"/>
      <c r="BO1009" s="1241"/>
      <c r="BP1009" s="1241"/>
      <c r="BQ1009" s="1241"/>
      <c r="BR1009" s="1241"/>
      <c r="BS1009" s="1241"/>
      <c r="BT1009" s="1241"/>
      <c r="BU1009" s="1241"/>
      <c r="BV1009" s="1241"/>
      <c r="BW1009" s="1241"/>
      <c r="BX1009" s="1241"/>
      <c r="BY1009" s="1241"/>
      <c r="BZ1009" s="1241"/>
      <c r="CA1009" s="1241"/>
      <c r="CB1009" s="1241"/>
      <c r="CC1009" s="1241"/>
      <c r="CD1009" s="1241"/>
      <c r="CE1009" s="1241"/>
      <c r="CF1009" s="1241"/>
      <c r="CG1009" s="1241"/>
      <c r="CH1009" s="1241"/>
      <c r="CI1009" s="1241"/>
      <c r="CJ1009" s="1241"/>
      <c r="CK1009" s="1241"/>
      <c r="CL1009" s="1241"/>
      <c r="CM1009" s="1241"/>
      <c r="CN1009" s="1241"/>
      <c r="CO1009" s="1241"/>
      <c r="CP1009" s="1241"/>
      <c r="CQ1009" s="1241"/>
      <c r="CR1009" s="1241"/>
      <c r="CS1009" s="1241"/>
      <c r="CT1009" s="1241"/>
      <c r="CU1009" s="1241"/>
      <c r="CV1009" s="1241"/>
      <c r="CW1009" s="1241"/>
      <c r="CX1009" s="1241"/>
      <c r="CY1009" s="1241"/>
      <c r="CZ1009" s="1241"/>
      <c r="DA1009" s="1241"/>
      <c r="DB1009" s="1241"/>
      <c r="DC1009" s="1241"/>
      <c r="DD1009" s="1241"/>
      <c r="DE1009" s="1241"/>
      <c r="DF1009" s="1241"/>
      <c r="DG1009" s="1241"/>
      <c r="DH1009" s="1241"/>
      <c r="DI1009" s="1241"/>
      <c r="DJ1009" s="1241"/>
      <c r="DK1009" s="1241"/>
      <c r="DL1009" s="1241"/>
      <c r="DM1009" s="1241"/>
    </row>
    <row r="1010" spans="1:117" s="1302" customFormat="1">
      <c r="A1010" s="1241"/>
      <c r="B1010" s="1468" t="s">
        <v>4352</v>
      </c>
      <c r="C1010" s="1241"/>
      <c r="D1010" s="1241"/>
      <c r="E1010" s="1469" t="s">
        <v>3925</v>
      </c>
      <c r="F1010" s="1470"/>
      <c r="G1010" s="1471">
        <v>2.5456570000000003</v>
      </c>
      <c r="H1010" s="1471">
        <v>3.2749999999999999</v>
      </c>
      <c r="I1010" s="1471">
        <v>2.6647499999999997</v>
      </c>
      <c r="J1010" s="1471">
        <v>3.2579301027729843</v>
      </c>
      <c r="K1010" s="1471">
        <v>4.089895882534039</v>
      </c>
      <c r="L1010" s="1471">
        <v>5.2567709268210798</v>
      </c>
      <c r="M1010" s="1471">
        <v>6.8933735396965092</v>
      </c>
      <c r="N1010" s="1471">
        <v>9.1887933668530852</v>
      </c>
      <c r="O1010" s="1471">
        <v>3.7230332452913255</v>
      </c>
      <c r="P1010" s="1241"/>
      <c r="Q1010" s="1241"/>
      <c r="R1010" s="1241"/>
      <c r="S1010" s="1241"/>
      <c r="T1010" s="1241"/>
      <c r="U1010" s="1241"/>
      <c r="V1010" s="1241"/>
      <c r="W1010" s="1241"/>
      <c r="X1010" s="1241"/>
      <c r="Y1010" s="1241"/>
      <c r="Z1010" s="1241"/>
      <c r="AA1010" s="1241"/>
      <c r="AB1010" s="1241"/>
      <c r="AC1010" s="1241"/>
      <c r="AD1010" s="1241"/>
      <c r="AE1010" s="1241"/>
      <c r="AF1010" s="1241"/>
      <c r="AG1010" s="1241"/>
      <c r="AH1010" s="1241"/>
      <c r="AI1010" s="1241"/>
      <c r="AJ1010" s="1241"/>
      <c r="AK1010" s="1241"/>
      <c r="AL1010" s="1241"/>
      <c r="AM1010" s="1241"/>
      <c r="AN1010" s="1241"/>
      <c r="AO1010" s="1241"/>
      <c r="AP1010" s="1241"/>
      <c r="AQ1010" s="1241"/>
      <c r="AR1010" s="1241"/>
      <c r="AS1010" s="1241"/>
      <c r="AT1010" s="1241"/>
      <c r="AU1010" s="1241"/>
      <c r="AV1010" s="1241"/>
      <c r="AW1010" s="1241"/>
      <c r="AX1010" s="1241"/>
      <c r="AY1010" s="1241"/>
      <c r="AZ1010" s="1241"/>
      <c r="BA1010" s="1241"/>
      <c r="BB1010" s="1241"/>
      <c r="BC1010" s="1241"/>
      <c r="BD1010" s="1241"/>
      <c r="BE1010" s="1241"/>
      <c r="BF1010" s="1241"/>
      <c r="BG1010" s="1241"/>
      <c r="BH1010" s="1241"/>
      <c r="BI1010" s="1241"/>
      <c r="BJ1010" s="1241"/>
      <c r="BK1010" s="1241"/>
      <c r="BL1010" s="1241"/>
      <c r="BM1010" s="1241"/>
      <c r="BN1010" s="1241"/>
      <c r="BO1010" s="1241"/>
      <c r="BP1010" s="1241"/>
      <c r="BQ1010" s="1241"/>
      <c r="BR1010" s="1241"/>
      <c r="BS1010" s="1241"/>
      <c r="BT1010" s="1241"/>
      <c r="BU1010" s="1241"/>
      <c r="BV1010" s="1241"/>
      <c r="BW1010" s="1241"/>
      <c r="BX1010" s="1241"/>
      <c r="BY1010" s="1241"/>
      <c r="BZ1010" s="1241"/>
      <c r="CA1010" s="1241"/>
      <c r="CB1010" s="1241"/>
      <c r="CC1010" s="1241"/>
      <c r="CD1010" s="1241"/>
      <c r="CE1010" s="1241"/>
      <c r="CF1010" s="1241"/>
      <c r="CG1010" s="1241"/>
      <c r="CH1010" s="1241"/>
      <c r="CI1010" s="1241"/>
      <c r="CJ1010" s="1241"/>
      <c r="CK1010" s="1241"/>
      <c r="CL1010" s="1241"/>
      <c r="CM1010" s="1241"/>
      <c r="CN1010" s="1241"/>
      <c r="CO1010" s="1241"/>
      <c r="CP1010" s="1241"/>
      <c r="CQ1010" s="1241"/>
      <c r="CR1010" s="1241"/>
      <c r="CS1010" s="1241"/>
      <c r="CT1010" s="1241"/>
      <c r="CU1010" s="1241"/>
      <c r="CV1010" s="1241"/>
      <c r="CW1010" s="1241"/>
      <c r="CX1010" s="1241"/>
      <c r="CY1010" s="1241"/>
      <c r="CZ1010" s="1241"/>
      <c r="DA1010" s="1241"/>
      <c r="DB1010" s="1241"/>
      <c r="DC1010" s="1241"/>
      <c r="DD1010" s="1241"/>
      <c r="DE1010" s="1241"/>
      <c r="DF1010" s="1241"/>
      <c r="DG1010" s="1241"/>
      <c r="DH1010" s="1241"/>
      <c r="DI1010" s="1241"/>
      <c r="DJ1010" s="1241"/>
      <c r="DK1010" s="1241"/>
      <c r="DL1010" s="1241"/>
      <c r="DM1010" s="1241"/>
    </row>
    <row r="1011" spans="1:117" s="1302" customFormat="1">
      <c r="A1011" s="1241"/>
      <c r="B1011" s="1468" t="s">
        <v>3849</v>
      </c>
      <c r="C1011" s="1241"/>
      <c r="D1011" s="1241"/>
      <c r="E1011" s="1469" t="s">
        <v>420</v>
      </c>
      <c r="F1011" s="1470"/>
      <c r="G1011" s="1541"/>
      <c r="H1011" s="1541">
        <v>2.1221999999999999</v>
      </c>
      <c r="I1011" s="1471">
        <v>1.7129715641279999</v>
      </c>
      <c r="J1011" s="1471">
        <v>2.0527314553373599</v>
      </c>
      <c r="K1011" s="1471">
        <v>2.5258020951703579</v>
      </c>
      <c r="L1011" s="1471">
        <v>3.1820193138365962</v>
      </c>
      <c r="M1011" s="1471">
        <v>4.0898959933146486</v>
      </c>
      <c r="N1011" s="1471">
        <v>5.3436207639750393</v>
      </c>
      <c r="O1011" s="1471">
        <v>2.3177431405024778</v>
      </c>
      <c r="P1011" s="1241"/>
      <c r="Q1011" s="1241"/>
      <c r="R1011" s="1241"/>
      <c r="S1011" s="1241"/>
      <c r="T1011" s="1241"/>
      <c r="U1011" s="1241"/>
      <c r="V1011" s="1241"/>
      <c r="W1011" s="1241"/>
      <c r="X1011" s="1241"/>
      <c r="Y1011" s="1241"/>
      <c r="Z1011" s="1241"/>
      <c r="AA1011" s="1241"/>
      <c r="AB1011" s="1241"/>
      <c r="AC1011" s="1241"/>
      <c r="AD1011" s="1241"/>
      <c r="AE1011" s="1241"/>
      <c r="AF1011" s="1241"/>
      <c r="AG1011" s="1241"/>
      <c r="AH1011" s="1241"/>
      <c r="AI1011" s="1241"/>
      <c r="AJ1011" s="1241"/>
      <c r="AK1011" s="1241"/>
      <c r="AL1011" s="1241"/>
      <c r="AM1011" s="1241"/>
      <c r="AN1011" s="1241"/>
      <c r="AO1011" s="1241"/>
      <c r="AP1011" s="1241"/>
      <c r="AQ1011" s="1241"/>
      <c r="AR1011" s="1241"/>
      <c r="AS1011" s="1241"/>
      <c r="AT1011" s="1241"/>
      <c r="AU1011" s="1241"/>
      <c r="AV1011" s="1241"/>
      <c r="AW1011" s="1241"/>
      <c r="AX1011" s="1241"/>
      <c r="AY1011" s="1241"/>
      <c r="AZ1011" s="1241"/>
      <c r="BA1011" s="1241"/>
      <c r="BB1011" s="1241"/>
      <c r="BC1011" s="1241"/>
      <c r="BD1011" s="1241"/>
      <c r="BE1011" s="1241"/>
      <c r="BF1011" s="1241"/>
      <c r="BG1011" s="1241"/>
      <c r="BH1011" s="1241"/>
      <c r="BI1011" s="1241"/>
      <c r="BJ1011" s="1241"/>
      <c r="BK1011" s="1241"/>
      <c r="BL1011" s="1241"/>
      <c r="BM1011" s="1241"/>
      <c r="BN1011" s="1241"/>
      <c r="BO1011" s="1241"/>
      <c r="BP1011" s="1241"/>
      <c r="BQ1011" s="1241"/>
      <c r="BR1011" s="1241"/>
      <c r="BS1011" s="1241"/>
      <c r="BT1011" s="1241"/>
      <c r="BU1011" s="1241"/>
      <c r="BV1011" s="1241"/>
      <c r="BW1011" s="1241"/>
      <c r="BX1011" s="1241"/>
      <c r="BY1011" s="1241"/>
      <c r="BZ1011" s="1241"/>
      <c r="CA1011" s="1241"/>
      <c r="CB1011" s="1241"/>
      <c r="CC1011" s="1241"/>
      <c r="CD1011" s="1241"/>
      <c r="CE1011" s="1241"/>
      <c r="CF1011" s="1241"/>
      <c r="CG1011" s="1241"/>
      <c r="CH1011" s="1241"/>
      <c r="CI1011" s="1241"/>
      <c r="CJ1011" s="1241"/>
      <c r="CK1011" s="1241"/>
      <c r="CL1011" s="1241"/>
      <c r="CM1011" s="1241"/>
      <c r="CN1011" s="1241"/>
      <c r="CO1011" s="1241"/>
      <c r="CP1011" s="1241"/>
      <c r="CQ1011" s="1241"/>
      <c r="CR1011" s="1241"/>
      <c r="CS1011" s="1241"/>
      <c r="CT1011" s="1241"/>
      <c r="CU1011" s="1241"/>
      <c r="CV1011" s="1241"/>
      <c r="CW1011" s="1241"/>
      <c r="CX1011" s="1241"/>
      <c r="CY1011" s="1241"/>
      <c r="CZ1011" s="1241"/>
      <c r="DA1011" s="1241"/>
      <c r="DB1011" s="1241"/>
      <c r="DC1011" s="1241"/>
      <c r="DD1011" s="1241"/>
      <c r="DE1011" s="1241"/>
      <c r="DF1011" s="1241"/>
      <c r="DG1011" s="1241"/>
      <c r="DH1011" s="1241"/>
      <c r="DI1011" s="1241"/>
      <c r="DJ1011" s="1241"/>
      <c r="DK1011" s="1241"/>
      <c r="DL1011" s="1241"/>
      <c r="DM1011" s="1241"/>
    </row>
    <row r="1012" spans="1:117" s="1302" customFormat="1">
      <c r="A1012" s="1243"/>
      <c r="B1012" s="1243"/>
      <c r="C1012" s="1214"/>
      <c r="D1012" s="1243"/>
      <c r="E1012" s="1215"/>
      <c r="F1012" s="1472"/>
      <c r="G1012" s="1473"/>
      <c r="H1012" s="1473"/>
      <c r="I1012" s="1473"/>
      <c r="J1012" s="1473"/>
      <c r="K1012" s="1473"/>
      <c r="L1012" s="1473"/>
      <c r="M1012" s="1473"/>
      <c r="N1012" s="1473"/>
      <c r="O1012" s="1472"/>
      <c r="P1012" s="1241"/>
      <c r="Q1012" s="1241"/>
      <c r="R1012" s="1241"/>
      <c r="S1012" s="1241"/>
      <c r="T1012" s="1241"/>
      <c r="U1012" s="1241"/>
      <c r="V1012" s="1241"/>
      <c r="W1012" s="1241"/>
      <c r="X1012" s="1241"/>
      <c r="Y1012" s="1241"/>
      <c r="Z1012" s="1241"/>
      <c r="AA1012" s="1241"/>
      <c r="AB1012" s="1241"/>
      <c r="AC1012" s="1241"/>
      <c r="AD1012" s="1241"/>
      <c r="AE1012" s="1241"/>
      <c r="AF1012" s="1241"/>
      <c r="AG1012" s="1241"/>
      <c r="AH1012" s="1241"/>
      <c r="AI1012" s="1241"/>
      <c r="AJ1012" s="1241"/>
      <c r="AK1012" s="1241"/>
      <c r="AL1012" s="1241"/>
      <c r="AM1012" s="1241"/>
      <c r="AN1012" s="1241"/>
      <c r="AO1012" s="1241"/>
      <c r="AP1012" s="1241"/>
      <c r="AQ1012" s="1241"/>
      <c r="AR1012" s="1241"/>
      <c r="AS1012" s="1241"/>
      <c r="AT1012" s="1241"/>
      <c r="AU1012" s="1241"/>
      <c r="AV1012" s="1241"/>
      <c r="AW1012" s="1241"/>
      <c r="AX1012" s="1241"/>
      <c r="AY1012" s="1241"/>
      <c r="AZ1012" s="1241"/>
      <c r="BA1012" s="1241"/>
      <c r="BB1012" s="1241"/>
      <c r="BC1012" s="1241"/>
      <c r="BD1012" s="1241"/>
      <c r="BE1012" s="1241"/>
      <c r="BF1012" s="1241"/>
      <c r="BG1012" s="1241"/>
      <c r="BH1012" s="1241"/>
      <c r="BI1012" s="1241"/>
      <c r="BJ1012" s="1241"/>
      <c r="BK1012" s="1241"/>
      <c r="BL1012" s="1241"/>
      <c r="BM1012" s="1241"/>
      <c r="BN1012" s="1241"/>
      <c r="BO1012" s="1241"/>
      <c r="BP1012" s="1241"/>
      <c r="BQ1012" s="1241"/>
      <c r="BR1012" s="1241"/>
      <c r="BS1012" s="1241"/>
      <c r="BT1012" s="1241"/>
      <c r="BU1012" s="1241"/>
      <c r="BV1012" s="1241"/>
      <c r="BW1012" s="1241"/>
      <c r="BX1012" s="1241"/>
      <c r="BY1012" s="1241"/>
      <c r="BZ1012" s="1241"/>
      <c r="CA1012" s="1241"/>
      <c r="CB1012" s="1241"/>
      <c r="CC1012" s="1241"/>
      <c r="CD1012" s="1241"/>
      <c r="CE1012" s="1241"/>
      <c r="CF1012" s="1241"/>
      <c r="CG1012" s="1241"/>
      <c r="CH1012" s="1241"/>
      <c r="CI1012" s="1241"/>
      <c r="CJ1012" s="1241"/>
      <c r="CK1012" s="1241"/>
      <c r="CL1012" s="1241"/>
      <c r="CM1012" s="1241"/>
      <c r="CN1012" s="1241"/>
      <c r="CO1012" s="1241"/>
      <c r="CP1012" s="1241"/>
      <c r="CQ1012" s="1241"/>
      <c r="CR1012" s="1241"/>
      <c r="CS1012" s="1241"/>
      <c r="CT1012" s="1241"/>
      <c r="CU1012" s="1241"/>
      <c r="CV1012" s="1241"/>
      <c r="CW1012" s="1241"/>
      <c r="CX1012" s="1241"/>
      <c r="CY1012" s="1241"/>
      <c r="CZ1012" s="1241"/>
      <c r="DA1012" s="1241"/>
      <c r="DB1012" s="1241"/>
      <c r="DC1012" s="1241"/>
      <c r="DD1012" s="1241"/>
      <c r="DE1012" s="1241"/>
      <c r="DF1012" s="1241"/>
      <c r="DG1012" s="1241"/>
      <c r="DH1012" s="1241"/>
      <c r="DI1012" s="1241"/>
      <c r="DJ1012" s="1241"/>
      <c r="DK1012" s="1241"/>
      <c r="DL1012" s="1241"/>
      <c r="DM1012" s="1241"/>
    </row>
    <row r="1013" spans="1:117">
      <c r="A1013" s="1459"/>
      <c r="B1013" s="1530" t="s">
        <v>4353</v>
      </c>
      <c r="C1013" s="1531"/>
      <c r="D1013" s="1531"/>
      <c r="E1013" s="1532" t="s">
        <v>840</v>
      </c>
      <c r="F1013" s="1533"/>
      <c r="G1013" s="1534">
        <v>2015</v>
      </c>
      <c r="H1013" s="1534">
        <v>2020</v>
      </c>
      <c r="I1013" s="1534">
        <v>2022</v>
      </c>
      <c r="J1013" s="1534">
        <v>2027</v>
      </c>
      <c r="K1013" s="1534">
        <v>2032</v>
      </c>
      <c r="L1013" s="1534">
        <v>2037</v>
      </c>
      <c r="M1013" s="1534">
        <v>2042</v>
      </c>
      <c r="N1013" s="1534">
        <v>2047</v>
      </c>
      <c r="O1013" s="1534">
        <v>2030</v>
      </c>
    </row>
    <row r="1014" spans="1:117">
      <c r="A1014" s="1243"/>
      <c r="B1014" s="1475" t="s">
        <v>4264</v>
      </c>
      <c r="C1014" s="1476"/>
      <c r="D1014" s="1475"/>
      <c r="E1014" s="1477"/>
      <c r="F1014" s="1478"/>
      <c r="G1014" s="1479"/>
      <c r="H1014" s="1479"/>
      <c r="I1014" s="1479"/>
      <c r="J1014" s="1479"/>
      <c r="K1014" s="1479"/>
      <c r="L1014" s="1479"/>
      <c r="M1014" s="1479"/>
      <c r="N1014" s="1479"/>
      <c r="O1014" s="1478"/>
    </row>
    <row r="1015" spans="1:117">
      <c r="A1015" s="1243"/>
      <c r="B1015" s="1480" t="s">
        <v>4354</v>
      </c>
      <c r="C1015" s="1480"/>
      <c r="D1015" s="1481"/>
      <c r="E1015" s="1482" t="s">
        <v>4688</v>
      </c>
      <c r="F1015" s="1483"/>
      <c r="G1015" s="1522"/>
      <c r="H1015" s="1484">
        <v>0.64800000000000002</v>
      </c>
      <c r="I1015" s="1484">
        <v>0.64282636800000004</v>
      </c>
      <c r="J1015" s="1484">
        <v>0.63007228227216394</v>
      </c>
      <c r="K1015" s="1484">
        <v>0.61757124575147093</v>
      </c>
      <c r="L1015" s="1484">
        <v>0.60531823778002336</v>
      </c>
      <c r="M1015" s="1484">
        <v>0.59330833731298305</v>
      </c>
      <c r="N1015" s="1484">
        <v>0.58153672094218456</v>
      </c>
      <c r="O1015" s="1484">
        <v>0.62254161802982111</v>
      </c>
    </row>
    <row r="1016" spans="1:117" s="1302" customFormat="1">
      <c r="A1016" s="1243"/>
      <c r="B1016" s="1480"/>
      <c r="C1016" s="1480"/>
      <c r="D1016" s="1481"/>
      <c r="E1016" s="1482"/>
      <c r="F1016" s="1483"/>
      <c r="G1016" s="1522"/>
      <c r="H1016" s="1522"/>
      <c r="I1016" s="1522"/>
      <c r="J1016" s="1522"/>
      <c r="K1016" s="1522"/>
      <c r="L1016" s="1522"/>
      <c r="M1016" s="1522"/>
      <c r="N1016" s="1522"/>
      <c r="O1016" s="1522"/>
      <c r="P1016" s="1241"/>
      <c r="Q1016" s="1241"/>
      <c r="R1016" s="1241"/>
      <c r="S1016" s="1241"/>
      <c r="T1016" s="1241"/>
      <c r="U1016" s="1241"/>
      <c r="V1016" s="1241"/>
      <c r="W1016" s="1241"/>
      <c r="X1016" s="1241"/>
      <c r="Y1016" s="1241"/>
      <c r="Z1016" s="1241"/>
      <c r="AA1016" s="1241"/>
      <c r="AB1016" s="1241"/>
      <c r="AC1016" s="1241"/>
      <c r="AD1016" s="1241"/>
      <c r="AE1016" s="1241"/>
      <c r="AF1016" s="1241"/>
      <c r="AG1016" s="1241"/>
      <c r="AH1016" s="1241"/>
      <c r="AI1016" s="1241"/>
      <c r="AJ1016" s="1241"/>
      <c r="AK1016" s="1241"/>
      <c r="AL1016" s="1241"/>
      <c r="AM1016" s="1241"/>
      <c r="AN1016" s="1241"/>
      <c r="AO1016" s="1241"/>
      <c r="AP1016" s="1241"/>
      <c r="AQ1016" s="1241"/>
      <c r="AR1016" s="1241"/>
      <c r="AS1016" s="1241"/>
      <c r="AT1016" s="1241"/>
      <c r="AU1016" s="1241"/>
      <c r="AV1016" s="1241"/>
      <c r="AW1016" s="1241"/>
      <c r="AX1016" s="1241"/>
      <c r="AY1016" s="1241"/>
      <c r="AZ1016" s="1241"/>
      <c r="BA1016" s="1241"/>
      <c r="BB1016" s="1241"/>
      <c r="BC1016" s="1241"/>
      <c r="BD1016" s="1241"/>
      <c r="BE1016" s="1241"/>
      <c r="BF1016" s="1241"/>
      <c r="BG1016" s="1241"/>
      <c r="BH1016" s="1241"/>
      <c r="BI1016" s="1241"/>
      <c r="BJ1016" s="1241"/>
      <c r="BK1016" s="1241"/>
      <c r="BL1016" s="1241"/>
      <c r="BM1016" s="1241"/>
      <c r="BN1016" s="1241"/>
      <c r="BO1016" s="1241"/>
      <c r="BP1016" s="1241"/>
      <c r="BQ1016" s="1241"/>
      <c r="BR1016" s="1241"/>
      <c r="BS1016" s="1241"/>
      <c r="BT1016" s="1241"/>
      <c r="BU1016" s="1241"/>
      <c r="BV1016" s="1241"/>
      <c r="BW1016" s="1241"/>
      <c r="BX1016" s="1241"/>
      <c r="BY1016" s="1241"/>
      <c r="BZ1016" s="1241"/>
      <c r="CA1016" s="1241"/>
      <c r="CB1016" s="1241"/>
      <c r="CC1016" s="1241"/>
      <c r="CD1016" s="1241"/>
      <c r="CE1016" s="1241"/>
      <c r="CF1016" s="1241"/>
      <c r="CG1016" s="1241"/>
      <c r="CH1016" s="1241"/>
      <c r="CI1016" s="1241"/>
      <c r="CJ1016" s="1241"/>
      <c r="CK1016" s="1241"/>
      <c r="CL1016" s="1241"/>
      <c r="CM1016" s="1241"/>
      <c r="CN1016" s="1241"/>
      <c r="CO1016" s="1241"/>
      <c r="CP1016" s="1241"/>
      <c r="CQ1016" s="1241"/>
      <c r="CR1016" s="1241"/>
      <c r="CS1016" s="1241"/>
      <c r="CT1016" s="1241"/>
      <c r="CU1016" s="1241"/>
      <c r="CV1016" s="1241"/>
      <c r="CW1016" s="1241"/>
      <c r="CX1016" s="1241"/>
      <c r="CY1016" s="1241"/>
      <c r="CZ1016" s="1241"/>
      <c r="DA1016" s="1241"/>
      <c r="DB1016" s="1241"/>
      <c r="DC1016" s="1241"/>
      <c r="DD1016" s="1241"/>
      <c r="DE1016" s="1241"/>
      <c r="DF1016" s="1241"/>
      <c r="DG1016" s="1241"/>
      <c r="DH1016" s="1241"/>
      <c r="DI1016" s="1241"/>
      <c r="DJ1016" s="1241"/>
      <c r="DK1016" s="1241"/>
      <c r="DL1016" s="1241"/>
      <c r="DM1016" s="1241"/>
    </row>
    <row r="1017" spans="1:117" s="1302" customFormat="1">
      <c r="A1017" s="1243"/>
      <c r="B1017" s="1480" t="s">
        <v>4266</v>
      </c>
      <c r="C1017" s="1480"/>
      <c r="D1017" s="1481"/>
      <c r="E1017" s="1482" t="s">
        <v>420</v>
      </c>
      <c r="F1017" s="1536"/>
      <c r="G1017" s="1522"/>
      <c r="H1017" s="1487">
        <v>1.6495857360000001</v>
      </c>
      <c r="I1017" s="1487">
        <v>2.1052563551999999</v>
      </c>
      <c r="J1017" s="1487">
        <v>1.6789851141847487</v>
      </c>
      <c r="K1017" s="1487">
        <v>2.0120039521407298</v>
      </c>
      <c r="L1017" s="1487">
        <v>2.4756885683192777</v>
      </c>
      <c r="M1017" s="1487">
        <v>3.1188860182274438</v>
      </c>
      <c r="N1017" s="1487">
        <v>4.0087498445047283</v>
      </c>
      <c r="O1017" s="1487">
        <v>2.0281970776083549</v>
      </c>
      <c r="P1017" s="1241"/>
      <c r="Q1017" s="1241"/>
      <c r="R1017" s="1241"/>
      <c r="S1017" s="1241"/>
      <c r="T1017" s="1241"/>
      <c r="U1017" s="1241"/>
      <c r="V1017" s="1241"/>
      <c r="W1017" s="1241"/>
      <c r="X1017" s="1241"/>
      <c r="Y1017" s="1241"/>
      <c r="Z1017" s="1241"/>
      <c r="AA1017" s="1241"/>
      <c r="AB1017" s="1241"/>
      <c r="AC1017" s="1241"/>
      <c r="AD1017" s="1241"/>
      <c r="AE1017" s="1241"/>
      <c r="AF1017" s="1241"/>
      <c r="AG1017" s="1241"/>
      <c r="AH1017" s="1241"/>
      <c r="AI1017" s="1241"/>
      <c r="AJ1017" s="1241"/>
      <c r="AK1017" s="1241"/>
      <c r="AL1017" s="1241"/>
      <c r="AM1017" s="1241"/>
      <c r="AN1017" s="1241"/>
      <c r="AO1017" s="1241"/>
      <c r="AP1017" s="1241"/>
      <c r="AQ1017" s="1241"/>
      <c r="AR1017" s="1241"/>
      <c r="AS1017" s="1241"/>
      <c r="AT1017" s="1241"/>
      <c r="AU1017" s="1241"/>
      <c r="AV1017" s="1241"/>
      <c r="AW1017" s="1241"/>
      <c r="AX1017" s="1241"/>
      <c r="AY1017" s="1241"/>
      <c r="AZ1017" s="1241"/>
      <c r="BA1017" s="1241"/>
      <c r="BB1017" s="1241"/>
      <c r="BC1017" s="1241"/>
      <c r="BD1017" s="1241"/>
      <c r="BE1017" s="1241"/>
      <c r="BF1017" s="1241"/>
      <c r="BG1017" s="1241"/>
      <c r="BH1017" s="1241"/>
      <c r="BI1017" s="1241"/>
      <c r="BJ1017" s="1241"/>
      <c r="BK1017" s="1241"/>
      <c r="BL1017" s="1241"/>
      <c r="BM1017" s="1241"/>
      <c r="BN1017" s="1241"/>
      <c r="BO1017" s="1241"/>
      <c r="BP1017" s="1241"/>
      <c r="BQ1017" s="1241"/>
      <c r="BR1017" s="1241"/>
      <c r="BS1017" s="1241"/>
      <c r="BT1017" s="1241"/>
      <c r="BU1017" s="1241"/>
      <c r="BV1017" s="1241"/>
      <c r="BW1017" s="1241"/>
      <c r="BX1017" s="1241"/>
      <c r="BY1017" s="1241"/>
      <c r="BZ1017" s="1241"/>
      <c r="CA1017" s="1241"/>
      <c r="CB1017" s="1241"/>
      <c r="CC1017" s="1241"/>
      <c r="CD1017" s="1241"/>
      <c r="CE1017" s="1241"/>
      <c r="CF1017" s="1241"/>
      <c r="CG1017" s="1241"/>
      <c r="CH1017" s="1241"/>
      <c r="CI1017" s="1241"/>
      <c r="CJ1017" s="1241"/>
      <c r="CK1017" s="1241"/>
      <c r="CL1017" s="1241"/>
      <c r="CM1017" s="1241"/>
      <c r="CN1017" s="1241"/>
      <c r="CO1017" s="1241"/>
      <c r="CP1017" s="1241"/>
      <c r="CQ1017" s="1241"/>
      <c r="CR1017" s="1241"/>
      <c r="CS1017" s="1241"/>
      <c r="CT1017" s="1241"/>
      <c r="CU1017" s="1241"/>
      <c r="CV1017" s="1241"/>
      <c r="CW1017" s="1241"/>
      <c r="CX1017" s="1241"/>
      <c r="CY1017" s="1241"/>
      <c r="CZ1017" s="1241"/>
      <c r="DA1017" s="1241"/>
      <c r="DB1017" s="1241"/>
      <c r="DC1017" s="1241"/>
      <c r="DD1017" s="1241"/>
      <c r="DE1017" s="1241"/>
      <c r="DF1017" s="1241"/>
      <c r="DG1017" s="1241"/>
      <c r="DH1017" s="1241"/>
      <c r="DI1017" s="1241"/>
      <c r="DJ1017" s="1241"/>
      <c r="DK1017" s="1241"/>
      <c r="DL1017" s="1241"/>
      <c r="DM1017" s="1241"/>
    </row>
    <row r="1018" spans="1:117" s="1302" customFormat="1">
      <c r="A1018" s="1243"/>
      <c r="B1018" s="1481"/>
      <c r="C1018" s="1480"/>
      <c r="D1018" s="1481"/>
      <c r="E1018" s="1537"/>
      <c r="F1018" s="1487"/>
      <c r="G1018" s="1522"/>
      <c r="H1018" s="1522"/>
      <c r="I1018" s="1522"/>
      <c r="J1018" s="1522"/>
      <c r="K1018" s="1522"/>
      <c r="L1018" s="1522"/>
      <c r="M1018" s="1522"/>
      <c r="N1018" s="1522"/>
      <c r="O1018" s="1487"/>
      <c r="P1018" s="1241"/>
      <c r="Q1018" s="1241"/>
      <c r="R1018" s="1241"/>
      <c r="S1018" s="1241"/>
      <c r="T1018" s="1241"/>
      <c r="U1018" s="1241"/>
      <c r="V1018" s="1241"/>
      <c r="W1018" s="1241"/>
      <c r="X1018" s="1241"/>
      <c r="Y1018" s="1241"/>
      <c r="Z1018" s="1241"/>
      <c r="AA1018" s="1241"/>
      <c r="AB1018" s="1241"/>
      <c r="AC1018" s="1241"/>
      <c r="AD1018" s="1241"/>
      <c r="AE1018" s="1241"/>
      <c r="AF1018" s="1241"/>
      <c r="AG1018" s="1241"/>
      <c r="AH1018" s="1241"/>
      <c r="AI1018" s="1241"/>
      <c r="AJ1018" s="1241"/>
      <c r="AK1018" s="1241"/>
      <c r="AL1018" s="1241"/>
      <c r="AM1018" s="1241"/>
      <c r="AN1018" s="1241"/>
      <c r="AO1018" s="1241"/>
      <c r="AP1018" s="1241"/>
      <c r="AQ1018" s="1241"/>
      <c r="AR1018" s="1241"/>
      <c r="AS1018" s="1241"/>
      <c r="AT1018" s="1241"/>
      <c r="AU1018" s="1241"/>
      <c r="AV1018" s="1241"/>
      <c r="AW1018" s="1241"/>
      <c r="AX1018" s="1241"/>
      <c r="AY1018" s="1241"/>
      <c r="AZ1018" s="1241"/>
      <c r="BA1018" s="1241"/>
      <c r="BB1018" s="1241"/>
      <c r="BC1018" s="1241"/>
      <c r="BD1018" s="1241"/>
      <c r="BE1018" s="1241"/>
      <c r="BF1018" s="1241"/>
      <c r="BG1018" s="1241"/>
      <c r="BH1018" s="1241"/>
      <c r="BI1018" s="1241"/>
      <c r="BJ1018" s="1241"/>
      <c r="BK1018" s="1241"/>
      <c r="BL1018" s="1241"/>
      <c r="BM1018" s="1241"/>
      <c r="BN1018" s="1241"/>
      <c r="BO1018" s="1241"/>
      <c r="BP1018" s="1241"/>
      <c r="BQ1018" s="1241"/>
      <c r="BR1018" s="1241"/>
      <c r="BS1018" s="1241"/>
      <c r="BT1018" s="1241"/>
      <c r="BU1018" s="1241"/>
      <c r="BV1018" s="1241"/>
      <c r="BW1018" s="1241"/>
      <c r="BX1018" s="1241"/>
      <c r="BY1018" s="1241"/>
      <c r="BZ1018" s="1241"/>
      <c r="CA1018" s="1241"/>
      <c r="CB1018" s="1241"/>
      <c r="CC1018" s="1241"/>
      <c r="CD1018" s="1241"/>
      <c r="CE1018" s="1241"/>
      <c r="CF1018" s="1241"/>
      <c r="CG1018" s="1241"/>
      <c r="CH1018" s="1241"/>
      <c r="CI1018" s="1241"/>
      <c r="CJ1018" s="1241"/>
      <c r="CK1018" s="1241"/>
      <c r="CL1018" s="1241"/>
      <c r="CM1018" s="1241"/>
      <c r="CN1018" s="1241"/>
      <c r="CO1018" s="1241"/>
      <c r="CP1018" s="1241"/>
      <c r="CQ1018" s="1241"/>
      <c r="CR1018" s="1241"/>
      <c r="CS1018" s="1241"/>
      <c r="CT1018" s="1241"/>
      <c r="CU1018" s="1241"/>
      <c r="CV1018" s="1241"/>
      <c r="CW1018" s="1241"/>
      <c r="CX1018" s="1241"/>
      <c r="CY1018" s="1241"/>
      <c r="CZ1018" s="1241"/>
      <c r="DA1018" s="1241"/>
      <c r="DB1018" s="1241"/>
      <c r="DC1018" s="1241"/>
      <c r="DD1018" s="1241"/>
      <c r="DE1018" s="1241"/>
      <c r="DF1018" s="1241"/>
      <c r="DG1018" s="1241"/>
      <c r="DH1018" s="1241"/>
      <c r="DI1018" s="1241"/>
      <c r="DJ1018" s="1241"/>
      <c r="DK1018" s="1241"/>
      <c r="DL1018" s="1241"/>
      <c r="DM1018" s="1241"/>
    </row>
    <row r="1019" spans="1:117" s="1302" customFormat="1">
      <c r="A1019" s="1243"/>
      <c r="B1019" s="1480" t="s">
        <v>4267</v>
      </c>
      <c r="C1019" s="1480"/>
      <c r="D1019" s="1481"/>
      <c r="E1019" s="1482" t="s">
        <v>1065</v>
      </c>
      <c r="F1019" s="1522"/>
      <c r="G1019" s="1522"/>
      <c r="H1019" s="1522"/>
      <c r="I1019" s="1522">
        <v>1.6943644799999991E-2</v>
      </c>
      <c r="J1019" s="1522">
        <v>3.3986449943251174E-2</v>
      </c>
      <c r="K1019" s="1522">
        <v>4.0727503196630099E-2</v>
      </c>
      <c r="L1019" s="1522">
        <v>5.011352685108017E-2</v>
      </c>
      <c r="M1019" s="1522">
        <v>6.3133295609152373E-2</v>
      </c>
      <c r="N1019" s="1522">
        <v>8.1146148809920327E-2</v>
      </c>
      <c r="O1019" s="1487">
        <v>2.4534377729005019E-2</v>
      </c>
      <c r="P1019" s="1241"/>
      <c r="Q1019" s="1241"/>
      <c r="R1019" s="1241"/>
      <c r="S1019" s="1241"/>
      <c r="T1019" s="1241"/>
      <c r="U1019" s="1241"/>
      <c r="V1019" s="1241"/>
      <c r="W1019" s="1241"/>
      <c r="X1019" s="1241"/>
      <c r="Y1019" s="1241"/>
      <c r="Z1019" s="1241"/>
      <c r="AA1019" s="1241"/>
      <c r="AB1019" s="1241"/>
      <c r="AC1019" s="1241"/>
      <c r="AD1019" s="1241"/>
      <c r="AE1019" s="1241"/>
      <c r="AF1019" s="1241"/>
      <c r="AG1019" s="1241"/>
      <c r="AH1019" s="1241"/>
      <c r="AI1019" s="1241"/>
      <c r="AJ1019" s="1241"/>
      <c r="AK1019" s="1241"/>
      <c r="AL1019" s="1241"/>
      <c r="AM1019" s="1241"/>
      <c r="AN1019" s="1241"/>
      <c r="AO1019" s="1241"/>
      <c r="AP1019" s="1241"/>
      <c r="AQ1019" s="1241"/>
      <c r="AR1019" s="1241"/>
      <c r="AS1019" s="1241"/>
      <c r="AT1019" s="1241"/>
      <c r="AU1019" s="1241"/>
      <c r="AV1019" s="1241"/>
      <c r="AW1019" s="1241"/>
      <c r="AX1019" s="1241"/>
      <c r="AY1019" s="1241"/>
      <c r="AZ1019" s="1241"/>
      <c r="BA1019" s="1241"/>
      <c r="BB1019" s="1241"/>
      <c r="BC1019" s="1241"/>
      <c r="BD1019" s="1241"/>
      <c r="BE1019" s="1241"/>
      <c r="BF1019" s="1241"/>
      <c r="BG1019" s="1241"/>
      <c r="BH1019" s="1241"/>
      <c r="BI1019" s="1241"/>
      <c r="BJ1019" s="1241"/>
      <c r="BK1019" s="1241"/>
      <c r="BL1019" s="1241"/>
      <c r="BM1019" s="1241"/>
      <c r="BN1019" s="1241"/>
      <c r="BO1019" s="1241"/>
      <c r="BP1019" s="1241"/>
      <c r="BQ1019" s="1241"/>
      <c r="BR1019" s="1241"/>
      <c r="BS1019" s="1241"/>
      <c r="BT1019" s="1241"/>
      <c r="BU1019" s="1241"/>
      <c r="BV1019" s="1241"/>
      <c r="BW1019" s="1241"/>
      <c r="BX1019" s="1241"/>
      <c r="BY1019" s="1241"/>
      <c r="BZ1019" s="1241"/>
      <c r="CA1019" s="1241"/>
      <c r="CB1019" s="1241"/>
      <c r="CC1019" s="1241"/>
      <c r="CD1019" s="1241"/>
      <c r="CE1019" s="1241"/>
      <c r="CF1019" s="1241"/>
      <c r="CG1019" s="1241"/>
      <c r="CH1019" s="1241"/>
      <c r="CI1019" s="1241"/>
      <c r="CJ1019" s="1241"/>
      <c r="CK1019" s="1241"/>
      <c r="CL1019" s="1241"/>
      <c r="CM1019" s="1241"/>
      <c r="CN1019" s="1241"/>
      <c r="CO1019" s="1241"/>
      <c r="CP1019" s="1241"/>
      <c r="CQ1019" s="1241"/>
      <c r="CR1019" s="1241"/>
      <c r="CS1019" s="1241"/>
      <c r="CT1019" s="1241"/>
      <c r="CU1019" s="1241"/>
      <c r="CV1019" s="1241"/>
      <c r="CW1019" s="1241"/>
      <c r="CX1019" s="1241"/>
      <c r="CY1019" s="1241"/>
      <c r="CZ1019" s="1241"/>
      <c r="DA1019" s="1241"/>
      <c r="DB1019" s="1241"/>
      <c r="DC1019" s="1241"/>
      <c r="DD1019" s="1241"/>
      <c r="DE1019" s="1241"/>
      <c r="DF1019" s="1241"/>
      <c r="DG1019" s="1241"/>
      <c r="DH1019" s="1241"/>
      <c r="DI1019" s="1241"/>
      <c r="DJ1019" s="1241"/>
      <c r="DK1019" s="1241"/>
      <c r="DL1019" s="1241"/>
      <c r="DM1019" s="1241"/>
    </row>
    <row r="1020" spans="1:117" s="1302" customFormat="1" hidden="1">
      <c r="A1020" s="1241"/>
      <c r="B1020" s="1459"/>
      <c r="C1020" s="1241"/>
      <c r="D1020" s="1459"/>
      <c r="E1020" s="1460"/>
      <c r="F1020" s="1540"/>
      <c r="G1020" s="1473"/>
      <c r="H1020" s="1473"/>
      <c r="I1020" s="1473"/>
      <c r="J1020" s="1473"/>
      <c r="K1020" s="1473"/>
      <c r="L1020" s="1473"/>
      <c r="M1020" s="1473"/>
      <c r="N1020" s="1473"/>
      <c r="O1020" s="1540"/>
      <c r="P1020" s="1241"/>
      <c r="Q1020" s="1241"/>
      <c r="R1020" s="1241"/>
      <c r="S1020" s="1241"/>
      <c r="T1020" s="1241"/>
      <c r="U1020" s="1241"/>
      <c r="V1020" s="1241"/>
      <c r="W1020" s="1241"/>
      <c r="X1020" s="1241"/>
      <c r="Y1020" s="1241"/>
      <c r="Z1020" s="1241"/>
      <c r="AA1020" s="1241"/>
      <c r="AB1020" s="1241"/>
      <c r="AC1020" s="1241"/>
      <c r="AD1020" s="1241"/>
      <c r="AE1020" s="1241"/>
      <c r="AF1020" s="1241"/>
      <c r="AG1020" s="1241"/>
      <c r="AH1020" s="1241"/>
      <c r="AI1020" s="1241"/>
      <c r="AJ1020" s="1241"/>
      <c r="AK1020" s="1241"/>
      <c r="AL1020" s="1241"/>
      <c r="AM1020" s="1241"/>
      <c r="AN1020" s="1241"/>
      <c r="AO1020" s="1241"/>
      <c r="AP1020" s="1241"/>
      <c r="AQ1020" s="1241"/>
      <c r="AR1020" s="1241"/>
      <c r="AS1020" s="1241"/>
      <c r="AT1020" s="1241"/>
      <c r="AU1020" s="1241"/>
      <c r="AV1020" s="1241"/>
      <c r="AW1020" s="1241"/>
      <c r="AX1020" s="1241"/>
      <c r="AY1020" s="1241"/>
      <c r="AZ1020" s="1241"/>
      <c r="BA1020" s="1241"/>
      <c r="BB1020" s="1241"/>
      <c r="BC1020" s="1241"/>
      <c r="BD1020" s="1241"/>
      <c r="BE1020" s="1241"/>
      <c r="BF1020" s="1241"/>
      <c r="BG1020" s="1241"/>
      <c r="BH1020" s="1241"/>
      <c r="BI1020" s="1241"/>
      <c r="BJ1020" s="1241"/>
      <c r="BK1020" s="1241"/>
      <c r="BL1020" s="1241"/>
      <c r="BM1020" s="1241"/>
      <c r="BN1020" s="1241"/>
      <c r="BO1020" s="1241"/>
      <c r="BP1020" s="1241"/>
      <c r="BQ1020" s="1241"/>
      <c r="BR1020" s="1241"/>
      <c r="BS1020" s="1241"/>
      <c r="BT1020" s="1241"/>
      <c r="BU1020" s="1241"/>
      <c r="BV1020" s="1241"/>
      <c r="BW1020" s="1241"/>
      <c r="BX1020" s="1241"/>
      <c r="BY1020" s="1241"/>
      <c r="BZ1020" s="1241"/>
      <c r="CA1020" s="1241"/>
      <c r="CB1020" s="1241"/>
      <c r="CC1020" s="1241"/>
      <c r="CD1020" s="1241"/>
      <c r="CE1020" s="1241"/>
      <c r="CF1020" s="1241"/>
      <c r="CG1020" s="1241"/>
      <c r="CH1020" s="1241"/>
      <c r="CI1020" s="1241"/>
      <c r="CJ1020" s="1241"/>
      <c r="CK1020" s="1241"/>
      <c r="CL1020" s="1241"/>
      <c r="CM1020" s="1241"/>
      <c r="CN1020" s="1241"/>
      <c r="CO1020" s="1241"/>
      <c r="CP1020" s="1241"/>
      <c r="CQ1020" s="1241"/>
      <c r="CR1020" s="1241"/>
      <c r="CS1020" s="1241"/>
      <c r="CT1020" s="1241"/>
      <c r="CU1020" s="1241"/>
      <c r="CV1020" s="1241"/>
      <c r="CW1020" s="1241"/>
      <c r="CX1020" s="1241"/>
      <c r="CY1020" s="1241"/>
      <c r="CZ1020" s="1241"/>
      <c r="DA1020" s="1241"/>
      <c r="DB1020" s="1241"/>
      <c r="DC1020" s="1241"/>
      <c r="DD1020" s="1241"/>
      <c r="DE1020" s="1241"/>
      <c r="DF1020" s="1241"/>
      <c r="DG1020" s="1241"/>
      <c r="DH1020" s="1241"/>
      <c r="DI1020" s="1241"/>
      <c r="DJ1020" s="1241"/>
      <c r="DK1020" s="1241"/>
      <c r="DL1020" s="1241"/>
      <c r="DM1020" s="1241"/>
    </row>
    <row r="1021" spans="1:117" s="1302" customFormat="1" hidden="1">
      <c r="A1021" s="1241"/>
      <c r="B1021" s="1558" t="s">
        <v>4274</v>
      </c>
      <c r="C1021" s="1559"/>
      <c r="D1021" s="1558"/>
      <c r="E1021" s="1460"/>
      <c r="F1021" s="1540"/>
      <c r="G1021" s="1473"/>
      <c r="H1021" s="1473"/>
      <c r="I1021" s="1473"/>
      <c r="J1021" s="1473"/>
      <c r="K1021" s="1473"/>
      <c r="L1021" s="1473"/>
      <c r="M1021" s="1473"/>
      <c r="N1021" s="1473"/>
      <c r="O1021" s="1540"/>
      <c r="P1021" s="1241"/>
      <c r="Q1021" s="1241"/>
      <c r="R1021" s="1241"/>
      <c r="S1021" s="1241"/>
      <c r="T1021" s="1241"/>
      <c r="U1021" s="1241"/>
      <c r="V1021" s="1241"/>
      <c r="W1021" s="1241"/>
      <c r="X1021" s="1241"/>
      <c r="Y1021" s="1241"/>
      <c r="Z1021" s="1241"/>
      <c r="AA1021" s="1241"/>
      <c r="AB1021" s="1241"/>
      <c r="AC1021" s="1241"/>
      <c r="AD1021" s="1241"/>
      <c r="AE1021" s="1241"/>
      <c r="AF1021" s="1241"/>
      <c r="AG1021" s="1241"/>
      <c r="AH1021" s="1241"/>
      <c r="AI1021" s="1241"/>
      <c r="AJ1021" s="1241"/>
      <c r="AK1021" s="1241"/>
      <c r="AL1021" s="1241"/>
      <c r="AM1021" s="1241"/>
      <c r="AN1021" s="1241"/>
      <c r="AO1021" s="1241"/>
      <c r="AP1021" s="1241"/>
      <c r="AQ1021" s="1241"/>
      <c r="AR1021" s="1241"/>
      <c r="AS1021" s="1241"/>
      <c r="AT1021" s="1241"/>
      <c r="AU1021" s="1241"/>
      <c r="AV1021" s="1241"/>
      <c r="AW1021" s="1241"/>
      <c r="AX1021" s="1241"/>
      <c r="AY1021" s="1241"/>
      <c r="AZ1021" s="1241"/>
      <c r="BA1021" s="1241"/>
      <c r="BB1021" s="1241"/>
      <c r="BC1021" s="1241"/>
      <c r="BD1021" s="1241"/>
      <c r="BE1021" s="1241"/>
      <c r="BF1021" s="1241"/>
      <c r="BG1021" s="1241"/>
      <c r="BH1021" s="1241"/>
      <c r="BI1021" s="1241"/>
      <c r="BJ1021" s="1241"/>
      <c r="BK1021" s="1241"/>
      <c r="BL1021" s="1241"/>
      <c r="BM1021" s="1241"/>
      <c r="BN1021" s="1241"/>
      <c r="BO1021" s="1241"/>
      <c r="BP1021" s="1241"/>
      <c r="BQ1021" s="1241"/>
      <c r="BR1021" s="1241"/>
      <c r="BS1021" s="1241"/>
      <c r="BT1021" s="1241"/>
      <c r="BU1021" s="1241"/>
      <c r="BV1021" s="1241"/>
      <c r="BW1021" s="1241"/>
      <c r="BX1021" s="1241"/>
      <c r="BY1021" s="1241"/>
      <c r="BZ1021" s="1241"/>
      <c r="CA1021" s="1241"/>
      <c r="CB1021" s="1241"/>
      <c r="CC1021" s="1241"/>
      <c r="CD1021" s="1241"/>
      <c r="CE1021" s="1241"/>
      <c r="CF1021" s="1241"/>
      <c r="CG1021" s="1241"/>
      <c r="CH1021" s="1241"/>
      <c r="CI1021" s="1241"/>
      <c r="CJ1021" s="1241"/>
      <c r="CK1021" s="1241"/>
      <c r="CL1021" s="1241"/>
      <c r="CM1021" s="1241"/>
      <c r="CN1021" s="1241"/>
      <c r="CO1021" s="1241"/>
      <c r="CP1021" s="1241"/>
      <c r="CQ1021" s="1241"/>
      <c r="CR1021" s="1241"/>
      <c r="CS1021" s="1241"/>
      <c r="CT1021" s="1241"/>
      <c r="CU1021" s="1241"/>
      <c r="CV1021" s="1241"/>
      <c r="CW1021" s="1241"/>
      <c r="CX1021" s="1241"/>
      <c r="CY1021" s="1241"/>
      <c r="CZ1021" s="1241"/>
      <c r="DA1021" s="1241"/>
      <c r="DB1021" s="1241"/>
      <c r="DC1021" s="1241"/>
      <c r="DD1021" s="1241"/>
      <c r="DE1021" s="1241"/>
      <c r="DF1021" s="1241"/>
      <c r="DG1021" s="1241"/>
      <c r="DH1021" s="1241"/>
      <c r="DI1021" s="1241"/>
      <c r="DJ1021" s="1241"/>
      <c r="DK1021" s="1241"/>
      <c r="DL1021" s="1241"/>
      <c r="DM1021" s="1241"/>
    </row>
    <row r="1022" spans="1:117" s="1302" customFormat="1" hidden="1">
      <c r="A1022" s="1241"/>
      <c r="B1022" s="1558"/>
      <c r="C1022" s="1559"/>
      <c r="D1022" s="1558"/>
      <c r="E1022" s="1460"/>
      <c r="F1022" s="1540"/>
      <c r="G1022" s="1473"/>
      <c r="H1022" s="1473"/>
      <c r="I1022" s="1473"/>
      <c r="J1022" s="1473"/>
      <c r="K1022" s="1473"/>
      <c r="L1022" s="1473"/>
      <c r="M1022" s="1473"/>
      <c r="N1022" s="1473"/>
      <c r="O1022" s="1540"/>
      <c r="P1022" s="1241"/>
      <c r="Q1022" s="1241"/>
      <c r="R1022" s="1241"/>
      <c r="S1022" s="1241"/>
      <c r="T1022" s="1241"/>
      <c r="U1022" s="1241"/>
      <c r="V1022" s="1241"/>
      <c r="W1022" s="1241"/>
      <c r="X1022" s="1241"/>
      <c r="Y1022" s="1241"/>
      <c r="Z1022" s="1241"/>
      <c r="AA1022" s="1241"/>
      <c r="AB1022" s="1241"/>
      <c r="AC1022" s="1241"/>
      <c r="AD1022" s="1241"/>
      <c r="AE1022" s="1241"/>
      <c r="AF1022" s="1241"/>
      <c r="AG1022" s="1241"/>
      <c r="AH1022" s="1241"/>
      <c r="AI1022" s="1241"/>
      <c r="AJ1022" s="1241"/>
      <c r="AK1022" s="1241"/>
      <c r="AL1022" s="1241"/>
      <c r="AM1022" s="1241"/>
      <c r="AN1022" s="1241"/>
      <c r="AO1022" s="1241"/>
      <c r="AP1022" s="1241"/>
      <c r="AQ1022" s="1241"/>
      <c r="AR1022" s="1241"/>
      <c r="AS1022" s="1241"/>
      <c r="AT1022" s="1241"/>
      <c r="AU1022" s="1241"/>
      <c r="AV1022" s="1241"/>
      <c r="AW1022" s="1241"/>
      <c r="AX1022" s="1241"/>
      <c r="AY1022" s="1241"/>
      <c r="AZ1022" s="1241"/>
      <c r="BA1022" s="1241"/>
      <c r="BB1022" s="1241"/>
      <c r="BC1022" s="1241"/>
      <c r="BD1022" s="1241"/>
      <c r="BE1022" s="1241"/>
      <c r="BF1022" s="1241"/>
      <c r="BG1022" s="1241"/>
      <c r="BH1022" s="1241"/>
      <c r="BI1022" s="1241"/>
      <c r="BJ1022" s="1241"/>
      <c r="BK1022" s="1241"/>
      <c r="BL1022" s="1241"/>
      <c r="BM1022" s="1241"/>
      <c r="BN1022" s="1241"/>
      <c r="BO1022" s="1241"/>
      <c r="BP1022" s="1241"/>
      <c r="BQ1022" s="1241"/>
      <c r="BR1022" s="1241"/>
      <c r="BS1022" s="1241"/>
      <c r="BT1022" s="1241"/>
      <c r="BU1022" s="1241"/>
      <c r="BV1022" s="1241"/>
      <c r="BW1022" s="1241"/>
      <c r="BX1022" s="1241"/>
      <c r="BY1022" s="1241"/>
      <c r="BZ1022" s="1241"/>
      <c r="CA1022" s="1241"/>
      <c r="CB1022" s="1241"/>
      <c r="CC1022" s="1241"/>
      <c r="CD1022" s="1241"/>
      <c r="CE1022" s="1241"/>
      <c r="CF1022" s="1241"/>
      <c r="CG1022" s="1241"/>
      <c r="CH1022" s="1241"/>
      <c r="CI1022" s="1241"/>
      <c r="CJ1022" s="1241"/>
      <c r="CK1022" s="1241"/>
      <c r="CL1022" s="1241"/>
      <c r="CM1022" s="1241"/>
      <c r="CN1022" s="1241"/>
      <c r="CO1022" s="1241"/>
      <c r="CP1022" s="1241"/>
      <c r="CQ1022" s="1241"/>
      <c r="CR1022" s="1241"/>
      <c r="CS1022" s="1241"/>
      <c r="CT1022" s="1241"/>
      <c r="CU1022" s="1241"/>
      <c r="CV1022" s="1241"/>
      <c r="CW1022" s="1241"/>
      <c r="CX1022" s="1241"/>
      <c r="CY1022" s="1241"/>
      <c r="CZ1022" s="1241"/>
      <c r="DA1022" s="1241"/>
      <c r="DB1022" s="1241"/>
      <c r="DC1022" s="1241"/>
      <c r="DD1022" s="1241"/>
      <c r="DE1022" s="1241"/>
      <c r="DF1022" s="1241"/>
      <c r="DG1022" s="1241"/>
      <c r="DH1022" s="1241"/>
      <c r="DI1022" s="1241"/>
      <c r="DJ1022" s="1241"/>
      <c r="DK1022" s="1241"/>
      <c r="DL1022" s="1241"/>
      <c r="DM1022" s="1241"/>
    </row>
    <row r="1023" spans="1:117" s="1302" customFormat="1" hidden="1">
      <c r="A1023" s="1241"/>
      <c r="B1023" s="1558" t="s">
        <v>4275</v>
      </c>
      <c r="C1023" s="1559"/>
      <c r="D1023" s="1558"/>
      <c r="E1023" s="1460"/>
      <c r="F1023" s="1540"/>
      <c r="G1023" s="1473"/>
      <c r="H1023" s="1473">
        <v>111.66474720000001</v>
      </c>
      <c r="I1023" s="1473">
        <v>111.66474720000001</v>
      </c>
      <c r="J1023" s="1473">
        <v>111.66474720000001</v>
      </c>
      <c r="K1023" s="1473">
        <v>111.66474720000001</v>
      </c>
      <c r="L1023" s="1473">
        <v>111.66474720000001</v>
      </c>
      <c r="M1023" s="1473">
        <v>111.66474720000001</v>
      </c>
      <c r="N1023" s="1473">
        <v>111.66474720000001</v>
      </c>
      <c r="O1023" s="1473">
        <v>111.66474720000001</v>
      </c>
      <c r="P1023" s="1241"/>
      <c r="Q1023" s="1241"/>
      <c r="R1023" s="1241"/>
      <c r="S1023" s="1241"/>
      <c r="T1023" s="1241"/>
      <c r="U1023" s="1241"/>
      <c r="V1023" s="1241"/>
      <c r="W1023" s="1241"/>
      <c r="X1023" s="1241"/>
      <c r="Y1023" s="1241"/>
      <c r="Z1023" s="1241"/>
      <c r="AA1023" s="1241"/>
      <c r="AB1023" s="1241"/>
      <c r="AC1023" s="1241"/>
      <c r="AD1023" s="1241"/>
      <c r="AE1023" s="1241"/>
      <c r="AF1023" s="1241"/>
      <c r="AG1023" s="1241"/>
      <c r="AH1023" s="1241"/>
      <c r="AI1023" s="1241"/>
      <c r="AJ1023" s="1241"/>
      <c r="AK1023" s="1241"/>
      <c r="AL1023" s="1241"/>
      <c r="AM1023" s="1241"/>
      <c r="AN1023" s="1241"/>
      <c r="AO1023" s="1241"/>
      <c r="AP1023" s="1241"/>
      <c r="AQ1023" s="1241"/>
      <c r="AR1023" s="1241"/>
      <c r="AS1023" s="1241"/>
      <c r="AT1023" s="1241"/>
      <c r="AU1023" s="1241"/>
      <c r="AV1023" s="1241"/>
      <c r="AW1023" s="1241"/>
      <c r="AX1023" s="1241"/>
      <c r="AY1023" s="1241"/>
      <c r="AZ1023" s="1241"/>
      <c r="BA1023" s="1241"/>
      <c r="BB1023" s="1241"/>
      <c r="BC1023" s="1241"/>
      <c r="BD1023" s="1241"/>
      <c r="BE1023" s="1241"/>
      <c r="BF1023" s="1241"/>
      <c r="BG1023" s="1241"/>
      <c r="BH1023" s="1241"/>
      <c r="BI1023" s="1241"/>
      <c r="BJ1023" s="1241"/>
      <c r="BK1023" s="1241"/>
      <c r="BL1023" s="1241"/>
      <c r="BM1023" s="1241"/>
      <c r="BN1023" s="1241"/>
      <c r="BO1023" s="1241"/>
      <c r="BP1023" s="1241"/>
      <c r="BQ1023" s="1241"/>
      <c r="BR1023" s="1241"/>
      <c r="BS1023" s="1241"/>
      <c r="BT1023" s="1241"/>
      <c r="BU1023" s="1241"/>
      <c r="BV1023" s="1241"/>
      <c r="BW1023" s="1241"/>
      <c r="BX1023" s="1241"/>
      <c r="BY1023" s="1241"/>
      <c r="BZ1023" s="1241"/>
      <c r="CA1023" s="1241"/>
      <c r="CB1023" s="1241"/>
      <c r="CC1023" s="1241"/>
      <c r="CD1023" s="1241"/>
      <c r="CE1023" s="1241"/>
      <c r="CF1023" s="1241"/>
      <c r="CG1023" s="1241"/>
      <c r="CH1023" s="1241"/>
      <c r="CI1023" s="1241"/>
      <c r="CJ1023" s="1241"/>
      <c r="CK1023" s="1241"/>
      <c r="CL1023" s="1241"/>
      <c r="CM1023" s="1241"/>
      <c r="CN1023" s="1241"/>
      <c r="CO1023" s="1241"/>
      <c r="CP1023" s="1241"/>
      <c r="CQ1023" s="1241"/>
      <c r="CR1023" s="1241"/>
      <c r="CS1023" s="1241"/>
      <c r="CT1023" s="1241"/>
      <c r="CU1023" s="1241"/>
      <c r="CV1023" s="1241"/>
      <c r="CW1023" s="1241"/>
      <c r="CX1023" s="1241"/>
      <c r="CY1023" s="1241"/>
      <c r="CZ1023" s="1241"/>
      <c r="DA1023" s="1241"/>
      <c r="DB1023" s="1241"/>
      <c r="DC1023" s="1241"/>
      <c r="DD1023" s="1241"/>
      <c r="DE1023" s="1241"/>
      <c r="DF1023" s="1241"/>
      <c r="DG1023" s="1241"/>
      <c r="DH1023" s="1241"/>
      <c r="DI1023" s="1241"/>
      <c r="DJ1023" s="1241"/>
      <c r="DK1023" s="1241"/>
      <c r="DL1023" s="1241"/>
      <c r="DM1023" s="1241"/>
    </row>
    <row r="1024" spans="1:117" s="1302" customFormat="1" hidden="1">
      <c r="A1024" s="1241"/>
      <c r="B1024" s="1572" t="s">
        <v>4276</v>
      </c>
      <c r="C1024" s="1562"/>
      <c r="D1024" s="1563"/>
      <c r="E1024" s="1564"/>
      <c r="F1024" s="1565"/>
      <c r="G1024" s="1566"/>
      <c r="H1024" s="1566">
        <v>0</v>
      </c>
      <c r="I1024" s="1566">
        <v>1.8920078132385936</v>
      </c>
      <c r="J1024" s="1566">
        <v>3.7950883411385967</v>
      </c>
      <c r="K1024" s="1566">
        <v>4.5478263485388926</v>
      </c>
      <c r="L1024" s="1566">
        <v>5.5959143071262796</v>
      </c>
      <c r="M1024" s="1566">
        <v>7.0497634940988707</v>
      </c>
      <c r="N1024" s="1566">
        <v>9.0611641931133349</v>
      </c>
      <c r="O1024" s="1566">
        <v>2.7396250868186556</v>
      </c>
      <c r="P1024" s="1241"/>
      <c r="Q1024" s="1241"/>
      <c r="R1024" s="1241"/>
      <c r="S1024" s="1241"/>
      <c r="T1024" s="1241"/>
      <c r="U1024" s="1241"/>
      <c r="V1024" s="1241"/>
      <c r="W1024" s="1241"/>
      <c r="X1024" s="1241"/>
      <c r="Y1024" s="1241"/>
      <c r="Z1024" s="1241"/>
      <c r="AA1024" s="1241"/>
      <c r="AB1024" s="1241"/>
      <c r="AC1024" s="1241"/>
      <c r="AD1024" s="1241"/>
      <c r="AE1024" s="1241"/>
      <c r="AF1024" s="1241"/>
      <c r="AG1024" s="1241"/>
      <c r="AH1024" s="1241"/>
      <c r="AI1024" s="1241"/>
      <c r="AJ1024" s="1241"/>
      <c r="AK1024" s="1241"/>
      <c r="AL1024" s="1241"/>
      <c r="AM1024" s="1241"/>
      <c r="AN1024" s="1241"/>
      <c r="AO1024" s="1241"/>
      <c r="AP1024" s="1241"/>
      <c r="AQ1024" s="1241"/>
      <c r="AR1024" s="1241"/>
      <c r="AS1024" s="1241"/>
      <c r="AT1024" s="1241"/>
      <c r="AU1024" s="1241"/>
      <c r="AV1024" s="1241"/>
      <c r="AW1024" s="1241"/>
      <c r="AX1024" s="1241"/>
      <c r="AY1024" s="1241"/>
      <c r="AZ1024" s="1241"/>
      <c r="BA1024" s="1241"/>
      <c r="BB1024" s="1241"/>
      <c r="BC1024" s="1241"/>
      <c r="BD1024" s="1241"/>
      <c r="BE1024" s="1241"/>
      <c r="BF1024" s="1241"/>
      <c r="BG1024" s="1241"/>
      <c r="BH1024" s="1241"/>
      <c r="BI1024" s="1241"/>
      <c r="BJ1024" s="1241"/>
      <c r="BK1024" s="1241"/>
      <c r="BL1024" s="1241"/>
      <c r="BM1024" s="1241"/>
      <c r="BN1024" s="1241"/>
      <c r="BO1024" s="1241"/>
      <c r="BP1024" s="1241"/>
      <c r="BQ1024" s="1241"/>
      <c r="BR1024" s="1241"/>
      <c r="BS1024" s="1241"/>
      <c r="BT1024" s="1241"/>
      <c r="BU1024" s="1241"/>
      <c r="BV1024" s="1241"/>
      <c r="BW1024" s="1241"/>
      <c r="BX1024" s="1241"/>
      <c r="BY1024" s="1241"/>
      <c r="BZ1024" s="1241"/>
      <c r="CA1024" s="1241"/>
      <c r="CB1024" s="1241"/>
      <c r="CC1024" s="1241"/>
      <c r="CD1024" s="1241"/>
      <c r="CE1024" s="1241"/>
      <c r="CF1024" s="1241"/>
      <c r="CG1024" s="1241"/>
      <c r="CH1024" s="1241"/>
      <c r="CI1024" s="1241"/>
      <c r="CJ1024" s="1241"/>
      <c r="CK1024" s="1241"/>
      <c r="CL1024" s="1241"/>
      <c r="CM1024" s="1241"/>
      <c r="CN1024" s="1241"/>
      <c r="CO1024" s="1241"/>
      <c r="CP1024" s="1241"/>
      <c r="CQ1024" s="1241"/>
      <c r="CR1024" s="1241"/>
      <c r="CS1024" s="1241"/>
      <c r="CT1024" s="1241"/>
      <c r="CU1024" s="1241"/>
      <c r="CV1024" s="1241"/>
      <c r="CW1024" s="1241"/>
      <c r="CX1024" s="1241"/>
      <c r="CY1024" s="1241"/>
      <c r="CZ1024" s="1241"/>
      <c r="DA1024" s="1241"/>
      <c r="DB1024" s="1241"/>
      <c r="DC1024" s="1241"/>
      <c r="DD1024" s="1241"/>
      <c r="DE1024" s="1241"/>
      <c r="DF1024" s="1241"/>
      <c r="DG1024" s="1241"/>
      <c r="DH1024" s="1241"/>
      <c r="DI1024" s="1241"/>
      <c r="DJ1024" s="1241"/>
      <c r="DK1024" s="1241"/>
      <c r="DL1024" s="1241"/>
      <c r="DM1024" s="1241"/>
    </row>
    <row r="1025" spans="1:117" s="1302" customFormat="1" hidden="1">
      <c r="A1025" s="1241"/>
      <c r="B1025" s="1558"/>
      <c r="C1025" s="1559"/>
      <c r="D1025" s="1558"/>
      <c r="E1025" s="1460"/>
      <c r="F1025" s="1540"/>
      <c r="G1025" s="1473"/>
      <c r="H1025" s="1473"/>
      <c r="I1025" s="1473"/>
      <c r="J1025" s="1473"/>
      <c r="K1025" s="1473"/>
      <c r="L1025" s="1473"/>
      <c r="M1025" s="1473"/>
      <c r="N1025" s="1473"/>
      <c r="O1025" s="1540"/>
      <c r="P1025" s="1241"/>
      <c r="Q1025" s="1241"/>
      <c r="R1025" s="1241"/>
      <c r="S1025" s="1241"/>
      <c r="T1025" s="1241"/>
      <c r="U1025" s="1241"/>
      <c r="V1025" s="1241"/>
      <c r="W1025" s="1241"/>
      <c r="X1025" s="1241"/>
      <c r="Y1025" s="1241"/>
      <c r="Z1025" s="1241"/>
      <c r="AA1025" s="1241"/>
      <c r="AB1025" s="1241"/>
      <c r="AC1025" s="1241"/>
      <c r="AD1025" s="1241"/>
      <c r="AE1025" s="1241"/>
      <c r="AF1025" s="1241"/>
      <c r="AG1025" s="1241"/>
      <c r="AH1025" s="1241"/>
      <c r="AI1025" s="1241"/>
      <c r="AJ1025" s="1241"/>
      <c r="AK1025" s="1241"/>
      <c r="AL1025" s="1241"/>
      <c r="AM1025" s="1241"/>
      <c r="AN1025" s="1241"/>
      <c r="AO1025" s="1241"/>
      <c r="AP1025" s="1241"/>
      <c r="AQ1025" s="1241"/>
      <c r="AR1025" s="1241"/>
      <c r="AS1025" s="1241"/>
      <c r="AT1025" s="1241"/>
      <c r="AU1025" s="1241"/>
      <c r="AV1025" s="1241"/>
      <c r="AW1025" s="1241"/>
      <c r="AX1025" s="1241"/>
      <c r="AY1025" s="1241"/>
      <c r="AZ1025" s="1241"/>
      <c r="BA1025" s="1241"/>
      <c r="BB1025" s="1241"/>
      <c r="BC1025" s="1241"/>
      <c r="BD1025" s="1241"/>
      <c r="BE1025" s="1241"/>
      <c r="BF1025" s="1241"/>
      <c r="BG1025" s="1241"/>
      <c r="BH1025" s="1241"/>
      <c r="BI1025" s="1241"/>
      <c r="BJ1025" s="1241"/>
      <c r="BK1025" s="1241"/>
      <c r="BL1025" s="1241"/>
      <c r="BM1025" s="1241"/>
      <c r="BN1025" s="1241"/>
      <c r="BO1025" s="1241"/>
      <c r="BP1025" s="1241"/>
      <c r="BQ1025" s="1241"/>
      <c r="BR1025" s="1241"/>
      <c r="BS1025" s="1241"/>
      <c r="BT1025" s="1241"/>
      <c r="BU1025" s="1241"/>
      <c r="BV1025" s="1241"/>
      <c r="BW1025" s="1241"/>
      <c r="BX1025" s="1241"/>
      <c r="BY1025" s="1241"/>
      <c r="BZ1025" s="1241"/>
      <c r="CA1025" s="1241"/>
      <c r="CB1025" s="1241"/>
      <c r="CC1025" s="1241"/>
      <c r="CD1025" s="1241"/>
      <c r="CE1025" s="1241"/>
      <c r="CF1025" s="1241"/>
      <c r="CG1025" s="1241"/>
      <c r="CH1025" s="1241"/>
      <c r="CI1025" s="1241"/>
      <c r="CJ1025" s="1241"/>
      <c r="CK1025" s="1241"/>
      <c r="CL1025" s="1241"/>
      <c r="CM1025" s="1241"/>
      <c r="CN1025" s="1241"/>
      <c r="CO1025" s="1241"/>
      <c r="CP1025" s="1241"/>
      <c r="CQ1025" s="1241"/>
      <c r="CR1025" s="1241"/>
      <c r="CS1025" s="1241"/>
      <c r="CT1025" s="1241"/>
      <c r="CU1025" s="1241"/>
      <c r="CV1025" s="1241"/>
      <c r="CW1025" s="1241"/>
      <c r="CX1025" s="1241"/>
      <c r="CY1025" s="1241"/>
      <c r="CZ1025" s="1241"/>
      <c r="DA1025" s="1241"/>
      <c r="DB1025" s="1241"/>
      <c r="DC1025" s="1241"/>
      <c r="DD1025" s="1241"/>
      <c r="DE1025" s="1241"/>
      <c r="DF1025" s="1241"/>
      <c r="DG1025" s="1241"/>
      <c r="DH1025" s="1241"/>
      <c r="DI1025" s="1241"/>
      <c r="DJ1025" s="1241"/>
      <c r="DK1025" s="1241"/>
      <c r="DL1025" s="1241"/>
      <c r="DM1025" s="1241"/>
    </row>
    <row r="1026" spans="1:117" s="1302" customFormat="1" hidden="1">
      <c r="A1026" s="1241"/>
      <c r="B1026" s="1558" t="s">
        <v>4277</v>
      </c>
      <c r="C1026" s="1559"/>
      <c r="D1026" s="1558"/>
      <c r="E1026" s="1460"/>
      <c r="F1026" s="1540"/>
      <c r="G1026" s="1473"/>
      <c r="H1026" s="1473"/>
      <c r="I1026" s="1473"/>
      <c r="J1026" s="1473"/>
      <c r="K1026" s="1473"/>
      <c r="L1026" s="1473"/>
      <c r="M1026" s="1473"/>
      <c r="N1026" s="1473"/>
      <c r="O1026" s="1540"/>
      <c r="P1026" s="1241"/>
      <c r="Q1026" s="1241"/>
      <c r="R1026" s="1241"/>
      <c r="S1026" s="1241"/>
      <c r="T1026" s="1241"/>
      <c r="U1026" s="1241"/>
      <c r="V1026" s="1241"/>
      <c r="W1026" s="1241"/>
      <c r="X1026" s="1241"/>
      <c r="Y1026" s="1241"/>
      <c r="Z1026" s="1241"/>
      <c r="AA1026" s="1241"/>
      <c r="AB1026" s="1241"/>
      <c r="AC1026" s="1241"/>
      <c r="AD1026" s="1241"/>
      <c r="AE1026" s="1241"/>
      <c r="AF1026" s="1241"/>
      <c r="AG1026" s="1241"/>
      <c r="AH1026" s="1241"/>
      <c r="AI1026" s="1241"/>
      <c r="AJ1026" s="1241"/>
      <c r="AK1026" s="1241"/>
      <c r="AL1026" s="1241"/>
      <c r="AM1026" s="1241"/>
      <c r="AN1026" s="1241"/>
      <c r="AO1026" s="1241"/>
      <c r="AP1026" s="1241"/>
      <c r="AQ1026" s="1241"/>
      <c r="AR1026" s="1241"/>
      <c r="AS1026" s="1241"/>
      <c r="AT1026" s="1241"/>
      <c r="AU1026" s="1241"/>
      <c r="AV1026" s="1241"/>
      <c r="AW1026" s="1241"/>
      <c r="AX1026" s="1241"/>
      <c r="AY1026" s="1241"/>
      <c r="AZ1026" s="1241"/>
      <c r="BA1026" s="1241"/>
      <c r="BB1026" s="1241"/>
      <c r="BC1026" s="1241"/>
      <c r="BD1026" s="1241"/>
      <c r="BE1026" s="1241"/>
      <c r="BF1026" s="1241"/>
      <c r="BG1026" s="1241"/>
      <c r="BH1026" s="1241"/>
      <c r="BI1026" s="1241"/>
      <c r="BJ1026" s="1241"/>
      <c r="BK1026" s="1241"/>
      <c r="BL1026" s="1241"/>
      <c r="BM1026" s="1241"/>
      <c r="BN1026" s="1241"/>
      <c r="BO1026" s="1241"/>
      <c r="BP1026" s="1241"/>
      <c r="BQ1026" s="1241"/>
      <c r="BR1026" s="1241"/>
      <c r="BS1026" s="1241"/>
      <c r="BT1026" s="1241"/>
      <c r="BU1026" s="1241"/>
      <c r="BV1026" s="1241"/>
      <c r="BW1026" s="1241"/>
      <c r="BX1026" s="1241"/>
      <c r="BY1026" s="1241"/>
      <c r="BZ1026" s="1241"/>
      <c r="CA1026" s="1241"/>
      <c r="CB1026" s="1241"/>
      <c r="CC1026" s="1241"/>
      <c r="CD1026" s="1241"/>
      <c r="CE1026" s="1241"/>
      <c r="CF1026" s="1241"/>
      <c r="CG1026" s="1241"/>
      <c r="CH1026" s="1241"/>
      <c r="CI1026" s="1241"/>
      <c r="CJ1026" s="1241"/>
      <c r="CK1026" s="1241"/>
      <c r="CL1026" s="1241"/>
      <c r="CM1026" s="1241"/>
      <c r="CN1026" s="1241"/>
      <c r="CO1026" s="1241"/>
      <c r="CP1026" s="1241"/>
      <c r="CQ1026" s="1241"/>
      <c r="CR1026" s="1241"/>
      <c r="CS1026" s="1241"/>
      <c r="CT1026" s="1241"/>
      <c r="CU1026" s="1241"/>
      <c r="CV1026" s="1241"/>
      <c r="CW1026" s="1241"/>
      <c r="CX1026" s="1241"/>
      <c r="CY1026" s="1241"/>
      <c r="CZ1026" s="1241"/>
      <c r="DA1026" s="1241"/>
      <c r="DB1026" s="1241"/>
      <c r="DC1026" s="1241"/>
      <c r="DD1026" s="1241"/>
      <c r="DE1026" s="1241"/>
      <c r="DF1026" s="1241"/>
      <c r="DG1026" s="1241"/>
      <c r="DH1026" s="1241"/>
      <c r="DI1026" s="1241"/>
      <c r="DJ1026" s="1241"/>
      <c r="DK1026" s="1241"/>
      <c r="DL1026" s="1241"/>
      <c r="DM1026" s="1241"/>
    </row>
    <row r="1027" spans="1:117" s="1302" customFormat="1" hidden="1">
      <c r="A1027" s="1241"/>
      <c r="B1027" s="1558"/>
      <c r="C1027" s="1559"/>
      <c r="D1027" s="1558"/>
      <c r="E1027" s="1460"/>
      <c r="F1027" s="1540"/>
      <c r="G1027" s="1473"/>
      <c r="H1027" s="1473"/>
      <c r="I1027" s="1473"/>
      <c r="J1027" s="1473"/>
      <c r="K1027" s="1473"/>
      <c r="L1027" s="1473"/>
      <c r="M1027" s="1473"/>
      <c r="N1027" s="1473"/>
      <c r="O1027" s="1540"/>
      <c r="P1027" s="1241"/>
      <c r="Q1027" s="1241"/>
      <c r="R1027" s="1241"/>
      <c r="S1027" s="1241"/>
      <c r="T1027" s="1241"/>
      <c r="U1027" s="1241"/>
      <c r="V1027" s="1241"/>
      <c r="W1027" s="1241"/>
      <c r="X1027" s="1241"/>
      <c r="Y1027" s="1241"/>
      <c r="Z1027" s="1241"/>
      <c r="AA1027" s="1241"/>
      <c r="AB1027" s="1241"/>
      <c r="AC1027" s="1241"/>
      <c r="AD1027" s="1241"/>
      <c r="AE1027" s="1241"/>
      <c r="AF1027" s="1241"/>
      <c r="AG1027" s="1241"/>
      <c r="AH1027" s="1241"/>
      <c r="AI1027" s="1241"/>
      <c r="AJ1027" s="1241"/>
      <c r="AK1027" s="1241"/>
      <c r="AL1027" s="1241"/>
      <c r="AM1027" s="1241"/>
      <c r="AN1027" s="1241"/>
      <c r="AO1027" s="1241"/>
      <c r="AP1027" s="1241"/>
      <c r="AQ1027" s="1241"/>
      <c r="AR1027" s="1241"/>
      <c r="AS1027" s="1241"/>
      <c r="AT1027" s="1241"/>
      <c r="AU1027" s="1241"/>
      <c r="AV1027" s="1241"/>
      <c r="AW1027" s="1241"/>
      <c r="AX1027" s="1241"/>
      <c r="AY1027" s="1241"/>
      <c r="AZ1027" s="1241"/>
      <c r="BA1027" s="1241"/>
      <c r="BB1027" s="1241"/>
      <c r="BC1027" s="1241"/>
      <c r="BD1027" s="1241"/>
      <c r="BE1027" s="1241"/>
      <c r="BF1027" s="1241"/>
      <c r="BG1027" s="1241"/>
      <c r="BH1027" s="1241"/>
      <c r="BI1027" s="1241"/>
      <c r="BJ1027" s="1241"/>
      <c r="BK1027" s="1241"/>
      <c r="BL1027" s="1241"/>
      <c r="BM1027" s="1241"/>
      <c r="BN1027" s="1241"/>
      <c r="BO1027" s="1241"/>
      <c r="BP1027" s="1241"/>
      <c r="BQ1027" s="1241"/>
      <c r="BR1027" s="1241"/>
      <c r="BS1027" s="1241"/>
      <c r="BT1027" s="1241"/>
      <c r="BU1027" s="1241"/>
      <c r="BV1027" s="1241"/>
      <c r="BW1027" s="1241"/>
      <c r="BX1027" s="1241"/>
      <c r="BY1027" s="1241"/>
      <c r="BZ1027" s="1241"/>
      <c r="CA1027" s="1241"/>
      <c r="CB1027" s="1241"/>
      <c r="CC1027" s="1241"/>
      <c r="CD1027" s="1241"/>
      <c r="CE1027" s="1241"/>
      <c r="CF1027" s="1241"/>
      <c r="CG1027" s="1241"/>
      <c r="CH1027" s="1241"/>
      <c r="CI1027" s="1241"/>
      <c r="CJ1027" s="1241"/>
      <c r="CK1027" s="1241"/>
      <c r="CL1027" s="1241"/>
      <c r="CM1027" s="1241"/>
      <c r="CN1027" s="1241"/>
      <c r="CO1027" s="1241"/>
      <c r="CP1027" s="1241"/>
      <c r="CQ1027" s="1241"/>
      <c r="CR1027" s="1241"/>
      <c r="CS1027" s="1241"/>
      <c r="CT1027" s="1241"/>
      <c r="CU1027" s="1241"/>
      <c r="CV1027" s="1241"/>
      <c r="CW1027" s="1241"/>
      <c r="CX1027" s="1241"/>
      <c r="CY1027" s="1241"/>
      <c r="CZ1027" s="1241"/>
      <c r="DA1027" s="1241"/>
      <c r="DB1027" s="1241"/>
      <c r="DC1027" s="1241"/>
      <c r="DD1027" s="1241"/>
      <c r="DE1027" s="1241"/>
      <c r="DF1027" s="1241"/>
      <c r="DG1027" s="1241"/>
      <c r="DH1027" s="1241"/>
      <c r="DI1027" s="1241"/>
      <c r="DJ1027" s="1241"/>
      <c r="DK1027" s="1241"/>
      <c r="DL1027" s="1241"/>
      <c r="DM1027" s="1241"/>
    </row>
    <row r="1028" spans="1:117" s="1302" customFormat="1" hidden="1">
      <c r="A1028" s="1241"/>
      <c r="B1028" s="1558" t="s">
        <v>4275</v>
      </c>
      <c r="C1028" s="1559"/>
      <c r="D1028" s="1558"/>
      <c r="E1028" s="1460"/>
      <c r="F1028" s="1540"/>
      <c r="G1028" s="1473"/>
      <c r="H1028" s="1473">
        <v>41.874280200000008</v>
      </c>
      <c r="I1028" s="1473">
        <v>41.874280200000008</v>
      </c>
      <c r="J1028" s="1473">
        <v>41.874280200000008</v>
      </c>
      <c r="K1028" s="1473">
        <v>41.874280200000008</v>
      </c>
      <c r="L1028" s="1473">
        <v>41.874280200000008</v>
      </c>
      <c r="M1028" s="1473">
        <v>41.874280200000008</v>
      </c>
      <c r="N1028" s="1473">
        <v>41.874280200000008</v>
      </c>
      <c r="O1028" s="1473">
        <v>41.874280200000008</v>
      </c>
      <c r="P1028" s="1241"/>
      <c r="Q1028" s="1241"/>
      <c r="R1028" s="1241"/>
      <c r="S1028" s="1241"/>
      <c r="T1028" s="1241"/>
      <c r="U1028" s="1241"/>
      <c r="V1028" s="1241"/>
      <c r="W1028" s="1241"/>
      <c r="X1028" s="1241"/>
      <c r="Y1028" s="1241"/>
      <c r="Z1028" s="1241"/>
      <c r="AA1028" s="1241"/>
      <c r="AB1028" s="1241"/>
      <c r="AC1028" s="1241"/>
      <c r="AD1028" s="1241"/>
      <c r="AE1028" s="1241"/>
      <c r="AF1028" s="1241"/>
      <c r="AG1028" s="1241"/>
      <c r="AH1028" s="1241"/>
      <c r="AI1028" s="1241"/>
      <c r="AJ1028" s="1241"/>
      <c r="AK1028" s="1241"/>
      <c r="AL1028" s="1241"/>
      <c r="AM1028" s="1241"/>
      <c r="AN1028" s="1241"/>
      <c r="AO1028" s="1241"/>
      <c r="AP1028" s="1241"/>
      <c r="AQ1028" s="1241"/>
      <c r="AR1028" s="1241"/>
      <c r="AS1028" s="1241"/>
      <c r="AT1028" s="1241"/>
      <c r="AU1028" s="1241"/>
      <c r="AV1028" s="1241"/>
      <c r="AW1028" s="1241"/>
      <c r="AX1028" s="1241"/>
      <c r="AY1028" s="1241"/>
      <c r="AZ1028" s="1241"/>
      <c r="BA1028" s="1241"/>
      <c r="BB1028" s="1241"/>
      <c r="BC1028" s="1241"/>
      <c r="BD1028" s="1241"/>
      <c r="BE1028" s="1241"/>
      <c r="BF1028" s="1241"/>
      <c r="BG1028" s="1241"/>
      <c r="BH1028" s="1241"/>
      <c r="BI1028" s="1241"/>
      <c r="BJ1028" s="1241"/>
      <c r="BK1028" s="1241"/>
      <c r="BL1028" s="1241"/>
      <c r="BM1028" s="1241"/>
      <c r="BN1028" s="1241"/>
      <c r="BO1028" s="1241"/>
      <c r="BP1028" s="1241"/>
      <c r="BQ1028" s="1241"/>
      <c r="BR1028" s="1241"/>
      <c r="BS1028" s="1241"/>
      <c r="BT1028" s="1241"/>
      <c r="BU1028" s="1241"/>
      <c r="BV1028" s="1241"/>
      <c r="BW1028" s="1241"/>
      <c r="BX1028" s="1241"/>
      <c r="BY1028" s="1241"/>
      <c r="BZ1028" s="1241"/>
      <c r="CA1028" s="1241"/>
      <c r="CB1028" s="1241"/>
      <c r="CC1028" s="1241"/>
      <c r="CD1028" s="1241"/>
      <c r="CE1028" s="1241"/>
      <c r="CF1028" s="1241"/>
      <c r="CG1028" s="1241"/>
      <c r="CH1028" s="1241"/>
      <c r="CI1028" s="1241"/>
      <c r="CJ1028" s="1241"/>
      <c r="CK1028" s="1241"/>
      <c r="CL1028" s="1241"/>
      <c r="CM1028" s="1241"/>
      <c r="CN1028" s="1241"/>
      <c r="CO1028" s="1241"/>
      <c r="CP1028" s="1241"/>
      <c r="CQ1028" s="1241"/>
      <c r="CR1028" s="1241"/>
      <c r="CS1028" s="1241"/>
      <c r="CT1028" s="1241"/>
      <c r="CU1028" s="1241"/>
      <c r="CV1028" s="1241"/>
      <c r="CW1028" s="1241"/>
      <c r="CX1028" s="1241"/>
      <c r="CY1028" s="1241"/>
      <c r="CZ1028" s="1241"/>
      <c r="DA1028" s="1241"/>
      <c r="DB1028" s="1241"/>
      <c r="DC1028" s="1241"/>
      <c r="DD1028" s="1241"/>
      <c r="DE1028" s="1241"/>
      <c r="DF1028" s="1241"/>
      <c r="DG1028" s="1241"/>
      <c r="DH1028" s="1241"/>
      <c r="DI1028" s="1241"/>
      <c r="DJ1028" s="1241"/>
      <c r="DK1028" s="1241"/>
      <c r="DL1028" s="1241"/>
      <c r="DM1028" s="1241"/>
    </row>
    <row r="1029" spans="1:117" s="1302" customFormat="1" hidden="1">
      <c r="A1029" s="1241"/>
      <c r="B1029" s="1572" t="s">
        <v>4276</v>
      </c>
      <c r="C1029" s="1562"/>
      <c r="D1029" s="1563"/>
      <c r="E1029" s="1564"/>
      <c r="F1029" s="1565"/>
      <c r="G1029" s="1566"/>
      <c r="H1029" s="1566">
        <v>0</v>
      </c>
      <c r="I1029" s="1566">
        <v>0.70950292996447273</v>
      </c>
      <c r="J1029" s="1566">
        <v>1.423158127926974</v>
      </c>
      <c r="K1029" s="1566">
        <v>1.7054348807020847</v>
      </c>
      <c r="L1029" s="1566">
        <v>2.098467865172355</v>
      </c>
      <c r="M1029" s="1566">
        <v>2.6436613102870767</v>
      </c>
      <c r="N1029" s="1566">
        <v>3.397936572417501</v>
      </c>
      <c r="O1029" s="1566">
        <v>1.0273594075569961</v>
      </c>
      <c r="P1029" s="1241"/>
      <c r="Q1029" s="1241"/>
      <c r="R1029" s="1241"/>
      <c r="S1029" s="1241"/>
      <c r="T1029" s="1241"/>
      <c r="U1029" s="1241"/>
      <c r="V1029" s="1241"/>
      <c r="W1029" s="1241"/>
      <c r="X1029" s="1241"/>
      <c r="Y1029" s="1241"/>
      <c r="Z1029" s="1241"/>
      <c r="AA1029" s="1241"/>
      <c r="AB1029" s="1241"/>
      <c r="AC1029" s="1241"/>
      <c r="AD1029" s="1241"/>
      <c r="AE1029" s="1241"/>
      <c r="AF1029" s="1241"/>
      <c r="AG1029" s="1241"/>
      <c r="AH1029" s="1241"/>
      <c r="AI1029" s="1241"/>
      <c r="AJ1029" s="1241"/>
      <c r="AK1029" s="1241"/>
      <c r="AL1029" s="1241"/>
      <c r="AM1029" s="1241"/>
      <c r="AN1029" s="1241"/>
      <c r="AO1029" s="1241"/>
      <c r="AP1029" s="1241"/>
      <c r="AQ1029" s="1241"/>
      <c r="AR1029" s="1241"/>
      <c r="AS1029" s="1241"/>
      <c r="AT1029" s="1241"/>
      <c r="AU1029" s="1241"/>
      <c r="AV1029" s="1241"/>
      <c r="AW1029" s="1241"/>
      <c r="AX1029" s="1241"/>
      <c r="AY1029" s="1241"/>
      <c r="AZ1029" s="1241"/>
      <c r="BA1029" s="1241"/>
      <c r="BB1029" s="1241"/>
      <c r="BC1029" s="1241"/>
      <c r="BD1029" s="1241"/>
      <c r="BE1029" s="1241"/>
      <c r="BF1029" s="1241"/>
      <c r="BG1029" s="1241"/>
      <c r="BH1029" s="1241"/>
      <c r="BI1029" s="1241"/>
      <c r="BJ1029" s="1241"/>
      <c r="BK1029" s="1241"/>
      <c r="BL1029" s="1241"/>
      <c r="BM1029" s="1241"/>
      <c r="BN1029" s="1241"/>
      <c r="BO1029" s="1241"/>
      <c r="BP1029" s="1241"/>
      <c r="BQ1029" s="1241"/>
      <c r="BR1029" s="1241"/>
      <c r="BS1029" s="1241"/>
      <c r="BT1029" s="1241"/>
      <c r="BU1029" s="1241"/>
      <c r="BV1029" s="1241"/>
      <c r="BW1029" s="1241"/>
      <c r="BX1029" s="1241"/>
      <c r="BY1029" s="1241"/>
      <c r="BZ1029" s="1241"/>
      <c r="CA1029" s="1241"/>
      <c r="CB1029" s="1241"/>
      <c r="CC1029" s="1241"/>
      <c r="CD1029" s="1241"/>
      <c r="CE1029" s="1241"/>
      <c r="CF1029" s="1241"/>
      <c r="CG1029" s="1241"/>
      <c r="CH1029" s="1241"/>
      <c r="CI1029" s="1241"/>
      <c r="CJ1029" s="1241"/>
      <c r="CK1029" s="1241"/>
      <c r="CL1029" s="1241"/>
      <c r="CM1029" s="1241"/>
      <c r="CN1029" s="1241"/>
      <c r="CO1029" s="1241"/>
      <c r="CP1029" s="1241"/>
      <c r="CQ1029" s="1241"/>
      <c r="CR1029" s="1241"/>
      <c r="CS1029" s="1241"/>
      <c r="CT1029" s="1241"/>
      <c r="CU1029" s="1241"/>
      <c r="CV1029" s="1241"/>
      <c r="CW1029" s="1241"/>
      <c r="CX1029" s="1241"/>
      <c r="CY1029" s="1241"/>
      <c r="CZ1029" s="1241"/>
      <c r="DA1029" s="1241"/>
      <c r="DB1029" s="1241"/>
      <c r="DC1029" s="1241"/>
      <c r="DD1029" s="1241"/>
      <c r="DE1029" s="1241"/>
      <c r="DF1029" s="1241"/>
      <c r="DG1029" s="1241"/>
      <c r="DH1029" s="1241"/>
      <c r="DI1029" s="1241"/>
      <c r="DJ1029" s="1241"/>
      <c r="DK1029" s="1241"/>
      <c r="DL1029" s="1241"/>
      <c r="DM1029" s="1241"/>
    </row>
    <row r="1030" spans="1:117" s="1302" customFormat="1">
      <c r="A1030" s="1241"/>
      <c r="B1030" s="1459"/>
      <c r="C1030" s="1241"/>
      <c r="D1030" s="1459"/>
      <c r="E1030" s="1460"/>
      <c r="F1030" s="1540"/>
      <c r="G1030" s="1473"/>
      <c r="H1030" s="1473"/>
      <c r="I1030" s="1473"/>
      <c r="J1030" s="1473"/>
      <c r="K1030" s="1473"/>
      <c r="L1030" s="1473"/>
      <c r="M1030" s="1473"/>
      <c r="N1030" s="1473"/>
      <c r="O1030" s="1540"/>
      <c r="P1030" s="1241"/>
      <c r="Q1030" s="1241"/>
      <c r="R1030" s="1241"/>
      <c r="S1030" s="1241"/>
      <c r="T1030" s="1241"/>
      <c r="U1030" s="1241"/>
      <c r="V1030" s="1241"/>
      <c r="W1030" s="1241"/>
      <c r="X1030" s="1241"/>
      <c r="Y1030" s="1241"/>
      <c r="Z1030" s="1241"/>
      <c r="AA1030" s="1241"/>
      <c r="AB1030" s="1241"/>
      <c r="AC1030" s="1241"/>
      <c r="AD1030" s="1241"/>
      <c r="AE1030" s="1241"/>
      <c r="AF1030" s="1241"/>
      <c r="AG1030" s="1241"/>
      <c r="AH1030" s="1241"/>
      <c r="AI1030" s="1241"/>
      <c r="AJ1030" s="1241"/>
      <c r="AK1030" s="1241"/>
      <c r="AL1030" s="1241"/>
      <c r="AM1030" s="1241"/>
      <c r="AN1030" s="1241"/>
      <c r="AO1030" s="1241"/>
      <c r="AP1030" s="1241"/>
      <c r="AQ1030" s="1241"/>
      <c r="AR1030" s="1241"/>
      <c r="AS1030" s="1241"/>
      <c r="AT1030" s="1241"/>
      <c r="AU1030" s="1241"/>
      <c r="AV1030" s="1241"/>
      <c r="AW1030" s="1241"/>
      <c r="AX1030" s="1241"/>
      <c r="AY1030" s="1241"/>
      <c r="AZ1030" s="1241"/>
      <c r="BA1030" s="1241"/>
      <c r="BB1030" s="1241"/>
      <c r="BC1030" s="1241"/>
      <c r="BD1030" s="1241"/>
      <c r="BE1030" s="1241"/>
      <c r="BF1030" s="1241"/>
      <c r="BG1030" s="1241"/>
      <c r="BH1030" s="1241"/>
      <c r="BI1030" s="1241"/>
      <c r="BJ1030" s="1241"/>
      <c r="BK1030" s="1241"/>
      <c r="BL1030" s="1241"/>
      <c r="BM1030" s="1241"/>
      <c r="BN1030" s="1241"/>
      <c r="BO1030" s="1241"/>
      <c r="BP1030" s="1241"/>
      <c r="BQ1030" s="1241"/>
      <c r="BR1030" s="1241"/>
      <c r="BS1030" s="1241"/>
      <c r="BT1030" s="1241"/>
      <c r="BU1030" s="1241"/>
      <c r="BV1030" s="1241"/>
      <c r="BW1030" s="1241"/>
      <c r="BX1030" s="1241"/>
      <c r="BY1030" s="1241"/>
      <c r="BZ1030" s="1241"/>
      <c r="CA1030" s="1241"/>
      <c r="CB1030" s="1241"/>
      <c r="CC1030" s="1241"/>
      <c r="CD1030" s="1241"/>
      <c r="CE1030" s="1241"/>
      <c r="CF1030" s="1241"/>
      <c r="CG1030" s="1241"/>
      <c r="CH1030" s="1241"/>
      <c r="CI1030" s="1241"/>
      <c r="CJ1030" s="1241"/>
      <c r="CK1030" s="1241"/>
      <c r="CL1030" s="1241"/>
      <c r="CM1030" s="1241"/>
      <c r="CN1030" s="1241"/>
      <c r="CO1030" s="1241"/>
      <c r="CP1030" s="1241"/>
      <c r="CQ1030" s="1241"/>
      <c r="CR1030" s="1241"/>
      <c r="CS1030" s="1241"/>
      <c r="CT1030" s="1241"/>
      <c r="CU1030" s="1241"/>
      <c r="CV1030" s="1241"/>
      <c r="CW1030" s="1241"/>
      <c r="CX1030" s="1241"/>
      <c r="CY1030" s="1241"/>
      <c r="CZ1030" s="1241"/>
      <c r="DA1030" s="1241"/>
      <c r="DB1030" s="1241"/>
      <c r="DC1030" s="1241"/>
      <c r="DD1030" s="1241"/>
      <c r="DE1030" s="1241"/>
      <c r="DF1030" s="1241"/>
      <c r="DG1030" s="1241"/>
      <c r="DH1030" s="1241"/>
      <c r="DI1030" s="1241"/>
      <c r="DJ1030" s="1241"/>
      <c r="DK1030" s="1241"/>
      <c r="DL1030" s="1241"/>
      <c r="DM1030" s="1241"/>
    </row>
    <row r="1031" spans="1:117" s="1302" customFormat="1">
      <c r="A1031" s="1241"/>
      <c r="B1031" s="1459"/>
      <c r="C1031" s="1241"/>
      <c r="D1031" s="1459"/>
      <c r="E1031" s="1460"/>
      <c r="F1031" s="1540"/>
      <c r="G1031" s="1473"/>
      <c r="H1031" s="1473"/>
      <c r="I1031" s="1473"/>
      <c r="J1031" s="1473"/>
      <c r="K1031" s="1473"/>
      <c r="L1031" s="1473"/>
      <c r="M1031" s="1473"/>
      <c r="N1031" s="1473"/>
      <c r="O1031" s="1540"/>
      <c r="P1031" s="1241"/>
      <c r="Q1031" s="1241"/>
      <c r="R1031" s="1241"/>
      <c r="S1031" s="1241"/>
      <c r="T1031" s="1241"/>
      <c r="U1031" s="1241"/>
      <c r="V1031" s="1241"/>
      <c r="W1031" s="1241"/>
      <c r="X1031" s="1241"/>
      <c r="Y1031" s="1241"/>
      <c r="Z1031" s="1241"/>
      <c r="AA1031" s="1241"/>
      <c r="AB1031" s="1241"/>
      <c r="AC1031" s="1241"/>
      <c r="AD1031" s="1241"/>
      <c r="AE1031" s="1241"/>
      <c r="AF1031" s="1241"/>
      <c r="AG1031" s="1241"/>
      <c r="AH1031" s="1241"/>
      <c r="AI1031" s="1241"/>
      <c r="AJ1031" s="1241"/>
      <c r="AK1031" s="1241"/>
      <c r="AL1031" s="1241"/>
      <c r="AM1031" s="1241"/>
      <c r="AN1031" s="1241"/>
      <c r="AO1031" s="1241"/>
      <c r="AP1031" s="1241"/>
      <c r="AQ1031" s="1241"/>
      <c r="AR1031" s="1241"/>
      <c r="AS1031" s="1241"/>
      <c r="AT1031" s="1241"/>
      <c r="AU1031" s="1241"/>
      <c r="AV1031" s="1241"/>
      <c r="AW1031" s="1241"/>
      <c r="AX1031" s="1241"/>
      <c r="AY1031" s="1241"/>
      <c r="AZ1031" s="1241"/>
      <c r="BA1031" s="1241"/>
      <c r="BB1031" s="1241"/>
      <c r="BC1031" s="1241"/>
      <c r="BD1031" s="1241"/>
      <c r="BE1031" s="1241"/>
      <c r="BF1031" s="1241"/>
      <c r="BG1031" s="1241"/>
      <c r="BH1031" s="1241"/>
      <c r="BI1031" s="1241"/>
      <c r="BJ1031" s="1241"/>
      <c r="BK1031" s="1241"/>
      <c r="BL1031" s="1241"/>
      <c r="BM1031" s="1241"/>
      <c r="BN1031" s="1241"/>
      <c r="BO1031" s="1241"/>
      <c r="BP1031" s="1241"/>
      <c r="BQ1031" s="1241"/>
      <c r="BR1031" s="1241"/>
      <c r="BS1031" s="1241"/>
      <c r="BT1031" s="1241"/>
      <c r="BU1031" s="1241"/>
      <c r="BV1031" s="1241"/>
      <c r="BW1031" s="1241"/>
      <c r="BX1031" s="1241"/>
      <c r="BY1031" s="1241"/>
      <c r="BZ1031" s="1241"/>
      <c r="CA1031" s="1241"/>
      <c r="CB1031" s="1241"/>
      <c r="CC1031" s="1241"/>
      <c r="CD1031" s="1241"/>
      <c r="CE1031" s="1241"/>
      <c r="CF1031" s="1241"/>
      <c r="CG1031" s="1241"/>
      <c r="CH1031" s="1241"/>
      <c r="CI1031" s="1241"/>
      <c r="CJ1031" s="1241"/>
      <c r="CK1031" s="1241"/>
      <c r="CL1031" s="1241"/>
      <c r="CM1031" s="1241"/>
      <c r="CN1031" s="1241"/>
      <c r="CO1031" s="1241"/>
      <c r="CP1031" s="1241"/>
      <c r="CQ1031" s="1241"/>
      <c r="CR1031" s="1241"/>
      <c r="CS1031" s="1241"/>
      <c r="CT1031" s="1241"/>
      <c r="CU1031" s="1241"/>
      <c r="CV1031" s="1241"/>
      <c r="CW1031" s="1241"/>
      <c r="CX1031" s="1241"/>
      <c r="CY1031" s="1241"/>
      <c r="CZ1031" s="1241"/>
      <c r="DA1031" s="1241"/>
      <c r="DB1031" s="1241"/>
      <c r="DC1031" s="1241"/>
      <c r="DD1031" s="1241"/>
      <c r="DE1031" s="1241"/>
      <c r="DF1031" s="1241"/>
      <c r="DG1031" s="1241"/>
      <c r="DH1031" s="1241"/>
      <c r="DI1031" s="1241"/>
      <c r="DJ1031" s="1241"/>
      <c r="DK1031" s="1241"/>
      <c r="DL1031" s="1241"/>
      <c r="DM1031" s="1241"/>
    </row>
    <row r="1032" spans="1:117" s="1302" customFormat="1">
      <c r="A1032" s="1459" t="s">
        <v>4279</v>
      </c>
      <c r="B1032" s="1459"/>
      <c r="C1032" s="1466" t="s">
        <v>4280</v>
      </c>
      <c r="D1032" s="1459"/>
      <c r="E1032" s="1460"/>
      <c r="F1032" s="1540"/>
      <c r="G1032" s="1473"/>
      <c r="H1032" s="1473"/>
      <c r="I1032" s="1473"/>
      <c r="J1032" s="1473"/>
      <c r="K1032" s="1473"/>
      <c r="L1032" s="1473"/>
      <c r="M1032" s="1473"/>
      <c r="N1032" s="1473"/>
      <c r="O1032" s="1540"/>
      <c r="P1032" s="1241"/>
      <c r="Q1032" s="1241"/>
      <c r="R1032" s="1241"/>
      <c r="S1032" s="1241"/>
      <c r="T1032" s="1241"/>
      <c r="U1032" s="1241"/>
      <c r="V1032" s="1241"/>
      <c r="W1032" s="1241"/>
      <c r="X1032" s="1241"/>
      <c r="Y1032" s="1241"/>
      <c r="Z1032" s="1241"/>
      <c r="AA1032" s="1241"/>
      <c r="AB1032" s="1241"/>
      <c r="AC1032" s="1241"/>
      <c r="AD1032" s="1241"/>
      <c r="AE1032" s="1241"/>
      <c r="AF1032" s="1241"/>
      <c r="AG1032" s="1241"/>
      <c r="AH1032" s="1241"/>
      <c r="AI1032" s="1241"/>
      <c r="AJ1032" s="1241"/>
      <c r="AK1032" s="1241"/>
      <c r="AL1032" s="1241"/>
      <c r="AM1032" s="1241"/>
      <c r="AN1032" s="1241"/>
      <c r="AO1032" s="1241"/>
      <c r="AP1032" s="1241"/>
      <c r="AQ1032" s="1241"/>
      <c r="AR1032" s="1241"/>
      <c r="AS1032" s="1241"/>
      <c r="AT1032" s="1241"/>
      <c r="AU1032" s="1241"/>
      <c r="AV1032" s="1241"/>
      <c r="AW1032" s="1241"/>
      <c r="AX1032" s="1241"/>
      <c r="AY1032" s="1241"/>
      <c r="AZ1032" s="1241"/>
      <c r="BA1032" s="1241"/>
      <c r="BB1032" s="1241"/>
      <c r="BC1032" s="1241"/>
      <c r="BD1032" s="1241"/>
      <c r="BE1032" s="1241"/>
      <c r="BF1032" s="1241"/>
      <c r="BG1032" s="1241"/>
      <c r="BH1032" s="1241"/>
      <c r="BI1032" s="1241"/>
      <c r="BJ1032" s="1241"/>
      <c r="BK1032" s="1241"/>
      <c r="BL1032" s="1241"/>
      <c r="BM1032" s="1241"/>
      <c r="BN1032" s="1241"/>
      <c r="BO1032" s="1241"/>
      <c r="BP1032" s="1241"/>
      <c r="BQ1032" s="1241"/>
      <c r="BR1032" s="1241"/>
      <c r="BS1032" s="1241"/>
      <c r="BT1032" s="1241"/>
      <c r="BU1032" s="1241"/>
      <c r="BV1032" s="1241"/>
      <c r="BW1032" s="1241"/>
      <c r="BX1032" s="1241"/>
      <c r="BY1032" s="1241"/>
      <c r="BZ1032" s="1241"/>
      <c r="CA1032" s="1241"/>
      <c r="CB1032" s="1241"/>
      <c r="CC1032" s="1241"/>
      <c r="CD1032" s="1241"/>
      <c r="CE1032" s="1241"/>
      <c r="CF1032" s="1241"/>
      <c r="CG1032" s="1241"/>
      <c r="CH1032" s="1241"/>
      <c r="CI1032" s="1241"/>
      <c r="CJ1032" s="1241"/>
      <c r="CK1032" s="1241"/>
      <c r="CL1032" s="1241"/>
      <c r="CM1032" s="1241"/>
      <c r="CN1032" s="1241"/>
      <c r="CO1032" s="1241"/>
      <c r="CP1032" s="1241"/>
      <c r="CQ1032" s="1241"/>
      <c r="CR1032" s="1241"/>
      <c r="CS1032" s="1241"/>
      <c r="CT1032" s="1241"/>
      <c r="CU1032" s="1241"/>
      <c r="CV1032" s="1241"/>
      <c r="CW1032" s="1241"/>
      <c r="CX1032" s="1241"/>
      <c r="CY1032" s="1241"/>
      <c r="CZ1032" s="1241"/>
      <c r="DA1032" s="1241"/>
      <c r="DB1032" s="1241"/>
      <c r="DC1032" s="1241"/>
      <c r="DD1032" s="1241"/>
      <c r="DE1032" s="1241"/>
      <c r="DF1032" s="1241"/>
      <c r="DG1032" s="1241"/>
      <c r="DH1032" s="1241"/>
      <c r="DI1032" s="1241"/>
      <c r="DJ1032" s="1241"/>
      <c r="DK1032" s="1241"/>
      <c r="DL1032" s="1241"/>
      <c r="DM1032" s="1241"/>
    </row>
    <row r="1033" spans="1:117" s="1302" customFormat="1">
      <c r="A1033" s="1241"/>
      <c r="B1033" s="1508" t="s">
        <v>4032</v>
      </c>
      <c r="C1033" s="1241" t="s">
        <v>4033</v>
      </c>
      <c r="D1033" s="1241"/>
      <c r="E1033" s="1509" t="s">
        <v>420</v>
      </c>
      <c r="F1033" s="1470"/>
      <c r="G1033" s="1471"/>
      <c r="H1033" s="1471">
        <v>0.21221999999999999</v>
      </c>
      <c r="I1033" s="1471">
        <v>0.18398583466559998</v>
      </c>
      <c r="J1033" s="1471">
        <v>0.25849210919063054</v>
      </c>
      <c r="K1033" s="1471">
        <v>0.36483808041349619</v>
      </c>
      <c r="L1033" s="1471">
        <v>0.51855129558818613</v>
      </c>
      <c r="M1033" s="1471">
        <v>0.74224038397191772</v>
      </c>
      <c r="N1033" s="1471">
        <v>1.068724152795008</v>
      </c>
      <c r="O1033" s="1471">
        <v>0.31761665258737659</v>
      </c>
      <c r="P1033" s="1241"/>
      <c r="Q1033" s="1241"/>
      <c r="R1033" s="1241"/>
      <c r="S1033" s="1241"/>
      <c r="T1033" s="1241"/>
      <c r="U1033" s="1241"/>
      <c r="V1033" s="1241"/>
      <c r="W1033" s="1241"/>
      <c r="X1033" s="1241"/>
      <c r="Y1033" s="1241"/>
      <c r="Z1033" s="1241"/>
      <c r="AA1033" s="1241"/>
      <c r="AB1033" s="1241"/>
      <c r="AC1033" s="1241"/>
      <c r="AD1033" s="1241"/>
      <c r="AE1033" s="1241"/>
      <c r="AF1033" s="1241"/>
      <c r="AG1033" s="1241"/>
      <c r="AH1033" s="1241"/>
      <c r="AI1033" s="1241"/>
      <c r="AJ1033" s="1241"/>
      <c r="AK1033" s="1241"/>
      <c r="AL1033" s="1241"/>
      <c r="AM1033" s="1241"/>
      <c r="AN1033" s="1241"/>
      <c r="AO1033" s="1241"/>
      <c r="AP1033" s="1241"/>
      <c r="AQ1033" s="1241"/>
      <c r="AR1033" s="1241"/>
      <c r="AS1033" s="1241"/>
      <c r="AT1033" s="1241"/>
      <c r="AU1033" s="1241"/>
      <c r="AV1033" s="1241"/>
      <c r="AW1033" s="1241"/>
      <c r="AX1033" s="1241"/>
      <c r="AY1033" s="1241"/>
      <c r="AZ1033" s="1241"/>
      <c r="BA1033" s="1241"/>
      <c r="BB1033" s="1241"/>
      <c r="BC1033" s="1241"/>
      <c r="BD1033" s="1241"/>
      <c r="BE1033" s="1241"/>
      <c r="BF1033" s="1241"/>
      <c r="BG1033" s="1241"/>
      <c r="BH1033" s="1241"/>
      <c r="BI1033" s="1241"/>
      <c r="BJ1033" s="1241"/>
      <c r="BK1033" s="1241"/>
      <c r="BL1033" s="1241"/>
      <c r="BM1033" s="1241"/>
      <c r="BN1033" s="1241"/>
      <c r="BO1033" s="1241"/>
      <c r="BP1033" s="1241"/>
      <c r="BQ1033" s="1241"/>
      <c r="BR1033" s="1241"/>
      <c r="BS1033" s="1241"/>
      <c r="BT1033" s="1241"/>
      <c r="BU1033" s="1241"/>
      <c r="BV1033" s="1241"/>
      <c r="BW1033" s="1241"/>
      <c r="BX1033" s="1241"/>
      <c r="BY1033" s="1241"/>
      <c r="BZ1033" s="1241"/>
      <c r="CA1033" s="1241"/>
      <c r="CB1033" s="1241"/>
      <c r="CC1033" s="1241"/>
      <c r="CD1033" s="1241"/>
      <c r="CE1033" s="1241"/>
      <c r="CF1033" s="1241"/>
      <c r="CG1033" s="1241"/>
      <c r="CH1033" s="1241"/>
      <c r="CI1033" s="1241"/>
      <c r="CJ1033" s="1241"/>
      <c r="CK1033" s="1241"/>
      <c r="CL1033" s="1241"/>
      <c r="CM1033" s="1241"/>
      <c r="CN1033" s="1241"/>
      <c r="CO1033" s="1241"/>
      <c r="CP1033" s="1241"/>
      <c r="CQ1033" s="1241"/>
      <c r="CR1033" s="1241"/>
      <c r="CS1033" s="1241"/>
      <c r="CT1033" s="1241"/>
      <c r="CU1033" s="1241"/>
      <c r="CV1033" s="1241"/>
      <c r="CW1033" s="1241"/>
      <c r="CX1033" s="1241"/>
      <c r="CY1033" s="1241"/>
      <c r="CZ1033" s="1241"/>
      <c r="DA1033" s="1241"/>
      <c r="DB1033" s="1241"/>
      <c r="DC1033" s="1241"/>
      <c r="DD1033" s="1241"/>
      <c r="DE1033" s="1241"/>
      <c r="DF1033" s="1241"/>
      <c r="DG1033" s="1241"/>
      <c r="DH1033" s="1241"/>
      <c r="DI1033" s="1241"/>
      <c r="DJ1033" s="1241"/>
      <c r="DK1033" s="1241"/>
      <c r="DL1033" s="1241"/>
      <c r="DM1033" s="1241"/>
    </row>
    <row r="1034" spans="1:117" s="1302" customFormat="1">
      <c r="A1034" s="1241"/>
      <c r="B1034" s="1508" t="s">
        <v>3997</v>
      </c>
      <c r="C1034" s="1241" t="s">
        <v>3998</v>
      </c>
      <c r="D1034" s="1241"/>
      <c r="E1034" s="1509" t="s">
        <v>420</v>
      </c>
      <c r="F1034" s="1470"/>
      <c r="G1034" s="1471"/>
      <c r="H1034" s="1471">
        <v>1.59165</v>
      </c>
      <c r="I1034" s="1471">
        <v>1.2695022591926399</v>
      </c>
      <c r="J1034" s="1471">
        <v>1.4756858351147464</v>
      </c>
      <c r="K1034" s="1471">
        <v>1.7596421263020157</v>
      </c>
      <c r="L1034" s="1471">
        <v>2.1460952483320153</v>
      </c>
      <c r="M1034" s="1471">
        <v>2.6675210534174432</v>
      </c>
      <c r="N1034" s="1471">
        <v>3.3664810813042747</v>
      </c>
      <c r="O1034" s="1471">
        <v>1.6352965491323037</v>
      </c>
      <c r="P1034" s="1241"/>
      <c r="Q1034" s="1241"/>
      <c r="R1034" s="1241"/>
      <c r="S1034" s="1241"/>
      <c r="T1034" s="1241"/>
      <c r="U1034" s="1241"/>
      <c r="V1034" s="1241"/>
      <c r="W1034" s="1241"/>
      <c r="X1034" s="1241"/>
      <c r="Y1034" s="1241"/>
      <c r="Z1034" s="1241"/>
      <c r="AA1034" s="1241"/>
      <c r="AB1034" s="1241"/>
      <c r="AC1034" s="1241"/>
      <c r="AD1034" s="1241"/>
      <c r="AE1034" s="1241"/>
      <c r="AF1034" s="1241"/>
      <c r="AG1034" s="1241"/>
      <c r="AH1034" s="1241"/>
      <c r="AI1034" s="1241"/>
      <c r="AJ1034" s="1241"/>
      <c r="AK1034" s="1241"/>
      <c r="AL1034" s="1241"/>
      <c r="AM1034" s="1241"/>
      <c r="AN1034" s="1241"/>
      <c r="AO1034" s="1241"/>
      <c r="AP1034" s="1241"/>
      <c r="AQ1034" s="1241"/>
      <c r="AR1034" s="1241"/>
      <c r="AS1034" s="1241"/>
      <c r="AT1034" s="1241"/>
      <c r="AU1034" s="1241"/>
      <c r="AV1034" s="1241"/>
      <c r="AW1034" s="1241"/>
      <c r="AX1034" s="1241"/>
      <c r="AY1034" s="1241"/>
      <c r="AZ1034" s="1241"/>
      <c r="BA1034" s="1241"/>
      <c r="BB1034" s="1241"/>
      <c r="BC1034" s="1241"/>
      <c r="BD1034" s="1241"/>
      <c r="BE1034" s="1241"/>
      <c r="BF1034" s="1241"/>
      <c r="BG1034" s="1241"/>
      <c r="BH1034" s="1241"/>
      <c r="BI1034" s="1241"/>
      <c r="BJ1034" s="1241"/>
      <c r="BK1034" s="1241"/>
      <c r="BL1034" s="1241"/>
      <c r="BM1034" s="1241"/>
      <c r="BN1034" s="1241"/>
      <c r="BO1034" s="1241"/>
      <c r="BP1034" s="1241"/>
      <c r="BQ1034" s="1241"/>
      <c r="BR1034" s="1241"/>
      <c r="BS1034" s="1241"/>
      <c r="BT1034" s="1241"/>
      <c r="BU1034" s="1241"/>
      <c r="BV1034" s="1241"/>
      <c r="BW1034" s="1241"/>
      <c r="BX1034" s="1241"/>
      <c r="BY1034" s="1241"/>
      <c r="BZ1034" s="1241"/>
      <c r="CA1034" s="1241"/>
      <c r="CB1034" s="1241"/>
      <c r="CC1034" s="1241"/>
      <c r="CD1034" s="1241"/>
      <c r="CE1034" s="1241"/>
      <c r="CF1034" s="1241"/>
      <c r="CG1034" s="1241"/>
      <c r="CH1034" s="1241"/>
      <c r="CI1034" s="1241"/>
      <c r="CJ1034" s="1241"/>
      <c r="CK1034" s="1241"/>
      <c r="CL1034" s="1241"/>
      <c r="CM1034" s="1241"/>
      <c r="CN1034" s="1241"/>
      <c r="CO1034" s="1241"/>
      <c r="CP1034" s="1241"/>
      <c r="CQ1034" s="1241"/>
      <c r="CR1034" s="1241"/>
      <c r="CS1034" s="1241"/>
      <c r="CT1034" s="1241"/>
      <c r="CU1034" s="1241"/>
      <c r="CV1034" s="1241"/>
      <c r="CW1034" s="1241"/>
      <c r="CX1034" s="1241"/>
      <c r="CY1034" s="1241"/>
      <c r="CZ1034" s="1241"/>
      <c r="DA1034" s="1241"/>
      <c r="DB1034" s="1241"/>
      <c r="DC1034" s="1241"/>
      <c r="DD1034" s="1241"/>
      <c r="DE1034" s="1241"/>
      <c r="DF1034" s="1241"/>
      <c r="DG1034" s="1241"/>
      <c r="DH1034" s="1241"/>
      <c r="DI1034" s="1241"/>
      <c r="DJ1034" s="1241"/>
      <c r="DK1034" s="1241"/>
      <c r="DL1034" s="1241"/>
      <c r="DM1034" s="1241"/>
    </row>
    <row r="1035" spans="1:117" s="1302" customFormat="1">
      <c r="A1035" s="1241"/>
      <c r="B1035" s="1508" t="s">
        <v>3999</v>
      </c>
      <c r="C1035" s="1241" t="s">
        <v>4000</v>
      </c>
      <c r="D1035" s="1241"/>
      <c r="E1035" s="1509" t="s">
        <v>420</v>
      </c>
      <c r="F1035" s="1470"/>
      <c r="G1035" s="1471"/>
      <c r="H1035" s="1471">
        <v>4.2443999999999996E-2</v>
      </c>
      <c r="I1035" s="1471">
        <v>3.4259431282559996E-2</v>
      </c>
      <c r="J1035" s="1471">
        <v>4.1054629106747197E-2</v>
      </c>
      <c r="K1035" s="1471">
        <v>5.0516041903407159E-2</v>
      </c>
      <c r="L1035" s="1471">
        <v>6.3640386276731922E-2</v>
      </c>
      <c r="M1035" s="1471">
        <v>8.1797919866292979E-2</v>
      </c>
      <c r="N1035" s="1471">
        <v>0.10687241527950078</v>
      </c>
      <c r="O1035" s="1471">
        <v>4.6354862810049559E-2</v>
      </c>
      <c r="P1035" s="1241"/>
      <c r="Q1035" s="1241"/>
      <c r="R1035" s="1241"/>
      <c r="S1035" s="1241"/>
      <c r="T1035" s="1241"/>
      <c r="U1035" s="1241"/>
      <c r="V1035" s="1241"/>
      <c r="W1035" s="1241"/>
      <c r="X1035" s="1241"/>
      <c r="Y1035" s="1241"/>
      <c r="Z1035" s="1241"/>
      <c r="AA1035" s="1241"/>
      <c r="AB1035" s="1241"/>
      <c r="AC1035" s="1241"/>
      <c r="AD1035" s="1241"/>
      <c r="AE1035" s="1241"/>
      <c r="AF1035" s="1241"/>
      <c r="AG1035" s="1241"/>
      <c r="AH1035" s="1241"/>
      <c r="AI1035" s="1241"/>
      <c r="AJ1035" s="1241"/>
      <c r="AK1035" s="1241"/>
      <c r="AL1035" s="1241"/>
      <c r="AM1035" s="1241"/>
      <c r="AN1035" s="1241"/>
      <c r="AO1035" s="1241"/>
      <c r="AP1035" s="1241"/>
      <c r="AQ1035" s="1241"/>
      <c r="AR1035" s="1241"/>
      <c r="AS1035" s="1241"/>
      <c r="AT1035" s="1241"/>
      <c r="AU1035" s="1241"/>
      <c r="AV1035" s="1241"/>
      <c r="AW1035" s="1241"/>
      <c r="AX1035" s="1241"/>
      <c r="AY1035" s="1241"/>
      <c r="AZ1035" s="1241"/>
      <c r="BA1035" s="1241"/>
      <c r="BB1035" s="1241"/>
      <c r="BC1035" s="1241"/>
      <c r="BD1035" s="1241"/>
      <c r="BE1035" s="1241"/>
      <c r="BF1035" s="1241"/>
      <c r="BG1035" s="1241"/>
      <c r="BH1035" s="1241"/>
      <c r="BI1035" s="1241"/>
      <c r="BJ1035" s="1241"/>
      <c r="BK1035" s="1241"/>
      <c r="BL1035" s="1241"/>
      <c r="BM1035" s="1241"/>
      <c r="BN1035" s="1241"/>
      <c r="BO1035" s="1241"/>
      <c r="BP1035" s="1241"/>
      <c r="BQ1035" s="1241"/>
      <c r="BR1035" s="1241"/>
      <c r="BS1035" s="1241"/>
      <c r="BT1035" s="1241"/>
      <c r="BU1035" s="1241"/>
      <c r="BV1035" s="1241"/>
      <c r="BW1035" s="1241"/>
      <c r="BX1035" s="1241"/>
      <c r="BY1035" s="1241"/>
      <c r="BZ1035" s="1241"/>
      <c r="CA1035" s="1241"/>
      <c r="CB1035" s="1241"/>
      <c r="CC1035" s="1241"/>
      <c r="CD1035" s="1241"/>
      <c r="CE1035" s="1241"/>
      <c r="CF1035" s="1241"/>
      <c r="CG1035" s="1241"/>
      <c r="CH1035" s="1241"/>
      <c r="CI1035" s="1241"/>
      <c r="CJ1035" s="1241"/>
      <c r="CK1035" s="1241"/>
      <c r="CL1035" s="1241"/>
      <c r="CM1035" s="1241"/>
      <c r="CN1035" s="1241"/>
      <c r="CO1035" s="1241"/>
      <c r="CP1035" s="1241"/>
      <c r="CQ1035" s="1241"/>
      <c r="CR1035" s="1241"/>
      <c r="CS1035" s="1241"/>
      <c r="CT1035" s="1241"/>
      <c r="CU1035" s="1241"/>
      <c r="CV1035" s="1241"/>
      <c r="CW1035" s="1241"/>
      <c r="CX1035" s="1241"/>
      <c r="CY1035" s="1241"/>
      <c r="CZ1035" s="1241"/>
      <c r="DA1035" s="1241"/>
      <c r="DB1035" s="1241"/>
      <c r="DC1035" s="1241"/>
      <c r="DD1035" s="1241"/>
      <c r="DE1035" s="1241"/>
      <c r="DF1035" s="1241"/>
      <c r="DG1035" s="1241"/>
      <c r="DH1035" s="1241"/>
      <c r="DI1035" s="1241"/>
      <c r="DJ1035" s="1241"/>
      <c r="DK1035" s="1241"/>
      <c r="DL1035" s="1241"/>
      <c r="DM1035" s="1241"/>
    </row>
    <row r="1036" spans="1:117" s="1302" customFormat="1">
      <c r="A1036" s="1241"/>
      <c r="B1036" s="1508" t="s">
        <v>4001</v>
      </c>
      <c r="C1036" s="1241" t="s">
        <v>4002</v>
      </c>
      <c r="D1036" s="1241"/>
      <c r="E1036" s="1509" t="s">
        <v>420</v>
      </c>
      <c r="F1036" s="1578"/>
      <c r="G1036" s="1541"/>
      <c r="H1036" s="1541">
        <v>0.27588599999999996</v>
      </c>
      <c r="I1036" s="1541">
        <v>0.22522403898719998</v>
      </c>
      <c r="J1036" s="1471">
        <v>0.2774988819252357</v>
      </c>
      <c r="K1036" s="1471">
        <v>0.35080584655143859</v>
      </c>
      <c r="L1036" s="1471">
        <v>0.45373238363966284</v>
      </c>
      <c r="M1036" s="1471">
        <v>0.5983366360589949</v>
      </c>
      <c r="N1036" s="1471">
        <v>0.80154311459625582</v>
      </c>
      <c r="O1036" s="1471">
        <v>0.31847507597274782</v>
      </c>
      <c r="P1036" s="1241"/>
      <c r="Q1036" s="1241"/>
      <c r="R1036" s="1241"/>
      <c r="S1036" s="1241"/>
      <c r="T1036" s="1241"/>
      <c r="U1036" s="1241"/>
      <c r="V1036" s="1241"/>
      <c r="W1036" s="1241"/>
      <c r="X1036" s="1241"/>
      <c r="Y1036" s="1241"/>
      <c r="Z1036" s="1241"/>
      <c r="AA1036" s="1241"/>
      <c r="AB1036" s="1241"/>
      <c r="AC1036" s="1241"/>
      <c r="AD1036" s="1241"/>
      <c r="AE1036" s="1241"/>
      <c r="AF1036" s="1241"/>
      <c r="AG1036" s="1241"/>
      <c r="AH1036" s="1241"/>
      <c r="AI1036" s="1241"/>
      <c r="AJ1036" s="1241"/>
      <c r="AK1036" s="1241"/>
      <c r="AL1036" s="1241"/>
      <c r="AM1036" s="1241"/>
      <c r="AN1036" s="1241"/>
      <c r="AO1036" s="1241"/>
      <c r="AP1036" s="1241"/>
      <c r="AQ1036" s="1241"/>
      <c r="AR1036" s="1241"/>
      <c r="AS1036" s="1241"/>
      <c r="AT1036" s="1241"/>
      <c r="AU1036" s="1241"/>
      <c r="AV1036" s="1241"/>
      <c r="AW1036" s="1241"/>
      <c r="AX1036" s="1241"/>
      <c r="AY1036" s="1241"/>
      <c r="AZ1036" s="1241"/>
      <c r="BA1036" s="1241"/>
      <c r="BB1036" s="1241"/>
      <c r="BC1036" s="1241"/>
      <c r="BD1036" s="1241"/>
      <c r="BE1036" s="1241"/>
      <c r="BF1036" s="1241"/>
      <c r="BG1036" s="1241"/>
      <c r="BH1036" s="1241"/>
      <c r="BI1036" s="1241"/>
      <c r="BJ1036" s="1241"/>
      <c r="BK1036" s="1241"/>
      <c r="BL1036" s="1241"/>
      <c r="BM1036" s="1241"/>
      <c r="BN1036" s="1241"/>
      <c r="BO1036" s="1241"/>
      <c r="BP1036" s="1241"/>
      <c r="BQ1036" s="1241"/>
      <c r="BR1036" s="1241"/>
      <c r="BS1036" s="1241"/>
      <c r="BT1036" s="1241"/>
      <c r="BU1036" s="1241"/>
      <c r="BV1036" s="1241"/>
      <c r="BW1036" s="1241"/>
      <c r="BX1036" s="1241"/>
      <c r="BY1036" s="1241"/>
      <c r="BZ1036" s="1241"/>
      <c r="CA1036" s="1241"/>
      <c r="CB1036" s="1241"/>
      <c r="CC1036" s="1241"/>
      <c r="CD1036" s="1241"/>
      <c r="CE1036" s="1241"/>
      <c r="CF1036" s="1241"/>
      <c r="CG1036" s="1241"/>
      <c r="CH1036" s="1241"/>
      <c r="CI1036" s="1241"/>
      <c r="CJ1036" s="1241"/>
      <c r="CK1036" s="1241"/>
      <c r="CL1036" s="1241"/>
      <c r="CM1036" s="1241"/>
      <c r="CN1036" s="1241"/>
      <c r="CO1036" s="1241"/>
      <c r="CP1036" s="1241"/>
      <c r="CQ1036" s="1241"/>
      <c r="CR1036" s="1241"/>
      <c r="CS1036" s="1241"/>
      <c r="CT1036" s="1241"/>
      <c r="CU1036" s="1241"/>
      <c r="CV1036" s="1241"/>
      <c r="CW1036" s="1241"/>
      <c r="CX1036" s="1241"/>
      <c r="CY1036" s="1241"/>
      <c r="CZ1036" s="1241"/>
      <c r="DA1036" s="1241"/>
      <c r="DB1036" s="1241"/>
      <c r="DC1036" s="1241"/>
      <c r="DD1036" s="1241"/>
      <c r="DE1036" s="1241"/>
      <c r="DF1036" s="1241"/>
      <c r="DG1036" s="1241"/>
      <c r="DH1036" s="1241"/>
      <c r="DI1036" s="1241"/>
      <c r="DJ1036" s="1241"/>
      <c r="DK1036" s="1241"/>
      <c r="DL1036" s="1241"/>
      <c r="DM1036" s="1241"/>
    </row>
    <row r="1037" spans="1:117" s="1302" customFormat="1">
      <c r="A1037" s="1241"/>
      <c r="B1037" s="1508" t="s">
        <v>4011</v>
      </c>
      <c r="C1037" s="1241" t="s">
        <v>4012</v>
      </c>
      <c r="D1037" s="1241"/>
      <c r="E1037" s="1509" t="s">
        <v>420</v>
      </c>
      <c r="F1037" s="1578"/>
      <c r="G1037" s="1541"/>
      <c r="H1037" s="1471">
        <v>0</v>
      </c>
      <c r="I1037" s="1471">
        <v>0</v>
      </c>
      <c r="J1037" s="1471">
        <v>0</v>
      </c>
      <c r="K1037" s="1471">
        <v>0</v>
      </c>
      <c r="L1037" s="1471">
        <v>0</v>
      </c>
      <c r="M1037" s="1471">
        <v>0</v>
      </c>
      <c r="N1037" s="1471">
        <v>0</v>
      </c>
      <c r="O1037" s="1471">
        <v>0</v>
      </c>
      <c r="P1037" s="1241"/>
      <c r="Q1037" s="1241"/>
      <c r="R1037" s="1241"/>
      <c r="S1037" s="1241"/>
      <c r="T1037" s="1241"/>
      <c r="U1037" s="1241"/>
      <c r="V1037" s="1241"/>
      <c r="W1037" s="1241"/>
      <c r="X1037" s="1241"/>
      <c r="Y1037" s="1241"/>
      <c r="Z1037" s="1241"/>
      <c r="AA1037" s="1241"/>
      <c r="AB1037" s="1241"/>
      <c r="AC1037" s="1241"/>
      <c r="AD1037" s="1241"/>
      <c r="AE1037" s="1241"/>
      <c r="AF1037" s="1241"/>
      <c r="AG1037" s="1241"/>
      <c r="AH1037" s="1241"/>
      <c r="AI1037" s="1241"/>
      <c r="AJ1037" s="1241"/>
      <c r="AK1037" s="1241"/>
      <c r="AL1037" s="1241"/>
      <c r="AM1037" s="1241"/>
      <c r="AN1037" s="1241"/>
      <c r="AO1037" s="1241"/>
      <c r="AP1037" s="1241"/>
      <c r="AQ1037" s="1241"/>
      <c r="AR1037" s="1241"/>
      <c r="AS1037" s="1241"/>
      <c r="AT1037" s="1241"/>
      <c r="AU1037" s="1241"/>
      <c r="AV1037" s="1241"/>
      <c r="AW1037" s="1241"/>
      <c r="AX1037" s="1241"/>
      <c r="AY1037" s="1241"/>
      <c r="AZ1037" s="1241"/>
      <c r="BA1037" s="1241"/>
      <c r="BB1037" s="1241"/>
      <c r="BC1037" s="1241"/>
      <c r="BD1037" s="1241"/>
      <c r="BE1037" s="1241"/>
      <c r="BF1037" s="1241"/>
      <c r="BG1037" s="1241"/>
      <c r="BH1037" s="1241"/>
      <c r="BI1037" s="1241"/>
      <c r="BJ1037" s="1241"/>
      <c r="BK1037" s="1241"/>
      <c r="BL1037" s="1241"/>
      <c r="BM1037" s="1241"/>
      <c r="BN1037" s="1241"/>
      <c r="BO1037" s="1241"/>
      <c r="BP1037" s="1241"/>
      <c r="BQ1037" s="1241"/>
      <c r="BR1037" s="1241"/>
      <c r="BS1037" s="1241"/>
      <c r="BT1037" s="1241"/>
      <c r="BU1037" s="1241"/>
      <c r="BV1037" s="1241"/>
      <c r="BW1037" s="1241"/>
      <c r="BX1037" s="1241"/>
      <c r="BY1037" s="1241"/>
      <c r="BZ1037" s="1241"/>
      <c r="CA1037" s="1241"/>
      <c r="CB1037" s="1241"/>
      <c r="CC1037" s="1241"/>
      <c r="CD1037" s="1241"/>
      <c r="CE1037" s="1241"/>
      <c r="CF1037" s="1241"/>
      <c r="CG1037" s="1241"/>
      <c r="CH1037" s="1241"/>
      <c r="CI1037" s="1241"/>
      <c r="CJ1037" s="1241"/>
      <c r="CK1037" s="1241"/>
      <c r="CL1037" s="1241"/>
      <c r="CM1037" s="1241"/>
      <c r="CN1037" s="1241"/>
      <c r="CO1037" s="1241"/>
      <c r="CP1037" s="1241"/>
      <c r="CQ1037" s="1241"/>
      <c r="CR1037" s="1241"/>
      <c r="CS1037" s="1241"/>
      <c r="CT1037" s="1241"/>
      <c r="CU1037" s="1241"/>
      <c r="CV1037" s="1241"/>
      <c r="CW1037" s="1241"/>
      <c r="CX1037" s="1241"/>
      <c r="CY1037" s="1241"/>
      <c r="CZ1037" s="1241"/>
      <c r="DA1037" s="1241"/>
      <c r="DB1037" s="1241"/>
      <c r="DC1037" s="1241"/>
      <c r="DD1037" s="1241"/>
      <c r="DE1037" s="1241"/>
      <c r="DF1037" s="1241"/>
      <c r="DG1037" s="1241"/>
      <c r="DH1037" s="1241"/>
      <c r="DI1037" s="1241"/>
      <c r="DJ1037" s="1241"/>
      <c r="DK1037" s="1241"/>
      <c r="DL1037" s="1241"/>
      <c r="DM1037" s="1241"/>
    </row>
    <row r="1038" spans="1:117" s="1302" customFormat="1">
      <c r="A1038" s="1241"/>
      <c r="B1038" s="1508" t="s">
        <v>4025</v>
      </c>
      <c r="C1038" s="1241" t="s">
        <v>4026</v>
      </c>
      <c r="D1038" s="1241"/>
      <c r="E1038" s="1509" t="s">
        <v>420</v>
      </c>
      <c r="F1038" s="1578"/>
      <c r="G1038" s="1541"/>
      <c r="H1038" s="1471">
        <v>0</v>
      </c>
      <c r="I1038" s="1471">
        <v>0</v>
      </c>
      <c r="J1038" s="1471">
        <v>0</v>
      </c>
      <c r="K1038" s="1471">
        <v>0</v>
      </c>
      <c r="L1038" s="1471">
        <v>0</v>
      </c>
      <c r="M1038" s="1471">
        <v>0</v>
      </c>
      <c r="N1038" s="1471">
        <v>0</v>
      </c>
      <c r="O1038" s="1471">
        <v>0</v>
      </c>
      <c r="P1038" s="1241"/>
      <c r="Q1038" s="1241"/>
      <c r="R1038" s="1241"/>
      <c r="S1038" s="1241"/>
      <c r="T1038" s="1241"/>
      <c r="U1038" s="1241"/>
      <c r="V1038" s="1241"/>
      <c r="W1038" s="1241"/>
      <c r="X1038" s="1241"/>
      <c r="Y1038" s="1241"/>
      <c r="Z1038" s="1241"/>
      <c r="AA1038" s="1241"/>
      <c r="AB1038" s="1241"/>
      <c r="AC1038" s="1241"/>
      <c r="AD1038" s="1241"/>
      <c r="AE1038" s="1241"/>
      <c r="AF1038" s="1241"/>
      <c r="AG1038" s="1241"/>
      <c r="AH1038" s="1241"/>
      <c r="AI1038" s="1241"/>
      <c r="AJ1038" s="1241"/>
      <c r="AK1038" s="1241"/>
      <c r="AL1038" s="1241"/>
      <c r="AM1038" s="1241"/>
      <c r="AN1038" s="1241"/>
      <c r="AO1038" s="1241"/>
      <c r="AP1038" s="1241"/>
      <c r="AQ1038" s="1241"/>
      <c r="AR1038" s="1241"/>
      <c r="AS1038" s="1241"/>
      <c r="AT1038" s="1241"/>
      <c r="AU1038" s="1241"/>
      <c r="AV1038" s="1241"/>
      <c r="AW1038" s="1241"/>
      <c r="AX1038" s="1241"/>
      <c r="AY1038" s="1241"/>
      <c r="AZ1038" s="1241"/>
      <c r="BA1038" s="1241"/>
      <c r="BB1038" s="1241"/>
      <c r="BC1038" s="1241"/>
      <c r="BD1038" s="1241"/>
      <c r="BE1038" s="1241"/>
      <c r="BF1038" s="1241"/>
      <c r="BG1038" s="1241"/>
      <c r="BH1038" s="1241"/>
      <c r="BI1038" s="1241"/>
      <c r="BJ1038" s="1241"/>
      <c r="BK1038" s="1241"/>
      <c r="BL1038" s="1241"/>
      <c r="BM1038" s="1241"/>
      <c r="BN1038" s="1241"/>
      <c r="BO1038" s="1241"/>
      <c r="BP1038" s="1241"/>
      <c r="BQ1038" s="1241"/>
      <c r="BR1038" s="1241"/>
      <c r="BS1038" s="1241"/>
      <c r="BT1038" s="1241"/>
      <c r="BU1038" s="1241"/>
      <c r="BV1038" s="1241"/>
      <c r="BW1038" s="1241"/>
      <c r="BX1038" s="1241"/>
      <c r="BY1038" s="1241"/>
      <c r="BZ1038" s="1241"/>
      <c r="CA1038" s="1241"/>
      <c r="CB1038" s="1241"/>
      <c r="CC1038" s="1241"/>
      <c r="CD1038" s="1241"/>
      <c r="CE1038" s="1241"/>
      <c r="CF1038" s="1241"/>
      <c r="CG1038" s="1241"/>
      <c r="CH1038" s="1241"/>
      <c r="CI1038" s="1241"/>
      <c r="CJ1038" s="1241"/>
      <c r="CK1038" s="1241"/>
      <c r="CL1038" s="1241"/>
      <c r="CM1038" s="1241"/>
      <c r="CN1038" s="1241"/>
      <c r="CO1038" s="1241"/>
      <c r="CP1038" s="1241"/>
      <c r="CQ1038" s="1241"/>
      <c r="CR1038" s="1241"/>
      <c r="CS1038" s="1241"/>
      <c r="CT1038" s="1241"/>
      <c r="CU1038" s="1241"/>
      <c r="CV1038" s="1241"/>
      <c r="CW1038" s="1241"/>
      <c r="CX1038" s="1241"/>
      <c r="CY1038" s="1241"/>
      <c r="CZ1038" s="1241"/>
      <c r="DA1038" s="1241"/>
      <c r="DB1038" s="1241"/>
      <c r="DC1038" s="1241"/>
      <c r="DD1038" s="1241"/>
      <c r="DE1038" s="1241"/>
      <c r="DF1038" s="1241"/>
      <c r="DG1038" s="1241"/>
      <c r="DH1038" s="1241"/>
      <c r="DI1038" s="1241"/>
      <c r="DJ1038" s="1241"/>
      <c r="DK1038" s="1241"/>
      <c r="DL1038" s="1241"/>
      <c r="DM1038" s="1241"/>
    </row>
    <row r="1039" spans="1:117" s="1302" customFormat="1">
      <c r="A1039" s="1241"/>
      <c r="B1039" s="1508"/>
      <c r="C1039" s="1241"/>
      <c r="D1039" s="1241"/>
      <c r="E1039" s="1509"/>
      <c r="F1039" s="1470"/>
      <c r="G1039" s="1471"/>
      <c r="H1039" s="1471"/>
      <c r="I1039" s="1471"/>
      <c r="J1039" s="1471"/>
      <c r="K1039" s="1471"/>
      <c r="L1039" s="1471"/>
      <c r="M1039" s="1471"/>
      <c r="N1039" s="1471"/>
      <c r="O1039" s="1549"/>
      <c r="P1039" s="1241"/>
      <c r="Q1039" s="1241"/>
      <c r="R1039" s="1241"/>
      <c r="S1039" s="1241"/>
      <c r="T1039" s="1241"/>
      <c r="U1039" s="1241"/>
      <c r="V1039" s="1241"/>
      <c r="W1039" s="1241"/>
      <c r="X1039" s="1241"/>
      <c r="Y1039" s="1241"/>
      <c r="Z1039" s="1241"/>
      <c r="AA1039" s="1241"/>
      <c r="AB1039" s="1241"/>
      <c r="AC1039" s="1241"/>
      <c r="AD1039" s="1241"/>
      <c r="AE1039" s="1241"/>
      <c r="AF1039" s="1241"/>
      <c r="AG1039" s="1241"/>
      <c r="AH1039" s="1241"/>
      <c r="AI1039" s="1241"/>
      <c r="AJ1039" s="1241"/>
      <c r="AK1039" s="1241"/>
      <c r="AL1039" s="1241"/>
      <c r="AM1039" s="1241"/>
      <c r="AN1039" s="1241"/>
      <c r="AO1039" s="1241"/>
      <c r="AP1039" s="1241"/>
      <c r="AQ1039" s="1241"/>
      <c r="AR1039" s="1241"/>
      <c r="AS1039" s="1241"/>
      <c r="AT1039" s="1241"/>
      <c r="AU1039" s="1241"/>
      <c r="AV1039" s="1241"/>
      <c r="AW1039" s="1241"/>
      <c r="AX1039" s="1241"/>
      <c r="AY1039" s="1241"/>
      <c r="AZ1039" s="1241"/>
      <c r="BA1039" s="1241"/>
      <c r="BB1039" s="1241"/>
      <c r="BC1039" s="1241"/>
      <c r="BD1039" s="1241"/>
      <c r="BE1039" s="1241"/>
      <c r="BF1039" s="1241"/>
      <c r="BG1039" s="1241"/>
      <c r="BH1039" s="1241"/>
      <c r="BI1039" s="1241"/>
      <c r="BJ1039" s="1241"/>
      <c r="BK1039" s="1241"/>
      <c r="BL1039" s="1241"/>
      <c r="BM1039" s="1241"/>
      <c r="BN1039" s="1241"/>
      <c r="BO1039" s="1241"/>
      <c r="BP1039" s="1241"/>
      <c r="BQ1039" s="1241"/>
      <c r="BR1039" s="1241"/>
      <c r="BS1039" s="1241"/>
      <c r="BT1039" s="1241"/>
      <c r="BU1039" s="1241"/>
      <c r="BV1039" s="1241"/>
      <c r="BW1039" s="1241"/>
      <c r="BX1039" s="1241"/>
      <c r="BY1039" s="1241"/>
      <c r="BZ1039" s="1241"/>
      <c r="CA1039" s="1241"/>
      <c r="CB1039" s="1241"/>
      <c r="CC1039" s="1241"/>
      <c r="CD1039" s="1241"/>
      <c r="CE1039" s="1241"/>
      <c r="CF1039" s="1241"/>
      <c r="CG1039" s="1241"/>
      <c r="CH1039" s="1241"/>
      <c r="CI1039" s="1241"/>
      <c r="CJ1039" s="1241"/>
      <c r="CK1039" s="1241"/>
      <c r="CL1039" s="1241"/>
      <c r="CM1039" s="1241"/>
      <c r="CN1039" s="1241"/>
      <c r="CO1039" s="1241"/>
      <c r="CP1039" s="1241"/>
      <c r="CQ1039" s="1241"/>
      <c r="CR1039" s="1241"/>
      <c r="CS1039" s="1241"/>
      <c r="CT1039" s="1241"/>
      <c r="CU1039" s="1241"/>
      <c r="CV1039" s="1241"/>
      <c r="CW1039" s="1241"/>
      <c r="CX1039" s="1241"/>
      <c r="CY1039" s="1241"/>
      <c r="CZ1039" s="1241"/>
      <c r="DA1039" s="1241"/>
      <c r="DB1039" s="1241"/>
      <c r="DC1039" s="1241"/>
      <c r="DD1039" s="1241"/>
      <c r="DE1039" s="1241"/>
      <c r="DF1039" s="1241"/>
      <c r="DG1039" s="1241"/>
      <c r="DH1039" s="1241"/>
      <c r="DI1039" s="1241"/>
      <c r="DJ1039" s="1241"/>
      <c r="DK1039" s="1241"/>
      <c r="DL1039" s="1241"/>
      <c r="DM1039" s="1241"/>
    </row>
    <row r="1040" spans="1:117" s="1302" customFormat="1">
      <c r="A1040" s="1459" t="s">
        <v>4279</v>
      </c>
      <c r="B1040" s="1508"/>
      <c r="C1040" s="1241" t="s">
        <v>4281</v>
      </c>
      <c r="D1040" s="1241"/>
      <c r="F1040" s="1470"/>
      <c r="G1040" s="1471"/>
      <c r="H1040" s="1471"/>
      <c r="I1040" s="1471"/>
      <c r="J1040" s="1471"/>
      <c r="K1040" s="1471"/>
      <c r="L1040" s="1471"/>
      <c r="M1040" s="1471"/>
      <c r="N1040" s="1471"/>
      <c r="O1040" s="1471"/>
      <c r="P1040" s="1241"/>
      <c r="Q1040" s="1241"/>
      <c r="R1040" s="1241"/>
      <c r="S1040" s="1241"/>
      <c r="T1040" s="1241"/>
      <c r="U1040" s="1241"/>
      <c r="V1040" s="1241"/>
      <c r="W1040" s="1241"/>
      <c r="X1040" s="1241"/>
      <c r="Y1040" s="1241"/>
      <c r="Z1040" s="1241"/>
      <c r="AA1040" s="1241"/>
      <c r="AB1040" s="1241"/>
      <c r="AC1040" s="1241"/>
      <c r="AD1040" s="1241"/>
      <c r="AE1040" s="1241"/>
      <c r="AF1040" s="1241"/>
      <c r="AG1040" s="1241"/>
      <c r="AH1040" s="1241"/>
      <c r="AI1040" s="1241"/>
      <c r="AJ1040" s="1241"/>
      <c r="AK1040" s="1241"/>
      <c r="AL1040" s="1241"/>
      <c r="AM1040" s="1241"/>
      <c r="AN1040" s="1241"/>
      <c r="AO1040" s="1241"/>
      <c r="AP1040" s="1241"/>
      <c r="AQ1040" s="1241"/>
      <c r="AR1040" s="1241"/>
      <c r="AS1040" s="1241"/>
      <c r="AT1040" s="1241"/>
      <c r="AU1040" s="1241"/>
      <c r="AV1040" s="1241"/>
      <c r="AW1040" s="1241"/>
      <c r="AX1040" s="1241"/>
      <c r="AY1040" s="1241"/>
      <c r="AZ1040" s="1241"/>
      <c r="BA1040" s="1241"/>
      <c r="BB1040" s="1241"/>
      <c r="BC1040" s="1241"/>
      <c r="BD1040" s="1241"/>
      <c r="BE1040" s="1241"/>
      <c r="BF1040" s="1241"/>
      <c r="BG1040" s="1241"/>
      <c r="BH1040" s="1241"/>
      <c r="BI1040" s="1241"/>
      <c r="BJ1040" s="1241"/>
      <c r="BK1040" s="1241"/>
      <c r="BL1040" s="1241"/>
      <c r="BM1040" s="1241"/>
      <c r="BN1040" s="1241"/>
      <c r="BO1040" s="1241"/>
      <c r="BP1040" s="1241"/>
      <c r="BQ1040" s="1241"/>
      <c r="BR1040" s="1241"/>
      <c r="BS1040" s="1241"/>
      <c r="BT1040" s="1241"/>
      <c r="BU1040" s="1241"/>
      <c r="BV1040" s="1241"/>
      <c r="BW1040" s="1241"/>
      <c r="BX1040" s="1241"/>
      <c r="BY1040" s="1241"/>
      <c r="BZ1040" s="1241"/>
      <c r="CA1040" s="1241"/>
      <c r="CB1040" s="1241"/>
      <c r="CC1040" s="1241"/>
      <c r="CD1040" s="1241"/>
      <c r="CE1040" s="1241"/>
      <c r="CF1040" s="1241"/>
      <c r="CG1040" s="1241"/>
      <c r="CH1040" s="1241"/>
      <c r="CI1040" s="1241"/>
      <c r="CJ1040" s="1241"/>
      <c r="CK1040" s="1241"/>
      <c r="CL1040" s="1241"/>
      <c r="CM1040" s="1241"/>
      <c r="CN1040" s="1241"/>
      <c r="CO1040" s="1241"/>
      <c r="CP1040" s="1241"/>
      <c r="CQ1040" s="1241"/>
      <c r="CR1040" s="1241"/>
      <c r="CS1040" s="1241"/>
      <c r="CT1040" s="1241"/>
      <c r="CU1040" s="1241"/>
      <c r="CV1040" s="1241"/>
      <c r="CW1040" s="1241"/>
      <c r="CX1040" s="1241"/>
      <c r="CY1040" s="1241"/>
      <c r="CZ1040" s="1241"/>
      <c r="DA1040" s="1241"/>
      <c r="DB1040" s="1241"/>
      <c r="DC1040" s="1241"/>
      <c r="DD1040" s="1241"/>
      <c r="DE1040" s="1241"/>
      <c r="DF1040" s="1241"/>
      <c r="DG1040" s="1241"/>
      <c r="DH1040" s="1241"/>
      <c r="DI1040" s="1241"/>
      <c r="DJ1040" s="1241"/>
      <c r="DK1040" s="1241"/>
      <c r="DL1040" s="1241"/>
      <c r="DM1040" s="1241"/>
    </row>
    <row r="1041" spans="1:117" s="1302" customFormat="1">
      <c r="A1041" s="1241"/>
      <c r="B1041" s="1508"/>
      <c r="C1041" s="1241" t="s">
        <v>4282</v>
      </c>
      <c r="D1041" s="1241"/>
      <c r="E1041" s="1509" t="s">
        <v>1065</v>
      </c>
      <c r="F1041" s="1470"/>
      <c r="G1041" s="1471"/>
      <c r="H1041" s="1471">
        <v>2.4681185999999999</v>
      </c>
      <c r="I1041" s="1471">
        <v>2.1397552571609277</v>
      </c>
      <c r="J1041" s="1471">
        <v>3.0062632298870331</v>
      </c>
      <c r="K1041" s="1471">
        <v>4.2430668752089611</v>
      </c>
      <c r="L1041" s="1471">
        <v>6.0307515676906052</v>
      </c>
      <c r="M1041" s="1471">
        <v>8.6322556655934033</v>
      </c>
      <c r="N1041" s="1471">
        <v>12.429261897005944</v>
      </c>
      <c r="O1041" s="1471">
        <v>3.6938816695911898</v>
      </c>
      <c r="P1041" s="1241"/>
      <c r="Q1041" s="1241"/>
      <c r="R1041" s="1241"/>
      <c r="S1041" s="1241"/>
      <c r="T1041" s="1241"/>
      <c r="U1041" s="1241"/>
      <c r="V1041" s="1241"/>
      <c r="W1041" s="1241"/>
      <c r="X1041" s="1241"/>
      <c r="Y1041" s="1241"/>
      <c r="Z1041" s="1241"/>
      <c r="AA1041" s="1241"/>
      <c r="AB1041" s="1241"/>
      <c r="AC1041" s="1241"/>
      <c r="AD1041" s="1241"/>
      <c r="AE1041" s="1241"/>
      <c r="AF1041" s="1241"/>
      <c r="AG1041" s="1241"/>
      <c r="AH1041" s="1241"/>
      <c r="AI1041" s="1241"/>
      <c r="AJ1041" s="1241"/>
      <c r="AK1041" s="1241"/>
      <c r="AL1041" s="1241"/>
      <c r="AM1041" s="1241"/>
      <c r="AN1041" s="1241"/>
      <c r="AO1041" s="1241"/>
      <c r="AP1041" s="1241"/>
      <c r="AQ1041" s="1241"/>
      <c r="AR1041" s="1241"/>
      <c r="AS1041" s="1241"/>
      <c r="AT1041" s="1241"/>
      <c r="AU1041" s="1241"/>
      <c r="AV1041" s="1241"/>
      <c r="AW1041" s="1241"/>
      <c r="AX1041" s="1241"/>
      <c r="AY1041" s="1241"/>
      <c r="AZ1041" s="1241"/>
      <c r="BA1041" s="1241"/>
      <c r="BB1041" s="1241"/>
      <c r="BC1041" s="1241"/>
      <c r="BD1041" s="1241"/>
      <c r="BE1041" s="1241"/>
      <c r="BF1041" s="1241"/>
      <c r="BG1041" s="1241"/>
      <c r="BH1041" s="1241"/>
      <c r="BI1041" s="1241"/>
      <c r="BJ1041" s="1241"/>
      <c r="BK1041" s="1241"/>
      <c r="BL1041" s="1241"/>
      <c r="BM1041" s="1241"/>
      <c r="BN1041" s="1241"/>
      <c r="BO1041" s="1241"/>
      <c r="BP1041" s="1241"/>
      <c r="BQ1041" s="1241"/>
      <c r="BR1041" s="1241"/>
      <c r="BS1041" s="1241"/>
      <c r="BT1041" s="1241"/>
      <c r="BU1041" s="1241"/>
      <c r="BV1041" s="1241"/>
      <c r="BW1041" s="1241"/>
      <c r="BX1041" s="1241"/>
      <c r="BY1041" s="1241"/>
      <c r="BZ1041" s="1241"/>
      <c r="CA1041" s="1241"/>
      <c r="CB1041" s="1241"/>
      <c r="CC1041" s="1241"/>
      <c r="CD1041" s="1241"/>
      <c r="CE1041" s="1241"/>
      <c r="CF1041" s="1241"/>
      <c r="CG1041" s="1241"/>
      <c r="CH1041" s="1241"/>
      <c r="CI1041" s="1241"/>
      <c r="CJ1041" s="1241"/>
      <c r="CK1041" s="1241"/>
      <c r="CL1041" s="1241"/>
      <c r="CM1041" s="1241"/>
      <c r="CN1041" s="1241"/>
      <c r="CO1041" s="1241"/>
      <c r="CP1041" s="1241"/>
      <c r="CQ1041" s="1241"/>
      <c r="CR1041" s="1241"/>
      <c r="CS1041" s="1241"/>
      <c r="CT1041" s="1241"/>
      <c r="CU1041" s="1241"/>
      <c r="CV1041" s="1241"/>
      <c r="CW1041" s="1241"/>
      <c r="CX1041" s="1241"/>
      <c r="CY1041" s="1241"/>
      <c r="CZ1041" s="1241"/>
      <c r="DA1041" s="1241"/>
      <c r="DB1041" s="1241"/>
      <c r="DC1041" s="1241"/>
      <c r="DD1041" s="1241"/>
      <c r="DE1041" s="1241"/>
      <c r="DF1041" s="1241"/>
      <c r="DG1041" s="1241"/>
      <c r="DH1041" s="1241"/>
      <c r="DI1041" s="1241"/>
      <c r="DJ1041" s="1241"/>
      <c r="DK1041" s="1241"/>
      <c r="DL1041" s="1241"/>
      <c r="DM1041" s="1241"/>
    </row>
    <row r="1042" spans="1:117" s="1302" customFormat="1">
      <c r="A1042" s="1241"/>
      <c r="B1042" s="1508"/>
      <c r="C1042" s="1241" t="s">
        <v>1255</v>
      </c>
      <c r="D1042" s="1241"/>
      <c r="E1042" s="1509" t="s">
        <v>4283</v>
      </c>
      <c r="F1042" s="1470"/>
      <c r="G1042" s="1471"/>
      <c r="H1042" s="1471">
        <v>4.2011853612407011</v>
      </c>
      <c r="I1042" s="1471">
        <v>3.350871301719673</v>
      </c>
      <c r="J1042" s="1471">
        <v>3.8950961130112347</v>
      </c>
      <c r="K1042" s="1471">
        <v>4.6446032369192283</v>
      </c>
      <c r="L1042" s="1471">
        <v>5.6646523677445986</v>
      </c>
      <c r="M1042" s="1471">
        <v>7.0409640313000574</v>
      </c>
      <c r="N1042" s="1471">
        <v>8.8858800852381403</v>
      </c>
      <c r="O1042" s="1471">
        <v>4.3163911183376182</v>
      </c>
      <c r="P1042" s="1241"/>
      <c r="Q1042" s="1241"/>
      <c r="R1042" s="1241"/>
      <c r="S1042" s="1241"/>
      <c r="T1042" s="1241"/>
      <c r="U1042" s="1241"/>
      <c r="V1042" s="1241"/>
      <c r="W1042" s="1241"/>
      <c r="X1042" s="1241"/>
      <c r="Y1042" s="1241"/>
      <c r="Z1042" s="1241"/>
      <c r="AA1042" s="1241"/>
      <c r="AB1042" s="1241"/>
      <c r="AC1042" s="1241"/>
      <c r="AD1042" s="1241"/>
      <c r="AE1042" s="1241"/>
      <c r="AF1042" s="1241"/>
      <c r="AG1042" s="1241"/>
      <c r="AH1042" s="1241"/>
      <c r="AI1042" s="1241"/>
      <c r="AJ1042" s="1241"/>
      <c r="AK1042" s="1241"/>
      <c r="AL1042" s="1241"/>
      <c r="AM1042" s="1241"/>
      <c r="AN1042" s="1241"/>
      <c r="AO1042" s="1241"/>
      <c r="AP1042" s="1241"/>
      <c r="AQ1042" s="1241"/>
      <c r="AR1042" s="1241"/>
      <c r="AS1042" s="1241"/>
      <c r="AT1042" s="1241"/>
      <c r="AU1042" s="1241"/>
      <c r="AV1042" s="1241"/>
      <c r="AW1042" s="1241"/>
      <c r="AX1042" s="1241"/>
      <c r="AY1042" s="1241"/>
      <c r="AZ1042" s="1241"/>
      <c r="BA1042" s="1241"/>
      <c r="BB1042" s="1241"/>
      <c r="BC1042" s="1241"/>
      <c r="BD1042" s="1241"/>
      <c r="BE1042" s="1241"/>
      <c r="BF1042" s="1241"/>
      <c r="BG1042" s="1241"/>
      <c r="BH1042" s="1241"/>
      <c r="BI1042" s="1241"/>
      <c r="BJ1042" s="1241"/>
      <c r="BK1042" s="1241"/>
      <c r="BL1042" s="1241"/>
      <c r="BM1042" s="1241"/>
      <c r="BN1042" s="1241"/>
      <c r="BO1042" s="1241"/>
      <c r="BP1042" s="1241"/>
      <c r="BQ1042" s="1241"/>
      <c r="BR1042" s="1241"/>
      <c r="BS1042" s="1241"/>
      <c r="BT1042" s="1241"/>
      <c r="BU1042" s="1241"/>
      <c r="BV1042" s="1241"/>
      <c r="BW1042" s="1241"/>
      <c r="BX1042" s="1241"/>
      <c r="BY1042" s="1241"/>
      <c r="BZ1042" s="1241"/>
      <c r="CA1042" s="1241"/>
      <c r="CB1042" s="1241"/>
      <c r="CC1042" s="1241"/>
      <c r="CD1042" s="1241"/>
      <c r="CE1042" s="1241"/>
      <c r="CF1042" s="1241"/>
      <c r="CG1042" s="1241"/>
      <c r="CH1042" s="1241"/>
      <c r="CI1042" s="1241"/>
      <c r="CJ1042" s="1241"/>
      <c r="CK1042" s="1241"/>
      <c r="CL1042" s="1241"/>
      <c r="CM1042" s="1241"/>
      <c r="CN1042" s="1241"/>
      <c r="CO1042" s="1241"/>
      <c r="CP1042" s="1241"/>
      <c r="CQ1042" s="1241"/>
      <c r="CR1042" s="1241"/>
      <c r="CS1042" s="1241"/>
      <c r="CT1042" s="1241"/>
      <c r="CU1042" s="1241"/>
      <c r="CV1042" s="1241"/>
      <c r="CW1042" s="1241"/>
      <c r="CX1042" s="1241"/>
      <c r="CY1042" s="1241"/>
      <c r="CZ1042" s="1241"/>
      <c r="DA1042" s="1241"/>
      <c r="DB1042" s="1241"/>
      <c r="DC1042" s="1241"/>
      <c r="DD1042" s="1241"/>
      <c r="DE1042" s="1241"/>
      <c r="DF1042" s="1241"/>
      <c r="DG1042" s="1241"/>
      <c r="DH1042" s="1241"/>
      <c r="DI1042" s="1241"/>
      <c r="DJ1042" s="1241"/>
      <c r="DK1042" s="1241"/>
      <c r="DL1042" s="1241"/>
      <c r="DM1042" s="1241"/>
    </row>
    <row r="1043" spans="1:117" s="1302" customFormat="1">
      <c r="A1043" s="1241"/>
      <c r="B1043" s="1508"/>
      <c r="C1043" s="1241" t="s">
        <v>3861</v>
      </c>
      <c r="D1043" s="1241"/>
      <c r="E1043" s="1509" t="s">
        <v>3925</v>
      </c>
      <c r="F1043" s="1470"/>
      <c r="G1043" s="1471"/>
      <c r="H1043" s="1471">
        <v>4.2443999999999996E-2</v>
      </c>
      <c r="I1043" s="1471">
        <v>3.4259431282559996E-2</v>
      </c>
      <c r="J1043" s="1471">
        <v>4.1054629106747197E-2</v>
      </c>
      <c r="K1043" s="1471">
        <v>5.0516041903407159E-2</v>
      </c>
      <c r="L1043" s="1471">
        <v>6.3640386276731922E-2</v>
      </c>
      <c r="M1043" s="1471">
        <v>8.1797919866292979E-2</v>
      </c>
      <c r="N1043" s="1471">
        <v>0.10687241527950078</v>
      </c>
      <c r="O1043" s="1471">
        <v>4.6354862810049559E-2</v>
      </c>
      <c r="P1043" s="1241"/>
      <c r="Q1043" s="1241"/>
      <c r="R1043" s="1241"/>
      <c r="S1043" s="1241"/>
      <c r="T1043" s="1241"/>
      <c r="U1043" s="1241"/>
      <c r="V1043" s="1241"/>
      <c r="W1043" s="1241"/>
      <c r="X1043" s="1241"/>
      <c r="Y1043" s="1241"/>
      <c r="Z1043" s="1241"/>
      <c r="AA1043" s="1241"/>
      <c r="AB1043" s="1241"/>
      <c r="AC1043" s="1241"/>
      <c r="AD1043" s="1241"/>
      <c r="AE1043" s="1241"/>
      <c r="AF1043" s="1241"/>
      <c r="AG1043" s="1241"/>
      <c r="AH1043" s="1241"/>
      <c r="AI1043" s="1241"/>
      <c r="AJ1043" s="1241"/>
      <c r="AK1043" s="1241"/>
      <c r="AL1043" s="1241"/>
      <c r="AM1043" s="1241"/>
      <c r="AN1043" s="1241"/>
      <c r="AO1043" s="1241"/>
      <c r="AP1043" s="1241"/>
      <c r="AQ1043" s="1241"/>
      <c r="AR1043" s="1241"/>
      <c r="AS1043" s="1241"/>
      <c r="AT1043" s="1241"/>
      <c r="AU1043" s="1241"/>
      <c r="AV1043" s="1241"/>
      <c r="AW1043" s="1241"/>
      <c r="AX1043" s="1241"/>
      <c r="AY1043" s="1241"/>
      <c r="AZ1043" s="1241"/>
      <c r="BA1043" s="1241"/>
      <c r="BB1043" s="1241"/>
      <c r="BC1043" s="1241"/>
      <c r="BD1043" s="1241"/>
      <c r="BE1043" s="1241"/>
      <c r="BF1043" s="1241"/>
      <c r="BG1043" s="1241"/>
      <c r="BH1043" s="1241"/>
      <c r="BI1043" s="1241"/>
      <c r="BJ1043" s="1241"/>
      <c r="BK1043" s="1241"/>
      <c r="BL1043" s="1241"/>
      <c r="BM1043" s="1241"/>
      <c r="BN1043" s="1241"/>
      <c r="BO1043" s="1241"/>
      <c r="BP1043" s="1241"/>
      <c r="BQ1043" s="1241"/>
      <c r="BR1043" s="1241"/>
      <c r="BS1043" s="1241"/>
      <c r="BT1043" s="1241"/>
      <c r="BU1043" s="1241"/>
      <c r="BV1043" s="1241"/>
      <c r="BW1043" s="1241"/>
      <c r="BX1043" s="1241"/>
      <c r="BY1043" s="1241"/>
      <c r="BZ1043" s="1241"/>
      <c r="CA1043" s="1241"/>
      <c r="CB1043" s="1241"/>
      <c r="CC1043" s="1241"/>
      <c r="CD1043" s="1241"/>
      <c r="CE1043" s="1241"/>
      <c r="CF1043" s="1241"/>
      <c r="CG1043" s="1241"/>
      <c r="CH1043" s="1241"/>
      <c r="CI1043" s="1241"/>
      <c r="CJ1043" s="1241"/>
      <c r="CK1043" s="1241"/>
      <c r="CL1043" s="1241"/>
      <c r="CM1043" s="1241"/>
      <c r="CN1043" s="1241"/>
      <c r="CO1043" s="1241"/>
      <c r="CP1043" s="1241"/>
      <c r="CQ1043" s="1241"/>
      <c r="CR1043" s="1241"/>
      <c r="CS1043" s="1241"/>
      <c r="CT1043" s="1241"/>
      <c r="CU1043" s="1241"/>
      <c r="CV1043" s="1241"/>
      <c r="CW1043" s="1241"/>
      <c r="CX1043" s="1241"/>
      <c r="CY1043" s="1241"/>
      <c r="CZ1043" s="1241"/>
      <c r="DA1043" s="1241"/>
      <c r="DB1043" s="1241"/>
      <c r="DC1043" s="1241"/>
      <c r="DD1043" s="1241"/>
      <c r="DE1043" s="1241"/>
      <c r="DF1043" s="1241"/>
      <c r="DG1043" s="1241"/>
      <c r="DH1043" s="1241"/>
      <c r="DI1043" s="1241"/>
      <c r="DJ1043" s="1241"/>
      <c r="DK1043" s="1241"/>
      <c r="DL1043" s="1241"/>
      <c r="DM1043" s="1241"/>
    </row>
    <row r="1044" spans="1:117" s="1302" customFormat="1">
      <c r="A1044" s="1241"/>
      <c r="B1044" s="1508"/>
      <c r="C1044" s="1241" t="s">
        <v>524</v>
      </c>
      <c r="D1044" s="1241"/>
      <c r="E1044" s="1509" t="s">
        <v>3923</v>
      </c>
      <c r="F1044" s="1470"/>
      <c r="G1044" s="1471"/>
      <c r="H1044" s="1471">
        <v>0.30703867751196168</v>
      </c>
      <c r="I1044" s="1471">
        <v>0.25065603573407996</v>
      </c>
      <c r="J1044" s="1471">
        <v>0.30883368390339627</v>
      </c>
      <c r="K1044" s="1471">
        <v>0.39041837276490249</v>
      </c>
      <c r="L1044" s="1471">
        <v>0.50496723652911757</v>
      </c>
      <c r="M1044" s="1471">
        <v>0.66590000740345556</v>
      </c>
      <c r="N1044" s="1471">
        <v>0.89205228925879954</v>
      </c>
      <c r="O1044" s="1471">
        <v>0.35443685488641696</v>
      </c>
      <c r="P1044" s="1241"/>
      <c r="Q1044" s="1241"/>
      <c r="R1044" s="1241"/>
      <c r="S1044" s="1241"/>
      <c r="T1044" s="1241"/>
      <c r="U1044" s="1241"/>
      <c r="V1044" s="1241"/>
      <c r="W1044" s="1241"/>
      <c r="X1044" s="1241"/>
      <c r="Y1044" s="1241"/>
      <c r="Z1044" s="1241"/>
      <c r="AA1044" s="1241"/>
      <c r="AB1044" s="1241"/>
      <c r="AC1044" s="1241"/>
      <c r="AD1044" s="1241"/>
      <c r="AE1044" s="1241"/>
      <c r="AF1044" s="1241"/>
      <c r="AG1044" s="1241"/>
      <c r="AH1044" s="1241"/>
      <c r="AI1044" s="1241"/>
      <c r="AJ1044" s="1241"/>
      <c r="AK1044" s="1241"/>
      <c r="AL1044" s="1241"/>
      <c r="AM1044" s="1241"/>
      <c r="AN1044" s="1241"/>
      <c r="AO1044" s="1241"/>
      <c r="AP1044" s="1241"/>
      <c r="AQ1044" s="1241"/>
      <c r="AR1044" s="1241"/>
      <c r="AS1044" s="1241"/>
      <c r="AT1044" s="1241"/>
      <c r="AU1044" s="1241"/>
      <c r="AV1044" s="1241"/>
      <c r="AW1044" s="1241"/>
      <c r="AX1044" s="1241"/>
      <c r="AY1044" s="1241"/>
      <c r="AZ1044" s="1241"/>
      <c r="BA1044" s="1241"/>
      <c r="BB1044" s="1241"/>
      <c r="BC1044" s="1241"/>
      <c r="BD1044" s="1241"/>
      <c r="BE1044" s="1241"/>
      <c r="BF1044" s="1241"/>
      <c r="BG1044" s="1241"/>
      <c r="BH1044" s="1241"/>
      <c r="BI1044" s="1241"/>
      <c r="BJ1044" s="1241"/>
      <c r="BK1044" s="1241"/>
      <c r="BL1044" s="1241"/>
      <c r="BM1044" s="1241"/>
      <c r="BN1044" s="1241"/>
      <c r="BO1044" s="1241"/>
      <c r="BP1044" s="1241"/>
      <c r="BQ1044" s="1241"/>
      <c r="BR1044" s="1241"/>
      <c r="BS1044" s="1241"/>
      <c r="BT1044" s="1241"/>
      <c r="BU1044" s="1241"/>
      <c r="BV1044" s="1241"/>
      <c r="BW1044" s="1241"/>
      <c r="BX1044" s="1241"/>
      <c r="BY1044" s="1241"/>
      <c r="BZ1044" s="1241"/>
      <c r="CA1044" s="1241"/>
      <c r="CB1044" s="1241"/>
      <c r="CC1044" s="1241"/>
      <c r="CD1044" s="1241"/>
      <c r="CE1044" s="1241"/>
      <c r="CF1044" s="1241"/>
      <c r="CG1044" s="1241"/>
      <c r="CH1044" s="1241"/>
      <c r="CI1044" s="1241"/>
      <c r="CJ1044" s="1241"/>
      <c r="CK1044" s="1241"/>
      <c r="CL1044" s="1241"/>
      <c r="CM1044" s="1241"/>
      <c r="CN1044" s="1241"/>
      <c r="CO1044" s="1241"/>
      <c r="CP1044" s="1241"/>
      <c r="CQ1044" s="1241"/>
      <c r="CR1044" s="1241"/>
      <c r="CS1044" s="1241"/>
      <c r="CT1044" s="1241"/>
      <c r="CU1044" s="1241"/>
      <c r="CV1044" s="1241"/>
      <c r="CW1044" s="1241"/>
      <c r="CX1044" s="1241"/>
      <c r="CY1044" s="1241"/>
      <c r="CZ1044" s="1241"/>
      <c r="DA1044" s="1241"/>
      <c r="DB1044" s="1241"/>
      <c r="DC1044" s="1241"/>
      <c r="DD1044" s="1241"/>
      <c r="DE1044" s="1241"/>
      <c r="DF1044" s="1241"/>
      <c r="DG1044" s="1241"/>
      <c r="DH1044" s="1241"/>
      <c r="DI1044" s="1241"/>
      <c r="DJ1044" s="1241"/>
      <c r="DK1044" s="1241"/>
      <c r="DL1044" s="1241"/>
      <c r="DM1044" s="1241"/>
    </row>
    <row r="1045" spans="1:117" s="1302" customFormat="1">
      <c r="A1045" s="1241"/>
      <c r="B1045" s="1508"/>
      <c r="C1045" s="1241" t="s">
        <v>3867</v>
      </c>
      <c r="D1045" s="1241"/>
      <c r="E1045" s="1509" t="s">
        <v>3925</v>
      </c>
      <c r="F1045" s="1470"/>
      <c r="G1045" s="1471"/>
      <c r="H1045" s="1471">
        <v>0</v>
      </c>
      <c r="I1045" s="1471">
        <v>0</v>
      </c>
      <c r="J1045" s="1471">
        <v>0</v>
      </c>
      <c r="K1045" s="1471">
        <v>0</v>
      </c>
      <c r="L1045" s="1471">
        <v>0</v>
      </c>
      <c r="M1045" s="1471">
        <v>0</v>
      </c>
      <c r="N1045" s="1471">
        <v>0</v>
      </c>
      <c r="O1045" s="1471">
        <v>0</v>
      </c>
      <c r="P1045" s="1241"/>
      <c r="Q1045" s="1241"/>
      <c r="R1045" s="1241"/>
      <c r="S1045" s="1241"/>
      <c r="T1045" s="1241"/>
      <c r="U1045" s="1241"/>
      <c r="V1045" s="1241"/>
      <c r="W1045" s="1241"/>
      <c r="X1045" s="1241"/>
      <c r="Y1045" s="1241"/>
      <c r="Z1045" s="1241"/>
      <c r="AA1045" s="1241"/>
      <c r="AB1045" s="1241"/>
      <c r="AC1045" s="1241"/>
      <c r="AD1045" s="1241"/>
      <c r="AE1045" s="1241"/>
      <c r="AF1045" s="1241"/>
      <c r="AG1045" s="1241"/>
      <c r="AH1045" s="1241"/>
      <c r="AI1045" s="1241"/>
      <c r="AJ1045" s="1241"/>
      <c r="AK1045" s="1241"/>
      <c r="AL1045" s="1241"/>
      <c r="AM1045" s="1241"/>
      <c r="AN1045" s="1241"/>
      <c r="AO1045" s="1241"/>
      <c r="AP1045" s="1241"/>
      <c r="AQ1045" s="1241"/>
      <c r="AR1045" s="1241"/>
      <c r="AS1045" s="1241"/>
      <c r="AT1045" s="1241"/>
      <c r="AU1045" s="1241"/>
      <c r="AV1045" s="1241"/>
      <c r="AW1045" s="1241"/>
      <c r="AX1045" s="1241"/>
      <c r="AY1045" s="1241"/>
      <c r="AZ1045" s="1241"/>
      <c r="BA1045" s="1241"/>
      <c r="BB1045" s="1241"/>
      <c r="BC1045" s="1241"/>
      <c r="BD1045" s="1241"/>
      <c r="BE1045" s="1241"/>
      <c r="BF1045" s="1241"/>
      <c r="BG1045" s="1241"/>
      <c r="BH1045" s="1241"/>
      <c r="BI1045" s="1241"/>
      <c r="BJ1045" s="1241"/>
      <c r="BK1045" s="1241"/>
      <c r="BL1045" s="1241"/>
      <c r="BM1045" s="1241"/>
      <c r="BN1045" s="1241"/>
      <c r="BO1045" s="1241"/>
      <c r="BP1045" s="1241"/>
      <c r="BQ1045" s="1241"/>
      <c r="BR1045" s="1241"/>
      <c r="BS1045" s="1241"/>
      <c r="BT1045" s="1241"/>
      <c r="BU1045" s="1241"/>
      <c r="BV1045" s="1241"/>
      <c r="BW1045" s="1241"/>
      <c r="BX1045" s="1241"/>
      <c r="BY1045" s="1241"/>
      <c r="BZ1045" s="1241"/>
      <c r="CA1045" s="1241"/>
      <c r="CB1045" s="1241"/>
      <c r="CC1045" s="1241"/>
      <c r="CD1045" s="1241"/>
      <c r="CE1045" s="1241"/>
      <c r="CF1045" s="1241"/>
      <c r="CG1045" s="1241"/>
      <c r="CH1045" s="1241"/>
      <c r="CI1045" s="1241"/>
      <c r="CJ1045" s="1241"/>
      <c r="CK1045" s="1241"/>
      <c r="CL1045" s="1241"/>
      <c r="CM1045" s="1241"/>
      <c r="CN1045" s="1241"/>
      <c r="CO1045" s="1241"/>
      <c r="CP1045" s="1241"/>
      <c r="CQ1045" s="1241"/>
      <c r="CR1045" s="1241"/>
      <c r="CS1045" s="1241"/>
      <c r="CT1045" s="1241"/>
      <c r="CU1045" s="1241"/>
      <c r="CV1045" s="1241"/>
      <c r="CW1045" s="1241"/>
      <c r="CX1045" s="1241"/>
      <c r="CY1045" s="1241"/>
      <c r="CZ1045" s="1241"/>
      <c r="DA1045" s="1241"/>
      <c r="DB1045" s="1241"/>
      <c r="DC1045" s="1241"/>
      <c r="DD1045" s="1241"/>
      <c r="DE1045" s="1241"/>
      <c r="DF1045" s="1241"/>
      <c r="DG1045" s="1241"/>
      <c r="DH1045" s="1241"/>
      <c r="DI1045" s="1241"/>
      <c r="DJ1045" s="1241"/>
      <c r="DK1045" s="1241"/>
      <c r="DL1045" s="1241"/>
      <c r="DM1045" s="1241"/>
    </row>
    <row r="1046" spans="1:117" s="1302" customFormat="1">
      <c r="A1046" s="1241"/>
      <c r="B1046" s="1508"/>
      <c r="C1046" s="1241" t="s">
        <v>4284</v>
      </c>
      <c r="D1046" s="1241"/>
      <c r="E1046" s="1509" t="s">
        <v>3925</v>
      </c>
      <c r="F1046" s="1470"/>
      <c r="G1046" s="1471"/>
      <c r="H1046" s="1471">
        <v>0</v>
      </c>
      <c r="I1046" s="1471">
        <v>0</v>
      </c>
      <c r="J1046" s="1471">
        <v>0</v>
      </c>
      <c r="K1046" s="1471">
        <v>0</v>
      </c>
      <c r="L1046" s="1471">
        <v>0</v>
      </c>
      <c r="M1046" s="1471">
        <v>0</v>
      </c>
      <c r="N1046" s="1471">
        <v>0</v>
      </c>
      <c r="O1046" s="1471">
        <v>0</v>
      </c>
      <c r="P1046" s="1241"/>
      <c r="Q1046" s="1241"/>
      <c r="R1046" s="1241"/>
      <c r="S1046" s="1241"/>
      <c r="T1046" s="1241"/>
      <c r="U1046" s="1241"/>
      <c r="V1046" s="1241"/>
      <c r="W1046" s="1241"/>
      <c r="X1046" s="1241"/>
      <c r="Y1046" s="1241"/>
      <c r="Z1046" s="1241"/>
      <c r="AA1046" s="1241"/>
      <c r="AB1046" s="1241"/>
      <c r="AC1046" s="1241"/>
      <c r="AD1046" s="1241"/>
      <c r="AE1046" s="1241"/>
      <c r="AF1046" s="1241"/>
      <c r="AG1046" s="1241"/>
      <c r="AH1046" s="1241"/>
      <c r="AI1046" s="1241"/>
      <c r="AJ1046" s="1241"/>
      <c r="AK1046" s="1241"/>
      <c r="AL1046" s="1241"/>
      <c r="AM1046" s="1241"/>
      <c r="AN1046" s="1241"/>
      <c r="AO1046" s="1241"/>
      <c r="AP1046" s="1241"/>
      <c r="AQ1046" s="1241"/>
      <c r="AR1046" s="1241"/>
      <c r="AS1046" s="1241"/>
      <c r="AT1046" s="1241"/>
      <c r="AU1046" s="1241"/>
      <c r="AV1046" s="1241"/>
      <c r="AW1046" s="1241"/>
      <c r="AX1046" s="1241"/>
      <c r="AY1046" s="1241"/>
      <c r="AZ1046" s="1241"/>
      <c r="BA1046" s="1241"/>
      <c r="BB1046" s="1241"/>
      <c r="BC1046" s="1241"/>
      <c r="BD1046" s="1241"/>
      <c r="BE1046" s="1241"/>
      <c r="BF1046" s="1241"/>
      <c r="BG1046" s="1241"/>
      <c r="BH1046" s="1241"/>
      <c r="BI1046" s="1241"/>
      <c r="BJ1046" s="1241"/>
      <c r="BK1046" s="1241"/>
      <c r="BL1046" s="1241"/>
      <c r="BM1046" s="1241"/>
      <c r="BN1046" s="1241"/>
      <c r="BO1046" s="1241"/>
      <c r="BP1046" s="1241"/>
      <c r="BQ1046" s="1241"/>
      <c r="BR1046" s="1241"/>
      <c r="BS1046" s="1241"/>
      <c r="BT1046" s="1241"/>
      <c r="BU1046" s="1241"/>
      <c r="BV1046" s="1241"/>
      <c r="BW1046" s="1241"/>
      <c r="BX1046" s="1241"/>
      <c r="BY1046" s="1241"/>
      <c r="BZ1046" s="1241"/>
      <c r="CA1046" s="1241"/>
      <c r="CB1046" s="1241"/>
      <c r="CC1046" s="1241"/>
      <c r="CD1046" s="1241"/>
      <c r="CE1046" s="1241"/>
      <c r="CF1046" s="1241"/>
      <c r="CG1046" s="1241"/>
      <c r="CH1046" s="1241"/>
      <c r="CI1046" s="1241"/>
      <c r="CJ1046" s="1241"/>
      <c r="CK1046" s="1241"/>
      <c r="CL1046" s="1241"/>
      <c r="CM1046" s="1241"/>
      <c r="CN1046" s="1241"/>
      <c r="CO1046" s="1241"/>
      <c r="CP1046" s="1241"/>
      <c r="CQ1046" s="1241"/>
      <c r="CR1046" s="1241"/>
      <c r="CS1046" s="1241"/>
      <c r="CT1046" s="1241"/>
      <c r="CU1046" s="1241"/>
      <c r="CV1046" s="1241"/>
      <c r="CW1046" s="1241"/>
      <c r="CX1046" s="1241"/>
      <c r="CY1046" s="1241"/>
      <c r="CZ1046" s="1241"/>
      <c r="DA1046" s="1241"/>
      <c r="DB1046" s="1241"/>
      <c r="DC1046" s="1241"/>
      <c r="DD1046" s="1241"/>
      <c r="DE1046" s="1241"/>
      <c r="DF1046" s="1241"/>
      <c r="DG1046" s="1241"/>
      <c r="DH1046" s="1241"/>
      <c r="DI1046" s="1241"/>
      <c r="DJ1046" s="1241"/>
      <c r="DK1046" s="1241"/>
      <c r="DL1046" s="1241"/>
      <c r="DM1046" s="1241"/>
    </row>
    <row r="1047" spans="1:117" s="1302" customFormat="1">
      <c r="A1047" s="1241"/>
      <c r="B1047" s="1508"/>
      <c r="C1047" s="1241"/>
      <c r="D1047" s="1241"/>
      <c r="E1047" s="1509"/>
      <c r="F1047" s="1470"/>
      <c r="G1047" s="1471"/>
      <c r="H1047" s="1471"/>
      <c r="I1047" s="1471"/>
      <c r="J1047" s="1471"/>
      <c r="K1047" s="1471"/>
      <c r="L1047" s="1471"/>
      <c r="M1047" s="1471"/>
      <c r="N1047" s="1471"/>
      <c r="O1047" s="1549"/>
      <c r="P1047" s="1241"/>
      <c r="Q1047" s="1241"/>
      <c r="R1047" s="1241"/>
      <c r="S1047" s="1241"/>
      <c r="T1047" s="1241"/>
      <c r="U1047" s="1241"/>
      <c r="V1047" s="1241"/>
      <c r="W1047" s="1241"/>
      <c r="X1047" s="1241"/>
      <c r="Y1047" s="1241"/>
      <c r="Z1047" s="1241"/>
      <c r="AA1047" s="1241"/>
      <c r="AB1047" s="1241"/>
      <c r="AC1047" s="1241"/>
      <c r="AD1047" s="1241"/>
      <c r="AE1047" s="1241"/>
      <c r="AF1047" s="1241"/>
      <c r="AG1047" s="1241"/>
      <c r="AH1047" s="1241"/>
      <c r="AI1047" s="1241"/>
      <c r="AJ1047" s="1241"/>
      <c r="AK1047" s="1241"/>
      <c r="AL1047" s="1241"/>
      <c r="AM1047" s="1241"/>
      <c r="AN1047" s="1241"/>
      <c r="AO1047" s="1241"/>
      <c r="AP1047" s="1241"/>
      <c r="AQ1047" s="1241"/>
      <c r="AR1047" s="1241"/>
      <c r="AS1047" s="1241"/>
      <c r="AT1047" s="1241"/>
      <c r="AU1047" s="1241"/>
      <c r="AV1047" s="1241"/>
      <c r="AW1047" s="1241"/>
      <c r="AX1047" s="1241"/>
      <c r="AY1047" s="1241"/>
      <c r="AZ1047" s="1241"/>
      <c r="BA1047" s="1241"/>
      <c r="BB1047" s="1241"/>
      <c r="BC1047" s="1241"/>
      <c r="BD1047" s="1241"/>
      <c r="BE1047" s="1241"/>
      <c r="BF1047" s="1241"/>
      <c r="BG1047" s="1241"/>
      <c r="BH1047" s="1241"/>
      <c r="BI1047" s="1241"/>
      <c r="BJ1047" s="1241"/>
      <c r="BK1047" s="1241"/>
      <c r="BL1047" s="1241"/>
      <c r="BM1047" s="1241"/>
      <c r="BN1047" s="1241"/>
      <c r="BO1047" s="1241"/>
      <c r="BP1047" s="1241"/>
      <c r="BQ1047" s="1241"/>
      <c r="BR1047" s="1241"/>
      <c r="BS1047" s="1241"/>
      <c r="BT1047" s="1241"/>
      <c r="BU1047" s="1241"/>
      <c r="BV1047" s="1241"/>
      <c r="BW1047" s="1241"/>
      <c r="BX1047" s="1241"/>
      <c r="BY1047" s="1241"/>
      <c r="BZ1047" s="1241"/>
      <c r="CA1047" s="1241"/>
      <c r="CB1047" s="1241"/>
      <c r="CC1047" s="1241"/>
      <c r="CD1047" s="1241"/>
      <c r="CE1047" s="1241"/>
      <c r="CF1047" s="1241"/>
      <c r="CG1047" s="1241"/>
      <c r="CH1047" s="1241"/>
      <c r="CI1047" s="1241"/>
      <c r="CJ1047" s="1241"/>
      <c r="CK1047" s="1241"/>
      <c r="CL1047" s="1241"/>
      <c r="CM1047" s="1241"/>
      <c r="CN1047" s="1241"/>
      <c r="CO1047" s="1241"/>
      <c r="CP1047" s="1241"/>
      <c r="CQ1047" s="1241"/>
      <c r="CR1047" s="1241"/>
      <c r="CS1047" s="1241"/>
      <c r="CT1047" s="1241"/>
      <c r="CU1047" s="1241"/>
      <c r="CV1047" s="1241"/>
      <c r="CW1047" s="1241"/>
      <c r="CX1047" s="1241"/>
      <c r="CY1047" s="1241"/>
      <c r="CZ1047" s="1241"/>
      <c r="DA1047" s="1241"/>
      <c r="DB1047" s="1241"/>
      <c r="DC1047" s="1241"/>
      <c r="DD1047" s="1241"/>
      <c r="DE1047" s="1241"/>
      <c r="DF1047" s="1241"/>
      <c r="DG1047" s="1241"/>
      <c r="DH1047" s="1241"/>
      <c r="DI1047" s="1241"/>
      <c r="DJ1047" s="1241"/>
      <c r="DK1047" s="1241"/>
      <c r="DL1047" s="1241"/>
      <c r="DM1047" s="1241"/>
    </row>
    <row r="1048" spans="1:117" s="1302" customFormat="1" ht="16">
      <c r="A1048" s="1459" t="s">
        <v>4106</v>
      </c>
      <c r="B1048" s="1508"/>
      <c r="C1048" s="1241" t="s">
        <v>122</v>
      </c>
      <c r="D1048" s="1243"/>
      <c r="E1048" s="1242" t="s">
        <v>4680</v>
      </c>
      <c r="F1048" s="1470"/>
      <c r="G1048" s="1471"/>
      <c r="H1048" s="1471">
        <v>7.4421226490168104</v>
      </c>
      <c r="I1048" s="1471">
        <v>5.9490637219562554</v>
      </c>
      <c r="J1048" s="1471">
        <v>6.9553377497137161</v>
      </c>
      <c r="K1048" s="1471">
        <v>8.3445341278359582</v>
      </c>
      <c r="L1048" s="1471">
        <v>10.243238520107791</v>
      </c>
      <c r="M1048" s="1471">
        <v>12.819711771667805</v>
      </c>
      <c r="N1048" s="1471">
        <v>16.297333071420336</v>
      </c>
      <c r="O1048" s="1471">
        <v>7.7356140285047346</v>
      </c>
      <c r="P1048" s="1241"/>
      <c r="Q1048" s="1241"/>
      <c r="R1048" s="1241"/>
      <c r="S1048" s="1241"/>
      <c r="T1048" s="1241"/>
      <c r="U1048" s="1241"/>
      <c r="V1048" s="1241"/>
      <c r="W1048" s="1241"/>
      <c r="X1048" s="1241"/>
      <c r="Y1048" s="1241"/>
      <c r="Z1048" s="1241"/>
      <c r="AA1048" s="1241"/>
      <c r="AB1048" s="1241"/>
      <c r="AC1048" s="1241"/>
      <c r="AD1048" s="1241"/>
      <c r="AE1048" s="1241"/>
      <c r="AF1048" s="1241"/>
      <c r="AG1048" s="1241"/>
      <c r="AH1048" s="1241"/>
      <c r="AI1048" s="1241"/>
      <c r="AJ1048" s="1241"/>
      <c r="AK1048" s="1241"/>
      <c r="AL1048" s="1241"/>
      <c r="AM1048" s="1241"/>
      <c r="AN1048" s="1241"/>
      <c r="AO1048" s="1241"/>
      <c r="AP1048" s="1241"/>
      <c r="AQ1048" s="1241"/>
      <c r="AR1048" s="1241"/>
      <c r="AS1048" s="1241"/>
      <c r="AT1048" s="1241"/>
      <c r="AU1048" s="1241"/>
      <c r="AV1048" s="1241"/>
      <c r="AW1048" s="1241"/>
      <c r="AX1048" s="1241"/>
      <c r="AY1048" s="1241"/>
      <c r="AZ1048" s="1241"/>
      <c r="BA1048" s="1241"/>
      <c r="BB1048" s="1241"/>
      <c r="BC1048" s="1241"/>
      <c r="BD1048" s="1241"/>
      <c r="BE1048" s="1241"/>
      <c r="BF1048" s="1241"/>
      <c r="BG1048" s="1241"/>
      <c r="BH1048" s="1241"/>
      <c r="BI1048" s="1241"/>
      <c r="BJ1048" s="1241"/>
      <c r="BK1048" s="1241"/>
      <c r="BL1048" s="1241"/>
      <c r="BM1048" s="1241"/>
      <c r="BN1048" s="1241"/>
      <c r="BO1048" s="1241"/>
      <c r="BP1048" s="1241"/>
      <c r="BQ1048" s="1241"/>
      <c r="BR1048" s="1241"/>
      <c r="BS1048" s="1241"/>
      <c r="BT1048" s="1241"/>
      <c r="BU1048" s="1241"/>
      <c r="BV1048" s="1241"/>
      <c r="BW1048" s="1241"/>
      <c r="BX1048" s="1241"/>
      <c r="BY1048" s="1241"/>
      <c r="BZ1048" s="1241"/>
      <c r="CA1048" s="1241"/>
      <c r="CB1048" s="1241"/>
      <c r="CC1048" s="1241"/>
      <c r="CD1048" s="1241"/>
      <c r="CE1048" s="1241"/>
      <c r="CF1048" s="1241"/>
      <c r="CG1048" s="1241"/>
      <c r="CH1048" s="1241"/>
      <c r="CI1048" s="1241"/>
      <c r="CJ1048" s="1241"/>
      <c r="CK1048" s="1241"/>
      <c r="CL1048" s="1241"/>
      <c r="CM1048" s="1241"/>
      <c r="CN1048" s="1241"/>
      <c r="CO1048" s="1241"/>
      <c r="CP1048" s="1241"/>
      <c r="CQ1048" s="1241"/>
      <c r="CR1048" s="1241"/>
      <c r="CS1048" s="1241"/>
      <c r="CT1048" s="1241"/>
      <c r="CU1048" s="1241"/>
      <c r="CV1048" s="1241"/>
      <c r="CW1048" s="1241"/>
      <c r="CX1048" s="1241"/>
      <c r="CY1048" s="1241"/>
      <c r="CZ1048" s="1241"/>
      <c r="DA1048" s="1241"/>
      <c r="DB1048" s="1241"/>
      <c r="DC1048" s="1241"/>
      <c r="DD1048" s="1241"/>
      <c r="DE1048" s="1241"/>
      <c r="DF1048" s="1241"/>
      <c r="DG1048" s="1241"/>
      <c r="DH1048" s="1241"/>
      <c r="DI1048" s="1241"/>
      <c r="DJ1048" s="1241"/>
      <c r="DK1048" s="1241"/>
      <c r="DL1048" s="1241"/>
      <c r="DM1048" s="1241"/>
    </row>
    <row r="1049" spans="1:117" s="1302" customFormat="1" ht="16">
      <c r="A1049" s="1459"/>
      <c r="B1049" s="1459"/>
      <c r="C1049" s="1241" t="s">
        <v>4297</v>
      </c>
      <c r="D1049" s="1243"/>
      <c r="E1049" s="1242" t="s">
        <v>4680</v>
      </c>
      <c r="F1049" s="1470"/>
      <c r="G1049" s="1471"/>
      <c r="H1049" s="1471">
        <v>1.5361758463418179E-3</v>
      </c>
      <c r="I1049" s="1471">
        <v>1.2507698942770592E-3</v>
      </c>
      <c r="J1049" s="1471">
        <v>1.5312640161652125E-3</v>
      </c>
      <c r="K1049" s="1471">
        <v>1.9240366345471889E-3</v>
      </c>
      <c r="L1049" s="1471">
        <v>2.4741515399729257E-3</v>
      </c>
      <c r="M1049" s="1471">
        <v>3.2446369405038258E-3</v>
      </c>
      <c r="N1049" s="1471">
        <v>4.3236226600081914E-3</v>
      </c>
      <c r="O1049" s="1471">
        <v>1.7509095850373917E-3</v>
      </c>
      <c r="P1049" s="1241"/>
      <c r="Q1049" s="1241"/>
      <c r="R1049" s="1241"/>
      <c r="S1049" s="1241"/>
      <c r="T1049" s="1241"/>
      <c r="U1049" s="1241"/>
      <c r="V1049" s="1241"/>
      <c r="W1049" s="1241"/>
      <c r="X1049" s="1241"/>
      <c r="Y1049" s="1241"/>
      <c r="Z1049" s="1241"/>
      <c r="AA1049" s="1241"/>
      <c r="AB1049" s="1241"/>
      <c r="AC1049" s="1241"/>
      <c r="AD1049" s="1241"/>
      <c r="AE1049" s="1241"/>
      <c r="AF1049" s="1241"/>
      <c r="AG1049" s="1241"/>
      <c r="AH1049" s="1241"/>
      <c r="AI1049" s="1241"/>
      <c r="AJ1049" s="1241"/>
      <c r="AK1049" s="1241"/>
      <c r="AL1049" s="1241"/>
      <c r="AM1049" s="1241"/>
      <c r="AN1049" s="1241"/>
      <c r="AO1049" s="1241"/>
      <c r="AP1049" s="1241"/>
      <c r="AQ1049" s="1241"/>
      <c r="AR1049" s="1241"/>
      <c r="AS1049" s="1241"/>
      <c r="AT1049" s="1241"/>
      <c r="AU1049" s="1241"/>
      <c r="AV1049" s="1241"/>
      <c r="AW1049" s="1241"/>
      <c r="AX1049" s="1241"/>
      <c r="AY1049" s="1241"/>
      <c r="AZ1049" s="1241"/>
      <c r="BA1049" s="1241"/>
      <c r="BB1049" s="1241"/>
      <c r="BC1049" s="1241"/>
      <c r="BD1049" s="1241"/>
      <c r="BE1049" s="1241"/>
      <c r="BF1049" s="1241"/>
      <c r="BG1049" s="1241"/>
      <c r="BH1049" s="1241"/>
      <c r="BI1049" s="1241"/>
      <c r="BJ1049" s="1241"/>
      <c r="BK1049" s="1241"/>
      <c r="BL1049" s="1241"/>
      <c r="BM1049" s="1241"/>
      <c r="BN1049" s="1241"/>
      <c r="BO1049" s="1241"/>
      <c r="BP1049" s="1241"/>
      <c r="BQ1049" s="1241"/>
      <c r="BR1049" s="1241"/>
      <c r="BS1049" s="1241"/>
      <c r="BT1049" s="1241"/>
      <c r="BU1049" s="1241"/>
      <c r="BV1049" s="1241"/>
      <c r="BW1049" s="1241"/>
      <c r="BX1049" s="1241"/>
      <c r="BY1049" s="1241"/>
      <c r="BZ1049" s="1241"/>
      <c r="CA1049" s="1241"/>
      <c r="CB1049" s="1241"/>
      <c r="CC1049" s="1241"/>
      <c r="CD1049" s="1241"/>
      <c r="CE1049" s="1241"/>
      <c r="CF1049" s="1241"/>
      <c r="CG1049" s="1241"/>
      <c r="CH1049" s="1241"/>
      <c r="CI1049" s="1241"/>
      <c r="CJ1049" s="1241"/>
      <c r="CK1049" s="1241"/>
      <c r="CL1049" s="1241"/>
      <c r="CM1049" s="1241"/>
      <c r="CN1049" s="1241"/>
      <c r="CO1049" s="1241"/>
      <c r="CP1049" s="1241"/>
      <c r="CQ1049" s="1241"/>
      <c r="CR1049" s="1241"/>
      <c r="CS1049" s="1241"/>
      <c r="CT1049" s="1241"/>
      <c r="CU1049" s="1241"/>
      <c r="CV1049" s="1241"/>
      <c r="CW1049" s="1241"/>
      <c r="CX1049" s="1241"/>
      <c r="CY1049" s="1241"/>
      <c r="CZ1049" s="1241"/>
      <c r="DA1049" s="1241"/>
      <c r="DB1049" s="1241"/>
      <c r="DC1049" s="1241"/>
      <c r="DD1049" s="1241"/>
      <c r="DE1049" s="1241"/>
      <c r="DF1049" s="1241"/>
      <c r="DG1049" s="1241"/>
      <c r="DH1049" s="1241"/>
      <c r="DI1049" s="1241"/>
      <c r="DJ1049" s="1241"/>
      <c r="DK1049" s="1241"/>
      <c r="DL1049" s="1241"/>
      <c r="DM1049" s="1241"/>
    </row>
    <row r="1050" spans="1:117" ht="16">
      <c r="B1050" s="1508"/>
      <c r="C1050" s="1241" t="s">
        <v>4298</v>
      </c>
      <c r="D1050" s="1243"/>
      <c r="E1050" s="1242" t="s">
        <v>4680</v>
      </c>
      <c r="F1050" s="1470"/>
      <c r="G1050" s="1471"/>
      <c r="H1050" s="1471">
        <v>4.0340649996803979E-2</v>
      </c>
      <c r="I1050" s="1471">
        <v>3.2189900687857292E-2</v>
      </c>
      <c r="J1050" s="1471">
        <v>3.7460832300634732E-2</v>
      </c>
      <c r="K1050" s="1471">
        <v>4.4723555648423542E-2</v>
      </c>
      <c r="L1050" s="1471">
        <v>5.46164594424665E-2</v>
      </c>
      <c r="M1050" s="1471">
        <v>6.798021202900735E-2</v>
      </c>
      <c r="N1050" s="1471">
        <v>8.5919623249694432E-2</v>
      </c>
      <c r="O1050" s="1471">
        <v>4.1542553967262794E-2</v>
      </c>
    </row>
    <row r="1051" spans="1:117">
      <c r="B1051" s="1508"/>
      <c r="E1051" s="1508"/>
      <c r="F1051" s="1542"/>
      <c r="G1051" s="1471"/>
      <c r="H1051" s="1471"/>
      <c r="I1051" s="1471"/>
      <c r="J1051" s="1471"/>
      <c r="K1051" s="1471"/>
      <c r="L1051" s="1471"/>
      <c r="M1051" s="1471"/>
      <c r="N1051" s="1471"/>
      <c r="O1051" s="1542"/>
    </row>
    <row r="1052" spans="1:117" ht="16">
      <c r="A1052" s="1243"/>
      <c r="B1052" s="1520" t="s">
        <v>4355</v>
      </c>
      <c r="C1052" s="1520"/>
      <c r="D1052" s="1521"/>
      <c r="E1052" s="1242" t="s">
        <v>4684</v>
      </c>
      <c r="F1052" s="1522"/>
      <c r="G1052" s="1489">
        <v>0</v>
      </c>
      <c r="H1052" s="1489">
        <v>2.2851906793465515</v>
      </c>
      <c r="I1052" s="1489">
        <v>2.2450527788867212</v>
      </c>
      <c r="J1052" s="1489">
        <v>2.1468630772886437</v>
      </c>
      <c r="K1052" s="1489">
        <v>2.0516859013339666</v>
      </c>
      <c r="L1052" s="1489">
        <v>1.9594403626256423</v>
      </c>
      <c r="M1052" s="1489">
        <v>1.8700475966379821</v>
      </c>
      <c r="N1052" s="1489">
        <v>1.7834307142486481</v>
      </c>
      <c r="O1052" s="1489">
        <v>2.0894004913588513</v>
      </c>
    </row>
    <row r="1053" spans="1:117">
      <c r="F1053" s="1573"/>
      <c r="O1053" s="1573"/>
    </row>
    <row r="1054" spans="1:117">
      <c r="A1054" s="1459">
        <v>1.8</v>
      </c>
      <c r="B1054" s="1459" t="s">
        <v>3855</v>
      </c>
      <c r="E1054" s="1528" t="s">
        <v>840</v>
      </c>
      <c r="F1054" s="1467"/>
      <c r="G1054" s="1224">
        <v>2015</v>
      </c>
      <c r="H1054" s="1224">
        <v>2020</v>
      </c>
      <c r="I1054" s="1224">
        <v>2022</v>
      </c>
      <c r="J1054" s="1224">
        <v>2027</v>
      </c>
      <c r="K1054" s="1224">
        <v>2032</v>
      </c>
      <c r="L1054" s="1224">
        <v>2037</v>
      </c>
      <c r="M1054" s="1224">
        <v>2042</v>
      </c>
      <c r="N1054" s="1224">
        <v>2047</v>
      </c>
      <c r="O1054" s="1546">
        <v>2030</v>
      </c>
    </row>
    <row r="1055" spans="1:117">
      <c r="B1055" s="1459"/>
      <c r="C1055" s="1466"/>
      <c r="E1055" s="1460"/>
      <c r="F1055" s="1467"/>
      <c r="G1055" s="1224"/>
      <c r="H1055" s="1224"/>
      <c r="I1055" s="1224"/>
      <c r="J1055" s="1224"/>
      <c r="K1055" s="1224"/>
      <c r="L1055" s="1224"/>
      <c r="M1055" s="1224"/>
      <c r="N1055" s="1224"/>
      <c r="O1055" s="1467"/>
    </row>
    <row r="1056" spans="1:117">
      <c r="B1056" s="1468" t="s">
        <v>4356</v>
      </c>
      <c r="E1056" s="1469" t="s">
        <v>3846</v>
      </c>
      <c r="F1056" s="1470"/>
      <c r="G1056" s="1579">
        <v>9680.8252000000011</v>
      </c>
      <c r="H1056" s="1579">
        <v>14012.36</v>
      </c>
      <c r="I1056" s="1579">
        <v>15937.970039010001</v>
      </c>
      <c r="J1056" s="1579">
        <v>21990.611445006558</v>
      </c>
      <c r="K1056" s="1579">
        <v>30341.818345850756</v>
      </c>
      <c r="L1056" s="1579">
        <v>41864.499440357926</v>
      </c>
      <c r="M1056" s="1579">
        <v>57763.061310773483</v>
      </c>
      <c r="N1056" s="1579">
        <v>79699.298847358921</v>
      </c>
      <c r="O1056" s="1579">
        <v>26675.949363440672</v>
      </c>
    </row>
    <row r="1057" spans="1:117">
      <c r="B1057" s="1468" t="s">
        <v>3849</v>
      </c>
      <c r="E1057" s="1469" t="s">
        <v>420</v>
      </c>
      <c r="F1057" s="1470"/>
      <c r="G1057" s="1579">
        <v>0</v>
      </c>
      <c r="H1057" s="1580">
        <v>133.261747308</v>
      </c>
      <c r="I1057" s="1580">
        <v>145.57251135410172</v>
      </c>
      <c r="J1057" s="1580">
        <v>181.55744052387581</v>
      </c>
      <c r="K1057" s="1580">
        <v>226.4376969453987</v>
      </c>
      <c r="L1057" s="1580">
        <v>282.41216911841968</v>
      </c>
      <c r="M1057" s="1580">
        <v>352.2233017826652</v>
      </c>
      <c r="N1057" s="1580">
        <v>439.29146079630056</v>
      </c>
      <c r="O1057" s="1581">
        <v>207.28833260245162</v>
      </c>
    </row>
    <row r="1058" spans="1:117" s="1302" customFormat="1">
      <c r="A1058" s="1243"/>
      <c r="B1058" s="1243"/>
      <c r="C1058" s="1214"/>
      <c r="D1058" s="1243"/>
      <c r="E1058" s="1215"/>
      <c r="F1058" s="1472"/>
      <c r="G1058" s="1473"/>
      <c r="H1058" s="1473"/>
      <c r="I1058" s="1473"/>
      <c r="J1058" s="1473"/>
      <c r="K1058" s="1473"/>
      <c r="L1058" s="1473"/>
      <c r="M1058" s="1473"/>
      <c r="N1058" s="1473"/>
      <c r="O1058" s="1472"/>
      <c r="P1058" s="1241"/>
      <c r="Q1058" s="1241"/>
      <c r="R1058" s="1241"/>
      <c r="S1058" s="1241"/>
      <c r="T1058" s="1241"/>
      <c r="U1058" s="1241"/>
      <c r="V1058" s="1241"/>
      <c r="W1058" s="1241"/>
      <c r="X1058" s="1241"/>
      <c r="Y1058" s="1241"/>
      <c r="Z1058" s="1241"/>
      <c r="AA1058" s="1241"/>
      <c r="AB1058" s="1241"/>
      <c r="AC1058" s="1241"/>
      <c r="AD1058" s="1241"/>
      <c r="AE1058" s="1241"/>
      <c r="AF1058" s="1241"/>
      <c r="AG1058" s="1241"/>
      <c r="AH1058" s="1241"/>
      <c r="AI1058" s="1241"/>
      <c r="AJ1058" s="1241"/>
      <c r="AK1058" s="1241"/>
      <c r="AL1058" s="1241"/>
      <c r="AM1058" s="1241"/>
      <c r="AN1058" s="1241"/>
      <c r="AO1058" s="1241"/>
      <c r="AP1058" s="1241"/>
      <c r="AQ1058" s="1241"/>
      <c r="AR1058" s="1241"/>
      <c r="AS1058" s="1241"/>
      <c r="AT1058" s="1241"/>
      <c r="AU1058" s="1241"/>
      <c r="AV1058" s="1241"/>
      <c r="AW1058" s="1241"/>
      <c r="AX1058" s="1241"/>
      <c r="AY1058" s="1241"/>
      <c r="AZ1058" s="1241"/>
      <c r="BA1058" s="1241"/>
      <c r="BB1058" s="1241"/>
      <c r="BC1058" s="1241"/>
      <c r="BD1058" s="1241"/>
      <c r="BE1058" s="1241"/>
      <c r="BF1058" s="1241"/>
      <c r="BG1058" s="1241"/>
      <c r="BH1058" s="1241"/>
      <c r="BI1058" s="1241"/>
      <c r="BJ1058" s="1241"/>
      <c r="BK1058" s="1241"/>
      <c r="BL1058" s="1241"/>
      <c r="BM1058" s="1241"/>
      <c r="BN1058" s="1241"/>
      <c r="BO1058" s="1241"/>
      <c r="BP1058" s="1241"/>
      <c r="BQ1058" s="1241"/>
      <c r="BR1058" s="1241"/>
      <c r="BS1058" s="1241"/>
      <c r="BT1058" s="1241"/>
      <c r="BU1058" s="1241"/>
      <c r="BV1058" s="1241"/>
      <c r="BW1058" s="1241"/>
      <c r="BX1058" s="1241"/>
      <c r="BY1058" s="1241"/>
      <c r="BZ1058" s="1241"/>
      <c r="CA1058" s="1241"/>
      <c r="CB1058" s="1241"/>
      <c r="CC1058" s="1241"/>
      <c r="CD1058" s="1241"/>
      <c r="CE1058" s="1241"/>
      <c r="CF1058" s="1241"/>
      <c r="CG1058" s="1241"/>
      <c r="CH1058" s="1241"/>
      <c r="CI1058" s="1241"/>
      <c r="CJ1058" s="1241"/>
      <c r="CK1058" s="1241"/>
      <c r="CL1058" s="1241"/>
      <c r="CM1058" s="1241"/>
      <c r="CN1058" s="1241"/>
      <c r="CO1058" s="1241"/>
      <c r="CP1058" s="1241"/>
      <c r="CQ1058" s="1241"/>
      <c r="CR1058" s="1241"/>
      <c r="CS1058" s="1241"/>
      <c r="CT1058" s="1241"/>
      <c r="CU1058" s="1241"/>
      <c r="CV1058" s="1241"/>
      <c r="CW1058" s="1241"/>
      <c r="CX1058" s="1241"/>
      <c r="CY1058" s="1241"/>
      <c r="CZ1058" s="1241"/>
      <c r="DA1058" s="1241"/>
      <c r="DB1058" s="1241"/>
      <c r="DC1058" s="1241"/>
      <c r="DD1058" s="1241"/>
      <c r="DE1058" s="1241"/>
      <c r="DF1058" s="1241"/>
      <c r="DG1058" s="1241"/>
      <c r="DH1058" s="1241"/>
      <c r="DI1058" s="1241"/>
      <c r="DJ1058" s="1241"/>
      <c r="DK1058" s="1241"/>
      <c r="DL1058" s="1241"/>
      <c r="DM1058" s="1241"/>
    </row>
    <row r="1059" spans="1:117" s="1302" customFormat="1">
      <c r="A1059" s="1459"/>
      <c r="B1059" s="1530" t="s">
        <v>4357</v>
      </c>
      <c r="C1059" s="1531"/>
      <c r="D1059" s="1531"/>
      <c r="E1059" s="1532" t="s">
        <v>840</v>
      </c>
      <c r="F1059" s="1533"/>
      <c r="G1059" s="1534">
        <v>2015</v>
      </c>
      <c r="H1059" s="1534">
        <v>2020</v>
      </c>
      <c r="I1059" s="1534">
        <v>2022</v>
      </c>
      <c r="J1059" s="1534">
        <v>2027</v>
      </c>
      <c r="K1059" s="1534">
        <v>2032</v>
      </c>
      <c r="L1059" s="1534">
        <v>2037</v>
      </c>
      <c r="M1059" s="1534">
        <v>2042</v>
      </c>
      <c r="N1059" s="1534">
        <v>2047</v>
      </c>
      <c r="O1059" s="1534">
        <v>2030</v>
      </c>
      <c r="P1059" s="1241"/>
      <c r="Q1059" s="1241"/>
      <c r="R1059" s="1241"/>
      <c r="S1059" s="1241"/>
      <c r="T1059" s="1241"/>
      <c r="U1059" s="1241"/>
      <c r="V1059" s="1241"/>
      <c r="W1059" s="1241"/>
      <c r="X1059" s="1241"/>
      <c r="Y1059" s="1241"/>
      <c r="Z1059" s="1241"/>
      <c r="AA1059" s="1241"/>
      <c r="AB1059" s="1241"/>
      <c r="AC1059" s="1241"/>
      <c r="AD1059" s="1241"/>
      <c r="AE1059" s="1241"/>
      <c r="AF1059" s="1241"/>
      <c r="AG1059" s="1241"/>
      <c r="AH1059" s="1241"/>
      <c r="AI1059" s="1241"/>
      <c r="AJ1059" s="1241"/>
      <c r="AK1059" s="1241"/>
      <c r="AL1059" s="1241"/>
      <c r="AM1059" s="1241"/>
      <c r="AN1059" s="1241"/>
      <c r="AO1059" s="1241"/>
      <c r="AP1059" s="1241"/>
      <c r="AQ1059" s="1241"/>
      <c r="AR1059" s="1241"/>
      <c r="AS1059" s="1241"/>
      <c r="AT1059" s="1241"/>
      <c r="AU1059" s="1241"/>
      <c r="AV1059" s="1241"/>
      <c r="AW1059" s="1241"/>
      <c r="AX1059" s="1241"/>
      <c r="AY1059" s="1241"/>
      <c r="AZ1059" s="1241"/>
      <c r="BA1059" s="1241"/>
      <c r="BB1059" s="1241"/>
      <c r="BC1059" s="1241"/>
      <c r="BD1059" s="1241"/>
      <c r="BE1059" s="1241"/>
      <c r="BF1059" s="1241"/>
      <c r="BG1059" s="1241"/>
      <c r="BH1059" s="1241"/>
      <c r="BI1059" s="1241"/>
      <c r="BJ1059" s="1241"/>
      <c r="BK1059" s="1241"/>
      <c r="BL1059" s="1241"/>
      <c r="BM1059" s="1241"/>
      <c r="BN1059" s="1241"/>
      <c r="BO1059" s="1241"/>
      <c r="BP1059" s="1241"/>
      <c r="BQ1059" s="1241"/>
      <c r="BR1059" s="1241"/>
      <c r="BS1059" s="1241"/>
      <c r="BT1059" s="1241"/>
      <c r="BU1059" s="1241"/>
      <c r="BV1059" s="1241"/>
      <c r="BW1059" s="1241"/>
      <c r="BX1059" s="1241"/>
      <c r="BY1059" s="1241"/>
      <c r="BZ1059" s="1241"/>
      <c r="CA1059" s="1241"/>
      <c r="CB1059" s="1241"/>
      <c r="CC1059" s="1241"/>
      <c r="CD1059" s="1241"/>
      <c r="CE1059" s="1241"/>
      <c r="CF1059" s="1241"/>
      <c r="CG1059" s="1241"/>
      <c r="CH1059" s="1241"/>
      <c r="CI1059" s="1241"/>
      <c r="CJ1059" s="1241"/>
      <c r="CK1059" s="1241"/>
      <c r="CL1059" s="1241"/>
      <c r="CM1059" s="1241"/>
      <c r="CN1059" s="1241"/>
      <c r="CO1059" s="1241"/>
      <c r="CP1059" s="1241"/>
      <c r="CQ1059" s="1241"/>
      <c r="CR1059" s="1241"/>
      <c r="CS1059" s="1241"/>
      <c r="CT1059" s="1241"/>
      <c r="CU1059" s="1241"/>
      <c r="CV1059" s="1241"/>
      <c r="CW1059" s="1241"/>
      <c r="CX1059" s="1241"/>
      <c r="CY1059" s="1241"/>
      <c r="CZ1059" s="1241"/>
      <c r="DA1059" s="1241"/>
      <c r="DB1059" s="1241"/>
      <c r="DC1059" s="1241"/>
      <c r="DD1059" s="1241"/>
      <c r="DE1059" s="1241"/>
      <c r="DF1059" s="1241"/>
      <c r="DG1059" s="1241"/>
      <c r="DH1059" s="1241"/>
      <c r="DI1059" s="1241"/>
      <c r="DJ1059" s="1241"/>
      <c r="DK1059" s="1241"/>
      <c r="DL1059" s="1241"/>
      <c r="DM1059" s="1241"/>
    </row>
    <row r="1060" spans="1:117" s="1302" customFormat="1">
      <c r="A1060" s="1243"/>
      <c r="B1060" s="1475" t="s">
        <v>4264</v>
      </c>
      <c r="C1060" s="1476"/>
      <c r="D1060" s="1475"/>
      <c r="E1060" s="1477"/>
      <c r="F1060" s="1478"/>
      <c r="G1060" s="1479"/>
      <c r="H1060" s="1479"/>
      <c r="I1060" s="1479"/>
      <c r="J1060" s="1479"/>
      <c r="K1060" s="1479"/>
      <c r="L1060" s="1479"/>
      <c r="M1060" s="1479"/>
      <c r="N1060" s="1479"/>
      <c r="O1060" s="1478"/>
      <c r="P1060" s="1241"/>
      <c r="Q1060" s="1241"/>
      <c r="R1060" s="1241"/>
      <c r="S1060" s="1241"/>
      <c r="T1060" s="1241"/>
      <c r="U1060" s="1241"/>
      <c r="V1060" s="1241"/>
      <c r="W1060" s="1241"/>
      <c r="X1060" s="1241"/>
      <c r="Y1060" s="1241"/>
      <c r="Z1060" s="1241"/>
      <c r="AA1060" s="1241"/>
      <c r="AB1060" s="1241"/>
      <c r="AC1060" s="1241"/>
      <c r="AD1060" s="1241"/>
      <c r="AE1060" s="1241"/>
      <c r="AF1060" s="1241"/>
      <c r="AG1060" s="1241"/>
      <c r="AH1060" s="1241"/>
      <c r="AI1060" s="1241"/>
      <c r="AJ1060" s="1241"/>
      <c r="AK1060" s="1241"/>
      <c r="AL1060" s="1241"/>
      <c r="AM1060" s="1241"/>
      <c r="AN1060" s="1241"/>
      <c r="AO1060" s="1241"/>
      <c r="AP1060" s="1241"/>
      <c r="AQ1060" s="1241"/>
      <c r="AR1060" s="1241"/>
      <c r="AS1060" s="1241"/>
      <c r="AT1060" s="1241"/>
      <c r="AU1060" s="1241"/>
      <c r="AV1060" s="1241"/>
      <c r="AW1060" s="1241"/>
      <c r="AX1060" s="1241"/>
      <c r="AY1060" s="1241"/>
      <c r="AZ1060" s="1241"/>
      <c r="BA1060" s="1241"/>
      <c r="BB1060" s="1241"/>
      <c r="BC1060" s="1241"/>
      <c r="BD1060" s="1241"/>
      <c r="BE1060" s="1241"/>
      <c r="BF1060" s="1241"/>
      <c r="BG1060" s="1241"/>
      <c r="BH1060" s="1241"/>
      <c r="BI1060" s="1241"/>
      <c r="BJ1060" s="1241"/>
      <c r="BK1060" s="1241"/>
      <c r="BL1060" s="1241"/>
      <c r="BM1060" s="1241"/>
      <c r="BN1060" s="1241"/>
      <c r="BO1060" s="1241"/>
      <c r="BP1060" s="1241"/>
      <c r="BQ1060" s="1241"/>
      <c r="BR1060" s="1241"/>
      <c r="BS1060" s="1241"/>
      <c r="BT1060" s="1241"/>
      <c r="BU1060" s="1241"/>
      <c r="BV1060" s="1241"/>
      <c r="BW1060" s="1241"/>
      <c r="BX1060" s="1241"/>
      <c r="BY1060" s="1241"/>
      <c r="BZ1060" s="1241"/>
      <c r="CA1060" s="1241"/>
      <c r="CB1060" s="1241"/>
      <c r="CC1060" s="1241"/>
      <c r="CD1060" s="1241"/>
      <c r="CE1060" s="1241"/>
      <c r="CF1060" s="1241"/>
      <c r="CG1060" s="1241"/>
      <c r="CH1060" s="1241"/>
      <c r="CI1060" s="1241"/>
      <c r="CJ1060" s="1241"/>
      <c r="CK1060" s="1241"/>
      <c r="CL1060" s="1241"/>
      <c r="CM1060" s="1241"/>
      <c r="CN1060" s="1241"/>
      <c r="CO1060" s="1241"/>
      <c r="CP1060" s="1241"/>
      <c r="CQ1060" s="1241"/>
      <c r="CR1060" s="1241"/>
      <c r="CS1060" s="1241"/>
      <c r="CT1060" s="1241"/>
      <c r="CU1060" s="1241"/>
      <c r="CV1060" s="1241"/>
      <c r="CW1060" s="1241"/>
      <c r="CX1060" s="1241"/>
      <c r="CY1060" s="1241"/>
      <c r="CZ1060" s="1241"/>
      <c r="DA1060" s="1241"/>
      <c r="DB1060" s="1241"/>
      <c r="DC1060" s="1241"/>
      <c r="DD1060" s="1241"/>
      <c r="DE1060" s="1241"/>
      <c r="DF1060" s="1241"/>
      <c r="DG1060" s="1241"/>
      <c r="DH1060" s="1241"/>
      <c r="DI1060" s="1241"/>
      <c r="DJ1060" s="1241"/>
      <c r="DK1060" s="1241"/>
      <c r="DL1060" s="1241"/>
      <c r="DM1060" s="1241"/>
    </row>
    <row r="1061" spans="1:117" s="1302" customFormat="1">
      <c r="A1061" s="1243"/>
      <c r="B1061" s="1480" t="s">
        <v>4358</v>
      </c>
      <c r="C1061" s="1480"/>
      <c r="D1061" s="1481"/>
      <c r="E1061" s="1482" t="s">
        <v>4690</v>
      </c>
      <c r="F1061" s="1483"/>
      <c r="G1061" s="1582" t="s">
        <v>3878</v>
      </c>
      <c r="H1061" s="1582">
        <v>9.5102999999999993E-3</v>
      </c>
      <c r="I1061" s="1582">
        <v>9.1336921199999983E-3</v>
      </c>
      <c r="J1061" s="1582">
        <v>8.2561342588362788E-3</v>
      </c>
      <c r="K1061" s="1582">
        <v>7.4628914577350653E-3</v>
      </c>
      <c r="L1061" s="1582">
        <v>6.7458627929077933E-3</v>
      </c>
      <c r="M1061" s="1582">
        <v>6.0977256708686844E-3</v>
      </c>
      <c r="N1061" s="1582">
        <v>5.5118610470794348E-3</v>
      </c>
      <c r="O1061" s="1582">
        <v>7.7706075153426337E-3</v>
      </c>
      <c r="P1061" s="1241"/>
      <c r="Q1061" s="1241"/>
      <c r="R1061" s="1241"/>
      <c r="S1061" s="1241"/>
      <c r="T1061" s="1241"/>
      <c r="U1061" s="1241"/>
      <c r="V1061" s="1241"/>
      <c r="W1061" s="1241"/>
      <c r="X1061" s="1241"/>
      <c r="Y1061" s="1241"/>
      <c r="Z1061" s="1241"/>
      <c r="AA1061" s="1241"/>
      <c r="AB1061" s="1241"/>
      <c r="AC1061" s="1241"/>
      <c r="AD1061" s="1241"/>
      <c r="AE1061" s="1241"/>
      <c r="AF1061" s="1241"/>
      <c r="AG1061" s="1241"/>
      <c r="AH1061" s="1241"/>
      <c r="AI1061" s="1241"/>
      <c r="AJ1061" s="1241"/>
      <c r="AK1061" s="1241"/>
      <c r="AL1061" s="1241"/>
      <c r="AM1061" s="1241"/>
      <c r="AN1061" s="1241"/>
      <c r="AO1061" s="1241"/>
      <c r="AP1061" s="1241"/>
      <c r="AQ1061" s="1241"/>
      <c r="AR1061" s="1241"/>
      <c r="AS1061" s="1241"/>
      <c r="AT1061" s="1241"/>
      <c r="AU1061" s="1241"/>
      <c r="AV1061" s="1241"/>
      <c r="AW1061" s="1241"/>
      <c r="AX1061" s="1241"/>
      <c r="AY1061" s="1241"/>
      <c r="AZ1061" s="1241"/>
      <c r="BA1061" s="1241"/>
      <c r="BB1061" s="1241"/>
      <c r="BC1061" s="1241"/>
      <c r="BD1061" s="1241"/>
      <c r="BE1061" s="1241"/>
      <c r="BF1061" s="1241"/>
      <c r="BG1061" s="1241"/>
      <c r="BH1061" s="1241"/>
      <c r="BI1061" s="1241"/>
      <c r="BJ1061" s="1241"/>
      <c r="BK1061" s="1241"/>
      <c r="BL1061" s="1241"/>
      <c r="BM1061" s="1241"/>
      <c r="BN1061" s="1241"/>
      <c r="BO1061" s="1241"/>
      <c r="BP1061" s="1241"/>
      <c r="BQ1061" s="1241"/>
      <c r="BR1061" s="1241"/>
      <c r="BS1061" s="1241"/>
      <c r="BT1061" s="1241"/>
      <c r="BU1061" s="1241"/>
      <c r="BV1061" s="1241"/>
      <c r="BW1061" s="1241"/>
      <c r="BX1061" s="1241"/>
      <c r="BY1061" s="1241"/>
      <c r="BZ1061" s="1241"/>
      <c r="CA1061" s="1241"/>
      <c r="CB1061" s="1241"/>
      <c r="CC1061" s="1241"/>
      <c r="CD1061" s="1241"/>
      <c r="CE1061" s="1241"/>
      <c r="CF1061" s="1241"/>
      <c r="CG1061" s="1241"/>
      <c r="CH1061" s="1241"/>
      <c r="CI1061" s="1241"/>
      <c r="CJ1061" s="1241"/>
      <c r="CK1061" s="1241"/>
      <c r="CL1061" s="1241"/>
      <c r="CM1061" s="1241"/>
      <c r="CN1061" s="1241"/>
      <c r="CO1061" s="1241"/>
      <c r="CP1061" s="1241"/>
      <c r="CQ1061" s="1241"/>
      <c r="CR1061" s="1241"/>
      <c r="CS1061" s="1241"/>
      <c r="CT1061" s="1241"/>
      <c r="CU1061" s="1241"/>
      <c r="CV1061" s="1241"/>
      <c r="CW1061" s="1241"/>
      <c r="CX1061" s="1241"/>
      <c r="CY1061" s="1241"/>
      <c r="CZ1061" s="1241"/>
      <c r="DA1061" s="1241"/>
      <c r="DB1061" s="1241"/>
      <c r="DC1061" s="1241"/>
      <c r="DD1061" s="1241"/>
      <c r="DE1061" s="1241"/>
      <c r="DF1061" s="1241"/>
      <c r="DG1061" s="1241"/>
      <c r="DH1061" s="1241"/>
      <c r="DI1061" s="1241"/>
      <c r="DJ1061" s="1241"/>
      <c r="DK1061" s="1241"/>
      <c r="DL1061" s="1241"/>
      <c r="DM1061" s="1241"/>
    </row>
    <row r="1062" spans="1:117" s="1302" customFormat="1">
      <c r="A1062" s="1243"/>
      <c r="B1062" s="1480"/>
      <c r="C1062" s="1480"/>
      <c r="D1062" s="1481"/>
      <c r="E1062" s="1482"/>
      <c r="F1062" s="1483"/>
      <c r="G1062" s="1483"/>
      <c r="H1062" s="1483"/>
      <c r="I1062" s="1483"/>
      <c r="J1062" s="1483"/>
      <c r="K1062" s="1483"/>
      <c r="L1062" s="1483"/>
      <c r="M1062" s="1483"/>
      <c r="N1062" s="1483"/>
      <c r="O1062" s="1483"/>
      <c r="P1062" s="1241"/>
      <c r="Q1062" s="1241"/>
      <c r="R1062" s="1241"/>
      <c r="S1062" s="1241"/>
      <c r="T1062" s="1241"/>
      <c r="U1062" s="1241"/>
      <c r="V1062" s="1241"/>
      <c r="W1062" s="1241"/>
      <c r="X1062" s="1241"/>
      <c r="Y1062" s="1241"/>
      <c r="Z1062" s="1241"/>
      <c r="AA1062" s="1241"/>
      <c r="AB1062" s="1241"/>
      <c r="AC1062" s="1241"/>
      <c r="AD1062" s="1241"/>
      <c r="AE1062" s="1241"/>
      <c r="AF1062" s="1241"/>
      <c r="AG1062" s="1241"/>
      <c r="AH1062" s="1241"/>
      <c r="AI1062" s="1241"/>
      <c r="AJ1062" s="1241"/>
      <c r="AK1062" s="1241"/>
      <c r="AL1062" s="1241"/>
      <c r="AM1062" s="1241"/>
      <c r="AN1062" s="1241"/>
      <c r="AO1062" s="1241"/>
      <c r="AP1062" s="1241"/>
      <c r="AQ1062" s="1241"/>
      <c r="AR1062" s="1241"/>
      <c r="AS1062" s="1241"/>
      <c r="AT1062" s="1241"/>
      <c r="AU1062" s="1241"/>
      <c r="AV1062" s="1241"/>
      <c r="AW1062" s="1241"/>
      <c r="AX1062" s="1241"/>
      <c r="AY1062" s="1241"/>
      <c r="AZ1062" s="1241"/>
      <c r="BA1062" s="1241"/>
      <c r="BB1062" s="1241"/>
      <c r="BC1062" s="1241"/>
      <c r="BD1062" s="1241"/>
      <c r="BE1062" s="1241"/>
      <c r="BF1062" s="1241"/>
      <c r="BG1062" s="1241"/>
      <c r="BH1062" s="1241"/>
      <c r="BI1062" s="1241"/>
      <c r="BJ1062" s="1241"/>
      <c r="BK1062" s="1241"/>
      <c r="BL1062" s="1241"/>
      <c r="BM1062" s="1241"/>
      <c r="BN1062" s="1241"/>
      <c r="BO1062" s="1241"/>
      <c r="BP1062" s="1241"/>
      <c r="BQ1062" s="1241"/>
      <c r="BR1062" s="1241"/>
      <c r="BS1062" s="1241"/>
      <c r="BT1062" s="1241"/>
      <c r="BU1062" s="1241"/>
      <c r="BV1062" s="1241"/>
      <c r="BW1062" s="1241"/>
      <c r="BX1062" s="1241"/>
      <c r="BY1062" s="1241"/>
      <c r="BZ1062" s="1241"/>
      <c r="CA1062" s="1241"/>
      <c r="CB1062" s="1241"/>
      <c r="CC1062" s="1241"/>
      <c r="CD1062" s="1241"/>
      <c r="CE1062" s="1241"/>
      <c r="CF1062" s="1241"/>
      <c r="CG1062" s="1241"/>
      <c r="CH1062" s="1241"/>
      <c r="CI1062" s="1241"/>
      <c r="CJ1062" s="1241"/>
      <c r="CK1062" s="1241"/>
      <c r="CL1062" s="1241"/>
      <c r="CM1062" s="1241"/>
      <c r="CN1062" s="1241"/>
      <c r="CO1062" s="1241"/>
      <c r="CP1062" s="1241"/>
      <c r="CQ1062" s="1241"/>
      <c r="CR1062" s="1241"/>
      <c r="CS1062" s="1241"/>
      <c r="CT1062" s="1241"/>
      <c r="CU1062" s="1241"/>
      <c r="CV1062" s="1241"/>
      <c r="CW1062" s="1241"/>
      <c r="CX1062" s="1241"/>
      <c r="CY1062" s="1241"/>
      <c r="CZ1062" s="1241"/>
      <c r="DA1062" s="1241"/>
      <c r="DB1062" s="1241"/>
      <c r="DC1062" s="1241"/>
      <c r="DD1062" s="1241"/>
      <c r="DE1062" s="1241"/>
      <c r="DF1062" s="1241"/>
      <c r="DG1062" s="1241"/>
      <c r="DH1062" s="1241"/>
      <c r="DI1062" s="1241"/>
      <c r="DJ1062" s="1241"/>
      <c r="DK1062" s="1241"/>
      <c r="DL1062" s="1241"/>
      <c r="DM1062" s="1241"/>
    </row>
    <row r="1063" spans="1:117" s="1302" customFormat="1">
      <c r="A1063" s="1243"/>
      <c r="B1063" s="1480" t="s">
        <v>4266</v>
      </c>
      <c r="C1063" s="1480"/>
      <c r="D1063" s="1481"/>
      <c r="E1063" s="1482" t="s">
        <v>420</v>
      </c>
      <c r="F1063" s="1536"/>
      <c r="G1063" s="1487"/>
      <c r="H1063" s="1487">
        <v>92.067551899560002</v>
      </c>
      <c r="I1063" s="1487">
        <v>127.98458211460319</v>
      </c>
      <c r="J1063" s="1487">
        <v>131.58602045537666</v>
      </c>
      <c r="K1063" s="1487">
        <v>164.11354630331041</v>
      </c>
      <c r="L1063" s="1487">
        <v>204.68174344844169</v>
      </c>
      <c r="M1063" s="1487">
        <v>255.2782329355382</v>
      </c>
      <c r="N1063" s="1487">
        <v>318.38196759891349</v>
      </c>
      <c r="O1063" s="1487">
        <v>170.88041056154771</v>
      </c>
      <c r="P1063" s="1241"/>
      <c r="Q1063" s="1241"/>
      <c r="R1063" s="1241"/>
      <c r="S1063" s="1241"/>
      <c r="T1063" s="1241"/>
      <c r="U1063" s="1241"/>
      <c r="V1063" s="1241"/>
      <c r="W1063" s="1241"/>
      <c r="X1063" s="1241"/>
      <c r="Y1063" s="1241"/>
      <c r="Z1063" s="1241"/>
      <c r="AA1063" s="1241"/>
      <c r="AB1063" s="1241"/>
      <c r="AC1063" s="1241"/>
      <c r="AD1063" s="1241"/>
      <c r="AE1063" s="1241"/>
      <c r="AF1063" s="1241"/>
      <c r="AG1063" s="1241"/>
      <c r="AH1063" s="1241"/>
      <c r="AI1063" s="1241"/>
      <c r="AJ1063" s="1241"/>
      <c r="AK1063" s="1241"/>
      <c r="AL1063" s="1241"/>
      <c r="AM1063" s="1241"/>
      <c r="AN1063" s="1241"/>
      <c r="AO1063" s="1241"/>
      <c r="AP1063" s="1241"/>
      <c r="AQ1063" s="1241"/>
      <c r="AR1063" s="1241"/>
      <c r="AS1063" s="1241"/>
      <c r="AT1063" s="1241"/>
      <c r="AU1063" s="1241"/>
      <c r="AV1063" s="1241"/>
      <c r="AW1063" s="1241"/>
      <c r="AX1063" s="1241"/>
      <c r="AY1063" s="1241"/>
      <c r="AZ1063" s="1241"/>
      <c r="BA1063" s="1241"/>
      <c r="BB1063" s="1241"/>
      <c r="BC1063" s="1241"/>
      <c r="BD1063" s="1241"/>
      <c r="BE1063" s="1241"/>
      <c r="BF1063" s="1241"/>
      <c r="BG1063" s="1241"/>
      <c r="BH1063" s="1241"/>
      <c r="BI1063" s="1241"/>
      <c r="BJ1063" s="1241"/>
      <c r="BK1063" s="1241"/>
      <c r="BL1063" s="1241"/>
      <c r="BM1063" s="1241"/>
      <c r="BN1063" s="1241"/>
      <c r="BO1063" s="1241"/>
      <c r="BP1063" s="1241"/>
      <c r="BQ1063" s="1241"/>
      <c r="BR1063" s="1241"/>
      <c r="BS1063" s="1241"/>
      <c r="BT1063" s="1241"/>
      <c r="BU1063" s="1241"/>
      <c r="BV1063" s="1241"/>
      <c r="BW1063" s="1241"/>
      <c r="BX1063" s="1241"/>
      <c r="BY1063" s="1241"/>
      <c r="BZ1063" s="1241"/>
      <c r="CA1063" s="1241"/>
      <c r="CB1063" s="1241"/>
      <c r="CC1063" s="1241"/>
      <c r="CD1063" s="1241"/>
      <c r="CE1063" s="1241"/>
      <c r="CF1063" s="1241"/>
      <c r="CG1063" s="1241"/>
      <c r="CH1063" s="1241"/>
      <c r="CI1063" s="1241"/>
      <c r="CJ1063" s="1241"/>
      <c r="CK1063" s="1241"/>
      <c r="CL1063" s="1241"/>
      <c r="CM1063" s="1241"/>
      <c r="CN1063" s="1241"/>
      <c r="CO1063" s="1241"/>
      <c r="CP1063" s="1241"/>
      <c r="CQ1063" s="1241"/>
      <c r="CR1063" s="1241"/>
      <c r="CS1063" s="1241"/>
      <c r="CT1063" s="1241"/>
      <c r="CU1063" s="1241"/>
      <c r="CV1063" s="1241"/>
      <c r="CW1063" s="1241"/>
      <c r="CX1063" s="1241"/>
      <c r="CY1063" s="1241"/>
      <c r="CZ1063" s="1241"/>
      <c r="DA1063" s="1241"/>
      <c r="DB1063" s="1241"/>
      <c r="DC1063" s="1241"/>
      <c r="DD1063" s="1241"/>
      <c r="DE1063" s="1241"/>
      <c r="DF1063" s="1241"/>
      <c r="DG1063" s="1241"/>
      <c r="DH1063" s="1241"/>
      <c r="DI1063" s="1241"/>
      <c r="DJ1063" s="1241"/>
      <c r="DK1063" s="1241"/>
      <c r="DL1063" s="1241"/>
      <c r="DM1063" s="1241"/>
    </row>
    <row r="1064" spans="1:117" s="1302" customFormat="1">
      <c r="A1064" s="1243"/>
      <c r="B1064" s="1481"/>
      <c r="C1064" s="1480"/>
      <c r="D1064" s="1481"/>
      <c r="E1064" s="1482"/>
      <c r="F1064" s="1522"/>
      <c r="G1064" s="1522"/>
      <c r="H1064" s="1522"/>
      <c r="I1064" s="1522"/>
      <c r="J1064" s="1522"/>
      <c r="K1064" s="1522"/>
      <c r="L1064" s="1522"/>
      <c r="M1064" s="1522"/>
      <c r="N1064" s="1522"/>
      <c r="O1064" s="1487"/>
      <c r="P1064" s="1241"/>
      <c r="Q1064" s="1241"/>
      <c r="R1064" s="1241"/>
      <c r="S1064" s="1241"/>
      <c r="T1064" s="1241"/>
      <c r="U1064" s="1241"/>
      <c r="V1064" s="1241"/>
      <c r="W1064" s="1241"/>
      <c r="X1064" s="1241"/>
      <c r="Y1064" s="1241"/>
      <c r="Z1064" s="1241"/>
      <c r="AA1064" s="1241"/>
      <c r="AB1064" s="1241"/>
      <c r="AC1064" s="1241"/>
      <c r="AD1064" s="1241"/>
      <c r="AE1064" s="1241"/>
      <c r="AF1064" s="1241"/>
      <c r="AG1064" s="1241"/>
      <c r="AH1064" s="1241"/>
      <c r="AI1064" s="1241"/>
      <c r="AJ1064" s="1241"/>
      <c r="AK1064" s="1241"/>
      <c r="AL1064" s="1241"/>
      <c r="AM1064" s="1241"/>
      <c r="AN1064" s="1241"/>
      <c r="AO1064" s="1241"/>
      <c r="AP1064" s="1241"/>
      <c r="AQ1064" s="1241"/>
      <c r="AR1064" s="1241"/>
      <c r="AS1064" s="1241"/>
      <c r="AT1064" s="1241"/>
      <c r="AU1064" s="1241"/>
      <c r="AV1064" s="1241"/>
      <c r="AW1064" s="1241"/>
      <c r="AX1064" s="1241"/>
      <c r="AY1064" s="1241"/>
      <c r="AZ1064" s="1241"/>
      <c r="BA1064" s="1241"/>
      <c r="BB1064" s="1241"/>
      <c r="BC1064" s="1241"/>
      <c r="BD1064" s="1241"/>
      <c r="BE1064" s="1241"/>
      <c r="BF1064" s="1241"/>
      <c r="BG1064" s="1241"/>
      <c r="BH1064" s="1241"/>
      <c r="BI1064" s="1241"/>
      <c r="BJ1064" s="1241"/>
      <c r="BK1064" s="1241"/>
      <c r="BL1064" s="1241"/>
      <c r="BM1064" s="1241"/>
      <c r="BN1064" s="1241"/>
      <c r="BO1064" s="1241"/>
      <c r="BP1064" s="1241"/>
      <c r="BQ1064" s="1241"/>
      <c r="BR1064" s="1241"/>
      <c r="BS1064" s="1241"/>
      <c r="BT1064" s="1241"/>
      <c r="BU1064" s="1241"/>
      <c r="BV1064" s="1241"/>
      <c r="BW1064" s="1241"/>
      <c r="BX1064" s="1241"/>
      <c r="BY1064" s="1241"/>
      <c r="BZ1064" s="1241"/>
      <c r="CA1064" s="1241"/>
      <c r="CB1064" s="1241"/>
      <c r="CC1064" s="1241"/>
      <c r="CD1064" s="1241"/>
      <c r="CE1064" s="1241"/>
      <c r="CF1064" s="1241"/>
      <c r="CG1064" s="1241"/>
      <c r="CH1064" s="1241"/>
      <c r="CI1064" s="1241"/>
      <c r="CJ1064" s="1241"/>
      <c r="CK1064" s="1241"/>
      <c r="CL1064" s="1241"/>
      <c r="CM1064" s="1241"/>
      <c r="CN1064" s="1241"/>
      <c r="CO1064" s="1241"/>
      <c r="CP1064" s="1241"/>
      <c r="CQ1064" s="1241"/>
      <c r="CR1064" s="1241"/>
      <c r="CS1064" s="1241"/>
      <c r="CT1064" s="1241"/>
      <c r="CU1064" s="1241"/>
      <c r="CV1064" s="1241"/>
      <c r="CW1064" s="1241"/>
      <c r="CX1064" s="1241"/>
      <c r="CY1064" s="1241"/>
      <c r="CZ1064" s="1241"/>
      <c r="DA1064" s="1241"/>
      <c r="DB1064" s="1241"/>
      <c r="DC1064" s="1241"/>
      <c r="DD1064" s="1241"/>
      <c r="DE1064" s="1241"/>
      <c r="DF1064" s="1241"/>
      <c r="DG1064" s="1241"/>
      <c r="DH1064" s="1241"/>
      <c r="DI1064" s="1241"/>
      <c r="DJ1064" s="1241"/>
      <c r="DK1064" s="1241"/>
      <c r="DL1064" s="1241"/>
      <c r="DM1064" s="1241"/>
    </row>
    <row r="1065" spans="1:117" s="1302" customFormat="1">
      <c r="A1065" s="1243"/>
      <c r="B1065" s="1480" t="s">
        <v>4267</v>
      </c>
      <c r="C1065" s="1480"/>
      <c r="D1065" s="1481"/>
      <c r="E1065" s="1482"/>
      <c r="F1065" s="1522"/>
      <c r="G1065" s="1522" t="s">
        <v>3878</v>
      </c>
      <c r="H1065" s="1522" t="s">
        <v>3878</v>
      </c>
      <c r="I1065" s="1522">
        <v>5.2771651933968116</v>
      </c>
      <c r="J1065" s="1522">
        <v>13.986490898725066</v>
      </c>
      <c r="K1065" s="1522">
        <v>17.443894220565397</v>
      </c>
      <c r="L1065" s="1522">
        <v>21.755953496957005</v>
      </c>
      <c r="M1065" s="1522">
        <v>27.133936182881484</v>
      </c>
      <c r="N1065" s="1522">
        <v>33.841334183751712</v>
      </c>
      <c r="O1065" s="1487">
        <v>10.677029962328106</v>
      </c>
      <c r="P1065" s="1241"/>
      <c r="Q1065" s="1241"/>
      <c r="R1065" s="1241"/>
      <c r="S1065" s="1241"/>
      <c r="T1065" s="1241"/>
      <c r="U1065" s="1241"/>
      <c r="V1065" s="1241"/>
      <c r="W1065" s="1241"/>
      <c r="X1065" s="1241"/>
      <c r="Y1065" s="1241"/>
      <c r="Z1065" s="1241"/>
      <c r="AA1065" s="1241"/>
      <c r="AB1065" s="1241"/>
      <c r="AC1065" s="1241"/>
      <c r="AD1065" s="1241"/>
      <c r="AE1065" s="1241"/>
      <c r="AF1065" s="1241"/>
      <c r="AG1065" s="1241"/>
      <c r="AH1065" s="1241"/>
      <c r="AI1065" s="1241"/>
      <c r="AJ1065" s="1241"/>
      <c r="AK1065" s="1241"/>
      <c r="AL1065" s="1241"/>
      <c r="AM1065" s="1241"/>
      <c r="AN1065" s="1241"/>
      <c r="AO1065" s="1241"/>
      <c r="AP1065" s="1241"/>
      <c r="AQ1065" s="1241"/>
      <c r="AR1065" s="1241"/>
      <c r="AS1065" s="1241"/>
      <c r="AT1065" s="1241"/>
      <c r="AU1065" s="1241"/>
      <c r="AV1065" s="1241"/>
      <c r="AW1065" s="1241"/>
      <c r="AX1065" s="1241"/>
      <c r="AY1065" s="1241"/>
      <c r="AZ1065" s="1241"/>
      <c r="BA1065" s="1241"/>
      <c r="BB1065" s="1241"/>
      <c r="BC1065" s="1241"/>
      <c r="BD1065" s="1241"/>
      <c r="BE1065" s="1241"/>
      <c r="BF1065" s="1241"/>
      <c r="BG1065" s="1241"/>
      <c r="BH1065" s="1241"/>
      <c r="BI1065" s="1241"/>
      <c r="BJ1065" s="1241"/>
      <c r="BK1065" s="1241"/>
      <c r="BL1065" s="1241"/>
      <c r="BM1065" s="1241"/>
      <c r="BN1065" s="1241"/>
      <c r="BO1065" s="1241"/>
      <c r="BP1065" s="1241"/>
      <c r="BQ1065" s="1241"/>
      <c r="BR1065" s="1241"/>
      <c r="BS1065" s="1241"/>
      <c r="BT1065" s="1241"/>
      <c r="BU1065" s="1241"/>
      <c r="BV1065" s="1241"/>
      <c r="BW1065" s="1241"/>
      <c r="BX1065" s="1241"/>
      <c r="BY1065" s="1241"/>
      <c r="BZ1065" s="1241"/>
      <c r="CA1065" s="1241"/>
      <c r="CB1065" s="1241"/>
      <c r="CC1065" s="1241"/>
      <c r="CD1065" s="1241"/>
      <c r="CE1065" s="1241"/>
      <c r="CF1065" s="1241"/>
      <c r="CG1065" s="1241"/>
      <c r="CH1065" s="1241"/>
      <c r="CI1065" s="1241"/>
      <c r="CJ1065" s="1241"/>
      <c r="CK1065" s="1241"/>
      <c r="CL1065" s="1241"/>
      <c r="CM1065" s="1241"/>
      <c r="CN1065" s="1241"/>
      <c r="CO1065" s="1241"/>
      <c r="CP1065" s="1241"/>
      <c r="CQ1065" s="1241"/>
      <c r="CR1065" s="1241"/>
      <c r="CS1065" s="1241"/>
      <c r="CT1065" s="1241"/>
      <c r="CU1065" s="1241"/>
      <c r="CV1065" s="1241"/>
      <c r="CW1065" s="1241"/>
      <c r="CX1065" s="1241"/>
      <c r="CY1065" s="1241"/>
      <c r="CZ1065" s="1241"/>
      <c r="DA1065" s="1241"/>
      <c r="DB1065" s="1241"/>
      <c r="DC1065" s="1241"/>
      <c r="DD1065" s="1241"/>
      <c r="DE1065" s="1241"/>
      <c r="DF1065" s="1241"/>
      <c r="DG1065" s="1241"/>
      <c r="DH1065" s="1241"/>
      <c r="DI1065" s="1241"/>
      <c r="DJ1065" s="1241"/>
      <c r="DK1065" s="1241"/>
      <c r="DL1065" s="1241"/>
      <c r="DM1065" s="1241"/>
    </row>
    <row r="1066" spans="1:117">
      <c r="B1066" s="1459"/>
      <c r="D1066" s="1459"/>
      <c r="E1066" s="1460"/>
      <c r="F1066" s="1583"/>
      <c r="G1066" s="1584"/>
      <c r="H1066" s="1584"/>
      <c r="I1066" s="1584"/>
      <c r="J1066" s="1584"/>
      <c r="K1066" s="1584"/>
      <c r="L1066" s="1584"/>
      <c r="M1066" s="1584"/>
      <c r="N1066" s="1584"/>
      <c r="O1066" s="1583"/>
    </row>
    <row r="1067" spans="1:117" hidden="1">
      <c r="B1067" s="1585" t="s">
        <v>4336</v>
      </c>
      <c r="C1067" s="1586"/>
      <c r="D1067" s="1585"/>
      <c r="E1067" s="1460"/>
      <c r="F1067" s="1583"/>
      <c r="G1067" s="1584"/>
      <c r="H1067" s="1584"/>
      <c r="I1067" s="1584"/>
      <c r="J1067" s="1584"/>
      <c r="K1067" s="1584"/>
      <c r="L1067" s="1584"/>
      <c r="M1067" s="1584"/>
      <c r="N1067" s="1584"/>
      <c r="O1067" s="1583"/>
    </row>
    <row r="1068" spans="1:117" hidden="1">
      <c r="B1068" s="1585"/>
      <c r="C1068" s="1586"/>
      <c r="D1068" s="1585"/>
      <c r="E1068" s="1460"/>
      <c r="F1068" s="1583"/>
      <c r="G1068" s="1584"/>
      <c r="H1068" s="1584"/>
      <c r="I1068" s="1584"/>
      <c r="J1068" s="1584"/>
      <c r="K1068" s="1584"/>
      <c r="L1068" s="1584"/>
      <c r="M1068" s="1584"/>
      <c r="N1068" s="1584"/>
      <c r="O1068" s="1583"/>
    </row>
    <row r="1069" spans="1:117" hidden="1">
      <c r="B1069" s="1585" t="s">
        <v>4275</v>
      </c>
      <c r="C1069" s="1586"/>
      <c r="D1069" s="1585"/>
      <c r="E1069" s="1460"/>
      <c r="F1069" s="1583"/>
      <c r="G1069" s="1584" t="s">
        <v>3878</v>
      </c>
      <c r="H1069" s="1584" t="s">
        <v>3878</v>
      </c>
      <c r="I1069" s="1584">
        <v>104.68570050000001</v>
      </c>
      <c r="J1069" s="1584">
        <v>104.68570050000001</v>
      </c>
      <c r="K1069" s="1584">
        <v>104.68570050000001</v>
      </c>
      <c r="L1069" s="1584">
        <v>104.68570050000001</v>
      </c>
      <c r="M1069" s="1584">
        <v>104.68570050000001</v>
      </c>
      <c r="N1069" s="1584">
        <v>104.68570050000001</v>
      </c>
      <c r="O1069" s="1584">
        <v>104.68570050000001</v>
      </c>
    </row>
    <row r="1070" spans="1:117" hidden="1">
      <c r="B1070" s="1587" t="s">
        <v>4276</v>
      </c>
      <c r="C1070" s="1586"/>
      <c r="D1070" s="1585"/>
      <c r="E1070" s="1460"/>
      <c r="F1070" s="1583"/>
      <c r="G1070" s="1584" t="s">
        <v>3878</v>
      </c>
      <c r="H1070" s="1584" t="s">
        <v>3878</v>
      </c>
      <c r="I1070" s="1561">
        <v>552.44373492496322</v>
      </c>
      <c r="J1070" s="1561">
        <v>1464.1855972699082</v>
      </c>
      <c r="K1070" s="1561">
        <v>1826.1262859277904</v>
      </c>
      <c r="L1070" s="1561">
        <v>2277.5372318743689</v>
      </c>
      <c r="M1070" s="1561">
        <v>2840.5351166272444</v>
      </c>
      <c r="N1070" s="1561">
        <v>3542.7037748806442</v>
      </c>
      <c r="O1070" s="1561">
        <v>1117.7323608658064</v>
      </c>
    </row>
    <row r="1071" spans="1:117" hidden="1">
      <c r="B1071" s="1585"/>
      <c r="C1071" s="1586"/>
      <c r="D1071" s="1585"/>
      <c r="E1071" s="1460"/>
      <c r="F1071" s="1583"/>
      <c r="G1071" s="1584"/>
      <c r="H1071" s="1584"/>
      <c r="I1071" s="1584"/>
      <c r="J1071" s="1584"/>
      <c r="K1071" s="1584"/>
      <c r="L1071" s="1584"/>
      <c r="M1071" s="1584"/>
      <c r="N1071" s="1584"/>
      <c r="O1071" s="1583"/>
    </row>
    <row r="1072" spans="1:117" hidden="1">
      <c r="B1072" s="1585"/>
      <c r="C1072" s="1586"/>
      <c r="D1072" s="1585"/>
      <c r="E1072" s="1460"/>
      <c r="F1072" s="1583"/>
      <c r="G1072" s="1584"/>
      <c r="H1072" s="1584"/>
      <c r="I1072" s="1584"/>
      <c r="J1072" s="1584"/>
      <c r="K1072" s="1584"/>
      <c r="L1072" s="1584"/>
      <c r="M1072" s="1584"/>
      <c r="N1072" s="1584"/>
      <c r="O1072" s="1583"/>
    </row>
    <row r="1073" spans="1:117" hidden="1">
      <c r="B1073" s="1585" t="s">
        <v>4359</v>
      </c>
      <c r="C1073" s="1586"/>
      <c r="D1073" s="1585"/>
      <c r="E1073" s="1460"/>
      <c r="F1073" s="1583"/>
      <c r="G1073" s="1584"/>
      <c r="H1073" s="1584"/>
      <c r="I1073" s="1584"/>
      <c r="J1073" s="1584"/>
      <c r="K1073" s="1584"/>
      <c r="L1073" s="1584"/>
      <c r="M1073" s="1584"/>
      <c r="N1073" s="1584"/>
      <c r="O1073" s="1583"/>
    </row>
    <row r="1074" spans="1:117" hidden="1">
      <c r="B1074" s="1585"/>
      <c r="C1074" s="1586"/>
      <c r="D1074" s="1585"/>
      <c r="E1074" s="1460"/>
      <c r="F1074" s="1583"/>
      <c r="G1074" s="1584"/>
      <c r="H1074" s="1584"/>
      <c r="I1074" s="1584"/>
      <c r="J1074" s="1584"/>
      <c r="K1074" s="1584"/>
      <c r="L1074" s="1584"/>
      <c r="M1074" s="1584"/>
      <c r="N1074" s="1584"/>
      <c r="O1074" s="1583"/>
    </row>
    <row r="1075" spans="1:117" hidden="1">
      <c r="B1075" s="1585" t="s">
        <v>4275</v>
      </c>
      <c r="C1075" s="1586"/>
      <c r="D1075" s="1585"/>
      <c r="E1075" s="1460"/>
      <c r="F1075" s="1583"/>
      <c r="G1075" s="1584" t="s">
        <v>3878</v>
      </c>
      <c r="H1075" s="1584" t="s">
        <v>3878</v>
      </c>
      <c r="I1075" s="1584">
        <v>38.384756850000002</v>
      </c>
      <c r="J1075" s="1584">
        <v>38.384756850000002</v>
      </c>
      <c r="K1075" s="1584">
        <v>38.384756850000002</v>
      </c>
      <c r="L1075" s="1584">
        <v>38.384756850000002</v>
      </c>
      <c r="M1075" s="1584">
        <v>38.384756850000002</v>
      </c>
      <c r="N1075" s="1584">
        <v>38.384756850000002</v>
      </c>
      <c r="O1075" s="1584">
        <v>38.384756850000002</v>
      </c>
    </row>
    <row r="1076" spans="1:117" hidden="1">
      <c r="B1076" s="1587" t="s">
        <v>4276</v>
      </c>
      <c r="C1076" s="1586"/>
      <c r="D1076" s="1585"/>
      <c r="E1076" s="1460"/>
      <c r="F1076" s="1583"/>
      <c r="G1076" s="1584" t="s">
        <v>3878</v>
      </c>
      <c r="H1076" s="1584" t="s">
        <v>3878</v>
      </c>
      <c r="I1076" s="1561">
        <v>202.56270280581984</v>
      </c>
      <c r="J1076" s="1561">
        <v>536.86805233229961</v>
      </c>
      <c r="K1076" s="1561">
        <v>669.57963817352311</v>
      </c>
      <c r="L1076" s="1561">
        <v>835.09698502060189</v>
      </c>
      <c r="M1076" s="1561">
        <v>1041.529542763323</v>
      </c>
      <c r="N1076" s="1561">
        <v>1298.9913841229027</v>
      </c>
      <c r="O1076" s="1561">
        <v>409.83519898412902</v>
      </c>
    </row>
    <row r="1077" spans="1:117" hidden="1">
      <c r="B1077" s="1585"/>
      <c r="C1077" s="1586"/>
      <c r="D1077" s="1585"/>
      <c r="E1077" s="1460"/>
      <c r="F1077" s="1583"/>
      <c r="G1077" s="1584"/>
      <c r="H1077" s="1584"/>
      <c r="I1077" s="1584"/>
      <c r="J1077" s="1584"/>
      <c r="K1077" s="1584"/>
      <c r="L1077" s="1584"/>
      <c r="M1077" s="1584"/>
      <c r="N1077" s="1584"/>
      <c r="O1077" s="1583"/>
    </row>
    <row r="1078" spans="1:117" hidden="1">
      <c r="B1078" s="1585"/>
      <c r="C1078" s="1586"/>
      <c r="D1078" s="1585"/>
      <c r="E1078" s="1460"/>
      <c r="F1078" s="1583"/>
      <c r="G1078" s="1584"/>
      <c r="H1078" s="1584"/>
      <c r="I1078" s="1584"/>
      <c r="J1078" s="1584"/>
      <c r="K1078" s="1584"/>
      <c r="L1078" s="1584"/>
      <c r="M1078" s="1584"/>
      <c r="N1078" s="1584"/>
      <c r="O1078" s="1583"/>
    </row>
    <row r="1079" spans="1:117" hidden="1">
      <c r="B1079" s="1585"/>
      <c r="C1079" s="1586"/>
      <c r="D1079" s="1585"/>
      <c r="E1079" s="1460"/>
      <c r="F1079" s="1583"/>
      <c r="G1079" s="1584"/>
      <c r="H1079" s="1584"/>
      <c r="I1079" s="1584"/>
      <c r="J1079" s="1584"/>
      <c r="K1079" s="1584"/>
      <c r="L1079" s="1584"/>
      <c r="M1079" s="1584"/>
      <c r="N1079" s="1584"/>
      <c r="O1079" s="1583"/>
    </row>
    <row r="1080" spans="1:117" hidden="1">
      <c r="B1080" s="1459"/>
      <c r="D1080" s="1459"/>
      <c r="E1080" s="1460"/>
      <c r="F1080" s="1583"/>
      <c r="G1080" s="1584"/>
      <c r="H1080" s="1584"/>
      <c r="I1080" s="1584"/>
      <c r="J1080" s="1584"/>
      <c r="K1080" s="1584"/>
      <c r="L1080" s="1584"/>
      <c r="M1080" s="1584"/>
      <c r="N1080" s="1584"/>
      <c r="O1080" s="1583"/>
    </row>
    <row r="1081" spans="1:117">
      <c r="A1081" s="1459" t="s">
        <v>4279</v>
      </c>
      <c r="B1081" s="1459"/>
      <c r="C1081" s="1466" t="s">
        <v>4280</v>
      </c>
      <c r="D1081" s="1459"/>
      <c r="E1081" s="1460"/>
      <c r="F1081" s="1583"/>
      <c r="G1081" s="1584"/>
      <c r="H1081" s="1584"/>
      <c r="I1081" s="1584"/>
      <c r="J1081" s="1584"/>
      <c r="K1081" s="1584"/>
      <c r="L1081" s="1584"/>
      <c r="M1081" s="1584"/>
      <c r="N1081" s="1584"/>
      <c r="O1081" s="1588"/>
    </row>
    <row r="1082" spans="1:117">
      <c r="B1082" s="1508" t="s">
        <v>4032</v>
      </c>
      <c r="C1082" s="1241" t="s">
        <v>4033</v>
      </c>
      <c r="E1082" s="1509" t="s">
        <v>420</v>
      </c>
      <c r="F1082" s="1470"/>
      <c r="G1082" s="1471"/>
      <c r="H1082" s="1471">
        <v>12.3800163249132</v>
      </c>
      <c r="I1082" s="1471">
        <v>13.654162407565282</v>
      </c>
      <c r="J1082" s="1471">
        <v>17.436238639941109</v>
      </c>
      <c r="K1082" s="1471">
        <v>22.253793660911683</v>
      </c>
      <c r="L1082" s="1471">
        <v>28.387652851384853</v>
      </c>
      <c r="M1082" s="1471">
        <v>36.19420558503721</v>
      </c>
      <c r="N1082" s="1471">
        <v>46.125603383611555</v>
      </c>
      <c r="O1082" s="1471">
        <v>20.186044922652815</v>
      </c>
    </row>
    <row r="1083" spans="1:117">
      <c r="B1083" s="1508" t="s">
        <v>3997</v>
      </c>
      <c r="C1083" s="1241" t="s">
        <v>3998</v>
      </c>
      <c r="E1083" s="1509" t="s">
        <v>420</v>
      </c>
      <c r="F1083" s="1470"/>
      <c r="G1083" s="1471"/>
      <c r="H1083" s="1471">
        <v>44.681802264621197</v>
      </c>
      <c r="I1083" s="1471">
        <v>45.746368155944573</v>
      </c>
      <c r="J1083" s="1471">
        <v>55.62940577628089</v>
      </c>
      <c r="K1083" s="1471">
        <v>67.603167114597113</v>
      </c>
      <c r="L1083" s="1471">
        <v>81.81496560967993</v>
      </c>
      <c r="M1083" s="1471">
        <v>96.808674405381353</v>
      </c>
      <c r="N1083" s="1471">
        <v>114.21577980703815</v>
      </c>
      <c r="O1083" s="1471">
        <v>62.53701697832917</v>
      </c>
    </row>
    <row r="1084" spans="1:117">
      <c r="B1084" s="1508" t="s">
        <v>3999</v>
      </c>
      <c r="C1084" s="1241" t="s">
        <v>4000</v>
      </c>
      <c r="E1084" s="1509" t="s">
        <v>420</v>
      </c>
      <c r="F1084" s="1470"/>
      <c r="G1084" s="1471"/>
      <c r="H1084" s="1471">
        <v>53.371329796853999</v>
      </c>
      <c r="I1084" s="1471">
        <v>57.972904753147368</v>
      </c>
      <c r="J1084" s="1471">
        <v>71.278106279743838</v>
      </c>
      <c r="K1084" s="1471">
        <v>87.618808845816787</v>
      </c>
      <c r="L1084" s="1471">
        <v>107.68271411385669</v>
      </c>
      <c r="M1084" s="1471">
        <v>132.31203104928451</v>
      </c>
      <c r="N1084" s="1471">
        <v>162.53784049463121</v>
      </c>
      <c r="O1084" s="1471">
        <v>80.677386783439374</v>
      </c>
    </row>
    <row r="1085" spans="1:117" s="1302" customFormat="1">
      <c r="A1085" s="1241"/>
      <c r="B1085" s="1508" t="s">
        <v>4001</v>
      </c>
      <c r="C1085" s="1241" t="s">
        <v>4002</v>
      </c>
      <c r="D1085" s="1241"/>
      <c r="E1085" s="1509" t="s">
        <v>420</v>
      </c>
      <c r="F1085" s="1470"/>
      <c r="G1085" s="1471"/>
      <c r="H1085" s="1541">
        <v>7.81</v>
      </c>
      <c r="I1085" s="1471">
        <v>11.929999999999994</v>
      </c>
      <c r="J1085" s="1471">
        <v>17.349960964668156</v>
      </c>
      <c r="K1085" s="1471">
        <v>24.720513878862942</v>
      </c>
      <c r="L1085" s="1471">
        <v>34.674824296684498</v>
      </c>
      <c r="M1085" s="1471">
        <v>48.039897125871356</v>
      </c>
      <c r="N1085" s="1471">
        <v>65.89371911944508</v>
      </c>
      <c r="O1085" s="1471">
        <v>21.50151173153068</v>
      </c>
      <c r="P1085" s="1241"/>
      <c r="Q1085" s="1241"/>
      <c r="R1085" s="1241"/>
      <c r="S1085" s="1241"/>
      <c r="T1085" s="1241"/>
      <c r="U1085" s="1241"/>
      <c r="V1085" s="1241"/>
      <c r="W1085" s="1241"/>
      <c r="X1085" s="1241"/>
      <c r="Y1085" s="1241"/>
      <c r="Z1085" s="1241"/>
      <c r="AA1085" s="1241"/>
      <c r="AB1085" s="1241"/>
      <c r="AC1085" s="1241"/>
      <c r="AD1085" s="1241"/>
      <c r="AE1085" s="1241"/>
      <c r="AF1085" s="1241"/>
      <c r="AG1085" s="1241"/>
      <c r="AH1085" s="1241"/>
      <c r="AI1085" s="1241"/>
      <c r="AJ1085" s="1241"/>
      <c r="AK1085" s="1241"/>
      <c r="AL1085" s="1241"/>
      <c r="AM1085" s="1241"/>
      <c r="AN1085" s="1241"/>
      <c r="AO1085" s="1241"/>
      <c r="AP1085" s="1241"/>
      <c r="AQ1085" s="1241"/>
      <c r="AR1085" s="1241"/>
      <c r="AS1085" s="1241"/>
      <c r="AT1085" s="1241"/>
      <c r="AU1085" s="1241"/>
      <c r="AV1085" s="1241"/>
      <c r="AW1085" s="1241"/>
      <c r="AX1085" s="1241"/>
      <c r="AY1085" s="1241"/>
      <c r="AZ1085" s="1241"/>
      <c r="BA1085" s="1241"/>
      <c r="BB1085" s="1241"/>
      <c r="BC1085" s="1241"/>
      <c r="BD1085" s="1241"/>
      <c r="BE1085" s="1241"/>
      <c r="BF1085" s="1241"/>
      <c r="BG1085" s="1241"/>
      <c r="BH1085" s="1241"/>
      <c r="BI1085" s="1241"/>
      <c r="BJ1085" s="1241"/>
      <c r="BK1085" s="1241"/>
      <c r="BL1085" s="1241"/>
      <c r="BM1085" s="1241"/>
      <c r="BN1085" s="1241"/>
      <c r="BO1085" s="1241"/>
      <c r="BP1085" s="1241"/>
      <c r="BQ1085" s="1241"/>
      <c r="BR1085" s="1241"/>
      <c r="BS1085" s="1241"/>
      <c r="BT1085" s="1241"/>
      <c r="BU1085" s="1241"/>
      <c r="BV1085" s="1241"/>
      <c r="BW1085" s="1241"/>
      <c r="BX1085" s="1241"/>
      <c r="BY1085" s="1241"/>
      <c r="BZ1085" s="1241"/>
      <c r="CA1085" s="1241"/>
      <c r="CB1085" s="1241"/>
      <c r="CC1085" s="1241"/>
      <c r="CD1085" s="1241"/>
      <c r="CE1085" s="1241"/>
      <c r="CF1085" s="1241"/>
      <c r="CG1085" s="1241"/>
      <c r="CH1085" s="1241"/>
      <c r="CI1085" s="1241"/>
      <c r="CJ1085" s="1241"/>
      <c r="CK1085" s="1241"/>
      <c r="CL1085" s="1241"/>
      <c r="CM1085" s="1241"/>
      <c r="CN1085" s="1241"/>
      <c r="CO1085" s="1241"/>
      <c r="CP1085" s="1241"/>
      <c r="CQ1085" s="1241"/>
      <c r="CR1085" s="1241"/>
      <c r="CS1085" s="1241"/>
      <c r="CT1085" s="1241"/>
      <c r="CU1085" s="1241"/>
      <c r="CV1085" s="1241"/>
      <c r="CW1085" s="1241"/>
      <c r="CX1085" s="1241"/>
      <c r="CY1085" s="1241"/>
      <c r="CZ1085" s="1241"/>
      <c r="DA1085" s="1241"/>
      <c r="DB1085" s="1241"/>
      <c r="DC1085" s="1241"/>
      <c r="DD1085" s="1241"/>
      <c r="DE1085" s="1241"/>
      <c r="DF1085" s="1241"/>
      <c r="DG1085" s="1241"/>
      <c r="DH1085" s="1241"/>
      <c r="DI1085" s="1241"/>
      <c r="DJ1085" s="1241"/>
      <c r="DK1085" s="1241"/>
      <c r="DL1085" s="1241"/>
      <c r="DM1085" s="1241"/>
    </row>
    <row r="1086" spans="1:117" s="1302" customFormat="1">
      <c r="A1086" s="1241"/>
      <c r="B1086" s="1508" t="s">
        <v>4011</v>
      </c>
      <c r="C1086" s="1241" t="s">
        <v>4012</v>
      </c>
      <c r="D1086" s="1241"/>
      <c r="E1086" s="1509" t="s">
        <v>420</v>
      </c>
      <c r="F1086" s="1470"/>
      <c r="G1086" s="1471"/>
      <c r="H1086" s="1471">
        <v>15.018598921611598</v>
      </c>
      <c r="I1086" s="1471">
        <v>16.269076037444517</v>
      </c>
      <c r="J1086" s="1471">
        <v>19.863728863241821</v>
      </c>
      <c r="K1086" s="1471">
        <v>24.241413445210185</v>
      </c>
      <c r="L1086" s="1471">
        <v>29.569600077695274</v>
      </c>
      <c r="M1086" s="1471">
        <v>36.050707202829457</v>
      </c>
      <c r="N1086" s="1471">
        <v>43.929146079630058</v>
      </c>
      <c r="O1086" s="1471">
        <v>22.386372186499582</v>
      </c>
      <c r="P1086" s="1241"/>
      <c r="Q1086" s="1241"/>
      <c r="R1086" s="1241"/>
      <c r="S1086" s="1241"/>
      <c r="T1086" s="1241"/>
      <c r="U1086" s="1241"/>
      <c r="V1086" s="1241"/>
      <c r="W1086" s="1241"/>
      <c r="X1086" s="1241"/>
      <c r="Y1086" s="1241"/>
      <c r="Z1086" s="1241"/>
      <c r="AA1086" s="1241"/>
      <c r="AB1086" s="1241"/>
      <c r="AC1086" s="1241"/>
      <c r="AD1086" s="1241"/>
      <c r="AE1086" s="1241"/>
      <c r="AF1086" s="1241"/>
      <c r="AG1086" s="1241"/>
      <c r="AH1086" s="1241"/>
      <c r="AI1086" s="1241"/>
      <c r="AJ1086" s="1241"/>
      <c r="AK1086" s="1241"/>
      <c r="AL1086" s="1241"/>
      <c r="AM1086" s="1241"/>
      <c r="AN1086" s="1241"/>
      <c r="AO1086" s="1241"/>
      <c r="AP1086" s="1241"/>
      <c r="AQ1086" s="1241"/>
      <c r="AR1086" s="1241"/>
      <c r="AS1086" s="1241"/>
      <c r="AT1086" s="1241"/>
      <c r="AU1086" s="1241"/>
      <c r="AV1086" s="1241"/>
      <c r="AW1086" s="1241"/>
      <c r="AX1086" s="1241"/>
      <c r="AY1086" s="1241"/>
      <c r="AZ1086" s="1241"/>
      <c r="BA1086" s="1241"/>
      <c r="BB1086" s="1241"/>
      <c r="BC1086" s="1241"/>
      <c r="BD1086" s="1241"/>
      <c r="BE1086" s="1241"/>
      <c r="BF1086" s="1241"/>
      <c r="BG1086" s="1241"/>
      <c r="BH1086" s="1241"/>
      <c r="BI1086" s="1241"/>
      <c r="BJ1086" s="1241"/>
      <c r="BK1086" s="1241"/>
      <c r="BL1086" s="1241"/>
      <c r="BM1086" s="1241"/>
      <c r="BN1086" s="1241"/>
      <c r="BO1086" s="1241"/>
      <c r="BP1086" s="1241"/>
      <c r="BQ1086" s="1241"/>
      <c r="BR1086" s="1241"/>
      <c r="BS1086" s="1241"/>
      <c r="BT1086" s="1241"/>
      <c r="BU1086" s="1241"/>
      <c r="BV1086" s="1241"/>
      <c r="BW1086" s="1241"/>
      <c r="BX1086" s="1241"/>
      <c r="BY1086" s="1241"/>
      <c r="BZ1086" s="1241"/>
      <c r="CA1086" s="1241"/>
      <c r="CB1086" s="1241"/>
      <c r="CC1086" s="1241"/>
      <c r="CD1086" s="1241"/>
      <c r="CE1086" s="1241"/>
      <c r="CF1086" s="1241"/>
      <c r="CG1086" s="1241"/>
      <c r="CH1086" s="1241"/>
      <c r="CI1086" s="1241"/>
      <c r="CJ1086" s="1241"/>
      <c r="CK1086" s="1241"/>
      <c r="CL1086" s="1241"/>
      <c r="CM1086" s="1241"/>
      <c r="CN1086" s="1241"/>
      <c r="CO1086" s="1241"/>
      <c r="CP1086" s="1241"/>
      <c r="CQ1086" s="1241"/>
      <c r="CR1086" s="1241"/>
      <c r="CS1086" s="1241"/>
      <c r="CT1086" s="1241"/>
      <c r="CU1086" s="1241"/>
      <c r="CV1086" s="1241"/>
      <c r="CW1086" s="1241"/>
      <c r="CX1086" s="1241"/>
      <c r="CY1086" s="1241"/>
      <c r="CZ1086" s="1241"/>
      <c r="DA1086" s="1241"/>
      <c r="DB1086" s="1241"/>
      <c r="DC1086" s="1241"/>
      <c r="DD1086" s="1241"/>
      <c r="DE1086" s="1241"/>
      <c r="DF1086" s="1241"/>
      <c r="DG1086" s="1241"/>
      <c r="DH1086" s="1241"/>
      <c r="DI1086" s="1241"/>
      <c r="DJ1086" s="1241"/>
      <c r="DK1086" s="1241"/>
      <c r="DL1086" s="1241"/>
      <c r="DM1086" s="1241"/>
    </row>
    <row r="1087" spans="1:117" s="1302" customFormat="1">
      <c r="A1087" s="1241"/>
      <c r="B1087" s="1508" t="s">
        <v>4025</v>
      </c>
      <c r="C1087" s="1241" t="s">
        <v>4026</v>
      </c>
      <c r="D1087" s="1241"/>
      <c r="E1087" s="1509" t="s">
        <v>420</v>
      </c>
      <c r="F1087" s="1470"/>
      <c r="G1087" s="1471"/>
      <c r="H1087" s="1471">
        <v>0</v>
      </c>
      <c r="I1087" s="1471">
        <v>0</v>
      </c>
      <c r="J1087" s="1471">
        <v>0</v>
      </c>
      <c r="K1087" s="1471">
        <v>0</v>
      </c>
      <c r="L1087" s="1471">
        <v>0.28241216911841971</v>
      </c>
      <c r="M1087" s="1471">
        <v>2.8177864142613216</v>
      </c>
      <c r="N1087" s="1471">
        <v>6.5893719119445082</v>
      </c>
      <c r="O1087" s="1471">
        <v>0</v>
      </c>
      <c r="P1087" s="1241"/>
      <c r="Q1087" s="1241"/>
      <c r="R1087" s="1241"/>
      <c r="S1087" s="1241"/>
      <c r="T1087" s="1241"/>
      <c r="U1087" s="1241"/>
      <c r="V1087" s="1241"/>
      <c r="W1087" s="1241"/>
      <c r="X1087" s="1241"/>
      <c r="Y1087" s="1241"/>
      <c r="Z1087" s="1241"/>
      <c r="AA1087" s="1241"/>
      <c r="AB1087" s="1241"/>
      <c r="AC1087" s="1241"/>
      <c r="AD1087" s="1241"/>
      <c r="AE1087" s="1241"/>
      <c r="AF1087" s="1241"/>
      <c r="AG1087" s="1241"/>
      <c r="AH1087" s="1241"/>
      <c r="AI1087" s="1241"/>
      <c r="AJ1087" s="1241"/>
      <c r="AK1087" s="1241"/>
      <c r="AL1087" s="1241"/>
      <c r="AM1087" s="1241"/>
      <c r="AN1087" s="1241"/>
      <c r="AO1087" s="1241"/>
      <c r="AP1087" s="1241"/>
      <c r="AQ1087" s="1241"/>
      <c r="AR1087" s="1241"/>
      <c r="AS1087" s="1241"/>
      <c r="AT1087" s="1241"/>
      <c r="AU1087" s="1241"/>
      <c r="AV1087" s="1241"/>
      <c r="AW1087" s="1241"/>
      <c r="AX1087" s="1241"/>
      <c r="AY1087" s="1241"/>
      <c r="AZ1087" s="1241"/>
      <c r="BA1087" s="1241"/>
      <c r="BB1087" s="1241"/>
      <c r="BC1087" s="1241"/>
      <c r="BD1087" s="1241"/>
      <c r="BE1087" s="1241"/>
      <c r="BF1087" s="1241"/>
      <c r="BG1087" s="1241"/>
      <c r="BH1087" s="1241"/>
      <c r="BI1087" s="1241"/>
      <c r="BJ1087" s="1241"/>
      <c r="BK1087" s="1241"/>
      <c r="BL1087" s="1241"/>
      <c r="BM1087" s="1241"/>
      <c r="BN1087" s="1241"/>
      <c r="BO1087" s="1241"/>
      <c r="BP1087" s="1241"/>
      <c r="BQ1087" s="1241"/>
      <c r="BR1087" s="1241"/>
      <c r="BS1087" s="1241"/>
      <c r="BT1087" s="1241"/>
      <c r="BU1087" s="1241"/>
      <c r="BV1087" s="1241"/>
      <c r="BW1087" s="1241"/>
      <c r="BX1087" s="1241"/>
      <c r="BY1087" s="1241"/>
      <c r="BZ1087" s="1241"/>
      <c r="CA1087" s="1241"/>
      <c r="CB1087" s="1241"/>
      <c r="CC1087" s="1241"/>
      <c r="CD1087" s="1241"/>
      <c r="CE1087" s="1241"/>
      <c r="CF1087" s="1241"/>
      <c r="CG1087" s="1241"/>
      <c r="CH1087" s="1241"/>
      <c r="CI1087" s="1241"/>
      <c r="CJ1087" s="1241"/>
      <c r="CK1087" s="1241"/>
      <c r="CL1087" s="1241"/>
      <c r="CM1087" s="1241"/>
      <c r="CN1087" s="1241"/>
      <c r="CO1087" s="1241"/>
      <c r="CP1087" s="1241"/>
      <c r="CQ1087" s="1241"/>
      <c r="CR1087" s="1241"/>
      <c r="CS1087" s="1241"/>
      <c r="CT1087" s="1241"/>
      <c r="CU1087" s="1241"/>
      <c r="CV1087" s="1241"/>
      <c r="CW1087" s="1241"/>
      <c r="CX1087" s="1241"/>
      <c r="CY1087" s="1241"/>
      <c r="CZ1087" s="1241"/>
      <c r="DA1087" s="1241"/>
      <c r="DB1087" s="1241"/>
      <c r="DC1087" s="1241"/>
      <c r="DD1087" s="1241"/>
      <c r="DE1087" s="1241"/>
      <c r="DF1087" s="1241"/>
      <c r="DG1087" s="1241"/>
      <c r="DH1087" s="1241"/>
      <c r="DI1087" s="1241"/>
      <c r="DJ1087" s="1241"/>
      <c r="DK1087" s="1241"/>
      <c r="DL1087" s="1241"/>
      <c r="DM1087" s="1241"/>
    </row>
    <row r="1088" spans="1:117" s="1302" customFormat="1">
      <c r="A1088" s="1241"/>
      <c r="B1088" s="1508"/>
      <c r="C1088" s="1241"/>
      <c r="D1088" s="1241"/>
      <c r="E1088" s="1509"/>
      <c r="F1088" s="1470"/>
      <c r="G1088" s="1471"/>
      <c r="H1088" s="1471"/>
      <c r="I1088" s="1471"/>
      <c r="J1088" s="1471"/>
      <c r="K1088" s="1471"/>
      <c r="L1088" s="1471"/>
      <c r="M1088" s="1471"/>
      <c r="N1088" s="1471"/>
      <c r="O1088" s="1549"/>
      <c r="P1088" s="1241"/>
      <c r="Q1088" s="1241"/>
      <c r="R1088" s="1241"/>
      <c r="S1088" s="1241"/>
      <c r="T1088" s="1241"/>
      <c r="U1088" s="1241"/>
      <c r="V1088" s="1241"/>
      <c r="W1088" s="1241"/>
      <c r="X1088" s="1241"/>
      <c r="Y1088" s="1241"/>
      <c r="Z1088" s="1241"/>
      <c r="AA1088" s="1241"/>
      <c r="AB1088" s="1241"/>
      <c r="AC1088" s="1241"/>
      <c r="AD1088" s="1241"/>
      <c r="AE1088" s="1241"/>
      <c r="AF1088" s="1241"/>
      <c r="AG1088" s="1241"/>
      <c r="AH1088" s="1241"/>
      <c r="AI1088" s="1241"/>
      <c r="AJ1088" s="1241"/>
      <c r="AK1088" s="1241"/>
      <c r="AL1088" s="1241"/>
      <c r="AM1088" s="1241"/>
      <c r="AN1088" s="1241"/>
      <c r="AO1088" s="1241"/>
      <c r="AP1088" s="1241"/>
      <c r="AQ1088" s="1241"/>
      <c r="AR1088" s="1241"/>
      <c r="AS1088" s="1241"/>
      <c r="AT1088" s="1241"/>
      <c r="AU1088" s="1241"/>
      <c r="AV1088" s="1241"/>
      <c r="AW1088" s="1241"/>
      <c r="AX1088" s="1241"/>
      <c r="AY1088" s="1241"/>
      <c r="AZ1088" s="1241"/>
      <c r="BA1088" s="1241"/>
      <c r="BB1088" s="1241"/>
      <c r="BC1088" s="1241"/>
      <c r="BD1088" s="1241"/>
      <c r="BE1088" s="1241"/>
      <c r="BF1088" s="1241"/>
      <c r="BG1088" s="1241"/>
      <c r="BH1088" s="1241"/>
      <c r="BI1088" s="1241"/>
      <c r="BJ1088" s="1241"/>
      <c r="BK1088" s="1241"/>
      <c r="BL1088" s="1241"/>
      <c r="BM1088" s="1241"/>
      <c r="BN1088" s="1241"/>
      <c r="BO1088" s="1241"/>
      <c r="BP1088" s="1241"/>
      <c r="BQ1088" s="1241"/>
      <c r="BR1088" s="1241"/>
      <c r="BS1088" s="1241"/>
      <c r="BT1088" s="1241"/>
      <c r="BU1088" s="1241"/>
      <c r="BV1088" s="1241"/>
      <c r="BW1088" s="1241"/>
      <c r="BX1088" s="1241"/>
      <c r="BY1088" s="1241"/>
      <c r="BZ1088" s="1241"/>
      <c r="CA1088" s="1241"/>
      <c r="CB1088" s="1241"/>
      <c r="CC1088" s="1241"/>
      <c r="CD1088" s="1241"/>
      <c r="CE1088" s="1241"/>
      <c r="CF1088" s="1241"/>
      <c r="CG1088" s="1241"/>
      <c r="CH1088" s="1241"/>
      <c r="CI1088" s="1241"/>
      <c r="CJ1088" s="1241"/>
      <c r="CK1088" s="1241"/>
      <c r="CL1088" s="1241"/>
      <c r="CM1088" s="1241"/>
      <c r="CN1088" s="1241"/>
      <c r="CO1088" s="1241"/>
      <c r="CP1088" s="1241"/>
      <c r="CQ1088" s="1241"/>
      <c r="CR1088" s="1241"/>
      <c r="CS1088" s="1241"/>
      <c r="CT1088" s="1241"/>
      <c r="CU1088" s="1241"/>
      <c r="CV1088" s="1241"/>
      <c r="CW1088" s="1241"/>
      <c r="CX1088" s="1241"/>
      <c r="CY1088" s="1241"/>
      <c r="CZ1088" s="1241"/>
      <c r="DA1088" s="1241"/>
      <c r="DB1088" s="1241"/>
      <c r="DC1088" s="1241"/>
      <c r="DD1088" s="1241"/>
      <c r="DE1088" s="1241"/>
      <c r="DF1088" s="1241"/>
      <c r="DG1088" s="1241"/>
      <c r="DH1088" s="1241"/>
      <c r="DI1088" s="1241"/>
      <c r="DJ1088" s="1241"/>
      <c r="DK1088" s="1241"/>
      <c r="DL1088" s="1241"/>
      <c r="DM1088" s="1241"/>
    </row>
    <row r="1089" spans="1:117" s="1302" customFormat="1">
      <c r="A1089" s="1459" t="s">
        <v>4279</v>
      </c>
      <c r="B1089" s="1508"/>
      <c r="C1089" s="1241" t="s">
        <v>4281</v>
      </c>
      <c r="D1089" s="1241"/>
      <c r="F1089" s="1470"/>
      <c r="G1089" s="1471"/>
      <c r="H1089" s="1471"/>
      <c r="I1089" s="1471"/>
      <c r="J1089" s="1471"/>
      <c r="K1089" s="1471"/>
      <c r="L1089" s="1471"/>
      <c r="M1089" s="1471"/>
      <c r="N1089" s="1471"/>
      <c r="O1089" s="1471"/>
      <c r="P1089" s="1241"/>
      <c r="Q1089" s="1241"/>
      <c r="R1089" s="1241"/>
      <c r="S1089" s="1241"/>
      <c r="T1089" s="1241"/>
      <c r="U1089" s="1241"/>
      <c r="V1089" s="1241"/>
      <c r="W1089" s="1241"/>
      <c r="X1089" s="1241"/>
      <c r="Y1089" s="1241"/>
      <c r="Z1089" s="1241"/>
      <c r="AA1089" s="1241"/>
      <c r="AB1089" s="1241"/>
      <c r="AC1089" s="1241"/>
      <c r="AD1089" s="1241"/>
      <c r="AE1089" s="1241"/>
      <c r="AF1089" s="1241"/>
      <c r="AG1089" s="1241"/>
      <c r="AH1089" s="1241"/>
      <c r="AI1089" s="1241"/>
      <c r="AJ1089" s="1241"/>
      <c r="AK1089" s="1241"/>
      <c r="AL1089" s="1241"/>
      <c r="AM1089" s="1241"/>
      <c r="AN1089" s="1241"/>
      <c r="AO1089" s="1241"/>
      <c r="AP1089" s="1241"/>
      <c r="AQ1089" s="1241"/>
      <c r="AR1089" s="1241"/>
      <c r="AS1089" s="1241"/>
      <c r="AT1089" s="1241"/>
      <c r="AU1089" s="1241"/>
      <c r="AV1089" s="1241"/>
      <c r="AW1089" s="1241"/>
      <c r="AX1089" s="1241"/>
      <c r="AY1089" s="1241"/>
      <c r="AZ1089" s="1241"/>
      <c r="BA1089" s="1241"/>
      <c r="BB1089" s="1241"/>
      <c r="BC1089" s="1241"/>
      <c r="BD1089" s="1241"/>
      <c r="BE1089" s="1241"/>
      <c r="BF1089" s="1241"/>
      <c r="BG1089" s="1241"/>
      <c r="BH1089" s="1241"/>
      <c r="BI1089" s="1241"/>
      <c r="BJ1089" s="1241"/>
      <c r="BK1089" s="1241"/>
      <c r="BL1089" s="1241"/>
      <c r="BM1089" s="1241"/>
      <c r="BN1089" s="1241"/>
      <c r="BO1089" s="1241"/>
      <c r="BP1089" s="1241"/>
      <c r="BQ1089" s="1241"/>
      <c r="BR1089" s="1241"/>
      <c r="BS1089" s="1241"/>
      <c r="BT1089" s="1241"/>
      <c r="BU1089" s="1241"/>
      <c r="BV1089" s="1241"/>
      <c r="BW1089" s="1241"/>
      <c r="BX1089" s="1241"/>
      <c r="BY1089" s="1241"/>
      <c r="BZ1089" s="1241"/>
      <c r="CA1089" s="1241"/>
      <c r="CB1089" s="1241"/>
      <c r="CC1089" s="1241"/>
      <c r="CD1089" s="1241"/>
      <c r="CE1089" s="1241"/>
      <c r="CF1089" s="1241"/>
      <c r="CG1089" s="1241"/>
      <c r="CH1089" s="1241"/>
      <c r="CI1089" s="1241"/>
      <c r="CJ1089" s="1241"/>
      <c r="CK1089" s="1241"/>
      <c r="CL1089" s="1241"/>
      <c r="CM1089" s="1241"/>
      <c r="CN1089" s="1241"/>
      <c r="CO1089" s="1241"/>
      <c r="CP1089" s="1241"/>
      <c r="CQ1089" s="1241"/>
      <c r="CR1089" s="1241"/>
      <c r="CS1089" s="1241"/>
      <c r="CT1089" s="1241"/>
      <c r="CU1089" s="1241"/>
      <c r="CV1089" s="1241"/>
      <c r="CW1089" s="1241"/>
      <c r="CX1089" s="1241"/>
      <c r="CY1089" s="1241"/>
      <c r="CZ1089" s="1241"/>
      <c r="DA1089" s="1241"/>
      <c r="DB1089" s="1241"/>
      <c r="DC1089" s="1241"/>
      <c r="DD1089" s="1241"/>
      <c r="DE1089" s="1241"/>
      <c r="DF1089" s="1241"/>
      <c r="DG1089" s="1241"/>
      <c r="DH1089" s="1241"/>
      <c r="DI1089" s="1241"/>
      <c r="DJ1089" s="1241"/>
      <c r="DK1089" s="1241"/>
      <c r="DL1089" s="1241"/>
      <c r="DM1089" s="1241"/>
    </row>
    <row r="1090" spans="1:117" s="1302" customFormat="1">
      <c r="A1090" s="1241"/>
      <c r="B1090" s="1508"/>
      <c r="C1090" s="1241" t="s">
        <v>4282</v>
      </c>
      <c r="D1090" s="1241"/>
      <c r="E1090" s="1509" t="s">
        <v>1065</v>
      </c>
      <c r="F1090" s="1470"/>
      <c r="G1090" s="1471"/>
      <c r="H1090" s="1471">
        <v>143.97958985874052</v>
      </c>
      <c r="I1090" s="1471">
        <v>158.79790879998424</v>
      </c>
      <c r="J1090" s="1471">
        <v>202.78345538251511</v>
      </c>
      <c r="K1090" s="1471">
        <v>258.81162027640289</v>
      </c>
      <c r="L1090" s="1471">
        <v>330.14840266160587</v>
      </c>
      <c r="M1090" s="1471">
        <v>420.93861095398279</v>
      </c>
      <c r="N1090" s="1471">
        <v>536.44076735140243</v>
      </c>
      <c r="O1090" s="1471">
        <v>234.76370245045226</v>
      </c>
      <c r="P1090" s="1241"/>
      <c r="Q1090" s="1241"/>
      <c r="R1090" s="1241"/>
      <c r="S1090" s="1241"/>
      <c r="T1090" s="1241"/>
      <c r="U1090" s="1241"/>
      <c r="V1090" s="1241"/>
      <c r="W1090" s="1241"/>
      <c r="X1090" s="1241"/>
      <c r="Y1090" s="1241"/>
      <c r="Z1090" s="1241"/>
      <c r="AA1090" s="1241"/>
      <c r="AB1090" s="1241"/>
      <c r="AC1090" s="1241"/>
      <c r="AD1090" s="1241"/>
      <c r="AE1090" s="1241"/>
      <c r="AF1090" s="1241"/>
      <c r="AG1090" s="1241"/>
      <c r="AH1090" s="1241"/>
      <c r="AI1090" s="1241"/>
      <c r="AJ1090" s="1241"/>
      <c r="AK1090" s="1241"/>
      <c r="AL1090" s="1241"/>
      <c r="AM1090" s="1241"/>
      <c r="AN1090" s="1241"/>
      <c r="AO1090" s="1241"/>
      <c r="AP1090" s="1241"/>
      <c r="AQ1090" s="1241"/>
      <c r="AR1090" s="1241"/>
      <c r="AS1090" s="1241"/>
      <c r="AT1090" s="1241"/>
      <c r="AU1090" s="1241"/>
      <c r="AV1090" s="1241"/>
      <c r="AW1090" s="1241"/>
      <c r="AX1090" s="1241"/>
      <c r="AY1090" s="1241"/>
      <c r="AZ1090" s="1241"/>
      <c r="BA1090" s="1241"/>
      <c r="BB1090" s="1241"/>
      <c r="BC1090" s="1241"/>
      <c r="BD1090" s="1241"/>
      <c r="BE1090" s="1241"/>
      <c r="BF1090" s="1241"/>
      <c r="BG1090" s="1241"/>
      <c r="BH1090" s="1241"/>
      <c r="BI1090" s="1241"/>
      <c r="BJ1090" s="1241"/>
      <c r="BK1090" s="1241"/>
      <c r="BL1090" s="1241"/>
      <c r="BM1090" s="1241"/>
      <c r="BN1090" s="1241"/>
      <c r="BO1090" s="1241"/>
      <c r="BP1090" s="1241"/>
      <c r="BQ1090" s="1241"/>
      <c r="BR1090" s="1241"/>
      <c r="BS1090" s="1241"/>
      <c r="BT1090" s="1241"/>
      <c r="BU1090" s="1241"/>
      <c r="BV1090" s="1241"/>
      <c r="BW1090" s="1241"/>
      <c r="BX1090" s="1241"/>
      <c r="BY1090" s="1241"/>
      <c r="BZ1090" s="1241"/>
      <c r="CA1090" s="1241"/>
      <c r="CB1090" s="1241"/>
      <c r="CC1090" s="1241"/>
      <c r="CD1090" s="1241"/>
      <c r="CE1090" s="1241"/>
      <c r="CF1090" s="1241"/>
      <c r="CG1090" s="1241"/>
      <c r="CH1090" s="1241"/>
      <c r="CI1090" s="1241"/>
      <c r="CJ1090" s="1241"/>
      <c r="CK1090" s="1241"/>
      <c r="CL1090" s="1241"/>
      <c r="CM1090" s="1241"/>
      <c r="CN1090" s="1241"/>
      <c r="CO1090" s="1241"/>
      <c r="CP1090" s="1241"/>
      <c r="CQ1090" s="1241"/>
      <c r="CR1090" s="1241"/>
      <c r="CS1090" s="1241"/>
      <c r="CT1090" s="1241"/>
      <c r="CU1090" s="1241"/>
      <c r="CV1090" s="1241"/>
      <c r="CW1090" s="1241"/>
      <c r="CX1090" s="1241"/>
      <c r="CY1090" s="1241"/>
      <c r="CZ1090" s="1241"/>
      <c r="DA1090" s="1241"/>
      <c r="DB1090" s="1241"/>
      <c r="DC1090" s="1241"/>
      <c r="DD1090" s="1241"/>
      <c r="DE1090" s="1241"/>
      <c r="DF1090" s="1241"/>
      <c r="DG1090" s="1241"/>
      <c r="DH1090" s="1241"/>
      <c r="DI1090" s="1241"/>
      <c r="DJ1090" s="1241"/>
      <c r="DK1090" s="1241"/>
      <c r="DL1090" s="1241"/>
      <c r="DM1090" s="1241"/>
    </row>
    <row r="1091" spans="1:117" s="1302" customFormat="1">
      <c r="A1091" s="1241"/>
      <c r="B1091" s="1508"/>
      <c r="C1091" s="1241" t="s">
        <v>1255</v>
      </c>
      <c r="D1091" s="1241"/>
      <c r="E1091" s="1509" t="s">
        <v>3925</v>
      </c>
      <c r="F1091" s="1470"/>
      <c r="G1091" s="1471"/>
      <c r="H1091" s="1471">
        <v>96.004192610857046</v>
      </c>
      <c r="I1091" s="1471">
        <v>98.291539667098803</v>
      </c>
      <c r="J1091" s="1471">
        <v>119.52642723192695</v>
      </c>
      <c r="K1091" s="1471">
        <v>145.25348459170439</v>
      </c>
      <c r="L1091" s="1471">
        <v>175.78923227681818</v>
      </c>
      <c r="M1091" s="1471">
        <v>208.00500769806561</v>
      </c>
      <c r="N1091" s="1471">
        <v>245.40625418049231</v>
      </c>
      <c r="O1091" s="1471">
        <v>134.368255509016</v>
      </c>
      <c r="P1091" s="1241"/>
      <c r="Q1091" s="1241"/>
      <c r="R1091" s="1241"/>
      <c r="S1091" s="1241"/>
      <c r="T1091" s="1241"/>
      <c r="U1091" s="1241"/>
      <c r="V1091" s="1241"/>
      <c r="W1091" s="1241"/>
      <c r="X1091" s="1241"/>
      <c r="Y1091" s="1241"/>
      <c r="Z1091" s="1241"/>
      <c r="AA1091" s="1241"/>
      <c r="AB1091" s="1241"/>
      <c r="AC1091" s="1241"/>
      <c r="AD1091" s="1241"/>
      <c r="AE1091" s="1241"/>
      <c r="AF1091" s="1241"/>
      <c r="AG1091" s="1241"/>
      <c r="AH1091" s="1241"/>
      <c r="AI1091" s="1241"/>
      <c r="AJ1091" s="1241"/>
      <c r="AK1091" s="1241"/>
      <c r="AL1091" s="1241"/>
      <c r="AM1091" s="1241"/>
      <c r="AN1091" s="1241"/>
      <c r="AO1091" s="1241"/>
      <c r="AP1091" s="1241"/>
      <c r="AQ1091" s="1241"/>
      <c r="AR1091" s="1241"/>
      <c r="AS1091" s="1241"/>
      <c r="AT1091" s="1241"/>
      <c r="AU1091" s="1241"/>
      <c r="AV1091" s="1241"/>
      <c r="AW1091" s="1241"/>
      <c r="AX1091" s="1241"/>
      <c r="AY1091" s="1241"/>
      <c r="AZ1091" s="1241"/>
      <c r="BA1091" s="1241"/>
      <c r="BB1091" s="1241"/>
      <c r="BC1091" s="1241"/>
      <c r="BD1091" s="1241"/>
      <c r="BE1091" s="1241"/>
      <c r="BF1091" s="1241"/>
      <c r="BG1091" s="1241"/>
      <c r="BH1091" s="1241"/>
      <c r="BI1091" s="1241"/>
      <c r="BJ1091" s="1241"/>
      <c r="BK1091" s="1241"/>
      <c r="BL1091" s="1241"/>
      <c r="BM1091" s="1241"/>
      <c r="BN1091" s="1241"/>
      <c r="BO1091" s="1241"/>
      <c r="BP1091" s="1241"/>
      <c r="BQ1091" s="1241"/>
      <c r="BR1091" s="1241"/>
      <c r="BS1091" s="1241"/>
      <c r="BT1091" s="1241"/>
      <c r="BU1091" s="1241"/>
      <c r="BV1091" s="1241"/>
      <c r="BW1091" s="1241"/>
      <c r="BX1091" s="1241"/>
      <c r="BY1091" s="1241"/>
      <c r="BZ1091" s="1241"/>
      <c r="CA1091" s="1241"/>
      <c r="CB1091" s="1241"/>
      <c r="CC1091" s="1241"/>
      <c r="CD1091" s="1241"/>
      <c r="CE1091" s="1241"/>
      <c r="CF1091" s="1241"/>
      <c r="CG1091" s="1241"/>
      <c r="CH1091" s="1241"/>
      <c r="CI1091" s="1241"/>
      <c r="CJ1091" s="1241"/>
      <c r="CK1091" s="1241"/>
      <c r="CL1091" s="1241"/>
      <c r="CM1091" s="1241"/>
      <c r="CN1091" s="1241"/>
      <c r="CO1091" s="1241"/>
      <c r="CP1091" s="1241"/>
      <c r="CQ1091" s="1241"/>
      <c r="CR1091" s="1241"/>
      <c r="CS1091" s="1241"/>
      <c r="CT1091" s="1241"/>
      <c r="CU1091" s="1241"/>
      <c r="CV1091" s="1241"/>
      <c r="CW1091" s="1241"/>
      <c r="CX1091" s="1241"/>
      <c r="CY1091" s="1241"/>
      <c r="CZ1091" s="1241"/>
      <c r="DA1091" s="1241"/>
      <c r="DB1091" s="1241"/>
      <c r="DC1091" s="1241"/>
      <c r="DD1091" s="1241"/>
      <c r="DE1091" s="1241"/>
      <c r="DF1091" s="1241"/>
      <c r="DG1091" s="1241"/>
      <c r="DH1091" s="1241"/>
      <c r="DI1091" s="1241"/>
      <c r="DJ1091" s="1241"/>
      <c r="DK1091" s="1241"/>
      <c r="DL1091" s="1241"/>
      <c r="DM1091" s="1241"/>
    </row>
    <row r="1092" spans="1:117" s="1302" customFormat="1">
      <c r="A1092" s="1241"/>
      <c r="B1092" s="1508"/>
      <c r="C1092" s="1241" t="s">
        <v>3861</v>
      </c>
      <c r="D1092" s="1241"/>
      <c r="E1092" s="1509" t="s">
        <v>3925</v>
      </c>
      <c r="F1092" s="1470"/>
      <c r="G1092" s="1471"/>
      <c r="H1092" s="1471">
        <v>53.371329796853999</v>
      </c>
      <c r="I1092" s="1471">
        <v>57.972904753147368</v>
      </c>
      <c r="J1092" s="1471">
        <v>71.278106279743838</v>
      </c>
      <c r="K1092" s="1471">
        <v>87.618808845816787</v>
      </c>
      <c r="L1092" s="1471">
        <v>107.68271411385669</v>
      </c>
      <c r="M1092" s="1471">
        <v>132.31203104928451</v>
      </c>
      <c r="N1092" s="1471">
        <v>162.53784049463121</v>
      </c>
      <c r="O1092" s="1471">
        <v>80.677386783439374</v>
      </c>
      <c r="P1092" s="1241"/>
      <c r="Q1092" s="1241"/>
      <c r="R1092" s="1241"/>
      <c r="S1092" s="1241"/>
      <c r="T1092" s="1241"/>
      <c r="U1092" s="1241"/>
      <c r="V1092" s="1241"/>
      <c r="W1092" s="1241"/>
      <c r="X1092" s="1241"/>
      <c r="Y1092" s="1241"/>
      <c r="Z1092" s="1241"/>
      <c r="AA1092" s="1241"/>
      <c r="AB1092" s="1241"/>
      <c r="AC1092" s="1241"/>
      <c r="AD1092" s="1241"/>
      <c r="AE1092" s="1241"/>
      <c r="AF1092" s="1241"/>
      <c r="AG1092" s="1241"/>
      <c r="AH1092" s="1241"/>
      <c r="AI1092" s="1241"/>
      <c r="AJ1092" s="1241"/>
      <c r="AK1092" s="1241"/>
      <c r="AL1092" s="1241"/>
      <c r="AM1092" s="1241"/>
      <c r="AN1092" s="1241"/>
      <c r="AO1092" s="1241"/>
      <c r="AP1092" s="1241"/>
      <c r="AQ1092" s="1241"/>
      <c r="AR1092" s="1241"/>
      <c r="AS1092" s="1241"/>
      <c r="AT1092" s="1241"/>
      <c r="AU1092" s="1241"/>
      <c r="AV1092" s="1241"/>
      <c r="AW1092" s="1241"/>
      <c r="AX1092" s="1241"/>
      <c r="AY1092" s="1241"/>
      <c r="AZ1092" s="1241"/>
      <c r="BA1092" s="1241"/>
      <c r="BB1092" s="1241"/>
      <c r="BC1092" s="1241"/>
      <c r="BD1092" s="1241"/>
      <c r="BE1092" s="1241"/>
      <c r="BF1092" s="1241"/>
      <c r="BG1092" s="1241"/>
      <c r="BH1092" s="1241"/>
      <c r="BI1092" s="1241"/>
      <c r="BJ1092" s="1241"/>
      <c r="BK1092" s="1241"/>
      <c r="BL1092" s="1241"/>
      <c r="BM1092" s="1241"/>
      <c r="BN1092" s="1241"/>
      <c r="BO1092" s="1241"/>
      <c r="BP1092" s="1241"/>
      <c r="BQ1092" s="1241"/>
      <c r="BR1092" s="1241"/>
      <c r="BS1092" s="1241"/>
      <c r="BT1092" s="1241"/>
      <c r="BU1092" s="1241"/>
      <c r="BV1092" s="1241"/>
      <c r="BW1092" s="1241"/>
      <c r="BX1092" s="1241"/>
      <c r="BY1092" s="1241"/>
      <c r="BZ1092" s="1241"/>
      <c r="CA1092" s="1241"/>
      <c r="CB1092" s="1241"/>
      <c r="CC1092" s="1241"/>
      <c r="CD1092" s="1241"/>
      <c r="CE1092" s="1241"/>
      <c r="CF1092" s="1241"/>
      <c r="CG1092" s="1241"/>
      <c r="CH1092" s="1241"/>
      <c r="CI1092" s="1241"/>
      <c r="CJ1092" s="1241"/>
      <c r="CK1092" s="1241"/>
      <c r="CL1092" s="1241"/>
      <c r="CM1092" s="1241"/>
      <c r="CN1092" s="1241"/>
      <c r="CO1092" s="1241"/>
      <c r="CP1092" s="1241"/>
      <c r="CQ1092" s="1241"/>
      <c r="CR1092" s="1241"/>
      <c r="CS1092" s="1241"/>
      <c r="CT1092" s="1241"/>
      <c r="CU1092" s="1241"/>
      <c r="CV1092" s="1241"/>
      <c r="CW1092" s="1241"/>
      <c r="CX1092" s="1241"/>
      <c r="CY1092" s="1241"/>
      <c r="CZ1092" s="1241"/>
      <c r="DA1092" s="1241"/>
      <c r="DB1092" s="1241"/>
      <c r="DC1092" s="1241"/>
      <c r="DD1092" s="1241"/>
      <c r="DE1092" s="1241"/>
      <c r="DF1092" s="1241"/>
      <c r="DG1092" s="1241"/>
      <c r="DH1092" s="1241"/>
      <c r="DI1092" s="1241"/>
      <c r="DJ1092" s="1241"/>
      <c r="DK1092" s="1241"/>
      <c r="DL1092" s="1241"/>
      <c r="DM1092" s="1241"/>
    </row>
    <row r="1093" spans="1:117" s="1302" customFormat="1">
      <c r="A1093" s="1241"/>
      <c r="B1093" s="1508"/>
      <c r="C1093" s="1241" t="s">
        <v>524</v>
      </c>
      <c r="D1093" s="1241"/>
      <c r="E1093" s="1509" t="s">
        <v>3923</v>
      </c>
      <c r="F1093" s="1470"/>
      <c r="G1093" s="1471"/>
      <c r="H1093" s="1471">
        <v>8.6918947368421051</v>
      </c>
      <c r="I1093" s="1471">
        <v>13.277119617224875</v>
      </c>
      <c r="J1093" s="1471">
        <v>19.309095312831641</v>
      </c>
      <c r="K1093" s="1471">
        <v>27.511921187672346</v>
      </c>
      <c r="L1093" s="1471">
        <v>38.590259001956049</v>
      </c>
      <c r="M1093" s="1471">
        <v>53.464497949653961</v>
      </c>
      <c r="N1093" s="1471">
        <v>73.334349603746048</v>
      </c>
      <c r="O1093" s="1471">
        <v>23.929433630402087</v>
      </c>
      <c r="P1093" s="1241"/>
      <c r="Q1093" s="1241"/>
      <c r="R1093" s="1241"/>
      <c r="S1093" s="1241"/>
      <c r="T1093" s="1241"/>
      <c r="U1093" s="1241"/>
      <c r="V1093" s="1241"/>
      <c r="W1093" s="1241"/>
      <c r="X1093" s="1241"/>
      <c r="Y1093" s="1241"/>
      <c r="Z1093" s="1241"/>
      <c r="AA1093" s="1241"/>
      <c r="AB1093" s="1241"/>
      <c r="AC1093" s="1241"/>
      <c r="AD1093" s="1241"/>
      <c r="AE1093" s="1241"/>
      <c r="AF1093" s="1241"/>
      <c r="AG1093" s="1241"/>
      <c r="AH1093" s="1241"/>
      <c r="AI1093" s="1241"/>
      <c r="AJ1093" s="1241"/>
      <c r="AK1093" s="1241"/>
      <c r="AL1093" s="1241"/>
      <c r="AM1093" s="1241"/>
      <c r="AN1093" s="1241"/>
      <c r="AO1093" s="1241"/>
      <c r="AP1093" s="1241"/>
      <c r="AQ1093" s="1241"/>
      <c r="AR1093" s="1241"/>
      <c r="AS1093" s="1241"/>
      <c r="AT1093" s="1241"/>
      <c r="AU1093" s="1241"/>
      <c r="AV1093" s="1241"/>
      <c r="AW1093" s="1241"/>
      <c r="AX1093" s="1241"/>
      <c r="AY1093" s="1241"/>
      <c r="AZ1093" s="1241"/>
      <c r="BA1093" s="1241"/>
      <c r="BB1093" s="1241"/>
      <c r="BC1093" s="1241"/>
      <c r="BD1093" s="1241"/>
      <c r="BE1093" s="1241"/>
      <c r="BF1093" s="1241"/>
      <c r="BG1093" s="1241"/>
      <c r="BH1093" s="1241"/>
      <c r="BI1093" s="1241"/>
      <c r="BJ1093" s="1241"/>
      <c r="BK1093" s="1241"/>
      <c r="BL1093" s="1241"/>
      <c r="BM1093" s="1241"/>
      <c r="BN1093" s="1241"/>
      <c r="BO1093" s="1241"/>
      <c r="BP1093" s="1241"/>
      <c r="BQ1093" s="1241"/>
      <c r="BR1093" s="1241"/>
      <c r="BS1093" s="1241"/>
      <c r="BT1093" s="1241"/>
      <c r="BU1093" s="1241"/>
      <c r="BV1093" s="1241"/>
      <c r="BW1093" s="1241"/>
      <c r="BX1093" s="1241"/>
      <c r="BY1093" s="1241"/>
      <c r="BZ1093" s="1241"/>
      <c r="CA1093" s="1241"/>
      <c r="CB1093" s="1241"/>
      <c r="CC1093" s="1241"/>
      <c r="CD1093" s="1241"/>
      <c r="CE1093" s="1241"/>
      <c r="CF1093" s="1241"/>
      <c r="CG1093" s="1241"/>
      <c r="CH1093" s="1241"/>
      <c r="CI1093" s="1241"/>
      <c r="CJ1093" s="1241"/>
      <c r="CK1093" s="1241"/>
      <c r="CL1093" s="1241"/>
      <c r="CM1093" s="1241"/>
      <c r="CN1093" s="1241"/>
      <c r="CO1093" s="1241"/>
      <c r="CP1093" s="1241"/>
      <c r="CQ1093" s="1241"/>
      <c r="CR1093" s="1241"/>
      <c r="CS1093" s="1241"/>
      <c r="CT1093" s="1241"/>
      <c r="CU1093" s="1241"/>
      <c r="CV1093" s="1241"/>
      <c r="CW1093" s="1241"/>
      <c r="CX1093" s="1241"/>
      <c r="CY1093" s="1241"/>
      <c r="CZ1093" s="1241"/>
      <c r="DA1093" s="1241"/>
      <c r="DB1093" s="1241"/>
      <c r="DC1093" s="1241"/>
      <c r="DD1093" s="1241"/>
      <c r="DE1093" s="1241"/>
      <c r="DF1093" s="1241"/>
      <c r="DG1093" s="1241"/>
      <c r="DH1093" s="1241"/>
      <c r="DI1093" s="1241"/>
      <c r="DJ1093" s="1241"/>
      <c r="DK1093" s="1241"/>
      <c r="DL1093" s="1241"/>
      <c r="DM1093" s="1241"/>
    </row>
    <row r="1094" spans="1:117" s="1302" customFormat="1">
      <c r="A1094" s="1241"/>
      <c r="B1094" s="1508"/>
      <c r="C1094" s="1241" t="s">
        <v>3867</v>
      </c>
      <c r="D1094" s="1241"/>
      <c r="E1094" s="1509" t="s">
        <v>3925</v>
      </c>
      <c r="F1094" s="1470"/>
      <c r="G1094" s="1471"/>
      <c r="H1094" s="1471">
        <v>60.461413427887919</v>
      </c>
      <c r="I1094" s="1471">
        <v>65.495545724589135</v>
      </c>
      <c r="J1094" s="1471">
        <v>79.96678846598158</v>
      </c>
      <c r="K1094" s="1471">
        <v>97.590336358082681</v>
      </c>
      <c r="L1094" s="1471">
        <v>119.04038615893708</v>
      </c>
      <c r="M1094" s="1471">
        <v>145.13182780462148</v>
      </c>
      <c r="N1094" s="1471">
        <v>176.84860462134145</v>
      </c>
      <c r="O1094" s="1471">
        <v>90.122368336958118</v>
      </c>
      <c r="P1094" s="1241"/>
      <c r="Q1094" s="1241"/>
      <c r="R1094" s="1241"/>
      <c r="S1094" s="1241"/>
      <c r="T1094" s="1241"/>
      <c r="U1094" s="1241"/>
      <c r="V1094" s="1241"/>
      <c r="W1094" s="1241"/>
      <c r="X1094" s="1241"/>
      <c r="Y1094" s="1241"/>
      <c r="Z1094" s="1241"/>
      <c r="AA1094" s="1241"/>
      <c r="AB1094" s="1241"/>
      <c r="AC1094" s="1241"/>
      <c r="AD1094" s="1241"/>
      <c r="AE1094" s="1241"/>
      <c r="AF1094" s="1241"/>
      <c r="AG1094" s="1241"/>
      <c r="AH1094" s="1241"/>
      <c r="AI1094" s="1241"/>
      <c r="AJ1094" s="1241"/>
      <c r="AK1094" s="1241"/>
      <c r="AL1094" s="1241"/>
      <c r="AM1094" s="1241"/>
      <c r="AN1094" s="1241"/>
      <c r="AO1094" s="1241"/>
      <c r="AP1094" s="1241"/>
      <c r="AQ1094" s="1241"/>
      <c r="AR1094" s="1241"/>
      <c r="AS1094" s="1241"/>
      <c r="AT1094" s="1241"/>
      <c r="AU1094" s="1241"/>
      <c r="AV1094" s="1241"/>
      <c r="AW1094" s="1241"/>
      <c r="AX1094" s="1241"/>
      <c r="AY1094" s="1241"/>
      <c r="AZ1094" s="1241"/>
      <c r="BA1094" s="1241"/>
      <c r="BB1094" s="1241"/>
      <c r="BC1094" s="1241"/>
      <c r="BD1094" s="1241"/>
      <c r="BE1094" s="1241"/>
      <c r="BF1094" s="1241"/>
      <c r="BG1094" s="1241"/>
      <c r="BH1094" s="1241"/>
      <c r="BI1094" s="1241"/>
      <c r="BJ1094" s="1241"/>
      <c r="BK1094" s="1241"/>
      <c r="BL1094" s="1241"/>
      <c r="BM1094" s="1241"/>
      <c r="BN1094" s="1241"/>
      <c r="BO1094" s="1241"/>
      <c r="BP1094" s="1241"/>
      <c r="BQ1094" s="1241"/>
      <c r="BR1094" s="1241"/>
      <c r="BS1094" s="1241"/>
      <c r="BT1094" s="1241"/>
      <c r="BU1094" s="1241"/>
      <c r="BV1094" s="1241"/>
      <c r="BW1094" s="1241"/>
      <c r="BX1094" s="1241"/>
      <c r="BY1094" s="1241"/>
      <c r="BZ1094" s="1241"/>
      <c r="CA1094" s="1241"/>
      <c r="CB1094" s="1241"/>
      <c r="CC1094" s="1241"/>
      <c r="CD1094" s="1241"/>
      <c r="CE1094" s="1241"/>
      <c r="CF1094" s="1241"/>
      <c r="CG1094" s="1241"/>
      <c r="CH1094" s="1241"/>
      <c r="CI1094" s="1241"/>
      <c r="CJ1094" s="1241"/>
      <c r="CK1094" s="1241"/>
      <c r="CL1094" s="1241"/>
      <c r="CM1094" s="1241"/>
      <c r="CN1094" s="1241"/>
      <c r="CO1094" s="1241"/>
      <c r="CP1094" s="1241"/>
      <c r="CQ1094" s="1241"/>
      <c r="CR1094" s="1241"/>
      <c r="CS1094" s="1241"/>
      <c r="CT1094" s="1241"/>
      <c r="CU1094" s="1241"/>
      <c r="CV1094" s="1241"/>
      <c r="CW1094" s="1241"/>
      <c r="CX1094" s="1241"/>
      <c r="CY1094" s="1241"/>
      <c r="CZ1094" s="1241"/>
      <c r="DA1094" s="1241"/>
      <c r="DB1094" s="1241"/>
      <c r="DC1094" s="1241"/>
      <c r="DD1094" s="1241"/>
      <c r="DE1094" s="1241"/>
      <c r="DF1094" s="1241"/>
      <c r="DG1094" s="1241"/>
      <c r="DH1094" s="1241"/>
      <c r="DI1094" s="1241"/>
      <c r="DJ1094" s="1241"/>
      <c r="DK1094" s="1241"/>
      <c r="DL1094" s="1241"/>
      <c r="DM1094" s="1241"/>
    </row>
    <row r="1095" spans="1:117" s="1302" customFormat="1">
      <c r="A1095" s="1241"/>
      <c r="B1095" s="1508"/>
      <c r="C1095" s="1241" t="s">
        <v>4284</v>
      </c>
      <c r="D1095" s="1241"/>
      <c r="E1095" s="1509" t="s">
        <v>3925</v>
      </c>
      <c r="F1095" s="1470"/>
      <c r="G1095" s="1471"/>
      <c r="H1095" s="1471">
        <v>0</v>
      </c>
      <c r="I1095" s="1471">
        <v>0</v>
      </c>
      <c r="J1095" s="1471">
        <v>0</v>
      </c>
      <c r="K1095" s="1471">
        <v>0</v>
      </c>
      <c r="L1095" s="1471">
        <v>9.8451562836386328E-2</v>
      </c>
      <c r="M1095" s="1471">
        <v>0.9823070906935305</v>
      </c>
      <c r="N1095" s="1471">
        <v>2.2971175954145937</v>
      </c>
      <c r="O1095" s="1471">
        <v>0</v>
      </c>
      <c r="P1095" s="1241"/>
      <c r="Q1095" s="1241"/>
      <c r="R1095" s="1241"/>
      <c r="S1095" s="1241"/>
      <c r="T1095" s="1241"/>
      <c r="U1095" s="1241"/>
      <c r="V1095" s="1241"/>
      <c r="W1095" s="1241"/>
      <c r="X1095" s="1241"/>
      <c r="Y1095" s="1241"/>
      <c r="Z1095" s="1241"/>
      <c r="AA1095" s="1241"/>
      <c r="AB1095" s="1241"/>
      <c r="AC1095" s="1241"/>
      <c r="AD1095" s="1241"/>
      <c r="AE1095" s="1241"/>
      <c r="AF1095" s="1241"/>
      <c r="AG1095" s="1241"/>
      <c r="AH1095" s="1241"/>
      <c r="AI1095" s="1241"/>
      <c r="AJ1095" s="1241"/>
      <c r="AK1095" s="1241"/>
      <c r="AL1095" s="1241"/>
      <c r="AM1095" s="1241"/>
      <c r="AN1095" s="1241"/>
      <c r="AO1095" s="1241"/>
      <c r="AP1095" s="1241"/>
      <c r="AQ1095" s="1241"/>
      <c r="AR1095" s="1241"/>
      <c r="AS1095" s="1241"/>
      <c r="AT1095" s="1241"/>
      <c r="AU1095" s="1241"/>
      <c r="AV1095" s="1241"/>
      <c r="AW1095" s="1241"/>
      <c r="AX1095" s="1241"/>
      <c r="AY1095" s="1241"/>
      <c r="AZ1095" s="1241"/>
      <c r="BA1095" s="1241"/>
      <c r="BB1095" s="1241"/>
      <c r="BC1095" s="1241"/>
      <c r="BD1095" s="1241"/>
      <c r="BE1095" s="1241"/>
      <c r="BF1095" s="1241"/>
      <c r="BG1095" s="1241"/>
      <c r="BH1095" s="1241"/>
      <c r="BI1095" s="1241"/>
      <c r="BJ1095" s="1241"/>
      <c r="BK1095" s="1241"/>
      <c r="BL1095" s="1241"/>
      <c r="BM1095" s="1241"/>
      <c r="BN1095" s="1241"/>
      <c r="BO1095" s="1241"/>
      <c r="BP1095" s="1241"/>
      <c r="BQ1095" s="1241"/>
      <c r="BR1095" s="1241"/>
      <c r="BS1095" s="1241"/>
      <c r="BT1095" s="1241"/>
      <c r="BU1095" s="1241"/>
      <c r="BV1095" s="1241"/>
      <c r="BW1095" s="1241"/>
      <c r="BX1095" s="1241"/>
      <c r="BY1095" s="1241"/>
      <c r="BZ1095" s="1241"/>
      <c r="CA1095" s="1241"/>
      <c r="CB1095" s="1241"/>
      <c r="CC1095" s="1241"/>
      <c r="CD1095" s="1241"/>
      <c r="CE1095" s="1241"/>
      <c r="CF1095" s="1241"/>
      <c r="CG1095" s="1241"/>
      <c r="CH1095" s="1241"/>
      <c r="CI1095" s="1241"/>
      <c r="CJ1095" s="1241"/>
      <c r="CK1095" s="1241"/>
      <c r="CL1095" s="1241"/>
      <c r="CM1095" s="1241"/>
      <c r="CN1095" s="1241"/>
      <c r="CO1095" s="1241"/>
      <c r="CP1095" s="1241"/>
      <c r="CQ1095" s="1241"/>
      <c r="CR1095" s="1241"/>
      <c r="CS1095" s="1241"/>
      <c r="CT1095" s="1241"/>
      <c r="CU1095" s="1241"/>
      <c r="CV1095" s="1241"/>
      <c r="CW1095" s="1241"/>
      <c r="CX1095" s="1241"/>
      <c r="CY1095" s="1241"/>
      <c r="CZ1095" s="1241"/>
      <c r="DA1095" s="1241"/>
      <c r="DB1095" s="1241"/>
      <c r="DC1095" s="1241"/>
      <c r="DD1095" s="1241"/>
      <c r="DE1095" s="1241"/>
      <c r="DF1095" s="1241"/>
      <c r="DG1095" s="1241"/>
      <c r="DH1095" s="1241"/>
      <c r="DI1095" s="1241"/>
      <c r="DJ1095" s="1241"/>
      <c r="DK1095" s="1241"/>
      <c r="DL1095" s="1241"/>
      <c r="DM1095" s="1241"/>
    </row>
    <row r="1096" spans="1:117" s="1302" customFormat="1">
      <c r="A1096" s="1241"/>
      <c r="B1096" s="1508"/>
      <c r="C1096" s="1241"/>
      <c r="D1096" s="1241"/>
      <c r="E1096" s="1509"/>
      <c r="F1096" s="1470"/>
      <c r="G1096" s="1471"/>
      <c r="H1096" s="1471"/>
      <c r="I1096" s="1471"/>
      <c r="J1096" s="1471"/>
      <c r="K1096" s="1471"/>
      <c r="L1096" s="1471"/>
      <c r="M1096" s="1471"/>
      <c r="N1096" s="1471"/>
      <c r="O1096" s="1470"/>
      <c r="P1096" s="1241"/>
      <c r="Q1096" s="1241"/>
      <c r="R1096" s="1241"/>
      <c r="S1096" s="1241"/>
      <c r="T1096" s="1241"/>
      <c r="U1096" s="1241"/>
      <c r="V1096" s="1241"/>
      <c r="W1096" s="1241"/>
      <c r="X1096" s="1241"/>
      <c r="Y1096" s="1241"/>
      <c r="Z1096" s="1241"/>
      <c r="AA1096" s="1241"/>
      <c r="AB1096" s="1241"/>
      <c r="AC1096" s="1241"/>
      <c r="AD1096" s="1241"/>
      <c r="AE1096" s="1241"/>
      <c r="AF1096" s="1241"/>
      <c r="AG1096" s="1241"/>
      <c r="AH1096" s="1241"/>
      <c r="AI1096" s="1241"/>
      <c r="AJ1096" s="1241"/>
      <c r="AK1096" s="1241"/>
      <c r="AL1096" s="1241"/>
      <c r="AM1096" s="1241"/>
      <c r="AN1096" s="1241"/>
      <c r="AO1096" s="1241"/>
      <c r="AP1096" s="1241"/>
      <c r="AQ1096" s="1241"/>
      <c r="AR1096" s="1241"/>
      <c r="AS1096" s="1241"/>
      <c r="AT1096" s="1241"/>
      <c r="AU1096" s="1241"/>
      <c r="AV1096" s="1241"/>
      <c r="AW1096" s="1241"/>
      <c r="AX1096" s="1241"/>
      <c r="AY1096" s="1241"/>
      <c r="AZ1096" s="1241"/>
      <c r="BA1096" s="1241"/>
      <c r="BB1096" s="1241"/>
      <c r="BC1096" s="1241"/>
      <c r="BD1096" s="1241"/>
      <c r="BE1096" s="1241"/>
      <c r="BF1096" s="1241"/>
      <c r="BG1096" s="1241"/>
      <c r="BH1096" s="1241"/>
      <c r="BI1096" s="1241"/>
      <c r="BJ1096" s="1241"/>
      <c r="BK1096" s="1241"/>
      <c r="BL1096" s="1241"/>
      <c r="BM1096" s="1241"/>
      <c r="BN1096" s="1241"/>
      <c r="BO1096" s="1241"/>
      <c r="BP1096" s="1241"/>
      <c r="BQ1096" s="1241"/>
      <c r="BR1096" s="1241"/>
      <c r="BS1096" s="1241"/>
      <c r="BT1096" s="1241"/>
      <c r="BU1096" s="1241"/>
      <c r="BV1096" s="1241"/>
      <c r="BW1096" s="1241"/>
      <c r="BX1096" s="1241"/>
      <c r="BY1096" s="1241"/>
      <c r="BZ1096" s="1241"/>
      <c r="CA1096" s="1241"/>
      <c r="CB1096" s="1241"/>
      <c r="CC1096" s="1241"/>
      <c r="CD1096" s="1241"/>
      <c r="CE1096" s="1241"/>
      <c r="CF1096" s="1241"/>
      <c r="CG1096" s="1241"/>
      <c r="CH1096" s="1241"/>
      <c r="CI1096" s="1241"/>
      <c r="CJ1096" s="1241"/>
      <c r="CK1096" s="1241"/>
      <c r="CL1096" s="1241"/>
      <c r="CM1096" s="1241"/>
      <c r="CN1096" s="1241"/>
      <c r="CO1096" s="1241"/>
      <c r="CP1096" s="1241"/>
      <c r="CQ1096" s="1241"/>
      <c r="CR1096" s="1241"/>
      <c r="CS1096" s="1241"/>
      <c r="CT1096" s="1241"/>
      <c r="CU1096" s="1241"/>
      <c r="CV1096" s="1241"/>
      <c r="CW1096" s="1241"/>
      <c r="CX1096" s="1241"/>
      <c r="CY1096" s="1241"/>
      <c r="CZ1096" s="1241"/>
      <c r="DA1096" s="1241"/>
      <c r="DB1096" s="1241"/>
      <c r="DC1096" s="1241"/>
      <c r="DD1096" s="1241"/>
      <c r="DE1096" s="1241"/>
      <c r="DF1096" s="1241"/>
      <c r="DG1096" s="1241"/>
      <c r="DH1096" s="1241"/>
      <c r="DI1096" s="1241"/>
      <c r="DJ1096" s="1241"/>
      <c r="DK1096" s="1241"/>
      <c r="DL1096" s="1241"/>
      <c r="DM1096" s="1241"/>
    </row>
    <row r="1097" spans="1:117" s="1302" customFormat="1" ht="16">
      <c r="A1097" s="1459" t="s">
        <v>4106</v>
      </c>
      <c r="B1097" s="1508"/>
      <c r="C1097" s="1241" t="s">
        <v>122</v>
      </c>
      <c r="D1097" s="1243"/>
      <c r="E1097" s="1242" t="s">
        <v>4680</v>
      </c>
      <c r="F1097" s="1470"/>
      <c r="G1097" s="1471"/>
      <c r="H1097" s="1471">
        <v>426.12316920382733</v>
      </c>
      <c r="I1097" s="1471">
        <v>455.64616847862942</v>
      </c>
      <c r="J1097" s="1471">
        <v>563.06275576948087</v>
      </c>
      <c r="K1097" s="1471">
        <v>695.74259335950228</v>
      </c>
      <c r="L1097" s="1471">
        <v>858.07398258085254</v>
      </c>
      <c r="M1097" s="1471">
        <v>1046.6386523791782</v>
      </c>
      <c r="N1097" s="1471">
        <v>1275.9948400040857</v>
      </c>
      <c r="O1097" s="1471">
        <v>639.28776781148269</v>
      </c>
      <c r="P1097" s="1241"/>
      <c r="Q1097" s="1241"/>
      <c r="R1097" s="1241"/>
      <c r="S1097" s="1241"/>
      <c r="T1097" s="1241"/>
      <c r="U1097" s="1241"/>
      <c r="V1097" s="1241"/>
      <c r="W1097" s="1241"/>
      <c r="X1097" s="1241"/>
      <c r="Y1097" s="1241"/>
      <c r="Z1097" s="1241"/>
      <c r="AA1097" s="1241"/>
      <c r="AB1097" s="1241"/>
      <c r="AC1097" s="1241"/>
      <c r="AD1097" s="1241"/>
      <c r="AE1097" s="1241"/>
      <c r="AF1097" s="1241"/>
      <c r="AG1097" s="1241"/>
      <c r="AH1097" s="1241"/>
      <c r="AI1097" s="1241"/>
      <c r="AJ1097" s="1241"/>
      <c r="AK1097" s="1241"/>
      <c r="AL1097" s="1241"/>
      <c r="AM1097" s="1241"/>
      <c r="AN1097" s="1241"/>
      <c r="AO1097" s="1241"/>
      <c r="AP1097" s="1241"/>
      <c r="AQ1097" s="1241"/>
      <c r="AR1097" s="1241"/>
      <c r="AS1097" s="1241"/>
      <c r="AT1097" s="1241"/>
      <c r="AU1097" s="1241"/>
      <c r="AV1097" s="1241"/>
      <c r="AW1097" s="1241"/>
      <c r="AX1097" s="1241"/>
      <c r="AY1097" s="1241"/>
      <c r="AZ1097" s="1241"/>
      <c r="BA1097" s="1241"/>
      <c r="BB1097" s="1241"/>
      <c r="BC1097" s="1241"/>
      <c r="BD1097" s="1241"/>
      <c r="BE1097" s="1241"/>
      <c r="BF1097" s="1241"/>
      <c r="BG1097" s="1241"/>
      <c r="BH1097" s="1241"/>
      <c r="BI1097" s="1241"/>
      <c r="BJ1097" s="1241"/>
      <c r="BK1097" s="1241"/>
      <c r="BL1097" s="1241"/>
      <c r="BM1097" s="1241"/>
      <c r="BN1097" s="1241"/>
      <c r="BO1097" s="1241"/>
      <c r="BP1097" s="1241"/>
      <c r="BQ1097" s="1241"/>
      <c r="BR1097" s="1241"/>
      <c r="BS1097" s="1241"/>
      <c r="BT1097" s="1241"/>
      <c r="BU1097" s="1241"/>
      <c r="BV1097" s="1241"/>
      <c r="BW1097" s="1241"/>
      <c r="BX1097" s="1241"/>
      <c r="BY1097" s="1241"/>
      <c r="BZ1097" s="1241"/>
      <c r="CA1097" s="1241"/>
      <c r="CB1097" s="1241"/>
      <c r="CC1097" s="1241"/>
      <c r="CD1097" s="1241"/>
      <c r="CE1097" s="1241"/>
      <c r="CF1097" s="1241"/>
      <c r="CG1097" s="1241"/>
      <c r="CH1097" s="1241"/>
      <c r="CI1097" s="1241"/>
      <c r="CJ1097" s="1241"/>
      <c r="CK1097" s="1241"/>
      <c r="CL1097" s="1241"/>
      <c r="CM1097" s="1241"/>
      <c r="CN1097" s="1241"/>
      <c r="CO1097" s="1241"/>
      <c r="CP1097" s="1241"/>
      <c r="CQ1097" s="1241"/>
      <c r="CR1097" s="1241"/>
      <c r="CS1097" s="1241"/>
      <c r="CT1097" s="1241"/>
      <c r="CU1097" s="1241"/>
      <c r="CV1097" s="1241"/>
      <c r="CW1097" s="1241"/>
      <c r="CX1097" s="1241"/>
      <c r="CY1097" s="1241"/>
      <c r="CZ1097" s="1241"/>
      <c r="DA1097" s="1241"/>
      <c r="DB1097" s="1241"/>
      <c r="DC1097" s="1241"/>
      <c r="DD1097" s="1241"/>
      <c r="DE1097" s="1241"/>
      <c r="DF1097" s="1241"/>
      <c r="DG1097" s="1241"/>
      <c r="DH1097" s="1241"/>
      <c r="DI1097" s="1241"/>
      <c r="DJ1097" s="1241"/>
      <c r="DK1097" s="1241"/>
      <c r="DL1097" s="1241"/>
      <c r="DM1097" s="1241"/>
    </row>
    <row r="1098" spans="1:117" s="1302" customFormat="1" ht="16">
      <c r="A1098" s="1459"/>
      <c r="B1098" s="1459"/>
      <c r="C1098" s="1241" t="s">
        <v>4297</v>
      </c>
      <c r="D1098" s="1243"/>
      <c r="E1098" s="1242" t="s">
        <v>4680</v>
      </c>
      <c r="F1098" s="1470"/>
      <c r="G1098" s="1471"/>
      <c r="H1098" s="1471">
        <v>0.48609579559650934</v>
      </c>
      <c r="I1098" s="1471">
        <v>0.54269880290752048</v>
      </c>
      <c r="J1098" s="1471">
        <v>0.678685012363617</v>
      </c>
      <c r="K1098" s="1471">
        <v>0.84873963716516976</v>
      </c>
      <c r="L1098" s="1471">
        <v>1.0613962746230527</v>
      </c>
      <c r="M1098" s="1471">
        <v>1.3273256843684844</v>
      </c>
      <c r="N1098" s="1471">
        <v>1.6598709314786402</v>
      </c>
      <c r="O1098" s="1471">
        <v>0.77612625204859187</v>
      </c>
      <c r="P1098" s="1241"/>
      <c r="Q1098" s="1241"/>
      <c r="R1098" s="1241"/>
      <c r="S1098" s="1241"/>
      <c r="T1098" s="1241"/>
      <c r="U1098" s="1241"/>
      <c r="V1098" s="1241"/>
      <c r="W1098" s="1241"/>
      <c r="X1098" s="1241"/>
      <c r="Y1098" s="1241"/>
      <c r="Z1098" s="1241"/>
      <c r="AA1098" s="1241"/>
      <c r="AB1098" s="1241"/>
      <c r="AC1098" s="1241"/>
      <c r="AD1098" s="1241"/>
      <c r="AE1098" s="1241"/>
      <c r="AF1098" s="1241"/>
      <c r="AG1098" s="1241"/>
      <c r="AH1098" s="1241"/>
      <c r="AI1098" s="1241"/>
      <c r="AJ1098" s="1241"/>
      <c r="AK1098" s="1241"/>
      <c r="AL1098" s="1241"/>
      <c r="AM1098" s="1241"/>
      <c r="AN1098" s="1241"/>
      <c r="AO1098" s="1241"/>
      <c r="AP1098" s="1241"/>
      <c r="AQ1098" s="1241"/>
      <c r="AR1098" s="1241"/>
      <c r="AS1098" s="1241"/>
      <c r="AT1098" s="1241"/>
      <c r="AU1098" s="1241"/>
      <c r="AV1098" s="1241"/>
      <c r="AW1098" s="1241"/>
      <c r="AX1098" s="1241"/>
      <c r="AY1098" s="1241"/>
      <c r="AZ1098" s="1241"/>
      <c r="BA1098" s="1241"/>
      <c r="BB1098" s="1241"/>
      <c r="BC1098" s="1241"/>
      <c r="BD1098" s="1241"/>
      <c r="BE1098" s="1241"/>
      <c r="BF1098" s="1241"/>
      <c r="BG1098" s="1241"/>
      <c r="BH1098" s="1241"/>
      <c r="BI1098" s="1241"/>
      <c r="BJ1098" s="1241"/>
      <c r="BK1098" s="1241"/>
      <c r="BL1098" s="1241"/>
      <c r="BM1098" s="1241"/>
      <c r="BN1098" s="1241"/>
      <c r="BO1098" s="1241"/>
      <c r="BP1098" s="1241"/>
      <c r="BQ1098" s="1241"/>
      <c r="BR1098" s="1241"/>
      <c r="BS1098" s="1241"/>
      <c r="BT1098" s="1241"/>
      <c r="BU1098" s="1241"/>
      <c r="BV1098" s="1241"/>
      <c r="BW1098" s="1241"/>
      <c r="BX1098" s="1241"/>
      <c r="BY1098" s="1241"/>
      <c r="BZ1098" s="1241"/>
      <c r="CA1098" s="1241"/>
      <c r="CB1098" s="1241"/>
      <c r="CC1098" s="1241"/>
      <c r="CD1098" s="1241"/>
      <c r="CE1098" s="1241"/>
      <c r="CF1098" s="1241"/>
      <c r="CG1098" s="1241"/>
      <c r="CH1098" s="1241"/>
      <c r="CI1098" s="1241"/>
      <c r="CJ1098" s="1241"/>
      <c r="CK1098" s="1241"/>
      <c r="CL1098" s="1241"/>
      <c r="CM1098" s="1241"/>
      <c r="CN1098" s="1241"/>
      <c r="CO1098" s="1241"/>
      <c r="CP1098" s="1241"/>
      <c r="CQ1098" s="1241"/>
      <c r="CR1098" s="1241"/>
      <c r="CS1098" s="1241"/>
      <c r="CT1098" s="1241"/>
      <c r="CU1098" s="1241"/>
      <c r="CV1098" s="1241"/>
      <c r="CW1098" s="1241"/>
      <c r="CX1098" s="1241"/>
      <c r="CY1098" s="1241"/>
      <c r="CZ1098" s="1241"/>
      <c r="DA1098" s="1241"/>
      <c r="DB1098" s="1241"/>
      <c r="DC1098" s="1241"/>
      <c r="DD1098" s="1241"/>
      <c r="DE1098" s="1241"/>
      <c r="DF1098" s="1241"/>
      <c r="DG1098" s="1241"/>
      <c r="DH1098" s="1241"/>
      <c r="DI1098" s="1241"/>
      <c r="DJ1098" s="1241"/>
      <c r="DK1098" s="1241"/>
      <c r="DL1098" s="1241"/>
      <c r="DM1098" s="1241"/>
    </row>
    <row r="1099" spans="1:117" s="1302" customFormat="1" ht="16">
      <c r="A1099" s="1241"/>
      <c r="B1099" s="1508"/>
      <c r="C1099" s="1241" t="s">
        <v>4298</v>
      </c>
      <c r="D1099" s="1243"/>
      <c r="E1099" s="1242" t="s">
        <v>4680</v>
      </c>
      <c r="F1099" s="1470"/>
      <c r="G1099" s="1471"/>
      <c r="H1099" s="1471">
        <v>1.3297524101619793</v>
      </c>
      <c r="I1099" s="1471">
        <v>1.4471123060235094</v>
      </c>
      <c r="J1099" s="1471">
        <v>1.7813447043047568</v>
      </c>
      <c r="K1099" s="1471">
        <v>2.1923918852717033</v>
      </c>
      <c r="L1099" s="1471">
        <v>2.697806905086229</v>
      </c>
      <c r="M1099" s="1471">
        <v>3.3191270771730719</v>
      </c>
      <c r="N1099" s="1471">
        <v>4.0827711625667824</v>
      </c>
      <c r="O1099" s="1471">
        <v>2.017712515919265</v>
      </c>
      <c r="P1099" s="1241"/>
      <c r="Q1099" s="1241"/>
      <c r="R1099" s="1241"/>
      <c r="S1099" s="1241"/>
      <c r="T1099" s="1241"/>
      <c r="U1099" s="1241"/>
      <c r="V1099" s="1241"/>
      <c r="W1099" s="1241"/>
      <c r="X1099" s="1241"/>
      <c r="Y1099" s="1241"/>
      <c r="Z1099" s="1241"/>
      <c r="AA1099" s="1241"/>
      <c r="AB1099" s="1241"/>
      <c r="AC1099" s="1241"/>
      <c r="AD1099" s="1241"/>
      <c r="AE1099" s="1241"/>
      <c r="AF1099" s="1241"/>
      <c r="AG1099" s="1241"/>
      <c r="AH1099" s="1241"/>
      <c r="AI1099" s="1241"/>
      <c r="AJ1099" s="1241"/>
      <c r="AK1099" s="1241"/>
      <c r="AL1099" s="1241"/>
      <c r="AM1099" s="1241"/>
      <c r="AN1099" s="1241"/>
      <c r="AO1099" s="1241"/>
      <c r="AP1099" s="1241"/>
      <c r="AQ1099" s="1241"/>
      <c r="AR1099" s="1241"/>
      <c r="AS1099" s="1241"/>
      <c r="AT1099" s="1241"/>
      <c r="AU1099" s="1241"/>
      <c r="AV1099" s="1241"/>
      <c r="AW1099" s="1241"/>
      <c r="AX1099" s="1241"/>
      <c r="AY1099" s="1241"/>
      <c r="AZ1099" s="1241"/>
      <c r="BA1099" s="1241"/>
      <c r="BB1099" s="1241"/>
      <c r="BC1099" s="1241"/>
      <c r="BD1099" s="1241"/>
      <c r="BE1099" s="1241"/>
      <c r="BF1099" s="1241"/>
      <c r="BG1099" s="1241"/>
      <c r="BH1099" s="1241"/>
      <c r="BI1099" s="1241"/>
      <c r="BJ1099" s="1241"/>
      <c r="BK1099" s="1241"/>
      <c r="BL1099" s="1241"/>
      <c r="BM1099" s="1241"/>
      <c r="BN1099" s="1241"/>
      <c r="BO1099" s="1241"/>
      <c r="BP1099" s="1241"/>
      <c r="BQ1099" s="1241"/>
      <c r="BR1099" s="1241"/>
      <c r="BS1099" s="1241"/>
      <c r="BT1099" s="1241"/>
      <c r="BU1099" s="1241"/>
      <c r="BV1099" s="1241"/>
      <c r="BW1099" s="1241"/>
      <c r="BX1099" s="1241"/>
      <c r="BY1099" s="1241"/>
      <c r="BZ1099" s="1241"/>
      <c r="CA1099" s="1241"/>
      <c r="CB1099" s="1241"/>
      <c r="CC1099" s="1241"/>
      <c r="CD1099" s="1241"/>
      <c r="CE1099" s="1241"/>
      <c r="CF1099" s="1241"/>
      <c r="CG1099" s="1241"/>
      <c r="CH1099" s="1241"/>
      <c r="CI1099" s="1241"/>
      <c r="CJ1099" s="1241"/>
      <c r="CK1099" s="1241"/>
      <c r="CL1099" s="1241"/>
      <c r="CM1099" s="1241"/>
      <c r="CN1099" s="1241"/>
      <c r="CO1099" s="1241"/>
      <c r="CP1099" s="1241"/>
      <c r="CQ1099" s="1241"/>
      <c r="CR1099" s="1241"/>
      <c r="CS1099" s="1241"/>
      <c r="CT1099" s="1241"/>
      <c r="CU1099" s="1241"/>
      <c r="CV1099" s="1241"/>
      <c r="CW1099" s="1241"/>
      <c r="CX1099" s="1241"/>
      <c r="CY1099" s="1241"/>
      <c r="CZ1099" s="1241"/>
      <c r="DA1099" s="1241"/>
      <c r="DB1099" s="1241"/>
      <c r="DC1099" s="1241"/>
      <c r="DD1099" s="1241"/>
      <c r="DE1099" s="1241"/>
      <c r="DF1099" s="1241"/>
      <c r="DG1099" s="1241"/>
      <c r="DH1099" s="1241"/>
      <c r="DI1099" s="1241"/>
      <c r="DJ1099" s="1241"/>
      <c r="DK1099" s="1241"/>
      <c r="DL1099" s="1241"/>
      <c r="DM1099" s="1241"/>
    </row>
    <row r="1100" spans="1:117" s="1302" customFormat="1">
      <c r="A1100" s="1241"/>
      <c r="B1100" s="1508"/>
      <c r="C1100" s="1241"/>
      <c r="D1100" s="1241"/>
      <c r="E1100" s="1508"/>
      <c r="F1100" s="1542"/>
      <c r="G1100" s="1471"/>
      <c r="H1100" s="1471"/>
      <c r="I1100" s="1471"/>
      <c r="J1100" s="1471"/>
      <c r="K1100" s="1471"/>
      <c r="L1100" s="1471"/>
      <c r="M1100" s="1471"/>
      <c r="N1100" s="1471"/>
      <c r="O1100" s="1542"/>
      <c r="P1100" s="1241"/>
      <c r="Q1100" s="1241"/>
      <c r="R1100" s="1241"/>
      <c r="S1100" s="1241"/>
      <c r="T1100" s="1241"/>
      <c r="U1100" s="1241"/>
      <c r="V1100" s="1241"/>
      <c r="W1100" s="1241"/>
      <c r="X1100" s="1241"/>
      <c r="Y1100" s="1241"/>
      <c r="Z1100" s="1241"/>
      <c r="AA1100" s="1241"/>
      <c r="AB1100" s="1241"/>
      <c r="AC1100" s="1241"/>
      <c r="AD1100" s="1241"/>
      <c r="AE1100" s="1241"/>
      <c r="AF1100" s="1241"/>
      <c r="AG1100" s="1241"/>
      <c r="AH1100" s="1241"/>
      <c r="AI1100" s="1241"/>
      <c r="AJ1100" s="1241"/>
      <c r="AK1100" s="1241"/>
      <c r="AL1100" s="1241"/>
      <c r="AM1100" s="1241"/>
      <c r="AN1100" s="1241"/>
      <c r="AO1100" s="1241"/>
      <c r="AP1100" s="1241"/>
      <c r="AQ1100" s="1241"/>
      <c r="AR1100" s="1241"/>
      <c r="AS1100" s="1241"/>
      <c r="AT1100" s="1241"/>
      <c r="AU1100" s="1241"/>
      <c r="AV1100" s="1241"/>
      <c r="AW1100" s="1241"/>
      <c r="AX1100" s="1241"/>
      <c r="AY1100" s="1241"/>
      <c r="AZ1100" s="1241"/>
      <c r="BA1100" s="1241"/>
      <c r="BB1100" s="1241"/>
      <c r="BC1100" s="1241"/>
      <c r="BD1100" s="1241"/>
      <c r="BE1100" s="1241"/>
      <c r="BF1100" s="1241"/>
      <c r="BG1100" s="1241"/>
      <c r="BH1100" s="1241"/>
      <c r="BI1100" s="1241"/>
      <c r="BJ1100" s="1241"/>
      <c r="BK1100" s="1241"/>
      <c r="BL1100" s="1241"/>
      <c r="BM1100" s="1241"/>
      <c r="BN1100" s="1241"/>
      <c r="BO1100" s="1241"/>
      <c r="BP1100" s="1241"/>
      <c r="BQ1100" s="1241"/>
      <c r="BR1100" s="1241"/>
      <c r="BS1100" s="1241"/>
      <c r="BT1100" s="1241"/>
      <c r="BU1100" s="1241"/>
      <c r="BV1100" s="1241"/>
      <c r="BW1100" s="1241"/>
      <c r="BX1100" s="1241"/>
      <c r="BY1100" s="1241"/>
      <c r="BZ1100" s="1241"/>
      <c r="CA1100" s="1241"/>
      <c r="CB1100" s="1241"/>
      <c r="CC1100" s="1241"/>
      <c r="CD1100" s="1241"/>
      <c r="CE1100" s="1241"/>
      <c r="CF1100" s="1241"/>
      <c r="CG1100" s="1241"/>
      <c r="CH1100" s="1241"/>
      <c r="CI1100" s="1241"/>
      <c r="CJ1100" s="1241"/>
      <c r="CK1100" s="1241"/>
      <c r="CL1100" s="1241"/>
      <c r="CM1100" s="1241"/>
      <c r="CN1100" s="1241"/>
      <c r="CO1100" s="1241"/>
      <c r="CP1100" s="1241"/>
      <c r="CQ1100" s="1241"/>
      <c r="CR1100" s="1241"/>
      <c r="CS1100" s="1241"/>
      <c r="CT1100" s="1241"/>
      <c r="CU1100" s="1241"/>
      <c r="CV1100" s="1241"/>
      <c r="CW1100" s="1241"/>
      <c r="CX1100" s="1241"/>
      <c r="CY1100" s="1241"/>
      <c r="CZ1100" s="1241"/>
      <c r="DA1100" s="1241"/>
      <c r="DB1100" s="1241"/>
      <c r="DC1100" s="1241"/>
      <c r="DD1100" s="1241"/>
      <c r="DE1100" s="1241"/>
      <c r="DF1100" s="1241"/>
      <c r="DG1100" s="1241"/>
      <c r="DH1100" s="1241"/>
      <c r="DI1100" s="1241"/>
      <c r="DJ1100" s="1241"/>
      <c r="DK1100" s="1241"/>
      <c r="DL1100" s="1241"/>
      <c r="DM1100" s="1241"/>
    </row>
    <row r="1101" spans="1:117" s="1302" customFormat="1" ht="16">
      <c r="A1101" s="1243"/>
      <c r="B1101" s="1520" t="s">
        <v>4360</v>
      </c>
      <c r="C1101" s="1520"/>
      <c r="D1101" s="1521"/>
      <c r="E1101" s="1242" t="s">
        <v>4684</v>
      </c>
      <c r="F1101" s="1522"/>
      <c r="G1101" s="1489" t="s">
        <v>3878</v>
      </c>
      <c r="H1101" s="1582">
        <v>3.0540110117752168E-2</v>
      </c>
      <c r="I1101" s="1582">
        <v>2.8713567566474536E-2</v>
      </c>
      <c r="J1101" s="1582">
        <v>2.5716555762916878E-2</v>
      </c>
      <c r="K1101" s="1582">
        <v>2.3030383905040346E-2</v>
      </c>
      <c r="L1101" s="1582">
        <v>2.0586253204540727E-2</v>
      </c>
      <c r="M1101" s="1582">
        <v>1.8199954803029855E-2</v>
      </c>
      <c r="N1101" s="1582">
        <v>1.6082167605425624E-2</v>
      </c>
      <c r="O1101" s="1582">
        <v>2.4069681563401897E-2</v>
      </c>
      <c r="P1101" s="1241"/>
      <c r="Q1101" s="1241"/>
      <c r="R1101" s="1241"/>
      <c r="S1101" s="1241"/>
      <c r="T1101" s="1241"/>
      <c r="U1101" s="1241"/>
      <c r="V1101" s="1241"/>
      <c r="W1101" s="1241"/>
      <c r="X1101" s="1241"/>
      <c r="Y1101" s="1241"/>
      <c r="Z1101" s="1241"/>
      <c r="AA1101" s="1241"/>
      <c r="AB1101" s="1241"/>
      <c r="AC1101" s="1241"/>
      <c r="AD1101" s="1241"/>
      <c r="AE1101" s="1241"/>
      <c r="AF1101" s="1241"/>
      <c r="AG1101" s="1241"/>
      <c r="AH1101" s="1241"/>
      <c r="AI1101" s="1241"/>
      <c r="AJ1101" s="1241"/>
      <c r="AK1101" s="1241"/>
      <c r="AL1101" s="1241"/>
      <c r="AM1101" s="1241"/>
      <c r="AN1101" s="1241"/>
      <c r="AO1101" s="1241"/>
      <c r="AP1101" s="1241"/>
      <c r="AQ1101" s="1241"/>
      <c r="AR1101" s="1241"/>
      <c r="AS1101" s="1241"/>
      <c r="AT1101" s="1241"/>
      <c r="AU1101" s="1241"/>
      <c r="AV1101" s="1241"/>
      <c r="AW1101" s="1241"/>
      <c r="AX1101" s="1241"/>
      <c r="AY1101" s="1241"/>
      <c r="AZ1101" s="1241"/>
      <c r="BA1101" s="1241"/>
      <c r="BB1101" s="1241"/>
      <c r="BC1101" s="1241"/>
      <c r="BD1101" s="1241"/>
      <c r="BE1101" s="1241"/>
      <c r="BF1101" s="1241"/>
      <c r="BG1101" s="1241"/>
      <c r="BH1101" s="1241"/>
      <c r="BI1101" s="1241"/>
      <c r="BJ1101" s="1241"/>
      <c r="BK1101" s="1241"/>
      <c r="BL1101" s="1241"/>
      <c r="BM1101" s="1241"/>
      <c r="BN1101" s="1241"/>
      <c r="BO1101" s="1241"/>
      <c r="BP1101" s="1241"/>
      <c r="BQ1101" s="1241"/>
      <c r="BR1101" s="1241"/>
      <c r="BS1101" s="1241"/>
      <c r="BT1101" s="1241"/>
      <c r="BU1101" s="1241"/>
      <c r="BV1101" s="1241"/>
      <c r="BW1101" s="1241"/>
      <c r="BX1101" s="1241"/>
      <c r="BY1101" s="1241"/>
      <c r="BZ1101" s="1241"/>
      <c r="CA1101" s="1241"/>
      <c r="CB1101" s="1241"/>
      <c r="CC1101" s="1241"/>
      <c r="CD1101" s="1241"/>
      <c r="CE1101" s="1241"/>
      <c r="CF1101" s="1241"/>
      <c r="CG1101" s="1241"/>
      <c r="CH1101" s="1241"/>
      <c r="CI1101" s="1241"/>
      <c r="CJ1101" s="1241"/>
      <c r="CK1101" s="1241"/>
      <c r="CL1101" s="1241"/>
      <c r="CM1101" s="1241"/>
      <c r="CN1101" s="1241"/>
      <c r="CO1101" s="1241"/>
      <c r="CP1101" s="1241"/>
      <c r="CQ1101" s="1241"/>
      <c r="CR1101" s="1241"/>
      <c r="CS1101" s="1241"/>
      <c r="CT1101" s="1241"/>
      <c r="CU1101" s="1241"/>
      <c r="CV1101" s="1241"/>
      <c r="CW1101" s="1241"/>
      <c r="CX1101" s="1241"/>
      <c r="CY1101" s="1241"/>
      <c r="CZ1101" s="1241"/>
      <c r="DA1101" s="1241"/>
      <c r="DB1101" s="1241"/>
      <c r="DC1101" s="1241"/>
      <c r="DD1101" s="1241"/>
      <c r="DE1101" s="1241"/>
      <c r="DF1101" s="1241"/>
      <c r="DG1101" s="1241"/>
      <c r="DH1101" s="1241"/>
      <c r="DI1101" s="1241"/>
      <c r="DJ1101" s="1241"/>
      <c r="DK1101" s="1241"/>
      <c r="DL1101" s="1241"/>
      <c r="DM1101" s="1241"/>
    </row>
    <row r="1102" spans="1:117" s="1302" customFormat="1">
      <c r="A1102" s="1241"/>
      <c r="B1102" s="1508"/>
      <c r="C1102" s="1241"/>
      <c r="D1102" s="1241"/>
      <c r="E1102" s="1508"/>
      <c r="F1102" s="1589"/>
      <c r="G1102" s="1590"/>
      <c r="H1102" s="1590"/>
      <c r="I1102" s="1590"/>
      <c r="J1102" s="1590"/>
      <c r="K1102" s="1590"/>
      <c r="L1102" s="1590"/>
      <c r="M1102" s="1590"/>
      <c r="N1102" s="1590"/>
      <c r="O1102" s="1591"/>
      <c r="P1102" s="1241"/>
      <c r="Q1102" s="1241"/>
      <c r="R1102" s="1241"/>
      <c r="S1102" s="1241"/>
      <c r="T1102" s="1241"/>
      <c r="U1102" s="1241"/>
      <c r="V1102" s="1241"/>
      <c r="W1102" s="1241"/>
      <c r="X1102" s="1241"/>
      <c r="Y1102" s="1241"/>
      <c r="Z1102" s="1241"/>
      <c r="AA1102" s="1241"/>
      <c r="AB1102" s="1241"/>
      <c r="AC1102" s="1241"/>
      <c r="AD1102" s="1241"/>
      <c r="AE1102" s="1241"/>
      <c r="AF1102" s="1241"/>
      <c r="AG1102" s="1241"/>
      <c r="AH1102" s="1241"/>
      <c r="AI1102" s="1241"/>
      <c r="AJ1102" s="1241"/>
      <c r="AK1102" s="1241"/>
      <c r="AL1102" s="1241"/>
      <c r="AM1102" s="1241"/>
      <c r="AN1102" s="1241"/>
      <c r="AO1102" s="1241"/>
      <c r="AP1102" s="1241"/>
      <c r="AQ1102" s="1241"/>
      <c r="AR1102" s="1241"/>
      <c r="AS1102" s="1241"/>
      <c r="AT1102" s="1241"/>
      <c r="AU1102" s="1241"/>
      <c r="AV1102" s="1241"/>
      <c r="AW1102" s="1241"/>
      <c r="AX1102" s="1241"/>
      <c r="AY1102" s="1241"/>
      <c r="AZ1102" s="1241"/>
      <c r="BA1102" s="1241"/>
      <c r="BB1102" s="1241"/>
      <c r="BC1102" s="1241"/>
      <c r="BD1102" s="1241"/>
      <c r="BE1102" s="1241"/>
      <c r="BF1102" s="1241"/>
      <c r="BG1102" s="1241"/>
      <c r="BH1102" s="1241"/>
      <c r="BI1102" s="1241"/>
      <c r="BJ1102" s="1241"/>
      <c r="BK1102" s="1241"/>
      <c r="BL1102" s="1241"/>
      <c r="BM1102" s="1241"/>
      <c r="BN1102" s="1241"/>
      <c r="BO1102" s="1241"/>
      <c r="BP1102" s="1241"/>
      <c r="BQ1102" s="1241"/>
      <c r="BR1102" s="1241"/>
      <c r="BS1102" s="1241"/>
      <c r="BT1102" s="1241"/>
      <c r="BU1102" s="1241"/>
      <c r="BV1102" s="1241"/>
      <c r="BW1102" s="1241"/>
      <c r="BX1102" s="1241"/>
      <c r="BY1102" s="1241"/>
      <c r="BZ1102" s="1241"/>
      <c r="CA1102" s="1241"/>
      <c r="CB1102" s="1241"/>
      <c r="CC1102" s="1241"/>
      <c r="CD1102" s="1241"/>
      <c r="CE1102" s="1241"/>
      <c r="CF1102" s="1241"/>
      <c r="CG1102" s="1241"/>
      <c r="CH1102" s="1241"/>
      <c r="CI1102" s="1241"/>
      <c r="CJ1102" s="1241"/>
      <c r="CK1102" s="1241"/>
      <c r="CL1102" s="1241"/>
      <c r="CM1102" s="1241"/>
      <c r="CN1102" s="1241"/>
      <c r="CO1102" s="1241"/>
      <c r="CP1102" s="1241"/>
      <c r="CQ1102" s="1241"/>
      <c r="CR1102" s="1241"/>
      <c r="CS1102" s="1241"/>
      <c r="CT1102" s="1241"/>
      <c r="CU1102" s="1241"/>
      <c r="CV1102" s="1241"/>
      <c r="CW1102" s="1241"/>
      <c r="CX1102" s="1241"/>
      <c r="CY1102" s="1241"/>
      <c r="CZ1102" s="1241"/>
      <c r="DA1102" s="1241"/>
      <c r="DB1102" s="1241"/>
      <c r="DC1102" s="1241"/>
      <c r="DD1102" s="1241"/>
      <c r="DE1102" s="1241"/>
      <c r="DF1102" s="1241"/>
      <c r="DG1102" s="1241"/>
      <c r="DH1102" s="1241"/>
      <c r="DI1102" s="1241"/>
      <c r="DJ1102" s="1241"/>
      <c r="DK1102" s="1241"/>
      <c r="DL1102" s="1241"/>
      <c r="DM1102" s="1241"/>
    </row>
    <row r="1103" spans="1:117" s="1302" customFormat="1">
      <c r="A1103" s="1241"/>
      <c r="B1103" s="1241"/>
      <c r="C1103" s="1241"/>
      <c r="D1103" s="1241"/>
      <c r="E1103" s="1241"/>
      <c r="F1103" s="1241"/>
      <c r="G1103" s="1242"/>
      <c r="H1103" s="1242"/>
      <c r="I1103" s="1242"/>
      <c r="J1103" s="1242"/>
      <c r="K1103" s="1242"/>
      <c r="L1103" s="1242"/>
      <c r="M1103" s="1242"/>
      <c r="N1103" s="1242"/>
      <c r="O1103" s="1573"/>
      <c r="P1103" s="1241"/>
      <c r="Q1103" s="1241"/>
      <c r="R1103" s="1241"/>
      <c r="S1103" s="1241"/>
      <c r="T1103" s="1241"/>
      <c r="U1103" s="1241"/>
      <c r="V1103" s="1241"/>
      <c r="W1103" s="1241"/>
      <c r="X1103" s="1241"/>
      <c r="Y1103" s="1241"/>
      <c r="Z1103" s="1241"/>
      <c r="AA1103" s="1241"/>
      <c r="AB1103" s="1241"/>
      <c r="AC1103" s="1241"/>
      <c r="AD1103" s="1241"/>
      <c r="AE1103" s="1241"/>
      <c r="AF1103" s="1241"/>
      <c r="AG1103" s="1241"/>
      <c r="AH1103" s="1241"/>
      <c r="AI1103" s="1241"/>
      <c r="AJ1103" s="1241"/>
      <c r="AK1103" s="1241"/>
      <c r="AL1103" s="1241"/>
      <c r="AM1103" s="1241"/>
      <c r="AN1103" s="1241"/>
      <c r="AO1103" s="1241"/>
      <c r="AP1103" s="1241"/>
      <c r="AQ1103" s="1241"/>
      <c r="AR1103" s="1241"/>
      <c r="AS1103" s="1241"/>
      <c r="AT1103" s="1241"/>
      <c r="AU1103" s="1241"/>
      <c r="AV1103" s="1241"/>
      <c r="AW1103" s="1241"/>
      <c r="AX1103" s="1241"/>
      <c r="AY1103" s="1241"/>
      <c r="AZ1103" s="1241"/>
      <c r="BA1103" s="1241"/>
      <c r="BB1103" s="1241"/>
      <c r="BC1103" s="1241"/>
      <c r="BD1103" s="1241"/>
      <c r="BE1103" s="1241"/>
      <c r="BF1103" s="1241"/>
      <c r="BG1103" s="1241"/>
      <c r="BH1103" s="1241"/>
      <c r="BI1103" s="1241"/>
      <c r="BJ1103" s="1241"/>
      <c r="BK1103" s="1241"/>
      <c r="BL1103" s="1241"/>
      <c r="BM1103" s="1241"/>
      <c r="BN1103" s="1241"/>
      <c r="BO1103" s="1241"/>
      <c r="BP1103" s="1241"/>
      <c r="BQ1103" s="1241"/>
      <c r="BR1103" s="1241"/>
      <c r="BS1103" s="1241"/>
      <c r="BT1103" s="1241"/>
      <c r="BU1103" s="1241"/>
      <c r="BV1103" s="1241"/>
      <c r="BW1103" s="1241"/>
      <c r="BX1103" s="1241"/>
      <c r="BY1103" s="1241"/>
      <c r="BZ1103" s="1241"/>
      <c r="CA1103" s="1241"/>
      <c r="CB1103" s="1241"/>
      <c r="CC1103" s="1241"/>
      <c r="CD1103" s="1241"/>
      <c r="CE1103" s="1241"/>
      <c r="CF1103" s="1241"/>
      <c r="CG1103" s="1241"/>
      <c r="CH1103" s="1241"/>
      <c r="CI1103" s="1241"/>
      <c r="CJ1103" s="1241"/>
      <c r="CK1103" s="1241"/>
      <c r="CL1103" s="1241"/>
      <c r="CM1103" s="1241"/>
      <c r="CN1103" s="1241"/>
      <c r="CO1103" s="1241"/>
      <c r="CP1103" s="1241"/>
      <c r="CQ1103" s="1241"/>
      <c r="CR1103" s="1241"/>
      <c r="CS1103" s="1241"/>
      <c r="CT1103" s="1241"/>
      <c r="CU1103" s="1241"/>
      <c r="CV1103" s="1241"/>
      <c r="CW1103" s="1241"/>
      <c r="CX1103" s="1241"/>
      <c r="CY1103" s="1241"/>
      <c r="CZ1103" s="1241"/>
      <c r="DA1103" s="1241"/>
      <c r="DB1103" s="1241"/>
      <c r="DC1103" s="1241"/>
      <c r="DD1103" s="1241"/>
      <c r="DE1103" s="1241"/>
      <c r="DF1103" s="1241"/>
      <c r="DG1103" s="1241"/>
      <c r="DH1103" s="1241"/>
      <c r="DI1103" s="1241"/>
      <c r="DJ1103" s="1241"/>
      <c r="DK1103" s="1241"/>
      <c r="DL1103" s="1241"/>
      <c r="DM1103" s="1241"/>
    </row>
    <row r="1104" spans="1:117" s="1302" customFormat="1">
      <c r="A1104" s="1241"/>
      <c r="B1104" s="1241"/>
      <c r="G1104" s="1323"/>
      <c r="H1104" s="1323"/>
      <c r="I1104" s="1323"/>
      <c r="J1104" s="1323"/>
      <c r="K1104" s="1323"/>
      <c r="L1104" s="1323"/>
      <c r="M1104" s="1323"/>
      <c r="N1104" s="1323"/>
      <c r="O1104" s="1571"/>
      <c r="P1104" s="1241"/>
      <c r="Q1104" s="1241"/>
      <c r="R1104" s="1241"/>
      <c r="S1104" s="1241"/>
      <c r="T1104" s="1241"/>
      <c r="U1104" s="1241"/>
      <c r="V1104" s="1241"/>
      <c r="W1104" s="1241"/>
      <c r="X1104" s="1241"/>
      <c r="Y1104" s="1241"/>
      <c r="Z1104" s="1241"/>
      <c r="AA1104" s="1241"/>
      <c r="AB1104" s="1241"/>
      <c r="AC1104" s="1241"/>
      <c r="AD1104" s="1241"/>
      <c r="AE1104" s="1241"/>
      <c r="AF1104" s="1241"/>
      <c r="AG1104" s="1241"/>
      <c r="AH1104" s="1241"/>
      <c r="AI1104" s="1241"/>
      <c r="AJ1104" s="1241"/>
      <c r="AK1104" s="1241"/>
      <c r="AL1104" s="1241"/>
      <c r="AM1104" s="1241"/>
      <c r="AN1104" s="1241"/>
      <c r="AO1104" s="1241"/>
      <c r="AP1104" s="1241"/>
      <c r="AQ1104" s="1241"/>
      <c r="AR1104" s="1241"/>
      <c r="AS1104" s="1241"/>
      <c r="AT1104" s="1241"/>
      <c r="AU1104" s="1241"/>
      <c r="AV1104" s="1241"/>
      <c r="AW1104" s="1241"/>
      <c r="AX1104" s="1241"/>
      <c r="AY1104" s="1241"/>
      <c r="AZ1104" s="1241"/>
      <c r="BA1104" s="1241"/>
      <c r="BB1104" s="1241"/>
      <c r="BC1104" s="1241"/>
      <c r="BD1104" s="1241"/>
      <c r="BE1104" s="1241"/>
      <c r="BF1104" s="1241"/>
      <c r="BG1104" s="1241"/>
      <c r="BH1104" s="1241"/>
      <c r="BI1104" s="1241"/>
      <c r="BJ1104" s="1241"/>
      <c r="BK1104" s="1241"/>
      <c r="BL1104" s="1241"/>
      <c r="BM1104" s="1241"/>
      <c r="BN1104" s="1241"/>
      <c r="BO1104" s="1241"/>
      <c r="BP1104" s="1241"/>
      <c r="BQ1104" s="1241"/>
      <c r="BR1104" s="1241"/>
      <c r="BS1104" s="1241"/>
      <c r="BT1104" s="1241"/>
      <c r="BU1104" s="1241"/>
      <c r="BV1104" s="1241"/>
      <c r="BW1104" s="1241"/>
      <c r="BX1104" s="1241"/>
      <c r="BY1104" s="1241"/>
      <c r="BZ1104" s="1241"/>
      <c r="CA1104" s="1241"/>
      <c r="CB1104" s="1241"/>
      <c r="CC1104" s="1241"/>
      <c r="CD1104" s="1241"/>
      <c r="CE1104" s="1241"/>
      <c r="CF1104" s="1241"/>
      <c r="CG1104" s="1241"/>
      <c r="CH1104" s="1241"/>
      <c r="CI1104" s="1241"/>
      <c r="CJ1104" s="1241"/>
      <c r="CK1104" s="1241"/>
      <c r="CL1104" s="1241"/>
      <c r="CM1104" s="1241"/>
      <c r="CN1104" s="1241"/>
      <c r="CO1104" s="1241"/>
      <c r="CP1104" s="1241"/>
      <c r="CQ1104" s="1241"/>
      <c r="CR1104" s="1241"/>
      <c r="CS1104" s="1241"/>
      <c r="CT1104" s="1241"/>
      <c r="CU1104" s="1241"/>
      <c r="CV1104" s="1241"/>
      <c r="CW1104" s="1241"/>
      <c r="CX1104" s="1241"/>
      <c r="CY1104" s="1241"/>
      <c r="CZ1104" s="1241"/>
      <c r="DA1104" s="1241"/>
      <c r="DB1104" s="1241"/>
      <c r="DC1104" s="1241"/>
      <c r="DD1104" s="1241"/>
      <c r="DE1104" s="1241"/>
      <c r="DF1104" s="1241"/>
      <c r="DG1104" s="1241"/>
      <c r="DH1104" s="1241"/>
      <c r="DI1104" s="1241"/>
      <c r="DJ1104" s="1241"/>
      <c r="DK1104" s="1241"/>
      <c r="DL1104" s="1241"/>
      <c r="DM1104" s="1241"/>
    </row>
    <row r="1105" spans="1:117" s="1302" customFormat="1">
      <c r="A1105" s="1241"/>
      <c r="B1105" s="1241"/>
      <c r="F1105" s="1592"/>
      <c r="G1105" s="1224">
        <v>2015</v>
      </c>
      <c r="H1105" s="1224">
        <v>2020</v>
      </c>
      <c r="I1105" s="1224">
        <v>2022</v>
      </c>
      <c r="J1105" s="1224">
        <v>2027</v>
      </c>
      <c r="K1105" s="1224">
        <v>2032</v>
      </c>
      <c r="L1105" s="1224">
        <v>2037</v>
      </c>
      <c r="M1105" s="1224">
        <v>2042</v>
      </c>
      <c r="N1105" s="1224">
        <v>2047</v>
      </c>
      <c r="O1105" s="1546">
        <v>2030</v>
      </c>
      <c r="P1105" s="1241"/>
      <c r="Q1105" s="1241"/>
      <c r="R1105" s="1241"/>
      <c r="S1105" s="1241"/>
      <c r="T1105" s="1241"/>
      <c r="U1105" s="1241"/>
      <c r="V1105" s="1241"/>
      <c r="W1105" s="1241"/>
      <c r="X1105" s="1241"/>
      <c r="Y1105" s="1241"/>
      <c r="Z1105" s="1241"/>
      <c r="AA1105" s="1241"/>
      <c r="AB1105" s="1241"/>
      <c r="AC1105" s="1241"/>
      <c r="AD1105" s="1241"/>
      <c r="AE1105" s="1241"/>
      <c r="AF1105" s="1241"/>
      <c r="AG1105" s="1241"/>
      <c r="AH1105" s="1241"/>
      <c r="AI1105" s="1241"/>
      <c r="AJ1105" s="1241"/>
      <c r="AK1105" s="1241"/>
      <c r="AL1105" s="1241"/>
      <c r="AM1105" s="1241"/>
      <c r="AN1105" s="1241"/>
      <c r="AO1105" s="1241"/>
      <c r="AP1105" s="1241"/>
      <c r="AQ1105" s="1241"/>
      <c r="AR1105" s="1241"/>
      <c r="AS1105" s="1241"/>
      <c r="AT1105" s="1241"/>
      <c r="AU1105" s="1241"/>
      <c r="AV1105" s="1241"/>
      <c r="AW1105" s="1241"/>
      <c r="AX1105" s="1241"/>
      <c r="AY1105" s="1241"/>
      <c r="AZ1105" s="1241"/>
      <c r="BA1105" s="1241"/>
      <c r="BB1105" s="1241"/>
      <c r="BC1105" s="1241"/>
      <c r="BD1105" s="1241"/>
      <c r="BE1105" s="1241"/>
      <c r="BF1105" s="1241"/>
      <c r="BG1105" s="1241"/>
      <c r="BH1105" s="1241"/>
      <c r="BI1105" s="1241"/>
      <c r="BJ1105" s="1241"/>
      <c r="BK1105" s="1241"/>
      <c r="BL1105" s="1241"/>
      <c r="BM1105" s="1241"/>
      <c r="BN1105" s="1241"/>
      <c r="BO1105" s="1241"/>
      <c r="BP1105" s="1241"/>
      <c r="BQ1105" s="1241"/>
      <c r="BR1105" s="1241"/>
      <c r="BS1105" s="1241"/>
      <c r="BT1105" s="1241"/>
      <c r="BU1105" s="1241"/>
      <c r="BV1105" s="1241"/>
      <c r="BW1105" s="1241"/>
      <c r="BX1105" s="1241"/>
      <c r="BY1105" s="1241"/>
      <c r="BZ1105" s="1241"/>
      <c r="CA1105" s="1241"/>
      <c r="CB1105" s="1241"/>
      <c r="CC1105" s="1241"/>
      <c r="CD1105" s="1241"/>
      <c r="CE1105" s="1241"/>
      <c r="CF1105" s="1241"/>
      <c r="CG1105" s="1241"/>
      <c r="CH1105" s="1241"/>
      <c r="CI1105" s="1241"/>
      <c r="CJ1105" s="1241"/>
      <c r="CK1105" s="1241"/>
      <c r="CL1105" s="1241"/>
      <c r="CM1105" s="1241"/>
      <c r="CN1105" s="1241"/>
      <c r="CO1105" s="1241"/>
      <c r="CP1105" s="1241"/>
      <c r="CQ1105" s="1241"/>
      <c r="CR1105" s="1241"/>
      <c r="CS1105" s="1241"/>
      <c r="CT1105" s="1241"/>
      <c r="CU1105" s="1241"/>
      <c r="CV1105" s="1241"/>
      <c r="CW1105" s="1241"/>
      <c r="CX1105" s="1241"/>
      <c r="CY1105" s="1241"/>
      <c r="CZ1105" s="1241"/>
      <c r="DA1105" s="1241"/>
      <c r="DB1105" s="1241"/>
      <c r="DC1105" s="1241"/>
      <c r="DD1105" s="1241"/>
      <c r="DE1105" s="1241"/>
      <c r="DF1105" s="1241"/>
      <c r="DG1105" s="1241"/>
      <c r="DH1105" s="1241"/>
      <c r="DI1105" s="1241"/>
      <c r="DJ1105" s="1241"/>
      <c r="DK1105" s="1241"/>
      <c r="DL1105" s="1241"/>
      <c r="DM1105" s="1241"/>
    </row>
    <row r="1106" spans="1:117" s="1302" customFormat="1">
      <c r="A1106" s="1241"/>
      <c r="B1106" s="1520" t="s">
        <v>4305</v>
      </c>
      <c r="C1106" s="1520"/>
      <c r="D1106" s="1521"/>
      <c r="E1106" s="1482" t="s">
        <v>4361</v>
      </c>
      <c r="F1106" s="1523"/>
      <c r="G1106" s="1522">
        <v>0</v>
      </c>
      <c r="H1106" s="1522">
        <v>119.035882541056</v>
      </c>
      <c r="I1106" s="1522">
        <v>130.19600911978685</v>
      </c>
      <c r="J1106" s="1522">
        <v>162.14138523037093</v>
      </c>
      <c r="K1106" s="1522">
        <v>191.33743923823789</v>
      </c>
      <c r="L1106" s="1522">
        <v>208.80990707480211</v>
      </c>
      <c r="M1106" s="1522">
        <v>225.90948716214049</v>
      </c>
      <c r="N1106" s="1522">
        <v>242.55205517420632</v>
      </c>
      <c r="O1106" s="1525">
        <v>184.3277380008102</v>
      </c>
      <c r="P1106" s="1241"/>
      <c r="Q1106" s="1241"/>
      <c r="R1106" s="1241"/>
      <c r="S1106" s="1241"/>
      <c r="T1106" s="1241"/>
      <c r="U1106" s="1241"/>
      <c r="V1106" s="1241"/>
      <c r="W1106" s="1241"/>
      <c r="X1106" s="1241"/>
      <c r="Y1106" s="1241"/>
      <c r="Z1106" s="1241"/>
      <c r="AA1106" s="1241"/>
      <c r="AB1106" s="1241"/>
      <c r="AC1106" s="1241"/>
      <c r="AD1106" s="1241"/>
      <c r="AE1106" s="1241"/>
      <c r="AF1106" s="1241"/>
      <c r="AG1106" s="1241"/>
      <c r="AH1106" s="1241"/>
      <c r="AI1106" s="1241"/>
      <c r="AJ1106" s="1241"/>
      <c r="AK1106" s="1241"/>
      <c r="AL1106" s="1241"/>
      <c r="AM1106" s="1241"/>
      <c r="AN1106" s="1241"/>
      <c r="AO1106" s="1241"/>
      <c r="AP1106" s="1241"/>
      <c r="AQ1106" s="1241"/>
      <c r="AR1106" s="1241"/>
      <c r="AS1106" s="1241"/>
      <c r="AT1106" s="1241"/>
      <c r="AU1106" s="1241"/>
      <c r="AV1106" s="1241"/>
      <c r="AW1106" s="1241"/>
      <c r="AX1106" s="1241"/>
      <c r="AY1106" s="1241"/>
      <c r="AZ1106" s="1241"/>
      <c r="BA1106" s="1241"/>
      <c r="BB1106" s="1241"/>
      <c r="BC1106" s="1241"/>
      <c r="BD1106" s="1241"/>
      <c r="BE1106" s="1241"/>
      <c r="BF1106" s="1241"/>
      <c r="BG1106" s="1241"/>
      <c r="BH1106" s="1241"/>
      <c r="BI1106" s="1241"/>
      <c r="BJ1106" s="1241"/>
      <c r="BK1106" s="1241"/>
      <c r="BL1106" s="1241"/>
      <c r="BM1106" s="1241"/>
      <c r="BN1106" s="1241"/>
      <c r="BO1106" s="1241"/>
      <c r="BP1106" s="1241"/>
      <c r="BQ1106" s="1241"/>
      <c r="BR1106" s="1241"/>
      <c r="BS1106" s="1241"/>
      <c r="BT1106" s="1241"/>
      <c r="BU1106" s="1241"/>
      <c r="BV1106" s="1241"/>
      <c r="BW1106" s="1241"/>
      <c r="BX1106" s="1241"/>
      <c r="BY1106" s="1241"/>
      <c r="BZ1106" s="1241"/>
      <c r="CA1106" s="1241"/>
      <c r="CB1106" s="1241"/>
      <c r="CC1106" s="1241"/>
      <c r="CD1106" s="1241"/>
      <c r="CE1106" s="1241"/>
      <c r="CF1106" s="1241"/>
      <c r="CG1106" s="1241"/>
      <c r="CH1106" s="1241"/>
      <c r="CI1106" s="1241"/>
      <c r="CJ1106" s="1241"/>
      <c r="CK1106" s="1241"/>
      <c r="CL1106" s="1241"/>
      <c r="CM1106" s="1241"/>
      <c r="CN1106" s="1241"/>
      <c r="CO1106" s="1241"/>
      <c r="CP1106" s="1241"/>
      <c r="CQ1106" s="1241"/>
      <c r="CR1106" s="1241"/>
      <c r="CS1106" s="1241"/>
      <c r="CT1106" s="1241"/>
      <c r="CU1106" s="1241"/>
      <c r="CV1106" s="1241"/>
      <c r="CW1106" s="1241"/>
      <c r="CX1106" s="1241"/>
      <c r="CY1106" s="1241"/>
      <c r="CZ1106" s="1241"/>
      <c r="DA1106" s="1241"/>
      <c r="DB1106" s="1241"/>
      <c r="DC1106" s="1241"/>
      <c r="DD1106" s="1241"/>
      <c r="DE1106" s="1241"/>
      <c r="DF1106" s="1241"/>
      <c r="DG1106" s="1241"/>
      <c r="DH1106" s="1241"/>
      <c r="DI1106" s="1241"/>
      <c r="DJ1106" s="1241"/>
      <c r="DK1106" s="1241"/>
      <c r="DL1106" s="1241"/>
      <c r="DM1106" s="1241"/>
    </row>
    <row r="1107" spans="1:117" s="1302" customFormat="1">
      <c r="A1107" s="1241"/>
      <c r="B1107" s="1520" t="s">
        <v>4306</v>
      </c>
      <c r="C1107" s="1520"/>
      <c r="D1107" s="1521"/>
      <c r="E1107" s="1482" t="s">
        <v>4361</v>
      </c>
      <c r="F1107" s="1523"/>
      <c r="G1107" s="1522">
        <v>0</v>
      </c>
      <c r="H1107" s="1522">
        <v>198.99613085904002</v>
      </c>
      <c r="I1107" s="1522">
        <v>213.83989012042878</v>
      </c>
      <c r="J1107" s="1522">
        <v>266.98256876874785</v>
      </c>
      <c r="K1107" s="1522">
        <v>315.88905708130551</v>
      </c>
      <c r="L1107" s="1522">
        <v>345.68725956612241</v>
      </c>
      <c r="M1107" s="1522">
        <v>375.0778085869681</v>
      </c>
      <c r="N1107" s="1522">
        <v>403.93263404830481</v>
      </c>
      <c r="O1107" s="1525">
        <v>303.99125595939239</v>
      </c>
      <c r="P1107" s="1241"/>
      <c r="Q1107" s="1241"/>
      <c r="R1107" s="1241"/>
      <c r="S1107" s="1241"/>
      <c r="T1107" s="1241"/>
      <c r="U1107" s="1241"/>
      <c r="V1107" s="1241"/>
      <c r="W1107" s="1241"/>
      <c r="X1107" s="1241"/>
      <c r="Y1107" s="1241"/>
      <c r="Z1107" s="1241"/>
      <c r="AA1107" s="1241"/>
      <c r="AB1107" s="1241"/>
      <c r="AC1107" s="1241"/>
      <c r="AD1107" s="1241"/>
      <c r="AE1107" s="1241"/>
      <c r="AF1107" s="1241"/>
      <c r="AG1107" s="1241"/>
      <c r="AH1107" s="1241"/>
      <c r="AI1107" s="1241"/>
      <c r="AJ1107" s="1241"/>
      <c r="AK1107" s="1241"/>
      <c r="AL1107" s="1241"/>
      <c r="AM1107" s="1241"/>
      <c r="AN1107" s="1241"/>
      <c r="AO1107" s="1241"/>
      <c r="AP1107" s="1241"/>
      <c r="AQ1107" s="1241"/>
      <c r="AR1107" s="1241"/>
      <c r="AS1107" s="1241"/>
      <c r="AT1107" s="1241"/>
      <c r="AU1107" s="1241"/>
      <c r="AV1107" s="1241"/>
      <c r="AW1107" s="1241"/>
      <c r="AX1107" s="1241"/>
      <c r="AY1107" s="1241"/>
      <c r="AZ1107" s="1241"/>
      <c r="BA1107" s="1241"/>
      <c r="BB1107" s="1241"/>
      <c r="BC1107" s="1241"/>
      <c r="BD1107" s="1241"/>
      <c r="BE1107" s="1241"/>
      <c r="BF1107" s="1241"/>
      <c r="BG1107" s="1241"/>
      <c r="BH1107" s="1241"/>
      <c r="BI1107" s="1241"/>
      <c r="BJ1107" s="1241"/>
      <c r="BK1107" s="1241"/>
      <c r="BL1107" s="1241"/>
      <c r="BM1107" s="1241"/>
      <c r="BN1107" s="1241"/>
      <c r="BO1107" s="1241"/>
      <c r="BP1107" s="1241"/>
      <c r="BQ1107" s="1241"/>
      <c r="BR1107" s="1241"/>
      <c r="BS1107" s="1241"/>
      <c r="BT1107" s="1241"/>
      <c r="BU1107" s="1241"/>
      <c r="BV1107" s="1241"/>
      <c r="BW1107" s="1241"/>
      <c r="BX1107" s="1241"/>
      <c r="BY1107" s="1241"/>
      <c r="BZ1107" s="1241"/>
      <c r="CA1107" s="1241"/>
      <c r="CB1107" s="1241"/>
      <c r="CC1107" s="1241"/>
      <c r="CD1107" s="1241"/>
      <c r="CE1107" s="1241"/>
      <c r="CF1107" s="1241"/>
      <c r="CG1107" s="1241"/>
      <c r="CH1107" s="1241"/>
      <c r="CI1107" s="1241"/>
      <c r="CJ1107" s="1241"/>
      <c r="CK1107" s="1241"/>
      <c r="CL1107" s="1241"/>
      <c r="CM1107" s="1241"/>
      <c r="CN1107" s="1241"/>
      <c r="CO1107" s="1241"/>
      <c r="CP1107" s="1241"/>
      <c r="CQ1107" s="1241"/>
      <c r="CR1107" s="1241"/>
      <c r="CS1107" s="1241"/>
      <c r="CT1107" s="1241"/>
      <c r="CU1107" s="1241"/>
      <c r="CV1107" s="1241"/>
      <c r="CW1107" s="1241"/>
      <c r="CX1107" s="1241"/>
      <c r="CY1107" s="1241"/>
      <c r="CZ1107" s="1241"/>
      <c r="DA1107" s="1241"/>
      <c r="DB1107" s="1241"/>
      <c r="DC1107" s="1241"/>
      <c r="DD1107" s="1241"/>
      <c r="DE1107" s="1241"/>
      <c r="DF1107" s="1241"/>
      <c r="DG1107" s="1241"/>
      <c r="DH1107" s="1241"/>
      <c r="DI1107" s="1241"/>
      <c r="DJ1107" s="1241"/>
      <c r="DK1107" s="1241"/>
      <c r="DL1107" s="1241"/>
      <c r="DM1107" s="1241"/>
    </row>
    <row r="1108" spans="1:117" s="1302" customFormat="1">
      <c r="A1108" s="1241"/>
      <c r="B1108" s="1520" t="s">
        <v>4362</v>
      </c>
      <c r="C1108" s="1520"/>
      <c r="D1108" s="1521"/>
      <c r="E1108" s="1482" t="s">
        <v>4363</v>
      </c>
      <c r="F1108" s="1523"/>
      <c r="G1108" s="1489">
        <v>0</v>
      </c>
      <c r="H1108" s="1489">
        <v>0.61894217034800147</v>
      </c>
      <c r="I1108" s="1489">
        <v>0.59371163933002846</v>
      </c>
      <c r="J1108" s="1489">
        <v>0.56037885926102515</v>
      </c>
      <c r="K1108" s="1489">
        <v>0.52862254565465394</v>
      </c>
      <c r="L1108" s="1489">
        <v>0.49837498399123514</v>
      </c>
      <c r="M1108" s="1489">
        <v>0.46957120114611006</v>
      </c>
      <c r="N1108" s="1489">
        <v>0.44214885857305886</v>
      </c>
      <c r="O1108" s="1593">
        <v>0.5411402914320026</v>
      </c>
      <c r="P1108" s="1241"/>
      <c r="Q1108" s="1241"/>
      <c r="R1108" s="1241"/>
      <c r="S1108" s="1241"/>
      <c r="T1108" s="1241"/>
      <c r="U1108" s="1241"/>
      <c r="V1108" s="1241"/>
      <c r="W1108" s="1241"/>
      <c r="X1108" s="1241"/>
      <c r="Y1108" s="1241"/>
      <c r="Z1108" s="1241"/>
      <c r="AA1108" s="1241"/>
      <c r="AB1108" s="1241"/>
      <c r="AC1108" s="1241"/>
      <c r="AD1108" s="1241"/>
      <c r="AE1108" s="1241"/>
      <c r="AF1108" s="1241"/>
      <c r="AG1108" s="1241"/>
      <c r="AH1108" s="1241"/>
      <c r="AI1108" s="1241"/>
      <c r="AJ1108" s="1241"/>
      <c r="AK1108" s="1241"/>
      <c r="AL1108" s="1241"/>
      <c r="AM1108" s="1241"/>
      <c r="AN1108" s="1241"/>
      <c r="AO1108" s="1241"/>
      <c r="AP1108" s="1241"/>
      <c r="AQ1108" s="1241"/>
      <c r="AR1108" s="1241"/>
      <c r="AS1108" s="1241"/>
      <c r="AT1108" s="1241"/>
      <c r="AU1108" s="1241"/>
      <c r="AV1108" s="1241"/>
      <c r="AW1108" s="1241"/>
      <c r="AX1108" s="1241"/>
      <c r="AY1108" s="1241"/>
      <c r="AZ1108" s="1241"/>
      <c r="BA1108" s="1241"/>
      <c r="BB1108" s="1241"/>
      <c r="BC1108" s="1241"/>
      <c r="BD1108" s="1241"/>
      <c r="BE1108" s="1241"/>
      <c r="BF1108" s="1241"/>
      <c r="BG1108" s="1241"/>
      <c r="BH1108" s="1241"/>
      <c r="BI1108" s="1241"/>
      <c r="BJ1108" s="1241"/>
      <c r="BK1108" s="1241"/>
      <c r="BL1108" s="1241"/>
      <c r="BM1108" s="1241"/>
      <c r="BN1108" s="1241"/>
      <c r="BO1108" s="1241"/>
      <c r="BP1108" s="1241"/>
      <c r="BQ1108" s="1241"/>
      <c r="BR1108" s="1241"/>
      <c r="BS1108" s="1241"/>
      <c r="BT1108" s="1241"/>
      <c r="BU1108" s="1241"/>
      <c r="BV1108" s="1241"/>
      <c r="BW1108" s="1241"/>
      <c r="BX1108" s="1241"/>
      <c r="BY1108" s="1241"/>
      <c r="BZ1108" s="1241"/>
      <c r="CA1108" s="1241"/>
      <c r="CB1108" s="1241"/>
      <c r="CC1108" s="1241"/>
      <c r="CD1108" s="1241"/>
      <c r="CE1108" s="1241"/>
      <c r="CF1108" s="1241"/>
      <c r="CG1108" s="1241"/>
      <c r="CH1108" s="1241"/>
      <c r="CI1108" s="1241"/>
      <c r="CJ1108" s="1241"/>
      <c r="CK1108" s="1241"/>
      <c r="CL1108" s="1241"/>
      <c r="CM1108" s="1241"/>
      <c r="CN1108" s="1241"/>
      <c r="CO1108" s="1241"/>
      <c r="CP1108" s="1241"/>
      <c r="CQ1108" s="1241"/>
      <c r="CR1108" s="1241"/>
      <c r="CS1108" s="1241"/>
      <c r="CT1108" s="1241"/>
      <c r="CU1108" s="1241"/>
      <c r="CV1108" s="1241"/>
      <c r="CW1108" s="1241"/>
      <c r="CX1108" s="1241"/>
      <c r="CY1108" s="1241"/>
      <c r="CZ1108" s="1241"/>
      <c r="DA1108" s="1241"/>
      <c r="DB1108" s="1241"/>
      <c r="DC1108" s="1241"/>
      <c r="DD1108" s="1241"/>
      <c r="DE1108" s="1241"/>
      <c r="DF1108" s="1241"/>
      <c r="DG1108" s="1241"/>
      <c r="DH1108" s="1241"/>
      <c r="DI1108" s="1241"/>
      <c r="DJ1108" s="1241"/>
      <c r="DK1108" s="1241"/>
      <c r="DL1108" s="1241"/>
      <c r="DM1108" s="1241"/>
    </row>
    <row r="1109" spans="1:117" s="1302" customFormat="1">
      <c r="A1109" s="1241"/>
      <c r="B1109" s="1241"/>
      <c r="F1109" s="1594"/>
      <c r="G1109" s="1595"/>
      <c r="H1109" s="1595"/>
      <c r="I1109" s="1595"/>
      <c r="J1109" s="1595"/>
      <c r="K1109" s="1595"/>
      <c r="L1109" s="1595"/>
      <c r="M1109" s="1595"/>
      <c r="N1109" s="1595"/>
      <c r="O1109" s="1594"/>
      <c r="P1109" s="1241"/>
      <c r="Q1109" s="1241"/>
      <c r="R1109" s="1241"/>
      <c r="S1109" s="1241"/>
      <c r="T1109" s="1241"/>
      <c r="U1109" s="1241"/>
      <c r="V1109" s="1241"/>
      <c r="W1109" s="1241"/>
      <c r="X1109" s="1241"/>
      <c r="Y1109" s="1241"/>
      <c r="Z1109" s="1241"/>
      <c r="AA1109" s="1241"/>
      <c r="AB1109" s="1241"/>
      <c r="AC1109" s="1241"/>
      <c r="AD1109" s="1241"/>
      <c r="AE1109" s="1241"/>
      <c r="AF1109" s="1241"/>
      <c r="AG1109" s="1241"/>
      <c r="AH1109" s="1241"/>
      <c r="AI1109" s="1241"/>
      <c r="AJ1109" s="1241"/>
      <c r="AK1109" s="1241"/>
      <c r="AL1109" s="1241"/>
      <c r="AM1109" s="1241"/>
      <c r="AN1109" s="1241"/>
      <c r="AO1109" s="1241"/>
      <c r="AP1109" s="1241"/>
      <c r="AQ1109" s="1241"/>
      <c r="AR1109" s="1241"/>
      <c r="AS1109" s="1241"/>
      <c r="AT1109" s="1241"/>
      <c r="AU1109" s="1241"/>
      <c r="AV1109" s="1241"/>
      <c r="AW1109" s="1241"/>
      <c r="AX1109" s="1241"/>
      <c r="AY1109" s="1241"/>
      <c r="AZ1109" s="1241"/>
      <c r="BA1109" s="1241"/>
      <c r="BB1109" s="1241"/>
      <c r="BC1109" s="1241"/>
      <c r="BD1109" s="1241"/>
      <c r="BE1109" s="1241"/>
      <c r="BF1109" s="1241"/>
      <c r="BG1109" s="1241"/>
      <c r="BH1109" s="1241"/>
      <c r="BI1109" s="1241"/>
      <c r="BJ1109" s="1241"/>
      <c r="BK1109" s="1241"/>
      <c r="BL1109" s="1241"/>
      <c r="BM1109" s="1241"/>
      <c r="BN1109" s="1241"/>
      <c r="BO1109" s="1241"/>
      <c r="BP1109" s="1241"/>
      <c r="BQ1109" s="1241"/>
      <c r="BR1109" s="1241"/>
      <c r="BS1109" s="1241"/>
      <c r="BT1109" s="1241"/>
      <c r="BU1109" s="1241"/>
      <c r="BV1109" s="1241"/>
      <c r="BW1109" s="1241"/>
      <c r="BX1109" s="1241"/>
      <c r="BY1109" s="1241"/>
      <c r="BZ1109" s="1241"/>
      <c r="CA1109" s="1241"/>
      <c r="CB1109" s="1241"/>
      <c r="CC1109" s="1241"/>
      <c r="CD1109" s="1241"/>
      <c r="CE1109" s="1241"/>
      <c r="CF1109" s="1241"/>
      <c r="CG1109" s="1241"/>
      <c r="CH1109" s="1241"/>
      <c r="CI1109" s="1241"/>
      <c r="CJ1109" s="1241"/>
      <c r="CK1109" s="1241"/>
      <c r="CL1109" s="1241"/>
      <c r="CM1109" s="1241"/>
      <c r="CN1109" s="1241"/>
      <c r="CO1109" s="1241"/>
      <c r="CP1109" s="1241"/>
      <c r="CQ1109" s="1241"/>
      <c r="CR1109" s="1241"/>
      <c r="CS1109" s="1241"/>
      <c r="CT1109" s="1241"/>
      <c r="CU1109" s="1241"/>
      <c r="CV1109" s="1241"/>
      <c r="CW1109" s="1241"/>
      <c r="CX1109" s="1241"/>
      <c r="CY1109" s="1241"/>
      <c r="CZ1109" s="1241"/>
      <c r="DA1109" s="1241"/>
      <c r="DB1109" s="1241"/>
      <c r="DC1109" s="1241"/>
      <c r="DD1109" s="1241"/>
      <c r="DE1109" s="1241"/>
      <c r="DF1109" s="1241"/>
      <c r="DG1109" s="1241"/>
      <c r="DH1109" s="1241"/>
      <c r="DI1109" s="1241"/>
      <c r="DJ1109" s="1241"/>
      <c r="DK1109" s="1241"/>
      <c r="DL1109" s="1241"/>
      <c r="DM1109" s="1241"/>
    </row>
    <row r="1110" spans="1:117">
      <c r="C1110" s="1302"/>
      <c r="D1110" s="1302"/>
      <c r="E1110" s="1302"/>
      <c r="F1110" s="1594"/>
      <c r="G1110" s="1595"/>
      <c r="H1110" s="1595"/>
      <c r="I1110" s="1595"/>
      <c r="J1110" s="1595"/>
      <c r="K1110" s="1595"/>
      <c r="L1110" s="1595"/>
      <c r="M1110" s="1595"/>
      <c r="N1110" s="1595"/>
      <c r="O1110" s="1594"/>
    </row>
    <row r="1111" spans="1:117">
      <c r="C1111" s="1302"/>
      <c r="D1111" s="1302"/>
      <c r="E1111" s="1302"/>
      <c r="F1111" s="1592"/>
      <c r="G1111" s="1224">
        <v>2015</v>
      </c>
      <c r="H1111" s="1224">
        <v>2020</v>
      </c>
      <c r="I1111" s="1224">
        <v>2022</v>
      </c>
      <c r="J1111" s="1224">
        <v>2027</v>
      </c>
      <c r="K1111" s="1224">
        <v>2032</v>
      </c>
      <c r="L1111" s="1224">
        <v>2037</v>
      </c>
      <c r="M1111" s="1224">
        <v>2042</v>
      </c>
      <c r="N1111" s="1224">
        <v>2047</v>
      </c>
      <c r="O1111" s="1546">
        <v>2030</v>
      </c>
    </row>
    <row r="1112" spans="1:117">
      <c r="B1112" s="1520" t="s">
        <v>4364</v>
      </c>
      <c r="C1112" s="1520"/>
      <c r="D1112" s="1521"/>
      <c r="E1112" s="1482" t="s">
        <v>4691</v>
      </c>
      <c r="F1112" s="1522"/>
      <c r="G1112" s="1522"/>
      <c r="H1112" s="1522"/>
      <c r="I1112" s="1522"/>
      <c r="J1112" s="1522"/>
      <c r="K1112" s="1522"/>
      <c r="L1112" s="1522"/>
      <c r="M1112" s="1522"/>
      <c r="N1112" s="1522"/>
      <c r="O1112" s="1522"/>
    </row>
    <row r="1113" spans="1:117">
      <c r="B1113" s="1520"/>
      <c r="C1113" s="1520"/>
      <c r="D1113" s="1521"/>
      <c r="E1113" s="1482"/>
      <c r="F1113" s="1523"/>
      <c r="G1113" s="1522"/>
      <c r="H1113" s="1522"/>
      <c r="I1113" s="1522"/>
      <c r="J1113" s="1522"/>
      <c r="K1113" s="1522"/>
      <c r="L1113" s="1522"/>
      <c r="M1113" s="1522"/>
      <c r="N1113" s="1522"/>
      <c r="O1113" s="1522"/>
    </row>
    <row r="1114" spans="1:117">
      <c r="B1114" s="1520"/>
      <c r="C1114" s="1520"/>
      <c r="D1114" s="1521"/>
      <c r="E1114" s="1482"/>
      <c r="F1114" s="1523"/>
      <c r="G1114" s="1522"/>
      <c r="H1114" s="1522"/>
      <c r="I1114" s="1522"/>
      <c r="J1114" s="1522"/>
      <c r="K1114" s="1522"/>
      <c r="L1114" s="1522"/>
      <c r="M1114" s="1522"/>
      <c r="N1114" s="1522"/>
      <c r="O1114" s="1522"/>
    </row>
    <row r="1115" spans="1:117">
      <c r="B1115" s="1520" t="s">
        <v>4365</v>
      </c>
      <c r="C1115" s="1520"/>
      <c r="D1115" s="1521"/>
      <c r="E1115" s="1482"/>
      <c r="F1115" s="1596"/>
      <c r="G1115" s="1489">
        <v>0</v>
      </c>
      <c r="H1115" s="1484">
        <v>0.25017494899513798</v>
      </c>
      <c r="I1115" s="1484">
        <v>0.23360606802374378</v>
      </c>
      <c r="J1115" s="1484">
        <v>0.22135581337687665</v>
      </c>
      <c r="K1115" s="1484">
        <v>0.2096609888725374</v>
      </c>
      <c r="L1115" s="1484">
        <v>0.19849907156258498</v>
      </c>
      <c r="M1115" s="1484">
        <v>0.18784838258446981</v>
      </c>
      <c r="N1115" s="1484">
        <v>0.17768805727764997</v>
      </c>
      <c r="O1115" s="1484">
        <v>0.21427372776098433</v>
      </c>
    </row>
    <row r="1116" spans="1:117">
      <c r="B1116" s="1520" t="s">
        <v>4366</v>
      </c>
      <c r="C1116" s="1520"/>
      <c r="D1116" s="1521"/>
      <c r="E1116" s="1482"/>
      <c r="F1116" s="1596"/>
      <c r="G1116" s="1489">
        <v>0</v>
      </c>
      <c r="H1116" s="1484">
        <v>1.4336083919602247</v>
      </c>
      <c r="I1116" s="1484">
        <v>1.4140994420906834</v>
      </c>
      <c r="J1116" s="1484">
        <v>1.3134048879069968</v>
      </c>
      <c r="K1116" s="1484">
        <v>1.2167639112086437</v>
      </c>
      <c r="L1116" s="1484">
        <v>1.1240390924957619</v>
      </c>
      <c r="M1116" s="1484">
        <v>1.0350972942232302</v>
      </c>
      <c r="N1116" s="1484">
        <v>0.94980953391610523</v>
      </c>
      <c r="O1116" s="1484">
        <v>1.2549427647403379</v>
      </c>
    </row>
    <row r="1117" spans="1:117">
      <c r="B1117" s="1520" t="s">
        <v>4367</v>
      </c>
      <c r="C1117" s="1520"/>
      <c r="D1117" s="1521"/>
      <c r="E1117" s="1482"/>
      <c r="F1117" s="1596"/>
      <c r="G1117" s="1489">
        <v>0</v>
      </c>
      <c r="H1117" s="1484">
        <v>15.959166432006043</v>
      </c>
      <c r="I1117" s="1484">
        <v>15.675387018458132</v>
      </c>
      <c r="J1117" s="1484">
        <v>14.983854948640431</v>
      </c>
      <c r="K1117" s="1484">
        <v>14.317246017063496</v>
      </c>
      <c r="L1117" s="1484">
        <v>13.674742631199901</v>
      </c>
      <c r="M1117" s="1484">
        <v>13.055552593579504</v>
      </c>
      <c r="N1117" s="1484">
        <v>12.458908340688891</v>
      </c>
      <c r="O1117" s="1484">
        <v>14.580951716197784</v>
      </c>
    </row>
    <row r="1118" spans="1:117">
      <c r="B1118" s="1520" t="s">
        <v>4368</v>
      </c>
      <c r="C1118" s="1520"/>
      <c r="D1118" s="1521"/>
      <c r="E1118" s="1482"/>
      <c r="F1118" s="1596"/>
      <c r="G1118" s="1489">
        <v>0</v>
      </c>
      <c r="H1118" s="1484">
        <v>2.0895279344396704</v>
      </c>
      <c r="I1118" s="1484">
        <v>1.9110648042572422</v>
      </c>
      <c r="J1118" s="1484">
        <v>1.7258167138687222</v>
      </c>
      <c r="K1118" s="1484">
        <v>1.555662754943594</v>
      </c>
      <c r="L1118" s="1484">
        <v>1.4066068146664821</v>
      </c>
      <c r="M1118" s="1484">
        <v>1.2718392106158396</v>
      </c>
      <c r="N1118" s="1484">
        <v>1.1500693172702281</v>
      </c>
      <c r="O1118" s="1484">
        <v>1.6195985109446409</v>
      </c>
    </row>
    <row r="1119" spans="1:117">
      <c r="B1119" s="1520" t="s">
        <v>4369</v>
      </c>
      <c r="C1119" s="1520"/>
      <c r="D1119" s="1521"/>
      <c r="E1119" s="1482"/>
      <c r="F1119" s="1596"/>
      <c r="G1119" s="1489">
        <v>0</v>
      </c>
      <c r="H1119" s="1484">
        <v>1.9344149238989554</v>
      </c>
      <c r="I1119" s="1484">
        <v>1.898236732042484</v>
      </c>
      <c r="J1119" s="1484">
        <v>1.8103909366109985</v>
      </c>
      <c r="K1119" s="1484">
        <v>1.7261449402168125</v>
      </c>
      <c r="L1119" s="1484">
        <v>1.6453606576983453</v>
      </c>
      <c r="M1119" s="1484">
        <v>1.5679050850010963</v>
      </c>
      <c r="N1119" s="1484">
        <v>1.493650117480593</v>
      </c>
      <c r="O1119" s="1484">
        <v>1.7594203161503861</v>
      </c>
    </row>
    <row r="1120" spans="1:117">
      <c r="B1120" s="1520" t="s">
        <v>4370</v>
      </c>
      <c r="C1120" s="1520"/>
      <c r="D1120" s="1521"/>
      <c r="E1120" s="1482"/>
      <c r="F1120" s="1596"/>
      <c r="G1120" s="1489" t="s">
        <v>3878</v>
      </c>
      <c r="H1120" s="1484">
        <v>2.729830310322499</v>
      </c>
      <c r="I1120" s="1484">
        <v>2.6531957328889821</v>
      </c>
      <c r="J1120" s="1484">
        <v>2.4705288226035655</v>
      </c>
      <c r="K1120" s="1484">
        <v>2.2999466539623641</v>
      </c>
      <c r="L1120" s="1484">
        <v>2.1406715152213525</v>
      </c>
      <c r="M1120" s="1484">
        <v>1.9919747395908853</v>
      </c>
      <c r="N1120" s="1484">
        <v>1.8559105521488222</v>
      </c>
      <c r="O1120" s="1484">
        <v>2.3667802585065387</v>
      </c>
    </row>
    <row r="1121" spans="2:15">
      <c r="B1121" s="1520" t="s">
        <v>4371</v>
      </c>
      <c r="C1121" s="1520"/>
      <c r="D1121" s="1521"/>
      <c r="E1121" s="1482"/>
      <c r="F1121" s="1596"/>
      <c r="G1121" s="1489">
        <v>0</v>
      </c>
      <c r="H1121" s="1484">
        <v>2.2851906793465515</v>
      </c>
      <c r="I1121" s="1484">
        <v>2.2450527788867212</v>
      </c>
      <c r="J1121" s="1484">
        <v>2.1468630772886437</v>
      </c>
      <c r="K1121" s="1484">
        <v>2.0516859013339666</v>
      </c>
      <c r="L1121" s="1484">
        <v>1.9594403626256423</v>
      </c>
      <c r="M1121" s="1484">
        <v>1.8700475966379821</v>
      </c>
      <c r="N1121" s="1484">
        <v>1.7834307142486481</v>
      </c>
      <c r="O1121" s="1484">
        <v>2.0894004913588513</v>
      </c>
    </row>
    <row r="1122" spans="2:15">
      <c r="B1122" s="1520" t="s">
        <v>4372</v>
      </c>
      <c r="C1122" s="1520"/>
      <c r="D1122" s="1521"/>
      <c r="E1122" s="1482"/>
      <c r="F1122" s="1596"/>
      <c r="G1122" s="1489" t="s">
        <v>3878</v>
      </c>
      <c r="H1122" s="1484">
        <v>3.0540110117752168E-2</v>
      </c>
      <c r="I1122" s="1484">
        <v>2.8713567566474536E-2</v>
      </c>
      <c r="J1122" s="1484">
        <v>2.5716555762916878E-2</v>
      </c>
      <c r="K1122" s="1484">
        <v>2.3030383905040346E-2</v>
      </c>
      <c r="L1122" s="1484">
        <v>2.0586253204540727E-2</v>
      </c>
      <c r="M1122" s="1484">
        <v>1.8199954803029855E-2</v>
      </c>
      <c r="N1122" s="1484">
        <v>1.6082167605425624E-2</v>
      </c>
      <c r="O1122" s="1484">
        <v>2.4069681563401897E-2</v>
      </c>
    </row>
    <row r="1123" spans="2:15">
      <c r="C1123" s="1302"/>
      <c r="D1123" s="1302"/>
      <c r="E1123" s="1302"/>
      <c r="F1123" s="1594"/>
      <c r="G1123" s="1595"/>
      <c r="H1123" s="1595"/>
      <c r="I1123" s="1595"/>
      <c r="J1123" s="1595"/>
      <c r="K1123" s="1595"/>
      <c r="L1123" s="1595"/>
      <c r="M1123" s="1595"/>
      <c r="N1123" s="1595"/>
      <c r="O1123" s="1594"/>
    </row>
    <row r="1124" spans="2:15" ht="15">
      <c r="B1124" s="1511" t="s">
        <v>4373</v>
      </c>
      <c r="C1124" s="1302"/>
      <c r="D1124" s="1302"/>
      <c r="E1124" s="1302"/>
      <c r="F1124" s="1594"/>
      <c r="G1124" s="1595"/>
      <c r="H1124" s="1595"/>
      <c r="I1124" s="1595"/>
      <c r="J1124" s="1595"/>
      <c r="K1124" s="1595"/>
      <c r="L1124" s="1595"/>
      <c r="M1124" s="1595"/>
      <c r="N1124" s="1595"/>
      <c r="O1124" s="1594"/>
    </row>
    <row r="1125" spans="2:15">
      <c r="C1125" s="1302"/>
      <c r="D1125" s="1302"/>
      <c r="E1125" s="1302"/>
      <c r="F1125" s="1594"/>
      <c r="G1125" s="1595"/>
      <c r="H1125" s="1595"/>
      <c r="I1125" s="1595"/>
      <c r="J1125" s="1595"/>
      <c r="K1125" s="1595"/>
      <c r="L1125" s="1595"/>
      <c r="M1125" s="1595"/>
      <c r="N1125" s="1595"/>
      <c r="O1125" s="1594"/>
    </row>
    <row r="1126" spans="2:15">
      <c r="B1126" s="1597" t="s">
        <v>4374</v>
      </c>
      <c r="C1126" s="1598"/>
      <c r="D1126" s="1598"/>
      <c r="E1126" s="1598"/>
      <c r="F1126" s="1598"/>
      <c r="G1126" s="1599" t="s">
        <v>4375</v>
      </c>
      <c r="H1126" s="1501">
        <v>2020</v>
      </c>
      <c r="I1126" s="1501">
        <v>2022</v>
      </c>
      <c r="J1126" s="1501">
        <v>2027</v>
      </c>
      <c r="K1126" s="1501">
        <v>2032</v>
      </c>
      <c r="L1126" s="1501">
        <v>2037</v>
      </c>
      <c r="M1126" s="1501">
        <v>2042</v>
      </c>
      <c r="N1126" s="1501">
        <v>2047</v>
      </c>
      <c r="O1126" s="1600">
        <v>2030</v>
      </c>
    </row>
    <row r="1127" spans="2:15">
      <c r="B1127" s="1459"/>
      <c r="C1127" s="1302"/>
      <c r="D1127" s="1601" t="s">
        <v>4376</v>
      </c>
      <c r="E1127" s="1302"/>
      <c r="F1127" s="1302"/>
      <c r="G1127" s="1323">
        <v>0.5</v>
      </c>
      <c r="H1127" s="1602">
        <v>0.57999999999999996</v>
      </c>
      <c r="I1127" s="1602">
        <v>0.5</v>
      </c>
      <c r="J1127" s="1602">
        <v>0.5</v>
      </c>
      <c r="K1127" s="1602">
        <v>0.5</v>
      </c>
      <c r="L1127" s="1602">
        <v>0.5</v>
      </c>
      <c r="M1127" s="1602">
        <v>0.5</v>
      </c>
      <c r="N1127" s="1602">
        <v>0.5</v>
      </c>
      <c r="O1127" s="1602">
        <v>0.5</v>
      </c>
    </row>
    <row r="1128" spans="2:15">
      <c r="B1128" s="1459"/>
      <c r="C1128" s="1302"/>
      <c r="D1128" s="1601" t="s">
        <v>4377</v>
      </c>
      <c r="E1128" s="1302"/>
      <c r="F1128" s="1302"/>
      <c r="G1128" s="1323">
        <v>0.5</v>
      </c>
      <c r="H1128" s="1602">
        <v>0.57999999999999996</v>
      </c>
      <c r="I1128" s="1602">
        <v>0.49259259259259258</v>
      </c>
      <c r="J1128" s="1602">
        <v>0.47407407407407409</v>
      </c>
      <c r="K1128" s="1602">
        <v>0.45555555555555555</v>
      </c>
      <c r="L1128" s="1602">
        <v>0.43703703703703706</v>
      </c>
      <c r="M1128" s="1602">
        <v>0.41851851851851851</v>
      </c>
      <c r="N1128" s="1602">
        <v>0.4</v>
      </c>
      <c r="O1128" s="1602">
        <v>0.46296296296296297</v>
      </c>
    </row>
    <row r="1129" spans="2:15">
      <c r="B1129" s="1459"/>
      <c r="C1129" s="1302"/>
      <c r="D1129" s="1601" t="s">
        <v>4378</v>
      </c>
      <c r="E1129" s="1302"/>
      <c r="F1129" s="1302"/>
      <c r="G1129" s="1323">
        <v>0.5</v>
      </c>
      <c r="H1129" s="1602">
        <v>0.57999999999999996</v>
      </c>
      <c r="I1129" s="1602">
        <v>0.48518518518518516</v>
      </c>
      <c r="J1129" s="1602">
        <v>0.44814814814814813</v>
      </c>
      <c r="K1129" s="1602">
        <v>0.41111111111111109</v>
      </c>
      <c r="L1129" s="1602">
        <v>0.37407407407407406</v>
      </c>
      <c r="M1129" s="1602">
        <v>0.33703703703703702</v>
      </c>
      <c r="N1129" s="1602">
        <v>0.3</v>
      </c>
      <c r="O1129" s="1602">
        <v>0.42592592592592593</v>
      </c>
    </row>
    <row r="1130" spans="2:15">
      <c r="B1130" s="1459"/>
      <c r="C1130" s="1302"/>
      <c r="D1130" s="1601" t="s">
        <v>4379</v>
      </c>
      <c r="E1130" s="1302"/>
      <c r="F1130" s="1302"/>
      <c r="G1130" s="1323">
        <v>0.5</v>
      </c>
      <c r="H1130" s="1603">
        <v>0.57999999999999996</v>
      </c>
      <c r="I1130" s="1602">
        <v>0.4777777777777778</v>
      </c>
      <c r="J1130" s="1602">
        <v>0.42222222222222222</v>
      </c>
      <c r="K1130" s="1602">
        <v>0.3666666666666667</v>
      </c>
      <c r="L1130" s="1602">
        <v>0.31111111111111112</v>
      </c>
      <c r="M1130" s="1602">
        <v>0.25555555555555554</v>
      </c>
      <c r="N1130" s="1603">
        <v>0.2</v>
      </c>
      <c r="O1130" s="1602">
        <v>0.3888888888888889</v>
      </c>
    </row>
    <row r="1131" spans="2:15">
      <c r="B1131" s="1604"/>
      <c r="C1131" s="1605"/>
      <c r="D1131" s="1606" t="s">
        <v>4162</v>
      </c>
      <c r="E1131" s="1605"/>
      <c r="F1131" s="1605"/>
      <c r="G1131" s="1607"/>
      <c r="H1131" s="1608">
        <v>0.57999999999999996</v>
      </c>
      <c r="I1131" s="1608">
        <v>0.49259259259259258</v>
      </c>
      <c r="J1131" s="1608">
        <v>0.47407407407407409</v>
      </c>
      <c r="K1131" s="1608">
        <v>0.45555555555555555</v>
      </c>
      <c r="L1131" s="1608">
        <v>0.43703703703703706</v>
      </c>
      <c r="M1131" s="1608">
        <v>0.41851851851851851</v>
      </c>
      <c r="N1131" s="1609">
        <v>0.4</v>
      </c>
      <c r="O1131" s="1608">
        <v>0.46296296296296297</v>
      </c>
    </row>
    <row r="1132" spans="2:15">
      <c r="B1132" s="1459"/>
      <c r="C1132" s="1302"/>
      <c r="D1132" s="1601"/>
      <c r="E1132" s="1302"/>
      <c r="F1132" s="1302"/>
      <c r="G1132" s="1323"/>
      <c r="H1132" s="1603"/>
      <c r="I1132" s="1602"/>
      <c r="J1132" s="1602"/>
      <c r="K1132" s="1602"/>
      <c r="L1132" s="1602"/>
      <c r="M1132" s="1602"/>
      <c r="N1132" s="1603"/>
      <c r="O1132" s="1602"/>
    </row>
    <row r="1133" spans="2:15">
      <c r="B1133" s="1459"/>
      <c r="C1133" s="1302"/>
      <c r="D1133" s="1601"/>
      <c r="E1133" s="1302"/>
      <c r="F1133" s="1302"/>
      <c r="G1133" s="1323"/>
      <c r="H1133" s="1603"/>
      <c r="I1133" s="1602"/>
      <c r="J1133" s="1602"/>
      <c r="K1133" s="1602"/>
      <c r="L1133" s="1602"/>
      <c r="M1133" s="1602"/>
      <c r="N1133" s="1603"/>
      <c r="O1133" s="1602"/>
    </row>
    <row r="1134" spans="2:15">
      <c r="B1134" s="1597" t="s">
        <v>4380</v>
      </c>
      <c r="C1134" s="1598"/>
      <c r="D1134" s="1610"/>
      <c r="E1134" s="1598"/>
      <c r="F1134" s="1598"/>
      <c r="G1134" s="1599"/>
      <c r="H1134" s="1501">
        <v>2020</v>
      </c>
      <c r="I1134" s="1501">
        <v>2022</v>
      </c>
      <c r="J1134" s="1501">
        <v>2027</v>
      </c>
      <c r="K1134" s="1501">
        <v>2032</v>
      </c>
      <c r="L1134" s="1501">
        <v>2037</v>
      </c>
      <c r="M1134" s="1501">
        <v>2042</v>
      </c>
      <c r="N1134" s="1501">
        <v>2047</v>
      </c>
      <c r="O1134" s="1600">
        <v>2030</v>
      </c>
    </row>
    <row r="1135" spans="2:15">
      <c r="B1135" s="1459"/>
      <c r="C1135" s="1302"/>
      <c r="D1135" s="1601"/>
      <c r="E1135" s="1302"/>
      <c r="F1135" s="1302"/>
      <c r="G1135" s="1323"/>
      <c r="H1135" s="1611">
        <v>15.065780448269415</v>
      </c>
      <c r="I1135" s="1611">
        <v>14.151990333787952</v>
      </c>
      <c r="J1135" s="1611">
        <v>18.238954981155263</v>
      </c>
      <c r="K1135" s="1611">
        <v>23.242788187001491</v>
      </c>
      <c r="L1135" s="1611">
        <v>28.306865545670082</v>
      </c>
      <c r="M1135" s="1611">
        <v>34.08849962961034</v>
      </c>
      <c r="N1135" s="1611">
        <v>40.552261007960595</v>
      </c>
      <c r="O1135" s="1611">
        <v>21.244045463121548</v>
      </c>
    </row>
    <row r="1136" spans="2:15">
      <c r="B1136" s="1459"/>
      <c r="C1136" s="1302"/>
      <c r="D1136" s="1601"/>
      <c r="E1136" s="1302"/>
      <c r="F1136" s="1302"/>
      <c r="G1136" s="1323"/>
      <c r="H1136" s="1611"/>
      <c r="I1136" s="1611"/>
      <c r="J1136" s="1611"/>
      <c r="K1136" s="1611"/>
      <c r="L1136" s="1611"/>
      <c r="M1136" s="1611"/>
      <c r="N1136" s="1611"/>
      <c r="O1136" s="1611"/>
    </row>
    <row r="1137" spans="1:117">
      <c r="B1137" s="1459"/>
      <c r="C1137" s="1302"/>
      <c r="D1137" s="1601"/>
      <c r="E1137" s="1302"/>
      <c r="F1137" s="1302"/>
      <c r="G1137" s="1323"/>
      <c r="H1137" s="1603"/>
      <c r="I1137" s="1602"/>
      <c r="J1137" s="1602"/>
      <c r="K1137" s="1602"/>
      <c r="L1137" s="1602"/>
      <c r="M1137" s="1602"/>
      <c r="N1137" s="1603"/>
      <c r="O1137" s="1602"/>
    </row>
    <row r="1138" spans="1:117">
      <c r="B1138" s="1597" t="s">
        <v>4381</v>
      </c>
      <c r="C1138" s="1598"/>
      <c r="D1138" s="1610"/>
      <c r="E1138" s="1598"/>
      <c r="F1138" s="1598"/>
      <c r="G1138" s="1599"/>
      <c r="H1138" s="1501">
        <v>2020</v>
      </c>
      <c r="I1138" s="1501">
        <v>2022</v>
      </c>
      <c r="J1138" s="1501">
        <v>2027</v>
      </c>
      <c r="K1138" s="1501">
        <v>2032</v>
      </c>
      <c r="L1138" s="1501">
        <v>2037</v>
      </c>
      <c r="M1138" s="1501">
        <v>2042</v>
      </c>
      <c r="N1138" s="1501">
        <v>2047</v>
      </c>
      <c r="O1138" s="1600">
        <v>2030</v>
      </c>
    </row>
    <row r="1139" spans="1:117">
      <c r="B1139" s="1459"/>
      <c r="C1139" s="1302"/>
      <c r="D1139" s="1601"/>
      <c r="E1139" s="1302"/>
      <c r="F1139" s="1302"/>
      <c r="G1139" s="1323"/>
      <c r="H1139" s="1611">
        <v>41.041263979768402</v>
      </c>
      <c r="I1139" s="1611">
        <v>42.881594770801087</v>
      </c>
      <c r="J1139" s="1611">
        <v>56.711750644529644</v>
      </c>
      <c r="K1139" s="1611">
        <v>74.263542743834037</v>
      </c>
      <c r="L1139" s="1611">
        <v>93.076812133220258</v>
      </c>
      <c r="M1139" s="1611">
        <v>115.538896974697</v>
      </c>
      <c r="N1139" s="1611">
        <v>141.93291352786207</v>
      </c>
      <c r="O1139" s="1611">
        <v>67.131183663464085</v>
      </c>
    </row>
    <row r="1140" spans="1:117">
      <c r="B1140" s="1459"/>
      <c r="C1140" s="1302"/>
      <c r="D1140" s="1601"/>
      <c r="E1140" s="1302"/>
      <c r="F1140" s="1302"/>
      <c r="G1140" s="1323"/>
      <c r="H1140" s="1603"/>
      <c r="I1140" s="1603"/>
      <c r="J1140" s="1603"/>
      <c r="K1140" s="1603"/>
      <c r="L1140" s="1603"/>
      <c r="M1140" s="1603"/>
      <c r="N1140" s="1603"/>
      <c r="O1140" s="1603"/>
    </row>
    <row r="1141" spans="1:117">
      <c r="B1141" s="1459"/>
      <c r="C1141" s="1302"/>
      <c r="D1141" s="1302"/>
      <c r="E1141" s="1302"/>
      <c r="F1141" s="1302"/>
      <c r="G1141" s="1323"/>
      <c r="H1141" s="1323"/>
      <c r="I1141" s="1323"/>
      <c r="J1141" s="1323"/>
      <c r="K1141" s="1323"/>
      <c r="L1141" s="1323"/>
      <c r="M1141" s="1323"/>
      <c r="N1141" s="1323"/>
      <c r="O1141" s="1302"/>
    </row>
    <row r="1142" spans="1:117">
      <c r="B1142" s="1459" t="s">
        <v>4382</v>
      </c>
      <c r="C1142" s="1302"/>
      <c r="D1142" s="1302"/>
      <c r="E1142" s="1302"/>
      <c r="F1142" s="1302"/>
      <c r="G1142" s="1323"/>
      <c r="H1142" s="1612">
        <v>0.81271827242820116</v>
      </c>
      <c r="I1142" s="1612">
        <v>2.409031226635058</v>
      </c>
      <c r="J1142" s="1612">
        <v>0.79102444831472596</v>
      </c>
      <c r="K1142" s="1612">
        <v>0.6620259208358803</v>
      </c>
      <c r="L1142" s="1612">
        <v>0.6003750237674268</v>
      </c>
      <c r="M1142" s="1612">
        <v>0.51249783554787598</v>
      </c>
      <c r="N1142" s="1612">
        <v>0.55817733728902041</v>
      </c>
      <c r="O1142" s="1612">
        <v>0.71389440209331667</v>
      </c>
    </row>
    <row r="1143" spans="1:117" s="1302" customFormat="1" ht="16">
      <c r="A1143" s="1241"/>
      <c r="B1143" s="1200" t="s">
        <v>4165</v>
      </c>
      <c r="C1143" s="1247"/>
      <c r="D1143" s="1247"/>
      <c r="E1143" s="1247"/>
      <c r="F1143" s="1247"/>
      <c r="G1143" s="1248"/>
      <c r="H1143" s="1248"/>
      <c r="I1143" s="1248"/>
      <c r="J1143" s="1248"/>
      <c r="K1143" s="1248"/>
      <c r="L1143" s="1248"/>
      <c r="M1143" s="1248"/>
      <c r="N1143" s="1248"/>
      <c r="O1143" s="1247"/>
      <c r="P1143" s="1241"/>
      <c r="Q1143" s="1241"/>
      <c r="R1143" s="1241"/>
      <c r="S1143" s="1241"/>
      <c r="T1143" s="1241"/>
      <c r="U1143" s="1241"/>
      <c r="V1143" s="1241"/>
      <c r="W1143" s="1241"/>
      <c r="X1143" s="1241"/>
      <c r="Y1143" s="1241"/>
      <c r="Z1143" s="1241"/>
      <c r="AA1143" s="1241"/>
      <c r="AB1143" s="1241"/>
      <c r="AC1143" s="1241"/>
      <c r="AD1143" s="1241"/>
      <c r="AE1143" s="1241"/>
      <c r="AF1143" s="1241"/>
      <c r="AG1143" s="1241"/>
      <c r="AH1143" s="1241"/>
      <c r="AI1143" s="1241"/>
      <c r="AJ1143" s="1241"/>
      <c r="AK1143" s="1241"/>
      <c r="AL1143" s="1241"/>
      <c r="AM1143" s="1241"/>
      <c r="AN1143" s="1241"/>
      <c r="AO1143" s="1241"/>
      <c r="AP1143" s="1241"/>
      <c r="AQ1143" s="1241"/>
      <c r="AR1143" s="1241"/>
      <c r="AS1143" s="1241"/>
      <c r="AT1143" s="1241"/>
      <c r="AU1143" s="1241"/>
      <c r="AV1143" s="1241"/>
      <c r="AW1143" s="1241"/>
      <c r="AX1143" s="1241"/>
      <c r="AY1143" s="1241"/>
      <c r="AZ1143" s="1241"/>
      <c r="BA1143" s="1241"/>
      <c r="BB1143" s="1241"/>
      <c r="BC1143" s="1241"/>
      <c r="BD1143" s="1241"/>
      <c r="BE1143" s="1241"/>
      <c r="BF1143" s="1241"/>
      <c r="BG1143" s="1241"/>
      <c r="BH1143" s="1241"/>
      <c r="BI1143" s="1241"/>
      <c r="BJ1143" s="1241"/>
      <c r="BK1143" s="1241"/>
      <c r="BL1143" s="1241"/>
      <c r="BM1143" s="1241"/>
      <c r="BN1143" s="1241"/>
      <c r="BO1143" s="1241"/>
      <c r="BP1143" s="1241"/>
      <c r="BQ1143" s="1241"/>
      <c r="BR1143" s="1241"/>
      <c r="BS1143" s="1241"/>
      <c r="BT1143" s="1241"/>
      <c r="BU1143" s="1241"/>
      <c r="BV1143" s="1241"/>
      <c r="BW1143" s="1241"/>
      <c r="BX1143" s="1241"/>
      <c r="BY1143" s="1241"/>
      <c r="BZ1143" s="1241"/>
      <c r="CA1143" s="1241"/>
      <c r="CB1143" s="1241"/>
      <c r="CC1143" s="1241"/>
      <c r="CD1143" s="1241"/>
      <c r="CE1143" s="1241"/>
      <c r="CF1143" s="1241"/>
      <c r="CG1143" s="1241"/>
      <c r="CH1143" s="1241"/>
      <c r="CI1143" s="1241"/>
      <c r="CJ1143" s="1241"/>
      <c r="CK1143" s="1241"/>
      <c r="CL1143" s="1241"/>
      <c r="CM1143" s="1241"/>
      <c r="CN1143" s="1241"/>
      <c r="CO1143" s="1241"/>
      <c r="CP1143" s="1241"/>
      <c r="CQ1143" s="1241"/>
      <c r="CR1143" s="1241"/>
      <c r="CS1143" s="1241"/>
      <c r="CT1143" s="1241"/>
      <c r="CU1143" s="1241"/>
      <c r="CV1143" s="1241"/>
      <c r="CW1143" s="1241"/>
      <c r="CX1143" s="1241"/>
      <c r="CY1143" s="1241"/>
      <c r="CZ1143" s="1241"/>
      <c r="DA1143" s="1241"/>
      <c r="DB1143" s="1241"/>
      <c r="DC1143" s="1241"/>
      <c r="DD1143" s="1241"/>
      <c r="DE1143" s="1241"/>
      <c r="DF1143" s="1241"/>
      <c r="DG1143" s="1241"/>
      <c r="DH1143" s="1241"/>
      <c r="DI1143" s="1241"/>
      <c r="DJ1143" s="1241"/>
      <c r="DK1143" s="1241"/>
      <c r="DL1143" s="1241"/>
      <c r="DM1143" s="1241"/>
    </row>
    <row r="1144" spans="1:117" s="1302" customFormat="1">
      <c r="A1144" s="1241"/>
      <c r="B1144" s="1613"/>
      <c r="C1144" s="1249"/>
      <c r="D1144" s="1249"/>
      <c r="E1144" s="1249"/>
      <c r="F1144" s="1249"/>
      <c r="G1144" s="1250"/>
      <c r="H1144" s="1250"/>
      <c r="I1144" s="1250"/>
      <c r="J1144" s="1250"/>
      <c r="K1144" s="1250"/>
      <c r="L1144" s="1250"/>
      <c r="M1144" s="1250"/>
      <c r="N1144" s="1250"/>
      <c r="O1144" s="1249"/>
      <c r="P1144" s="1241"/>
      <c r="Q1144" s="1241"/>
      <c r="R1144" s="1241"/>
      <c r="S1144" s="1241"/>
      <c r="T1144" s="1241"/>
      <c r="U1144" s="1241"/>
      <c r="V1144" s="1241"/>
      <c r="W1144" s="1241"/>
      <c r="X1144" s="1241"/>
      <c r="Y1144" s="1241"/>
      <c r="Z1144" s="1241"/>
      <c r="AA1144" s="1241"/>
      <c r="AB1144" s="1241"/>
      <c r="AC1144" s="1241"/>
      <c r="AD1144" s="1241"/>
      <c r="AE1144" s="1241"/>
      <c r="AF1144" s="1241"/>
      <c r="AG1144" s="1241"/>
      <c r="AH1144" s="1241"/>
      <c r="AI1144" s="1241"/>
      <c r="AJ1144" s="1241"/>
      <c r="AK1144" s="1241"/>
      <c r="AL1144" s="1241"/>
      <c r="AM1144" s="1241"/>
      <c r="AN1144" s="1241"/>
      <c r="AO1144" s="1241"/>
      <c r="AP1144" s="1241"/>
      <c r="AQ1144" s="1241"/>
      <c r="AR1144" s="1241"/>
      <c r="AS1144" s="1241"/>
      <c r="AT1144" s="1241"/>
      <c r="AU1144" s="1241"/>
      <c r="AV1144" s="1241"/>
      <c r="AW1144" s="1241"/>
      <c r="AX1144" s="1241"/>
      <c r="AY1144" s="1241"/>
      <c r="AZ1144" s="1241"/>
      <c r="BA1144" s="1241"/>
      <c r="BB1144" s="1241"/>
      <c r="BC1144" s="1241"/>
      <c r="BD1144" s="1241"/>
      <c r="BE1144" s="1241"/>
      <c r="BF1144" s="1241"/>
      <c r="BG1144" s="1241"/>
      <c r="BH1144" s="1241"/>
      <c r="BI1144" s="1241"/>
      <c r="BJ1144" s="1241"/>
      <c r="BK1144" s="1241"/>
      <c r="BL1144" s="1241"/>
      <c r="BM1144" s="1241"/>
      <c r="BN1144" s="1241"/>
      <c r="BO1144" s="1241"/>
      <c r="BP1144" s="1241"/>
      <c r="BQ1144" s="1241"/>
      <c r="BR1144" s="1241"/>
      <c r="BS1144" s="1241"/>
      <c r="BT1144" s="1241"/>
      <c r="BU1144" s="1241"/>
      <c r="BV1144" s="1241"/>
      <c r="BW1144" s="1241"/>
      <c r="BX1144" s="1241"/>
      <c r="BY1144" s="1241"/>
      <c r="BZ1144" s="1241"/>
      <c r="CA1144" s="1241"/>
      <c r="CB1144" s="1241"/>
      <c r="CC1144" s="1241"/>
      <c r="CD1144" s="1241"/>
      <c r="CE1144" s="1241"/>
      <c r="CF1144" s="1241"/>
      <c r="CG1144" s="1241"/>
      <c r="CH1144" s="1241"/>
      <c r="CI1144" s="1241"/>
      <c r="CJ1144" s="1241"/>
      <c r="CK1144" s="1241"/>
      <c r="CL1144" s="1241"/>
      <c r="CM1144" s="1241"/>
      <c r="CN1144" s="1241"/>
      <c r="CO1144" s="1241"/>
      <c r="CP1144" s="1241"/>
      <c r="CQ1144" s="1241"/>
      <c r="CR1144" s="1241"/>
      <c r="CS1144" s="1241"/>
      <c r="CT1144" s="1241"/>
      <c r="CU1144" s="1241"/>
      <c r="CV1144" s="1241"/>
      <c r="CW1144" s="1241"/>
      <c r="CX1144" s="1241"/>
      <c r="CY1144" s="1241"/>
      <c r="CZ1144" s="1241"/>
      <c r="DA1144" s="1241"/>
      <c r="DB1144" s="1241"/>
      <c r="DC1144" s="1241"/>
      <c r="DD1144" s="1241"/>
      <c r="DE1144" s="1241"/>
      <c r="DF1144" s="1241"/>
      <c r="DG1144" s="1241"/>
      <c r="DH1144" s="1241"/>
      <c r="DI1144" s="1241"/>
      <c r="DJ1144" s="1241"/>
      <c r="DK1144" s="1241"/>
      <c r="DL1144" s="1241"/>
      <c r="DM1144" s="1241"/>
    </row>
    <row r="1145" spans="1:117" s="1302" customFormat="1">
      <c r="A1145" s="1241"/>
      <c r="B1145" s="1613"/>
      <c r="C1145" s="1614" t="s">
        <v>4383</v>
      </c>
      <c r="D1145" s="1249"/>
      <c r="E1145" s="1251"/>
      <c r="F1145" s="1615"/>
      <c r="G1145" s="1250"/>
      <c r="H1145" s="1250"/>
      <c r="I1145" s="1250"/>
      <c r="J1145" s="1250"/>
      <c r="K1145" s="1250"/>
      <c r="L1145" s="1250"/>
      <c r="M1145" s="1250"/>
      <c r="N1145" s="1250"/>
      <c r="O1145" s="1251" t="s">
        <v>420</v>
      </c>
      <c r="P1145" s="1241"/>
      <c r="Q1145" s="1241"/>
      <c r="R1145" s="1241"/>
      <c r="S1145" s="1241"/>
      <c r="T1145" s="1241"/>
      <c r="U1145" s="1241"/>
      <c r="V1145" s="1241"/>
      <c r="W1145" s="1241"/>
      <c r="X1145" s="1241"/>
      <c r="Y1145" s="1241"/>
      <c r="Z1145" s="1241"/>
      <c r="AA1145" s="1241"/>
      <c r="AB1145" s="1241"/>
      <c r="AC1145" s="1241"/>
      <c r="AD1145" s="1241"/>
      <c r="AE1145" s="1241"/>
      <c r="AF1145" s="1241"/>
      <c r="AG1145" s="1241"/>
      <c r="AH1145" s="1241"/>
      <c r="AI1145" s="1241"/>
      <c r="AJ1145" s="1241"/>
      <c r="AK1145" s="1241"/>
      <c r="AL1145" s="1241"/>
      <c r="AM1145" s="1241"/>
      <c r="AN1145" s="1241"/>
      <c r="AO1145" s="1241"/>
      <c r="AP1145" s="1241"/>
      <c r="AQ1145" s="1241"/>
      <c r="AR1145" s="1241"/>
      <c r="AS1145" s="1241"/>
      <c r="AT1145" s="1241"/>
      <c r="AU1145" s="1241"/>
      <c r="AV1145" s="1241"/>
      <c r="AW1145" s="1241"/>
      <c r="AX1145" s="1241"/>
      <c r="AY1145" s="1241"/>
      <c r="AZ1145" s="1241"/>
      <c r="BA1145" s="1241"/>
      <c r="BB1145" s="1241"/>
      <c r="BC1145" s="1241"/>
      <c r="BD1145" s="1241"/>
      <c r="BE1145" s="1241"/>
      <c r="BF1145" s="1241"/>
      <c r="BG1145" s="1241"/>
      <c r="BH1145" s="1241"/>
      <c r="BI1145" s="1241"/>
      <c r="BJ1145" s="1241"/>
      <c r="BK1145" s="1241"/>
      <c r="BL1145" s="1241"/>
      <c r="BM1145" s="1241"/>
      <c r="BN1145" s="1241"/>
      <c r="BO1145" s="1241"/>
      <c r="BP1145" s="1241"/>
      <c r="BQ1145" s="1241"/>
      <c r="BR1145" s="1241"/>
      <c r="BS1145" s="1241"/>
      <c r="BT1145" s="1241"/>
      <c r="BU1145" s="1241"/>
      <c r="BV1145" s="1241"/>
      <c r="BW1145" s="1241"/>
      <c r="BX1145" s="1241"/>
      <c r="BY1145" s="1241"/>
      <c r="BZ1145" s="1241"/>
      <c r="CA1145" s="1241"/>
      <c r="CB1145" s="1241"/>
      <c r="CC1145" s="1241"/>
      <c r="CD1145" s="1241"/>
      <c r="CE1145" s="1241"/>
      <c r="CF1145" s="1241"/>
      <c r="CG1145" s="1241"/>
      <c r="CH1145" s="1241"/>
      <c r="CI1145" s="1241"/>
      <c r="CJ1145" s="1241"/>
      <c r="CK1145" s="1241"/>
      <c r="CL1145" s="1241"/>
      <c r="CM1145" s="1241"/>
      <c r="CN1145" s="1241"/>
      <c r="CO1145" s="1241"/>
      <c r="CP1145" s="1241"/>
      <c r="CQ1145" s="1241"/>
      <c r="CR1145" s="1241"/>
      <c r="CS1145" s="1241"/>
      <c r="CT1145" s="1241"/>
      <c r="CU1145" s="1241"/>
      <c r="CV1145" s="1241"/>
      <c r="CW1145" s="1241"/>
      <c r="CX1145" s="1241"/>
      <c r="CY1145" s="1241"/>
      <c r="CZ1145" s="1241"/>
      <c r="DA1145" s="1241"/>
      <c r="DB1145" s="1241"/>
      <c r="DC1145" s="1241"/>
      <c r="DD1145" s="1241"/>
      <c r="DE1145" s="1241"/>
      <c r="DF1145" s="1241"/>
      <c r="DG1145" s="1241"/>
      <c r="DH1145" s="1241"/>
      <c r="DI1145" s="1241"/>
      <c r="DJ1145" s="1241"/>
      <c r="DK1145" s="1241"/>
      <c r="DL1145" s="1241"/>
      <c r="DM1145" s="1241"/>
    </row>
    <row r="1146" spans="1:117" s="1302" customFormat="1" ht="6.75" customHeight="1">
      <c r="A1146" s="1241"/>
      <c r="B1146" s="1613"/>
      <c r="C1146" s="1249"/>
      <c r="D1146" s="1249"/>
      <c r="E1146" s="1249"/>
      <c r="F1146" s="1249"/>
      <c r="G1146" s="1250"/>
      <c r="H1146" s="1250"/>
      <c r="I1146" s="1250"/>
      <c r="J1146" s="1250"/>
      <c r="K1146" s="1250"/>
      <c r="L1146" s="1250"/>
      <c r="M1146" s="1250"/>
      <c r="N1146" s="1250"/>
      <c r="O1146" s="1249"/>
      <c r="P1146" s="1241"/>
      <c r="Q1146" s="1241"/>
      <c r="R1146" s="1241"/>
      <c r="S1146" s="1241"/>
      <c r="T1146" s="1241"/>
      <c r="U1146" s="1241"/>
      <c r="V1146" s="1241"/>
      <c r="W1146" s="1241"/>
      <c r="X1146" s="1241"/>
      <c r="Y1146" s="1241"/>
      <c r="Z1146" s="1241"/>
      <c r="AA1146" s="1241"/>
      <c r="AB1146" s="1241"/>
      <c r="AC1146" s="1241"/>
      <c r="AD1146" s="1241"/>
      <c r="AE1146" s="1241"/>
      <c r="AF1146" s="1241"/>
      <c r="AG1146" s="1241"/>
      <c r="AH1146" s="1241"/>
      <c r="AI1146" s="1241"/>
      <c r="AJ1146" s="1241"/>
      <c r="AK1146" s="1241"/>
      <c r="AL1146" s="1241"/>
      <c r="AM1146" s="1241"/>
      <c r="AN1146" s="1241"/>
      <c r="AO1146" s="1241"/>
      <c r="AP1146" s="1241"/>
      <c r="AQ1146" s="1241"/>
      <c r="AR1146" s="1241"/>
      <c r="AS1146" s="1241"/>
      <c r="AT1146" s="1241"/>
      <c r="AU1146" s="1241"/>
      <c r="AV1146" s="1241"/>
      <c r="AW1146" s="1241"/>
      <c r="AX1146" s="1241"/>
      <c r="AY1146" s="1241"/>
      <c r="AZ1146" s="1241"/>
      <c r="BA1146" s="1241"/>
      <c r="BB1146" s="1241"/>
      <c r="BC1146" s="1241"/>
      <c r="BD1146" s="1241"/>
      <c r="BE1146" s="1241"/>
      <c r="BF1146" s="1241"/>
      <c r="BG1146" s="1241"/>
      <c r="BH1146" s="1241"/>
      <c r="BI1146" s="1241"/>
      <c r="BJ1146" s="1241"/>
      <c r="BK1146" s="1241"/>
      <c r="BL1146" s="1241"/>
      <c r="BM1146" s="1241"/>
      <c r="BN1146" s="1241"/>
      <c r="BO1146" s="1241"/>
      <c r="BP1146" s="1241"/>
      <c r="BQ1146" s="1241"/>
      <c r="BR1146" s="1241"/>
      <c r="BS1146" s="1241"/>
      <c r="BT1146" s="1241"/>
      <c r="BU1146" s="1241"/>
      <c r="BV1146" s="1241"/>
      <c r="BW1146" s="1241"/>
      <c r="BX1146" s="1241"/>
      <c r="BY1146" s="1241"/>
      <c r="BZ1146" s="1241"/>
      <c r="CA1146" s="1241"/>
      <c r="CB1146" s="1241"/>
      <c r="CC1146" s="1241"/>
      <c r="CD1146" s="1241"/>
      <c r="CE1146" s="1241"/>
      <c r="CF1146" s="1241"/>
      <c r="CG1146" s="1241"/>
      <c r="CH1146" s="1241"/>
      <c r="CI1146" s="1241"/>
      <c r="CJ1146" s="1241"/>
      <c r="CK1146" s="1241"/>
      <c r="CL1146" s="1241"/>
      <c r="CM1146" s="1241"/>
      <c r="CN1146" s="1241"/>
      <c r="CO1146" s="1241"/>
      <c r="CP1146" s="1241"/>
      <c r="CQ1146" s="1241"/>
      <c r="CR1146" s="1241"/>
      <c r="CS1146" s="1241"/>
      <c r="CT1146" s="1241"/>
      <c r="CU1146" s="1241"/>
      <c r="CV1146" s="1241"/>
      <c r="CW1146" s="1241"/>
      <c r="CX1146" s="1241"/>
      <c r="CY1146" s="1241"/>
      <c r="CZ1146" s="1241"/>
      <c r="DA1146" s="1241"/>
      <c r="DB1146" s="1241"/>
      <c r="DC1146" s="1241"/>
      <c r="DD1146" s="1241"/>
      <c r="DE1146" s="1241"/>
      <c r="DF1146" s="1241"/>
      <c r="DG1146" s="1241"/>
      <c r="DH1146" s="1241"/>
      <c r="DI1146" s="1241"/>
      <c r="DJ1146" s="1241"/>
      <c r="DK1146" s="1241"/>
      <c r="DL1146" s="1241"/>
      <c r="DM1146" s="1241"/>
    </row>
    <row r="1147" spans="1:117" s="1302" customFormat="1" ht="16">
      <c r="A1147" s="1241"/>
      <c r="B1147" s="1616"/>
      <c r="C1147" s="1656" t="s">
        <v>4166</v>
      </c>
      <c r="D1147" s="1657" t="s">
        <v>4167</v>
      </c>
      <c r="E1147" s="1657" t="s">
        <v>48</v>
      </c>
      <c r="F1147" s="1658" t="s">
        <v>4384</v>
      </c>
      <c r="G1147" s="1659" t="s">
        <v>4168</v>
      </c>
      <c r="H1147" s="1659" t="s">
        <v>3859</v>
      </c>
      <c r="I1147" s="1659" t="s">
        <v>4170</v>
      </c>
      <c r="J1147" s="1659" t="s">
        <v>4171</v>
      </c>
      <c r="K1147" s="1659" t="s">
        <v>4172</v>
      </c>
      <c r="L1147" s="1659" t="s">
        <v>4173</v>
      </c>
      <c r="M1147" s="1659" t="s">
        <v>4174</v>
      </c>
      <c r="N1147" s="1659" t="s">
        <v>4175</v>
      </c>
      <c r="O1147" s="1660" t="s">
        <v>3860</v>
      </c>
      <c r="P1147" s="1241"/>
      <c r="Q1147" s="1241"/>
      <c r="R1147" s="1241"/>
      <c r="S1147" s="1241"/>
      <c r="T1147" s="1241"/>
      <c r="U1147" s="1241"/>
      <c r="V1147" s="1241"/>
      <c r="W1147" s="1241"/>
      <c r="X1147" s="1241"/>
      <c r="Y1147" s="1241"/>
      <c r="Z1147" s="1241"/>
      <c r="AA1147" s="1241"/>
      <c r="AB1147" s="1241"/>
      <c r="AC1147" s="1241"/>
      <c r="AD1147" s="1241"/>
      <c r="AE1147" s="1241"/>
      <c r="AF1147" s="1241"/>
      <c r="AG1147" s="1241"/>
      <c r="AH1147" s="1241"/>
      <c r="AI1147" s="1241"/>
      <c r="AJ1147" s="1241"/>
      <c r="AK1147" s="1241"/>
      <c r="AL1147" s="1241"/>
      <c r="AM1147" s="1241"/>
      <c r="AN1147" s="1241"/>
      <c r="AO1147" s="1241"/>
      <c r="AP1147" s="1241"/>
      <c r="AQ1147" s="1241"/>
      <c r="AR1147" s="1241"/>
      <c r="AS1147" s="1241"/>
      <c r="AT1147" s="1241"/>
      <c r="AU1147" s="1241"/>
      <c r="AV1147" s="1241"/>
      <c r="AW1147" s="1241"/>
      <c r="AX1147" s="1241"/>
      <c r="AY1147" s="1241"/>
      <c r="AZ1147" s="1241"/>
      <c r="BA1147" s="1241"/>
      <c r="BB1147" s="1241"/>
      <c r="BC1147" s="1241"/>
      <c r="BD1147" s="1241"/>
      <c r="BE1147" s="1241"/>
      <c r="BF1147" s="1241"/>
      <c r="BG1147" s="1241"/>
      <c r="BH1147" s="1241"/>
      <c r="BI1147" s="1241"/>
      <c r="BJ1147" s="1241"/>
      <c r="BK1147" s="1241"/>
      <c r="BL1147" s="1241"/>
      <c r="BM1147" s="1241"/>
      <c r="BN1147" s="1241"/>
      <c r="BO1147" s="1241"/>
      <c r="BP1147" s="1241"/>
      <c r="BQ1147" s="1241"/>
      <c r="BR1147" s="1241"/>
      <c r="BS1147" s="1241"/>
      <c r="BT1147" s="1241"/>
      <c r="BU1147" s="1241"/>
      <c r="BV1147" s="1241"/>
      <c r="BW1147" s="1241"/>
      <c r="BX1147" s="1241"/>
      <c r="BY1147" s="1241"/>
      <c r="BZ1147" s="1241"/>
      <c r="CA1147" s="1241"/>
      <c r="CB1147" s="1241"/>
      <c r="CC1147" s="1241"/>
      <c r="CD1147" s="1241"/>
      <c r="CE1147" s="1241"/>
      <c r="CF1147" s="1241"/>
      <c r="CG1147" s="1241"/>
      <c r="CH1147" s="1241"/>
      <c r="CI1147" s="1241"/>
      <c r="CJ1147" s="1241"/>
      <c r="CK1147" s="1241"/>
      <c r="CL1147" s="1241"/>
      <c r="CM1147" s="1241"/>
      <c r="CN1147" s="1241"/>
      <c r="CO1147" s="1241"/>
      <c r="CP1147" s="1241"/>
      <c r="CQ1147" s="1241"/>
      <c r="CR1147" s="1241"/>
      <c r="CS1147" s="1241"/>
      <c r="CT1147" s="1241"/>
      <c r="CU1147" s="1241"/>
      <c r="CV1147" s="1241"/>
      <c r="CW1147" s="1241"/>
      <c r="CX1147" s="1241"/>
      <c r="CY1147" s="1241"/>
      <c r="CZ1147" s="1241"/>
      <c r="DA1147" s="1241"/>
      <c r="DB1147" s="1241"/>
      <c r="DC1147" s="1241"/>
      <c r="DD1147" s="1241"/>
      <c r="DE1147" s="1241"/>
      <c r="DF1147" s="1241"/>
      <c r="DG1147" s="1241"/>
      <c r="DH1147" s="1241"/>
      <c r="DI1147" s="1241"/>
      <c r="DJ1147" s="1241"/>
      <c r="DK1147" s="1241"/>
      <c r="DL1147" s="1241"/>
      <c r="DM1147" s="1241"/>
    </row>
    <row r="1148" spans="1:117" s="1302" customFormat="1" ht="16">
      <c r="A1148" s="1241"/>
      <c r="B1148" s="1616"/>
      <c r="C1148" s="1661" t="s">
        <v>3940</v>
      </c>
      <c r="D1148" s="1662" t="s">
        <v>413</v>
      </c>
      <c r="E1148" s="1662"/>
      <c r="F1148" s="1663"/>
      <c r="G1148" s="1664"/>
      <c r="H1148" s="1665">
        <v>238.39372131647949</v>
      </c>
      <c r="I1148" s="1665">
        <v>262.41250218921147</v>
      </c>
      <c r="J1148" s="1665">
        <v>338.38186099748185</v>
      </c>
      <c r="K1148" s="1665">
        <v>431.25874879753786</v>
      </c>
      <c r="L1148" s="1665">
        <v>528.38346782755627</v>
      </c>
      <c r="M1148" s="1665">
        <v>642.41617325415712</v>
      </c>
      <c r="N1148" s="1665">
        <v>774.31043011676002</v>
      </c>
      <c r="O1148" s="1666">
        <v>394.18086501358039</v>
      </c>
      <c r="P1148" s="1241"/>
      <c r="Q1148" s="1241"/>
      <c r="R1148" s="1241"/>
      <c r="S1148" s="1241"/>
      <c r="T1148" s="1241"/>
      <c r="U1148" s="1241"/>
      <c r="V1148" s="1241"/>
      <c r="W1148" s="1241"/>
      <c r="X1148" s="1241"/>
      <c r="Y1148" s="1241"/>
      <c r="Z1148" s="1241"/>
      <c r="AA1148" s="1241"/>
      <c r="AB1148" s="1241"/>
      <c r="AC1148" s="1241"/>
      <c r="AD1148" s="1241"/>
      <c r="AE1148" s="1241"/>
      <c r="AF1148" s="1241"/>
      <c r="AG1148" s="1241"/>
      <c r="AH1148" s="1241"/>
      <c r="AI1148" s="1241"/>
      <c r="AJ1148" s="1241"/>
      <c r="AK1148" s="1241"/>
      <c r="AL1148" s="1241"/>
      <c r="AM1148" s="1241"/>
      <c r="AN1148" s="1241"/>
      <c r="AO1148" s="1241"/>
      <c r="AP1148" s="1241"/>
      <c r="AQ1148" s="1241"/>
      <c r="AR1148" s="1241"/>
      <c r="AS1148" s="1241"/>
      <c r="AT1148" s="1241"/>
      <c r="AU1148" s="1241"/>
      <c r="AV1148" s="1241"/>
      <c r="AW1148" s="1241"/>
      <c r="AX1148" s="1241"/>
      <c r="AY1148" s="1241"/>
      <c r="AZ1148" s="1241"/>
      <c r="BA1148" s="1241"/>
      <c r="BB1148" s="1241"/>
      <c r="BC1148" s="1241"/>
      <c r="BD1148" s="1241"/>
      <c r="BE1148" s="1241"/>
      <c r="BF1148" s="1241"/>
      <c r="BG1148" s="1241"/>
      <c r="BH1148" s="1241"/>
      <c r="BI1148" s="1241"/>
      <c r="BJ1148" s="1241"/>
      <c r="BK1148" s="1241"/>
      <c r="BL1148" s="1241"/>
      <c r="BM1148" s="1241"/>
      <c r="BN1148" s="1241"/>
      <c r="BO1148" s="1241"/>
      <c r="BP1148" s="1241"/>
      <c r="BQ1148" s="1241"/>
      <c r="BR1148" s="1241"/>
      <c r="BS1148" s="1241"/>
      <c r="BT1148" s="1241"/>
      <c r="BU1148" s="1241"/>
      <c r="BV1148" s="1241"/>
      <c r="BW1148" s="1241"/>
      <c r="BX1148" s="1241"/>
      <c r="BY1148" s="1241"/>
      <c r="BZ1148" s="1241"/>
      <c r="CA1148" s="1241"/>
      <c r="CB1148" s="1241"/>
      <c r="CC1148" s="1241"/>
      <c r="CD1148" s="1241"/>
      <c r="CE1148" s="1241"/>
      <c r="CF1148" s="1241"/>
      <c r="CG1148" s="1241"/>
      <c r="CH1148" s="1241"/>
      <c r="CI1148" s="1241"/>
      <c r="CJ1148" s="1241"/>
      <c r="CK1148" s="1241"/>
      <c r="CL1148" s="1241"/>
      <c r="CM1148" s="1241"/>
      <c r="CN1148" s="1241"/>
      <c r="CO1148" s="1241"/>
      <c r="CP1148" s="1241"/>
      <c r="CQ1148" s="1241"/>
      <c r="CR1148" s="1241"/>
      <c r="CS1148" s="1241"/>
      <c r="CT1148" s="1241"/>
      <c r="CU1148" s="1241"/>
      <c r="CV1148" s="1241"/>
      <c r="CW1148" s="1241"/>
      <c r="CX1148" s="1241"/>
      <c r="CY1148" s="1241"/>
      <c r="CZ1148" s="1241"/>
      <c r="DA1148" s="1241"/>
      <c r="DB1148" s="1241"/>
      <c r="DC1148" s="1241"/>
      <c r="DD1148" s="1241"/>
      <c r="DE1148" s="1241"/>
      <c r="DF1148" s="1241"/>
      <c r="DG1148" s="1241"/>
      <c r="DH1148" s="1241"/>
      <c r="DI1148" s="1241"/>
      <c r="DJ1148" s="1241"/>
      <c r="DK1148" s="1241"/>
      <c r="DL1148" s="1241"/>
      <c r="DM1148" s="1241"/>
    </row>
    <row r="1149" spans="1:117" s="1302" customFormat="1" ht="16">
      <c r="A1149" s="1241"/>
      <c r="B1149" s="1616"/>
      <c r="C1149" s="1667" t="s">
        <v>4032</v>
      </c>
      <c r="D1149" s="1668" t="s">
        <v>4033</v>
      </c>
      <c r="E1149" s="1668"/>
      <c r="F1149" s="1669"/>
      <c r="G1149" s="1670"/>
      <c r="H1149" s="1670">
        <v>-25.975483531498991</v>
      </c>
      <c r="I1149" s="1670">
        <v>-28.729604437013137</v>
      </c>
      <c r="J1149" s="1670">
        <v>-38.472795663374384</v>
      </c>
      <c r="K1149" s="1670">
        <v>-51.020754556832543</v>
      </c>
      <c r="L1149" s="1670">
        <v>-64.76994658755018</v>
      </c>
      <c r="M1149" s="1670">
        <v>-81.450397345086657</v>
      </c>
      <c r="N1149" s="1670">
        <v>-101.38065251990147</v>
      </c>
      <c r="O1149" s="1671">
        <v>-45.887138200342541</v>
      </c>
      <c r="P1149" s="1241"/>
      <c r="Q1149" s="1241"/>
      <c r="R1149" s="1241"/>
      <c r="S1149" s="1241"/>
      <c r="T1149" s="1241"/>
      <c r="U1149" s="1241"/>
      <c r="V1149" s="1241"/>
      <c r="W1149" s="1241"/>
      <c r="X1149" s="1241"/>
      <c r="Y1149" s="1241"/>
      <c r="Z1149" s="1241"/>
      <c r="AA1149" s="1241"/>
      <c r="AB1149" s="1241"/>
      <c r="AC1149" s="1241"/>
      <c r="AD1149" s="1241"/>
      <c r="AE1149" s="1241"/>
      <c r="AF1149" s="1241"/>
      <c r="AG1149" s="1241"/>
      <c r="AH1149" s="1241"/>
      <c r="AI1149" s="1241"/>
      <c r="AJ1149" s="1241"/>
      <c r="AK1149" s="1241"/>
      <c r="AL1149" s="1241"/>
      <c r="AM1149" s="1241"/>
      <c r="AN1149" s="1241"/>
      <c r="AO1149" s="1241"/>
      <c r="AP1149" s="1241"/>
      <c r="AQ1149" s="1241"/>
      <c r="AR1149" s="1241"/>
      <c r="AS1149" s="1241"/>
      <c r="AT1149" s="1241"/>
      <c r="AU1149" s="1241"/>
      <c r="AV1149" s="1241"/>
      <c r="AW1149" s="1241"/>
      <c r="AX1149" s="1241"/>
      <c r="AY1149" s="1241"/>
      <c r="AZ1149" s="1241"/>
      <c r="BA1149" s="1241"/>
      <c r="BB1149" s="1241"/>
      <c r="BC1149" s="1241"/>
      <c r="BD1149" s="1241"/>
      <c r="BE1149" s="1241"/>
      <c r="BF1149" s="1241"/>
      <c r="BG1149" s="1241"/>
      <c r="BH1149" s="1241"/>
      <c r="BI1149" s="1241"/>
      <c r="BJ1149" s="1241"/>
      <c r="BK1149" s="1241"/>
      <c r="BL1149" s="1241"/>
      <c r="BM1149" s="1241"/>
      <c r="BN1149" s="1241"/>
      <c r="BO1149" s="1241"/>
      <c r="BP1149" s="1241"/>
      <c r="BQ1149" s="1241"/>
      <c r="BR1149" s="1241"/>
      <c r="BS1149" s="1241"/>
      <c r="BT1149" s="1241"/>
      <c r="BU1149" s="1241"/>
      <c r="BV1149" s="1241"/>
      <c r="BW1149" s="1241"/>
      <c r="BX1149" s="1241"/>
      <c r="BY1149" s="1241"/>
      <c r="BZ1149" s="1241"/>
      <c r="CA1149" s="1241"/>
      <c r="CB1149" s="1241"/>
      <c r="CC1149" s="1241"/>
      <c r="CD1149" s="1241"/>
      <c r="CE1149" s="1241"/>
      <c r="CF1149" s="1241"/>
      <c r="CG1149" s="1241"/>
      <c r="CH1149" s="1241"/>
      <c r="CI1149" s="1241"/>
      <c r="CJ1149" s="1241"/>
      <c r="CK1149" s="1241"/>
      <c r="CL1149" s="1241"/>
      <c r="CM1149" s="1241"/>
      <c r="CN1149" s="1241"/>
      <c r="CO1149" s="1241"/>
      <c r="CP1149" s="1241"/>
      <c r="CQ1149" s="1241"/>
      <c r="CR1149" s="1241"/>
      <c r="CS1149" s="1241"/>
      <c r="CT1149" s="1241"/>
      <c r="CU1149" s="1241"/>
      <c r="CV1149" s="1241"/>
      <c r="CW1149" s="1241"/>
      <c r="CX1149" s="1241"/>
      <c r="CY1149" s="1241"/>
      <c r="CZ1149" s="1241"/>
      <c r="DA1149" s="1241"/>
      <c r="DB1149" s="1241"/>
      <c r="DC1149" s="1241"/>
      <c r="DD1149" s="1241"/>
      <c r="DE1149" s="1241"/>
      <c r="DF1149" s="1241"/>
      <c r="DG1149" s="1241"/>
      <c r="DH1149" s="1241"/>
      <c r="DI1149" s="1241"/>
      <c r="DJ1149" s="1241"/>
      <c r="DK1149" s="1241"/>
      <c r="DL1149" s="1241"/>
      <c r="DM1149" s="1241"/>
    </row>
    <row r="1150" spans="1:117" s="1302" customFormat="1" ht="16">
      <c r="A1150" s="1241"/>
      <c r="B1150" s="1616"/>
      <c r="C1150" s="1667" t="s">
        <v>3997</v>
      </c>
      <c r="D1150" s="1668" t="s">
        <v>3998</v>
      </c>
      <c r="E1150" s="1668"/>
      <c r="F1150" s="1669"/>
      <c r="G1150" s="1670"/>
      <c r="H1150" s="1670">
        <v>-146.35449674369553</v>
      </c>
      <c r="I1150" s="1670">
        <v>-157.42666995337615</v>
      </c>
      <c r="J1150" s="1670">
        <v>-202.68330991332846</v>
      </c>
      <c r="K1150" s="1670">
        <v>-256.21958151752563</v>
      </c>
      <c r="L1150" s="1670">
        <v>-305.91440111036104</v>
      </c>
      <c r="M1150" s="1670">
        <v>-358.91161595229687</v>
      </c>
      <c r="N1150" s="1670">
        <v>-414.96825343559919</v>
      </c>
      <c r="O1150" s="1671">
        <v>-235.70817663172545</v>
      </c>
      <c r="P1150" s="1241"/>
      <c r="Q1150" s="1241"/>
      <c r="R1150" s="1241"/>
      <c r="S1150" s="1241"/>
      <c r="T1150" s="1241"/>
      <c r="U1150" s="1241"/>
      <c r="V1150" s="1241"/>
      <c r="W1150" s="1241"/>
      <c r="X1150" s="1241"/>
      <c r="Y1150" s="1241"/>
      <c r="Z1150" s="1241"/>
      <c r="AA1150" s="1241"/>
      <c r="AB1150" s="1241"/>
      <c r="AC1150" s="1241"/>
      <c r="AD1150" s="1241"/>
      <c r="AE1150" s="1241"/>
      <c r="AF1150" s="1241"/>
      <c r="AG1150" s="1241"/>
      <c r="AH1150" s="1241"/>
      <c r="AI1150" s="1241"/>
      <c r="AJ1150" s="1241"/>
      <c r="AK1150" s="1241"/>
      <c r="AL1150" s="1241"/>
      <c r="AM1150" s="1241"/>
      <c r="AN1150" s="1241"/>
      <c r="AO1150" s="1241"/>
      <c r="AP1150" s="1241"/>
      <c r="AQ1150" s="1241"/>
      <c r="AR1150" s="1241"/>
      <c r="AS1150" s="1241"/>
      <c r="AT1150" s="1241"/>
      <c r="AU1150" s="1241"/>
      <c r="AV1150" s="1241"/>
      <c r="AW1150" s="1241"/>
      <c r="AX1150" s="1241"/>
      <c r="AY1150" s="1241"/>
      <c r="AZ1150" s="1241"/>
      <c r="BA1150" s="1241"/>
      <c r="BB1150" s="1241"/>
      <c r="BC1150" s="1241"/>
      <c r="BD1150" s="1241"/>
      <c r="BE1150" s="1241"/>
      <c r="BF1150" s="1241"/>
      <c r="BG1150" s="1241"/>
      <c r="BH1150" s="1241"/>
      <c r="BI1150" s="1241"/>
      <c r="BJ1150" s="1241"/>
      <c r="BK1150" s="1241"/>
      <c r="BL1150" s="1241"/>
      <c r="BM1150" s="1241"/>
      <c r="BN1150" s="1241"/>
      <c r="BO1150" s="1241"/>
      <c r="BP1150" s="1241"/>
      <c r="BQ1150" s="1241"/>
      <c r="BR1150" s="1241"/>
      <c r="BS1150" s="1241"/>
      <c r="BT1150" s="1241"/>
      <c r="BU1150" s="1241"/>
      <c r="BV1150" s="1241"/>
      <c r="BW1150" s="1241"/>
      <c r="BX1150" s="1241"/>
      <c r="BY1150" s="1241"/>
      <c r="BZ1150" s="1241"/>
      <c r="CA1150" s="1241"/>
      <c r="CB1150" s="1241"/>
      <c r="CC1150" s="1241"/>
      <c r="CD1150" s="1241"/>
      <c r="CE1150" s="1241"/>
      <c r="CF1150" s="1241"/>
      <c r="CG1150" s="1241"/>
      <c r="CH1150" s="1241"/>
      <c r="CI1150" s="1241"/>
      <c r="CJ1150" s="1241"/>
      <c r="CK1150" s="1241"/>
      <c r="CL1150" s="1241"/>
      <c r="CM1150" s="1241"/>
      <c r="CN1150" s="1241"/>
      <c r="CO1150" s="1241"/>
      <c r="CP1150" s="1241"/>
      <c r="CQ1150" s="1241"/>
      <c r="CR1150" s="1241"/>
      <c r="CS1150" s="1241"/>
      <c r="CT1150" s="1241"/>
      <c r="CU1150" s="1241"/>
      <c r="CV1150" s="1241"/>
      <c r="CW1150" s="1241"/>
      <c r="CX1150" s="1241"/>
      <c r="CY1150" s="1241"/>
      <c r="CZ1150" s="1241"/>
      <c r="DA1150" s="1241"/>
      <c r="DB1150" s="1241"/>
      <c r="DC1150" s="1241"/>
      <c r="DD1150" s="1241"/>
      <c r="DE1150" s="1241"/>
      <c r="DF1150" s="1241"/>
      <c r="DG1150" s="1241"/>
      <c r="DH1150" s="1241"/>
      <c r="DI1150" s="1241"/>
      <c r="DJ1150" s="1241"/>
      <c r="DK1150" s="1241"/>
      <c r="DL1150" s="1241"/>
      <c r="DM1150" s="1241"/>
    </row>
    <row r="1151" spans="1:117" s="1302" customFormat="1" ht="16">
      <c r="A1151" s="1241"/>
      <c r="B1151" s="1616"/>
      <c r="C1151" s="1667" t="s">
        <v>3999</v>
      </c>
      <c r="D1151" s="1668" t="s">
        <v>4000</v>
      </c>
      <c r="E1151" s="1668"/>
      <c r="F1151" s="1669"/>
      <c r="G1151" s="1670"/>
      <c r="H1151" s="1670">
        <v>-45.694610925221816</v>
      </c>
      <c r="I1151" s="1670">
        <v>-49.705326678069696</v>
      </c>
      <c r="J1151" s="1670">
        <v>-61.245734298567427</v>
      </c>
      <c r="K1151" s="1670">
        <v>-75.376032441194027</v>
      </c>
      <c r="L1151" s="1670">
        <v>-92.434652827211053</v>
      </c>
      <c r="M1151" s="1670">
        <v>-113.25005150584191</v>
      </c>
      <c r="N1151" s="1670">
        <v>-138.62473609273943</v>
      </c>
      <c r="O1151" s="1671">
        <v>-69.410363362298995</v>
      </c>
      <c r="P1151" s="1241"/>
      <c r="Q1151" s="1241"/>
      <c r="R1151" s="1241"/>
      <c r="S1151" s="1241"/>
      <c r="T1151" s="1241"/>
      <c r="U1151" s="1241"/>
      <c r="V1151" s="1241"/>
      <c r="W1151" s="1241"/>
      <c r="X1151" s="1241"/>
      <c r="Y1151" s="1241"/>
      <c r="Z1151" s="1241"/>
      <c r="AA1151" s="1241"/>
      <c r="AB1151" s="1241"/>
      <c r="AC1151" s="1241"/>
      <c r="AD1151" s="1241"/>
      <c r="AE1151" s="1241"/>
      <c r="AF1151" s="1241"/>
      <c r="AG1151" s="1241"/>
      <c r="AH1151" s="1241"/>
      <c r="AI1151" s="1241"/>
      <c r="AJ1151" s="1241"/>
      <c r="AK1151" s="1241"/>
      <c r="AL1151" s="1241"/>
      <c r="AM1151" s="1241"/>
      <c r="AN1151" s="1241"/>
      <c r="AO1151" s="1241"/>
      <c r="AP1151" s="1241"/>
      <c r="AQ1151" s="1241"/>
      <c r="AR1151" s="1241"/>
      <c r="AS1151" s="1241"/>
      <c r="AT1151" s="1241"/>
      <c r="AU1151" s="1241"/>
      <c r="AV1151" s="1241"/>
      <c r="AW1151" s="1241"/>
      <c r="AX1151" s="1241"/>
      <c r="AY1151" s="1241"/>
      <c r="AZ1151" s="1241"/>
      <c r="BA1151" s="1241"/>
      <c r="BB1151" s="1241"/>
      <c r="BC1151" s="1241"/>
      <c r="BD1151" s="1241"/>
      <c r="BE1151" s="1241"/>
      <c r="BF1151" s="1241"/>
      <c r="BG1151" s="1241"/>
      <c r="BH1151" s="1241"/>
      <c r="BI1151" s="1241"/>
      <c r="BJ1151" s="1241"/>
      <c r="BK1151" s="1241"/>
      <c r="BL1151" s="1241"/>
      <c r="BM1151" s="1241"/>
      <c r="BN1151" s="1241"/>
      <c r="BO1151" s="1241"/>
      <c r="BP1151" s="1241"/>
      <c r="BQ1151" s="1241"/>
      <c r="BR1151" s="1241"/>
      <c r="BS1151" s="1241"/>
      <c r="BT1151" s="1241"/>
      <c r="BU1151" s="1241"/>
      <c r="BV1151" s="1241"/>
      <c r="BW1151" s="1241"/>
      <c r="BX1151" s="1241"/>
      <c r="BY1151" s="1241"/>
      <c r="BZ1151" s="1241"/>
      <c r="CA1151" s="1241"/>
      <c r="CB1151" s="1241"/>
      <c r="CC1151" s="1241"/>
      <c r="CD1151" s="1241"/>
      <c r="CE1151" s="1241"/>
      <c r="CF1151" s="1241"/>
      <c r="CG1151" s="1241"/>
      <c r="CH1151" s="1241"/>
      <c r="CI1151" s="1241"/>
      <c r="CJ1151" s="1241"/>
      <c r="CK1151" s="1241"/>
      <c r="CL1151" s="1241"/>
      <c r="CM1151" s="1241"/>
      <c r="CN1151" s="1241"/>
      <c r="CO1151" s="1241"/>
      <c r="CP1151" s="1241"/>
      <c r="CQ1151" s="1241"/>
      <c r="CR1151" s="1241"/>
      <c r="CS1151" s="1241"/>
      <c r="CT1151" s="1241"/>
      <c r="CU1151" s="1241"/>
      <c r="CV1151" s="1241"/>
      <c r="CW1151" s="1241"/>
      <c r="CX1151" s="1241"/>
      <c r="CY1151" s="1241"/>
      <c r="CZ1151" s="1241"/>
      <c r="DA1151" s="1241"/>
      <c r="DB1151" s="1241"/>
      <c r="DC1151" s="1241"/>
      <c r="DD1151" s="1241"/>
      <c r="DE1151" s="1241"/>
      <c r="DF1151" s="1241"/>
      <c r="DG1151" s="1241"/>
      <c r="DH1151" s="1241"/>
      <c r="DI1151" s="1241"/>
      <c r="DJ1151" s="1241"/>
      <c r="DK1151" s="1241"/>
      <c r="DL1151" s="1241"/>
      <c r="DM1151" s="1241"/>
    </row>
    <row r="1152" spans="1:117" s="1302" customFormat="1" ht="16">
      <c r="A1152" s="1241"/>
      <c r="B1152" s="1616"/>
      <c r="C1152" s="1667" t="s">
        <v>4001</v>
      </c>
      <c r="D1152" s="1668" t="s">
        <v>4002</v>
      </c>
      <c r="E1152" s="1668"/>
      <c r="F1152" s="1669"/>
      <c r="G1152" s="1670"/>
      <c r="H1152" s="1670">
        <v>-5.3505311944515395</v>
      </c>
      <c r="I1152" s="1670">
        <v>-10.281825083307972</v>
      </c>
      <c r="J1152" s="1670">
        <v>-15.10973057376189</v>
      </c>
      <c r="K1152" s="1670">
        <v>-21.713949323969928</v>
      </c>
      <c r="L1152" s="1670">
        <v>-30.644274479097358</v>
      </c>
      <c r="M1152" s="1670">
        <v>-42.671156502619134</v>
      </c>
      <c r="N1152" s="1670">
        <v>-58.803894489610229</v>
      </c>
      <c r="O1152" s="1671">
        <v>-18.831641554450322</v>
      </c>
      <c r="P1152" s="1241"/>
      <c r="Q1152" s="1241"/>
      <c r="R1152" s="1241"/>
      <c r="S1152" s="1241"/>
      <c r="T1152" s="1241"/>
      <c r="U1152" s="1241"/>
      <c r="V1152" s="1241"/>
      <c r="W1152" s="1241"/>
      <c r="X1152" s="1241"/>
      <c r="Y1152" s="1241"/>
      <c r="Z1152" s="1241"/>
      <c r="AA1152" s="1241"/>
      <c r="AB1152" s="1241"/>
      <c r="AC1152" s="1241"/>
      <c r="AD1152" s="1241"/>
      <c r="AE1152" s="1241"/>
      <c r="AF1152" s="1241"/>
      <c r="AG1152" s="1241"/>
      <c r="AH1152" s="1241"/>
      <c r="AI1152" s="1241"/>
      <c r="AJ1152" s="1241"/>
      <c r="AK1152" s="1241"/>
      <c r="AL1152" s="1241"/>
      <c r="AM1152" s="1241"/>
      <c r="AN1152" s="1241"/>
      <c r="AO1152" s="1241"/>
      <c r="AP1152" s="1241"/>
      <c r="AQ1152" s="1241"/>
      <c r="AR1152" s="1241"/>
      <c r="AS1152" s="1241"/>
      <c r="AT1152" s="1241"/>
      <c r="AU1152" s="1241"/>
      <c r="AV1152" s="1241"/>
      <c r="AW1152" s="1241"/>
      <c r="AX1152" s="1241"/>
      <c r="AY1152" s="1241"/>
      <c r="AZ1152" s="1241"/>
      <c r="BA1152" s="1241"/>
      <c r="BB1152" s="1241"/>
      <c r="BC1152" s="1241"/>
      <c r="BD1152" s="1241"/>
      <c r="BE1152" s="1241"/>
      <c r="BF1152" s="1241"/>
      <c r="BG1152" s="1241"/>
      <c r="BH1152" s="1241"/>
      <c r="BI1152" s="1241"/>
      <c r="BJ1152" s="1241"/>
      <c r="BK1152" s="1241"/>
      <c r="BL1152" s="1241"/>
      <c r="BM1152" s="1241"/>
      <c r="BN1152" s="1241"/>
      <c r="BO1152" s="1241"/>
      <c r="BP1152" s="1241"/>
      <c r="BQ1152" s="1241"/>
      <c r="BR1152" s="1241"/>
      <c r="BS1152" s="1241"/>
      <c r="BT1152" s="1241"/>
      <c r="BU1152" s="1241"/>
      <c r="BV1152" s="1241"/>
      <c r="BW1152" s="1241"/>
      <c r="BX1152" s="1241"/>
      <c r="BY1152" s="1241"/>
      <c r="BZ1152" s="1241"/>
      <c r="CA1152" s="1241"/>
      <c r="CB1152" s="1241"/>
      <c r="CC1152" s="1241"/>
      <c r="CD1152" s="1241"/>
      <c r="CE1152" s="1241"/>
      <c r="CF1152" s="1241"/>
      <c r="CG1152" s="1241"/>
      <c r="CH1152" s="1241"/>
      <c r="CI1152" s="1241"/>
      <c r="CJ1152" s="1241"/>
      <c r="CK1152" s="1241"/>
      <c r="CL1152" s="1241"/>
      <c r="CM1152" s="1241"/>
      <c r="CN1152" s="1241"/>
      <c r="CO1152" s="1241"/>
      <c r="CP1152" s="1241"/>
      <c r="CQ1152" s="1241"/>
      <c r="CR1152" s="1241"/>
      <c r="CS1152" s="1241"/>
      <c r="CT1152" s="1241"/>
      <c r="CU1152" s="1241"/>
      <c r="CV1152" s="1241"/>
      <c r="CW1152" s="1241"/>
      <c r="CX1152" s="1241"/>
      <c r="CY1152" s="1241"/>
      <c r="CZ1152" s="1241"/>
      <c r="DA1152" s="1241"/>
      <c r="DB1152" s="1241"/>
      <c r="DC1152" s="1241"/>
      <c r="DD1152" s="1241"/>
      <c r="DE1152" s="1241"/>
      <c r="DF1152" s="1241"/>
      <c r="DG1152" s="1241"/>
      <c r="DH1152" s="1241"/>
      <c r="DI1152" s="1241"/>
      <c r="DJ1152" s="1241"/>
      <c r="DK1152" s="1241"/>
      <c r="DL1152" s="1241"/>
      <c r="DM1152" s="1241"/>
    </row>
    <row r="1153" spans="1:117" s="1302" customFormat="1" ht="16">
      <c r="A1153" s="1241"/>
      <c r="B1153" s="1616"/>
      <c r="C1153" s="1667" t="s">
        <v>3981</v>
      </c>
      <c r="D1153" s="1668" t="s">
        <v>428</v>
      </c>
      <c r="E1153" s="1668"/>
      <c r="F1153" s="1669"/>
      <c r="G1153" s="1670"/>
      <c r="H1153" s="1670">
        <v>-15.018598921611598</v>
      </c>
      <c r="I1153" s="1670">
        <v>-16.269076037444517</v>
      </c>
      <c r="J1153" s="1670">
        <v>-19.863728863241821</v>
      </c>
      <c r="K1153" s="1670">
        <v>-24.241413445210185</v>
      </c>
      <c r="L1153" s="1670">
        <v>-29.569600077695274</v>
      </c>
      <c r="M1153" s="1670">
        <v>-36.050707202829457</v>
      </c>
      <c r="N1153" s="1670">
        <v>-43.929146079630058</v>
      </c>
      <c r="O1153" s="1671">
        <v>-22.386372186499582</v>
      </c>
      <c r="P1153" s="1241"/>
      <c r="Q1153" s="1241"/>
      <c r="R1153" s="1241"/>
      <c r="S1153" s="1241"/>
      <c r="T1153" s="1241"/>
      <c r="U1153" s="1241"/>
      <c r="V1153" s="1241"/>
      <c r="W1153" s="1241"/>
      <c r="X1153" s="1241"/>
      <c r="Y1153" s="1241"/>
      <c r="Z1153" s="1241"/>
      <c r="AA1153" s="1241"/>
      <c r="AB1153" s="1241"/>
      <c r="AC1153" s="1241"/>
      <c r="AD1153" s="1241"/>
      <c r="AE1153" s="1241"/>
      <c r="AF1153" s="1241"/>
      <c r="AG1153" s="1241"/>
      <c r="AH1153" s="1241"/>
      <c r="AI1153" s="1241"/>
      <c r="AJ1153" s="1241"/>
      <c r="AK1153" s="1241"/>
      <c r="AL1153" s="1241"/>
      <c r="AM1153" s="1241"/>
      <c r="AN1153" s="1241"/>
      <c r="AO1153" s="1241"/>
      <c r="AP1153" s="1241"/>
      <c r="AQ1153" s="1241"/>
      <c r="AR1153" s="1241"/>
      <c r="AS1153" s="1241"/>
      <c r="AT1153" s="1241"/>
      <c r="AU1153" s="1241"/>
      <c r="AV1153" s="1241"/>
      <c r="AW1153" s="1241"/>
      <c r="AX1153" s="1241"/>
      <c r="AY1153" s="1241"/>
      <c r="AZ1153" s="1241"/>
      <c r="BA1153" s="1241"/>
      <c r="BB1153" s="1241"/>
      <c r="BC1153" s="1241"/>
      <c r="BD1153" s="1241"/>
      <c r="BE1153" s="1241"/>
      <c r="BF1153" s="1241"/>
      <c r="BG1153" s="1241"/>
      <c r="BH1153" s="1241"/>
      <c r="BI1153" s="1241"/>
      <c r="BJ1153" s="1241"/>
      <c r="BK1153" s="1241"/>
      <c r="BL1153" s="1241"/>
      <c r="BM1153" s="1241"/>
      <c r="BN1153" s="1241"/>
      <c r="BO1153" s="1241"/>
      <c r="BP1153" s="1241"/>
      <c r="BQ1153" s="1241"/>
      <c r="BR1153" s="1241"/>
      <c r="BS1153" s="1241"/>
      <c r="BT1153" s="1241"/>
      <c r="BU1153" s="1241"/>
      <c r="BV1153" s="1241"/>
      <c r="BW1153" s="1241"/>
      <c r="BX1153" s="1241"/>
      <c r="BY1153" s="1241"/>
      <c r="BZ1153" s="1241"/>
      <c r="CA1153" s="1241"/>
      <c r="CB1153" s="1241"/>
      <c r="CC1153" s="1241"/>
      <c r="CD1153" s="1241"/>
      <c r="CE1153" s="1241"/>
      <c r="CF1153" s="1241"/>
      <c r="CG1153" s="1241"/>
      <c r="CH1153" s="1241"/>
      <c r="CI1153" s="1241"/>
      <c r="CJ1153" s="1241"/>
      <c r="CK1153" s="1241"/>
      <c r="CL1153" s="1241"/>
      <c r="CM1153" s="1241"/>
      <c r="CN1153" s="1241"/>
      <c r="CO1153" s="1241"/>
      <c r="CP1153" s="1241"/>
      <c r="CQ1153" s="1241"/>
      <c r="CR1153" s="1241"/>
      <c r="CS1153" s="1241"/>
      <c r="CT1153" s="1241"/>
      <c r="CU1153" s="1241"/>
      <c r="CV1153" s="1241"/>
      <c r="CW1153" s="1241"/>
      <c r="CX1153" s="1241"/>
      <c r="CY1153" s="1241"/>
      <c r="CZ1153" s="1241"/>
      <c r="DA1153" s="1241"/>
      <c r="DB1153" s="1241"/>
      <c r="DC1153" s="1241"/>
      <c r="DD1153" s="1241"/>
      <c r="DE1153" s="1241"/>
      <c r="DF1153" s="1241"/>
      <c r="DG1153" s="1241"/>
      <c r="DH1153" s="1241"/>
      <c r="DI1153" s="1241"/>
      <c r="DJ1153" s="1241"/>
      <c r="DK1153" s="1241"/>
      <c r="DL1153" s="1241"/>
      <c r="DM1153" s="1241"/>
    </row>
    <row r="1154" spans="1:117" s="1302" customFormat="1" ht="16">
      <c r="A1154" s="1241"/>
      <c r="B1154" s="1616"/>
      <c r="C1154" s="1667" t="s">
        <v>4025</v>
      </c>
      <c r="D1154" s="1668" t="s">
        <v>4026</v>
      </c>
      <c r="E1154" s="1668"/>
      <c r="F1154" s="1669"/>
      <c r="G1154" s="1670"/>
      <c r="H1154" s="1670">
        <v>0</v>
      </c>
      <c r="I1154" s="1670">
        <v>0</v>
      </c>
      <c r="J1154" s="1670">
        <v>-1.0065616852078549</v>
      </c>
      <c r="K1154" s="1670">
        <v>-2.6870175128056379</v>
      </c>
      <c r="L1154" s="1670">
        <v>-5.0505927456411666</v>
      </c>
      <c r="M1154" s="1670">
        <v>-10.082244745483109</v>
      </c>
      <c r="N1154" s="1670">
        <v>-16.603747499279592</v>
      </c>
      <c r="O1154" s="1671">
        <v>-1.9571730782634891</v>
      </c>
      <c r="P1154" s="1241"/>
      <c r="Q1154" s="1241"/>
      <c r="R1154" s="1241"/>
      <c r="S1154" s="1241"/>
      <c r="T1154" s="1241"/>
      <c r="U1154" s="1241"/>
      <c r="V1154" s="1241"/>
      <c r="W1154" s="1241"/>
      <c r="X1154" s="1241"/>
      <c r="Y1154" s="1241"/>
      <c r="Z1154" s="1241"/>
      <c r="AA1154" s="1241"/>
      <c r="AB1154" s="1241"/>
      <c r="AC1154" s="1241"/>
      <c r="AD1154" s="1241"/>
      <c r="AE1154" s="1241"/>
      <c r="AF1154" s="1241"/>
      <c r="AG1154" s="1241"/>
      <c r="AH1154" s="1241"/>
      <c r="AI1154" s="1241"/>
      <c r="AJ1154" s="1241"/>
      <c r="AK1154" s="1241"/>
      <c r="AL1154" s="1241"/>
      <c r="AM1154" s="1241"/>
      <c r="AN1154" s="1241"/>
      <c r="AO1154" s="1241"/>
      <c r="AP1154" s="1241"/>
      <c r="AQ1154" s="1241"/>
      <c r="AR1154" s="1241"/>
      <c r="AS1154" s="1241"/>
      <c r="AT1154" s="1241"/>
      <c r="AU1154" s="1241"/>
      <c r="AV1154" s="1241"/>
      <c r="AW1154" s="1241"/>
      <c r="AX1154" s="1241"/>
      <c r="AY1154" s="1241"/>
      <c r="AZ1154" s="1241"/>
      <c r="BA1154" s="1241"/>
      <c r="BB1154" s="1241"/>
      <c r="BC1154" s="1241"/>
      <c r="BD1154" s="1241"/>
      <c r="BE1154" s="1241"/>
      <c r="BF1154" s="1241"/>
      <c r="BG1154" s="1241"/>
      <c r="BH1154" s="1241"/>
      <c r="BI1154" s="1241"/>
      <c r="BJ1154" s="1241"/>
      <c r="BK1154" s="1241"/>
      <c r="BL1154" s="1241"/>
      <c r="BM1154" s="1241"/>
      <c r="BN1154" s="1241"/>
      <c r="BO1154" s="1241"/>
      <c r="BP1154" s="1241"/>
      <c r="BQ1154" s="1241"/>
      <c r="BR1154" s="1241"/>
      <c r="BS1154" s="1241"/>
      <c r="BT1154" s="1241"/>
      <c r="BU1154" s="1241"/>
      <c r="BV1154" s="1241"/>
      <c r="BW1154" s="1241"/>
      <c r="BX1154" s="1241"/>
      <c r="BY1154" s="1241"/>
      <c r="BZ1154" s="1241"/>
      <c r="CA1154" s="1241"/>
      <c r="CB1154" s="1241"/>
      <c r="CC1154" s="1241"/>
      <c r="CD1154" s="1241"/>
      <c r="CE1154" s="1241"/>
      <c r="CF1154" s="1241"/>
      <c r="CG1154" s="1241"/>
      <c r="CH1154" s="1241"/>
      <c r="CI1154" s="1241"/>
      <c r="CJ1154" s="1241"/>
      <c r="CK1154" s="1241"/>
      <c r="CL1154" s="1241"/>
      <c r="CM1154" s="1241"/>
      <c r="CN1154" s="1241"/>
      <c r="CO1154" s="1241"/>
      <c r="CP1154" s="1241"/>
      <c r="CQ1154" s="1241"/>
      <c r="CR1154" s="1241"/>
      <c r="CS1154" s="1241"/>
      <c r="CT1154" s="1241"/>
      <c r="CU1154" s="1241"/>
      <c r="CV1154" s="1241"/>
      <c r="CW1154" s="1241"/>
      <c r="CX1154" s="1241"/>
      <c r="CY1154" s="1241"/>
      <c r="CZ1154" s="1241"/>
      <c r="DA1154" s="1241"/>
      <c r="DB1154" s="1241"/>
      <c r="DC1154" s="1241"/>
      <c r="DD1154" s="1241"/>
      <c r="DE1154" s="1241"/>
      <c r="DF1154" s="1241"/>
      <c r="DG1154" s="1241"/>
      <c r="DH1154" s="1241"/>
      <c r="DI1154" s="1241"/>
      <c r="DJ1154" s="1241"/>
      <c r="DK1154" s="1241"/>
      <c r="DL1154" s="1241"/>
      <c r="DM1154" s="1241"/>
    </row>
    <row r="1155" spans="1:117" s="1302" customFormat="1" ht="16">
      <c r="A1155" s="1241"/>
      <c r="B1155" s="1616"/>
      <c r="C1155" s="1667" t="s">
        <v>4385</v>
      </c>
      <c r="D1155" s="1668" t="s">
        <v>4678</v>
      </c>
      <c r="E1155" s="1668"/>
      <c r="F1155" s="1669"/>
      <c r="G1155" s="1670"/>
      <c r="H1155" s="1670">
        <v>-25.206497061049014</v>
      </c>
      <c r="I1155" s="1670">
        <v>-24.5</v>
      </c>
      <c r="J1155" s="1670">
        <v>-29.02540835638721</v>
      </c>
      <c r="K1155" s="1670">
        <v>-33.092661868115485</v>
      </c>
      <c r="L1155" s="1670">
        <v>-37.317260746672524</v>
      </c>
      <c r="M1155" s="1670">
        <v>-42.040615811014021</v>
      </c>
      <c r="N1155" s="1670">
        <v>-47.389265651472016</v>
      </c>
      <c r="O1155" s="1671">
        <v>-31.42348491019796</v>
      </c>
      <c r="P1155" s="1241"/>
      <c r="Q1155" s="1241"/>
      <c r="R1155" s="1241"/>
      <c r="S1155" s="1241"/>
      <c r="T1155" s="1241"/>
      <c r="U1155" s="1241"/>
      <c r="V1155" s="1241"/>
      <c r="W1155" s="1241"/>
      <c r="X1155" s="1241"/>
      <c r="Y1155" s="1241"/>
      <c r="Z1155" s="1241"/>
      <c r="AA1155" s="1241"/>
      <c r="AB1155" s="1241"/>
      <c r="AC1155" s="1241"/>
      <c r="AD1155" s="1241"/>
      <c r="AE1155" s="1241"/>
      <c r="AF1155" s="1241"/>
      <c r="AG1155" s="1241"/>
      <c r="AH1155" s="1241"/>
      <c r="AI1155" s="1241"/>
      <c r="AJ1155" s="1241"/>
      <c r="AK1155" s="1241"/>
      <c r="AL1155" s="1241"/>
      <c r="AM1155" s="1241"/>
      <c r="AN1155" s="1241"/>
      <c r="AO1155" s="1241"/>
      <c r="AP1155" s="1241"/>
      <c r="AQ1155" s="1241"/>
      <c r="AR1155" s="1241"/>
      <c r="AS1155" s="1241"/>
      <c r="AT1155" s="1241"/>
      <c r="AU1155" s="1241"/>
      <c r="AV1155" s="1241"/>
      <c r="AW1155" s="1241"/>
      <c r="AX1155" s="1241"/>
      <c r="AY1155" s="1241"/>
      <c r="AZ1155" s="1241"/>
      <c r="BA1155" s="1241"/>
      <c r="BB1155" s="1241"/>
      <c r="BC1155" s="1241"/>
      <c r="BD1155" s="1241"/>
      <c r="BE1155" s="1241"/>
      <c r="BF1155" s="1241"/>
      <c r="BG1155" s="1241"/>
      <c r="BH1155" s="1241"/>
      <c r="BI1155" s="1241"/>
      <c r="BJ1155" s="1241"/>
      <c r="BK1155" s="1241"/>
      <c r="BL1155" s="1241"/>
      <c r="BM1155" s="1241"/>
      <c r="BN1155" s="1241"/>
      <c r="BO1155" s="1241"/>
      <c r="BP1155" s="1241"/>
      <c r="BQ1155" s="1241"/>
      <c r="BR1155" s="1241"/>
      <c r="BS1155" s="1241"/>
      <c r="BT1155" s="1241"/>
      <c r="BU1155" s="1241"/>
      <c r="BV1155" s="1241"/>
      <c r="BW1155" s="1241"/>
      <c r="BX1155" s="1241"/>
      <c r="BY1155" s="1241"/>
      <c r="BZ1155" s="1241"/>
      <c r="CA1155" s="1241"/>
      <c r="CB1155" s="1241"/>
      <c r="CC1155" s="1241"/>
      <c r="CD1155" s="1241"/>
      <c r="CE1155" s="1241"/>
      <c r="CF1155" s="1241"/>
      <c r="CG1155" s="1241"/>
      <c r="CH1155" s="1241"/>
      <c r="CI1155" s="1241"/>
      <c r="CJ1155" s="1241"/>
      <c r="CK1155" s="1241"/>
      <c r="CL1155" s="1241"/>
      <c r="CM1155" s="1241"/>
      <c r="CN1155" s="1241"/>
      <c r="CO1155" s="1241"/>
      <c r="CP1155" s="1241"/>
      <c r="CQ1155" s="1241"/>
      <c r="CR1155" s="1241"/>
      <c r="CS1155" s="1241"/>
      <c r="CT1155" s="1241"/>
      <c r="CU1155" s="1241"/>
      <c r="CV1155" s="1241"/>
      <c r="CW1155" s="1241"/>
      <c r="CX1155" s="1241"/>
      <c r="CY1155" s="1241"/>
      <c r="CZ1155" s="1241"/>
      <c r="DA1155" s="1241"/>
      <c r="DB1155" s="1241"/>
      <c r="DC1155" s="1241"/>
      <c r="DD1155" s="1241"/>
      <c r="DE1155" s="1241"/>
      <c r="DF1155" s="1241"/>
      <c r="DG1155" s="1241"/>
      <c r="DH1155" s="1241"/>
      <c r="DI1155" s="1241"/>
      <c r="DJ1155" s="1241"/>
      <c r="DK1155" s="1241"/>
      <c r="DL1155" s="1241"/>
      <c r="DM1155" s="1241"/>
    </row>
    <row r="1156" spans="1:117" s="1302" customFormat="1" ht="16">
      <c r="A1156" s="1241"/>
      <c r="B1156" s="1616"/>
      <c r="C1156" s="1667" t="s">
        <v>4386</v>
      </c>
      <c r="D1156" s="1668" t="s">
        <v>4679</v>
      </c>
      <c r="E1156" s="1668"/>
      <c r="F1156" s="1669"/>
      <c r="G1156" s="1670"/>
      <c r="H1156" s="1670">
        <v>-10.1</v>
      </c>
      <c r="I1156" s="1670">
        <v>-11.033041321889998</v>
      </c>
      <c r="J1156" s="1670">
        <v>-13.760363992924042</v>
      </c>
      <c r="K1156" s="1670">
        <v>-17.161869668890585</v>
      </c>
      <c r="L1156" s="1670">
        <v>-21.404213630064003</v>
      </c>
      <c r="M1156" s="1670">
        <v>-26.695247660101455</v>
      </c>
      <c r="N1156" s="1670">
        <v>-33.294203653116</v>
      </c>
      <c r="O1156" s="1671">
        <v>-15.710526100531453</v>
      </c>
      <c r="P1156" s="1241"/>
      <c r="Q1156" s="1241"/>
      <c r="R1156" s="1241"/>
      <c r="S1156" s="1241"/>
      <c r="T1156" s="1241"/>
      <c r="U1156" s="1241"/>
      <c r="V1156" s="1241"/>
      <c r="W1156" s="1241"/>
      <c r="X1156" s="1241"/>
      <c r="Y1156" s="1241"/>
      <c r="Z1156" s="1241"/>
      <c r="AA1156" s="1241"/>
      <c r="AB1156" s="1241"/>
      <c r="AC1156" s="1241"/>
      <c r="AD1156" s="1241"/>
      <c r="AE1156" s="1241"/>
      <c r="AF1156" s="1241"/>
      <c r="AG1156" s="1241"/>
      <c r="AH1156" s="1241"/>
      <c r="AI1156" s="1241"/>
      <c r="AJ1156" s="1241"/>
      <c r="AK1156" s="1241"/>
      <c r="AL1156" s="1241"/>
      <c r="AM1156" s="1241"/>
      <c r="AN1156" s="1241"/>
      <c r="AO1156" s="1241"/>
      <c r="AP1156" s="1241"/>
      <c r="AQ1156" s="1241"/>
      <c r="AR1156" s="1241"/>
      <c r="AS1156" s="1241"/>
      <c r="AT1156" s="1241"/>
      <c r="AU1156" s="1241"/>
      <c r="AV1156" s="1241"/>
      <c r="AW1156" s="1241"/>
      <c r="AX1156" s="1241"/>
      <c r="AY1156" s="1241"/>
      <c r="AZ1156" s="1241"/>
      <c r="BA1156" s="1241"/>
      <c r="BB1156" s="1241"/>
      <c r="BC1156" s="1241"/>
      <c r="BD1156" s="1241"/>
      <c r="BE1156" s="1241"/>
      <c r="BF1156" s="1241"/>
      <c r="BG1156" s="1241"/>
      <c r="BH1156" s="1241"/>
      <c r="BI1156" s="1241"/>
      <c r="BJ1156" s="1241"/>
      <c r="BK1156" s="1241"/>
      <c r="BL1156" s="1241"/>
      <c r="BM1156" s="1241"/>
      <c r="BN1156" s="1241"/>
      <c r="BO1156" s="1241"/>
      <c r="BP1156" s="1241"/>
      <c r="BQ1156" s="1241"/>
      <c r="BR1156" s="1241"/>
      <c r="BS1156" s="1241"/>
      <c r="BT1156" s="1241"/>
      <c r="BU1156" s="1241"/>
      <c r="BV1156" s="1241"/>
      <c r="BW1156" s="1241"/>
      <c r="BX1156" s="1241"/>
      <c r="BY1156" s="1241"/>
      <c r="BZ1156" s="1241"/>
      <c r="CA1156" s="1241"/>
      <c r="CB1156" s="1241"/>
      <c r="CC1156" s="1241"/>
      <c r="CD1156" s="1241"/>
      <c r="CE1156" s="1241"/>
      <c r="CF1156" s="1241"/>
      <c r="CG1156" s="1241"/>
      <c r="CH1156" s="1241"/>
      <c r="CI1156" s="1241"/>
      <c r="CJ1156" s="1241"/>
      <c r="CK1156" s="1241"/>
      <c r="CL1156" s="1241"/>
      <c r="CM1156" s="1241"/>
      <c r="CN1156" s="1241"/>
      <c r="CO1156" s="1241"/>
      <c r="CP1156" s="1241"/>
      <c r="CQ1156" s="1241"/>
      <c r="CR1156" s="1241"/>
      <c r="CS1156" s="1241"/>
      <c r="CT1156" s="1241"/>
      <c r="CU1156" s="1241"/>
      <c r="CV1156" s="1241"/>
      <c r="CW1156" s="1241"/>
      <c r="CX1156" s="1241"/>
      <c r="CY1156" s="1241"/>
      <c r="CZ1156" s="1241"/>
      <c r="DA1156" s="1241"/>
      <c r="DB1156" s="1241"/>
      <c r="DC1156" s="1241"/>
      <c r="DD1156" s="1241"/>
      <c r="DE1156" s="1241"/>
      <c r="DF1156" s="1241"/>
      <c r="DG1156" s="1241"/>
      <c r="DH1156" s="1241"/>
      <c r="DI1156" s="1241"/>
      <c r="DJ1156" s="1241"/>
      <c r="DK1156" s="1241"/>
      <c r="DL1156" s="1241"/>
      <c r="DM1156" s="1241"/>
    </row>
    <row r="1157" spans="1:117" s="1302" customFormat="1" ht="16">
      <c r="A1157" s="1241"/>
      <c r="B1157" s="1616"/>
      <c r="C1157" s="1667" t="s">
        <v>3952</v>
      </c>
      <c r="D1157" s="1668" t="s">
        <v>3953</v>
      </c>
      <c r="E1157" s="1668"/>
      <c r="F1157" s="1669"/>
      <c r="G1157" s="1670"/>
      <c r="H1157" s="1670">
        <v>35.306497061049015</v>
      </c>
      <c r="I1157" s="1670">
        <v>35.533041321889996</v>
      </c>
      <c r="J1157" s="1670">
        <v>42.785772349311252</v>
      </c>
      <c r="K1157" s="1670">
        <v>50.254531537006073</v>
      </c>
      <c r="L1157" s="1670">
        <v>58.721474376736538</v>
      </c>
      <c r="M1157" s="1670">
        <v>68.735863471115479</v>
      </c>
      <c r="N1157" s="1670">
        <v>80.683469304588016</v>
      </c>
      <c r="O1157" s="1671">
        <v>47.134011010729409</v>
      </c>
      <c r="P1157" s="1241"/>
      <c r="Q1157" s="1241"/>
      <c r="R1157" s="1241"/>
      <c r="S1157" s="1241"/>
      <c r="T1157" s="1241"/>
      <c r="U1157" s="1241"/>
      <c r="V1157" s="1241"/>
      <c r="W1157" s="1241"/>
      <c r="X1157" s="1241"/>
      <c r="Y1157" s="1241"/>
      <c r="Z1157" s="1241"/>
      <c r="AA1157" s="1241"/>
      <c r="AB1157" s="1241"/>
      <c r="AC1157" s="1241"/>
      <c r="AD1157" s="1241"/>
      <c r="AE1157" s="1241"/>
      <c r="AF1157" s="1241"/>
      <c r="AG1157" s="1241"/>
      <c r="AH1157" s="1241"/>
      <c r="AI1157" s="1241"/>
      <c r="AJ1157" s="1241"/>
      <c r="AK1157" s="1241"/>
      <c r="AL1157" s="1241"/>
      <c r="AM1157" s="1241"/>
      <c r="AN1157" s="1241"/>
      <c r="AO1157" s="1241"/>
      <c r="AP1157" s="1241"/>
      <c r="AQ1157" s="1241"/>
      <c r="AR1157" s="1241"/>
      <c r="AS1157" s="1241"/>
      <c r="AT1157" s="1241"/>
      <c r="AU1157" s="1241"/>
      <c r="AV1157" s="1241"/>
      <c r="AW1157" s="1241"/>
      <c r="AX1157" s="1241"/>
      <c r="AY1157" s="1241"/>
      <c r="AZ1157" s="1241"/>
      <c r="BA1157" s="1241"/>
      <c r="BB1157" s="1241"/>
      <c r="BC1157" s="1241"/>
      <c r="BD1157" s="1241"/>
      <c r="BE1157" s="1241"/>
      <c r="BF1157" s="1241"/>
      <c r="BG1157" s="1241"/>
      <c r="BH1157" s="1241"/>
      <c r="BI1157" s="1241"/>
      <c r="BJ1157" s="1241"/>
      <c r="BK1157" s="1241"/>
      <c r="BL1157" s="1241"/>
      <c r="BM1157" s="1241"/>
      <c r="BN1157" s="1241"/>
      <c r="BO1157" s="1241"/>
      <c r="BP1157" s="1241"/>
      <c r="BQ1157" s="1241"/>
      <c r="BR1157" s="1241"/>
      <c r="BS1157" s="1241"/>
      <c r="BT1157" s="1241"/>
      <c r="BU1157" s="1241"/>
      <c r="BV1157" s="1241"/>
      <c r="BW1157" s="1241"/>
      <c r="BX1157" s="1241"/>
      <c r="BY1157" s="1241"/>
      <c r="BZ1157" s="1241"/>
      <c r="CA1157" s="1241"/>
      <c r="CB1157" s="1241"/>
      <c r="CC1157" s="1241"/>
      <c r="CD1157" s="1241"/>
      <c r="CE1157" s="1241"/>
      <c r="CF1157" s="1241"/>
      <c r="CG1157" s="1241"/>
      <c r="CH1157" s="1241"/>
      <c r="CI1157" s="1241"/>
      <c r="CJ1157" s="1241"/>
      <c r="CK1157" s="1241"/>
      <c r="CL1157" s="1241"/>
      <c r="CM1157" s="1241"/>
      <c r="CN1157" s="1241"/>
      <c r="CO1157" s="1241"/>
      <c r="CP1157" s="1241"/>
      <c r="CQ1157" s="1241"/>
      <c r="CR1157" s="1241"/>
      <c r="CS1157" s="1241"/>
      <c r="CT1157" s="1241"/>
      <c r="CU1157" s="1241"/>
      <c r="CV1157" s="1241"/>
      <c r="CW1157" s="1241"/>
      <c r="CX1157" s="1241"/>
      <c r="CY1157" s="1241"/>
      <c r="CZ1157" s="1241"/>
      <c r="DA1157" s="1241"/>
      <c r="DB1157" s="1241"/>
      <c r="DC1157" s="1241"/>
      <c r="DD1157" s="1241"/>
      <c r="DE1157" s="1241"/>
      <c r="DF1157" s="1241"/>
      <c r="DG1157" s="1241"/>
      <c r="DH1157" s="1241"/>
      <c r="DI1157" s="1241"/>
      <c r="DJ1157" s="1241"/>
      <c r="DK1157" s="1241"/>
      <c r="DL1157" s="1241"/>
      <c r="DM1157" s="1241"/>
    </row>
    <row r="1158" spans="1:117" s="1302" customFormat="1" ht="16">
      <c r="A1158" s="1241"/>
      <c r="B1158" s="1252"/>
      <c r="C1158" s="1672" t="s">
        <v>1265</v>
      </c>
      <c r="D1158" s="1673"/>
      <c r="E1158" s="1673"/>
      <c r="F1158" s="1674"/>
      <c r="G1158" s="1675"/>
      <c r="H1158" s="1676">
        <v>0</v>
      </c>
      <c r="I1158" s="1676">
        <v>0</v>
      </c>
      <c r="J1158" s="1676">
        <v>0</v>
      </c>
      <c r="K1158" s="1676">
        <v>-5.6843418860808015E-14</v>
      </c>
      <c r="L1158" s="1676">
        <v>2.1316282072803006E-13</v>
      </c>
      <c r="M1158" s="1676">
        <v>0</v>
      </c>
      <c r="N1158" s="1676">
        <v>0</v>
      </c>
      <c r="O1158" s="1677">
        <v>0</v>
      </c>
      <c r="P1158" s="1241"/>
      <c r="Q1158" s="1241"/>
      <c r="R1158" s="1241"/>
      <c r="S1158" s="1241"/>
      <c r="T1158" s="1241"/>
      <c r="U1158" s="1241"/>
      <c r="V1158" s="1241"/>
      <c r="W1158" s="1241"/>
      <c r="X1158" s="1241"/>
      <c r="Y1158" s="1241"/>
      <c r="Z1158" s="1241"/>
      <c r="AA1158" s="1241"/>
      <c r="AB1158" s="1241"/>
      <c r="AC1158" s="1241"/>
      <c r="AD1158" s="1241"/>
      <c r="AE1158" s="1241"/>
      <c r="AF1158" s="1241"/>
      <c r="AG1158" s="1241"/>
      <c r="AH1158" s="1241"/>
      <c r="AI1158" s="1241"/>
      <c r="AJ1158" s="1241"/>
      <c r="AK1158" s="1241"/>
      <c r="AL1158" s="1241"/>
      <c r="AM1158" s="1241"/>
      <c r="AN1158" s="1241"/>
      <c r="AO1158" s="1241"/>
      <c r="AP1158" s="1241"/>
      <c r="AQ1158" s="1241"/>
      <c r="AR1158" s="1241"/>
      <c r="AS1158" s="1241"/>
      <c r="AT1158" s="1241"/>
      <c r="AU1158" s="1241"/>
      <c r="AV1158" s="1241"/>
      <c r="AW1158" s="1241"/>
      <c r="AX1158" s="1241"/>
      <c r="AY1158" s="1241"/>
      <c r="AZ1158" s="1241"/>
      <c r="BA1158" s="1241"/>
      <c r="BB1158" s="1241"/>
      <c r="BC1158" s="1241"/>
      <c r="BD1158" s="1241"/>
      <c r="BE1158" s="1241"/>
      <c r="BF1158" s="1241"/>
      <c r="BG1158" s="1241"/>
      <c r="BH1158" s="1241"/>
      <c r="BI1158" s="1241"/>
      <c r="BJ1158" s="1241"/>
      <c r="BK1158" s="1241"/>
      <c r="BL1158" s="1241"/>
      <c r="BM1158" s="1241"/>
      <c r="BN1158" s="1241"/>
      <c r="BO1158" s="1241"/>
      <c r="BP1158" s="1241"/>
      <c r="BQ1158" s="1241"/>
      <c r="BR1158" s="1241"/>
      <c r="BS1158" s="1241"/>
      <c r="BT1158" s="1241"/>
      <c r="BU1158" s="1241"/>
      <c r="BV1158" s="1241"/>
      <c r="BW1158" s="1241"/>
      <c r="BX1158" s="1241"/>
      <c r="BY1158" s="1241"/>
      <c r="BZ1158" s="1241"/>
      <c r="CA1158" s="1241"/>
      <c r="CB1158" s="1241"/>
      <c r="CC1158" s="1241"/>
      <c r="CD1158" s="1241"/>
      <c r="CE1158" s="1241"/>
      <c r="CF1158" s="1241"/>
      <c r="CG1158" s="1241"/>
      <c r="CH1158" s="1241"/>
      <c r="CI1158" s="1241"/>
      <c r="CJ1158" s="1241"/>
      <c r="CK1158" s="1241"/>
      <c r="CL1158" s="1241"/>
      <c r="CM1158" s="1241"/>
      <c r="CN1158" s="1241"/>
      <c r="CO1158" s="1241"/>
      <c r="CP1158" s="1241"/>
      <c r="CQ1158" s="1241"/>
      <c r="CR1158" s="1241"/>
      <c r="CS1158" s="1241"/>
      <c r="CT1158" s="1241"/>
      <c r="CU1158" s="1241"/>
      <c r="CV1158" s="1241"/>
      <c r="CW1158" s="1241"/>
      <c r="CX1158" s="1241"/>
      <c r="CY1158" s="1241"/>
      <c r="CZ1158" s="1241"/>
      <c r="DA1158" s="1241"/>
      <c r="DB1158" s="1241"/>
      <c r="DC1158" s="1241"/>
      <c r="DD1158" s="1241"/>
      <c r="DE1158" s="1241"/>
      <c r="DF1158" s="1241"/>
      <c r="DG1158" s="1241"/>
      <c r="DH1158" s="1241"/>
      <c r="DI1158" s="1241"/>
      <c r="DJ1158" s="1241"/>
      <c r="DK1158" s="1241"/>
      <c r="DL1158" s="1241"/>
      <c r="DM1158" s="1241"/>
    </row>
    <row r="1159" spans="1:117" s="1302" customFormat="1">
      <c r="A1159" s="1241"/>
      <c r="B1159" s="1241"/>
      <c r="C1159" s="1241"/>
      <c r="D1159" s="1241"/>
      <c r="E1159" s="1241"/>
      <c r="F1159" s="1241"/>
      <c r="G1159" s="1242"/>
      <c r="H1159" s="1242"/>
      <c r="I1159" s="1242"/>
      <c r="J1159" s="1242"/>
      <c r="K1159" s="1242"/>
      <c r="L1159" s="1242"/>
      <c r="M1159" s="1242"/>
      <c r="N1159" s="1242"/>
      <c r="O1159" s="1242"/>
      <c r="P1159" s="1241"/>
      <c r="Q1159" s="1241"/>
      <c r="R1159" s="1241"/>
      <c r="S1159" s="1241"/>
      <c r="T1159" s="1241"/>
      <c r="U1159" s="1241"/>
      <c r="V1159" s="1241"/>
      <c r="W1159" s="1241"/>
      <c r="X1159" s="1241"/>
      <c r="Y1159" s="1241"/>
      <c r="Z1159" s="1241"/>
      <c r="AA1159" s="1241"/>
      <c r="AB1159" s="1241"/>
      <c r="AC1159" s="1241"/>
      <c r="AD1159" s="1241"/>
      <c r="AE1159" s="1241"/>
      <c r="AF1159" s="1241"/>
      <c r="AG1159" s="1241"/>
      <c r="AH1159" s="1241"/>
      <c r="AI1159" s="1241"/>
      <c r="AJ1159" s="1241"/>
      <c r="AK1159" s="1241"/>
      <c r="AL1159" s="1241"/>
      <c r="AM1159" s="1241"/>
      <c r="AN1159" s="1241"/>
      <c r="AO1159" s="1241"/>
      <c r="AP1159" s="1241"/>
      <c r="AQ1159" s="1241"/>
      <c r="AR1159" s="1241"/>
      <c r="AS1159" s="1241"/>
      <c r="AT1159" s="1241"/>
      <c r="AU1159" s="1241"/>
      <c r="AV1159" s="1241"/>
      <c r="AW1159" s="1241"/>
      <c r="AX1159" s="1241"/>
      <c r="AY1159" s="1241"/>
      <c r="AZ1159" s="1241"/>
      <c r="BA1159" s="1241"/>
      <c r="BB1159" s="1241"/>
      <c r="BC1159" s="1241"/>
      <c r="BD1159" s="1241"/>
      <c r="BE1159" s="1241"/>
      <c r="BF1159" s="1241"/>
      <c r="BG1159" s="1241"/>
      <c r="BH1159" s="1241"/>
      <c r="BI1159" s="1241"/>
      <c r="BJ1159" s="1241"/>
      <c r="BK1159" s="1241"/>
      <c r="BL1159" s="1241"/>
      <c r="BM1159" s="1241"/>
      <c r="BN1159" s="1241"/>
      <c r="BO1159" s="1241"/>
      <c r="BP1159" s="1241"/>
      <c r="BQ1159" s="1241"/>
      <c r="BR1159" s="1241"/>
      <c r="BS1159" s="1241"/>
      <c r="BT1159" s="1241"/>
      <c r="BU1159" s="1241"/>
      <c r="BV1159" s="1241"/>
      <c r="BW1159" s="1241"/>
      <c r="BX1159" s="1241"/>
      <c r="BY1159" s="1241"/>
      <c r="BZ1159" s="1241"/>
      <c r="CA1159" s="1241"/>
      <c r="CB1159" s="1241"/>
      <c r="CC1159" s="1241"/>
      <c r="CD1159" s="1241"/>
      <c r="CE1159" s="1241"/>
      <c r="CF1159" s="1241"/>
      <c r="CG1159" s="1241"/>
      <c r="CH1159" s="1241"/>
      <c r="CI1159" s="1241"/>
      <c r="CJ1159" s="1241"/>
      <c r="CK1159" s="1241"/>
      <c r="CL1159" s="1241"/>
      <c r="CM1159" s="1241"/>
      <c r="CN1159" s="1241"/>
      <c r="CO1159" s="1241"/>
      <c r="CP1159" s="1241"/>
      <c r="CQ1159" s="1241"/>
      <c r="CR1159" s="1241"/>
      <c r="CS1159" s="1241"/>
      <c r="CT1159" s="1241"/>
      <c r="CU1159" s="1241"/>
      <c r="CV1159" s="1241"/>
      <c r="CW1159" s="1241"/>
      <c r="CX1159" s="1241"/>
      <c r="CY1159" s="1241"/>
      <c r="CZ1159" s="1241"/>
      <c r="DA1159" s="1241"/>
      <c r="DB1159" s="1241"/>
      <c r="DC1159" s="1241"/>
      <c r="DD1159" s="1241"/>
      <c r="DE1159" s="1241"/>
      <c r="DF1159" s="1241"/>
      <c r="DG1159" s="1241"/>
      <c r="DH1159" s="1241"/>
      <c r="DI1159" s="1241"/>
      <c r="DJ1159" s="1241"/>
      <c r="DK1159" s="1241"/>
      <c r="DL1159" s="1241"/>
      <c r="DM1159" s="1241"/>
    </row>
    <row r="1160" spans="1:117" s="1302" customFormat="1" ht="16">
      <c r="A1160" s="1241"/>
      <c r="B1160" s="1617"/>
      <c r="C1160" s="1241"/>
      <c r="D1160" s="1241"/>
      <c r="E1160" s="1241"/>
      <c r="F1160" s="1241"/>
      <c r="G1160" s="1242"/>
      <c r="H1160" s="1242"/>
      <c r="I1160" s="1242"/>
      <c r="J1160" s="1242"/>
      <c r="K1160" s="1242"/>
      <c r="L1160" s="1242"/>
      <c r="M1160" s="1242"/>
      <c r="N1160" s="1242"/>
      <c r="O1160" s="1241"/>
      <c r="P1160" s="1241"/>
      <c r="Q1160" s="1241"/>
      <c r="R1160" s="1241"/>
      <c r="S1160" s="1241"/>
      <c r="T1160" s="1241"/>
      <c r="U1160" s="1241"/>
      <c r="V1160" s="1241"/>
      <c r="W1160" s="1241"/>
      <c r="X1160" s="1241"/>
      <c r="Y1160" s="1241"/>
      <c r="Z1160" s="1241"/>
      <c r="AA1160" s="1241"/>
      <c r="AB1160" s="1241"/>
      <c r="AC1160" s="1241"/>
      <c r="AD1160" s="1241"/>
      <c r="AE1160" s="1241"/>
      <c r="AF1160" s="1241"/>
      <c r="AG1160" s="1241"/>
      <c r="AH1160" s="1241"/>
      <c r="AI1160" s="1241"/>
      <c r="AJ1160" s="1241"/>
      <c r="AK1160" s="1241"/>
      <c r="AL1160" s="1241"/>
      <c r="AM1160" s="1241"/>
      <c r="AN1160" s="1241"/>
      <c r="AO1160" s="1241"/>
      <c r="AP1160" s="1241"/>
      <c r="AQ1160" s="1241"/>
      <c r="AR1160" s="1241"/>
      <c r="AS1160" s="1241"/>
      <c r="AT1160" s="1241"/>
      <c r="AU1160" s="1241"/>
      <c r="AV1160" s="1241"/>
      <c r="AW1160" s="1241"/>
      <c r="AX1160" s="1241"/>
      <c r="AY1160" s="1241"/>
      <c r="AZ1160" s="1241"/>
      <c r="BA1160" s="1241"/>
      <c r="BB1160" s="1241"/>
      <c r="BC1160" s="1241"/>
      <c r="BD1160" s="1241"/>
      <c r="BE1160" s="1241"/>
      <c r="BF1160" s="1241"/>
      <c r="BG1160" s="1241"/>
      <c r="BH1160" s="1241"/>
      <c r="BI1160" s="1241"/>
      <c r="BJ1160" s="1241"/>
      <c r="BK1160" s="1241"/>
      <c r="BL1160" s="1241"/>
      <c r="BM1160" s="1241"/>
      <c r="BN1160" s="1241"/>
      <c r="BO1160" s="1241"/>
      <c r="BP1160" s="1241"/>
      <c r="BQ1160" s="1241"/>
      <c r="BR1160" s="1241"/>
      <c r="BS1160" s="1241"/>
      <c r="BT1160" s="1241"/>
      <c r="BU1160" s="1241"/>
      <c r="BV1160" s="1241"/>
      <c r="BW1160" s="1241"/>
      <c r="BX1160" s="1241"/>
      <c r="BY1160" s="1241"/>
      <c r="BZ1160" s="1241"/>
      <c r="CA1160" s="1241"/>
      <c r="CB1160" s="1241"/>
      <c r="CC1160" s="1241"/>
      <c r="CD1160" s="1241"/>
      <c r="CE1160" s="1241"/>
      <c r="CF1160" s="1241"/>
      <c r="CG1160" s="1241"/>
      <c r="CH1160" s="1241"/>
      <c r="CI1160" s="1241"/>
      <c r="CJ1160" s="1241"/>
      <c r="CK1160" s="1241"/>
      <c r="CL1160" s="1241"/>
      <c r="CM1160" s="1241"/>
      <c r="CN1160" s="1241"/>
      <c r="CO1160" s="1241"/>
      <c r="CP1160" s="1241"/>
      <c r="CQ1160" s="1241"/>
      <c r="CR1160" s="1241"/>
      <c r="CS1160" s="1241"/>
      <c r="CT1160" s="1241"/>
      <c r="CU1160" s="1241"/>
      <c r="CV1160" s="1241"/>
      <c r="CW1160" s="1241"/>
      <c r="CX1160" s="1241"/>
      <c r="CY1160" s="1241"/>
      <c r="CZ1160" s="1241"/>
      <c r="DA1160" s="1241"/>
      <c r="DB1160" s="1241"/>
      <c r="DC1160" s="1241"/>
      <c r="DD1160" s="1241"/>
      <c r="DE1160" s="1241"/>
      <c r="DF1160" s="1241"/>
      <c r="DG1160" s="1241"/>
      <c r="DH1160" s="1241"/>
      <c r="DI1160" s="1241"/>
      <c r="DJ1160" s="1241"/>
      <c r="DK1160" s="1241"/>
      <c r="DL1160" s="1241"/>
      <c r="DM1160" s="1241"/>
    </row>
    <row r="1161" spans="1:117" s="1302" customFormat="1" ht="16">
      <c r="A1161" s="1241"/>
      <c r="B1161" s="1228" t="s">
        <v>4106</v>
      </c>
      <c r="C1161" s="1229"/>
      <c r="D1161" s="1618"/>
      <c r="E1161" s="1618"/>
      <c r="F1161" s="1618"/>
      <c r="G1161" s="1619"/>
      <c r="H1161" s="1619"/>
      <c r="I1161" s="1619"/>
      <c r="J1161" s="1619"/>
      <c r="K1161" s="1619"/>
      <c r="L1161" s="1619"/>
      <c r="M1161" s="1619"/>
      <c r="N1161" s="1619"/>
      <c r="O1161" s="1618"/>
      <c r="P1161" s="1241"/>
      <c r="Q1161" s="1241"/>
      <c r="R1161" s="1241"/>
      <c r="S1161" s="1241"/>
      <c r="T1161" s="1241"/>
      <c r="U1161" s="1241"/>
      <c r="V1161" s="1241"/>
      <c r="W1161" s="1241"/>
      <c r="X1161" s="1241"/>
      <c r="Y1161" s="1241"/>
      <c r="Z1161" s="1241"/>
      <c r="AA1161" s="1241"/>
      <c r="AB1161" s="1241"/>
      <c r="AC1161" s="1241"/>
      <c r="AD1161" s="1241"/>
      <c r="AE1161" s="1241"/>
      <c r="AF1161" s="1241"/>
      <c r="AG1161" s="1241"/>
      <c r="AH1161" s="1241"/>
      <c r="AI1161" s="1241"/>
      <c r="AJ1161" s="1241"/>
      <c r="AK1161" s="1241"/>
      <c r="AL1161" s="1241"/>
      <c r="AM1161" s="1241"/>
      <c r="AN1161" s="1241"/>
      <c r="AO1161" s="1241"/>
      <c r="AP1161" s="1241"/>
      <c r="AQ1161" s="1241"/>
      <c r="AR1161" s="1241"/>
      <c r="AS1161" s="1241"/>
      <c r="AT1161" s="1241"/>
      <c r="AU1161" s="1241"/>
      <c r="AV1161" s="1241"/>
      <c r="AW1161" s="1241"/>
      <c r="AX1161" s="1241"/>
      <c r="AY1161" s="1241"/>
      <c r="AZ1161" s="1241"/>
      <c r="BA1161" s="1241"/>
      <c r="BB1161" s="1241"/>
      <c r="BC1161" s="1241"/>
      <c r="BD1161" s="1241"/>
      <c r="BE1161" s="1241"/>
      <c r="BF1161" s="1241"/>
      <c r="BG1161" s="1241"/>
      <c r="BH1161" s="1241"/>
      <c r="BI1161" s="1241"/>
      <c r="BJ1161" s="1241"/>
      <c r="BK1161" s="1241"/>
      <c r="BL1161" s="1241"/>
      <c r="BM1161" s="1241"/>
      <c r="BN1161" s="1241"/>
      <c r="BO1161" s="1241"/>
      <c r="BP1161" s="1241"/>
      <c r="BQ1161" s="1241"/>
      <c r="BR1161" s="1241"/>
      <c r="BS1161" s="1241"/>
      <c r="BT1161" s="1241"/>
      <c r="BU1161" s="1241"/>
      <c r="BV1161" s="1241"/>
      <c r="BW1161" s="1241"/>
      <c r="BX1161" s="1241"/>
      <c r="BY1161" s="1241"/>
      <c r="BZ1161" s="1241"/>
      <c r="CA1161" s="1241"/>
      <c r="CB1161" s="1241"/>
      <c r="CC1161" s="1241"/>
      <c r="CD1161" s="1241"/>
      <c r="CE1161" s="1241"/>
      <c r="CF1161" s="1241"/>
      <c r="CG1161" s="1241"/>
      <c r="CH1161" s="1241"/>
      <c r="CI1161" s="1241"/>
      <c r="CJ1161" s="1241"/>
      <c r="CK1161" s="1241"/>
      <c r="CL1161" s="1241"/>
      <c r="CM1161" s="1241"/>
      <c r="CN1161" s="1241"/>
      <c r="CO1161" s="1241"/>
      <c r="CP1161" s="1241"/>
      <c r="CQ1161" s="1241"/>
      <c r="CR1161" s="1241"/>
      <c r="CS1161" s="1241"/>
      <c r="CT1161" s="1241"/>
      <c r="CU1161" s="1241"/>
      <c r="CV1161" s="1241"/>
      <c r="CW1161" s="1241"/>
      <c r="CX1161" s="1241"/>
      <c r="CY1161" s="1241"/>
      <c r="CZ1161" s="1241"/>
      <c r="DA1161" s="1241"/>
      <c r="DB1161" s="1241"/>
      <c r="DC1161" s="1241"/>
      <c r="DD1161" s="1241"/>
      <c r="DE1161" s="1241"/>
      <c r="DF1161" s="1241"/>
      <c r="DG1161" s="1241"/>
      <c r="DH1161" s="1241"/>
      <c r="DI1161" s="1241"/>
      <c r="DJ1161" s="1241"/>
      <c r="DK1161" s="1241"/>
      <c r="DL1161" s="1241"/>
      <c r="DM1161" s="1241"/>
    </row>
    <row r="1162" spans="1:117" s="1302" customFormat="1">
      <c r="A1162" s="1241"/>
      <c r="B1162" s="1620"/>
      <c r="C1162" s="1621"/>
      <c r="D1162" s="1621"/>
      <c r="E1162" s="1621"/>
      <c r="F1162" s="1621"/>
      <c r="G1162" s="1622"/>
      <c r="H1162" s="1622"/>
      <c r="I1162" s="1622"/>
      <c r="J1162" s="1622"/>
      <c r="K1162" s="1622"/>
      <c r="L1162" s="1622"/>
      <c r="M1162" s="1622"/>
      <c r="N1162" s="1622"/>
      <c r="O1162" s="1621"/>
      <c r="P1162" s="1241"/>
      <c r="Q1162" s="1241"/>
      <c r="R1162" s="1241"/>
      <c r="S1162" s="1241"/>
      <c r="T1162" s="1241"/>
      <c r="U1162" s="1241"/>
      <c r="V1162" s="1241"/>
      <c r="W1162" s="1241"/>
      <c r="X1162" s="1241"/>
      <c r="Y1162" s="1241"/>
      <c r="Z1162" s="1241"/>
      <c r="AA1162" s="1241"/>
      <c r="AB1162" s="1241"/>
      <c r="AC1162" s="1241"/>
      <c r="AD1162" s="1241"/>
      <c r="AE1162" s="1241"/>
      <c r="AF1162" s="1241"/>
      <c r="AG1162" s="1241"/>
      <c r="AH1162" s="1241"/>
      <c r="AI1162" s="1241"/>
      <c r="AJ1162" s="1241"/>
      <c r="AK1162" s="1241"/>
      <c r="AL1162" s="1241"/>
      <c r="AM1162" s="1241"/>
      <c r="AN1162" s="1241"/>
      <c r="AO1162" s="1241"/>
      <c r="AP1162" s="1241"/>
      <c r="AQ1162" s="1241"/>
      <c r="AR1162" s="1241"/>
      <c r="AS1162" s="1241"/>
      <c r="AT1162" s="1241"/>
      <c r="AU1162" s="1241"/>
      <c r="AV1162" s="1241"/>
      <c r="AW1162" s="1241"/>
      <c r="AX1162" s="1241"/>
      <c r="AY1162" s="1241"/>
      <c r="AZ1162" s="1241"/>
      <c r="BA1162" s="1241"/>
      <c r="BB1162" s="1241"/>
      <c r="BC1162" s="1241"/>
      <c r="BD1162" s="1241"/>
      <c r="BE1162" s="1241"/>
      <c r="BF1162" s="1241"/>
      <c r="BG1162" s="1241"/>
      <c r="BH1162" s="1241"/>
      <c r="BI1162" s="1241"/>
      <c r="BJ1162" s="1241"/>
      <c r="BK1162" s="1241"/>
      <c r="BL1162" s="1241"/>
      <c r="BM1162" s="1241"/>
      <c r="BN1162" s="1241"/>
      <c r="BO1162" s="1241"/>
      <c r="BP1162" s="1241"/>
      <c r="BQ1162" s="1241"/>
      <c r="BR1162" s="1241"/>
      <c r="BS1162" s="1241"/>
      <c r="BT1162" s="1241"/>
      <c r="BU1162" s="1241"/>
      <c r="BV1162" s="1241"/>
      <c r="BW1162" s="1241"/>
      <c r="BX1162" s="1241"/>
      <c r="BY1162" s="1241"/>
      <c r="BZ1162" s="1241"/>
      <c r="CA1162" s="1241"/>
      <c r="CB1162" s="1241"/>
      <c r="CC1162" s="1241"/>
      <c r="CD1162" s="1241"/>
      <c r="CE1162" s="1241"/>
      <c r="CF1162" s="1241"/>
      <c r="CG1162" s="1241"/>
      <c r="CH1162" s="1241"/>
      <c r="CI1162" s="1241"/>
      <c r="CJ1162" s="1241"/>
      <c r="CK1162" s="1241"/>
      <c r="CL1162" s="1241"/>
      <c r="CM1162" s="1241"/>
      <c r="CN1162" s="1241"/>
      <c r="CO1162" s="1241"/>
      <c r="CP1162" s="1241"/>
      <c r="CQ1162" s="1241"/>
      <c r="CR1162" s="1241"/>
      <c r="CS1162" s="1241"/>
      <c r="CT1162" s="1241"/>
      <c r="CU1162" s="1241"/>
      <c r="CV1162" s="1241"/>
      <c r="CW1162" s="1241"/>
      <c r="CX1162" s="1241"/>
      <c r="CY1162" s="1241"/>
      <c r="CZ1162" s="1241"/>
      <c r="DA1162" s="1241"/>
      <c r="DB1162" s="1241"/>
      <c r="DC1162" s="1241"/>
      <c r="DD1162" s="1241"/>
      <c r="DE1162" s="1241"/>
      <c r="DF1162" s="1241"/>
      <c r="DG1162" s="1241"/>
      <c r="DH1162" s="1241"/>
      <c r="DI1162" s="1241"/>
      <c r="DJ1162" s="1241"/>
      <c r="DK1162" s="1241"/>
      <c r="DL1162" s="1241"/>
      <c r="DM1162" s="1241"/>
    </row>
    <row r="1163" spans="1:117" s="1302" customFormat="1" ht="12.5" customHeight="1">
      <c r="A1163" s="1241"/>
      <c r="B1163" s="1620"/>
      <c r="C1163" s="1623" t="s">
        <v>4387</v>
      </c>
      <c r="D1163" s="1624"/>
      <c r="E1163" s="1625"/>
      <c r="F1163" s="1624"/>
      <c r="G1163" s="1626"/>
      <c r="H1163" s="1626"/>
      <c r="I1163" s="1626"/>
      <c r="J1163" s="1626"/>
      <c r="K1163" s="1626"/>
      <c r="L1163" s="1626"/>
      <c r="M1163" s="1626"/>
      <c r="N1163" s="1626"/>
      <c r="O1163" s="1625" t="s">
        <v>4680</v>
      </c>
      <c r="P1163" s="1241"/>
      <c r="Q1163" s="1241"/>
      <c r="R1163" s="1241"/>
      <c r="S1163" s="1241"/>
      <c r="T1163" s="1241"/>
      <c r="U1163" s="1241"/>
      <c r="V1163" s="1241"/>
      <c r="W1163" s="1241"/>
      <c r="X1163" s="1241"/>
      <c r="Y1163" s="1241"/>
      <c r="Z1163" s="1241"/>
      <c r="AA1163" s="1241"/>
      <c r="AB1163" s="1241"/>
      <c r="AC1163" s="1241"/>
      <c r="AD1163" s="1241"/>
      <c r="AE1163" s="1241"/>
      <c r="AF1163" s="1241"/>
      <c r="AG1163" s="1241"/>
      <c r="AH1163" s="1241"/>
      <c r="AI1163" s="1241"/>
      <c r="AJ1163" s="1241"/>
      <c r="AK1163" s="1241"/>
      <c r="AL1163" s="1241"/>
      <c r="AM1163" s="1241"/>
      <c r="AN1163" s="1241"/>
      <c r="AO1163" s="1241"/>
      <c r="AP1163" s="1241"/>
      <c r="AQ1163" s="1241"/>
      <c r="AR1163" s="1241"/>
      <c r="AS1163" s="1241"/>
      <c r="AT1163" s="1241"/>
      <c r="AU1163" s="1241"/>
      <c r="AV1163" s="1241"/>
      <c r="AW1163" s="1241"/>
      <c r="AX1163" s="1241"/>
      <c r="AY1163" s="1241"/>
      <c r="AZ1163" s="1241"/>
      <c r="BA1163" s="1241"/>
      <c r="BB1163" s="1241"/>
      <c r="BC1163" s="1241"/>
      <c r="BD1163" s="1241"/>
      <c r="BE1163" s="1241"/>
      <c r="BF1163" s="1241"/>
      <c r="BG1163" s="1241"/>
      <c r="BH1163" s="1241"/>
      <c r="BI1163" s="1241"/>
      <c r="BJ1163" s="1241"/>
      <c r="BK1163" s="1241"/>
      <c r="BL1163" s="1241"/>
      <c r="BM1163" s="1241"/>
      <c r="BN1163" s="1241"/>
      <c r="BO1163" s="1241"/>
      <c r="BP1163" s="1241"/>
      <c r="BQ1163" s="1241"/>
      <c r="BR1163" s="1241"/>
      <c r="BS1163" s="1241"/>
      <c r="BT1163" s="1241"/>
      <c r="BU1163" s="1241"/>
      <c r="BV1163" s="1241"/>
      <c r="BW1163" s="1241"/>
      <c r="BX1163" s="1241"/>
      <c r="BY1163" s="1241"/>
      <c r="BZ1163" s="1241"/>
      <c r="CA1163" s="1241"/>
      <c r="CB1163" s="1241"/>
      <c r="CC1163" s="1241"/>
      <c r="CD1163" s="1241"/>
      <c r="CE1163" s="1241"/>
      <c r="CF1163" s="1241"/>
      <c r="CG1163" s="1241"/>
      <c r="CH1163" s="1241"/>
      <c r="CI1163" s="1241"/>
      <c r="CJ1163" s="1241"/>
      <c r="CK1163" s="1241"/>
      <c r="CL1163" s="1241"/>
      <c r="CM1163" s="1241"/>
      <c r="CN1163" s="1241"/>
      <c r="CO1163" s="1241"/>
      <c r="CP1163" s="1241"/>
      <c r="CQ1163" s="1241"/>
      <c r="CR1163" s="1241"/>
      <c r="CS1163" s="1241"/>
      <c r="CT1163" s="1241"/>
      <c r="CU1163" s="1241"/>
      <c r="CV1163" s="1241"/>
      <c r="CW1163" s="1241"/>
      <c r="CX1163" s="1241"/>
      <c r="CY1163" s="1241"/>
      <c r="CZ1163" s="1241"/>
      <c r="DA1163" s="1241"/>
      <c r="DB1163" s="1241"/>
      <c r="DC1163" s="1241"/>
      <c r="DD1163" s="1241"/>
      <c r="DE1163" s="1241"/>
      <c r="DF1163" s="1241"/>
      <c r="DG1163" s="1241"/>
      <c r="DH1163" s="1241"/>
      <c r="DI1163" s="1241"/>
      <c r="DJ1163" s="1241"/>
      <c r="DK1163" s="1241"/>
      <c r="DL1163" s="1241"/>
      <c r="DM1163" s="1241"/>
    </row>
    <row r="1164" spans="1:117" s="1302" customFormat="1" ht="16">
      <c r="A1164" s="1241"/>
      <c r="B1164" s="1627"/>
      <c r="C1164" s="1624"/>
      <c r="D1164" s="1624"/>
      <c r="E1164" s="1624"/>
      <c r="F1164" s="1624"/>
      <c r="G1164" s="1626"/>
      <c r="H1164" s="1626"/>
      <c r="I1164" s="1626"/>
      <c r="J1164" s="1626"/>
      <c r="K1164" s="1626"/>
      <c r="L1164" s="1626"/>
      <c r="M1164" s="1626"/>
      <c r="N1164" s="1626"/>
      <c r="O1164" s="1624"/>
      <c r="P1164" s="1241"/>
      <c r="Q1164" s="1241"/>
      <c r="R1164" s="1241"/>
      <c r="S1164" s="1241"/>
      <c r="T1164" s="1241"/>
      <c r="U1164" s="1241"/>
      <c r="V1164" s="1241"/>
      <c r="W1164" s="1241"/>
      <c r="X1164" s="1241"/>
      <c r="Y1164" s="1241"/>
      <c r="Z1164" s="1241"/>
      <c r="AA1164" s="1241"/>
      <c r="AB1164" s="1241"/>
      <c r="AC1164" s="1241"/>
      <c r="AD1164" s="1241"/>
      <c r="AE1164" s="1241"/>
      <c r="AF1164" s="1241"/>
      <c r="AG1164" s="1241"/>
      <c r="AH1164" s="1241"/>
      <c r="AI1164" s="1241"/>
      <c r="AJ1164" s="1241"/>
      <c r="AK1164" s="1241"/>
      <c r="AL1164" s="1241"/>
      <c r="AM1164" s="1241"/>
      <c r="AN1164" s="1241"/>
      <c r="AO1164" s="1241"/>
      <c r="AP1164" s="1241"/>
      <c r="AQ1164" s="1241"/>
      <c r="AR1164" s="1241"/>
      <c r="AS1164" s="1241"/>
      <c r="AT1164" s="1241"/>
      <c r="AU1164" s="1241"/>
      <c r="AV1164" s="1241"/>
      <c r="AW1164" s="1241"/>
      <c r="AX1164" s="1241"/>
      <c r="AY1164" s="1241"/>
      <c r="AZ1164" s="1241"/>
      <c r="BA1164" s="1241"/>
      <c r="BB1164" s="1241"/>
      <c r="BC1164" s="1241"/>
      <c r="BD1164" s="1241"/>
      <c r="BE1164" s="1241"/>
      <c r="BF1164" s="1241"/>
      <c r="BG1164" s="1241"/>
      <c r="BH1164" s="1241"/>
      <c r="BI1164" s="1241"/>
      <c r="BJ1164" s="1241"/>
      <c r="BK1164" s="1241"/>
      <c r="BL1164" s="1241"/>
      <c r="BM1164" s="1241"/>
      <c r="BN1164" s="1241"/>
      <c r="BO1164" s="1241"/>
      <c r="BP1164" s="1241"/>
      <c r="BQ1164" s="1241"/>
      <c r="BR1164" s="1241"/>
      <c r="BS1164" s="1241"/>
      <c r="BT1164" s="1241"/>
      <c r="BU1164" s="1241"/>
      <c r="BV1164" s="1241"/>
      <c r="BW1164" s="1241"/>
      <c r="BX1164" s="1241"/>
      <c r="BY1164" s="1241"/>
      <c r="BZ1164" s="1241"/>
      <c r="CA1164" s="1241"/>
      <c r="CB1164" s="1241"/>
      <c r="CC1164" s="1241"/>
      <c r="CD1164" s="1241"/>
      <c r="CE1164" s="1241"/>
      <c r="CF1164" s="1241"/>
      <c r="CG1164" s="1241"/>
      <c r="CH1164" s="1241"/>
      <c r="CI1164" s="1241"/>
      <c r="CJ1164" s="1241"/>
      <c r="CK1164" s="1241"/>
      <c r="CL1164" s="1241"/>
      <c r="CM1164" s="1241"/>
      <c r="CN1164" s="1241"/>
      <c r="CO1164" s="1241"/>
      <c r="CP1164" s="1241"/>
      <c r="CQ1164" s="1241"/>
      <c r="CR1164" s="1241"/>
      <c r="CS1164" s="1241"/>
      <c r="CT1164" s="1241"/>
      <c r="CU1164" s="1241"/>
      <c r="CV1164" s="1241"/>
      <c r="CW1164" s="1241"/>
      <c r="CX1164" s="1241"/>
      <c r="CY1164" s="1241"/>
      <c r="CZ1164" s="1241"/>
      <c r="DA1164" s="1241"/>
      <c r="DB1164" s="1241"/>
      <c r="DC1164" s="1241"/>
      <c r="DD1164" s="1241"/>
      <c r="DE1164" s="1241"/>
      <c r="DF1164" s="1241"/>
      <c r="DG1164" s="1241"/>
      <c r="DH1164" s="1241"/>
      <c r="DI1164" s="1241"/>
      <c r="DJ1164" s="1241"/>
      <c r="DK1164" s="1241"/>
      <c r="DL1164" s="1241"/>
      <c r="DM1164" s="1241"/>
    </row>
    <row r="1165" spans="1:117" s="1302" customFormat="1" ht="16">
      <c r="A1165" s="1241"/>
      <c r="B1165" s="1627"/>
      <c r="C1165" s="1678" t="s">
        <v>4388</v>
      </c>
      <c r="D1165" s="1679" t="s">
        <v>4134</v>
      </c>
      <c r="E1165" s="1679" t="s">
        <v>48</v>
      </c>
      <c r="F1165" s="1680" t="s">
        <v>4384</v>
      </c>
      <c r="G1165" s="1681" t="s">
        <v>4168</v>
      </c>
      <c r="H1165" s="1681" t="s">
        <v>3859</v>
      </c>
      <c r="I1165" s="1681" t="s">
        <v>4170</v>
      </c>
      <c r="J1165" s="1681" t="s">
        <v>4171</v>
      </c>
      <c r="K1165" s="1681" t="s">
        <v>4172</v>
      </c>
      <c r="L1165" s="1681" t="s">
        <v>4173</v>
      </c>
      <c r="M1165" s="1681" t="s">
        <v>4174</v>
      </c>
      <c r="N1165" s="1681" t="s">
        <v>4175</v>
      </c>
      <c r="O1165" s="1682" t="s">
        <v>3860</v>
      </c>
      <c r="P1165" s="1241"/>
      <c r="Q1165" s="1241"/>
      <c r="R1165" s="1241"/>
      <c r="S1165" s="1241"/>
      <c r="T1165" s="1241"/>
      <c r="U1165" s="1241"/>
      <c r="V1165" s="1241"/>
      <c r="W1165" s="1241"/>
      <c r="X1165" s="1241"/>
      <c r="Y1165" s="1241"/>
      <c r="Z1165" s="1241"/>
      <c r="AA1165" s="1241"/>
      <c r="AB1165" s="1241"/>
      <c r="AC1165" s="1241"/>
      <c r="AD1165" s="1241"/>
      <c r="AE1165" s="1241"/>
      <c r="AF1165" s="1241"/>
      <c r="AG1165" s="1241"/>
      <c r="AH1165" s="1241"/>
      <c r="AI1165" s="1241"/>
      <c r="AJ1165" s="1241"/>
      <c r="AK1165" s="1241"/>
      <c r="AL1165" s="1241"/>
      <c r="AM1165" s="1241"/>
      <c r="AN1165" s="1241"/>
      <c r="AO1165" s="1241"/>
      <c r="AP1165" s="1241"/>
      <c r="AQ1165" s="1241"/>
      <c r="AR1165" s="1241"/>
      <c r="AS1165" s="1241"/>
      <c r="AT1165" s="1241"/>
      <c r="AU1165" s="1241"/>
      <c r="AV1165" s="1241"/>
      <c r="AW1165" s="1241"/>
      <c r="AX1165" s="1241"/>
      <c r="AY1165" s="1241"/>
      <c r="AZ1165" s="1241"/>
      <c r="BA1165" s="1241"/>
      <c r="BB1165" s="1241"/>
      <c r="BC1165" s="1241"/>
      <c r="BD1165" s="1241"/>
      <c r="BE1165" s="1241"/>
      <c r="BF1165" s="1241"/>
      <c r="BG1165" s="1241"/>
      <c r="BH1165" s="1241"/>
      <c r="BI1165" s="1241"/>
      <c r="BJ1165" s="1241"/>
      <c r="BK1165" s="1241"/>
      <c r="BL1165" s="1241"/>
      <c r="BM1165" s="1241"/>
      <c r="BN1165" s="1241"/>
      <c r="BO1165" s="1241"/>
      <c r="BP1165" s="1241"/>
      <c r="BQ1165" s="1241"/>
      <c r="BR1165" s="1241"/>
      <c r="BS1165" s="1241"/>
      <c r="BT1165" s="1241"/>
      <c r="BU1165" s="1241"/>
      <c r="BV1165" s="1241"/>
      <c r="BW1165" s="1241"/>
      <c r="BX1165" s="1241"/>
      <c r="BY1165" s="1241"/>
      <c r="BZ1165" s="1241"/>
      <c r="CA1165" s="1241"/>
      <c r="CB1165" s="1241"/>
      <c r="CC1165" s="1241"/>
      <c r="CD1165" s="1241"/>
      <c r="CE1165" s="1241"/>
      <c r="CF1165" s="1241"/>
      <c r="CG1165" s="1241"/>
      <c r="CH1165" s="1241"/>
      <c r="CI1165" s="1241"/>
      <c r="CJ1165" s="1241"/>
      <c r="CK1165" s="1241"/>
      <c r="CL1165" s="1241"/>
      <c r="CM1165" s="1241"/>
      <c r="CN1165" s="1241"/>
      <c r="CO1165" s="1241"/>
      <c r="CP1165" s="1241"/>
      <c r="CQ1165" s="1241"/>
      <c r="CR1165" s="1241"/>
      <c r="CS1165" s="1241"/>
      <c r="CT1165" s="1241"/>
      <c r="CU1165" s="1241"/>
      <c r="CV1165" s="1241"/>
      <c r="CW1165" s="1241"/>
      <c r="CX1165" s="1241"/>
      <c r="CY1165" s="1241"/>
      <c r="CZ1165" s="1241"/>
      <c r="DA1165" s="1241"/>
      <c r="DB1165" s="1241"/>
      <c r="DC1165" s="1241"/>
      <c r="DD1165" s="1241"/>
      <c r="DE1165" s="1241"/>
      <c r="DF1165" s="1241"/>
      <c r="DG1165" s="1241"/>
      <c r="DH1165" s="1241"/>
      <c r="DI1165" s="1241"/>
      <c r="DJ1165" s="1241"/>
      <c r="DK1165" s="1241"/>
      <c r="DL1165" s="1241"/>
      <c r="DM1165" s="1241"/>
    </row>
    <row r="1166" spans="1:117" s="1302" customFormat="1" ht="16">
      <c r="A1166" s="1241"/>
      <c r="B1166" s="1627"/>
      <c r="C1166" s="1683" t="s">
        <v>122</v>
      </c>
      <c r="D1166" s="1684" t="s">
        <v>4136</v>
      </c>
      <c r="E1166" s="1685" t="s">
        <v>4137</v>
      </c>
      <c r="F1166" s="1686" t="s">
        <v>3925</v>
      </c>
      <c r="G1166" s="1687"/>
      <c r="H1166" s="1687">
        <v>888.4911069525258</v>
      </c>
      <c r="I1166" s="1687">
        <v>961.46176955532155</v>
      </c>
      <c r="J1166" s="1687">
        <v>1220.0611733641153</v>
      </c>
      <c r="K1166" s="1687">
        <v>1530.806537324677</v>
      </c>
      <c r="L1166" s="1687">
        <v>1848.5554218265916</v>
      </c>
      <c r="M1166" s="1687">
        <v>2205.3442811915447</v>
      </c>
      <c r="N1166" s="1687">
        <v>2608.5611892284173</v>
      </c>
      <c r="O1166" s="1688">
        <v>1407.4904407128008</v>
      </c>
      <c r="P1166" s="1241"/>
      <c r="Q1166" s="1241"/>
      <c r="R1166" s="1241"/>
      <c r="S1166" s="1241"/>
      <c r="T1166" s="1241"/>
      <c r="U1166" s="1241"/>
      <c r="V1166" s="1241"/>
      <c r="W1166" s="1241"/>
      <c r="X1166" s="1241"/>
      <c r="Y1166" s="1241"/>
      <c r="Z1166" s="1241"/>
      <c r="AA1166" s="1241"/>
      <c r="AB1166" s="1241"/>
      <c r="AC1166" s="1241"/>
      <c r="AD1166" s="1241"/>
      <c r="AE1166" s="1241"/>
      <c r="AF1166" s="1241"/>
      <c r="AG1166" s="1241"/>
      <c r="AH1166" s="1241"/>
      <c r="AI1166" s="1241"/>
      <c r="AJ1166" s="1241"/>
      <c r="AK1166" s="1241"/>
      <c r="AL1166" s="1241"/>
      <c r="AM1166" s="1241"/>
      <c r="AN1166" s="1241"/>
      <c r="AO1166" s="1241"/>
      <c r="AP1166" s="1241"/>
      <c r="AQ1166" s="1241"/>
      <c r="AR1166" s="1241"/>
      <c r="AS1166" s="1241"/>
      <c r="AT1166" s="1241"/>
      <c r="AU1166" s="1241"/>
      <c r="AV1166" s="1241"/>
      <c r="AW1166" s="1241"/>
      <c r="AX1166" s="1241"/>
      <c r="AY1166" s="1241"/>
      <c r="AZ1166" s="1241"/>
      <c r="BA1166" s="1241"/>
      <c r="BB1166" s="1241"/>
      <c r="BC1166" s="1241"/>
      <c r="BD1166" s="1241"/>
      <c r="BE1166" s="1241"/>
      <c r="BF1166" s="1241"/>
      <c r="BG1166" s="1241"/>
      <c r="BH1166" s="1241"/>
      <c r="BI1166" s="1241"/>
      <c r="BJ1166" s="1241"/>
      <c r="BK1166" s="1241"/>
      <c r="BL1166" s="1241"/>
      <c r="BM1166" s="1241"/>
      <c r="BN1166" s="1241"/>
      <c r="BO1166" s="1241"/>
      <c r="BP1166" s="1241"/>
      <c r="BQ1166" s="1241"/>
      <c r="BR1166" s="1241"/>
      <c r="BS1166" s="1241"/>
      <c r="BT1166" s="1241"/>
      <c r="BU1166" s="1241"/>
      <c r="BV1166" s="1241"/>
      <c r="BW1166" s="1241"/>
      <c r="BX1166" s="1241"/>
      <c r="BY1166" s="1241"/>
      <c r="BZ1166" s="1241"/>
      <c r="CA1166" s="1241"/>
      <c r="CB1166" s="1241"/>
      <c r="CC1166" s="1241"/>
      <c r="CD1166" s="1241"/>
      <c r="CE1166" s="1241"/>
      <c r="CF1166" s="1241"/>
      <c r="CG1166" s="1241"/>
      <c r="CH1166" s="1241"/>
      <c r="CI1166" s="1241"/>
      <c r="CJ1166" s="1241"/>
      <c r="CK1166" s="1241"/>
      <c r="CL1166" s="1241"/>
      <c r="CM1166" s="1241"/>
      <c r="CN1166" s="1241"/>
      <c r="CO1166" s="1241"/>
      <c r="CP1166" s="1241"/>
      <c r="CQ1166" s="1241"/>
      <c r="CR1166" s="1241"/>
      <c r="CS1166" s="1241"/>
      <c r="CT1166" s="1241"/>
      <c r="CU1166" s="1241"/>
      <c r="CV1166" s="1241"/>
      <c r="CW1166" s="1241"/>
      <c r="CX1166" s="1241"/>
      <c r="CY1166" s="1241"/>
      <c r="CZ1166" s="1241"/>
      <c r="DA1166" s="1241"/>
      <c r="DB1166" s="1241"/>
      <c r="DC1166" s="1241"/>
      <c r="DD1166" s="1241"/>
      <c r="DE1166" s="1241"/>
      <c r="DF1166" s="1241"/>
      <c r="DG1166" s="1241"/>
      <c r="DH1166" s="1241"/>
      <c r="DI1166" s="1241"/>
      <c r="DJ1166" s="1241"/>
      <c r="DK1166" s="1241"/>
      <c r="DL1166" s="1241"/>
      <c r="DM1166" s="1241"/>
    </row>
    <row r="1167" spans="1:117" s="1302" customFormat="1" ht="16">
      <c r="A1167" s="1241"/>
      <c r="B1167" s="1627"/>
      <c r="C1167" s="1689" t="s">
        <v>4297</v>
      </c>
      <c r="D1167" s="1685" t="s">
        <v>4136</v>
      </c>
      <c r="E1167" s="1685" t="s">
        <v>4137</v>
      </c>
      <c r="F1167" s="1690" t="s">
        <v>3925</v>
      </c>
      <c r="G1167" s="1691"/>
      <c r="H1167" s="1692">
        <v>0.57032038119772621</v>
      </c>
      <c r="I1167" s="1692">
        <v>0.61964712094011209</v>
      </c>
      <c r="J1167" s="1692">
        <v>0.76492447103861527</v>
      </c>
      <c r="K1167" s="1692">
        <v>0.94632948728026978</v>
      </c>
      <c r="L1167" s="1692">
        <v>1.1727221223782505</v>
      </c>
      <c r="M1167" s="1692">
        <v>1.456078470399252</v>
      </c>
      <c r="N1167" s="1692">
        <v>1.8111357927825191</v>
      </c>
      <c r="O1167" s="1693">
        <v>0.86899024268065428</v>
      </c>
      <c r="P1167" s="1241"/>
      <c r="Q1167" s="1241"/>
      <c r="R1167" s="1241"/>
      <c r="S1167" s="1241"/>
      <c r="T1167" s="1241"/>
      <c r="U1167" s="1241"/>
      <c r="V1167" s="1241"/>
      <c r="W1167" s="1241"/>
      <c r="X1167" s="1241"/>
      <c r="Y1167" s="1241"/>
      <c r="Z1167" s="1241"/>
      <c r="AA1167" s="1241"/>
      <c r="AB1167" s="1241"/>
      <c r="AC1167" s="1241"/>
      <c r="AD1167" s="1241"/>
      <c r="AE1167" s="1241"/>
      <c r="AF1167" s="1241"/>
      <c r="AG1167" s="1241"/>
      <c r="AH1167" s="1241"/>
      <c r="AI1167" s="1241"/>
      <c r="AJ1167" s="1241"/>
      <c r="AK1167" s="1241"/>
      <c r="AL1167" s="1241"/>
      <c r="AM1167" s="1241"/>
      <c r="AN1167" s="1241"/>
      <c r="AO1167" s="1241"/>
      <c r="AP1167" s="1241"/>
      <c r="AQ1167" s="1241"/>
      <c r="AR1167" s="1241"/>
      <c r="AS1167" s="1241"/>
      <c r="AT1167" s="1241"/>
      <c r="AU1167" s="1241"/>
      <c r="AV1167" s="1241"/>
      <c r="AW1167" s="1241"/>
      <c r="AX1167" s="1241"/>
      <c r="AY1167" s="1241"/>
      <c r="AZ1167" s="1241"/>
      <c r="BA1167" s="1241"/>
      <c r="BB1167" s="1241"/>
      <c r="BC1167" s="1241"/>
      <c r="BD1167" s="1241"/>
      <c r="BE1167" s="1241"/>
      <c r="BF1167" s="1241"/>
      <c r="BG1167" s="1241"/>
      <c r="BH1167" s="1241"/>
      <c r="BI1167" s="1241"/>
      <c r="BJ1167" s="1241"/>
      <c r="BK1167" s="1241"/>
      <c r="BL1167" s="1241"/>
      <c r="BM1167" s="1241"/>
      <c r="BN1167" s="1241"/>
      <c r="BO1167" s="1241"/>
      <c r="BP1167" s="1241"/>
      <c r="BQ1167" s="1241"/>
      <c r="BR1167" s="1241"/>
      <c r="BS1167" s="1241"/>
      <c r="BT1167" s="1241"/>
      <c r="BU1167" s="1241"/>
      <c r="BV1167" s="1241"/>
      <c r="BW1167" s="1241"/>
      <c r="BX1167" s="1241"/>
      <c r="BY1167" s="1241"/>
      <c r="BZ1167" s="1241"/>
      <c r="CA1167" s="1241"/>
      <c r="CB1167" s="1241"/>
      <c r="CC1167" s="1241"/>
      <c r="CD1167" s="1241"/>
      <c r="CE1167" s="1241"/>
      <c r="CF1167" s="1241"/>
      <c r="CG1167" s="1241"/>
      <c r="CH1167" s="1241"/>
      <c r="CI1167" s="1241"/>
      <c r="CJ1167" s="1241"/>
      <c r="CK1167" s="1241"/>
      <c r="CL1167" s="1241"/>
      <c r="CM1167" s="1241"/>
      <c r="CN1167" s="1241"/>
      <c r="CO1167" s="1241"/>
      <c r="CP1167" s="1241"/>
      <c r="CQ1167" s="1241"/>
      <c r="CR1167" s="1241"/>
      <c r="CS1167" s="1241"/>
      <c r="CT1167" s="1241"/>
      <c r="CU1167" s="1241"/>
      <c r="CV1167" s="1241"/>
      <c r="CW1167" s="1241"/>
      <c r="CX1167" s="1241"/>
      <c r="CY1167" s="1241"/>
      <c r="CZ1167" s="1241"/>
      <c r="DA1167" s="1241"/>
      <c r="DB1167" s="1241"/>
      <c r="DC1167" s="1241"/>
      <c r="DD1167" s="1241"/>
      <c r="DE1167" s="1241"/>
      <c r="DF1167" s="1241"/>
      <c r="DG1167" s="1241"/>
      <c r="DH1167" s="1241"/>
      <c r="DI1167" s="1241"/>
      <c r="DJ1167" s="1241"/>
      <c r="DK1167" s="1241"/>
      <c r="DL1167" s="1241"/>
      <c r="DM1167" s="1241"/>
    </row>
    <row r="1168" spans="1:117" s="1302" customFormat="1" ht="16">
      <c r="A1168" s="1241"/>
      <c r="B1168" s="1627"/>
      <c r="C1168" s="1689" t="s">
        <v>4298</v>
      </c>
      <c r="D1168" s="1685" t="s">
        <v>4136</v>
      </c>
      <c r="E1168" s="1685" t="s">
        <v>4137</v>
      </c>
      <c r="F1168" s="1690" t="s">
        <v>3925</v>
      </c>
      <c r="G1168" s="1691"/>
      <c r="H1168" s="1692">
        <v>3.1373157821137152</v>
      </c>
      <c r="I1168" s="1692">
        <v>2.9442365843324305</v>
      </c>
      <c r="J1168" s="1692">
        <v>3.6438495066313878</v>
      </c>
      <c r="K1168" s="1692">
        <v>4.4694741515108447</v>
      </c>
      <c r="L1168" s="1692">
        <v>5.4260367881599745</v>
      </c>
      <c r="M1168" s="1692">
        <v>6.6061823250890797</v>
      </c>
      <c r="N1168" s="1692">
        <v>8.0736368281928357</v>
      </c>
      <c r="O1168" s="1693">
        <v>4.1382093524153989</v>
      </c>
      <c r="P1168" s="1241"/>
      <c r="Q1168" s="1241"/>
      <c r="R1168" s="1241"/>
      <c r="S1168" s="1241"/>
      <c r="T1168" s="1241"/>
      <c r="U1168" s="1241"/>
      <c r="V1168" s="1241"/>
      <c r="W1168" s="1241"/>
      <c r="X1168" s="1241"/>
      <c r="Y1168" s="1241"/>
      <c r="Z1168" s="1241"/>
      <c r="AA1168" s="1241"/>
      <c r="AB1168" s="1241"/>
      <c r="AC1168" s="1241"/>
      <c r="AD1168" s="1241"/>
      <c r="AE1168" s="1241"/>
      <c r="AF1168" s="1241"/>
      <c r="AG1168" s="1241"/>
      <c r="AH1168" s="1241"/>
      <c r="AI1168" s="1241"/>
      <c r="AJ1168" s="1241"/>
      <c r="AK1168" s="1241"/>
      <c r="AL1168" s="1241"/>
      <c r="AM1168" s="1241"/>
      <c r="AN1168" s="1241"/>
      <c r="AO1168" s="1241"/>
      <c r="AP1168" s="1241"/>
      <c r="AQ1168" s="1241"/>
      <c r="AR1168" s="1241"/>
      <c r="AS1168" s="1241"/>
      <c r="AT1168" s="1241"/>
      <c r="AU1168" s="1241"/>
      <c r="AV1168" s="1241"/>
      <c r="AW1168" s="1241"/>
      <c r="AX1168" s="1241"/>
      <c r="AY1168" s="1241"/>
      <c r="AZ1168" s="1241"/>
      <c r="BA1168" s="1241"/>
      <c r="BB1168" s="1241"/>
      <c r="BC1168" s="1241"/>
      <c r="BD1168" s="1241"/>
      <c r="BE1168" s="1241"/>
      <c r="BF1168" s="1241"/>
      <c r="BG1168" s="1241"/>
      <c r="BH1168" s="1241"/>
      <c r="BI1168" s="1241"/>
      <c r="BJ1168" s="1241"/>
      <c r="BK1168" s="1241"/>
      <c r="BL1168" s="1241"/>
      <c r="BM1168" s="1241"/>
      <c r="BN1168" s="1241"/>
      <c r="BO1168" s="1241"/>
      <c r="BP1168" s="1241"/>
      <c r="BQ1168" s="1241"/>
      <c r="BR1168" s="1241"/>
      <c r="BS1168" s="1241"/>
      <c r="BT1168" s="1241"/>
      <c r="BU1168" s="1241"/>
      <c r="BV1168" s="1241"/>
      <c r="BW1168" s="1241"/>
      <c r="BX1168" s="1241"/>
      <c r="BY1168" s="1241"/>
      <c r="BZ1168" s="1241"/>
      <c r="CA1168" s="1241"/>
      <c r="CB1168" s="1241"/>
      <c r="CC1168" s="1241"/>
      <c r="CD1168" s="1241"/>
      <c r="CE1168" s="1241"/>
      <c r="CF1168" s="1241"/>
      <c r="CG1168" s="1241"/>
      <c r="CH1168" s="1241"/>
      <c r="CI1168" s="1241"/>
      <c r="CJ1168" s="1241"/>
      <c r="CK1168" s="1241"/>
      <c r="CL1168" s="1241"/>
      <c r="CM1168" s="1241"/>
      <c r="CN1168" s="1241"/>
      <c r="CO1168" s="1241"/>
      <c r="CP1168" s="1241"/>
      <c r="CQ1168" s="1241"/>
      <c r="CR1168" s="1241"/>
      <c r="CS1168" s="1241"/>
      <c r="CT1168" s="1241"/>
      <c r="CU1168" s="1241"/>
      <c r="CV1168" s="1241"/>
      <c r="CW1168" s="1241"/>
      <c r="CX1168" s="1241"/>
      <c r="CY1168" s="1241"/>
      <c r="CZ1168" s="1241"/>
      <c r="DA1168" s="1241"/>
      <c r="DB1168" s="1241"/>
      <c r="DC1168" s="1241"/>
      <c r="DD1168" s="1241"/>
      <c r="DE1168" s="1241"/>
      <c r="DF1168" s="1241"/>
      <c r="DG1168" s="1241"/>
      <c r="DH1168" s="1241"/>
      <c r="DI1168" s="1241"/>
      <c r="DJ1168" s="1241"/>
      <c r="DK1168" s="1241"/>
      <c r="DL1168" s="1241"/>
      <c r="DM1168" s="1241"/>
    </row>
    <row r="1169" spans="1:117" s="1302" customFormat="1" ht="16">
      <c r="A1169" s="1241"/>
      <c r="B1169" s="1629"/>
      <c r="C1169" s="1689" t="s">
        <v>122</v>
      </c>
      <c r="D1169" s="1694">
        <v>2</v>
      </c>
      <c r="E1169" s="1685" t="s">
        <v>4141</v>
      </c>
      <c r="F1169" s="1690" t="s">
        <v>3925</v>
      </c>
      <c r="G1169" s="1691"/>
      <c r="H1169" s="1691">
        <v>119.035882541056</v>
      </c>
      <c r="I1169" s="1691">
        <v>130.19600911978685</v>
      </c>
      <c r="J1169" s="1691">
        <v>162.14138523037093</v>
      </c>
      <c r="K1169" s="1691">
        <v>191.33743923823789</v>
      </c>
      <c r="L1169" s="1691">
        <v>208.80990707480211</v>
      </c>
      <c r="M1169" s="1691">
        <v>225.90948716214049</v>
      </c>
      <c r="N1169" s="1691">
        <v>242.55205517420632</v>
      </c>
      <c r="O1169" s="1695">
        <v>184.3277380008102</v>
      </c>
      <c r="P1169" s="1241"/>
      <c r="Q1169" s="1241"/>
      <c r="R1169" s="1241"/>
      <c r="S1169" s="1241"/>
      <c r="T1169" s="1241"/>
      <c r="U1169" s="1241"/>
      <c r="V1169" s="1241"/>
      <c r="W1169" s="1241"/>
      <c r="X1169" s="1241"/>
      <c r="Y1169" s="1241"/>
      <c r="Z1169" s="1241"/>
      <c r="AA1169" s="1241"/>
      <c r="AB1169" s="1241"/>
      <c r="AC1169" s="1241"/>
      <c r="AD1169" s="1241"/>
      <c r="AE1169" s="1241"/>
      <c r="AF1169" s="1241"/>
      <c r="AG1169" s="1241"/>
      <c r="AH1169" s="1241"/>
      <c r="AI1169" s="1241"/>
      <c r="AJ1169" s="1241"/>
      <c r="AK1169" s="1241"/>
      <c r="AL1169" s="1241"/>
      <c r="AM1169" s="1241"/>
      <c r="AN1169" s="1241"/>
      <c r="AO1169" s="1241"/>
      <c r="AP1169" s="1241"/>
      <c r="AQ1169" s="1241"/>
      <c r="AR1169" s="1241"/>
      <c r="AS1169" s="1241"/>
      <c r="AT1169" s="1241"/>
      <c r="AU1169" s="1241"/>
      <c r="AV1169" s="1241"/>
      <c r="AW1169" s="1241"/>
      <c r="AX1169" s="1241"/>
      <c r="AY1169" s="1241"/>
      <c r="AZ1169" s="1241"/>
      <c r="BA1169" s="1241"/>
      <c r="BB1169" s="1241"/>
      <c r="BC1169" s="1241"/>
      <c r="BD1169" s="1241"/>
      <c r="BE1169" s="1241"/>
      <c r="BF1169" s="1241"/>
      <c r="BG1169" s="1241"/>
      <c r="BH1169" s="1241"/>
      <c r="BI1169" s="1241"/>
      <c r="BJ1169" s="1241"/>
      <c r="BK1169" s="1241"/>
      <c r="BL1169" s="1241"/>
      <c r="BM1169" s="1241"/>
      <c r="BN1169" s="1241"/>
      <c r="BO1169" s="1241"/>
      <c r="BP1169" s="1241"/>
      <c r="BQ1169" s="1241"/>
      <c r="BR1169" s="1241"/>
      <c r="BS1169" s="1241"/>
      <c r="BT1169" s="1241"/>
      <c r="BU1169" s="1241"/>
      <c r="BV1169" s="1241"/>
      <c r="BW1169" s="1241"/>
      <c r="BX1169" s="1241"/>
      <c r="BY1169" s="1241"/>
      <c r="BZ1169" s="1241"/>
      <c r="CA1169" s="1241"/>
      <c r="CB1169" s="1241"/>
      <c r="CC1169" s="1241"/>
      <c r="CD1169" s="1241"/>
      <c r="CE1169" s="1241"/>
      <c r="CF1169" s="1241"/>
      <c r="CG1169" s="1241"/>
      <c r="CH1169" s="1241"/>
      <c r="CI1169" s="1241"/>
      <c r="CJ1169" s="1241"/>
      <c r="CK1169" s="1241"/>
      <c r="CL1169" s="1241"/>
      <c r="CM1169" s="1241"/>
      <c r="CN1169" s="1241"/>
      <c r="CO1169" s="1241"/>
      <c r="CP1169" s="1241"/>
      <c r="CQ1169" s="1241"/>
      <c r="CR1169" s="1241"/>
      <c r="CS1169" s="1241"/>
      <c r="CT1169" s="1241"/>
      <c r="CU1169" s="1241"/>
      <c r="CV1169" s="1241"/>
      <c r="CW1169" s="1241"/>
      <c r="CX1169" s="1241"/>
      <c r="CY1169" s="1241"/>
      <c r="CZ1169" s="1241"/>
      <c r="DA1169" s="1241"/>
      <c r="DB1169" s="1241"/>
      <c r="DC1169" s="1241"/>
      <c r="DD1169" s="1241"/>
      <c r="DE1169" s="1241"/>
      <c r="DF1169" s="1241"/>
      <c r="DG1169" s="1241"/>
      <c r="DH1169" s="1241"/>
      <c r="DI1169" s="1241"/>
      <c r="DJ1169" s="1241"/>
      <c r="DK1169" s="1241"/>
      <c r="DL1169" s="1241"/>
      <c r="DM1169" s="1241"/>
    </row>
    <row r="1170" spans="1:117" s="1302" customFormat="1">
      <c r="A1170" s="1241"/>
      <c r="B1170" s="1624"/>
      <c r="C1170" s="1696" t="s">
        <v>1265</v>
      </c>
      <c r="D1170" s="1697"/>
      <c r="E1170" s="1697"/>
      <c r="F1170" s="1698"/>
      <c r="G1170" s="1699"/>
      <c r="H1170" s="1699">
        <v>892.19874311583715</v>
      </c>
      <c r="I1170" s="1699">
        <v>965.02565326059414</v>
      </c>
      <c r="J1170" s="1699">
        <v>1224.4699473417852</v>
      </c>
      <c r="K1170" s="1699">
        <v>1536.2223409634682</v>
      </c>
      <c r="L1170" s="1699">
        <v>1855.1541807371298</v>
      </c>
      <c r="M1170" s="1699">
        <v>2213.4065419870331</v>
      </c>
      <c r="N1170" s="1699">
        <v>2618.4459618493925</v>
      </c>
      <c r="O1170" s="1700">
        <v>1412.4976403078967</v>
      </c>
      <c r="P1170" s="1241"/>
      <c r="Q1170" s="1241"/>
      <c r="R1170" s="1241"/>
      <c r="S1170" s="1241"/>
      <c r="T1170" s="1241"/>
      <c r="U1170" s="1241"/>
      <c r="V1170" s="1241"/>
      <c r="W1170" s="1241"/>
      <c r="X1170" s="1241"/>
      <c r="Y1170" s="1241"/>
      <c r="Z1170" s="1241"/>
      <c r="AA1170" s="1241"/>
      <c r="AB1170" s="1241"/>
      <c r="AC1170" s="1241"/>
      <c r="AD1170" s="1241"/>
      <c r="AE1170" s="1241"/>
      <c r="AF1170" s="1241"/>
      <c r="AG1170" s="1241"/>
      <c r="AH1170" s="1241"/>
      <c r="AI1170" s="1241"/>
      <c r="AJ1170" s="1241"/>
      <c r="AK1170" s="1241"/>
      <c r="AL1170" s="1241"/>
      <c r="AM1170" s="1241"/>
      <c r="AN1170" s="1241"/>
      <c r="AO1170" s="1241"/>
      <c r="AP1170" s="1241"/>
      <c r="AQ1170" s="1241"/>
      <c r="AR1170" s="1241"/>
      <c r="AS1170" s="1241"/>
      <c r="AT1170" s="1241"/>
      <c r="AU1170" s="1241"/>
      <c r="AV1170" s="1241"/>
      <c r="AW1170" s="1241"/>
      <c r="AX1170" s="1241"/>
      <c r="AY1170" s="1241"/>
      <c r="AZ1170" s="1241"/>
      <c r="BA1170" s="1241"/>
      <c r="BB1170" s="1241"/>
      <c r="BC1170" s="1241"/>
      <c r="BD1170" s="1241"/>
      <c r="BE1170" s="1241"/>
      <c r="BF1170" s="1241"/>
      <c r="BG1170" s="1241"/>
      <c r="BH1170" s="1241"/>
      <c r="BI1170" s="1241"/>
      <c r="BJ1170" s="1241"/>
      <c r="BK1170" s="1241"/>
      <c r="BL1170" s="1241"/>
      <c r="BM1170" s="1241"/>
      <c r="BN1170" s="1241"/>
      <c r="BO1170" s="1241"/>
      <c r="BP1170" s="1241"/>
      <c r="BQ1170" s="1241"/>
      <c r="BR1170" s="1241"/>
      <c r="BS1170" s="1241"/>
      <c r="BT1170" s="1241"/>
      <c r="BU1170" s="1241"/>
      <c r="BV1170" s="1241"/>
      <c r="BW1170" s="1241"/>
      <c r="BX1170" s="1241"/>
      <c r="BY1170" s="1241"/>
      <c r="BZ1170" s="1241"/>
      <c r="CA1170" s="1241"/>
      <c r="CB1170" s="1241"/>
      <c r="CC1170" s="1241"/>
      <c r="CD1170" s="1241"/>
      <c r="CE1170" s="1241"/>
      <c r="CF1170" s="1241"/>
      <c r="CG1170" s="1241"/>
      <c r="CH1170" s="1241"/>
      <c r="CI1170" s="1241"/>
      <c r="CJ1170" s="1241"/>
      <c r="CK1170" s="1241"/>
      <c r="CL1170" s="1241"/>
      <c r="CM1170" s="1241"/>
      <c r="CN1170" s="1241"/>
      <c r="CO1170" s="1241"/>
      <c r="CP1170" s="1241"/>
      <c r="CQ1170" s="1241"/>
      <c r="CR1170" s="1241"/>
      <c r="CS1170" s="1241"/>
      <c r="CT1170" s="1241"/>
      <c r="CU1170" s="1241"/>
      <c r="CV1170" s="1241"/>
      <c r="CW1170" s="1241"/>
      <c r="CX1170" s="1241"/>
      <c r="CY1170" s="1241"/>
      <c r="CZ1170" s="1241"/>
      <c r="DA1170" s="1241"/>
      <c r="DB1170" s="1241"/>
      <c r="DC1170" s="1241"/>
      <c r="DD1170" s="1241"/>
      <c r="DE1170" s="1241"/>
      <c r="DF1170" s="1241"/>
      <c r="DG1170" s="1241"/>
      <c r="DH1170" s="1241"/>
      <c r="DI1170" s="1241"/>
      <c r="DJ1170" s="1241"/>
      <c r="DK1170" s="1241"/>
      <c r="DL1170" s="1241"/>
      <c r="DM1170" s="1241"/>
    </row>
    <row r="1171" spans="1:117">
      <c r="B1171" s="1624"/>
      <c r="C1171" s="1628"/>
      <c r="D1171" s="1628"/>
      <c r="E1171" s="1628"/>
      <c r="F1171" s="1630"/>
      <c r="G1171" s="1631"/>
      <c r="H1171" s="1631"/>
      <c r="I1171" s="1631"/>
      <c r="J1171" s="1631"/>
      <c r="K1171" s="1631"/>
      <c r="L1171" s="1631"/>
      <c r="M1171" s="1631"/>
      <c r="N1171" s="1631"/>
      <c r="O1171" s="1630"/>
    </row>
    <row r="1172" spans="1:117" s="1302" customFormat="1" ht="16" hidden="1">
      <c r="A1172" s="1241"/>
      <c r="B1172" s="1230" t="s">
        <v>4178</v>
      </c>
      <c r="C1172" s="1241"/>
      <c r="D1172" s="1241"/>
      <c r="E1172" s="1241"/>
      <c r="F1172" s="1241"/>
      <c r="G1172" s="1242"/>
      <c r="H1172" s="1242"/>
      <c r="I1172" s="1242"/>
      <c r="J1172" s="1242"/>
      <c r="K1172" s="1242"/>
      <c r="L1172" s="1242"/>
      <c r="M1172" s="1242"/>
      <c r="N1172" s="1242"/>
      <c r="O1172" s="1241"/>
      <c r="P1172" s="1241"/>
      <c r="Q1172" s="1241"/>
      <c r="R1172" s="1241"/>
      <c r="S1172" s="1241"/>
      <c r="T1172" s="1241"/>
      <c r="U1172" s="1241"/>
      <c r="V1172" s="1241"/>
      <c r="W1172" s="1241"/>
      <c r="X1172" s="1241"/>
      <c r="Y1172" s="1241"/>
      <c r="Z1172" s="1241"/>
      <c r="AA1172" s="1241"/>
      <c r="AB1172" s="1241"/>
      <c r="AC1172" s="1241"/>
      <c r="AD1172" s="1241"/>
      <c r="AE1172" s="1241"/>
      <c r="AF1172" s="1241"/>
      <c r="AG1172" s="1241"/>
      <c r="AH1172" s="1241"/>
      <c r="AI1172" s="1241"/>
      <c r="AJ1172" s="1241"/>
      <c r="AK1172" s="1241"/>
      <c r="AL1172" s="1241"/>
      <c r="AM1172" s="1241"/>
      <c r="AN1172" s="1241"/>
      <c r="AO1172" s="1241"/>
      <c r="AP1172" s="1241"/>
      <c r="AQ1172" s="1241"/>
      <c r="AR1172" s="1241"/>
      <c r="AS1172" s="1241"/>
      <c r="AT1172" s="1241"/>
      <c r="AU1172" s="1241"/>
      <c r="AV1172" s="1241"/>
      <c r="AW1172" s="1241"/>
      <c r="AX1172" s="1241"/>
      <c r="AY1172" s="1241"/>
      <c r="AZ1172" s="1241"/>
      <c r="BA1172" s="1241"/>
      <c r="BB1172" s="1241"/>
      <c r="BC1172" s="1241"/>
      <c r="BD1172" s="1241"/>
      <c r="BE1172" s="1241"/>
      <c r="BF1172" s="1241"/>
      <c r="BG1172" s="1241"/>
      <c r="BH1172" s="1241"/>
      <c r="BI1172" s="1241"/>
      <c r="BJ1172" s="1241"/>
      <c r="BK1172" s="1241"/>
      <c r="BL1172" s="1241"/>
      <c r="BM1172" s="1241"/>
      <c r="BN1172" s="1241"/>
      <c r="BO1172" s="1241"/>
      <c r="BP1172" s="1241"/>
      <c r="BQ1172" s="1241"/>
      <c r="BR1172" s="1241"/>
      <c r="BS1172" s="1241"/>
      <c r="BT1172" s="1241"/>
      <c r="BU1172" s="1241"/>
      <c r="BV1172" s="1241"/>
      <c r="BW1172" s="1241"/>
      <c r="BX1172" s="1241"/>
      <c r="BY1172" s="1241"/>
      <c r="BZ1172" s="1241"/>
      <c r="CA1172" s="1241"/>
      <c r="CB1172" s="1241"/>
      <c r="CC1172" s="1241"/>
      <c r="CD1172" s="1241"/>
      <c r="CE1172" s="1241"/>
      <c r="CF1172" s="1241"/>
      <c r="CG1172" s="1241"/>
      <c r="CH1172" s="1241"/>
      <c r="CI1172" s="1241"/>
      <c r="CJ1172" s="1241"/>
      <c r="CK1172" s="1241"/>
      <c r="CL1172" s="1241"/>
      <c r="CM1172" s="1241"/>
      <c r="CN1172" s="1241"/>
      <c r="CO1172" s="1241"/>
      <c r="CP1172" s="1241"/>
      <c r="CQ1172" s="1241"/>
      <c r="CR1172" s="1241"/>
      <c r="CS1172" s="1241"/>
      <c r="CT1172" s="1241"/>
      <c r="CU1172" s="1241"/>
      <c r="CV1172" s="1241"/>
      <c r="CW1172" s="1241"/>
      <c r="CX1172" s="1241"/>
      <c r="CY1172" s="1241"/>
      <c r="CZ1172" s="1241"/>
      <c r="DA1172" s="1241"/>
      <c r="DB1172" s="1241"/>
      <c r="DC1172" s="1241"/>
      <c r="DD1172" s="1241"/>
      <c r="DE1172" s="1241"/>
      <c r="DF1172" s="1241"/>
      <c r="DG1172" s="1241"/>
      <c r="DH1172" s="1241"/>
      <c r="DI1172" s="1241"/>
      <c r="DJ1172" s="1241"/>
      <c r="DK1172" s="1241"/>
      <c r="DL1172" s="1241"/>
      <c r="DM1172" s="1241"/>
    </row>
    <row r="1173" spans="1:117" s="1302" customFormat="1" hidden="1">
      <c r="A1173" s="1241"/>
      <c r="B1173" s="1632"/>
      <c r="C1173" s="1633"/>
      <c r="D1173" s="1633"/>
      <c r="E1173" s="1633"/>
      <c r="F1173" s="1633"/>
      <c r="G1173" s="1634"/>
      <c r="H1173" s="1634"/>
      <c r="I1173" s="1634"/>
      <c r="J1173" s="1634"/>
      <c r="K1173" s="1634"/>
      <c r="L1173" s="1634"/>
      <c r="M1173" s="1634"/>
      <c r="N1173" s="1634"/>
      <c r="O1173" s="1633"/>
      <c r="P1173" s="1241"/>
      <c r="Q1173" s="1241"/>
      <c r="R1173" s="1241"/>
      <c r="S1173" s="1241"/>
      <c r="T1173" s="1241"/>
      <c r="U1173" s="1241"/>
      <c r="V1173" s="1241"/>
      <c r="W1173" s="1241"/>
      <c r="X1173" s="1241"/>
      <c r="Y1173" s="1241"/>
      <c r="Z1173" s="1241"/>
      <c r="AA1173" s="1241"/>
      <c r="AB1173" s="1241"/>
      <c r="AC1173" s="1241"/>
      <c r="AD1173" s="1241"/>
      <c r="AE1173" s="1241"/>
      <c r="AF1173" s="1241"/>
      <c r="AG1173" s="1241"/>
      <c r="AH1173" s="1241"/>
      <c r="AI1173" s="1241"/>
      <c r="AJ1173" s="1241"/>
      <c r="AK1173" s="1241"/>
      <c r="AL1173" s="1241"/>
      <c r="AM1173" s="1241"/>
      <c r="AN1173" s="1241"/>
      <c r="AO1173" s="1241"/>
      <c r="AP1173" s="1241"/>
      <c r="AQ1173" s="1241"/>
      <c r="AR1173" s="1241"/>
      <c r="AS1173" s="1241"/>
      <c r="AT1173" s="1241"/>
      <c r="AU1173" s="1241"/>
      <c r="AV1173" s="1241"/>
      <c r="AW1173" s="1241"/>
      <c r="AX1173" s="1241"/>
      <c r="AY1173" s="1241"/>
      <c r="AZ1173" s="1241"/>
      <c r="BA1173" s="1241"/>
      <c r="BB1173" s="1241"/>
      <c r="BC1173" s="1241"/>
      <c r="BD1173" s="1241"/>
      <c r="BE1173" s="1241"/>
      <c r="BF1173" s="1241"/>
      <c r="BG1173" s="1241"/>
      <c r="BH1173" s="1241"/>
      <c r="BI1173" s="1241"/>
      <c r="BJ1173" s="1241"/>
      <c r="BK1173" s="1241"/>
      <c r="BL1173" s="1241"/>
      <c r="BM1173" s="1241"/>
      <c r="BN1173" s="1241"/>
      <c r="BO1173" s="1241"/>
      <c r="BP1173" s="1241"/>
      <c r="BQ1173" s="1241"/>
      <c r="BR1173" s="1241"/>
      <c r="BS1173" s="1241"/>
      <c r="BT1173" s="1241"/>
      <c r="BU1173" s="1241"/>
      <c r="BV1173" s="1241"/>
      <c r="BW1173" s="1241"/>
      <c r="BX1173" s="1241"/>
      <c r="BY1173" s="1241"/>
      <c r="BZ1173" s="1241"/>
      <c r="CA1173" s="1241"/>
      <c r="CB1173" s="1241"/>
      <c r="CC1173" s="1241"/>
      <c r="CD1173" s="1241"/>
      <c r="CE1173" s="1241"/>
      <c r="CF1173" s="1241"/>
      <c r="CG1173" s="1241"/>
      <c r="CH1173" s="1241"/>
      <c r="CI1173" s="1241"/>
      <c r="CJ1173" s="1241"/>
      <c r="CK1173" s="1241"/>
      <c r="CL1173" s="1241"/>
      <c r="CM1173" s="1241"/>
      <c r="CN1173" s="1241"/>
      <c r="CO1173" s="1241"/>
      <c r="CP1173" s="1241"/>
      <c r="CQ1173" s="1241"/>
      <c r="CR1173" s="1241"/>
      <c r="CS1173" s="1241"/>
      <c r="CT1173" s="1241"/>
      <c r="CU1173" s="1241"/>
      <c r="CV1173" s="1241"/>
      <c r="CW1173" s="1241"/>
      <c r="CX1173" s="1241"/>
      <c r="CY1173" s="1241"/>
      <c r="CZ1173" s="1241"/>
      <c r="DA1173" s="1241"/>
      <c r="DB1173" s="1241"/>
      <c r="DC1173" s="1241"/>
      <c r="DD1173" s="1241"/>
      <c r="DE1173" s="1241"/>
      <c r="DF1173" s="1241"/>
      <c r="DG1173" s="1241"/>
      <c r="DH1173" s="1241"/>
      <c r="DI1173" s="1241"/>
      <c r="DJ1173" s="1241"/>
      <c r="DK1173" s="1241"/>
      <c r="DL1173" s="1241"/>
      <c r="DM1173" s="1241"/>
    </row>
    <row r="1174" spans="1:117" s="1302" customFormat="1" hidden="1">
      <c r="A1174" s="1241"/>
      <c r="B1174" s="1233"/>
      <c r="C1174" s="1231"/>
      <c r="D1174" s="1231"/>
      <c r="E1174" s="1231"/>
      <c r="F1174" s="1231"/>
      <c r="G1174" s="1232"/>
      <c r="H1174" s="1232"/>
      <c r="I1174" s="1232"/>
      <c r="J1174" s="1232"/>
      <c r="K1174" s="1232"/>
      <c r="L1174" s="1232"/>
      <c r="M1174" s="1232"/>
      <c r="N1174" s="1232"/>
      <c r="O1174" s="1231"/>
      <c r="P1174" s="1241"/>
      <c r="Q1174" s="1241"/>
      <c r="R1174" s="1241"/>
      <c r="S1174" s="1241"/>
      <c r="T1174" s="1241"/>
      <c r="U1174" s="1241"/>
      <c r="V1174" s="1241"/>
      <c r="W1174" s="1241"/>
      <c r="X1174" s="1241"/>
      <c r="Y1174" s="1241"/>
      <c r="Z1174" s="1241"/>
      <c r="AA1174" s="1241"/>
      <c r="AB1174" s="1241"/>
      <c r="AC1174" s="1241"/>
      <c r="AD1174" s="1241"/>
      <c r="AE1174" s="1241"/>
      <c r="AF1174" s="1241"/>
      <c r="AG1174" s="1241"/>
      <c r="AH1174" s="1241"/>
      <c r="AI1174" s="1241"/>
      <c r="AJ1174" s="1241"/>
      <c r="AK1174" s="1241"/>
      <c r="AL1174" s="1241"/>
      <c r="AM1174" s="1241"/>
      <c r="AN1174" s="1241"/>
      <c r="AO1174" s="1241"/>
      <c r="AP1174" s="1241"/>
      <c r="AQ1174" s="1241"/>
      <c r="AR1174" s="1241"/>
      <c r="AS1174" s="1241"/>
      <c r="AT1174" s="1241"/>
      <c r="AU1174" s="1241"/>
      <c r="AV1174" s="1241"/>
      <c r="AW1174" s="1241"/>
      <c r="AX1174" s="1241"/>
      <c r="AY1174" s="1241"/>
      <c r="AZ1174" s="1241"/>
      <c r="BA1174" s="1241"/>
      <c r="BB1174" s="1241"/>
      <c r="BC1174" s="1241"/>
      <c r="BD1174" s="1241"/>
      <c r="BE1174" s="1241"/>
      <c r="BF1174" s="1241"/>
      <c r="BG1174" s="1241"/>
      <c r="BH1174" s="1241"/>
      <c r="BI1174" s="1241"/>
      <c r="BJ1174" s="1241"/>
      <c r="BK1174" s="1241"/>
      <c r="BL1174" s="1241"/>
      <c r="BM1174" s="1241"/>
      <c r="BN1174" s="1241"/>
      <c r="BO1174" s="1241"/>
      <c r="BP1174" s="1241"/>
      <c r="BQ1174" s="1241"/>
      <c r="BR1174" s="1241"/>
      <c r="BS1174" s="1241"/>
      <c r="BT1174" s="1241"/>
      <c r="BU1174" s="1241"/>
      <c r="BV1174" s="1241"/>
      <c r="BW1174" s="1241"/>
      <c r="BX1174" s="1241"/>
      <c r="BY1174" s="1241"/>
      <c r="BZ1174" s="1241"/>
      <c r="CA1174" s="1241"/>
      <c r="CB1174" s="1241"/>
      <c r="CC1174" s="1241"/>
      <c r="CD1174" s="1241"/>
      <c r="CE1174" s="1241"/>
      <c r="CF1174" s="1241"/>
      <c r="CG1174" s="1241"/>
      <c r="CH1174" s="1241"/>
      <c r="CI1174" s="1241"/>
      <c r="CJ1174" s="1241"/>
      <c r="CK1174" s="1241"/>
      <c r="CL1174" s="1241"/>
      <c r="CM1174" s="1241"/>
      <c r="CN1174" s="1241"/>
      <c r="CO1174" s="1241"/>
      <c r="CP1174" s="1241"/>
      <c r="CQ1174" s="1241"/>
      <c r="CR1174" s="1241"/>
      <c r="CS1174" s="1241"/>
      <c r="CT1174" s="1241"/>
      <c r="CU1174" s="1241"/>
      <c r="CV1174" s="1241"/>
      <c r="CW1174" s="1241"/>
      <c r="CX1174" s="1241"/>
      <c r="CY1174" s="1241"/>
      <c r="CZ1174" s="1241"/>
      <c r="DA1174" s="1241"/>
      <c r="DB1174" s="1241"/>
      <c r="DC1174" s="1241"/>
      <c r="DD1174" s="1241"/>
      <c r="DE1174" s="1241"/>
      <c r="DF1174" s="1241"/>
      <c r="DG1174" s="1241"/>
      <c r="DH1174" s="1241"/>
      <c r="DI1174" s="1241"/>
      <c r="DJ1174" s="1241"/>
      <c r="DK1174" s="1241"/>
      <c r="DL1174" s="1241"/>
      <c r="DM1174" s="1241"/>
    </row>
    <row r="1175" spans="1:117" s="1302" customFormat="1" hidden="1">
      <c r="A1175" s="1241"/>
      <c r="B1175" s="1233"/>
      <c r="C1175" s="1235"/>
      <c r="D1175" s="1235"/>
      <c r="E1175" s="1235"/>
      <c r="F1175" s="1235"/>
      <c r="G1175" s="1236"/>
      <c r="H1175" s="1236"/>
      <c r="I1175" s="1236"/>
      <c r="J1175" s="1236"/>
      <c r="K1175" s="1236"/>
      <c r="L1175" s="1236"/>
      <c r="M1175" s="1236"/>
      <c r="N1175" s="1236"/>
      <c r="O1175" s="1235"/>
      <c r="P1175" s="1241"/>
      <c r="Q1175" s="1241"/>
      <c r="R1175" s="1241"/>
      <c r="S1175" s="1241"/>
      <c r="T1175" s="1241"/>
      <c r="U1175" s="1241"/>
      <c r="V1175" s="1241"/>
      <c r="W1175" s="1241"/>
      <c r="X1175" s="1241"/>
      <c r="Y1175" s="1241"/>
      <c r="Z1175" s="1241"/>
      <c r="AA1175" s="1241"/>
      <c r="AB1175" s="1241"/>
      <c r="AC1175" s="1241"/>
      <c r="AD1175" s="1241"/>
      <c r="AE1175" s="1241"/>
      <c r="AF1175" s="1241"/>
      <c r="AG1175" s="1241"/>
      <c r="AH1175" s="1241"/>
      <c r="AI1175" s="1241"/>
      <c r="AJ1175" s="1241"/>
      <c r="AK1175" s="1241"/>
      <c r="AL1175" s="1241"/>
      <c r="AM1175" s="1241"/>
      <c r="AN1175" s="1241"/>
      <c r="AO1175" s="1241"/>
      <c r="AP1175" s="1241"/>
      <c r="AQ1175" s="1241"/>
      <c r="AR1175" s="1241"/>
      <c r="AS1175" s="1241"/>
      <c r="AT1175" s="1241"/>
      <c r="AU1175" s="1241"/>
      <c r="AV1175" s="1241"/>
      <c r="AW1175" s="1241"/>
      <c r="AX1175" s="1241"/>
      <c r="AY1175" s="1241"/>
      <c r="AZ1175" s="1241"/>
      <c r="BA1175" s="1241"/>
      <c r="BB1175" s="1241"/>
      <c r="BC1175" s="1241"/>
      <c r="BD1175" s="1241"/>
      <c r="BE1175" s="1241"/>
      <c r="BF1175" s="1241"/>
      <c r="BG1175" s="1241"/>
      <c r="BH1175" s="1241"/>
      <c r="BI1175" s="1241"/>
      <c r="BJ1175" s="1241"/>
      <c r="BK1175" s="1241"/>
      <c r="BL1175" s="1241"/>
      <c r="BM1175" s="1241"/>
      <c r="BN1175" s="1241"/>
      <c r="BO1175" s="1241"/>
      <c r="BP1175" s="1241"/>
      <c r="BQ1175" s="1241"/>
      <c r="BR1175" s="1241"/>
      <c r="BS1175" s="1241"/>
      <c r="BT1175" s="1241"/>
      <c r="BU1175" s="1241"/>
      <c r="BV1175" s="1241"/>
      <c r="BW1175" s="1241"/>
      <c r="BX1175" s="1241"/>
      <c r="BY1175" s="1241"/>
      <c r="BZ1175" s="1241"/>
      <c r="CA1175" s="1241"/>
      <c r="CB1175" s="1241"/>
      <c r="CC1175" s="1241"/>
      <c r="CD1175" s="1241"/>
      <c r="CE1175" s="1241"/>
      <c r="CF1175" s="1241"/>
      <c r="CG1175" s="1241"/>
      <c r="CH1175" s="1241"/>
      <c r="CI1175" s="1241"/>
      <c r="CJ1175" s="1241"/>
      <c r="CK1175" s="1241"/>
      <c r="CL1175" s="1241"/>
      <c r="CM1175" s="1241"/>
      <c r="CN1175" s="1241"/>
      <c r="CO1175" s="1241"/>
      <c r="CP1175" s="1241"/>
      <c r="CQ1175" s="1241"/>
      <c r="CR1175" s="1241"/>
      <c r="CS1175" s="1241"/>
      <c r="CT1175" s="1241"/>
      <c r="CU1175" s="1241"/>
      <c r="CV1175" s="1241"/>
      <c r="CW1175" s="1241"/>
      <c r="CX1175" s="1241"/>
      <c r="CY1175" s="1241"/>
      <c r="CZ1175" s="1241"/>
      <c r="DA1175" s="1241"/>
      <c r="DB1175" s="1241"/>
      <c r="DC1175" s="1241"/>
      <c r="DD1175" s="1241"/>
      <c r="DE1175" s="1241"/>
      <c r="DF1175" s="1241"/>
      <c r="DG1175" s="1241"/>
      <c r="DH1175" s="1241"/>
      <c r="DI1175" s="1241"/>
      <c r="DJ1175" s="1241"/>
      <c r="DK1175" s="1241"/>
      <c r="DL1175" s="1241"/>
      <c r="DM1175" s="1241"/>
    </row>
    <row r="1176" spans="1:117" s="1302" customFormat="1" ht="16" hidden="1">
      <c r="A1176" s="1241"/>
      <c r="B1176" s="1237"/>
      <c r="C1176" s="1234" t="s">
        <v>4389</v>
      </c>
      <c r="D1176" s="1235"/>
      <c r="E1176" s="1235"/>
      <c r="F1176" s="1235"/>
      <c r="G1176" s="1236"/>
      <c r="H1176" s="1236"/>
      <c r="I1176" s="1236"/>
      <c r="J1176" s="1236"/>
      <c r="K1176" s="1236"/>
      <c r="L1176" s="1236"/>
      <c r="M1176" s="1236"/>
      <c r="N1176" s="1236"/>
      <c r="O1176" s="1635" t="s">
        <v>3846</v>
      </c>
      <c r="P1176" s="1241"/>
      <c r="Q1176" s="1241"/>
      <c r="R1176" s="1241"/>
      <c r="S1176" s="1241"/>
      <c r="T1176" s="1241"/>
      <c r="U1176" s="1241"/>
      <c r="V1176" s="1241"/>
      <c r="W1176" s="1241"/>
      <c r="X1176" s="1241"/>
      <c r="Y1176" s="1241"/>
      <c r="Z1176" s="1241"/>
      <c r="AA1176" s="1241"/>
      <c r="AB1176" s="1241"/>
      <c r="AC1176" s="1241"/>
      <c r="AD1176" s="1241"/>
      <c r="AE1176" s="1241"/>
      <c r="AF1176" s="1241"/>
      <c r="AG1176" s="1241"/>
      <c r="AH1176" s="1241"/>
      <c r="AI1176" s="1241"/>
      <c r="AJ1176" s="1241"/>
      <c r="AK1176" s="1241"/>
      <c r="AL1176" s="1241"/>
      <c r="AM1176" s="1241"/>
      <c r="AN1176" s="1241"/>
      <c r="AO1176" s="1241"/>
      <c r="AP1176" s="1241"/>
      <c r="AQ1176" s="1241"/>
      <c r="AR1176" s="1241"/>
      <c r="AS1176" s="1241"/>
      <c r="AT1176" s="1241"/>
      <c r="AU1176" s="1241"/>
      <c r="AV1176" s="1241"/>
      <c r="AW1176" s="1241"/>
      <c r="AX1176" s="1241"/>
      <c r="AY1176" s="1241"/>
      <c r="AZ1176" s="1241"/>
      <c r="BA1176" s="1241"/>
      <c r="BB1176" s="1241"/>
      <c r="BC1176" s="1241"/>
      <c r="BD1176" s="1241"/>
      <c r="BE1176" s="1241"/>
      <c r="BF1176" s="1241"/>
      <c r="BG1176" s="1241"/>
      <c r="BH1176" s="1241"/>
      <c r="BI1176" s="1241"/>
      <c r="BJ1176" s="1241"/>
      <c r="BK1176" s="1241"/>
      <c r="BL1176" s="1241"/>
      <c r="BM1176" s="1241"/>
      <c r="BN1176" s="1241"/>
      <c r="BO1176" s="1241"/>
      <c r="BP1176" s="1241"/>
      <c r="BQ1176" s="1241"/>
      <c r="BR1176" s="1241"/>
      <c r="BS1176" s="1241"/>
      <c r="BT1176" s="1241"/>
      <c r="BU1176" s="1241"/>
      <c r="BV1176" s="1241"/>
      <c r="BW1176" s="1241"/>
      <c r="BX1176" s="1241"/>
      <c r="BY1176" s="1241"/>
      <c r="BZ1176" s="1241"/>
      <c r="CA1176" s="1241"/>
      <c r="CB1176" s="1241"/>
      <c r="CC1176" s="1241"/>
      <c r="CD1176" s="1241"/>
      <c r="CE1176" s="1241"/>
      <c r="CF1176" s="1241"/>
      <c r="CG1176" s="1241"/>
      <c r="CH1176" s="1241"/>
      <c r="CI1176" s="1241"/>
      <c r="CJ1176" s="1241"/>
      <c r="CK1176" s="1241"/>
      <c r="CL1176" s="1241"/>
      <c r="CM1176" s="1241"/>
      <c r="CN1176" s="1241"/>
      <c r="CO1176" s="1241"/>
      <c r="CP1176" s="1241"/>
      <c r="CQ1176" s="1241"/>
      <c r="CR1176" s="1241"/>
      <c r="CS1176" s="1241"/>
      <c r="CT1176" s="1241"/>
      <c r="CU1176" s="1241"/>
      <c r="CV1176" s="1241"/>
      <c r="CW1176" s="1241"/>
      <c r="CX1176" s="1241"/>
      <c r="CY1176" s="1241"/>
      <c r="CZ1176" s="1241"/>
      <c r="DA1176" s="1241"/>
      <c r="DB1176" s="1241"/>
      <c r="DC1176" s="1241"/>
      <c r="DD1176" s="1241"/>
      <c r="DE1176" s="1241"/>
      <c r="DF1176" s="1241"/>
      <c r="DG1176" s="1241"/>
      <c r="DH1176" s="1241"/>
      <c r="DI1176" s="1241"/>
      <c r="DJ1176" s="1241"/>
      <c r="DK1176" s="1241"/>
      <c r="DL1176" s="1241"/>
      <c r="DM1176" s="1241"/>
    </row>
    <row r="1177" spans="1:117" s="1302" customFormat="1" ht="16" hidden="1">
      <c r="A1177" s="1241"/>
      <c r="B1177" s="1237"/>
      <c r="C1177" s="1235"/>
      <c r="D1177" s="1235"/>
      <c r="E1177" s="1235"/>
      <c r="F1177" s="1235"/>
      <c r="G1177" s="1236"/>
      <c r="H1177" s="1236"/>
      <c r="I1177" s="1236"/>
      <c r="J1177" s="1236"/>
      <c r="K1177" s="1236"/>
      <c r="L1177" s="1236"/>
      <c r="M1177" s="1236"/>
      <c r="N1177" s="1236"/>
      <c r="O1177" s="1235"/>
      <c r="P1177" s="1241"/>
      <c r="Q1177" s="1241"/>
      <c r="R1177" s="1241"/>
      <c r="S1177" s="1241"/>
      <c r="T1177" s="1241"/>
      <c r="U1177" s="1241"/>
      <c r="V1177" s="1241"/>
      <c r="W1177" s="1241"/>
      <c r="X1177" s="1241"/>
      <c r="Y1177" s="1241"/>
      <c r="Z1177" s="1241"/>
      <c r="AA1177" s="1241"/>
      <c r="AB1177" s="1241"/>
      <c r="AC1177" s="1241"/>
      <c r="AD1177" s="1241"/>
      <c r="AE1177" s="1241"/>
      <c r="AF1177" s="1241"/>
      <c r="AG1177" s="1241"/>
      <c r="AH1177" s="1241"/>
      <c r="AI1177" s="1241"/>
      <c r="AJ1177" s="1241"/>
      <c r="AK1177" s="1241"/>
      <c r="AL1177" s="1241"/>
      <c r="AM1177" s="1241"/>
      <c r="AN1177" s="1241"/>
      <c r="AO1177" s="1241"/>
      <c r="AP1177" s="1241"/>
      <c r="AQ1177" s="1241"/>
      <c r="AR1177" s="1241"/>
      <c r="AS1177" s="1241"/>
      <c r="AT1177" s="1241"/>
      <c r="AU1177" s="1241"/>
      <c r="AV1177" s="1241"/>
      <c r="AW1177" s="1241"/>
      <c r="AX1177" s="1241"/>
      <c r="AY1177" s="1241"/>
      <c r="AZ1177" s="1241"/>
      <c r="BA1177" s="1241"/>
      <c r="BB1177" s="1241"/>
      <c r="BC1177" s="1241"/>
      <c r="BD1177" s="1241"/>
      <c r="BE1177" s="1241"/>
      <c r="BF1177" s="1241"/>
      <c r="BG1177" s="1241"/>
      <c r="BH1177" s="1241"/>
      <c r="BI1177" s="1241"/>
      <c r="BJ1177" s="1241"/>
      <c r="BK1177" s="1241"/>
      <c r="BL1177" s="1241"/>
      <c r="BM1177" s="1241"/>
      <c r="BN1177" s="1241"/>
      <c r="BO1177" s="1241"/>
      <c r="BP1177" s="1241"/>
      <c r="BQ1177" s="1241"/>
      <c r="BR1177" s="1241"/>
      <c r="BS1177" s="1241"/>
      <c r="BT1177" s="1241"/>
      <c r="BU1177" s="1241"/>
      <c r="BV1177" s="1241"/>
      <c r="BW1177" s="1241"/>
      <c r="BX1177" s="1241"/>
      <c r="BY1177" s="1241"/>
      <c r="BZ1177" s="1241"/>
      <c r="CA1177" s="1241"/>
      <c r="CB1177" s="1241"/>
      <c r="CC1177" s="1241"/>
      <c r="CD1177" s="1241"/>
      <c r="CE1177" s="1241"/>
      <c r="CF1177" s="1241"/>
      <c r="CG1177" s="1241"/>
      <c r="CH1177" s="1241"/>
      <c r="CI1177" s="1241"/>
      <c r="CJ1177" s="1241"/>
      <c r="CK1177" s="1241"/>
      <c r="CL1177" s="1241"/>
      <c r="CM1177" s="1241"/>
      <c r="CN1177" s="1241"/>
      <c r="CO1177" s="1241"/>
      <c r="CP1177" s="1241"/>
      <c r="CQ1177" s="1241"/>
      <c r="CR1177" s="1241"/>
      <c r="CS1177" s="1241"/>
      <c r="CT1177" s="1241"/>
      <c r="CU1177" s="1241"/>
      <c r="CV1177" s="1241"/>
      <c r="CW1177" s="1241"/>
      <c r="CX1177" s="1241"/>
      <c r="CY1177" s="1241"/>
      <c r="CZ1177" s="1241"/>
      <c r="DA1177" s="1241"/>
      <c r="DB1177" s="1241"/>
      <c r="DC1177" s="1241"/>
      <c r="DD1177" s="1241"/>
      <c r="DE1177" s="1241"/>
      <c r="DF1177" s="1241"/>
      <c r="DG1177" s="1241"/>
      <c r="DH1177" s="1241"/>
      <c r="DI1177" s="1241"/>
      <c r="DJ1177" s="1241"/>
      <c r="DK1177" s="1241"/>
      <c r="DL1177" s="1241"/>
      <c r="DM1177" s="1241"/>
    </row>
    <row r="1178" spans="1:117" s="1302" customFormat="1" ht="16" hidden="1">
      <c r="A1178" s="1241"/>
      <c r="B1178" s="1237"/>
      <c r="C1178" s="1701" t="s">
        <v>4166</v>
      </c>
      <c r="D1178" s="1702" t="s">
        <v>4167</v>
      </c>
      <c r="E1178" s="1702" t="s">
        <v>48</v>
      </c>
      <c r="F1178" s="1703" t="s">
        <v>4169</v>
      </c>
      <c r="G1178" s="1704" t="s">
        <v>4168</v>
      </c>
      <c r="H1178" s="1704" t="s">
        <v>3859</v>
      </c>
      <c r="I1178" s="1704" t="s">
        <v>4170</v>
      </c>
      <c r="J1178" s="1704" t="s">
        <v>4171</v>
      </c>
      <c r="K1178" s="1704" t="s">
        <v>4172</v>
      </c>
      <c r="L1178" s="1704" t="s">
        <v>4173</v>
      </c>
      <c r="M1178" s="1704" t="s">
        <v>4174</v>
      </c>
      <c r="N1178" s="1704" t="s">
        <v>4175</v>
      </c>
      <c r="O1178" s="1705" t="s">
        <v>3860</v>
      </c>
      <c r="P1178" s="1241"/>
      <c r="Q1178" s="1241"/>
      <c r="R1178" s="1241"/>
      <c r="S1178" s="1241"/>
      <c r="T1178" s="1241"/>
      <c r="U1178" s="1241"/>
      <c r="V1178" s="1241"/>
      <c r="W1178" s="1241"/>
      <c r="X1178" s="1241"/>
      <c r="Y1178" s="1241"/>
      <c r="Z1178" s="1241"/>
      <c r="AA1178" s="1241"/>
      <c r="AB1178" s="1241"/>
      <c r="AC1178" s="1241"/>
      <c r="AD1178" s="1241"/>
      <c r="AE1178" s="1241"/>
      <c r="AF1178" s="1241"/>
      <c r="AG1178" s="1241"/>
      <c r="AH1178" s="1241"/>
      <c r="AI1178" s="1241"/>
      <c r="AJ1178" s="1241"/>
      <c r="AK1178" s="1241"/>
      <c r="AL1178" s="1241"/>
      <c r="AM1178" s="1241"/>
      <c r="AN1178" s="1241"/>
      <c r="AO1178" s="1241"/>
      <c r="AP1178" s="1241"/>
      <c r="AQ1178" s="1241"/>
      <c r="AR1178" s="1241"/>
      <c r="AS1178" s="1241"/>
      <c r="AT1178" s="1241"/>
      <c r="AU1178" s="1241"/>
      <c r="AV1178" s="1241"/>
      <c r="AW1178" s="1241"/>
      <c r="AX1178" s="1241"/>
      <c r="AY1178" s="1241"/>
      <c r="AZ1178" s="1241"/>
      <c r="BA1178" s="1241"/>
      <c r="BB1178" s="1241"/>
      <c r="BC1178" s="1241"/>
      <c r="BD1178" s="1241"/>
      <c r="BE1178" s="1241"/>
      <c r="BF1178" s="1241"/>
      <c r="BG1178" s="1241"/>
      <c r="BH1178" s="1241"/>
      <c r="BI1178" s="1241"/>
      <c r="BJ1178" s="1241"/>
      <c r="BK1178" s="1241"/>
      <c r="BL1178" s="1241"/>
      <c r="BM1178" s="1241"/>
      <c r="BN1178" s="1241"/>
      <c r="BO1178" s="1241"/>
      <c r="BP1178" s="1241"/>
      <c r="BQ1178" s="1241"/>
      <c r="BR1178" s="1241"/>
      <c r="BS1178" s="1241"/>
      <c r="BT1178" s="1241"/>
      <c r="BU1178" s="1241"/>
      <c r="BV1178" s="1241"/>
      <c r="BW1178" s="1241"/>
      <c r="BX1178" s="1241"/>
      <c r="BY1178" s="1241"/>
      <c r="BZ1178" s="1241"/>
      <c r="CA1178" s="1241"/>
      <c r="CB1178" s="1241"/>
      <c r="CC1178" s="1241"/>
      <c r="CD1178" s="1241"/>
      <c r="CE1178" s="1241"/>
      <c r="CF1178" s="1241"/>
      <c r="CG1178" s="1241"/>
      <c r="CH1178" s="1241"/>
      <c r="CI1178" s="1241"/>
      <c r="CJ1178" s="1241"/>
      <c r="CK1178" s="1241"/>
      <c r="CL1178" s="1241"/>
      <c r="CM1178" s="1241"/>
      <c r="CN1178" s="1241"/>
      <c r="CO1178" s="1241"/>
      <c r="CP1178" s="1241"/>
      <c r="CQ1178" s="1241"/>
      <c r="CR1178" s="1241"/>
      <c r="CS1178" s="1241"/>
      <c r="CT1178" s="1241"/>
      <c r="CU1178" s="1241"/>
      <c r="CV1178" s="1241"/>
      <c r="CW1178" s="1241"/>
      <c r="CX1178" s="1241"/>
      <c r="CY1178" s="1241"/>
      <c r="CZ1178" s="1241"/>
      <c r="DA1178" s="1241"/>
      <c r="DB1178" s="1241"/>
      <c r="DC1178" s="1241"/>
      <c r="DD1178" s="1241"/>
      <c r="DE1178" s="1241"/>
      <c r="DF1178" s="1241"/>
      <c r="DG1178" s="1241"/>
      <c r="DH1178" s="1241"/>
      <c r="DI1178" s="1241"/>
      <c r="DJ1178" s="1241"/>
      <c r="DK1178" s="1241"/>
      <c r="DL1178" s="1241"/>
      <c r="DM1178" s="1241"/>
    </row>
    <row r="1179" spans="1:117" s="1302" customFormat="1" ht="16" hidden="1">
      <c r="A1179" s="1241"/>
      <c r="B1179" s="1237"/>
      <c r="C1179" s="1706" t="s">
        <v>4179</v>
      </c>
      <c r="D1179" s="1707" t="s">
        <v>4180</v>
      </c>
      <c r="E1179" s="1707"/>
      <c r="F1179" s="1708"/>
      <c r="G1179" s="1709"/>
      <c r="H1179" s="1710" t="e">
        <v>#REF!</v>
      </c>
      <c r="I1179" s="1710" t="e">
        <v>#REF!</v>
      </c>
      <c r="J1179" s="1710" t="e">
        <v>#REF!</v>
      </c>
      <c r="K1179" s="1710" t="e">
        <v>#REF!</v>
      </c>
      <c r="L1179" s="1710" t="e">
        <v>#REF!</v>
      </c>
      <c r="M1179" s="1710" t="e">
        <v>#REF!</v>
      </c>
      <c r="N1179" s="1710" t="e">
        <v>#REF!</v>
      </c>
      <c r="O1179" s="1711" t="e">
        <v>#REF!</v>
      </c>
      <c r="P1179" s="1241"/>
      <c r="Q1179" s="1241"/>
      <c r="R1179" s="1241"/>
      <c r="S1179" s="1241"/>
      <c r="T1179" s="1241"/>
      <c r="U1179" s="1241"/>
      <c r="V1179" s="1241"/>
      <c r="W1179" s="1241"/>
      <c r="X1179" s="1241"/>
      <c r="Y1179" s="1241"/>
      <c r="Z1179" s="1241"/>
      <c r="AA1179" s="1241"/>
      <c r="AB1179" s="1241"/>
      <c r="AC1179" s="1241"/>
      <c r="AD1179" s="1241"/>
      <c r="AE1179" s="1241"/>
      <c r="AF1179" s="1241"/>
      <c r="AG1179" s="1241"/>
      <c r="AH1179" s="1241"/>
      <c r="AI1179" s="1241"/>
      <c r="AJ1179" s="1241"/>
      <c r="AK1179" s="1241"/>
      <c r="AL1179" s="1241"/>
      <c r="AM1179" s="1241"/>
      <c r="AN1179" s="1241"/>
      <c r="AO1179" s="1241"/>
      <c r="AP1179" s="1241"/>
      <c r="AQ1179" s="1241"/>
      <c r="AR1179" s="1241"/>
      <c r="AS1179" s="1241"/>
      <c r="AT1179" s="1241"/>
      <c r="AU1179" s="1241"/>
      <c r="AV1179" s="1241"/>
      <c r="AW1179" s="1241"/>
      <c r="AX1179" s="1241"/>
      <c r="AY1179" s="1241"/>
      <c r="AZ1179" s="1241"/>
      <c r="BA1179" s="1241"/>
      <c r="BB1179" s="1241"/>
      <c r="BC1179" s="1241"/>
      <c r="BD1179" s="1241"/>
      <c r="BE1179" s="1241"/>
      <c r="BF1179" s="1241"/>
      <c r="BG1179" s="1241"/>
      <c r="BH1179" s="1241"/>
      <c r="BI1179" s="1241"/>
      <c r="BJ1179" s="1241"/>
      <c r="BK1179" s="1241"/>
      <c r="BL1179" s="1241"/>
      <c r="BM1179" s="1241"/>
      <c r="BN1179" s="1241"/>
      <c r="BO1179" s="1241"/>
      <c r="BP1179" s="1241"/>
      <c r="BQ1179" s="1241"/>
      <c r="BR1179" s="1241"/>
      <c r="BS1179" s="1241"/>
      <c r="BT1179" s="1241"/>
      <c r="BU1179" s="1241"/>
      <c r="BV1179" s="1241"/>
      <c r="BW1179" s="1241"/>
      <c r="BX1179" s="1241"/>
      <c r="BY1179" s="1241"/>
      <c r="BZ1179" s="1241"/>
      <c r="CA1179" s="1241"/>
      <c r="CB1179" s="1241"/>
      <c r="CC1179" s="1241"/>
      <c r="CD1179" s="1241"/>
      <c r="CE1179" s="1241"/>
      <c r="CF1179" s="1241"/>
      <c r="CG1179" s="1241"/>
      <c r="CH1179" s="1241"/>
      <c r="CI1179" s="1241"/>
      <c r="CJ1179" s="1241"/>
      <c r="CK1179" s="1241"/>
      <c r="CL1179" s="1241"/>
      <c r="CM1179" s="1241"/>
      <c r="CN1179" s="1241"/>
      <c r="CO1179" s="1241"/>
      <c r="CP1179" s="1241"/>
      <c r="CQ1179" s="1241"/>
      <c r="CR1179" s="1241"/>
      <c r="CS1179" s="1241"/>
      <c r="CT1179" s="1241"/>
      <c r="CU1179" s="1241"/>
      <c r="CV1179" s="1241"/>
      <c r="CW1179" s="1241"/>
      <c r="CX1179" s="1241"/>
      <c r="CY1179" s="1241"/>
      <c r="CZ1179" s="1241"/>
      <c r="DA1179" s="1241"/>
      <c r="DB1179" s="1241"/>
      <c r="DC1179" s="1241"/>
      <c r="DD1179" s="1241"/>
      <c r="DE1179" s="1241"/>
      <c r="DF1179" s="1241"/>
      <c r="DG1179" s="1241"/>
      <c r="DH1179" s="1241"/>
      <c r="DI1179" s="1241"/>
      <c r="DJ1179" s="1241"/>
      <c r="DK1179" s="1241"/>
      <c r="DL1179" s="1241"/>
      <c r="DM1179" s="1241"/>
    </row>
    <row r="1180" spans="1:117" s="1302" customFormat="1" ht="15" hidden="1">
      <c r="A1180" s="1241"/>
      <c r="B1180" s="1238"/>
      <c r="C1180" s="1706" t="s">
        <v>4181</v>
      </c>
      <c r="D1180" s="1707" t="s">
        <v>4182</v>
      </c>
      <c r="E1180" s="1707"/>
      <c r="F1180" s="1708"/>
      <c r="G1180" s="1709"/>
      <c r="H1180" s="1710" t="e">
        <v>#REF!</v>
      </c>
      <c r="I1180" s="1710" t="e">
        <v>#REF!</v>
      </c>
      <c r="J1180" s="1710" t="e">
        <v>#REF!</v>
      </c>
      <c r="K1180" s="1710" t="e">
        <v>#REF!</v>
      </c>
      <c r="L1180" s="1710" t="e">
        <v>#REF!</v>
      </c>
      <c r="M1180" s="1710" t="e">
        <v>#REF!</v>
      </c>
      <c r="N1180" s="1710" t="e">
        <v>#REF!</v>
      </c>
      <c r="O1180" s="1711" t="e">
        <v>#REF!</v>
      </c>
      <c r="P1180" s="1241"/>
      <c r="Q1180" s="1241"/>
      <c r="R1180" s="1241"/>
      <c r="S1180" s="1241"/>
      <c r="T1180" s="1241"/>
      <c r="U1180" s="1241"/>
      <c r="V1180" s="1241"/>
      <c r="W1180" s="1241"/>
      <c r="X1180" s="1241"/>
      <c r="Y1180" s="1241"/>
      <c r="Z1180" s="1241"/>
      <c r="AA1180" s="1241"/>
      <c r="AB1180" s="1241"/>
      <c r="AC1180" s="1241"/>
      <c r="AD1180" s="1241"/>
      <c r="AE1180" s="1241"/>
      <c r="AF1180" s="1241"/>
      <c r="AG1180" s="1241"/>
      <c r="AH1180" s="1241"/>
      <c r="AI1180" s="1241"/>
      <c r="AJ1180" s="1241"/>
      <c r="AK1180" s="1241"/>
      <c r="AL1180" s="1241"/>
      <c r="AM1180" s="1241"/>
      <c r="AN1180" s="1241"/>
      <c r="AO1180" s="1241"/>
      <c r="AP1180" s="1241"/>
      <c r="AQ1180" s="1241"/>
      <c r="AR1180" s="1241"/>
      <c r="AS1180" s="1241"/>
      <c r="AT1180" s="1241"/>
      <c r="AU1180" s="1241"/>
      <c r="AV1180" s="1241"/>
      <c r="AW1180" s="1241"/>
      <c r="AX1180" s="1241"/>
      <c r="AY1180" s="1241"/>
      <c r="AZ1180" s="1241"/>
      <c r="BA1180" s="1241"/>
      <c r="BB1180" s="1241"/>
      <c r="BC1180" s="1241"/>
      <c r="BD1180" s="1241"/>
      <c r="BE1180" s="1241"/>
      <c r="BF1180" s="1241"/>
      <c r="BG1180" s="1241"/>
      <c r="BH1180" s="1241"/>
      <c r="BI1180" s="1241"/>
      <c r="BJ1180" s="1241"/>
      <c r="BK1180" s="1241"/>
      <c r="BL1180" s="1241"/>
      <c r="BM1180" s="1241"/>
      <c r="BN1180" s="1241"/>
      <c r="BO1180" s="1241"/>
      <c r="BP1180" s="1241"/>
      <c r="BQ1180" s="1241"/>
      <c r="BR1180" s="1241"/>
      <c r="BS1180" s="1241"/>
      <c r="BT1180" s="1241"/>
      <c r="BU1180" s="1241"/>
      <c r="BV1180" s="1241"/>
      <c r="BW1180" s="1241"/>
      <c r="BX1180" s="1241"/>
      <c r="BY1180" s="1241"/>
      <c r="BZ1180" s="1241"/>
      <c r="CA1180" s="1241"/>
      <c r="CB1180" s="1241"/>
      <c r="CC1180" s="1241"/>
      <c r="CD1180" s="1241"/>
      <c r="CE1180" s="1241"/>
      <c r="CF1180" s="1241"/>
      <c r="CG1180" s="1241"/>
      <c r="CH1180" s="1241"/>
      <c r="CI1180" s="1241"/>
      <c r="CJ1180" s="1241"/>
      <c r="CK1180" s="1241"/>
      <c r="CL1180" s="1241"/>
      <c r="CM1180" s="1241"/>
      <c r="CN1180" s="1241"/>
      <c r="CO1180" s="1241"/>
      <c r="CP1180" s="1241"/>
      <c r="CQ1180" s="1241"/>
      <c r="CR1180" s="1241"/>
      <c r="CS1180" s="1241"/>
      <c r="CT1180" s="1241"/>
      <c r="CU1180" s="1241"/>
      <c r="CV1180" s="1241"/>
      <c r="CW1180" s="1241"/>
      <c r="CX1180" s="1241"/>
      <c r="CY1180" s="1241"/>
      <c r="CZ1180" s="1241"/>
      <c r="DA1180" s="1241"/>
      <c r="DB1180" s="1241"/>
      <c r="DC1180" s="1241"/>
      <c r="DD1180" s="1241"/>
      <c r="DE1180" s="1241"/>
      <c r="DF1180" s="1241"/>
      <c r="DG1180" s="1241"/>
      <c r="DH1180" s="1241"/>
      <c r="DI1180" s="1241"/>
      <c r="DJ1180" s="1241"/>
      <c r="DK1180" s="1241"/>
      <c r="DL1180" s="1241"/>
      <c r="DM1180" s="1241"/>
    </row>
    <row r="1181" spans="1:117" s="1302" customFormat="1" ht="15" hidden="1">
      <c r="A1181" s="1241"/>
      <c r="B1181" s="1238"/>
      <c r="C1181" s="1706" t="s">
        <v>4183</v>
      </c>
      <c r="D1181" s="1707" t="s">
        <v>4184</v>
      </c>
      <c r="E1181" s="1707"/>
      <c r="F1181" s="1708"/>
      <c r="G1181" s="1709"/>
      <c r="H1181" s="1710" t="e">
        <v>#REF!</v>
      </c>
      <c r="I1181" s="1710" t="e">
        <v>#REF!</v>
      </c>
      <c r="J1181" s="1710" t="e">
        <v>#REF!</v>
      </c>
      <c r="K1181" s="1710" t="e">
        <v>#REF!</v>
      </c>
      <c r="L1181" s="1710" t="e">
        <v>#REF!</v>
      </c>
      <c r="M1181" s="1710" t="e">
        <v>#REF!</v>
      </c>
      <c r="N1181" s="1710" t="e">
        <v>#REF!</v>
      </c>
      <c r="O1181" s="1711" t="e">
        <v>#REF!</v>
      </c>
      <c r="P1181" s="1241"/>
      <c r="Q1181" s="1241"/>
      <c r="R1181" s="1241"/>
      <c r="S1181" s="1241"/>
      <c r="T1181" s="1241"/>
      <c r="U1181" s="1241"/>
      <c r="V1181" s="1241"/>
      <c r="W1181" s="1241"/>
      <c r="X1181" s="1241"/>
      <c r="Y1181" s="1241"/>
      <c r="Z1181" s="1241"/>
      <c r="AA1181" s="1241"/>
      <c r="AB1181" s="1241"/>
      <c r="AC1181" s="1241"/>
      <c r="AD1181" s="1241"/>
      <c r="AE1181" s="1241"/>
      <c r="AF1181" s="1241"/>
      <c r="AG1181" s="1241"/>
      <c r="AH1181" s="1241"/>
      <c r="AI1181" s="1241"/>
      <c r="AJ1181" s="1241"/>
      <c r="AK1181" s="1241"/>
      <c r="AL1181" s="1241"/>
      <c r="AM1181" s="1241"/>
      <c r="AN1181" s="1241"/>
      <c r="AO1181" s="1241"/>
      <c r="AP1181" s="1241"/>
      <c r="AQ1181" s="1241"/>
      <c r="AR1181" s="1241"/>
      <c r="AS1181" s="1241"/>
      <c r="AT1181" s="1241"/>
      <c r="AU1181" s="1241"/>
      <c r="AV1181" s="1241"/>
      <c r="AW1181" s="1241"/>
      <c r="AX1181" s="1241"/>
      <c r="AY1181" s="1241"/>
      <c r="AZ1181" s="1241"/>
      <c r="BA1181" s="1241"/>
      <c r="BB1181" s="1241"/>
      <c r="BC1181" s="1241"/>
      <c r="BD1181" s="1241"/>
      <c r="BE1181" s="1241"/>
      <c r="BF1181" s="1241"/>
      <c r="BG1181" s="1241"/>
      <c r="BH1181" s="1241"/>
      <c r="BI1181" s="1241"/>
      <c r="BJ1181" s="1241"/>
      <c r="BK1181" s="1241"/>
      <c r="BL1181" s="1241"/>
      <c r="BM1181" s="1241"/>
      <c r="BN1181" s="1241"/>
      <c r="BO1181" s="1241"/>
      <c r="BP1181" s="1241"/>
      <c r="BQ1181" s="1241"/>
      <c r="BR1181" s="1241"/>
      <c r="BS1181" s="1241"/>
      <c r="BT1181" s="1241"/>
      <c r="BU1181" s="1241"/>
      <c r="BV1181" s="1241"/>
      <c r="BW1181" s="1241"/>
      <c r="BX1181" s="1241"/>
      <c r="BY1181" s="1241"/>
      <c r="BZ1181" s="1241"/>
      <c r="CA1181" s="1241"/>
      <c r="CB1181" s="1241"/>
      <c r="CC1181" s="1241"/>
      <c r="CD1181" s="1241"/>
      <c r="CE1181" s="1241"/>
      <c r="CF1181" s="1241"/>
      <c r="CG1181" s="1241"/>
      <c r="CH1181" s="1241"/>
      <c r="CI1181" s="1241"/>
      <c r="CJ1181" s="1241"/>
      <c r="CK1181" s="1241"/>
      <c r="CL1181" s="1241"/>
      <c r="CM1181" s="1241"/>
      <c r="CN1181" s="1241"/>
      <c r="CO1181" s="1241"/>
      <c r="CP1181" s="1241"/>
      <c r="CQ1181" s="1241"/>
      <c r="CR1181" s="1241"/>
      <c r="CS1181" s="1241"/>
      <c r="CT1181" s="1241"/>
      <c r="CU1181" s="1241"/>
      <c r="CV1181" s="1241"/>
      <c r="CW1181" s="1241"/>
      <c r="CX1181" s="1241"/>
      <c r="CY1181" s="1241"/>
      <c r="CZ1181" s="1241"/>
      <c r="DA1181" s="1241"/>
      <c r="DB1181" s="1241"/>
      <c r="DC1181" s="1241"/>
      <c r="DD1181" s="1241"/>
      <c r="DE1181" s="1241"/>
      <c r="DF1181" s="1241"/>
      <c r="DG1181" s="1241"/>
      <c r="DH1181" s="1241"/>
      <c r="DI1181" s="1241"/>
      <c r="DJ1181" s="1241"/>
      <c r="DK1181" s="1241"/>
      <c r="DL1181" s="1241"/>
      <c r="DM1181" s="1241"/>
    </row>
    <row r="1182" spans="1:117" s="1302" customFormat="1" ht="15" hidden="1">
      <c r="A1182" s="1241"/>
      <c r="B1182" s="1637"/>
      <c r="C1182" s="1706" t="s">
        <v>4390</v>
      </c>
      <c r="D1182" s="1707" t="s">
        <v>4185</v>
      </c>
      <c r="E1182" s="1707"/>
      <c r="F1182" s="1708"/>
      <c r="G1182" s="1709"/>
      <c r="H1182" s="1709">
        <v>0</v>
      </c>
      <c r="I1182" s="1709">
        <v>0</v>
      </c>
      <c r="J1182" s="1709">
        <v>0</v>
      </c>
      <c r="K1182" s="1709">
        <v>0</v>
      </c>
      <c r="L1182" s="1709">
        <v>0</v>
      </c>
      <c r="M1182" s="1709">
        <v>0</v>
      </c>
      <c r="N1182" s="1709">
        <v>0</v>
      </c>
      <c r="O1182" s="1718">
        <v>0</v>
      </c>
      <c r="P1182" s="1241"/>
      <c r="Q1182" s="1241"/>
      <c r="R1182" s="1241"/>
      <c r="S1182" s="1241"/>
      <c r="T1182" s="1241"/>
      <c r="U1182" s="1241"/>
      <c r="V1182" s="1241"/>
      <c r="W1182" s="1241"/>
      <c r="X1182" s="1241"/>
      <c r="Y1182" s="1241"/>
      <c r="Z1182" s="1241"/>
      <c r="AA1182" s="1241"/>
      <c r="AB1182" s="1241"/>
      <c r="AC1182" s="1241"/>
      <c r="AD1182" s="1241"/>
      <c r="AE1182" s="1241"/>
      <c r="AF1182" s="1241"/>
      <c r="AG1182" s="1241"/>
      <c r="AH1182" s="1241"/>
      <c r="AI1182" s="1241"/>
      <c r="AJ1182" s="1241"/>
      <c r="AK1182" s="1241"/>
      <c r="AL1182" s="1241"/>
      <c r="AM1182" s="1241"/>
      <c r="AN1182" s="1241"/>
      <c r="AO1182" s="1241"/>
      <c r="AP1182" s="1241"/>
      <c r="AQ1182" s="1241"/>
      <c r="AR1182" s="1241"/>
      <c r="AS1182" s="1241"/>
      <c r="AT1182" s="1241"/>
      <c r="AU1182" s="1241"/>
      <c r="AV1182" s="1241"/>
      <c r="AW1182" s="1241"/>
      <c r="AX1182" s="1241"/>
      <c r="AY1182" s="1241"/>
      <c r="AZ1182" s="1241"/>
      <c r="BA1182" s="1241"/>
      <c r="BB1182" s="1241"/>
      <c r="BC1182" s="1241"/>
      <c r="BD1182" s="1241"/>
      <c r="BE1182" s="1241"/>
      <c r="BF1182" s="1241"/>
      <c r="BG1182" s="1241"/>
      <c r="BH1182" s="1241"/>
      <c r="BI1182" s="1241"/>
      <c r="BJ1182" s="1241"/>
      <c r="BK1182" s="1241"/>
      <c r="BL1182" s="1241"/>
      <c r="BM1182" s="1241"/>
      <c r="BN1182" s="1241"/>
      <c r="BO1182" s="1241"/>
      <c r="BP1182" s="1241"/>
      <c r="BQ1182" s="1241"/>
      <c r="BR1182" s="1241"/>
      <c r="BS1182" s="1241"/>
      <c r="BT1182" s="1241"/>
      <c r="BU1182" s="1241"/>
      <c r="BV1182" s="1241"/>
      <c r="BW1182" s="1241"/>
      <c r="BX1182" s="1241"/>
      <c r="BY1182" s="1241"/>
      <c r="BZ1182" s="1241"/>
      <c r="CA1182" s="1241"/>
      <c r="CB1182" s="1241"/>
      <c r="CC1182" s="1241"/>
      <c r="CD1182" s="1241"/>
      <c r="CE1182" s="1241"/>
      <c r="CF1182" s="1241"/>
      <c r="CG1182" s="1241"/>
      <c r="CH1182" s="1241"/>
      <c r="CI1182" s="1241"/>
      <c r="CJ1182" s="1241"/>
      <c r="CK1182" s="1241"/>
      <c r="CL1182" s="1241"/>
      <c r="CM1182" s="1241"/>
      <c r="CN1182" s="1241"/>
      <c r="CO1182" s="1241"/>
      <c r="CP1182" s="1241"/>
      <c r="CQ1182" s="1241"/>
      <c r="CR1182" s="1241"/>
      <c r="CS1182" s="1241"/>
      <c r="CT1182" s="1241"/>
      <c r="CU1182" s="1241"/>
      <c r="CV1182" s="1241"/>
      <c r="CW1182" s="1241"/>
      <c r="CX1182" s="1241"/>
      <c r="CY1182" s="1241"/>
      <c r="CZ1182" s="1241"/>
      <c r="DA1182" s="1241"/>
      <c r="DB1182" s="1241"/>
      <c r="DC1182" s="1241"/>
      <c r="DD1182" s="1241"/>
      <c r="DE1182" s="1241"/>
      <c r="DF1182" s="1241"/>
      <c r="DG1182" s="1241"/>
      <c r="DH1182" s="1241"/>
      <c r="DI1182" s="1241"/>
      <c r="DJ1182" s="1241"/>
      <c r="DK1182" s="1241"/>
      <c r="DL1182" s="1241"/>
      <c r="DM1182" s="1241"/>
    </row>
    <row r="1183" spans="1:117" s="1302" customFormat="1" ht="15" hidden="1">
      <c r="A1183" s="1241"/>
      <c r="B1183" s="1638"/>
      <c r="C1183" s="1706" t="s">
        <v>4186</v>
      </c>
      <c r="D1183" s="1707" t="s">
        <v>4187</v>
      </c>
      <c r="E1183" s="1707"/>
      <c r="F1183" s="1708"/>
      <c r="G1183" s="1709"/>
      <c r="H1183" s="1709">
        <v>0</v>
      </c>
      <c r="I1183" s="1709">
        <v>0</v>
      </c>
      <c r="J1183" s="1709">
        <v>0</v>
      </c>
      <c r="K1183" s="1709">
        <v>0</v>
      </c>
      <c r="L1183" s="1709">
        <v>0</v>
      </c>
      <c r="M1183" s="1709">
        <v>0</v>
      </c>
      <c r="N1183" s="1709">
        <v>0</v>
      </c>
      <c r="O1183" s="1712">
        <v>0</v>
      </c>
      <c r="P1183" s="1241"/>
      <c r="Q1183" s="1241"/>
      <c r="R1183" s="1241"/>
      <c r="S1183" s="1241"/>
      <c r="T1183" s="1241"/>
      <c r="U1183" s="1241"/>
      <c r="V1183" s="1241"/>
      <c r="W1183" s="1241"/>
      <c r="X1183" s="1241"/>
      <c r="Y1183" s="1241"/>
      <c r="Z1183" s="1241"/>
      <c r="AA1183" s="1241"/>
      <c r="AB1183" s="1241"/>
      <c r="AC1183" s="1241"/>
      <c r="AD1183" s="1241"/>
      <c r="AE1183" s="1241"/>
      <c r="AF1183" s="1241"/>
      <c r="AG1183" s="1241"/>
      <c r="AH1183" s="1241"/>
      <c r="AI1183" s="1241"/>
      <c r="AJ1183" s="1241"/>
      <c r="AK1183" s="1241"/>
      <c r="AL1183" s="1241"/>
      <c r="AM1183" s="1241"/>
      <c r="AN1183" s="1241"/>
      <c r="AO1183" s="1241"/>
      <c r="AP1183" s="1241"/>
      <c r="AQ1183" s="1241"/>
      <c r="AR1183" s="1241"/>
      <c r="AS1183" s="1241"/>
      <c r="AT1183" s="1241"/>
      <c r="AU1183" s="1241"/>
      <c r="AV1183" s="1241"/>
      <c r="AW1183" s="1241"/>
      <c r="AX1183" s="1241"/>
      <c r="AY1183" s="1241"/>
      <c r="AZ1183" s="1241"/>
      <c r="BA1183" s="1241"/>
      <c r="BB1183" s="1241"/>
      <c r="BC1183" s="1241"/>
      <c r="BD1183" s="1241"/>
      <c r="BE1183" s="1241"/>
      <c r="BF1183" s="1241"/>
      <c r="BG1183" s="1241"/>
      <c r="BH1183" s="1241"/>
      <c r="BI1183" s="1241"/>
      <c r="BJ1183" s="1241"/>
      <c r="BK1183" s="1241"/>
      <c r="BL1183" s="1241"/>
      <c r="BM1183" s="1241"/>
      <c r="BN1183" s="1241"/>
      <c r="BO1183" s="1241"/>
      <c r="BP1183" s="1241"/>
      <c r="BQ1183" s="1241"/>
      <c r="BR1183" s="1241"/>
      <c r="BS1183" s="1241"/>
      <c r="BT1183" s="1241"/>
      <c r="BU1183" s="1241"/>
      <c r="BV1183" s="1241"/>
      <c r="BW1183" s="1241"/>
      <c r="BX1183" s="1241"/>
      <c r="BY1183" s="1241"/>
      <c r="BZ1183" s="1241"/>
      <c r="CA1183" s="1241"/>
      <c r="CB1183" s="1241"/>
      <c r="CC1183" s="1241"/>
      <c r="CD1183" s="1241"/>
      <c r="CE1183" s="1241"/>
      <c r="CF1183" s="1241"/>
      <c r="CG1183" s="1241"/>
      <c r="CH1183" s="1241"/>
      <c r="CI1183" s="1241"/>
      <c r="CJ1183" s="1241"/>
      <c r="CK1183" s="1241"/>
      <c r="CL1183" s="1241"/>
      <c r="CM1183" s="1241"/>
      <c r="CN1183" s="1241"/>
      <c r="CO1183" s="1241"/>
      <c r="CP1183" s="1241"/>
      <c r="CQ1183" s="1241"/>
      <c r="CR1183" s="1241"/>
      <c r="CS1183" s="1241"/>
      <c r="CT1183" s="1241"/>
      <c r="CU1183" s="1241"/>
      <c r="CV1183" s="1241"/>
      <c r="CW1183" s="1241"/>
      <c r="CX1183" s="1241"/>
      <c r="CY1183" s="1241"/>
      <c r="CZ1183" s="1241"/>
      <c r="DA1183" s="1241"/>
      <c r="DB1183" s="1241"/>
      <c r="DC1183" s="1241"/>
      <c r="DD1183" s="1241"/>
      <c r="DE1183" s="1241"/>
      <c r="DF1183" s="1241"/>
      <c r="DG1183" s="1241"/>
      <c r="DH1183" s="1241"/>
      <c r="DI1183" s="1241"/>
      <c r="DJ1183" s="1241"/>
      <c r="DK1183" s="1241"/>
      <c r="DL1183" s="1241"/>
      <c r="DM1183" s="1241"/>
    </row>
    <row r="1184" spans="1:117" s="1302" customFormat="1" ht="15" hidden="1">
      <c r="A1184" s="1241"/>
      <c r="B1184" s="1241"/>
      <c r="C1184" s="1713" t="s">
        <v>4188</v>
      </c>
      <c r="D1184" s="1714" t="s">
        <v>4189</v>
      </c>
      <c r="E1184" s="1714"/>
      <c r="F1184" s="1715"/>
      <c r="G1184" s="1716"/>
      <c r="H1184" s="1716">
        <v>0</v>
      </c>
      <c r="I1184" s="1716">
        <v>0</v>
      </c>
      <c r="J1184" s="1716">
        <v>0</v>
      </c>
      <c r="K1184" s="1716">
        <v>0</v>
      </c>
      <c r="L1184" s="1716">
        <v>0</v>
      </c>
      <c r="M1184" s="1716">
        <v>0</v>
      </c>
      <c r="N1184" s="1716">
        <v>0</v>
      </c>
      <c r="O1184" s="1717">
        <v>0</v>
      </c>
      <c r="P1184" s="1241"/>
      <c r="Q1184" s="1241"/>
      <c r="R1184" s="1241"/>
      <c r="S1184" s="1241"/>
      <c r="T1184" s="1241"/>
      <c r="U1184" s="1241"/>
      <c r="V1184" s="1241"/>
      <c r="W1184" s="1241"/>
      <c r="X1184" s="1241"/>
      <c r="Y1184" s="1241"/>
      <c r="Z1184" s="1241"/>
      <c r="AA1184" s="1241"/>
      <c r="AB1184" s="1241"/>
      <c r="AC1184" s="1241"/>
      <c r="AD1184" s="1241"/>
      <c r="AE1184" s="1241"/>
      <c r="AF1184" s="1241"/>
      <c r="AG1184" s="1241"/>
      <c r="AH1184" s="1241"/>
      <c r="AI1184" s="1241"/>
      <c r="AJ1184" s="1241"/>
      <c r="AK1184" s="1241"/>
      <c r="AL1184" s="1241"/>
      <c r="AM1184" s="1241"/>
      <c r="AN1184" s="1241"/>
      <c r="AO1184" s="1241"/>
      <c r="AP1184" s="1241"/>
      <c r="AQ1184" s="1241"/>
      <c r="AR1184" s="1241"/>
      <c r="AS1184" s="1241"/>
      <c r="AT1184" s="1241"/>
      <c r="AU1184" s="1241"/>
      <c r="AV1184" s="1241"/>
      <c r="AW1184" s="1241"/>
      <c r="AX1184" s="1241"/>
      <c r="AY1184" s="1241"/>
      <c r="AZ1184" s="1241"/>
      <c r="BA1184" s="1241"/>
      <c r="BB1184" s="1241"/>
      <c r="BC1184" s="1241"/>
      <c r="BD1184" s="1241"/>
      <c r="BE1184" s="1241"/>
      <c r="BF1184" s="1241"/>
      <c r="BG1184" s="1241"/>
      <c r="BH1184" s="1241"/>
      <c r="BI1184" s="1241"/>
      <c r="BJ1184" s="1241"/>
      <c r="BK1184" s="1241"/>
      <c r="BL1184" s="1241"/>
      <c r="BM1184" s="1241"/>
      <c r="BN1184" s="1241"/>
      <c r="BO1184" s="1241"/>
      <c r="BP1184" s="1241"/>
      <c r="BQ1184" s="1241"/>
      <c r="BR1184" s="1241"/>
      <c r="BS1184" s="1241"/>
      <c r="BT1184" s="1241"/>
      <c r="BU1184" s="1241"/>
      <c r="BV1184" s="1241"/>
      <c r="BW1184" s="1241"/>
      <c r="BX1184" s="1241"/>
      <c r="BY1184" s="1241"/>
      <c r="BZ1184" s="1241"/>
      <c r="CA1184" s="1241"/>
      <c r="CB1184" s="1241"/>
      <c r="CC1184" s="1241"/>
      <c r="CD1184" s="1241"/>
      <c r="CE1184" s="1241"/>
      <c r="CF1184" s="1241"/>
      <c r="CG1184" s="1241"/>
      <c r="CH1184" s="1241"/>
      <c r="CI1184" s="1241"/>
      <c r="CJ1184" s="1241"/>
      <c r="CK1184" s="1241"/>
      <c r="CL1184" s="1241"/>
      <c r="CM1184" s="1241"/>
      <c r="CN1184" s="1241"/>
      <c r="CO1184" s="1241"/>
      <c r="CP1184" s="1241"/>
      <c r="CQ1184" s="1241"/>
      <c r="CR1184" s="1241"/>
      <c r="CS1184" s="1241"/>
      <c r="CT1184" s="1241"/>
      <c r="CU1184" s="1241"/>
      <c r="CV1184" s="1241"/>
      <c r="CW1184" s="1241"/>
      <c r="CX1184" s="1241"/>
      <c r="CY1184" s="1241"/>
      <c r="CZ1184" s="1241"/>
      <c r="DA1184" s="1241"/>
      <c r="DB1184" s="1241"/>
      <c r="DC1184" s="1241"/>
      <c r="DD1184" s="1241"/>
      <c r="DE1184" s="1241"/>
      <c r="DF1184" s="1241"/>
      <c r="DG1184" s="1241"/>
      <c r="DH1184" s="1241"/>
      <c r="DI1184" s="1241"/>
      <c r="DJ1184" s="1241"/>
      <c r="DK1184" s="1241"/>
      <c r="DL1184" s="1241"/>
      <c r="DM1184" s="1241"/>
    </row>
    <row r="1185" spans="1:117" s="1302" customFormat="1" hidden="1">
      <c r="A1185" s="1241"/>
      <c r="B1185" s="1633"/>
      <c r="C1185" s="1241"/>
      <c r="D1185" s="1241"/>
      <c r="E1185" s="1241"/>
      <c r="F1185" s="1639"/>
      <c r="G1185" s="1242"/>
      <c r="H1185" s="1242"/>
      <c r="I1185" s="1242"/>
      <c r="J1185" s="1242"/>
      <c r="K1185" s="1242"/>
      <c r="L1185" s="1242"/>
      <c r="M1185" s="1242"/>
      <c r="N1185" s="1242"/>
      <c r="O1185" s="1241"/>
      <c r="P1185" s="1241"/>
      <c r="Q1185" s="1241"/>
      <c r="R1185" s="1241"/>
      <c r="S1185" s="1241"/>
      <c r="T1185" s="1241"/>
      <c r="U1185" s="1241"/>
      <c r="V1185" s="1241"/>
      <c r="W1185" s="1241"/>
      <c r="X1185" s="1241"/>
      <c r="Y1185" s="1241"/>
      <c r="Z1185" s="1241"/>
      <c r="AA1185" s="1241"/>
      <c r="AB1185" s="1241"/>
      <c r="AC1185" s="1241"/>
      <c r="AD1185" s="1241"/>
      <c r="AE1185" s="1241"/>
      <c r="AF1185" s="1241"/>
      <c r="AG1185" s="1241"/>
      <c r="AH1185" s="1241"/>
      <c r="AI1185" s="1241"/>
      <c r="AJ1185" s="1241"/>
      <c r="AK1185" s="1241"/>
      <c r="AL1185" s="1241"/>
      <c r="AM1185" s="1241"/>
      <c r="AN1185" s="1241"/>
      <c r="AO1185" s="1241"/>
      <c r="AP1185" s="1241"/>
      <c r="AQ1185" s="1241"/>
      <c r="AR1185" s="1241"/>
      <c r="AS1185" s="1241"/>
      <c r="AT1185" s="1241"/>
      <c r="AU1185" s="1241"/>
      <c r="AV1185" s="1241"/>
      <c r="AW1185" s="1241"/>
      <c r="AX1185" s="1241"/>
      <c r="AY1185" s="1241"/>
      <c r="AZ1185" s="1241"/>
      <c r="BA1185" s="1241"/>
      <c r="BB1185" s="1241"/>
      <c r="BC1185" s="1241"/>
      <c r="BD1185" s="1241"/>
      <c r="BE1185" s="1241"/>
      <c r="BF1185" s="1241"/>
      <c r="BG1185" s="1241"/>
      <c r="BH1185" s="1241"/>
      <c r="BI1185" s="1241"/>
      <c r="BJ1185" s="1241"/>
      <c r="BK1185" s="1241"/>
      <c r="BL1185" s="1241"/>
      <c r="BM1185" s="1241"/>
      <c r="BN1185" s="1241"/>
      <c r="BO1185" s="1241"/>
      <c r="BP1185" s="1241"/>
      <c r="BQ1185" s="1241"/>
      <c r="BR1185" s="1241"/>
      <c r="BS1185" s="1241"/>
      <c r="BT1185" s="1241"/>
      <c r="BU1185" s="1241"/>
      <c r="BV1185" s="1241"/>
      <c r="BW1185" s="1241"/>
      <c r="BX1185" s="1241"/>
      <c r="BY1185" s="1241"/>
      <c r="BZ1185" s="1241"/>
      <c r="CA1185" s="1241"/>
      <c r="CB1185" s="1241"/>
      <c r="CC1185" s="1241"/>
      <c r="CD1185" s="1241"/>
      <c r="CE1185" s="1241"/>
      <c r="CF1185" s="1241"/>
      <c r="CG1185" s="1241"/>
      <c r="CH1185" s="1241"/>
      <c r="CI1185" s="1241"/>
      <c r="CJ1185" s="1241"/>
      <c r="CK1185" s="1241"/>
      <c r="CL1185" s="1241"/>
      <c r="CM1185" s="1241"/>
      <c r="CN1185" s="1241"/>
      <c r="CO1185" s="1241"/>
      <c r="CP1185" s="1241"/>
      <c r="CQ1185" s="1241"/>
      <c r="CR1185" s="1241"/>
      <c r="CS1185" s="1241"/>
      <c r="CT1185" s="1241"/>
      <c r="CU1185" s="1241"/>
      <c r="CV1185" s="1241"/>
      <c r="CW1185" s="1241"/>
      <c r="CX1185" s="1241"/>
      <c r="CY1185" s="1241"/>
      <c r="CZ1185" s="1241"/>
      <c r="DA1185" s="1241"/>
      <c r="DB1185" s="1241"/>
      <c r="DC1185" s="1241"/>
      <c r="DD1185" s="1241"/>
      <c r="DE1185" s="1241"/>
      <c r="DF1185" s="1241"/>
      <c r="DG1185" s="1241"/>
      <c r="DH1185" s="1241"/>
      <c r="DI1185" s="1241"/>
      <c r="DJ1185" s="1241"/>
      <c r="DK1185" s="1241"/>
      <c r="DL1185" s="1241"/>
      <c r="DM1185" s="1241"/>
    </row>
    <row r="1186" spans="1:117" s="1302" customFormat="1" hidden="1">
      <c r="A1186" s="1241"/>
      <c r="B1186" s="1638"/>
      <c r="C1186" s="1640" t="s">
        <v>4391</v>
      </c>
      <c r="D1186" s="1641"/>
      <c r="E1186" s="1641"/>
      <c r="F1186" s="1642"/>
      <c r="G1186" s="1643"/>
      <c r="H1186" s="1643"/>
      <c r="I1186" s="1643"/>
      <c r="J1186" s="1643"/>
      <c r="K1186" s="1643"/>
      <c r="L1186" s="1643"/>
      <c r="M1186" s="1643"/>
      <c r="N1186" s="1643"/>
      <c r="O1186" s="1644" t="s">
        <v>3846</v>
      </c>
      <c r="P1186" s="1241"/>
      <c r="Q1186" s="1241"/>
      <c r="R1186" s="1241"/>
      <c r="S1186" s="1241"/>
      <c r="T1186" s="1241"/>
      <c r="U1186" s="1241"/>
      <c r="V1186" s="1241"/>
      <c r="W1186" s="1241"/>
      <c r="X1186" s="1241"/>
      <c r="Y1186" s="1241"/>
      <c r="Z1186" s="1241"/>
      <c r="AA1186" s="1241"/>
      <c r="AB1186" s="1241"/>
      <c r="AC1186" s="1241"/>
      <c r="AD1186" s="1241"/>
      <c r="AE1186" s="1241"/>
      <c r="AF1186" s="1241"/>
      <c r="AG1186" s="1241"/>
      <c r="AH1186" s="1241"/>
      <c r="AI1186" s="1241"/>
      <c r="AJ1186" s="1241"/>
      <c r="AK1186" s="1241"/>
      <c r="AL1186" s="1241"/>
      <c r="AM1186" s="1241"/>
      <c r="AN1186" s="1241"/>
      <c r="AO1186" s="1241"/>
      <c r="AP1186" s="1241"/>
      <c r="AQ1186" s="1241"/>
      <c r="AR1186" s="1241"/>
      <c r="AS1186" s="1241"/>
      <c r="AT1186" s="1241"/>
      <c r="AU1186" s="1241"/>
      <c r="AV1186" s="1241"/>
      <c r="AW1186" s="1241"/>
      <c r="AX1186" s="1241"/>
      <c r="AY1186" s="1241"/>
      <c r="AZ1186" s="1241"/>
      <c r="BA1186" s="1241"/>
      <c r="BB1186" s="1241"/>
      <c r="BC1186" s="1241"/>
      <c r="BD1186" s="1241"/>
      <c r="BE1186" s="1241"/>
      <c r="BF1186" s="1241"/>
      <c r="BG1186" s="1241"/>
      <c r="BH1186" s="1241"/>
      <c r="BI1186" s="1241"/>
      <c r="BJ1186" s="1241"/>
      <c r="BK1186" s="1241"/>
      <c r="BL1186" s="1241"/>
      <c r="BM1186" s="1241"/>
      <c r="BN1186" s="1241"/>
      <c r="BO1186" s="1241"/>
      <c r="BP1186" s="1241"/>
      <c r="BQ1186" s="1241"/>
      <c r="BR1186" s="1241"/>
      <c r="BS1186" s="1241"/>
      <c r="BT1186" s="1241"/>
      <c r="BU1186" s="1241"/>
      <c r="BV1186" s="1241"/>
      <c r="BW1186" s="1241"/>
      <c r="BX1186" s="1241"/>
      <c r="BY1186" s="1241"/>
      <c r="BZ1186" s="1241"/>
      <c r="CA1186" s="1241"/>
      <c r="CB1186" s="1241"/>
      <c r="CC1186" s="1241"/>
      <c r="CD1186" s="1241"/>
      <c r="CE1186" s="1241"/>
      <c r="CF1186" s="1241"/>
      <c r="CG1186" s="1241"/>
      <c r="CH1186" s="1241"/>
      <c r="CI1186" s="1241"/>
      <c r="CJ1186" s="1241"/>
      <c r="CK1186" s="1241"/>
      <c r="CL1186" s="1241"/>
      <c r="CM1186" s="1241"/>
      <c r="CN1186" s="1241"/>
      <c r="CO1186" s="1241"/>
      <c r="CP1186" s="1241"/>
      <c r="CQ1186" s="1241"/>
      <c r="CR1186" s="1241"/>
      <c r="CS1186" s="1241"/>
      <c r="CT1186" s="1241"/>
      <c r="CU1186" s="1241"/>
      <c r="CV1186" s="1241"/>
      <c r="CW1186" s="1241"/>
      <c r="CX1186" s="1241"/>
      <c r="CY1186" s="1241"/>
      <c r="CZ1186" s="1241"/>
      <c r="DA1186" s="1241"/>
      <c r="DB1186" s="1241"/>
      <c r="DC1186" s="1241"/>
      <c r="DD1186" s="1241"/>
      <c r="DE1186" s="1241"/>
      <c r="DF1186" s="1241"/>
      <c r="DG1186" s="1241"/>
      <c r="DH1186" s="1241"/>
      <c r="DI1186" s="1241"/>
      <c r="DJ1186" s="1241"/>
      <c r="DK1186" s="1241"/>
      <c r="DL1186" s="1241"/>
      <c r="DM1186" s="1241"/>
    </row>
    <row r="1187" spans="1:117" s="1302" customFormat="1" hidden="1">
      <c r="A1187" s="1241"/>
      <c r="B1187" s="1638"/>
      <c r="C1187" s="1235"/>
      <c r="D1187" s="1235"/>
      <c r="E1187" s="1235"/>
      <c r="F1187" s="1239"/>
      <c r="G1187" s="1236"/>
      <c r="H1187" s="1236"/>
      <c r="I1187" s="1236"/>
      <c r="J1187" s="1236"/>
      <c r="K1187" s="1236"/>
      <c r="L1187" s="1236"/>
      <c r="M1187" s="1236"/>
      <c r="N1187" s="1236"/>
      <c r="O1187" s="1235"/>
      <c r="P1187" s="1241"/>
      <c r="Q1187" s="1241"/>
      <c r="R1187" s="1241"/>
      <c r="S1187" s="1241"/>
      <c r="T1187" s="1241"/>
      <c r="U1187" s="1241"/>
      <c r="V1187" s="1241"/>
      <c r="W1187" s="1241"/>
      <c r="X1187" s="1241"/>
      <c r="Y1187" s="1241"/>
      <c r="Z1187" s="1241"/>
      <c r="AA1187" s="1241"/>
      <c r="AB1187" s="1241"/>
      <c r="AC1187" s="1241"/>
      <c r="AD1187" s="1241"/>
      <c r="AE1187" s="1241"/>
      <c r="AF1187" s="1241"/>
      <c r="AG1187" s="1241"/>
      <c r="AH1187" s="1241"/>
      <c r="AI1187" s="1241"/>
      <c r="AJ1187" s="1241"/>
      <c r="AK1187" s="1241"/>
      <c r="AL1187" s="1241"/>
      <c r="AM1187" s="1241"/>
      <c r="AN1187" s="1241"/>
      <c r="AO1187" s="1241"/>
      <c r="AP1187" s="1241"/>
      <c r="AQ1187" s="1241"/>
      <c r="AR1187" s="1241"/>
      <c r="AS1187" s="1241"/>
      <c r="AT1187" s="1241"/>
      <c r="AU1187" s="1241"/>
      <c r="AV1187" s="1241"/>
      <c r="AW1187" s="1241"/>
      <c r="AX1187" s="1241"/>
      <c r="AY1187" s="1241"/>
      <c r="AZ1187" s="1241"/>
      <c r="BA1187" s="1241"/>
      <c r="BB1187" s="1241"/>
      <c r="BC1187" s="1241"/>
      <c r="BD1187" s="1241"/>
      <c r="BE1187" s="1241"/>
      <c r="BF1187" s="1241"/>
      <c r="BG1187" s="1241"/>
      <c r="BH1187" s="1241"/>
      <c r="BI1187" s="1241"/>
      <c r="BJ1187" s="1241"/>
      <c r="BK1187" s="1241"/>
      <c r="BL1187" s="1241"/>
      <c r="BM1187" s="1241"/>
      <c r="BN1187" s="1241"/>
      <c r="BO1187" s="1241"/>
      <c r="BP1187" s="1241"/>
      <c r="BQ1187" s="1241"/>
      <c r="BR1187" s="1241"/>
      <c r="BS1187" s="1241"/>
      <c r="BT1187" s="1241"/>
      <c r="BU1187" s="1241"/>
      <c r="BV1187" s="1241"/>
      <c r="BW1187" s="1241"/>
      <c r="BX1187" s="1241"/>
      <c r="BY1187" s="1241"/>
      <c r="BZ1187" s="1241"/>
      <c r="CA1187" s="1241"/>
      <c r="CB1187" s="1241"/>
      <c r="CC1187" s="1241"/>
      <c r="CD1187" s="1241"/>
      <c r="CE1187" s="1241"/>
      <c r="CF1187" s="1241"/>
      <c r="CG1187" s="1241"/>
      <c r="CH1187" s="1241"/>
      <c r="CI1187" s="1241"/>
      <c r="CJ1187" s="1241"/>
      <c r="CK1187" s="1241"/>
      <c r="CL1187" s="1241"/>
      <c r="CM1187" s="1241"/>
      <c r="CN1187" s="1241"/>
      <c r="CO1187" s="1241"/>
      <c r="CP1187" s="1241"/>
      <c r="CQ1187" s="1241"/>
      <c r="CR1187" s="1241"/>
      <c r="CS1187" s="1241"/>
      <c r="CT1187" s="1241"/>
      <c r="CU1187" s="1241"/>
      <c r="CV1187" s="1241"/>
      <c r="CW1187" s="1241"/>
      <c r="CX1187" s="1241"/>
      <c r="CY1187" s="1241"/>
      <c r="CZ1187" s="1241"/>
      <c r="DA1187" s="1241"/>
      <c r="DB1187" s="1241"/>
      <c r="DC1187" s="1241"/>
      <c r="DD1187" s="1241"/>
      <c r="DE1187" s="1241"/>
      <c r="DF1187" s="1241"/>
      <c r="DG1187" s="1241"/>
      <c r="DH1187" s="1241"/>
      <c r="DI1187" s="1241"/>
      <c r="DJ1187" s="1241"/>
      <c r="DK1187" s="1241"/>
      <c r="DL1187" s="1241"/>
      <c r="DM1187" s="1241"/>
    </row>
    <row r="1188" spans="1:117" s="1302" customFormat="1" hidden="1">
      <c r="A1188" s="1241"/>
      <c r="B1188" s="1638"/>
      <c r="C1188" s="1701" t="s">
        <v>4166</v>
      </c>
      <c r="D1188" s="1702" t="s">
        <v>4167</v>
      </c>
      <c r="E1188" s="1702" t="s">
        <v>48</v>
      </c>
      <c r="F1188" s="1703" t="s">
        <v>4168</v>
      </c>
      <c r="G1188" s="1704" t="s">
        <v>4392</v>
      </c>
      <c r="H1188" s="1704" t="s">
        <v>3859</v>
      </c>
      <c r="I1188" s="1704" t="s">
        <v>4170</v>
      </c>
      <c r="J1188" s="1704" t="s">
        <v>4171</v>
      </c>
      <c r="K1188" s="1704" t="s">
        <v>4172</v>
      </c>
      <c r="L1188" s="1704" t="s">
        <v>4173</v>
      </c>
      <c r="M1188" s="1704" t="s">
        <v>4174</v>
      </c>
      <c r="N1188" s="1704" t="s">
        <v>4175</v>
      </c>
      <c r="O1188" s="1705" t="s">
        <v>3860</v>
      </c>
      <c r="P1188" s="1241"/>
      <c r="Q1188" s="1241"/>
      <c r="R1188" s="1241"/>
      <c r="S1188" s="1241"/>
      <c r="T1188" s="1241"/>
      <c r="U1188" s="1241"/>
      <c r="V1188" s="1241"/>
      <c r="W1188" s="1241"/>
      <c r="X1188" s="1241"/>
      <c r="Y1188" s="1241"/>
      <c r="Z1188" s="1241"/>
      <c r="AA1188" s="1241"/>
      <c r="AB1188" s="1241"/>
      <c r="AC1188" s="1241"/>
      <c r="AD1188" s="1241"/>
      <c r="AE1188" s="1241"/>
      <c r="AF1188" s="1241"/>
      <c r="AG1188" s="1241"/>
      <c r="AH1188" s="1241"/>
      <c r="AI1188" s="1241"/>
      <c r="AJ1188" s="1241"/>
      <c r="AK1188" s="1241"/>
      <c r="AL1188" s="1241"/>
      <c r="AM1188" s="1241"/>
      <c r="AN1188" s="1241"/>
      <c r="AO1188" s="1241"/>
      <c r="AP1188" s="1241"/>
      <c r="AQ1188" s="1241"/>
      <c r="AR1188" s="1241"/>
      <c r="AS1188" s="1241"/>
      <c r="AT1188" s="1241"/>
      <c r="AU1188" s="1241"/>
      <c r="AV1188" s="1241"/>
      <c r="AW1188" s="1241"/>
      <c r="AX1188" s="1241"/>
      <c r="AY1188" s="1241"/>
      <c r="AZ1188" s="1241"/>
      <c r="BA1188" s="1241"/>
      <c r="BB1188" s="1241"/>
      <c r="BC1188" s="1241"/>
      <c r="BD1188" s="1241"/>
      <c r="BE1188" s="1241"/>
      <c r="BF1188" s="1241"/>
      <c r="BG1188" s="1241"/>
      <c r="BH1188" s="1241"/>
      <c r="BI1188" s="1241"/>
      <c r="BJ1188" s="1241"/>
      <c r="BK1188" s="1241"/>
      <c r="BL1188" s="1241"/>
      <c r="BM1188" s="1241"/>
      <c r="BN1188" s="1241"/>
      <c r="BO1188" s="1241"/>
      <c r="BP1188" s="1241"/>
      <c r="BQ1188" s="1241"/>
      <c r="BR1188" s="1241"/>
      <c r="BS1188" s="1241"/>
      <c r="BT1188" s="1241"/>
      <c r="BU1188" s="1241"/>
      <c r="BV1188" s="1241"/>
      <c r="BW1188" s="1241"/>
      <c r="BX1188" s="1241"/>
      <c r="BY1188" s="1241"/>
      <c r="BZ1188" s="1241"/>
      <c r="CA1188" s="1241"/>
      <c r="CB1188" s="1241"/>
      <c r="CC1188" s="1241"/>
      <c r="CD1188" s="1241"/>
      <c r="CE1188" s="1241"/>
      <c r="CF1188" s="1241"/>
      <c r="CG1188" s="1241"/>
      <c r="CH1188" s="1241"/>
      <c r="CI1188" s="1241"/>
      <c r="CJ1188" s="1241"/>
      <c r="CK1188" s="1241"/>
      <c r="CL1188" s="1241"/>
      <c r="CM1188" s="1241"/>
      <c r="CN1188" s="1241"/>
      <c r="CO1188" s="1241"/>
      <c r="CP1188" s="1241"/>
      <c r="CQ1188" s="1241"/>
      <c r="CR1188" s="1241"/>
      <c r="CS1188" s="1241"/>
      <c r="CT1188" s="1241"/>
      <c r="CU1188" s="1241"/>
      <c r="CV1188" s="1241"/>
      <c r="CW1188" s="1241"/>
      <c r="CX1188" s="1241"/>
      <c r="CY1188" s="1241"/>
      <c r="CZ1188" s="1241"/>
      <c r="DA1188" s="1241"/>
      <c r="DB1188" s="1241"/>
      <c r="DC1188" s="1241"/>
      <c r="DD1188" s="1241"/>
      <c r="DE1188" s="1241"/>
      <c r="DF1188" s="1241"/>
      <c r="DG1188" s="1241"/>
      <c r="DH1188" s="1241"/>
      <c r="DI1188" s="1241"/>
      <c r="DJ1188" s="1241"/>
      <c r="DK1188" s="1241"/>
      <c r="DL1188" s="1241"/>
      <c r="DM1188" s="1241"/>
    </row>
    <row r="1189" spans="1:117" s="1302" customFormat="1" ht="15" hidden="1">
      <c r="A1189" s="1241"/>
      <c r="B1189" s="1638"/>
      <c r="C1189" s="1706" t="s">
        <v>4179</v>
      </c>
      <c r="D1189" s="1707" t="s">
        <v>4180</v>
      </c>
      <c r="E1189" s="1707"/>
      <c r="F1189" s="1708"/>
      <c r="G1189" s="1709"/>
      <c r="H1189" s="1710" t="e">
        <v>#REF!</v>
      </c>
      <c r="I1189" s="1710" t="e">
        <v>#REF!</v>
      </c>
      <c r="J1189" s="1710" t="e">
        <v>#REF!</v>
      </c>
      <c r="K1189" s="1710" t="e">
        <v>#REF!</v>
      </c>
      <c r="L1189" s="1710" t="e">
        <v>#REF!</v>
      </c>
      <c r="M1189" s="1710" t="e">
        <v>#REF!</v>
      </c>
      <c r="N1189" s="1710" t="e">
        <v>#REF!</v>
      </c>
      <c r="O1189" s="1711" t="e">
        <v>#REF!</v>
      </c>
      <c r="P1189" s="1241"/>
      <c r="Q1189" s="1241"/>
      <c r="R1189" s="1241"/>
      <c r="S1189" s="1241"/>
      <c r="T1189" s="1241"/>
      <c r="U1189" s="1241"/>
      <c r="V1189" s="1241"/>
      <c r="W1189" s="1241"/>
      <c r="X1189" s="1241"/>
      <c r="Y1189" s="1241"/>
      <c r="Z1189" s="1241"/>
      <c r="AA1189" s="1241"/>
      <c r="AB1189" s="1241"/>
      <c r="AC1189" s="1241"/>
      <c r="AD1189" s="1241"/>
      <c r="AE1189" s="1241"/>
      <c r="AF1189" s="1241"/>
      <c r="AG1189" s="1241"/>
      <c r="AH1189" s="1241"/>
      <c r="AI1189" s="1241"/>
      <c r="AJ1189" s="1241"/>
      <c r="AK1189" s="1241"/>
      <c r="AL1189" s="1241"/>
      <c r="AM1189" s="1241"/>
      <c r="AN1189" s="1241"/>
      <c r="AO1189" s="1241"/>
      <c r="AP1189" s="1241"/>
      <c r="AQ1189" s="1241"/>
      <c r="AR1189" s="1241"/>
      <c r="AS1189" s="1241"/>
      <c r="AT1189" s="1241"/>
      <c r="AU1189" s="1241"/>
      <c r="AV1189" s="1241"/>
      <c r="AW1189" s="1241"/>
      <c r="AX1189" s="1241"/>
      <c r="AY1189" s="1241"/>
      <c r="AZ1189" s="1241"/>
      <c r="BA1189" s="1241"/>
      <c r="BB1189" s="1241"/>
      <c r="BC1189" s="1241"/>
      <c r="BD1189" s="1241"/>
      <c r="BE1189" s="1241"/>
      <c r="BF1189" s="1241"/>
      <c r="BG1189" s="1241"/>
      <c r="BH1189" s="1241"/>
      <c r="BI1189" s="1241"/>
      <c r="BJ1189" s="1241"/>
      <c r="BK1189" s="1241"/>
      <c r="BL1189" s="1241"/>
      <c r="BM1189" s="1241"/>
      <c r="BN1189" s="1241"/>
      <c r="BO1189" s="1241"/>
      <c r="BP1189" s="1241"/>
      <c r="BQ1189" s="1241"/>
      <c r="BR1189" s="1241"/>
      <c r="BS1189" s="1241"/>
      <c r="BT1189" s="1241"/>
      <c r="BU1189" s="1241"/>
      <c r="BV1189" s="1241"/>
      <c r="BW1189" s="1241"/>
      <c r="BX1189" s="1241"/>
      <c r="BY1189" s="1241"/>
      <c r="BZ1189" s="1241"/>
      <c r="CA1189" s="1241"/>
      <c r="CB1189" s="1241"/>
      <c r="CC1189" s="1241"/>
      <c r="CD1189" s="1241"/>
      <c r="CE1189" s="1241"/>
      <c r="CF1189" s="1241"/>
      <c r="CG1189" s="1241"/>
      <c r="CH1189" s="1241"/>
      <c r="CI1189" s="1241"/>
      <c r="CJ1189" s="1241"/>
      <c r="CK1189" s="1241"/>
      <c r="CL1189" s="1241"/>
      <c r="CM1189" s="1241"/>
      <c r="CN1189" s="1241"/>
      <c r="CO1189" s="1241"/>
      <c r="CP1189" s="1241"/>
      <c r="CQ1189" s="1241"/>
      <c r="CR1189" s="1241"/>
      <c r="CS1189" s="1241"/>
      <c r="CT1189" s="1241"/>
      <c r="CU1189" s="1241"/>
      <c r="CV1189" s="1241"/>
      <c r="CW1189" s="1241"/>
      <c r="CX1189" s="1241"/>
      <c r="CY1189" s="1241"/>
      <c r="CZ1189" s="1241"/>
      <c r="DA1189" s="1241"/>
      <c r="DB1189" s="1241"/>
      <c r="DC1189" s="1241"/>
      <c r="DD1189" s="1241"/>
      <c r="DE1189" s="1241"/>
      <c r="DF1189" s="1241"/>
      <c r="DG1189" s="1241"/>
      <c r="DH1189" s="1241"/>
      <c r="DI1189" s="1241"/>
      <c r="DJ1189" s="1241"/>
      <c r="DK1189" s="1241"/>
      <c r="DL1189" s="1241"/>
      <c r="DM1189" s="1241"/>
    </row>
    <row r="1190" spans="1:117" s="1302" customFormat="1" ht="15" hidden="1">
      <c r="A1190" s="1241"/>
      <c r="B1190" s="1638"/>
      <c r="C1190" s="1706" t="s">
        <v>4181</v>
      </c>
      <c r="D1190" s="1707" t="s">
        <v>4182</v>
      </c>
      <c r="E1190" s="1707"/>
      <c r="F1190" s="1708"/>
      <c r="G1190" s="1709"/>
      <c r="H1190" s="1710" t="e">
        <v>#REF!</v>
      </c>
      <c r="I1190" s="1710" t="e">
        <v>#REF!</v>
      </c>
      <c r="J1190" s="1710" t="e">
        <v>#REF!</v>
      </c>
      <c r="K1190" s="1710" t="e">
        <v>#REF!</v>
      </c>
      <c r="L1190" s="1710" t="e">
        <v>#REF!</v>
      </c>
      <c r="M1190" s="1710" t="e">
        <v>#REF!</v>
      </c>
      <c r="N1190" s="1710" t="e">
        <v>#REF!</v>
      </c>
      <c r="O1190" s="1711" t="e">
        <v>#REF!</v>
      </c>
      <c r="P1190" s="1241"/>
      <c r="Q1190" s="1241"/>
      <c r="R1190" s="1241"/>
      <c r="S1190" s="1241"/>
      <c r="T1190" s="1241"/>
      <c r="U1190" s="1241"/>
      <c r="V1190" s="1241"/>
      <c r="W1190" s="1241"/>
      <c r="X1190" s="1241"/>
      <c r="Y1190" s="1241"/>
      <c r="Z1190" s="1241"/>
      <c r="AA1190" s="1241"/>
      <c r="AB1190" s="1241"/>
      <c r="AC1190" s="1241"/>
      <c r="AD1190" s="1241"/>
      <c r="AE1190" s="1241"/>
      <c r="AF1190" s="1241"/>
      <c r="AG1190" s="1241"/>
      <c r="AH1190" s="1241"/>
      <c r="AI1190" s="1241"/>
      <c r="AJ1190" s="1241"/>
      <c r="AK1190" s="1241"/>
      <c r="AL1190" s="1241"/>
      <c r="AM1190" s="1241"/>
      <c r="AN1190" s="1241"/>
      <c r="AO1190" s="1241"/>
      <c r="AP1190" s="1241"/>
      <c r="AQ1190" s="1241"/>
      <c r="AR1190" s="1241"/>
      <c r="AS1190" s="1241"/>
      <c r="AT1190" s="1241"/>
      <c r="AU1190" s="1241"/>
      <c r="AV1190" s="1241"/>
      <c r="AW1190" s="1241"/>
      <c r="AX1190" s="1241"/>
      <c r="AY1190" s="1241"/>
      <c r="AZ1190" s="1241"/>
      <c r="BA1190" s="1241"/>
      <c r="BB1190" s="1241"/>
      <c r="BC1190" s="1241"/>
      <c r="BD1190" s="1241"/>
      <c r="BE1190" s="1241"/>
      <c r="BF1190" s="1241"/>
      <c r="BG1190" s="1241"/>
      <c r="BH1190" s="1241"/>
      <c r="BI1190" s="1241"/>
      <c r="BJ1190" s="1241"/>
      <c r="BK1190" s="1241"/>
      <c r="BL1190" s="1241"/>
      <c r="BM1190" s="1241"/>
      <c r="BN1190" s="1241"/>
      <c r="BO1190" s="1241"/>
      <c r="BP1190" s="1241"/>
      <c r="BQ1190" s="1241"/>
      <c r="BR1190" s="1241"/>
      <c r="BS1190" s="1241"/>
      <c r="BT1190" s="1241"/>
      <c r="BU1190" s="1241"/>
      <c r="BV1190" s="1241"/>
      <c r="BW1190" s="1241"/>
      <c r="BX1190" s="1241"/>
      <c r="BY1190" s="1241"/>
      <c r="BZ1190" s="1241"/>
      <c r="CA1190" s="1241"/>
      <c r="CB1190" s="1241"/>
      <c r="CC1190" s="1241"/>
      <c r="CD1190" s="1241"/>
      <c r="CE1190" s="1241"/>
      <c r="CF1190" s="1241"/>
      <c r="CG1190" s="1241"/>
      <c r="CH1190" s="1241"/>
      <c r="CI1190" s="1241"/>
      <c r="CJ1190" s="1241"/>
      <c r="CK1190" s="1241"/>
      <c r="CL1190" s="1241"/>
      <c r="CM1190" s="1241"/>
      <c r="CN1190" s="1241"/>
      <c r="CO1190" s="1241"/>
      <c r="CP1190" s="1241"/>
      <c r="CQ1190" s="1241"/>
      <c r="CR1190" s="1241"/>
      <c r="CS1190" s="1241"/>
      <c r="CT1190" s="1241"/>
      <c r="CU1190" s="1241"/>
      <c r="CV1190" s="1241"/>
      <c r="CW1190" s="1241"/>
      <c r="CX1190" s="1241"/>
      <c r="CY1190" s="1241"/>
      <c r="CZ1190" s="1241"/>
      <c r="DA1190" s="1241"/>
      <c r="DB1190" s="1241"/>
      <c r="DC1190" s="1241"/>
      <c r="DD1190" s="1241"/>
      <c r="DE1190" s="1241"/>
      <c r="DF1190" s="1241"/>
      <c r="DG1190" s="1241"/>
      <c r="DH1190" s="1241"/>
      <c r="DI1190" s="1241"/>
      <c r="DJ1190" s="1241"/>
      <c r="DK1190" s="1241"/>
      <c r="DL1190" s="1241"/>
      <c r="DM1190" s="1241"/>
    </row>
    <row r="1191" spans="1:117" s="1302" customFormat="1" ht="15" hidden="1">
      <c r="A1191" s="1241"/>
      <c r="B1191" s="1638"/>
      <c r="C1191" s="1706" t="s">
        <v>4183</v>
      </c>
      <c r="D1191" s="1707" t="s">
        <v>4184</v>
      </c>
      <c r="E1191" s="1707"/>
      <c r="F1191" s="1708"/>
      <c r="G1191" s="1709"/>
      <c r="H1191" s="1710" t="e">
        <v>#REF!</v>
      </c>
      <c r="I1191" s="1710" t="e">
        <v>#REF!</v>
      </c>
      <c r="J1191" s="1710" t="e">
        <v>#REF!</v>
      </c>
      <c r="K1191" s="1710" t="e">
        <v>#REF!</v>
      </c>
      <c r="L1191" s="1710" t="e">
        <v>#REF!</v>
      </c>
      <c r="M1191" s="1710" t="e">
        <v>#REF!</v>
      </c>
      <c r="N1191" s="1710" t="e">
        <v>#REF!</v>
      </c>
      <c r="O1191" s="1711" t="e">
        <v>#REF!</v>
      </c>
      <c r="P1191" s="1241"/>
      <c r="Q1191" s="1241"/>
      <c r="R1191" s="1241"/>
      <c r="S1191" s="1241"/>
      <c r="T1191" s="1241"/>
      <c r="U1191" s="1241"/>
      <c r="V1191" s="1241"/>
      <c r="W1191" s="1241"/>
      <c r="X1191" s="1241"/>
      <c r="Y1191" s="1241"/>
      <c r="Z1191" s="1241"/>
      <c r="AA1191" s="1241"/>
      <c r="AB1191" s="1241"/>
      <c r="AC1191" s="1241"/>
      <c r="AD1191" s="1241"/>
      <c r="AE1191" s="1241"/>
      <c r="AF1191" s="1241"/>
      <c r="AG1191" s="1241"/>
      <c r="AH1191" s="1241"/>
      <c r="AI1191" s="1241"/>
      <c r="AJ1191" s="1241"/>
      <c r="AK1191" s="1241"/>
      <c r="AL1191" s="1241"/>
      <c r="AM1191" s="1241"/>
      <c r="AN1191" s="1241"/>
      <c r="AO1191" s="1241"/>
      <c r="AP1191" s="1241"/>
      <c r="AQ1191" s="1241"/>
      <c r="AR1191" s="1241"/>
      <c r="AS1191" s="1241"/>
      <c r="AT1191" s="1241"/>
      <c r="AU1191" s="1241"/>
      <c r="AV1191" s="1241"/>
      <c r="AW1191" s="1241"/>
      <c r="AX1191" s="1241"/>
      <c r="AY1191" s="1241"/>
      <c r="AZ1191" s="1241"/>
      <c r="BA1191" s="1241"/>
      <c r="BB1191" s="1241"/>
      <c r="BC1191" s="1241"/>
      <c r="BD1191" s="1241"/>
      <c r="BE1191" s="1241"/>
      <c r="BF1191" s="1241"/>
      <c r="BG1191" s="1241"/>
      <c r="BH1191" s="1241"/>
      <c r="BI1191" s="1241"/>
      <c r="BJ1191" s="1241"/>
      <c r="BK1191" s="1241"/>
      <c r="BL1191" s="1241"/>
      <c r="BM1191" s="1241"/>
      <c r="BN1191" s="1241"/>
      <c r="BO1191" s="1241"/>
      <c r="BP1191" s="1241"/>
      <c r="BQ1191" s="1241"/>
      <c r="BR1191" s="1241"/>
      <c r="BS1191" s="1241"/>
      <c r="BT1191" s="1241"/>
      <c r="BU1191" s="1241"/>
      <c r="BV1191" s="1241"/>
      <c r="BW1191" s="1241"/>
      <c r="BX1191" s="1241"/>
      <c r="BY1191" s="1241"/>
      <c r="BZ1191" s="1241"/>
      <c r="CA1191" s="1241"/>
      <c r="CB1191" s="1241"/>
      <c r="CC1191" s="1241"/>
      <c r="CD1191" s="1241"/>
      <c r="CE1191" s="1241"/>
      <c r="CF1191" s="1241"/>
      <c r="CG1191" s="1241"/>
      <c r="CH1191" s="1241"/>
      <c r="CI1191" s="1241"/>
      <c r="CJ1191" s="1241"/>
      <c r="CK1191" s="1241"/>
      <c r="CL1191" s="1241"/>
      <c r="CM1191" s="1241"/>
      <c r="CN1191" s="1241"/>
      <c r="CO1191" s="1241"/>
      <c r="CP1191" s="1241"/>
      <c r="CQ1191" s="1241"/>
      <c r="CR1191" s="1241"/>
      <c r="CS1191" s="1241"/>
      <c r="CT1191" s="1241"/>
      <c r="CU1191" s="1241"/>
      <c r="CV1191" s="1241"/>
      <c r="CW1191" s="1241"/>
      <c r="CX1191" s="1241"/>
      <c r="CY1191" s="1241"/>
      <c r="CZ1191" s="1241"/>
      <c r="DA1191" s="1241"/>
      <c r="DB1191" s="1241"/>
      <c r="DC1191" s="1241"/>
      <c r="DD1191" s="1241"/>
      <c r="DE1191" s="1241"/>
      <c r="DF1191" s="1241"/>
      <c r="DG1191" s="1241"/>
      <c r="DH1191" s="1241"/>
      <c r="DI1191" s="1241"/>
      <c r="DJ1191" s="1241"/>
      <c r="DK1191" s="1241"/>
      <c r="DL1191" s="1241"/>
      <c r="DM1191" s="1241"/>
    </row>
    <row r="1192" spans="1:117" s="1302" customFormat="1" ht="15" hidden="1">
      <c r="A1192" s="1241"/>
      <c r="B1192" s="1638"/>
      <c r="C1192" s="1706" t="s">
        <v>4390</v>
      </c>
      <c r="D1192" s="1707" t="s">
        <v>4185</v>
      </c>
      <c r="E1192" s="1707"/>
      <c r="F1192" s="1708"/>
      <c r="G1192" s="1709"/>
      <c r="H1192" s="1709">
        <v>0</v>
      </c>
      <c r="I1192" s="1709">
        <v>0</v>
      </c>
      <c r="J1192" s="1709">
        <v>0</v>
      </c>
      <c r="K1192" s="1709">
        <v>0</v>
      </c>
      <c r="L1192" s="1709">
        <v>0</v>
      </c>
      <c r="M1192" s="1709">
        <v>0</v>
      </c>
      <c r="N1192" s="1709">
        <v>0</v>
      </c>
      <c r="O1192" s="1712">
        <v>0</v>
      </c>
      <c r="P1192" s="1241"/>
      <c r="Q1192" s="1241"/>
      <c r="R1192" s="1241"/>
      <c r="S1192" s="1241"/>
      <c r="T1192" s="1241"/>
      <c r="U1192" s="1241"/>
      <c r="V1192" s="1241"/>
      <c r="W1192" s="1241"/>
      <c r="X1192" s="1241"/>
      <c r="Y1192" s="1241"/>
      <c r="Z1192" s="1241"/>
      <c r="AA1192" s="1241"/>
      <c r="AB1192" s="1241"/>
      <c r="AC1192" s="1241"/>
      <c r="AD1192" s="1241"/>
      <c r="AE1192" s="1241"/>
      <c r="AF1192" s="1241"/>
      <c r="AG1192" s="1241"/>
      <c r="AH1192" s="1241"/>
      <c r="AI1192" s="1241"/>
      <c r="AJ1192" s="1241"/>
      <c r="AK1192" s="1241"/>
      <c r="AL1192" s="1241"/>
      <c r="AM1192" s="1241"/>
      <c r="AN1192" s="1241"/>
      <c r="AO1192" s="1241"/>
      <c r="AP1192" s="1241"/>
      <c r="AQ1192" s="1241"/>
      <c r="AR1192" s="1241"/>
      <c r="AS1192" s="1241"/>
      <c r="AT1192" s="1241"/>
      <c r="AU1192" s="1241"/>
      <c r="AV1192" s="1241"/>
      <c r="AW1192" s="1241"/>
      <c r="AX1192" s="1241"/>
      <c r="AY1192" s="1241"/>
      <c r="AZ1192" s="1241"/>
      <c r="BA1192" s="1241"/>
      <c r="BB1192" s="1241"/>
      <c r="BC1192" s="1241"/>
      <c r="BD1192" s="1241"/>
      <c r="BE1192" s="1241"/>
      <c r="BF1192" s="1241"/>
      <c r="BG1192" s="1241"/>
      <c r="BH1192" s="1241"/>
      <c r="BI1192" s="1241"/>
      <c r="BJ1192" s="1241"/>
      <c r="BK1192" s="1241"/>
      <c r="BL1192" s="1241"/>
      <c r="BM1192" s="1241"/>
      <c r="BN1192" s="1241"/>
      <c r="BO1192" s="1241"/>
      <c r="BP1192" s="1241"/>
      <c r="BQ1192" s="1241"/>
      <c r="BR1192" s="1241"/>
      <c r="BS1192" s="1241"/>
      <c r="BT1192" s="1241"/>
      <c r="BU1192" s="1241"/>
      <c r="BV1192" s="1241"/>
      <c r="BW1192" s="1241"/>
      <c r="BX1192" s="1241"/>
      <c r="BY1192" s="1241"/>
      <c r="BZ1192" s="1241"/>
      <c r="CA1192" s="1241"/>
      <c r="CB1192" s="1241"/>
      <c r="CC1192" s="1241"/>
      <c r="CD1192" s="1241"/>
      <c r="CE1192" s="1241"/>
      <c r="CF1192" s="1241"/>
      <c r="CG1192" s="1241"/>
      <c r="CH1192" s="1241"/>
      <c r="CI1192" s="1241"/>
      <c r="CJ1192" s="1241"/>
      <c r="CK1192" s="1241"/>
      <c r="CL1192" s="1241"/>
      <c r="CM1192" s="1241"/>
      <c r="CN1192" s="1241"/>
      <c r="CO1192" s="1241"/>
      <c r="CP1192" s="1241"/>
      <c r="CQ1192" s="1241"/>
      <c r="CR1192" s="1241"/>
      <c r="CS1192" s="1241"/>
      <c r="CT1192" s="1241"/>
      <c r="CU1192" s="1241"/>
      <c r="CV1192" s="1241"/>
      <c r="CW1192" s="1241"/>
      <c r="CX1192" s="1241"/>
      <c r="CY1192" s="1241"/>
      <c r="CZ1192" s="1241"/>
      <c r="DA1192" s="1241"/>
      <c r="DB1192" s="1241"/>
      <c r="DC1192" s="1241"/>
      <c r="DD1192" s="1241"/>
      <c r="DE1192" s="1241"/>
      <c r="DF1192" s="1241"/>
      <c r="DG1192" s="1241"/>
      <c r="DH1192" s="1241"/>
      <c r="DI1192" s="1241"/>
      <c r="DJ1192" s="1241"/>
      <c r="DK1192" s="1241"/>
      <c r="DL1192" s="1241"/>
      <c r="DM1192" s="1241"/>
    </row>
    <row r="1193" spans="1:117" s="1302" customFormat="1" ht="15" hidden="1">
      <c r="A1193" s="1241"/>
      <c r="B1193" s="1638"/>
      <c r="C1193" s="1706" t="s">
        <v>4186</v>
      </c>
      <c r="D1193" s="1707" t="s">
        <v>4187</v>
      </c>
      <c r="E1193" s="1707"/>
      <c r="F1193" s="1708"/>
      <c r="G1193" s="1709"/>
      <c r="H1193" s="1709">
        <v>0</v>
      </c>
      <c r="I1193" s="1709">
        <v>0</v>
      </c>
      <c r="J1193" s="1709">
        <v>0</v>
      </c>
      <c r="K1193" s="1709">
        <v>0</v>
      </c>
      <c r="L1193" s="1709">
        <v>0</v>
      </c>
      <c r="M1193" s="1709">
        <v>0</v>
      </c>
      <c r="N1193" s="1709">
        <v>0</v>
      </c>
      <c r="O1193" s="1712">
        <v>0</v>
      </c>
      <c r="P1193" s="1241"/>
      <c r="Q1193" s="1241"/>
      <c r="R1193" s="1241"/>
      <c r="S1193" s="1241"/>
      <c r="T1193" s="1241"/>
      <c r="U1193" s="1241"/>
      <c r="V1193" s="1241"/>
      <c r="W1193" s="1241"/>
      <c r="X1193" s="1241"/>
      <c r="Y1193" s="1241"/>
      <c r="Z1193" s="1241"/>
      <c r="AA1193" s="1241"/>
      <c r="AB1193" s="1241"/>
      <c r="AC1193" s="1241"/>
      <c r="AD1193" s="1241"/>
      <c r="AE1193" s="1241"/>
      <c r="AF1193" s="1241"/>
      <c r="AG1193" s="1241"/>
      <c r="AH1193" s="1241"/>
      <c r="AI1193" s="1241"/>
      <c r="AJ1193" s="1241"/>
      <c r="AK1193" s="1241"/>
      <c r="AL1193" s="1241"/>
      <c r="AM1193" s="1241"/>
      <c r="AN1193" s="1241"/>
      <c r="AO1193" s="1241"/>
      <c r="AP1193" s="1241"/>
      <c r="AQ1193" s="1241"/>
      <c r="AR1193" s="1241"/>
      <c r="AS1193" s="1241"/>
      <c r="AT1193" s="1241"/>
      <c r="AU1193" s="1241"/>
      <c r="AV1193" s="1241"/>
      <c r="AW1193" s="1241"/>
      <c r="AX1193" s="1241"/>
      <c r="AY1193" s="1241"/>
      <c r="AZ1193" s="1241"/>
      <c r="BA1193" s="1241"/>
      <c r="BB1193" s="1241"/>
      <c r="BC1193" s="1241"/>
      <c r="BD1193" s="1241"/>
      <c r="BE1193" s="1241"/>
      <c r="BF1193" s="1241"/>
      <c r="BG1193" s="1241"/>
      <c r="BH1193" s="1241"/>
      <c r="BI1193" s="1241"/>
      <c r="BJ1193" s="1241"/>
      <c r="BK1193" s="1241"/>
      <c r="BL1193" s="1241"/>
      <c r="BM1193" s="1241"/>
      <c r="BN1193" s="1241"/>
      <c r="BO1193" s="1241"/>
      <c r="BP1193" s="1241"/>
      <c r="BQ1193" s="1241"/>
      <c r="BR1193" s="1241"/>
      <c r="BS1193" s="1241"/>
      <c r="BT1193" s="1241"/>
      <c r="BU1193" s="1241"/>
      <c r="BV1193" s="1241"/>
      <c r="BW1193" s="1241"/>
      <c r="BX1193" s="1241"/>
      <c r="BY1193" s="1241"/>
      <c r="BZ1193" s="1241"/>
      <c r="CA1193" s="1241"/>
      <c r="CB1193" s="1241"/>
      <c r="CC1193" s="1241"/>
      <c r="CD1193" s="1241"/>
      <c r="CE1193" s="1241"/>
      <c r="CF1193" s="1241"/>
      <c r="CG1193" s="1241"/>
      <c r="CH1193" s="1241"/>
      <c r="CI1193" s="1241"/>
      <c r="CJ1193" s="1241"/>
      <c r="CK1193" s="1241"/>
      <c r="CL1193" s="1241"/>
      <c r="CM1193" s="1241"/>
      <c r="CN1193" s="1241"/>
      <c r="CO1193" s="1241"/>
      <c r="CP1193" s="1241"/>
      <c r="CQ1193" s="1241"/>
      <c r="CR1193" s="1241"/>
      <c r="CS1193" s="1241"/>
      <c r="CT1193" s="1241"/>
      <c r="CU1193" s="1241"/>
      <c r="CV1193" s="1241"/>
      <c r="CW1193" s="1241"/>
      <c r="CX1193" s="1241"/>
      <c r="CY1193" s="1241"/>
      <c r="CZ1193" s="1241"/>
      <c r="DA1193" s="1241"/>
      <c r="DB1193" s="1241"/>
      <c r="DC1193" s="1241"/>
      <c r="DD1193" s="1241"/>
      <c r="DE1193" s="1241"/>
      <c r="DF1193" s="1241"/>
      <c r="DG1193" s="1241"/>
      <c r="DH1193" s="1241"/>
      <c r="DI1193" s="1241"/>
      <c r="DJ1193" s="1241"/>
      <c r="DK1193" s="1241"/>
      <c r="DL1193" s="1241"/>
      <c r="DM1193" s="1241"/>
    </row>
    <row r="1194" spans="1:117" s="1302" customFormat="1" ht="15" hidden="1">
      <c r="A1194" s="1241"/>
      <c r="B1194" s="1241"/>
      <c r="C1194" s="1713" t="s">
        <v>4188</v>
      </c>
      <c r="D1194" s="1714" t="s">
        <v>4189</v>
      </c>
      <c r="E1194" s="1714"/>
      <c r="F1194" s="1715"/>
      <c r="G1194" s="1716"/>
      <c r="H1194" s="1716">
        <v>0</v>
      </c>
      <c r="I1194" s="1716">
        <v>0</v>
      </c>
      <c r="J1194" s="1716">
        <v>0</v>
      </c>
      <c r="K1194" s="1716">
        <v>0</v>
      </c>
      <c r="L1194" s="1716">
        <v>0</v>
      </c>
      <c r="M1194" s="1716">
        <v>0</v>
      </c>
      <c r="N1194" s="1716">
        <v>0</v>
      </c>
      <c r="O1194" s="1717">
        <v>0</v>
      </c>
      <c r="P1194" s="1241"/>
      <c r="Q1194" s="1241"/>
      <c r="R1194" s="1241"/>
      <c r="S1194" s="1241"/>
      <c r="T1194" s="1241"/>
      <c r="U1194" s="1241"/>
      <c r="V1194" s="1241"/>
      <c r="W1194" s="1241"/>
      <c r="X1194" s="1241"/>
      <c r="Y1194" s="1241"/>
      <c r="Z1194" s="1241"/>
      <c r="AA1194" s="1241"/>
      <c r="AB1194" s="1241"/>
      <c r="AC1194" s="1241"/>
      <c r="AD1194" s="1241"/>
      <c r="AE1194" s="1241"/>
      <c r="AF1194" s="1241"/>
      <c r="AG1194" s="1241"/>
      <c r="AH1194" s="1241"/>
      <c r="AI1194" s="1241"/>
      <c r="AJ1194" s="1241"/>
      <c r="AK1194" s="1241"/>
      <c r="AL1194" s="1241"/>
      <c r="AM1194" s="1241"/>
      <c r="AN1194" s="1241"/>
      <c r="AO1194" s="1241"/>
      <c r="AP1194" s="1241"/>
      <c r="AQ1194" s="1241"/>
      <c r="AR1194" s="1241"/>
      <c r="AS1194" s="1241"/>
      <c r="AT1194" s="1241"/>
      <c r="AU1194" s="1241"/>
      <c r="AV1194" s="1241"/>
      <c r="AW1194" s="1241"/>
      <c r="AX1194" s="1241"/>
      <c r="AY1194" s="1241"/>
      <c r="AZ1194" s="1241"/>
      <c r="BA1194" s="1241"/>
      <c r="BB1194" s="1241"/>
      <c r="BC1194" s="1241"/>
      <c r="BD1194" s="1241"/>
      <c r="BE1194" s="1241"/>
      <c r="BF1194" s="1241"/>
      <c r="BG1194" s="1241"/>
      <c r="BH1194" s="1241"/>
      <c r="BI1194" s="1241"/>
      <c r="BJ1194" s="1241"/>
      <c r="BK1194" s="1241"/>
      <c r="BL1194" s="1241"/>
      <c r="BM1194" s="1241"/>
      <c r="BN1194" s="1241"/>
      <c r="BO1194" s="1241"/>
      <c r="BP1194" s="1241"/>
      <c r="BQ1194" s="1241"/>
      <c r="BR1194" s="1241"/>
      <c r="BS1194" s="1241"/>
      <c r="BT1194" s="1241"/>
      <c r="BU1194" s="1241"/>
      <c r="BV1194" s="1241"/>
      <c r="BW1194" s="1241"/>
      <c r="BX1194" s="1241"/>
      <c r="BY1194" s="1241"/>
      <c r="BZ1194" s="1241"/>
      <c r="CA1194" s="1241"/>
      <c r="CB1194" s="1241"/>
      <c r="CC1194" s="1241"/>
      <c r="CD1194" s="1241"/>
      <c r="CE1194" s="1241"/>
      <c r="CF1194" s="1241"/>
      <c r="CG1194" s="1241"/>
      <c r="CH1194" s="1241"/>
      <c r="CI1194" s="1241"/>
      <c r="CJ1194" s="1241"/>
      <c r="CK1194" s="1241"/>
      <c r="CL1194" s="1241"/>
      <c r="CM1194" s="1241"/>
      <c r="CN1194" s="1241"/>
      <c r="CO1194" s="1241"/>
      <c r="CP1194" s="1241"/>
      <c r="CQ1194" s="1241"/>
      <c r="CR1194" s="1241"/>
      <c r="CS1194" s="1241"/>
      <c r="CT1194" s="1241"/>
      <c r="CU1194" s="1241"/>
      <c r="CV1194" s="1241"/>
      <c r="CW1194" s="1241"/>
      <c r="CX1194" s="1241"/>
      <c r="CY1194" s="1241"/>
      <c r="CZ1194" s="1241"/>
      <c r="DA1194" s="1241"/>
      <c r="DB1194" s="1241"/>
      <c r="DC1194" s="1241"/>
      <c r="DD1194" s="1241"/>
      <c r="DE1194" s="1241"/>
      <c r="DF1194" s="1241"/>
      <c r="DG1194" s="1241"/>
      <c r="DH1194" s="1241"/>
      <c r="DI1194" s="1241"/>
      <c r="DJ1194" s="1241"/>
      <c r="DK1194" s="1241"/>
      <c r="DL1194" s="1241"/>
      <c r="DM1194" s="1241"/>
    </row>
    <row r="1195" spans="1:117" s="1302" customFormat="1" hidden="1">
      <c r="A1195" s="1241"/>
      <c r="B1195" s="1633"/>
      <c r="C1195" s="1241"/>
      <c r="D1195" s="1241"/>
      <c r="E1195" s="1241"/>
      <c r="F1195" s="1639"/>
      <c r="G1195" s="1242"/>
      <c r="H1195" s="1242"/>
      <c r="I1195" s="1242"/>
      <c r="J1195" s="1242"/>
      <c r="K1195" s="1242"/>
      <c r="L1195" s="1242"/>
      <c r="M1195" s="1242"/>
      <c r="N1195" s="1242"/>
      <c r="O1195" s="1241"/>
      <c r="P1195" s="1241"/>
      <c r="Q1195" s="1241"/>
      <c r="R1195" s="1241"/>
      <c r="S1195" s="1241"/>
      <c r="T1195" s="1241"/>
      <c r="U1195" s="1241"/>
      <c r="V1195" s="1241"/>
      <c r="W1195" s="1241"/>
      <c r="X1195" s="1241"/>
      <c r="Y1195" s="1241"/>
      <c r="Z1195" s="1241"/>
      <c r="AA1195" s="1241"/>
      <c r="AB1195" s="1241"/>
      <c r="AC1195" s="1241"/>
      <c r="AD1195" s="1241"/>
      <c r="AE1195" s="1241"/>
      <c r="AF1195" s="1241"/>
      <c r="AG1195" s="1241"/>
      <c r="AH1195" s="1241"/>
      <c r="AI1195" s="1241"/>
      <c r="AJ1195" s="1241"/>
      <c r="AK1195" s="1241"/>
      <c r="AL1195" s="1241"/>
      <c r="AM1195" s="1241"/>
      <c r="AN1195" s="1241"/>
      <c r="AO1195" s="1241"/>
      <c r="AP1195" s="1241"/>
      <c r="AQ1195" s="1241"/>
      <c r="AR1195" s="1241"/>
      <c r="AS1195" s="1241"/>
      <c r="AT1195" s="1241"/>
      <c r="AU1195" s="1241"/>
      <c r="AV1195" s="1241"/>
      <c r="AW1195" s="1241"/>
      <c r="AX1195" s="1241"/>
      <c r="AY1195" s="1241"/>
      <c r="AZ1195" s="1241"/>
      <c r="BA1195" s="1241"/>
      <c r="BB1195" s="1241"/>
      <c r="BC1195" s="1241"/>
      <c r="BD1195" s="1241"/>
      <c r="BE1195" s="1241"/>
      <c r="BF1195" s="1241"/>
      <c r="BG1195" s="1241"/>
      <c r="BH1195" s="1241"/>
      <c r="BI1195" s="1241"/>
      <c r="BJ1195" s="1241"/>
      <c r="BK1195" s="1241"/>
      <c r="BL1195" s="1241"/>
      <c r="BM1195" s="1241"/>
      <c r="BN1195" s="1241"/>
      <c r="BO1195" s="1241"/>
      <c r="BP1195" s="1241"/>
      <c r="BQ1195" s="1241"/>
      <c r="BR1195" s="1241"/>
      <c r="BS1195" s="1241"/>
      <c r="BT1195" s="1241"/>
      <c r="BU1195" s="1241"/>
      <c r="BV1195" s="1241"/>
      <c r="BW1195" s="1241"/>
      <c r="BX1195" s="1241"/>
      <c r="BY1195" s="1241"/>
      <c r="BZ1195" s="1241"/>
      <c r="CA1195" s="1241"/>
      <c r="CB1195" s="1241"/>
      <c r="CC1195" s="1241"/>
      <c r="CD1195" s="1241"/>
      <c r="CE1195" s="1241"/>
      <c r="CF1195" s="1241"/>
      <c r="CG1195" s="1241"/>
      <c r="CH1195" s="1241"/>
      <c r="CI1195" s="1241"/>
      <c r="CJ1195" s="1241"/>
      <c r="CK1195" s="1241"/>
      <c r="CL1195" s="1241"/>
      <c r="CM1195" s="1241"/>
      <c r="CN1195" s="1241"/>
      <c r="CO1195" s="1241"/>
      <c r="CP1195" s="1241"/>
      <c r="CQ1195" s="1241"/>
      <c r="CR1195" s="1241"/>
      <c r="CS1195" s="1241"/>
      <c r="CT1195" s="1241"/>
      <c r="CU1195" s="1241"/>
      <c r="CV1195" s="1241"/>
      <c r="CW1195" s="1241"/>
      <c r="CX1195" s="1241"/>
      <c r="CY1195" s="1241"/>
      <c r="CZ1195" s="1241"/>
      <c r="DA1195" s="1241"/>
      <c r="DB1195" s="1241"/>
      <c r="DC1195" s="1241"/>
      <c r="DD1195" s="1241"/>
      <c r="DE1195" s="1241"/>
      <c r="DF1195" s="1241"/>
      <c r="DG1195" s="1241"/>
      <c r="DH1195" s="1241"/>
      <c r="DI1195" s="1241"/>
      <c r="DJ1195" s="1241"/>
      <c r="DK1195" s="1241"/>
      <c r="DL1195" s="1241"/>
      <c r="DM1195" s="1241"/>
    </row>
    <row r="1196" spans="1:117" s="1302" customFormat="1" hidden="1">
      <c r="A1196" s="1241"/>
      <c r="B1196" s="1638"/>
      <c r="C1196" s="1640" t="s">
        <v>4393</v>
      </c>
      <c r="D1196" s="1641"/>
      <c r="E1196" s="1641"/>
      <c r="F1196" s="1642"/>
      <c r="G1196" s="1643"/>
      <c r="H1196" s="1643"/>
      <c r="I1196" s="1643"/>
      <c r="J1196" s="1643"/>
      <c r="K1196" s="1643"/>
      <c r="L1196" s="1643"/>
      <c r="M1196" s="1643"/>
      <c r="N1196" s="1643"/>
      <c r="O1196" s="1644" t="s">
        <v>3846</v>
      </c>
      <c r="P1196" s="1241"/>
      <c r="Q1196" s="1241"/>
      <c r="R1196" s="1241"/>
      <c r="S1196" s="1241"/>
      <c r="T1196" s="1241"/>
      <c r="U1196" s="1241"/>
      <c r="V1196" s="1241"/>
      <c r="W1196" s="1241"/>
      <c r="X1196" s="1241"/>
      <c r="Y1196" s="1241"/>
      <c r="Z1196" s="1241"/>
      <c r="AA1196" s="1241"/>
      <c r="AB1196" s="1241"/>
      <c r="AC1196" s="1241"/>
      <c r="AD1196" s="1241"/>
      <c r="AE1196" s="1241"/>
      <c r="AF1196" s="1241"/>
      <c r="AG1196" s="1241"/>
      <c r="AH1196" s="1241"/>
      <c r="AI1196" s="1241"/>
      <c r="AJ1196" s="1241"/>
      <c r="AK1196" s="1241"/>
      <c r="AL1196" s="1241"/>
      <c r="AM1196" s="1241"/>
      <c r="AN1196" s="1241"/>
      <c r="AO1196" s="1241"/>
      <c r="AP1196" s="1241"/>
      <c r="AQ1196" s="1241"/>
      <c r="AR1196" s="1241"/>
      <c r="AS1196" s="1241"/>
      <c r="AT1196" s="1241"/>
      <c r="AU1196" s="1241"/>
      <c r="AV1196" s="1241"/>
      <c r="AW1196" s="1241"/>
      <c r="AX1196" s="1241"/>
      <c r="AY1196" s="1241"/>
      <c r="AZ1196" s="1241"/>
      <c r="BA1196" s="1241"/>
      <c r="BB1196" s="1241"/>
      <c r="BC1196" s="1241"/>
      <c r="BD1196" s="1241"/>
      <c r="BE1196" s="1241"/>
      <c r="BF1196" s="1241"/>
      <c r="BG1196" s="1241"/>
      <c r="BH1196" s="1241"/>
      <c r="BI1196" s="1241"/>
      <c r="BJ1196" s="1241"/>
      <c r="BK1196" s="1241"/>
      <c r="BL1196" s="1241"/>
      <c r="BM1196" s="1241"/>
      <c r="BN1196" s="1241"/>
      <c r="BO1196" s="1241"/>
      <c r="BP1196" s="1241"/>
      <c r="BQ1196" s="1241"/>
      <c r="BR1196" s="1241"/>
      <c r="BS1196" s="1241"/>
      <c r="BT1196" s="1241"/>
      <c r="BU1196" s="1241"/>
      <c r="BV1196" s="1241"/>
      <c r="BW1196" s="1241"/>
      <c r="BX1196" s="1241"/>
      <c r="BY1196" s="1241"/>
      <c r="BZ1196" s="1241"/>
      <c r="CA1196" s="1241"/>
      <c r="CB1196" s="1241"/>
      <c r="CC1196" s="1241"/>
      <c r="CD1196" s="1241"/>
      <c r="CE1196" s="1241"/>
      <c r="CF1196" s="1241"/>
      <c r="CG1196" s="1241"/>
      <c r="CH1196" s="1241"/>
      <c r="CI1196" s="1241"/>
      <c r="CJ1196" s="1241"/>
      <c r="CK1196" s="1241"/>
      <c r="CL1196" s="1241"/>
      <c r="CM1196" s="1241"/>
      <c r="CN1196" s="1241"/>
      <c r="CO1196" s="1241"/>
      <c r="CP1196" s="1241"/>
      <c r="CQ1196" s="1241"/>
      <c r="CR1196" s="1241"/>
      <c r="CS1196" s="1241"/>
      <c r="CT1196" s="1241"/>
      <c r="CU1196" s="1241"/>
      <c r="CV1196" s="1241"/>
      <c r="CW1196" s="1241"/>
      <c r="CX1196" s="1241"/>
      <c r="CY1196" s="1241"/>
      <c r="CZ1196" s="1241"/>
      <c r="DA1196" s="1241"/>
      <c r="DB1196" s="1241"/>
      <c r="DC1196" s="1241"/>
      <c r="DD1196" s="1241"/>
      <c r="DE1196" s="1241"/>
      <c r="DF1196" s="1241"/>
      <c r="DG1196" s="1241"/>
      <c r="DH1196" s="1241"/>
      <c r="DI1196" s="1241"/>
      <c r="DJ1196" s="1241"/>
      <c r="DK1196" s="1241"/>
      <c r="DL1196" s="1241"/>
      <c r="DM1196" s="1241"/>
    </row>
    <row r="1197" spans="1:117" s="1302" customFormat="1" hidden="1">
      <c r="A1197" s="1241"/>
      <c r="B1197" s="1638"/>
      <c r="C1197" s="1235"/>
      <c r="D1197" s="1235"/>
      <c r="E1197" s="1235"/>
      <c r="F1197" s="1239"/>
      <c r="G1197" s="1636"/>
      <c r="H1197" s="1636"/>
      <c r="I1197" s="1636"/>
      <c r="J1197" s="1636"/>
      <c r="K1197" s="1636"/>
      <c r="L1197" s="1636"/>
      <c r="M1197" s="1636"/>
      <c r="N1197" s="1636"/>
      <c r="O1197" s="1636"/>
      <c r="P1197" s="1241"/>
      <c r="Q1197" s="1241"/>
      <c r="R1197" s="1241"/>
      <c r="S1197" s="1241"/>
      <c r="T1197" s="1241"/>
      <c r="U1197" s="1241"/>
      <c r="V1197" s="1241"/>
      <c r="W1197" s="1241"/>
      <c r="X1197" s="1241"/>
      <c r="Y1197" s="1241"/>
      <c r="Z1197" s="1241"/>
      <c r="AA1197" s="1241"/>
      <c r="AB1197" s="1241"/>
      <c r="AC1197" s="1241"/>
      <c r="AD1197" s="1241"/>
      <c r="AE1197" s="1241"/>
      <c r="AF1197" s="1241"/>
      <c r="AG1197" s="1241"/>
      <c r="AH1197" s="1241"/>
      <c r="AI1197" s="1241"/>
      <c r="AJ1197" s="1241"/>
      <c r="AK1197" s="1241"/>
      <c r="AL1197" s="1241"/>
      <c r="AM1197" s="1241"/>
      <c r="AN1197" s="1241"/>
      <c r="AO1197" s="1241"/>
      <c r="AP1197" s="1241"/>
      <c r="AQ1197" s="1241"/>
      <c r="AR1197" s="1241"/>
      <c r="AS1197" s="1241"/>
      <c r="AT1197" s="1241"/>
      <c r="AU1197" s="1241"/>
      <c r="AV1197" s="1241"/>
      <c r="AW1197" s="1241"/>
      <c r="AX1197" s="1241"/>
      <c r="AY1197" s="1241"/>
      <c r="AZ1197" s="1241"/>
      <c r="BA1197" s="1241"/>
      <c r="BB1197" s="1241"/>
      <c r="BC1197" s="1241"/>
      <c r="BD1197" s="1241"/>
      <c r="BE1197" s="1241"/>
      <c r="BF1197" s="1241"/>
      <c r="BG1197" s="1241"/>
      <c r="BH1197" s="1241"/>
      <c r="BI1197" s="1241"/>
      <c r="BJ1197" s="1241"/>
      <c r="BK1197" s="1241"/>
      <c r="BL1197" s="1241"/>
      <c r="BM1197" s="1241"/>
      <c r="BN1197" s="1241"/>
      <c r="BO1197" s="1241"/>
      <c r="BP1197" s="1241"/>
      <c r="BQ1197" s="1241"/>
      <c r="BR1197" s="1241"/>
      <c r="BS1197" s="1241"/>
      <c r="BT1197" s="1241"/>
      <c r="BU1197" s="1241"/>
      <c r="BV1197" s="1241"/>
      <c r="BW1197" s="1241"/>
      <c r="BX1197" s="1241"/>
      <c r="BY1197" s="1241"/>
      <c r="BZ1197" s="1241"/>
      <c r="CA1197" s="1241"/>
      <c r="CB1197" s="1241"/>
      <c r="CC1197" s="1241"/>
      <c r="CD1197" s="1241"/>
      <c r="CE1197" s="1241"/>
      <c r="CF1197" s="1241"/>
      <c r="CG1197" s="1241"/>
      <c r="CH1197" s="1241"/>
      <c r="CI1197" s="1241"/>
      <c r="CJ1197" s="1241"/>
      <c r="CK1197" s="1241"/>
      <c r="CL1197" s="1241"/>
      <c r="CM1197" s="1241"/>
      <c r="CN1197" s="1241"/>
      <c r="CO1197" s="1241"/>
      <c r="CP1197" s="1241"/>
      <c r="CQ1197" s="1241"/>
      <c r="CR1197" s="1241"/>
      <c r="CS1197" s="1241"/>
      <c r="CT1197" s="1241"/>
      <c r="CU1197" s="1241"/>
      <c r="CV1197" s="1241"/>
      <c r="CW1197" s="1241"/>
      <c r="CX1197" s="1241"/>
      <c r="CY1197" s="1241"/>
      <c r="CZ1197" s="1241"/>
      <c r="DA1197" s="1241"/>
      <c r="DB1197" s="1241"/>
      <c r="DC1197" s="1241"/>
      <c r="DD1197" s="1241"/>
      <c r="DE1197" s="1241"/>
      <c r="DF1197" s="1241"/>
      <c r="DG1197" s="1241"/>
      <c r="DH1197" s="1241"/>
      <c r="DI1197" s="1241"/>
      <c r="DJ1197" s="1241"/>
      <c r="DK1197" s="1241"/>
      <c r="DL1197" s="1241"/>
      <c r="DM1197" s="1241"/>
    </row>
    <row r="1198" spans="1:117" s="1302" customFormat="1" hidden="1">
      <c r="A1198" s="1241"/>
      <c r="B1198" s="1638"/>
      <c r="C1198" s="1701" t="s">
        <v>4166</v>
      </c>
      <c r="D1198" s="1702" t="s">
        <v>4167</v>
      </c>
      <c r="E1198" s="1702" t="s">
        <v>48</v>
      </c>
      <c r="F1198" s="1703" t="s">
        <v>4169</v>
      </c>
      <c r="G1198" s="1719" t="s">
        <v>4168</v>
      </c>
      <c r="H1198" s="1720" t="s">
        <v>3859</v>
      </c>
      <c r="I1198" s="1720" t="s">
        <v>4170</v>
      </c>
      <c r="J1198" s="1720" t="s">
        <v>4171</v>
      </c>
      <c r="K1198" s="1720" t="s">
        <v>4172</v>
      </c>
      <c r="L1198" s="1720" t="s">
        <v>4173</v>
      </c>
      <c r="M1198" s="1720" t="s">
        <v>4174</v>
      </c>
      <c r="N1198" s="1720" t="s">
        <v>4175</v>
      </c>
      <c r="O1198" s="1721" t="s">
        <v>4046</v>
      </c>
      <c r="P1198" s="1241"/>
      <c r="Q1198" s="1241"/>
      <c r="R1198" s="1241"/>
      <c r="S1198" s="1241"/>
      <c r="T1198" s="1241"/>
      <c r="U1198" s="1241"/>
      <c r="V1198" s="1241"/>
      <c r="W1198" s="1241"/>
      <c r="X1198" s="1241"/>
      <c r="Y1198" s="1241"/>
      <c r="Z1198" s="1241"/>
      <c r="AA1198" s="1241"/>
      <c r="AB1198" s="1241"/>
      <c r="AC1198" s="1241"/>
      <c r="AD1198" s="1241"/>
      <c r="AE1198" s="1241"/>
      <c r="AF1198" s="1241"/>
      <c r="AG1198" s="1241"/>
      <c r="AH1198" s="1241"/>
      <c r="AI1198" s="1241"/>
      <c r="AJ1198" s="1241"/>
      <c r="AK1198" s="1241"/>
      <c r="AL1198" s="1241"/>
      <c r="AM1198" s="1241"/>
      <c r="AN1198" s="1241"/>
      <c r="AO1198" s="1241"/>
      <c r="AP1198" s="1241"/>
      <c r="AQ1198" s="1241"/>
      <c r="AR1198" s="1241"/>
      <c r="AS1198" s="1241"/>
      <c r="AT1198" s="1241"/>
      <c r="AU1198" s="1241"/>
      <c r="AV1198" s="1241"/>
      <c r="AW1198" s="1241"/>
      <c r="AX1198" s="1241"/>
      <c r="AY1198" s="1241"/>
      <c r="AZ1198" s="1241"/>
      <c r="BA1198" s="1241"/>
      <c r="BB1198" s="1241"/>
      <c r="BC1198" s="1241"/>
      <c r="BD1198" s="1241"/>
      <c r="BE1198" s="1241"/>
      <c r="BF1198" s="1241"/>
      <c r="BG1198" s="1241"/>
      <c r="BH1198" s="1241"/>
      <c r="BI1198" s="1241"/>
      <c r="BJ1198" s="1241"/>
      <c r="BK1198" s="1241"/>
      <c r="BL1198" s="1241"/>
      <c r="BM1198" s="1241"/>
      <c r="BN1198" s="1241"/>
      <c r="BO1198" s="1241"/>
      <c r="BP1198" s="1241"/>
      <c r="BQ1198" s="1241"/>
      <c r="BR1198" s="1241"/>
      <c r="BS1198" s="1241"/>
      <c r="BT1198" s="1241"/>
      <c r="BU1198" s="1241"/>
      <c r="BV1198" s="1241"/>
      <c r="BW1198" s="1241"/>
      <c r="BX1198" s="1241"/>
      <c r="BY1198" s="1241"/>
      <c r="BZ1198" s="1241"/>
      <c r="CA1198" s="1241"/>
      <c r="CB1198" s="1241"/>
      <c r="CC1198" s="1241"/>
      <c r="CD1198" s="1241"/>
      <c r="CE1198" s="1241"/>
      <c r="CF1198" s="1241"/>
      <c r="CG1198" s="1241"/>
      <c r="CH1198" s="1241"/>
      <c r="CI1198" s="1241"/>
      <c r="CJ1198" s="1241"/>
      <c r="CK1198" s="1241"/>
      <c r="CL1198" s="1241"/>
      <c r="CM1198" s="1241"/>
      <c r="CN1198" s="1241"/>
      <c r="CO1198" s="1241"/>
      <c r="CP1198" s="1241"/>
      <c r="CQ1198" s="1241"/>
      <c r="CR1198" s="1241"/>
      <c r="CS1198" s="1241"/>
      <c r="CT1198" s="1241"/>
      <c r="CU1198" s="1241"/>
      <c r="CV1198" s="1241"/>
      <c r="CW1198" s="1241"/>
      <c r="CX1198" s="1241"/>
      <c r="CY1198" s="1241"/>
      <c r="CZ1198" s="1241"/>
      <c r="DA1198" s="1241"/>
      <c r="DB1198" s="1241"/>
      <c r="DC1198" s="1241"/>
      <c r="DD1198" s="1241"/>
      <c r="DE1198" s="1241"/>
      <c r="DF1198" s="1241"/>
      <c r="DG1198" s="1241"/>
      <c r="DH1198" s="1241"/>
      <c r="DI1198" s="1241"/>
      <c r="DJ1198" s="1241"/>
      <c r="DK1198" s="1241"/>
      <c r="DL1198" s="1241"/>
      <c r="DM1198" s="1241"/>
    </row>
    <row r="1199" spans="1:117" s="1302" customFormat="1" ht="15" hidden="1">
      <c r="A1199" s="1241"/>
      <c r="B1199" s="1638"/>
      <c r="C1199" s="1706" t="s">
        <v>4179</v>
      </c>
      <c r="D1199" s="1707" t="s">
        <v>4180</v>
      </c>
      <c r="E1199" s="1707"/>
      <c r="F1199" s="1708"/>
      <c r="G1199" s="1709"/>
      <c r="H1199" s="1710" t="e">
        <v>#REF!</v>
      </c>
      <c r="I1199" s="1710" t="e">
        <v>#REF!</v>
      </c>
      <c r="J1199" s="1710" t="e">
        <v>#REF!</v>
      </c>
      <c r="K1199" s="1710" t="e">
        <v>#REF!</v>
      </c>
      <c r="L1199" s="1710" t="e">
        <v>#REF!</v>
      </c>
      <c r="M1199" s="1710" t="e">
        <v>#REF!</v>
      </c>
      <c r="N1199" s="1710" t="e">
        <v>#REF!</v>
      </c>
      <c r="O1199" s="1711" t="e">
        <v>#REF!</v>
      </c>
      <c r="P1199" s="1241"/>
      <c r="Q1199" s="1241"/>
      <c r="R1199" s="1241"/>
      <c r="S1199" s="1241"/>
      <c r="T1199" s="1241"/>
      <c r="U1199" s="1241"/>
      <c r="V1199" s="1241"/>
      <c r="W1199" s="1241"/>
      <c r="X1199" s="1241"/>
      <c r="Y1199" s="1241"/>
      <c r="Z1199" s="1241"/>
      <c r="AA1199" s="1241"/>
      <c r="AB1199" s="1241"/>
      <c r="AC1199" s="1241"/>
      <c r="AD1199" s="1241"/>
      <c r="AE1199" s="1241"/>
      <c r="AF1199" s="1241"/>
      <c r="AG1199" s="1241"/>
      <c r="AH1199" s="1241"/>
      <c r="AI1199" s="1241"/>
      <c r="AJ1199" s="1241"/>
      <c r="AK1199" s="1241"/>
      <c r="AL1199" s="1241"/>
      <c r="AM1199" s="1241"/>
      <c r="AN1199" s="1241"/>
      <c r="AO1199" s="1241"/>
      <c r="AP1199" s="1241"/>
      <c r="AQ1199" s="1241"/>
      <c r="AR1199" s="1241"/>
      <c r="AS1199" s="1241"/>
      <c r="AT1199" s="1241"/>
      <c r="AU1199" s="1241"/>
      <c r="AV1199" s="1241"/>
      <c r="AW1199" s="1241"/>
      <c r="AX1199" s="1241"/>
      <c r="AY1199" s="1241"/>
      <c r="AZ1199" s="1241"/>
      <c r="BA1199" s="1241"/>
      <c r="BB1199" s="1241"/>
      <c r="BC1199" s="1241"/>
      <c r="BD1199" s="1241"/>
      <c r="BE1199" s="1241"/>
      <c r="BF1199" s="1241"/>
      <c r="BG1199" s="1241"/>
      <c r="BH1199" s="1241"/>
      <c r="BI1199" s="1241"/>
      <c r="BJ1199" s="1241"/>
      <c r="BK1199" s="1241"/>
      <c r="BL1199" s="1241"/>
      <c r="BM1199" s="1241"/>
      <c r="BN1199" s="1241"/>
      <c r="BO1199" s="1241"/>
      <c r="BP1199" s="1241"/>
      <c r="BQ1199" s="1241"/>
      <c r="BR1199" s="1241"/>
      <c r="BS1199" s="1241"/>
      <c r="BT1199" s="1241"/>
      <c r="BU1199" s="1241"/>
      <c r="BV1199" s="1241"/>
      <c r="BW1199" s="1241"/>
      <c r="BX1199" s="1241"/>
      <c r="BY1199" s="1241"/>
      <c r="BZ1199" s="1241"/>
      <c r="CA1199" s="1241"/>
      <c r="CB1199" s="1241"/>
      <c r="CC1199" s="1241"/>
      <c r="CD1199" s="1241"/>
      <c r="CE1199" s="1241"/>
      <c r="CF1199" s="1241"/>
      <c r="CG1199" s="1241"/>
      <c r="CH1199" s="1241"/>
      <c r="CI1199" s="1241"/>
      <c r="CJ1199" s="1241"/>
      <c r="CK1199" s="1241"/>
      <c r="CL1199" s="1241"/>
      <c r="CM1199" s="1241"/>
      <c r="CN1199" s="1241"/>
      <c r="CO1199" s="1241"/>
      <c r="CP1199" s="1241"/>
      <c r="CQ1199" s="1241"/>
      <c r="CR1199" s="1241"/>
      <c r="CS1199" s="1241"/>
      <c r="CT1199" s="1241"/>
      <c r="CU1199" s="1241"/>
      <c r="CV1199" s="1241"/>
      <c r="CW1199" s="1241"/>
      <c r="CX1199" s="1241"/>
      <c r="CY1199" s="1241"/>
      <c r="CZ1199" s="1241"/>
      <c r="DA1199" s="1241"/>
      <c r="DB1199" s="1241"/>
      <c r="DC1199" s="1241"/>
      <c r="DD1199" s="1241"/>
      <c r="DE1199" s="1241"/>
      <c r="DF1199" s="1241"/>
      <c r="DG1199" s="1241"/>
      <c r="DH1199" s="1241"/>
      <c r="DI1199" s="1241"/>
      <c r="DJ1199" s="1241"/>
      <c r="DK1199" s="1241"/>
      <c r="DL1199" s="1241"/>
      <c r="DM1199" s="1241"/>
    </row>
    <row r="1200" spans="1:117" s="1302" customFormat="1" ht="15" hidden="1">
      <c r="A1200" s="1241"/>
      <c r="B1200" s="1638"/>
      <c r="C1200" s="1706" t="s">
        <v>4181</v>
      </c>
      <c r="D1200" s="1707" t="s">
        <v>4182</v>
      </c>
      <c r="E1200" s="1707"/>
      <c r="F1200" s="1708"/>
      <c r="G1200" s="1709"/>
      <c r="H1200" s="1710" t="e">
        <v>#REF!</v>
      </c>
      <c r="I1200" s="1710" t="e">
        <v>#REF!</v>
      </c>
      <c r="J1200" s="1710" t="e">
        <v>#REF!</v>
      </c>
      <c r="K1200" s="1710" t="e">
        <v>#REF!</v>
      </c>
      <c r="L1200" s="1710" t="e">
        <v>#REF!</v>
      </c>
      <c r="M1200" s="1710" t="e">
        <v>#REF!</v>
      </c>
      <c r="N1200" s="1710" t="e">
        <v>#REF!</v>
      </c>
      <c r="O1200" s="1711" t="e">
        <v>#REF!</v>
      </c>
      <c r="P1200" s="1241"/>
      <c r="Q1200" s="1241"/>
      <c r="R1200" s="1241"/>
      <c r="S1200" s="1241"/>
      <c r="T1200" s="1241"/>
      <c r="U1200" s="1241"/>
      <c r="V1200" s="1241"/>
      <c r="W1200" s="1241"/>
      <c r="X1200" s="1241"/>
      <c r="Y1200" s="1241"/>
      <c r="Z1200" s="1241"/>
      <c r="AA1200" s="1241"/>
      <c r="AB1200" s="1241"/>
      <c r="AC1200" s="1241"/>
      <c r="AD1200" s="1241"/>
      <c r="AE1200" s="1241"/>
      <c r="AF1200" s="1241"/>
      <c r="AG1200" s="1241"/>
      <c r="AH1200" s="1241"/>
      <c r="AI1200" s="1241"/>
      <c r="AJ1200" s="1241"/>
      <c r="AK1200" s="1241"/>
      <c r="AL1200" s="1241"/>
      <c r="AM1200" s="1241"/>
      <c r="AN1200" s="1241"/>
      <c r="AO1200" s="1241"/>
      <c r="AP1200" s="1241"/>
      <c r="AQ1200" s="1241"/>
      <c r="AR1200" s="1241"/>
      <c r="AS1200" s="1241"/>
      <c r="AT1200" s="1241"/>
      <c r="AU1200" s="1241"/>
      <c r="AV1200" s="1241"/>
      <c r="AW1200" s="1241"/>
      <c r="AX1200" s="1241"/>
      <c r="AY1200" s="1241"/>
      <c r="AZ1200" s="1241"/>
      <c r="BA1200" s="1241"/>
      <c r="BB1200" s="1241"/>
      <c r="BC1200" s="1241"/>
      <c r="BD1200" s="1241"/>
      <c r="BE1200" s="1241"/>
      <c r="BF1200" s="1241"/>
      <c r="BG1200" s="1241"/>
      <c r="BH1200" s="1241"/>
      <c r="BI1200" s="1241"/>
      <c r="BJ1200" s="1241"/>
      <c r="BK1200" s="1241"/>
      <c r="BL1200" s="1241"/>
      <c r="BM1200" s="1241"/>
      <c r="BN1200" s="1241"/>
      <c r="BO1200" s="1241"/>
      <c r="BP1200" s="1241"/>
      <c r="BQ1200" s="1241"/>
      <c r="BR1200" s="1241"/>
      <c r="BS1200" s="1241"/>
      <c r="BT1200" s="1241"/>
      <c r="BU1200" s="1241"/>
      <c r="BV1200" s="1241"/>
      <c r="BW1200" s="1241"/>
      <c r="BX1200" s="1241"/>
      <c r="BY1200" s="1241"/>
      <c r="BZ1200" s="1241"/>
      <c r="CA1200" s="1241"/>
      <c r="CB1200" s="1241"/>
      <c r="CC1200" s="1241"/>
      <c r="CD1200" s="1241"/>
      <c r="CE1200" s="1241"/>
      <c r="CF1200" s="1241"/>
      <c r="CG1200" s="1241"/>
      <c r="CH1200" s="1241"/>
      <c r="CI1200" s="1241"/>
      <c r="CJ1200" s="1241"/>
      <c r="CK1200" s="1241"/>
      <c r="CL1200" s="1241"/>
      <c r="CM1200" s="1241"/>
      <c r="CN1200" s="1241"/>
      <c r="CO1200" s="1241"/>
      <c r="CP1200" s="1241"/>
      <c r="CQ1200" s="1241"/>
      <c r="CR1200" s="1241"/>
      <c r="CS1200" s="1241"/>
      <c r="CT1200" s="1241"/>
      <c r="CU1200" s="1241"/>
      <c r="CV1200" s="1241"/>
      <c r="CW1200" s="1241"/>
      <c r="CX1200" s="1241"/>
      <c r="CY1200" s="1241"/>
      <c r="CZ1200" s="1241"/>
      <c r="DA1200" s="1241"/>
      <c r="DB1200" s="1241"/>
      <c r="DC1200" s="1241"/>
      <c r="DD1200" s="1241"/>
      <c r="DE1200" s="1241"/>
      <c r="DF1200" s="1241"/>
      <c r="DG1200" s="1241"/>
      <c r="DH1200" s="1241"/>
      <c r="DI1200" s="1241"/>
      <c r="DJ1200" s="1241"/>
      <c r="DK1200" s="1241"/>
      <c r="DL1200" s="1241"/>
      <c r="DM1200" s="1241"/>
    </row>
    <row r="1201" spans="1:117" s="1302" customFormat="1" ht="15" hidden="1">
      <c r="A1201" s="1241"/>
      <c r="B1201" s="1638"/>
      <c r="C1201" s="1706" t="s">
        <v>4183</v>
      </c>
      <c r="D1201" s="1707" t="s">
        <v>4184</v>
      </c>
      <c r="E1201" s="1707"/>
      <c r="F1201" s="1708"/>
      <c r="G1201" s="1709"/>
      <c r="H1201" s="1710" t="e">
        <v>#REF!</v>
      </c>
      <c r="I1201" s="1710" t="e">
        <v>#REF!</v>
      </c>
      <c r="J1201" s="1710" t="e">
        <v>#REF!</v>
      </c>
      <c r="K1201" s="1710" t="e">
        <v>#REF!</v>
      </c>
      <c r="L1201" s="1710" t="e">
        <v>#REF!</v>
      </c>
      <c r="M1201" s="1710" t="e">
        <v>#REF!</v>
      </c>
      <c r="N1201" s="1710" t="e">
        <v>#REF!</v>
      </c>
      <c r="O1201" s="1711" t="e">
        <v>#REF!</v>
      </c>
      <c r="P1201" s="1241"/>
      <c r="Q1201" s="1241"/>
      <c r="R1201" s="1241"/>
      <c r="S1201" s="1241"/>
      <c r="T1201" s="1241"/>
      <c r="U1201" s="1241"/>
      <c r="V1201" s="1241"/>
      <c r="W1201" s="1241"/>
      <c r="X1201" s="1241"/>
      <c r="Y1201" s="1241"/>
      <c r="Z1201" s="1241"/>
      <c r="AA1201" s="1241"/>
      <c r="AB1201" s="1241"/>
      <c r="AC1201" s="1241"/>
      <c r="AD1201" s="1241"/>
      <c r="AE1201" s="1241"/>
      <c r="AF1201" s="1241"/>
      <c r="AG1201" s="1241"/>
      <c r="AH1201" s="1241"/>
      <c r="AI1201" s="1241"/>
      <c r="AJ1201" s="1241"/>
      <c r="AK1201" s="1241"/>
      <c r="AL1201" s="1241"/>
      <c r="AM1201" s="1241"/>
      <c r="AN1201" s="1241"/>
      <c r="AO1201" s="1241"/>
      <c r="AP1201" s="1241"/>
      <c r="AQ1201" s="1241"/>
      <c r="AR1201" s="1241"/>
      <c r="AS1201" s="1241"/>
      <c r="AT1201" s="1241"/>
      <c r="AU1201" s="1241"/>
      <c r="AV1201" s="1241"/>
      <c r="AW1201" s="1241"/>
      <c r="AX1201" s="1241"/>
      <c r="AY1201" s="1241"/>
      <c r="AZ1201" s="1241"/>
      <c r="BA1201" s="1241"/>
      <c r="BB1201" s="1241"/>
      <c r="BC1201" s="1241"/>
      <c r="BD1201" s="1241"/>
      <c r="BE1201" s="1241"/>
      <c r="BF1201" s="1241"/>
      <c r="BG1201" s="1241"/>
      <c r="BH1201" s="1241"/>
      <c r="BI1201" s="1241"/>
      <c r="BJ1201" s="1241"/>
      <c r="BK1201" s="1241"/>
      <c r="BL1201" s="1241"/>
      <c r="BM1201" s="1241"/>
      <c r="BN1201" s="1241"/>
      <c r="BO1201" s="1241"/>
      <c r="BP1201" s="1241"/>
      <c r="BQ1201" s="1241"/>
      <c r="BR1201" s="1241"/>
      <c r="BS1201" s="1241"/>
      <c r="BT1201" s="1241"/>
      <c r="BU1201" s="1241"/>
      <c r="BV1201" s="1241"/>
      <c r="BW1201" s="1241"/>
      <c r="BX1201" s="1241"/>
      <c r="BY1201" s="1241"/>
      <c r="BZ1201" s="1241"/>
      <c r="CA1201" s="1241"/>
      <c r="CB1201" s="1241"/>
      <c r="CC1201" s="1241"/>
      <c r="CD1201" s="1241"/>
      <c r="CE1201" s="1241"/>
      <c r="CF1201" s="1241"/>
      <c r="CG1201" s="1241"/>
      <c r="CH1201" s="1241"/>
      <c r="CI1201" s="1241"/>
      <c r="CJ1201" s="1241"/>
      <c r="CK1201" s="1241"/>
      <c r="CL1201" s="1241"/>
      <c r="CM1201" s="1241"/>
      <c r="CN1201" s="1241"/>
      <c r="CO1201" s="1241"/>
      <c r="CP1201" s="1241"/>
      <c r="CQ1201" s="1241"/>
      <c r="CR1201" s="1241"/>
      <c r="CS1201" s="1241"/>
      <c r="CT1201" s="1241"/>
      <c r="CU1201" s="1241"/>
      <c r="CV1201" s="1241"/>
      <c r="CW1201" s="1241"/>
      <c r="CX1201" s="1241"/>
      <c r="CY1201" s="1241"/>
      <c r="CZ1201" s="1241"/>
      <c r="DA1201" s="1241"/>
      <c r="DB1201" s="1241"/>
      <c r="DC1201" s="1241"/>
      <c r="DD1201" s="1241"/>
      <c r="DE1201" s="1241"/>
      <c r="DF1201" s="1241"/>
      <c r="DG1201" s="1241"/>
      <c r="DH1201" s="1241"/>
      <c r="DI1201" s="1241"/>
      <c r="DJ1201" s="1241"/>
      <c r="DK1201" s="1241"/>
      <c r="DL1201" s="1241"/>
      <c r="DM1201" s="1241"/>
    </row>
    <row r="1202" spans="1:117" s="1302" customFormat="1" ht="15" hidden="1">
      <c r="A1202" s="1241"/>
      <c r="B1202" s="1638"/>
      <c r="C1202" s="1706" t="s">
        <v>4390</v>
      </c>
      <c r="D1202" s="1707" t="s">
        <v>4185</v>
      </c>
      <c r="E1202" s="1707"/>
      <c r="F1202" s="1708"/>
      <c r="G1202" s="1709"/>
      <c r="H1202" s="1709">
        <v>0</v>
      </c>
      <c r="I1202" s="1709">
        <v>0</v>
      </c>
      <c r="J1202" s="1709">
        <v>0</v>
      </c>
      <c r="K1202" s="1709">
        <v>0</v>
      </c>
      <c r="L1202" s="1709">
        <v>0</v>
      </c>
      <c r="M1202" s="1709">
        <v>0</v>
      </c>
      <c r="N1202" s="1709">
        <v>0</v>
      </c>
      <c r="O1202" s="1722">
        <v>0</v>
      </c>
      <c r="P1202" s="1241"/>
      <c r="Q1202" s="1241"/>
      <c r="R1202" s="1241"/>
      <c r="S1202" s="1241"/>
      <c r="T1202" s="1241"/>
      <c r="U1202" s="1241"/>
      <c r="V1202" s="1241"/>
      <c r="W1202" s="1241"/>
      <c r="X1202" s="1241"/>
      <c r="Y1202" s="1241"/>
      <c r="Z1202" s="1241"/>
      <c r="AA1202" s="1241"/>
      <c r="AB1202" s="1241"/>
      <c r="AC1202" s="1241"/>
      <c r="AD1202" s="1241"/>
      <c r="AE1202" s="1241"/>
      <c r="AF1202" s="1241"/>
      <c r="AG1202" s="1241"/>
      <c r="AH1202" s="1241"/>
      <c r="AI1202" s="1241"/>
      <c r="AJ1202" s="1241"/>
      <c r="AK1202" s="1241"/>
      <c r="AL1202" s="1241"/>
      <c r="AM1202" s="1241"/>
      <c r="AN1202" s="1241"/>
      <c r="AO1202" s="1241"/>
      <c r="AP1202" s="1241"/>
      <c r="AQ1202" s="1241"/>
      <c r="AR1202" s="1241"/>
      <c r="AS1202" s="1241"/>
      <c r="AT1202" s="1241"/>
      <c r="AU1202" s="1241"/>
      <c r="AV1202" s="1241"/>
      <c r="AW1202" s="1241"/>
      <c r="AX1202" s="1241"/>
      <c r="AY1202" s="1241"/>
      <c r="AZ1202" s="1241"/>
      <c r="BA1202" s="1241"/>
      <c r="BB1202" s="1241"/>
      <c r="BC1202" s="1241"/>
      <c r="BD1202" s="1241"/>
      <c r="BE1202" s="1241"/>
      <c r="BF1202" s="1241"/>
      <c r="BG1202" s="1241"/>
      <c r="BH1202" s="1241"/>
      <c r="BI1202" s="1241"/>
      <c r="BJ1202" s="1241"/>
      <c r="BK1202" s="1241"/>
      <c r="BL1202" s="1241"/>
      <c r="BM1202" s="1241"/>
      <c r="BN1202" s="1241"/>
      <c r="BO1202" s="1241"/>
      <c r="BP1202" s="1241"/>
      <c r="BQ1202" s="1241"/>
      <c r="BR1202" s="1241"/>
      <c r="BS1202" s="1241"/>
      <c r="BT1202" s="1241"/>
      <c r="BU1202" s="1241"/>
      <c r="BV1202" s="1241"/>
      <c r="BW1202" s="1241"/>
      <c r="BX1202" s="1241"/>
      <c r="BY1202" s="1241"/>
      <c r="BZ1202" s="1241"/>
      <c r="CA1202" s="1241"/>
      <c r="CB1202" s="1241"/>
      <c r="CC1202" s="1241"/>
      <c r="CD1202" s="1241"/>
      <c r="CE1202" s="1241"/>
      <c r="CF1202" s="1241"/>
      <c r="CG1202" s="1241"/>
      <c r="CH1202" s="1241"/>
      <c r="CI1202" s="1241"/>
      <c r="CJ1202" s="1241"/>
      <c r="CK1202" s="1241"/>
      <c r="CL1202" s="1241"/>
      <c r="CM1202" s="1241"/>
      <c r="CN1202" s="1241"/>
      <c r="CO1202" s="1241"/>
      <c r="CP1202" s="1241"/>
      <c r="CQ1202" s="1241"/>
      <c r="CR1202" s="1241"/>
      <c r="CS1202" s="1241"/>
      <c r="CT1202" s="1241"/>
      <c r="CU1202" s="1241"/>
      <c r="CV1202" s="1241"/>
      <c r="CW1202" s="1241"/>
      <c r="CX1202" s="1241"/>
      <c r="CY1202" s="1241"/>
      <c r="CZ1202" s="1241"/>
      <c r="DA1202" s="1241"/>
      <c r="DB1202" s="1241"/>
      <c r="DC1202" s="1241"/>
      <c r="DD1202" s="1241"/>
      <c r="DE1202" s="1241"/>
      <c r="DF1202" s="1241"/>
      <c r="DG1202" s="1241"/>
      <c r="DH1202" s="1241"/>
      <c r="DI1202" s="1241"/>
      <c r="DJ1202" s="1241"/>
      <c r="DK1202" s="1241"/>
      <c r="DL1202" s="1241"/>
      <c r="DM1202" s="1241"/>
    </row>
    <row r="1203" spans="1:117" s="1302" customFormat="1" ht="15" hidden="1">
      <c r="A1203" s="1241"/>
      <c r="B1203" s="1638"/>
      <c r="C1203" s="1706" t="s">
        <v>4186</v>
      </c>
      <c r="D1203" s="1707" t="s">
        <v>4187</v>
      </c>
      <c r="E1203" s="1707"/>
      <c r="F1203" s="1708"/>
      <c r="G1203" s="1709"/>
      <c r="H1203" s="1709">
        <v>0</v>
      </c>
      <c r="I1203" s="1709">
        <v>0</v>
      </c>
      <c r="J1203" s="1709">
        <v>0</v>
      </c>
      <c r="K1203" s="1709">
        <v>0</v>
      </c>
      <c r="L1203" s="1709">
        <v>0</v>
      </c>
      <c r="M1203" s="1709">
        <v>0</v>
      </c>
      <c r="N1203" s="1709">
        <v>0</v>
      </c>
      <c r="O1203" s="1722">
        <v>0</v>
      </c>
      <c r="P1203" s="1241"/>
      <c r="Q1203" s="1241"/>
      <c r="R1203" s="1241"/>
      <c r="S1203" s="1241"/>
      <c r="T1203" s="1241"/>
      <c r="U1203" s="1241"/>
      <c r="V1203" s="1241"/>
      <c r="W1203" s="1241"/>
      <c r="X1203" s="1241"/>
      <c r="Y1203" s="1241"/>
      <c r="Z1203" s="1241"/>
      <c r="AA1203" s="1241"/>
      <c r="AB1203" s="1241"/>
      <c r="AC1203" s="1241"/>
      <c r="AD1203" s="1241"/>
      <c r="AE1203" s="1241"/>
      <c r="AF1203" s="1241"/>
      <c r="AG1203" s="1241"/>
      <c r="AH1203" s="1241"/>
      <c r="AI1203" s="1241"/>
      <c r="AJ1203" s="1241"/>
      <c r="AK1203" s="1241"/>
      <c r="AL1203" s="1241"/>
      <c r="AM1203" s="1241"/>
      <c r="AN1203" s="1241"/>
      <c r="AO1203" s="1241"/>
      <c r="AP1203" s="1241"/>
      <c r="AQ1203" s="1241"/>
      <c r="AR1203" s="1241"/>
      <c r="AS1203" s="1241"/>
      <c r="AT1203" s="1241"/>
      <c r="AU1203" s="1241"/>
      <c r="AV1203" s="1241"/>
      <c r="AW1203" s="1241"/>
      <c r="AX1203" s="1241"/>
      <c r="AY1203" s="1241"/>
      <c r="AZ1203" s="1241"/>
      <c r="BA1203" s="1241"/>
      <c r="BB1203" s="1241"/>
      <c r="BC1203" s="1241"/>
      <c r="BD1203" s="1241"/>
      <c r="BE1203" s="1241"/>
      <c r="BF1203" s="1241"/>
      <c r="BG1203" s="1241"/>
      <c r="BH1203" s="1241"/>
      <c r="BI1203" s="1241"/>
      <c r="BJ1203" s="1241"/>
      <c r="BK1203" s="1241"/>
      <c r="BL1203" s="1241"/>
      <c r="BM1203" s="1241"/>
      <c r="BN1203" s="1241"/>
      <c r="BO1203" s="1241"/>
      <c r="BP1203" s="1241"/>
      <c r="BQ1203" s="1241"/>
      <c r="BR1203" s="1241"/>
      <c r="BS1203" s="1241"/>
      <c r="BT1203" s="1241"/>
      <c r="BU1203" s="1241"/>
      <c r="BV1203" s="1241"/>
      <c r="BW1203" s="1241"/>
      <c r="BX1203" s="1241"/>
      <c r="BY1203" s="1241"/>
      <c r="BZ1203" s="1241"/>
      <c r="CA1203" s="1241"/>
      <c r="CB1203" s="1241"/>
      <c r="CC1203" s="1241"/>
      <c r="CD1203" s="1241"/>
      <c r="CE1203" s="1241"/>
      <c r="CF1203" s="1241"/>
      <c r="CG1203" s="1241"/>
      <c r="CH1203" s="1241"/>
      <c r="CI1203" s="1241"/>
      <c r="CJ1203" s="1241"/>
      <c r="CK1203" s="1241"/>
      <c r="CL1203" s="1241"/>
      <c r="CM1203" s="1241"/>
      <c r="CN1203" s="1241"/>
      <c r="CO1203" s="1241"/>
      <c r="CP1203" s="1241"/>
      <c r="CQ1203" s="1241"/>
      <c r="CR1203" s="1241"/>
      <c r="CS1203" s="1241"/>
      <c r="CT1203" s="1241"/>
      <c r="CU1203" s="1241"/>
      <c r="CV1203" s="1241"/>
      <c r="CW1203" s="1241"/>
      <c r="CX1203" s="1241"/>
      <c r="CY1203" s="1241"/>
      <c r="CZ1203" s="1241"/>
      <c r="DA1203" s="1241"/>
      <c r="DB1203" s="1241"/>
      <c r="DC1203" s="1241"/>
      <c r="DD1203" s="1241"/>
      <c r="DE1203" s="1241"/>
      <c r="DF1203" s="1241"/>
      <c r="DG1203" s="1241"/>
      <c r="DH1203" s="1241"/>
      <c r="DI1203" s="1241"/>
      <c r="DJ1203" s="1241"/>
      <c r="DK1203" s="1241"/>
      <c r="DL1203" s="1241"/>
      <c r="DM1203" s="1241"/>
    </row>
    <row r="1204" spans="1:117" s="1302" customFormat="1" ht="15" hidden="1">
      <c r="A1204" s="1241"/>
      <c r="B1204" s="1241"/>
      <c r="C1204" s="1713" t="s">
        <v>4188</v>
      </c>
      <c r="D1204" s="1714" t="s">
        <v>4189</v>
      </c>
      <c r="E1204" s="1714"/>
      <c r="F1204" s="1715"/>
      <c r="G1204" s="1716"/>
      <c r="H1204" s="1716">
        <v>0</v>
      </c>
      <c r="I1204" s="1716">
        <v>0</v>
      </c>
      <c r="J1204" s="1716">
        <v>0</v>
      </c>
      <c r="K1204" s="1716">
        <v>0</v>
      </c>
      <c r="L1204" s="1716">
        <v>0</v>
      </c>
      <c r="M1204" s="1716">
        <v>0</v>
      </c>
      <c r="N1204" s="1716">
        <v>0</v>
      </c>
      <c r="O1204" s="1723">
        <v>0</v>
      </c>
      <c r="P1204" s="1241"/>
      <c r="Q1204" s="1241"/>
      <c r="R1204" s="1241"/>
      <c r="S1204" s="1241"/>
      <c r="T1204" s="1241"/>
      <c r="U1204" s="1241"/>
      <c r="V1204" s="1241"/>
      <c r="W1204" s="1241"/>
      <c r="X1204" s="1241"/>
      <c r="Y1204" s="1241"/>
      <c r="Z1204" s="1241"/>
      <c r="AA1204" s="1241"/>
      <c r="AB1204" s="1241"/>
      <c r="AC1204" s="1241"/>
      <c r="AD1204" s="1241"/>
      <c r="AE1204" s="1241"/>
      <c r="AF1204" s="1241"/>
      <c r="AG1204" s="1241"/>
      <c r="AH1204" s="1241"/>
      <c r="AI1204" s="1241"/>
      <c r="AJ1204" s="1241"/>
      <c r="AK1204" s="1241"/>
      <c r="AL1204" s="1241"/>
      <c r="AM1204" s="1241"/>
      <c r="AN1204" s="1241"/>
      <c r="AO1204" s="1241"/>
      <c r="AP1204" s="1241"/>
      <c r="AQ1204" s="1241"/>
      <c r="AR1204" s="1241"/>
      <c r="AS1204" s="1241"/>
      <c r="AT1204" s="1241"/>
      <c r="AU1204" s="1241"/>
      <c r="AV1204" s="1241"/>
      <c r="AW1204" s="1241"/>
      <c r="AX1204" s="1241"/>
      <c r="AY1204" s="1241"/>
      <c r="AZ1204" s="1241"/>
      <c r="BA1204" s="1241"/>
      <c r="BB1204" s="1241"/>
      <c r="BC1204" s="1241"/>
      <c r="BD1204" s="1241"/>
      <c r="BE1204" s="1241"/>
      <c r="BF1204" s="1241"/>
      <c r="BG1204" s="1241"/>
      <c r="BH1204" s="1241"/>
      <c r="BI1204" s="1241"/>
      <c r="BJ1204" s="1241"/>
      <c r="BK1204" s="1241"/>
      <c r="BL1204" s="1241"/>
      <c r="BM1204" s="1241"/>
      <c r="BN1204" s="1241"/>
      <c r="BO1204" s="1241"/>
      <c r="BP1204" s="1241"/>
      <c r="BQ1204" s="1241"/>
      <c r="BR1204" s="1241"/>
      <c r="BS1204" s="1241"/>
      <c r="BT1204" s="1241"/>
      <c r="BU1204" s="1241"/>
      <c r="BV1204" s="1241"/>
      <c r="BW1204" s="1241"/>
      <c r="BX1204" s="1241"/>
      <c r="BY1204" s="1241"/>
      <c r="BZ1204" s="1241"/>
      <c r="CA1204" s="1241"/>
      <c r="CB1204" s="1241"/>
      <c r="CC1204" s="1241"/>
      <c r="CD1204" s="1241"/>
      <c r="CE1204" s="1241"/>
      <c r="CF1204" s="1241"/>
      <c r="CG1204" s="1241"/>
      <c r="CH1204" s="1241"/>
      <c r="CI1204" s="1241"/>
      <c r="CJ1204" s="1241"/>
      <c r="CK1204" s="1241"/>
      <c r="CL1204" s="1241"/>
      <c r="CM1204" s="1241"/>
      <c r="CN1204" s="1241"/>
      <c r="CO1204" s="1241"/>
      <c r="CP1204" s="1241"/>
      <c r="CQ1204" s="1241"/>
      <c r="CR1204" s="1241"/>
      <c r="CS1204" s="1241"/>
      <c r="CT1204" s="1241"/>
      <c r="CU1204" s="1241"/>
      <c r="CV1204" s="1241"/>
      <c r="CW1204" s="1241"/>
      <c r="CX1204" s="1241"/>
      <c r="CY1204" s="1241"/>
      <c r="CZ1204" s="1241"/>
      <c r="DA1204" s="1241"/>
      <c r="DB1204" s="1241"/>
      <c r="DC1204" s="1241"/>
      <c r="DD1204" s="1241"/>
      <c r="DE1204" s="1241"/>
      <c r="DF1204" s="1241"/>
      <c r="DG1204" s="1241"/>
      <c r="DH1204" s="1241"/>
      <c r="DI1204" s="1241"/>
      <c r="DJ1204" s="1241"/>
      <c r="DK1204" s="1241"/>
      <c r="DL1204" s="1241"/>
      <c r="DM1204" s="1241"/>
    </row>
    <row r="1205" spans="1:117" s="1302" customFormat="1" hidden="1">
      <c r="A1205" s="1241"/>
      <c r="B1205" s="1633"/>
      <c r="C1205" s="1241"/>
      <c r="D1205" s="1241"/>
      <c r="E1205" s="1241"/>
      <c r="F1205" s="1639"/>
      <c r="G1205" s="1242"/>
      <c r="H1205" s="1242"/>
      <c r="I1205" s="1242"/>
      <c r="J1205" s="1242"/>
      <c r="K1205" s="1242"/>
      <c r="L1205" s="1242"/>
      <c r="M1205" s="1242"/>
      <c r="N1205" s="1242"/>
      <c r="O1205" s="1639"/>
      <c r="P1205" s="1241"/>
      <c r="Q1205" s="1241"/>
      <c r="R1205" s="1241"/>
      <c r="S1205" s="1241"/>
      <c r="T1205" s="1241"/>
      <c r="U1205" s="1241"/>
      <c r="V1205" s="1241"/>
      <c r="W1205" s="1241"/>
      <c r="X1205" s="1241"/>
      <c r="Y1205" s="1241"/>
      <c r="Z1205" s="1241"/>
      <c r="AA1205" s="1241"/>
      <c r="AB1205" s="1241"/>
      <c r="AC1205" s="1241"/>
      <c r="AD1205" s="1241"/>
      <c r="AE1205" s="1241"/>
      <c r="AF1205" s="1241"/>
      <c r="AG1205" s="1241"/>
      <c r="AH1205" s="1241"/>
      <c r="AI1205" s="1241"/>
      <c r="AJ1205" s="1241"/>
      <c r="AK1205" s="1241"/>
      <c r="AL1205" s="1241"/>
      <c r="AM1205" s="1241"/>
      <c r="AN1205" s="1241"/>
      <c r="AO1205" s="1241"/>
      <c r="AP1205" s="1241"/>
      <c r="AQ1205" s="1241"/>
      <c r="AR1205" s="1241"/>
      <c r="AS1205" s="1241"/>
      <c r="AT1205" s="1241"/>
      <c r="AU1205" s="1241"/>
      <c r="AV1205" s="1241"/>
      <c r="AW1205" s="1241"/>
      <c r="AX1205" s="1241"/>
      <c r="AY1205" s="1241"/>
      <c r="AZ1205" s="1241"/>
      <c r="BA1205" s="1241"/>
      <c r="BB1205" s="1241"/>
      <c r="BC1205" s="1241"/>
      <c r="BD1205" s="1241"/>
      <c r="BE1205" s="1241"/>
      <c r="BF1205" s="1241"/>
      <c r="BG1205" s="1241"/>
      <c r="BH1205" s="1241"/>
      <c r="BI1205" s="1241"/>
      <c r="BJ1205" s="1241"/>
      <c r="BK1205" s="1241"/>
      <c r="BL1205" s="1241"/>
      <c r="BM1205" s="1241"/>
      <c r="BN1205" s="1241"/>
      <c r="BO1205" s="1241"/>
      <c r="BP1205" s="1241"/>
      <c r="BQ1205" s="1241"/>
      <c r="BR1205" s="1241"/>
      <c r="BS1205" s="1241"/>
      <c r="BT1205" s="1241"/>
      <c r="BU1205" s="1241"/>
      <c r="BV1205" s="1241"/>
      <c r="BW1205" s="1241"/>
      <c r="BX1205" s="1241"/>
      <c r="BY1205" s="1241"/>
      <c r="BZ1205" s="1241"/>
      <c r="CA1205" s="1241"/>
      <c r="CB1205" s="1241"/>
      <c r="CC1205" s="1241"/>
      <c r="CD1205" s="1241"/>
      <c r="CE1205" s="1241"/>
      <c r="CF1205" s="1241"/>
      <c r="CG1205" s="1241"/>
      <c r="CH1205" s="1241"/>
      <c r="CI1205" s="1241"/>
      <c r="CJ1205" s="1241"/>
      <c r="CK1205" s="1241"/>
      <c r="CL1205" s="1241"/>
      <c r="CM1205" s="1241"/>
      <c r="CN1205" s="1241"/>
      <c r="CO1205" s="1241"/>
      <c r="CP1205" s="1241"/>
      <c r="CQ1205" s="1241"/>
      <c r="CR1205" s="1241"/>
      <c r="CS1205" s="1241"/>
      <c r="CT1205" s="1241"/>
      <c r="CU1205" s="1241"/>
      <c r="CV1205" s="1241"/>
      <c r="CW1205" s="1241"/>
      <c r="CX1205" s="1241"/>
      <c r="CY1205" s="1241"/>
      <c r="CZ1205" s="1241"/>
      <c r="DA1205" s="1241"/>
      <c r="DB1205" s="1241"/>
      <c r="DC1205" s="1241"/>
      <c r="DD1205" s="1241"/>
      <c r="DE1205" s="1241"/>
      <c r="DF1205" s="1241"/>
      <c r="DG1205" s="1241"/>
      <c r="DH1205" s="1241"/>
      <c r="DI1205" s="1241"/>
      <c r="DJ1205" s="1241"/>
      <c r="DK1205" s="1241"/>
      <c r="DL1205" s="1241"/>
      <c r="DM1205" s="1241"/>
    </row>
    <row r="1206" spans="1:117" s="1302" customFormat="1" hidden="1">
      <c r="A1206" s="1241"/>
      <c r="B1206" s="1638"/>
      <c r="C1206" s="1640" t="s">
        <v>4394</v>
      </c>
      <c r="D1206" s="1641"/>
      <c r="E1206" s="1641"/>
      <c r="F1206" s="1642"/>
      <c r="G1206" s="1643"/>
      <c r="H1206" s="1643"/>
      <c r="I1206" s="1643"/>
      <c r="J1206" s="1643"/>
      <c r="K1206" s="1643"/>
      <c r="L1206" s="1643"/>
      <c r="M1206" s="1643"/>
      <c r="N1206" s="1643"/>
      <c r="O1206" s="1644" t="s">
        <v>3846</v>
      </c>
      <c r="P1206" s="1241"/>
      <c r="Q1206" s="1241"/>
      <c r="R1206" s="1241"/>
      <c r="S1206" s="1241"/>
      <c r="T1206" s="1241"/>
      <c r="U1206" s="1241"/>
      <c r="V1206" s="1241"/>
      <c r="W1206" s="1241"/>
      <c r="X1206" s="1241"/>
      <c r="Y1206" s="1241"/>
      <c r="Z1206" s="1241"/>
      <c r="AA1206" s="1241"/>
      <c r="AB1206" s="1241"/>
      <c r="AC1206" s="1241"/>
      <c r="AD1206" s="1241"/>
      <c r="AE1206" s="1241"/>
      <c r="AF1206" s="1241"/>
      <c r="AG1206" s="1241"/>
      <c r="AH1206" s="1241"/>
      <c r="AI1206" s="1241"/>
      <c r="AJ1206" s="1241"/>
      <c r="AK1206" s="1241"/>
      <c r="AL1206" s="1241"/>
      <c r="AM1206" s="1241"/>
      <c r="AN1206" s="1241"/>
      <c r="AO1206" s="1241"/>
      <c r="AP1206" s="1241"/>
      <c r="AQ1206" s="1241"/>
      <c r="AR1206" s="1241"/>
      <c r="AS1206" s="1241"/>
      <c r="AT1206" s="1241"/>
      <c r="AU1206" s="1241"/>
      <c r="AV1206" s="1241"/>
      <c r="AW1206" s="1241"/>
      <c r="AX1206" s="1241"/>
      <c r="AY1206" s="1241"/>
      <c r="AZ1206" s="1241"/>
      <c r="BA1206" s="1241"/>
      <c r="BB1206" s="1241"/>
      <c r="BC1206" s="1241"/>
      <c r="BD1206" s="1241"/>
      <c r="BE1206" s="1241"/>
      <c r="BF1206" s="1241"/>
      <c r="BG1206" s="1241"/>
      <c r="BH1206" s="1241"/>
      <c r="BI1206" s="1241"/>
      <c r="BJ1206" s="1241"/>
      <c r="BK1206" s="1241"/>
      <c r="BL1206" s="1241"/>
      <c r="BM1206" s="1241"/>
      <c r="BN1206" s="1241"/>
      <c r="BO1206" s="1241"/>
      <c r="BP1206" s="1241"/>
      <c r="BQ1206" s="1241"/>
      <c r="BR1206" s="1241"/>
      <c r="BS1206" s="1241"/>
      <c r="BT1206" s="1241"/>
      <c r="BU1206" s="1241"/>
      <c r="BV1206" s="1241"/>
      <c r="BW1206" s="1241"/>
      <c r="BX1206" s="1241"/>
      <c r="BY1206" s="1241"/>
      <c r="BZ1206" s="1241"/>
      <c r="CA1206" s="1241"/>
      <c r="CB1206" s="1241"/>
      <c r="CC1206" s="1241"/>
      <c r="CD1206" s="1241"/>
      <c r="CE1206" s="1241"/>
      <c r="CF1206" s="1241"/>
      <c r="CG1206" s="1241"/>
      <c r="CH1206" s="1241"/>
      <c r="CI1206" s="1241"/>
      <c r="CJ1206" s="1241"/>
      <c r="CK1206" s="1241"/>
      <c r="CL1206" s="1241"/>
      <c r="CM1206" s="1241"/>
      <c r="CN1206" s="1241"/>
      <c r="CO1206" s="1241"/>
      <c r="CP1206" s="1241"/>
      <c r="CQ1206" s="1241"/>
      <c r="CR1206" s="1241"/>
      <c r="CS1206" s="1241"/>
      <c r="CT1206" s="1241"/>
      <c r="CU1206" s="1241"/>
      <c r="CV1206" s="1241"/>
      <c r="CW1206" s="1241"/>
      <c r="CX1206" s="1241"/>
      <c r="CY1206" s="1241"/>
      <c r="CZ1206" s="1241"/>
      <c r="DA1206" s="1241"/>
      <c r="DB1206" s="1241"/>
      <c r="DC1206" s="1241"/>
      <c r="DD1206" s="1241"/>
      <c r="DE1206" s="1241"/>
      <c r="DF1206" s="1241"/>
      <c r="DG1206" s="1241"/>
      <c r="DH1206" s="1241"/>
      <c r="DI1206" s="1241"/>
      <c r="DJ1206" s="1241"/>
      <c r="DK1206" s="1241"/>
      <c r="DL1206" s="1241"/>
      <c r="DM1206" s="1241"/>
    </row>
    <row r="1207" spans="1:117" s="1302" customFormat="1" hidden="1">
      <c r="A1207" s="1241"/>
      <c r="B1207" s="1638"/>
      <c r="C1207" s="1235"/>
      <c r="D1207" s="1235"/>
      <c r="E1207" s="1235"/>
      <c r="F1207" s="1239"/>
      <c r="G1207" s="1236"/>
      <c r="H1207" s="1236"/>
      <c r="I1207" s="1236"/>
      <c r="J1207" s="1236"/>
      <c r="K1207" s="1236"/>
      <c r="L1207" s="1236"/>
      <c r="M1207" s="1236"/>
      <c r="N1207" s="1236"/>
      <c r="O1207" s="1235"/>
      <c r="P1207" s="1241"/>
      <c r="Q1207" s="1241"/>
      <c r="R1207" s="1241"/>
      <c r="S1207" s="1241"/>
      <c r="T1207" s="1241"/>
      <c r="U1207" s="1241"/>
      <c r="V1207" s="1241"/>
      <c r="W1207" s="1241"/>
      <c r="X1207" s="1241"/>
      <c r="Y1207" s="1241"/>
      <c r="Z1207" s="1241"/>
      <c r="AA1207" s="1241"/>
      <c r="AB1207" s="1241"/>
      <c r="AC1207" s="1241"/>
      <c r="AD1207" s="1241"/>
      <c r="AE1207" s="1241"/>
      <c r="AF1207" s="1241"/>
      <c r="AG1207" s="1241"/>
      <c r="AH1207" s="1241"/>
      <c r="AI1207" s="1241"/>
      <c r="AJ1207" s="1241"/>
      <c r="AK1207" s="1241"/>
      <c r="AL1207" s="1241"/>
      <c r="AM1207" s="1241"/>
      <c r="AN1207" s="1241"/>
      <c r="AO1207" s="1241"/>
      <c r="AP1207" s="1241"/>
      <c r="AQ1207" s="1241"/>
      <c r="AR1207" s="1241"/>
      <c r="AS1207" s="1241"/>
      <c r="AT1207" s="1241"/>
      <c r="AU1207" s="1241"/>
      <c r="AV1207" s="1241"/>
      <c r="AW1207" s="1241"/>
      <c r="AX1207" s="1241"/>
      <c r="AY1207" s="1241"/>
      <c r="AZ1207" s="1241"/>
      <c r="BA1207" s="1241"/>
      <c r="BB1207" s="1241"/>
      <c r="BC1207" s="1241"/>
      <c r="BD1207" s="1241"/>
      <c r="BE1207" s="1241"/>
      <c r="BF1207" s="1241"/>
      <c r="BG1207" s="1241"/>
      <c r="BH1207" s="1241"/>
      <c r="BI1207" s="1241"/>
      <c r="BJ1207" s="1241"/>
      <c r="BK1207" s="1241"/>
      <c r="BL1207" s="1241"/>
      <c r="BM1207" s="1241"/>
      <c r="BN1207" s="1241"/>
      <c r="BO1207" s="1241"/>
      <c r="BP1207" s="1241"/>
      <c r="BQ1207" s="1241"/>
      <c r="BR1207" s="1241"/>
      <c r="BS1207" s="1241"/>
      <c r="BT1207" s="1241"/>
      <c r="BU1207" s="1241"/>
      <c r="BV1207" s="1241"/>
      <c r="BW1207" s="1241"/>
      <c r="BX1207" s="1241"/>
      <c r="BY1207" s="1241"/>
      <c r="BZ1207" s="1241"/>
      <c r="CA1207" s="1241"/>
      <c r="CB1207" s="1241"/>
      <c r="CC1207" s="1241"/>
      <c r="CD1207" s="1241"/>
      <c r="CE1207" s="1241"/>
      <c r="CF1207" s="1241"/>
      <c r="CG1207" s="1241"/>
      <c r="CH1207" s="1241"/>
      <c r="CI1207" s="1241"/>
      <c r="CJ1207" s="1241"/>
      <c r="CK1207" s="1241"/>
      <c r="CL1207" s="1241"/>
      <c r="CM1207" s="1241"/>
      <c r="CN1207" s="1241"/>
      <c r="CO1207" s="1241"/>
      <c r="CP1207" s="1241"/>
      <c r="CQ1207" s="1241"/>
      <c r="CR1207" s="1241"/>
      <c r="CS1207" s="1241"/>
      <c r="CT1207" s="1241"/>
      <c r="CU1207" s="1241"/>
      <c r="CV1207" s="1241"/>
      <c r="CW1207" s="1241"/>
      <c r="CX1207" s="1241"/>
      <c r="CY1207" s="1241"/>
      <c r="CZ1207" s="1241"/>
      <c r="DA1207" s="1241"/>
      <c r="DB1207" s="1241"/>
      <c r="DC1207" s="1241"/>
      <c r="DD1207" s="1241"/>
      <c r="DE1207" s="1241"/>
      <c r="DF1207" s="1241"/>
      <c r="DG1207" s="1241"/>
      <c r="DH1207" s="1241"/>
      <c r="DI1207" s="1241"/>
      <c r="DJ1207" s="1241"/>
      <c r="DK1207" s="1241"/>
      <c r="DL1207" s="1241"/>
      <c r="DM1207" s="1241"/>
    </row>
    <row r="1208" spans="1:117" s="1302" customFormat="1" hidden="1">
      <c r="A1208" s="1241"/>
      <c r="B1208" s="1638"/>
      <c r="C1208" s="1701" t="s">
        <v>4166</v>
      </c>
      <c r="D1208" s="1702" t="s">
        <v>4167</v>
      </c>
      <c r="E1208" s="1702" t="s">
        <v>48</v>
      </c>
      <c r="F1208" s="1703" t="s">
        <v>4168</v>
      </c>
      <c r="G1208" s="1724" t="s">
        <v>4392</v>
      </c>
      <c r="H1208" s="1724" t="s">
        <v>3859</v>
      </c>
      <c r="I1208" s="1724" t="s">
        <v>4170</v>
      </c>
      <c r="J1208" s="1724" t="s">
        <v>4171</v>
      </c>
      <c r="K1208" s="1724" t="s">
        <v>4172</v>
      </c>
      <c r="L1208" s="1724" t="s">
        <v>4173</v>
      </c>
      <c r="M1208" s="1724" t="s">
        <v>4174</v>
      </c>
      <c r="N1208" s="1724" t="s">
        <v>4175</v>
      </c>
      <c r="O1208" s="1725" t="s">
        <v>3860</v>
      </c>
      <c r="P1208" s="1241"/>
      <c r="Q1208" s="1241"/>
      <c r="R1208" s="1241"/>
      <c r="S1208" s="1241"/>
      <c r="T1208" s="1241"/>
      <c r="U1208" s="1241"/>
      <c r="V1208" s="1241"/>
      <c r="W1208" s="1241"/>
      <c r="X1208" s="1241"/>
      <c r="Y1208" s="1241"/>
      <c r="Z1208" s="1241"/>
      <c r="AA1208" s="1241"/>
      <c r="AB1208" s="1241"/>
      <c r="AC1208" s="1241"/>
      <c r="AD1208" s="1241"/>
      <c r="AE1208" s="1241"/>
      <c r="AF1208" s="1241"/>
      <c r="AG1208" s="1241"/>
      <c r="AH1208" s="1241"/>
      <c r="AI1208" s="1241"/>
      <c r="AJ1208" s="1241"/>
      <c r="AK1208" s="1241"/>
      <c r="AL1208" s="1241"/>
      <c r="AM1208" s="1241"/>
      <c r="AN1208" s="1241"/>
      <c r="AO1208" s="1241"/>
      <c r="AP1208" s="1241"/>
      <c r="AQ1208" s="1241"/>
      <c r="AR1208" s="1241"/>
      <c r="AS1208" s="1241"/>
      <c r="AT1208" s="1241"/>
      <c r="AU1208" s="1241"/>
      <c r="AV1208" s="1241"/>
      <c r="AW1208" s="1241"/>
      <c r="AX1208" s="1241"/>
      <c r="AY1208" s="1241"/>
      <c r="AZ1208" s="1241"/>
      <c r="BA1208" s="1241"/>
      <c r="BB1208" s="1241"/>
      <c r="BC1208" s="1241"/>
      <c r="BD1208" s="1241"/>
      <c r="BE1208" s="1241"/>
      <c r="BF1208" s="1241"/>
      <c r="BG1208" s="1241"/>
      <c r="BH1208" s="1241"/>
      <c r="BI1208" s="1241"/>
      <c r="BJ1208" s="1241"/>
      <c r="BK1208" s="1241"/>
      <c r="BL1208" s="1241"/>
      <c r="BM1208" s="1241"/>
      <c r="BN1208" s="1241"/>
      <c r="BO1208" s="1241"/>
      <c r="BP1208" s="1241"/>
      <c r="BQ1208" s="1241"/>
      <c r="BR1208" s="1241"/>
      <c r="BS1208" s="1241"/>
      <c r="BT1208" s="1241"/>
      <c r="BU1208" s="1241"/>
      <c r="BV1208" s="1241"/>
      <c r="BW1208" s="1241"/>
      <c r="BX1208" s="1241"/>
      <c r="BY1208" s="1241"/>
      <c r="BZ1208" s="1241"/>
      <c r="CA1208" s="1241"/>
      <c r="CB1208" s="1241"/>
      <c r="CC1208" s="1241"/>
      <c r="CD1208" s="1241"/>
      <c r="CE1208" s="1241"/>
      <c r="CF1208" s="1241"/>
      <c r="CG1208" s="1241"/>
      <c r="CH1208" s="1241"/>
      <c r="CI1208" s="1241"/>
      <c r="CJ1208" s="1241"/>
      <c r="CK1208" s="1241"/>
      <c r="CL1208" s="1241"/>
      <c r="CM1208" s="1241"/>
      <c r="CN1208" s="1241"/>
      <c r="CO1208" s="1241"/>
      <c r="CP1208" s="1241"/>
      <c r="CQ1208" s="1241"/>
      <c r="CR1208" s="1241"/>
      <c r="CS1208" s="1241"/>
      <c r="CT1208" s="1241"/>
      <c r="CU1208" s="1241"/>
      <c r="CV1208" s="1241"/>
      <c r="CW1208" s="1241"/>
      <c r="CX1208" s="1241"/>
      <c r="CY1208" s="1241"/>
      <c r="CZ1208" s="1241"/>
      <c r="DA1208" s="1241"/>
      <c r="DB1208" s="1241"/>
      <c r="DC1208" s="1241"/>
      <c r="DD1208" s="1241"/>
      <c r="DE1208" s="1241"/>
      <c r="DF1208" s="1241"/>
      <c r="DG1208" s="1241"/>
      <c r="DH1208" s="1241"/>
      <c r="DI1208" s="1241"/>
      <c r="DJ1208" s="1241"/>
      <c r="DK1208" s="1241"/>
      <c r="DL1208" s="1241"/>
      <c r="DM1208" s="1241"/>
    </row>
    <row r="1209" spans="1:117" s="1302" customFormat="1" ht="15" hidden="1">
      <c r="A1209" s="1241"/>
      <c r="B1209" s="1638"/>
      <c r="C1209" s="1706" t="s">
        <v>4179</v>
      </c>
      <c r="D1209" s="1707" t="s">
        <v>4180</v>
      </c>
      <c r="E1209" s="1707"/>
      <c r="F1209" s="1708"/>
      <c r="G1209" s="1709"/>
      <c r="H1209" s="1710" t="e">
        <v>#REF!</v>
      </c>
      <c r="I1209" s="1710" t="e">
        <v>#REF!</v>
      </c>
      <c r="J1209" s="1710" t="e">
        <v>#REF!</v>
      </c>
      <c r="K1209" s="1710" t="e">
        <v>#REF!</v>
      </c>
      <c r="L1209" s="1710" t="e">
        <v>#REF!</v>
      </c>
      <c r="M1209" s="1710" t="e">
        <v>#REF!</v>
      </c>
      <c r="N1209" s="1710" t="e">
        <v>#REF!</v>
      </c>
      <c r="O1209" s="1711" t="e">
        <v>#REF!</v>
      </c>
      <c r="P1209" s="1241"/>
      <c r="Q1209" s="1241"/>
      <c r="R1209" s="1241"/>
      <c r="S1209" s="1241"/>
      <c r="T1209" s="1241"/>
      <c r="U1209" s="1241"/>
      <c r="V1209" s="1241"/>
      <c r="W1209" s="1241"/>
      <c r="X1209" s="1241"/>
      <c r="Y1209" s="1241"/>
      <c r="Z1209" s="1241"/>
      <c r="AA1209" s="1241"/>
      <c r="AB1209" s="1241"/>
      <c r="AC1209" s="1241"/>
      <c r="AD1209" s="1241"/>
      <c r="AE1209" s="1241"/>
      <c r="AF1209" s="1241"/>
      <c r="AG1209" s="1241"/>
      <c r="AH1209" s="1241"/>
      <c r="AI1209" s="1241"/>
      <c r="AJ1209" s="1241"/>
      <c r="AK1209" s="1241"/>
      <c r="AL1209" s="1241"/>
      <c r="AM1209" s="1241"/>
      <c r="AN1209" s="1241"/>
      <c r="AO1209" s="1241"/>
      <c r="AP1209" s="1241"/>
      <c r="AQ1209" s="1241"/>
      <c r="AR1209" s="1241"/>
      <c r="AS1209" s="1241"/>
      <c r="AT1209" s="1241"/>
      <c r="AU1209" s="1241"/>
      <c r="AV1209" s="1241"/>
      <c r="AW1209" s="1241"/>
      <c r="AX1209" s="1241"/>
      <c r="AY1209" s="1241"/>
      <c r="AZ1209" s="1241"/>
      <c r="BA1209" s="1241"/>
      <c r="BB1209" s="1241"/>
      <c r="BC1209" s="1241"/>
      <c r="BD1209" s="1241"/>
      <c r="BE1209" s="1241"/>
      <c r="BF1209" s="1241"/>
      <c r="BG1209" s="1241"/>
      <c r="BH1209" s="1241"/>
      <c r="BI1209" s="1241"/>
      <c r="BJ1209" s="1241"/>
      <c r="BK1209" s="1241"/>
      <c r="BL1209" s="1241"/>
      <c r="BM1209" s="1241"/>
      <c r="BN1209" s="1241"/>
      <c r="BO1209" s="1241"/>
      <c r="BP1209" s="1241"/>
      <c r="BQ1209" s="1241"/>
      <c r="BR1209" s="1241"/>
      <c r="BS1209" s="1241"/>
      <c r="BT1209" s="1241"/>
      <c r="BU1209" s="1241"/>
      <c r="BV1209" s="1241"/>
      <c r="BW1209" s="1241"/>
      <c r="BX1209" s="1241"/>
      <c r="BY1209" s="1241"/>
      <c r="BZ1209" s="1241"/>
      <c r="CA1209" s="1241"/>
      <c r="CB1209" s="1241"/>
      <c r="CC1209" s="1241"/>
      <c r="CD1209" s="1241"/>
      <c r="CE1209" s="1241"/>
      <c r="CF1209" s="1241"/>
      <c r="CG1209" s="1241"/>
      <c r="CH1209" s="1241"/>
      <c r="CI1209" s="1241"/>
      <c r="CJ1209" s="1241"/>
      <c r="CK1209" s="1241"/>
      <c r="CL1209" s="1241"/>
      <c r="CM1209" s="1241"/>
      <c r="CN1209" s="1241"/>
      <c r="CO1209" s="1241"/>
      <c r="CP1209" s="1241"/>
      <c r="CQ1209" s="1241"/>
      <c r="CR1209" s="1241"/>
      <c r="CS1209" s="1241"/>
      <c r="CT1209" s="1241"/>
      <c r="CU1209" s="1241"/>
      <c r="CV1209" s="1241"/>
      <c r="CW1209" s="1241"/>
      <c r="CX1209" s="1241"/>
      <c r="CY1209" s="1241"/>
      <c r="CZ1209" s="1241"/>
      <c r="DA1209" s="1241"/>
      <c r="DB1209" s="1241"/>
      <c r="DC1209" s="1241"/>
      <c r="DD1209" s="1241"/>
      <c r="DE1209" s="1241"/>
      <c r="DF1209" s="1241"/>
      <c r="DG1209" s="1241"/>
      <c r="DH1209" s="1241"/>
      <c r="DI1209" s="1241"/>
      <c r="DJ1209" s="1241"/>
      <c r="DK1209" s="1241"/>
      <c r="DL1209" s="1241"/>
      <c r="DM1209" s="1241"/>
    </row>
    <row r="1210" spans="1:117" s="1302" customFormat="1" ht="15" hidden="1">
      <c r="A1210" s="1241"/>
      <c r="B1210" s="1638"/>
      <c r="C1210" s="1706" t="s">
        <v>4181</v>
      </c>
      <c r="D1210" s="1707" t="s">
        <v>4182</v>
      </c>
      <c r="E1210" s="1707"/>
      <c r="F1210" s="1708"/>
      <c r="G1210" s="1709"/>
      <c r="H1210" s="1710" t="e">
        <v>#REF!</v>
      </c>
      <c r="I1210" s="1710" t="e">
        <v>#REF!</v>
      </c>
      <c r="J1210" s="1710" t="e">
        <v>#REF!</v>
      </c>
      <c r="K1210" s="1710" t="e">
        <v>#REF!</v>
      </c>
      <c r="L1210" s="1710" t="e">
        <v>#REF!</v>
      </c>
      <c r="M1210" s="1710" t="e">
        <v>#REF!</v>
      </c>
      <c r="N1210" s="1710" t="e">
        <v>#REF!</v>
      </c>
      <c r="O1210" s="1711" t="e">
        <v>#REF!</v>
      </c>
      <c r="P1210" s="1241"/>
      <c r="Q1210" s="1241"/>
      <c r="R1210" s="1241"/>
      <c r="S1210" s="1241"/>
      <c r="T1210" s="1241"/>
      <c r="U1210" s="1241"/>
      <c r="V1210" s="1241"/>
      <c r="W1210" s="1241"/>
      <c r="X1210" s="1241"/>
      <c r="Y1210" s="1241"/>
      <c r="Z1210" s="1241"/>
      <c r="AA1210" s="1241"/>
      <c r="AB1210" s="1241"/>
      <c r="AC1210" s="1241"/>
      <c r="AD1210" s="1241"/>
      <c r="AE1210" s="1241"/>
      <c r="AF1210" s="1241"/>
      <c r="AG1210" s="1241"/>
      <c r="AH1210" s="1241"/>
      <c r="AI1210" s="1241"/>
      <c r="AJ1210" s="1241"/>
      <c r="AK1210" s="1241"/>
      <c r="AL1210" s="1241"/>
      <c r="AM1210" s="1241"/>
      <c r="AN1210" s="1241"/>
      <c r="AO1210" s="1241"/>
      <c r="AP1210" s="1241"/>
      <c r="AQ1210" s="1241"/>
      <c r="AR1210" s="1241"/>
      <c r="AS1210" s="1241"/>
      <c r="AT1210" s="1241"/>
      <c r="AU1210" s="1241"/>
      <c r="AV1210" s="1241"/>
      <c r="AW1210" s="1241"/>
      <c r="AX1210" s="1241"/>
      <c r="AY1210" s="1241"/>
      <c r="AZ1210" s="1241"/>
      <c r="BA1210" s="1241"/>
      <c r="BB1210" s="1241"/>
      <c r="BC1210" s="1241"/>
      <c r="BD1210" s="1241"/>
      <c r="BE1210" s="1241"/>
      <c r="BF1210" s="1241"/>
      <c r="BG1210" s="1241"/>
      <c r="BH1210" s="1241"/>
      <c r="BI1210" s="1241"/>
      <c r="BJ1210" s="1241"/>
      <c r="BK1210" s="1241"/>
      <c r="BL1210" s="1241"/>
      <c r="BM1210" s="1241"/>
      <c r="BN1210" s="1241"/>
      <c r="BO1210" s="1241"/>
      <c r="BP1210" s="1241"/>
      <c r="BQ1210" s="1241"/>
      <c r="BR1210" s="1241"/>
      <c r="BS1210" s="1241"/>
      <c r="BT1210" s="1241"/>
      <c r="BU1210" s="1241"/>
      <c r="BV1210" s="1241"/>
      <c r="BW1210" s="1241"/>
      <c r="BX1210" s="1241"/>
      <c r="BY1210" s="1241"/>
      <c r="BZ1210" s="1241"/>
      <c r="CA1210" s="1241"/>
      <c r="CB1210" s="1241"/>
      <c r="CC1210" s="1241"/>
      <c r="CD1210" s="1241"/>
      <c r="CE1210" s="1241"/>
      <c r="CF1210" s="1241"/>
      <c r="CG1210" s="1241"/>
      <c r="CH1210" s="1241"/>
      <c r="CI1210" s="1241"/>
      <c r="CJ1210" s="1241"/>
      <c r="CK1210" s="1241"/>
      <c r="CL1210" s="1241"/>
      <c r="CM1210" s="1241"/>
      <c r="CN1210" s="1241"/>
      <c r="CO1210" s="1241"/>
      <c r="CP1210" s="1241"/>
      <c r="CQ1210" s="1241"/>
      <c r="CR1210" s="1241"/>
      <c r="CS1210" s="1241"/>
      <c r="CT1210" s="1241"/>
      <c r="CU1210" s="1241"/>
      <c r="CV1210" s="1241"/>
      <c r="CW1210" s="1241"/>
      <c r="CX1210" s="1241"/>
      <c r="CY1210" s="1241"/>
      <c r="CZ1210" s="1241"/>
      <c r="DA1210" s="1241"/>
      <c r="DB1210" s="1241"/>
      <c r="DC1210" s="1241"/>
      <c r="DD1210" s="1241"/>
      <c r="DE1210" s="1241"/>
      <c r="DF1210" s="1241"/>
      <c r="DG1210" s="1241"/>
      <c r="DH1210" s="1241"/>
      <c r="DI1210" s="1241"/>
      <c r="DJ1210" s="1241"/>
      <c r="DK1210" s="1241"/>
      <c r="DL1210" s="1241"/>
      <c r="DM1210" s="1241"/>
    </row>
    <row r="1211" spans="1:117" s="1302" customFormat="1" ht="15" hidden="1">
      <c r="A1211" s="1241"/>
      <c r="B1211" s="1638"/>
      <c r="C1211" s="1706" t="s">
        <v>4183</v>
      </c>
      <c r="D1211" s="1707" t="s">
        <v>4184</v>
      </c>
      <c r="E1211" s="1707"/>
      <c r="F1211" s="1708"/>
      <c r="G1211" s="1709"/>
      <c r="H1211" s="1710" t="e">
        <v>#REF!</v>
      </c>
      <c r="I1211" s="1710" t="e">
        <v>#REF!</v>
      </c>
      <c r="J1211" s="1710" t="e">
        <v>#REF!</v>
      </c>
      <c r="K1211" s="1710" t="e">
        <v>#REF!</v>
      </c>
      <c r="L1211" s="1710" t="e">
        <v>#REF!</v>
      </c>
      <c r="M1211" s="1710" t="e">
        <v>#REF!</v>
      </c>
      <c r="N1211" s="1710" t="e">
        <v>#REF!</v>
      </c>
      <c r="O1211" s="1711" t="e">
        <v>#REF!</v>
      </c>
      <c r="P1211" s="1241"/>
      <c r="Q1211" s="1241"/>
      <c r="R1211" s="1241"/>
      <c r="S1211" s="1241"/>
      <c r="T1211" s="1241"/>
      <c r="U1211" s="1241"/>
      <c r="V1211" s="1241"/>
      <c r="W1211" s="1241"/>
      <c r="X1211" s="1241"/>
      <c r="Y1211" s="1241"/>
      <c r="Z1211" s="1241"/>
      <c r="AA1211" s="1241"/>
      <c r="AB1211" s="1241"/>
      <c r="AC1211" s="1241"/>
      <c r="AD1211" s="1241"/>
      <c r="AE1211" s="1241"/>
      <c r="AF1211" s="1241"/>
      <c r="AG1211" s="1241"/>
      <c r="AH1211" s="1241"/>
      <c r="AI1211" s="1241"/>
      <c r="AJ1211" s="1241"/>
      <c r="AK1211" s="1241"/>
      <c r="AL1211" s="1241"/>
      <c r="AM1211" s="1241"/>
      <c r="AN1211" s="1241"/>
      <c r="AO1211" s="1241"/>
      <c r="AP1211" s="1241"/>
      <c r="AQ1211" s="1241"/>
      <c r="AR1211" s="1241"/>
      <c r="AS1211" s="1241"/>
      <c r="AT1211" s="1241"/>
      <c r="AU1211" s="1241"/>
      <c r="AV1211" s="1241"/>
      <c r="AW1211" s="1241"/>
      <c r="AX1211" s="1241"/>
      <c r="AY1211" s="1241"/>
      <c r="AZ1211" s="1241"/>
      <c r="BA1211" s="1241"/>
      <c r="BB1211" s="1241"/>
      <c r="BC1211" s="1241"/>
      <c r="BD1211" s="1241"/>
      <c r="BE1211" s="1241"/>
      <c r="BF1211" s="1241"/>
      <c r="BG1211" s="1241"/>
      <c r="BH1211" s="1241"/>
      <c r="BI1211" s="1241"/>
      <c r="BJ1211" s="1241"/>
      <c r="BK1211" s="1241"/>
      <c r="BL1211" s="1241"/>
      <c r="BM1211" s="1241"/>
      <c r="BN1211" s="1241"/>
      <c r="BO1211" s="1241"/>
      <c r="BP1211" s="1241"/>
      <c r="BQ1211" s="1241"/>
      <c r="BR1211" s="1241"/>
      <c r="BS1211" s="1241"/>
      <c r="BT1211" s="1241"/>
      <c r="BU1211" s="1241"/>
      <c r="BV1211" s="1241"/>
      <c r="BW1211" s="1241"/>
      <c r="BX1211" s="1241"/>
      <c r="BY1211" s="1241"/>
      <c r="BZ1211" s="1241"/>
      <c r="CA1211" s="1241"/>
      <c r="CB1211" s="1241"/>
      <c r="CC1211" s="1241"/>
      <c r="CD1211" s="1241"/>
      <c r="CE1211" s="1241"/>
      <c r="CF1211" s="1241"/>
      <c r="CG1211" s="1241"/>
      <c r="CH1211" s="1241"/>
      <c r="CI1211" s="1241"/>
      <c r="CJ1211" s="1241"/>
      <c r="CK1211" s="1241"/>
      <c r="CL1211" s="1241"/>
      <c r="CM1211" s="1241"/>
      <c r="CN1211" s="1241"/>
      <c r="CO1211" s="1241"/>
      <c r="CP1211" s="1241"/>
      <c r="CQ1211" s="1241"/>
      <c r="CR1211" s="1241"/>
      <c r="CS1211" s="1241"/>
      <c r="CT1211" s="1241"/>
      <c r="CU1211" s="1241"/>
      <c r="CV1211" s="1241"/>
      <c r="CW1211" s="1241"/>
      <c r="CX1211" s="1241"/>
      <c r="CY1211" s="1241"/>
      <c r="CZ1211" s="1241"/>
      <c r="DA1211" s="1241"/>
      <c r="DB1211" s="1241"/>
      <c r="DC1211" s="1241"/>
      <c r="DD1211" s="1241"/>
      <c r="DE1211" s="1241"/>
      <c r="DF1211" s="1241"/>
      <c r="DG1211" s="1241"/>
      <c r="DH1211" s="1241"/>
      <c r="DI1211" s="1241"/>
      <c r="DJ1211" s="1241"/>
      <c r="DK1211" s="1241"/>
      <c r="DL1211" s="1241"/>
      <c r="DM1211" s="1241"/>
    </row>
    <row r="1212" spans="1:117" s="1302" customFormat="1" ht="15" hidden="1">
      <c r="A1212" s="1241"/>
      <c r="B1212" s="1638"/>
      <c r="C1212" s="1706" t="s">
        <v>4390</v>
      </c>
      <c r="D1212" s="1707" t="s">
        <v>4185</v>
      </c>
      <c r="E1212" s="1707"/>
      <c r="F1212" s="1708"/>
      <c r="G1212" s="1709"/>
      <c r="H1212" s="1710">
        <v>0</v>
      </c>
      <c r="I1212" s="1710">
        <v>0</v>
      </c>
      <c r="J1212" s="1710">
        <v>0</v>
      </c>
      <c r="K1212" s="1710">
        <v>0</v>
      </c>
      <c r="L1212" s="1710">
        <v>0</v>
      </c>
      <c r="M1212" s="1710">
        <v>0</v>
      </c>
      <c r="N1212" s="1710">
        <v>0</v>
      </c>
      <c r="O1212" s="1711">
        <v>0</v>
      </c>
      <c r="P1212" s="1241"/>
      <c r="Q1212" s="1241"/>
      <c r="R1212" s="1241"/>
      <c r="S1212" s="1241"/>
      <c r="T1212" s="1241"/>
      <c r="U1212" s="1241"/>
      <c r="V1212" s="1241"/>
      <c r="W1212" s="1241"/>
      <c r="X1212" s="1241"/>
      <c r="Y1212" s="1241"/>
      <c r="Z1212" s="1241"/>
      <c r="AA1212" s="1241"/>
      <c r="AB1212" s="1241"/>
      <c r="AC1212" s="1241"/>
      <c r="AD1212" s="1241"/>
      <c r="AE1212" s="1241"/>
      <c r="AF1212" s="1241"/>
      <c r="AG1212" s="1241"/>
      <c r="AH1212" s="1241"/>
      <c r="AI1212" s="1241"/>
      <c r="AJ1212" s="1241"/>
      <c r="AK1212" s="1241"/>
      <c r="AL1212" s="1241"/>
      <c r="AM1212" s="1241"/>
      <c r="AN1212" s="1241"/>
      <c r="AO1212" s="1241"/>
      <c r="AP1212" s="1241"/>
      <c r="AQ1212" s="1241"/>
      <c r="AR1212" s="1241"/>
      <c r="AS1212" s="1241"/>
      <c r="AT1212" s="1241"/>
      <c r="AU1212" s="1241"/>
      <c r="AV1212" s="1241"/>
      <c r="AW1212" s="1241"/>
      <c r="AX1212" s="1241"/>
      <c r="AY1212" s="1241"/>
      <c r="AZ1212" s="1241"/>
      <c r="BA1212" s="1241"/>
      <c r="BB1212" s="1241"/>
      <c r="BC1212" s="1241"/>
      <c r="BD1212" s="1241"/>
      <c r="BE1212" s="1241"/>
      <c r="BF1212" s="1241"/>
      <c r="BG1212" s="1241"/>
      <c r="BH1212" s="1241"/>
      <c r="BI1212" s="1241"/>
      <c r="BJ1212" s="1241"/>
      <c r="BK1212" s="1241"/>
      <c r="BL1212" s="1241"/>
      <c r="BM1212" s="1241"/>
      <c r="BN1212" s="1241"/>
      <c r="BO1212" s="1241"/>
      <c r="BP1212" s="1241"/>
      <c r="BQ1212" s="1241"/>
      <c r="BR1212" s="1241"/>
      <c r="BS1212" s="1241"/>
      <c r="BT1212" s="1241"/>
      <c r="BU1212" s="1241"/>
      <c r="BV1212" s="1241"/>
      <c r="BW1212" s="1241"/>
      <c r="BX1212" s="1241"/>
      <c r="BY1212" s="1241"/>
      <c r="BZ1212" s="1241"/>
      <c r="CA1212" s="1241"/>
      <c r="CB1212" s="1241"/>
      <c r="CC1212" s="1241"/>
      <c r="CD1212" s="1241"/>
      <c r="CE1212" s="1241"/>
      <c r="CF1212" s="1241"/>
      <c r="CG1212" s="1241"/>
      <c r="CH1212" s="1241"/>
      <c r="CI1212" s="1241"/>
      <c r="CJ1212" s="1241"/>
      <c r="CK1212" s="1241"/>
      <c r="CL1212" s="1241"/>
      <c r="CM1212" s="1241"/>
      <c r="CN1212" s="1241"/>
      <c r="CO1212" s="1241"/>
      <c r="CP1212" s="1241"/>
      <c r="CQ1212" s="1241"/>
      <c r="CR1212" s="1241"/>
      <c r="CS1212" s="1241"/>
      <c r="CT1212" s="1241"/>
      <c r="CU1212" s="1241"/>
      <c r="CV1212" s="1241"/>
      <c r="CW1212" s="1241"/>
      <c r="CX1212" s="1241"/>
      <c r="CY1212" s="1241"/>
      <c r="CZ1212" s="1241"/>
      <c r="DA1212" s="1241"/>
      <c r="DB1212" s="1241"/>
      <c r="DC1212" s="1241"/>
      <c r="DD1212" s="1241"/>
      <c r="DE1212" s="1241"/>
      <c r="DF1212" s="1241"/>
      <c r="DG1212" s="1241"/>
      <c r="DH1212" s="1241"/>
      <c r="DI1212" s="1241"/>
      <c r="DJ1212" s="1241"/>
      <c r="DK1212" s="1241"/>
      <c r="DL1212" s="1241"/>
      <c r="DM1212" s="1241"/>
    </row>
    <row r="1213" spans="1:117" s="1302" customFormat="1" ht="15" hidden="1">
      <c r="A1213" s="1241"/>
      <c r="B1213" s="1638"/>
      <c r="C1213" s="1706" t="s">
        <v>4186</v>
      </c>
      <c r="D1213" s="1707" t="s">
        <v>4187</v>
      </c>
      <c r="E1213" s="1707"/>
      <c r="F1213" s="1708"/>
      <c r="G1213" s="1709"/>
      <c r="H1213" s="1710">
        <v>0</v>
      </c>
      <c r="I1213" s="1710">
        <v>0</v>
      </c>
      <c r="J1213" s="1710">
        <v>0</v>
      </c>
      <c r="K1213" s="1710">
        <v>0</v>
      </c>
      <c r="L1213" s="1710">
        <v>0</v>
      </c>
      <c r="M1213" s="1710">
        <v>0</v>
      </c>
      <c r="N1213" s="1710">
        <v>0</v>
      </c>
      <c r="O1213" s="1711">
        <v>0</v>
      </c>
      <c r="P1213" s="1241"/>
      <c r="Q1213" s="1241"/>
      <c r="R1213" s="1241"/>
      <c r="S1213" s="1241"/>
      <c r="T1213" s="1241"/>
      <c r="U1213" s="1241"/>
      <c r="V1213" s="1241"/>
      <c r="W1213" s="1241"/>
      <c r="X1213" s="1241"/>
      <c r="Y1213" s="1241"/>
      <c r="Z1213" s="1241"/>
      <c r="AA1213" s="1241"/>
      <c r="AB1213" s="1241"/>
      <c r="AC1213" s="1241"/>
      <c r="AD1213" s="1241"/>
      <c r="AE1213" s="1241"/>
      <c r="AF1213" s="1241"/>
      <c r="AG1213" s="1241"/>
      <c r="AH1213" s="1241"/>
      <c r="AI1213" s="1241"/>
      <c r="AJ1213" s="1241"/>
      <c r="AK1213" s="1241"/>
      <c r="AL1213" s="1241"/>
      <c r="AM1213" s="1241"/>
      <c r="AN1213" s="1241"/>
      <c r="AO1213" s="1241"/>
      <c r="AP1213" s="1241"/>
      <c r="AQ1213" s="1241"/>
      <c r="AR1213" s="1241"/>
      <c r="AS1213" s="1241"/>
      <c r="AT1213" s="1241"/>
      <c r="AU1213" s="1241"/>
      <c r="AV1213" s="1241"/>
      <c r="AW1213" s="1241"/>
      <c r="AX1213" s="1241"/>
      <c r="AY1213" s="1241"/>
      <c r="AZ1213" s="1241"/>
      <c r="BA1213" s="1241"/>
      <c r="BB1213" s="1241"/>
      <c r="BC1213" s="1241"/>
      <c r="BD1213" s="1241"/>
      <c r="BE1213" s="1241"/>
      <c r="BF1213" s="1241"/>
      <c r="BG1213" s="1241"/>
      <c r="BH1213" s="1241"/>
      <c r="BI1213" s="1241"/>
      <c r="BJ1213" s="1241"/>
      <c r="BK1213" s="1241"/>
      <c r="BL1213" s="1241"/>
      <c r="BM1213" s="1241"/>
      <c r="BN1213" s="1241"/>
      <c r="BO1213" s="1241"/>
      <c r="BP1213" s="1241"/>
      <c r="BQ1213" s="1241"/>
      <c r="BR1213" s="1241"/>
      <c r="BS1213" s="1241"/>
      <c r="BT1213" s="1241"/>
      <c r="BU1213" s="1241"/>
      <c r="BV1213" s="1241"/>
      <c r="BW1213" s="1241"/>
      <c r="BX1213" s="1241"/>
      <c r="BY1213" s="1241"/>
      <c r="BZ1213" s="1241"/>
      <c r="CA1213" s="1241"/>
      <c r="CB1213" s="1241"/>
      <c r="CC1213" s="1241"/>
      <c r="CD1213" s="1241"/>
      <c r="CE1213" s="1241"/>
      <c r="CF1213" s="1241"/>
      <c r="CG1213" s="1241"/>
      <c r="CH1213" s="1241"/>
      <c r="CI1213" s="1241"/>
      <c r="CJ1213" s="1241"/>
      <c r="CK1213" s="1241"/>
      <c r="CL1213" s="1241"/>
      <c r="CM1213" s="1241"/>
      <c r="CN1213" s="1241"/>
      <c r="CO1213" s="1241"/>
      <c r="CP1213" s="1241"/>
      <c r="CQ1213" s="1241"/>
      <c r="CR1213" s="1241"/>
      <c r="CS1213" s="1241"/>
      <c r="CT1213" s="1241"/>
      <c r="CU1213" s="1241"/>
      <c r="CV1213" s="1241"/>
      <c r="CW1213" s="1241"/>
      <c r="CX1213" s="1241"/>
      <c r="CY1213" s="1241"/>
      <c r="CZ1213" s="1241"/>
      <c r="DA1213" s="1241"/>
      <c r="DB1213" s="1241"/>
      <c r="DC1213" s="1241"/>
      <c r="DD1213" s="1241"/>
      <c r="DE1213" s="1241"/>
      <c r="DF1213" s="1241"/>
      <c r="DG1213" s="1241"/>
      <c r="DH1213" s="1241"/>
      <c r="DI1213" s="1241"/>
      <c r="DJ1213" s="1241"/>
      <c r="DK1213" s="1241"/>
      <c r="DL1213" s="1241"/>
      <c r="DM1213" s="1241"/>
    </row>
    <row r="1214" spans="1:117" s="1302" customFormat="1" ht="23.25" hidden="1" customHeight="1">
      <c r="A1214" s="1241"/>
      <c r="B1214" s="1638"/>
      <c r="C1214" s="1706" t="s">
        <v>4188</v>
      </c>
      <c r="D1214" s="1707" t="s">
        <v>4189</v>
      </c>
      <c r="E1214" s="1707"/>
      <c r="F1214" s="1708"/>
      <c r="G1214" s="1709"/>
      <c r="H1214" s="1710">
        <v>0</v>
      </c>
      <c r="I1214" s="1710">
        <v>0</v>
      </c>
      <c r="J1214" s="1710">
        <v>0</v>
      </c>
      <c r="K1214" s="1710">
        <v>0</v>
      </c>
      <c r="L1214" s="1710">
        <v>0</v>
      </c>
      <c r="M1214" s="1710">
        <v>0</v>
      </c>
      <c r="N1214" s="1710">
        <v>0</v>
      </c>
      <c r="O1214" s="1711">
        <v>0</v>
      </c>
      <c r="P1214" s="1241"/>
      <c r="Q1214" s="1241"/>
      <c r="R1214" s="1241"/>
      <c r="S1214" s="1241"/>
      <c r="T1214" s="1241"/>
      <c r="U1214" s="1241"/>
      <c r="V1214" s="1241"/>
      <c r="W1214" s="1241"/>
      <c r="X1214" s="1241"/>
      <c r="Y1214" s="1241"/>
      <c r="Z1214" s="1241"/>
      <c r="AA1214" s="1241"/>
      <c r="AB1214" s="1241"/>
      <c r="AC1214" s="1241"/>
      <c r="AD1214" s="1241"/>
      <c r="AE1214" s="1241"/>
      <c r="AF1214" s="1241"/>
      <c r="AG1214" s="1241"/>
      <c r="AH1214" s="1241"/>
      <c r="AI1214" s="1241"/>
      <c r="AJ1214" s="1241"/>
      <c r="AK1214" s="1241"/>
      <c r="AL1214" s="1241"/>
      <c r="AM1214" s="1241"/>
      <c r="AN1214" s="1241"/>
      <c r="AO1214" s="1241"/>
      <c r="AP1214" s="1241"/>
      <c r="AQ1214" s="1241"/>
      <c r="AR1214" s="1241"/>
      <c r="AS1214" s="1241"/>
      <c r="AT1214" s="1241"/>
      <c r="AU1214" s="1241"/>
      <c r="AV1214" s="1241"/>
      <c r="AW1214" s="1241"/>
      <c r="AX1214" s="1241"/>
      <c r="AY1214" s="1241"/>
      <c r="AZ1214" s="1241"/>
      <c r="BA1214" s="1241"/>
      <c r="BB1214" s="1241"/>
      <c r="BC1214" s="1241"/>
      <c r="BD1214" s="1241"/>
      <c r="BE1214" s="1241"/>
      <c r="BF1214" s="1241"/>
      <c r="BG1214" s="1241"/>
      <c r="BH1214" s="1241"/>
      <c r="BI1214" s="1241"/>
      <c r="BJ1214" s="1241"/>
      <c r="BK1214" s="1241"/>
      <c r="BL1214" s="1241"/>
      <c r="BM1214" s="1241"/>
      <c r="BN1214" s="1241"/>
      <c r="BO1214" s="1241"/>
      <c r="BP1214" s="1241"/>
      <c r="BQ1214" s="1241"/>
      <c r="BR1214" s="1241"/>
      <c r="BS1214" s="1241"/>
      <c r="BT1214" s="1241"/>
      <c r="BU1214" s="1241"/>
      <c r="BV1214" s="1241"/>
      <c r="BW1214" s="1241"/>
      <c r="BX1214" s="1241"/>
      <c r="BY1214" s="1241"/>
      <c r="BZ1214" s="1241"/>
      <c r="CA1214" s="1241"/>
      <c r="CB1214" s="1241"/>
      <c r="CC1214" s="1241"/>
      <c r="CD1214" s="1241"/>
      <c r="CE1214" s="1241"/>
      <c r="CF1214" s="1241"/>
      <c r="CG1214" s="1241"/>
      <c r="CH1214" s="1241"/>
      <c r="CI1214" s="1241"/>
      <c r="CJ1214" s="1241"/>
      <c r="CK1214" s="1241"/>
      <c r="CL1214" s="1241"/>
      <c r="CM1214" s="1241"/>
      <c r="CN1214" s="1241"/>
      <c r="CO1214" s="1241"/>
      <c r="CP1214" s="1241"/>
      <c r="CQ1214" s="1241"/>
      <c r="CR1214" s="1241"/>
      <c r="CS1214" s="1241"/>
      <c r="CT1214" s="1241"/>
      <c r="CU1214" s="1241"/>
      <c r="CV1214" s="1241"/>
      <c r="CW1214" s="1241"/>
      <c r="CX1214" s="1241"/>
      <c r="CY1214" s="1241"/>
      <c r="CZ1214" s="1241"/>
      <c r="DA1214" s="1241"/>
      <c r="DB1214" s="1241"/>
      <c r="DC1214" s="1241"/>
      <c r="DD1214" s="1241"/>
      <c r="DE1214" s="1241"/>
      <c r="DF1214" s="1241"/>
      <c r="DG1214" s="1241"/>
      <c r="DH1214" s="1241"/>
      <c r="DI1214" s="1241"/>
      <c r="DJ1214" s="1241"/>
      <c r="DK1214" s="1241"/>
      <c r="DL1214" s="1241"/>
      <c r="DM1214" s="1241"/>
    </row>
    <row r="1215" spans="1:117" s="1302" customFormat="1" hidden="1">
      <c r="A1215" s="1241"/>
      <c r="B1215" s="1241"/>
      <c r="C1215" s="1726"/>
      <c r="D1215" s="1727"/>
      <c r="E1215" s="1727"/>
      <c r="F1215" s="1728"/>
      <c r="G1215" s="1729"/>
      <c r="H1215" s="1729"/>
      <c r="I1215" s="1729"/>
      <c r="J1215" s="1729"/>
      <c r="K1215" s="1729"/>
      <c r="L1215" s="1729"/>
      <c r="M1215" s="1729"/>
      <c r="N1215" s="1729"/>
      <c r="O1215" s="1730"/>
      <c r="P1215" s="1241"/>
      <c r="Q1215" s="1241"/>
      <c r="R1215" s="1241"/>
      <c r="S1215" s="1241"/>
      <c r="T1215" s="1241"/>
      <c r="U1215" s="1241"/>
      <c r="V1215" s="1241"/>
      <c r="W1215" s="1241"/>
      <c r="X1215" s="1241"/>
      <c r="Y1215" s="1241"/>
      <c r="Z1215" s="1241"/>
      <c r="AA1215" s="1241"/>
      <c r="AB1215" s="1241"/>
      <c r="AC1215" s="1241"/>
      <c r="AD1215" s="1241"/>
      <c r="AE1215" s="1241"/>
      <c r="AF1215" s="1241"/>
      <c r="AG1215" s="1241"/>
      <c r="AH1215" s="1241"/>
      <c r="AI1215" s="1241"/>
      <c r="AJ1215" s="1241"/>
      <c r="AK1215" s="1241"/>
      <c r="AL1215" s="1241"/>
      <c r="AM1215" s="1241"/>
      <c r="AN1215" s="1241"/>
      <c r="AO1215" s="1241"/>
      <c r="AP1215" s="1241"/>
      <c r="AQ1215" s="1241"/>
      <c r="AR1215" s="1241"/>
      <c r="AS1215" s="1241"/>
      <c r="AT1215" s="1241"/>
      <c r="AU1215" s="1241"/>
      <c r="AV1215" s="1241"/>
      <c r="AW1215" s="1241"/>
      <c r="AX1215" s="1241"/>
      <c r="AY1215" s="1241"/>
      <c r="AZ1215" s="1241"/>
      <c r="BA1215" s="1241"/>
      <c r="BB1215" s="1241"/>
      <c r="BC1215" s="1241"/>
      <c r="BD1215" s="1241"/>
      <c r="BE1215" s="1241"/>
      <c r="BF1215" s="1241"/>
      <c r="BG1215" s="1241"/>
      <c r="BH1215" s="1241"/>
      <c r="BI1215" s="1241"/>
      <c r="BJ1215" s="1241"/>
      <c r="BK1215" s="1241"/>
      <c r="BL1215" s="1241"/>
      <c r="BM1215" s="1241"/>
      <c r="BN1215" s="1241"/>
      <c r="BO1215" s="1241"/>
      <c r="BP1215" s="1241"/>
      <c r="BQ1215" s="1241"/>
      <c r="BR1215" s="1241"/>
      <c r="BS1215" s="1241"/>
      <c r="BT1215" s="1241"/>
      <c r="BU1215" s="1241"/>
      <c r="BV1215" s="1241"/>
      <c r="BW1215" s="1241"/>
      <c r="BX1215" s="1241"/>
      <c r="BY1215" s="1241"/>
      <c r="BZ1215" s="1241"/>
      <c r="CA1215" s="1241"/>
      <c r="CB1215" s="1241"/>
      <c r="CC1215" s="1241"/>
      <c r="CD1215" s="1241"/>
      <c r="CE1215" s="1241"/>
      <c r="CF1215" s="1241"/>
      <c r="CG1215" s="1241"/>
      <c r="CH1215" s="1241"/>
      <c r="CI1215" s="1241"/>
      <c r="CJ1215" s="1241"/>
      <c r="CK1215" s="1241"/>
      <c r="CL1215" s="1241"/>
      <c r="CM1215" s="1241"/>
      <c r="CN1215" s="1241"/>
      <c r="CO1215" s="1241"/>
      <c r="CP1215" s="1241"/>
      <c r="CQ1215" s="1241"/>
      <c r="CR1215" s="1241"/>
      <c r="CS1215" s="1241"/>
      <c r="CT1215" s="1241"/>
      <c r="CU1215" s="1241"/>
      <c r="CV1215" s="1241"/>
      <c r="CW1215" s="1241"/>
      <c r="CX1215" s="1241"/>
      <c r="CY1215" s="1241"/>
      <c r="CZ1215" s="1241"/>
      <c r="DA1215" s="1241"/>
      <c r="DB1215" s="1241"/>
      <c r="DC1215" s="1241"/>
      <c r="DD1215" s="1241"/>
      <c r="DE1215" s="1241"/>
      <c r="DF1215" s="1241"/>
      <c r="DG1215" s="1241"/>
      <c r="DH1215" s="1241"/>
      <c r="DI1215" s="1241"/>
      <c r="DJ1215" s="1241"/>
      <c r="DK1215" s="1241"/>
      <c r="DL1215" s="1241"/>
      <c r="DM1215" s="1241"/>
    </row>
    <row r="1216" spans="1:117" s="1302" customFormat="1" hidden="1">
      <c r="A1216" s="1241"/>
      <c r="B1216" s="1241"/>
      <c r="C1216" s="1241"/>
      <c r="D1216" s="1241"/>
      <c r="E1216" s="1241"/>
      <c r="F1216" s="1241"/>
      <c r="G1216" s="1645"/>
      <c r="H1216" s="1645"/>
      <c r="I1216" s="1645"/>
      <c r="J1216" s="1645"/>
      <c r="K1216" s="1645"/>
      <c r="L1216" s="1645"/>
      <c r="M1216" s="1645"/>
      <c r="N1216" s="1645"/>
      <c r="O1216" s="1646"/>
      <c r="P1216" s="1241"/>
      <c r="Q1216" s="1241"/>
      <c r="R1216" s="1241"/>
      <c r="S1216" s="1241"/>
      <c r="T1216" s="1241"/>
      <c r="U1216" s="1241"/>
      <c r="V1216" s="1241"/>
      <c r="W1216" s="1241"/>
      <c r="X1216" s="1241"/>
      <c r="Y1216" s="1241"/>
      <c r="Z1216" s="1241"/>
      <c r="AA1216" s="1241"/>
      <c r="AB1216" s="1241"/>
      <c r="AC1216" s="1241"/>
      <c r="AD1216" s="1241"/>
      <c r="AE1216" s="1241"/>
      <c r="AF1216" s="1241"/>
      <c r="AG1216" s="1241"/>
      <c r="AH1216" s="1241"/>
      <c r="AI1216" s="1241"/>
      <c r="AJ1216" s="1241"/>
      <c r="AK1216" s="1241"/>
      <c r="AL1216" s="1241"/>
      <c r="AM1216" s="1241"/>
      <c r="AN1216" s="1241"/>
      <c r="AO1216" s="1241"/>
      <c r="AP1216" s="1241"/>
      <c r="AQ1216" s="1241"/>
      <c r="AR1216" s="1241"/>
      <c r="AS1216" s="1241"/>
      <c r="AT1216" s="1241"/>
      <c r="AU1216" s="1241"/>
      <c r="AV1216" s="1241"/>
      <c r="AW1216" s="1241"/>
      <c r="AX1216" s="1241"/>
      <c r="AY1216" s="1241"/>
      <c r="AZ1216" s="1241"/>
      <c r="BA1216" s="1241"/>
      <c r="BB1216" s="1241"/>
      <c r="BC1216" s="1241"/>
      <c r="BD1216" s="1241"/>
      <c r="BE1216" s="1241"/>
      <c r="BF1216" s="1241"/>
      <c r="BG1216" s="1241"/>
      <c r="BH1216" s="1241"/>
      <c r="BI1216" s="1241"/>
      <c r="BJ1216" s="1241"/>
      <c r="BK1216" s="1241"/>
      <c r="BL1216" s="1241"/>
      <c r="BM1216" s="1241"/>
      <c r="BN1216" s="1241"/>
      <c r="BO1216" s="1241"/>
      <c r="BP1216" s="1241"/>
      <c r="BQ1216" s="1241"/>
      <c r="BR1216" s="1241"/>
      <c r="BS1216" s="1241"/>
      <c r="BT1216" s="1241"/>
      <c r="BU1216" s="1241"/>
      <c r="BV1216" s="1241"/>
      <c r="BW1216" s="1241"/>
      <c r="BX1216" s="1241"/>
      <c r="BY1216" s="1241"/>
      <c r="BZ1216" s="1241"/>
      <c r="CA1216" s="1241"/>
      <c r="CB1216" s="1241"/>
      <c r="CC1216" s="1241"/>
      <c r="CD1216" s="1241"/>
      <c r="CE1216" s="1241"/>
      <c r="CF1216" s="1241"/>
      <c r="CG1216" s="1241"/>
      <c r="CH1216" s="1241"/>
      <c r="CI1216" s="1241"/>
      <c r="CJ1216" s="1241"/>
      <c r="CK1216" s="1241"/>
      <c r="CL1216" s="1241"/>
      <c r="CM1216" s="1241"/>
      <c r="CN1216" s="1241"/>
      <c r="CO1216" s="1241"/>
      <c r="CP1216" s="1241"/>
      <c r="CQ1216" s="1241"/>
      <c r="CR1216" s="1241"/>
      <c r="CS1216" s="1241"/>
      <c r="CT1216" s="1241"/>
      <c r="CU1216" s="1241"/>
      <c r="CV1216" s="1241"/>
      <c r="CW1216" s="1241"/>
      <c r="CX1216" s="1241"/>
      <c r="CY1216" s="1241"/>
      <c r="CZ1216" s="1241"/>
      <c r="DA1216" s="1241"/>
      <c r="DB1216" s="1241"/>
      <c r="DC1216" s="1241"/>
      <c r="DD1216" s="1241"/>
      <c r="DE1216" s="1241"/>
      <c r="DF1216" s="1241"/>
      <c r="DG1216" s="1241"/>
      <c r="DH1216" s="1241"/>
      <c r="DI1216" s="1241"/>
      <c r="DJ1216" s="1241"/>
      <c r="DK1216" s="1241"/>
      <c r="DL1216" s="1241"/>
      <c r="DM1216" s="1241"/>
    </row>
    <row r="1217" spans="1:117" s="1302" customFormat="1">
      <c r="A1217" s="1241"/>
      <c r="B1217" s="1241"/>
      <c r="C1217" s="1241"/>
      <c r="D1217" s="1241"/>
      <c r="E1217" s="1241"/>
      <c r="F1217" s="1241"/>
      <c r="G1217" s="1645"/>
      <c r="H1217" s="1645"/>
      <c r="I1217" s="1645"/>
      <c r="J1217" s="1645"/>
      <c r="K1217" s="1645"/>
      <c r="L1217" s="1645"/>
      <c r="M1217" s="1645"/>
      <c r="N1217" s="1645"/>
      <c r="O1217" s="1646"/>
      <c r="P1217" s="1241"/>
      <c r="Q1217" s="1241"/>
      <c r="R1217" s="1241"/>
      <c r="S1217" s="1241"/>
      <c r="T1217" s="1241"/>
      <c r="U1217" s="1241"/>
      <c r="V1217" s="1241"/>
      <c r="W1217" s="1241"/>
      <c r="X1217" s="1241"/>
      <c r="Y1217" s="1241"/>
      <c r="Z1217" s="1241"/>
      <c r="AA1217" s="1241"/>
      <c r="AB1217" s="1241"/>
      <c r="AC1217" s="1241"/>
      <c r="AD1217" s="1241"/>
      <c r="AE1217" s="1241"/>
      <c r="AF1217" s="1241"/>
      <c r="AG1217" s="1241"/>
      <c r="AH1217" s="1241"/>
      <c r="AI1217" s="1241"/>
      <c r="AJ1217" s="1241"/>
      <c r="AK1217" s="1241"/>
      <c r="AL1217" s="1241"/>
      <c r="AM1217" s="1241"/>
      <c r="AN1217" s="1241"/>
      <c r="AO1217" s="1241"/>
      <c r="AP1217" s="1241"/>
      <c r="AQ1217" s="1241"/>
      <c r="AR1217" s="1241"/>
      <c r="AS1217" s="1241"/>
      <c r="AT1217" s="1241"/>
      <c r="AU1217" s="1241"/>
      <c r="AV1217" s="1241"/>
      <c r="AW1217" s="1241"/>
      <c r="AX1217" s="1241"/>
      <c r="AY1217" s="1241"/>
      <c r="AZ1217" s="1241"/>
      <c r="BA1217" s="1241"/>
      <c r="BB1217" s="1241"/>
      <c r="BC1217" s="1241"/>
      <c r="BD1217" s="1241"/>
      <c r="BE1217" s="1241"/>
      <c r="BF1217" s="1241"/>
      <c r="BG1217" s="1241"/>
      <c r="BH1217" s="1241"/>
      <c r="BI1217" s="1241"/>
      <c r="BJ1217" s="1241"/>
      <c r="BK1217" s="1241"/>
      <c r="BL1217" s="1241"/>
      <c r="BM1217" s="1241"/>
      <c r="BN1217" s="1241"/>
      <c r="BO1217" s="1241"/>
      <c r="BP1217" s="1241"/>
      <c r="BQ1217" s="1241"/>
      <c r="BR1217" s="1241"/>
      <c r="BS1217" s="1241"/>
      <c r="BT1217" s="1241"/>
      <c r="BU1217" s="1241"/>
      <c r="BV1217" s="1241"/>
      <c r="BW1217" s="1241"/>
      <c r="BX1217" s="1241"/>
      <c r="BY1217" s="1241"/>
      <c r="BZ1217" s="1241"/>
      <c r="CA1217" s="1241"/>
      <c r="CB1217" s="1241"/>
      <c r="CC1217" s="1241"/>
      <c r="CD1217" s="1241"/>
      <c r="CE1217" s="1241"/>
      <c r="CF1217" s="1241"/>
      <c r="CG1217" s="1241"/>
      <c r="CH1217" s="1241"/>
      <c r="CI1217" s="1241"/>
      <c r="CJ1217" s="1241"/>
      <c r="CK1217" s="1241"/>
      <c r="CL1217" s="1241"/>
      <c r="CM1217" s="1241"/>
      <c r="CN1217" s="1241"/>
      <c r="CO1217" s="1241"/>
      <c r="CP1217" s="1241"/>
      <c r="CQ1217" s="1241"/>
      <c r="CR1217" s="1241"/>
      <c r="CS1217" s="1241"/>
      <c r="CT1217" s="1241"/>
      <c r="CU1217" s="1241"/>
      <c r="CV1217" s="1241"/>
      <c r="CW1217" s="1241"/>
      <c r="CX1217" s="1241"/>
      <c r="CY1217" s="1241"/>
      <c r="CZ1217" s="1241"/>
      <c r="DA1217" s="1241"/>
      <c r="DB1217" s="1241"/>
      <c r="DC1217" s="1241"/>
      <c r="DD1217" s="1241"/>
      <c r="DE1217" s="1241"/>
      <c r="DF1217" s="1241"/>
      <c r="DG1217" s="1241"/>
      <c r="DH1217" s="1241"/>
      <c r="DI1217" s="1241"/>
      <c r="DJ1217" s="1241"/>
      <c r="DK1217" s="1241"/>
      <c r="DL1217" s="1241"/>
      <c r="DM1217" s="1241"/>
    </row>
    <row r="1218" spans="1:117" s="1302" customFormat="1">
      <c r="A1218" s="1241"/>
      <c r="B1218" s="1241"/>
      <c r="C1218" s="1241"/>
      <c r="D1218" s="1241"/>
      <c r="E1218" s="1241"/>
      <c r="F1218" s="1241"/>
      <c r="G1218" s="1645"/>
      <c r="H1218" s="1645"/>
      <c r="I1218" s="1645"/>
      <c r="J1218" s="1645"/>
      <c r="K1218" s="1645"/>
      <c r="L1218" s="1645"/>
      <c r="M1218" s="1645"/>
      <c r="N1218" s="1645"/>
      <c r="O1218" s="1646"/>
      <c r="P1218" s="1241"/>
      <c r="Q1218" s="1241"/>
      <c r="R1218" s="1241"/>
      <c r="S1218" s="1241"/>
      <c r="T1218" s="1241"/>
      <c r="U1218" s="1241"/>
      <c r="V1218" s="1241"/>
      <c r="W1218" s="1241"/>
      <c r="X1218" s="1241"/>
      <c r="Y1218" s="1241"/>
      <c r="Z1218" s="1241"/>
      <c r="AA1218" s="1241"/>
      <c r="AB1218" s="1241"/>
      <c r="AC1218" s="1241"/>
      <c r="AD1218" s="1241"/>
      <c r="AE1218" s="1241"/>
      <c r="AF1218" s="1241"/>
      <c r="AG1218" s="1241"/>
      <c r="AH1218" s="1241"/>
      <c r="AI1218" s="1241"/>
      <c r="AJ1218" s="1241"/>
      <c r="AK1218" s="1241"/>
      <c r="AL1218" s="1241"/>
      <c r="AM1218" s="1241"/>
      <c r="AN1218" s="1241"/>
      <c r="AO1218" s="1241"/>
      <c r="AP1218" s="1241"/>
      <c r="AQ1218" s="1241"/>
      <c r="AR1218" s="1241"/>
      <c r="AS1218" s="1241"/>
      <c r="AT1218" s="1241"/>
      <c r="AU1218" s="1241"/>
      <c r="AV1218" s="1241"/>
      <c r="AW1218" s="1241"/>
      <c r="AX1218" s="1241"/>
      <c r="AY1218" s="1241"/>
      <c r="AZ1218" s="1241"/>
      <c r="BA1218" s="1241"/>
      <c r="BB1218" s="1241"/>
      <c r="BC1218" s="1241"/>
      <c r="BD1218" s="1241"/>
      <c r="BE1218" s="1241"/>
      <c r="BF1218" s="1241"/>
      <c r="BG1218" s="1241"/>
      <c r="BH1218" s="1241"/>
      <c r="BI1218" s="1241"/>
      <c r="BJ1218" s="1241"/>
      <c r="BK1218" s="1241"/>
      <c r="BL1218" s="1241"/>
      <c r="BM1218" s="1241"/>
      <c r="BN1218" s="1241"/>
      <c r="BO1218" s="1241"/>
      <c r="BP1218" s="1241"/>
      <c r="BQ1218" s="1241"/>
      <c r="BR1218" s="1241"/>
      <c r="BS1218" s="1241"/>
      <c r="BT1218" s="1241"/>
      <c r="BU1218" s="1241"/>
      <c r="BV1218" s="1241"/>
      <c r="BW1218" s="1241"/>
      <c r="BX1218" s="1241"/>
      <c r="BY1218" s="1241"/>
      <c r="BZ1218" s="1241"/>
      <c r="CA1218" s="1241"/>
      <c r="CB1218" s="1241"/>
      <c r="CC1218" s="1241"/>
      <c r="CD1218" s="1241"/>
      <c r="CE1218" s="1241"/>
      <c r="CF1218" s="1241"/>
      <c r="CG1218" s="1241"/>
      <c r="CH1218" s="1241"/>
      <c r="CI1218" s="1241"/>
      <c r="CJ1218" s="1241"/>
      <c r="CK1218" s="1241"/>
      <c r="CL1218" s="1241"/>
      <c r="CM1218" s="1241"/>
      <c r="CN1218" s="1241"/>
      <c r="CO1218" s="1241"/>
      <c r="CP1218" s="1241"/>
      <c r="CQ1218" s="1241"/>
      <c r="CR1218" s="1241"/>
      <c r="CS1218" s="1241"/>
      <c r="CT1218" s="1241"/>
      <c r="CU1218" s="1241"/>
      <c r="CV1218" s="1241"/>
      <c r="CW1218" s="1241"/>
      <c r="CX1218" s="1241"/>
      <c r="CY1218" s="1241"/>
      <c r="CZ1218" s="1241"/>
      <c r="DA1218" s="1241"/>
      <c r="DB1218" s="1241"/>
      <c r="DC1218" s="1241"/>
      <c r="DD1218" s="1241"/>
      <c r="DE1218" s="1241"/>
      <c r="DF1218" s="1241"/>
      <c r="DG1218" s="1241"/>
      <c r="DH1218" s="1241"/>
      <c r="DI1218" s="1241"/>
      <c r="DJ1218" s="1241"/>
      <c r="DK1218" s="1241"/>
      <c r="DL1218" s="1241"/>
      <c r="DM1218" s="1241"/>
    </row>
    <row r="1219" spans="1:117">
      <c r="G1219" s="1645"/>
      <c r="H1219" s="1645"/>
      <c r="I1219" s="1645"/>
      <c r="J1219" s="1645"/>
      <c r="K1219" s="1645"/>
      <c r="L1219" s="1645"/>
      <c r="M1219" s="1645"/>
      <c r="N1219" s="1645"/>
      <c r="O1219" s="1645"/>
    </row>
    <row r="1220" spans="1:117" s="1302" customFormat="1">
      <c r="A1220" s="1241"/>
      <c r="B1220" s="1241"/>
      <c r="C1220" s="1241"/>
      <c r="D1220" s="1241"/>
      <c r="E1220" s="1241"/>
      <c r="F1220" s="1241"/>
      <c r="G1220" s="1242"/>
      <c r="H1220" s="1242"/>
      <c r="I1220" s="1242"/>
      <c r="J1220" s="1242"/>
      <c r="K1220" s="1242"/>
      <c r="L1220" s="1242"/>
      <c r="M1220" s="1242"/>
      <c r="N1220" s="1242"/>
      <c r="O1220" s="1241"/>
      <c r="P1220" s="1241"/>
      <c r="Q1220" s="1241"/>
      <c r="R1220" s="1241"/>
      <c r="S1220" s="1241"/>
      <c r="T1220" s="1241"/>
      <c r="U1220" s="1241"/>
      <c r="V1220" s="1241"/>
      <c r="W1220" s="1241"/>
      <c r="X1220" s="1241"/>
      <c r="Y1220" s="1241"/>
      <c r="Z1220" s="1241"/>
      <c r="AA1220" s="1241"/>
      <c r="AB1220" s="1241"/>
      <c r="AC1220" s="1241"/>
      <c r="AD1220" s="1241"/>
      <c r="AE1220" s="1241"/>
      <c r="AF1220" s="1241"/>
      <c r="AG1220" s="1241"/>
      <c r="AH1220" s="1241"/>
      <c r="AI1220" s="1241"/>
      <c r="AJ1220" s="1241"/>
      <c r="AK1220" s="1241"/>
      <c r="AL1220" s="1241"/>
      <c r="AM1220" s="1241"/>
      <c r="AN1220" s="1241"/>
      <c r="AO1220" s="1241"/>
      <c r="AP1220" s="1241"/>
      <c r="AQ1220" s="1241"/>
      <c r="AR1220" s="1241"/>
      <c r="AS1220" s="1241"/>
      <c r="AT1220" s="1241"/>
      <c r="AU1220" s="1241"/>
      <c r="AV1220" s="1241"/>
      <c r="AW1220" s="1241"/>
      <c r="AX1220" s="1241"/>
      <c r="AY1220" s="1241"/>
      <c r="AZ1220" s="1241"/>
      <c r="BA1220" s="1241"/>
      <c r="BB1220" s="1241"/>
      <c r="BC1220" s="1241"/>
      <c r="BD1220" s="1241"/>
      <c r="BE1220" s="1241"/>
      <c r="BF1220" s="1241"/>
      <c r="BG1220" s="1241"/>
      <c r="BH1220" s="1241"/>
      <c r="BI1220" s="1241"/>
      <c r="BJ1220" s="1241"/>
      <c r="BK1220" s="1241"/>
      <c r="BL1220" s="1241"/>
      <c r="BM1220" s="1241"/>
      <c r="BN1220" s="1241"/>
      <c r="BO1220" s="1241"/>
      <c r="BP1220" s="1241"/>
      <c r="BQ1220" s="1241"/>
      <c r="BR1220" s="1241"/>
      <c r="BS1220" s="1241"/>
      <c r="BT1220" s="1241"/>
      <c r="BU1220" s="1241"/>
      <c r="BV1220" s="1241"/>
      <c r="BW1220" s="1241"/>
      <c r="BX1220" s="1241"/>
      <c r="BY1220" s="1241"/>
      <c r="BZ1220" s="1241"/>
      <c r="CA1220" s="1241"/>
      <c r="CB1220" s="1241"/>
      <c r="CC1220" s="1241"/>
      <c r="CD1220" s="1241"/>
      <c r="CE1220" s="1241"/>
      <c r="CF1220" s="1241"/>
      <c r="CG1220" s="1241"/>
      <c r="CH1220" s="1241"/>
      <c r="CI1220" s="1241"/>
      <c r="CJ1220" s="1241"/>
      <c r="CK1220" s="1241"/>
      <c r="CL1220" s="1241"/>
      <c r="CM1220" s="1241"/>
      <c r="CN1220" s="1241"/>
      <c r="CO1220" s="1241"/>
      <c r="CP1220" s="1241"/>
      <c r="CQ1220" s="1241"/>
      <c r="CR1220" s="1241"/>
      <c r="CS1220" s="1241"/>
      <c r="CT1220" s="1241"/>
      <c r="CU1220" s="1241"/>
      <c r="CV1220" s="1241"/>
      <c r="CW1220" s="1241"/>
      <c r="CX1220" s="1241"/>
      <c r="CY1220" s="1241"/>
      <c r="CZ1220" s="1241"/>
      <c r="DA1220" s="1241"/>
      <c r="DB1220" s="1241"/>
      <c r="DC1220" s="1241"/>
      <c r="DD1220" s="1241"/>
      <c r="DE1220" s="1241"/>
      <c r="DF1220" s="1241"/>
      <c r="DG1220" s="1241"/>
      <c r="DH1220" s="1241"/>
      <c r="DI1220" s="1241"/>
      <c r="DJ1220" s="1241"/>
      <c r="DK1220" s="1241"/>
      <c r="DL1220" s="1241"/>
      <c r="DM1220" s="1241"/>
    </row>
    <row r="1221" spans="1:117" s="1302" customFormat="1">
      <c r="A1221" s="1241"/>
      <c r="B1221" s="1241"/>
      <c r="C1221" s="1241"/>
      <c r="D1221" s="1241"/>
      <c r="E1221" s="1241"/>
      <c r="F1221" s="1241"/>
      <c r="G1221" s="1647"/>
      <c r="H1221" s="1648"/>
      <c r="I1221" s="1648"/>
      <c r="J1221" s="1648"/>
      <c r="K1221" s="1648"/>
      <c r="L1221" s="1648"/>
      <c r="M1221" s="1648"/>
      <c r="N1221" s="1648"/>
      <c r="O1221" s="1648"/>
      <c r="P1221" s="1241"/>
      <c r="Q1221" s="1241"/>
      <c r="R1221" s="1241"/>
      <c r="S1221" s="1241"/>
      <c r="T1221" s="1241"/>
      <c r="U1221" s="1241"/>
      <c r="V1221" s="1241"/>
      <c r="W1221" s="1241"/>
      <c r="X1221" s="1241"/>
      <c r="Y1221" s="1241"/>
      <c r="Z1221" s="1241"/>
      <c r="AA1221" s="1241"/>
      <c r="AB1221" s="1241"/>
      <c r="AC1221" s="1241"/>
      <c r="AD1221" s="1241"/>
      <c r="AE1221" s="1241"/>
      <c r="AF1221" s="1241"/>
      <c r="AG1221" s="1241"/>
      <c r="AH1221" s="1241"/>
      <c r="AI1221" s="1241"/>
      <c r="AJ1221" s="1241"/>
      <c r="AK1221" s="1241"/>
      <c r="AL1221" s="1241"/>
      <c r="AM1221" s="1241"/>
      <c r="AN1221" s="1241"/>
      <c r="AO1221" s="1241"/>
      <c r="AP1221" s="1241"/>
      <c r="AQ1221" s="1241"/>
      <c r="AR1221" s="1241"/>
      <c r="AS1221" s="1241"/>
      <c r="AT1221" s="1241"/>
      <c r="AU1221" s="1241"/>
      <c r="AV1221" s="1241"/>
      <c r="AW1221" s="1241"/>
      <c r="AX1221" s="1241"/>
      <c r="AY1221" s="1241"/>
      <c r="AZ1221" s="1241"/>
      <c r="BA1221" s="1241"/>
      <c r="BB1221" s="1241"/>
      <c r="BC1221" s="1241"/>
      <c r="BD1221" s="1241"/>
      <c r="BE1221" s="1241"/>
      <c r="BF1221" s="1241"/>
      <c r="BG1221" s="1241"/>
      <c r="BH1221" s="1241"/>
      <c r="BI1221" s="1241"/>
      <c r="BJ1221" s="1241"/>
      <c r="BK1221" s="1241"/>
      <c r="BL1221" s="1241"/>
      <c r="BM1221" s="1241"/>
      <c r="BN1221" s="1241"/>
      <c r="BO1221" s="1241"/>
      <c r="BP1221" s="1241"/>
      <c r="BQ1221" s="1241"/>
      <c r="BR1221" s="1241"/>
      <c r="BS1221" s="1241"/>
      <c r="BT1221" s="1241"/>
      <c r="BU1221" s="1241"/>
      <c r="BV1221" s="1241"/>
      <c r="BW1221" s="1241"/>
      <c r="BX1221" s="1241"/>
      <c r="BY1221" s="1241"/>
      <c r="BZ1221" s="1241"/>
      <c r="CA1221" s="1241"/>
      <c r="CB1221" s="1241"/>
      <c r="CC1221" s="1241"/>
      <c r="CD1221" s="1241"/>
      <c r="CE1221" s="1241"/>
      <c r="CF1221" s="1241"/>
      <c r="CG1221" s="1241"/>
      <c r="CH1221" s="1241"/>
      <c r="CI1221" s="1241"/>
      <c r="CJ1221" s="1241"/>
      <c r="CK1221" s="1241"/>
      <c r="CL1221" s="1241"/>
      <c r="CM1221" s="1241"/>
      <c r="CN1221" s="1241"/>
      <c r="CO1221" s="1241"/>
      <c r="CP1221" s="1241"/>
      <c r="CQ1221" s="1241"/>
      <c r="CR1221" s="1241"/>
      <c r="CS1221" s="1241"/>
      <c r="CT1221" s="1241"/>
      <c r="CU1221" s="1241"/>
      <c r="CV1221" s="1241"/>
      <c r="CW1221" s="1241"/>
      <c r="CX1221" s="1241"/>
      <c r="CY1221" s="1241"/>
      <c r="CZ1221" s="1241"/>
      <c r="DA1221" s="1241"/>
      <c r="DB1221" s="1241"/>
      <c r="DC1221" s="1241"/>
      <c r="DD1221" s="1241"/>
      <c r="DE1221" s="1241"/>
      <c r="DF1221" s="1241"/>
      <c r="DG1221" s="1241"/>
      <c r="DH1221" s="1241"/>
      <c r="DI1221" s="1241"/>
      <c r="DJ1221" s="1241"/>
      <c r="DK1221" s="1241"/>
      <c r="DL1221" s="1241"/>
      <c r="DM1221" s="1241"/>
    </row>
    <row r="1222" spans="1:117" s="1302" customFormat="1">
      <c r="A1222" s="1241"/>
      <c r="B1222" s="1241"/>
      <c r="C1222" s="1241"/>
      <c r="D1222" s="1241"/>
      <c r="E1222" s="1241"/>
      <c r="F1222" s="1241"/>
      <c r="G1222" s="1242"/>
      <c r="H1222" s="1649"/>
      <c r="I1222" s="1649"/>
      <c r="J1222" s="1649"/>
      <c r="K1222" s="1649"/>
      <c r="L1222" s="1649"/>
      <c r="M1222" s="1649"/>
      <c r="N1222" s="1649"/>
      <c r="O1222" s="1650"/>
      <c r="P1222" s="1241"/>
      <c r="Q1222" s="1241"/>
      <c r="R1222" s="1241"/>
      <c r="S1222" s="1241"/>
      <c r="T1222" s="1241"/>
      <c r="U1222" s="1241"/>
      <c r="V1222" s="1241"/>
      <c r="W1222" s="1241"/>
      <c r="X1222" s="1241"/>
      <c r="Y1222" s="1241"/>
      <c r="Z1222" s="1241"/>
      <c r="AA1222" s="1241"/>
      <c r="AB1222" s="1241"/>
      <c r="AC1222" s="1241"/>
      <c r="AD1222" s="1241"/>
      <c r="AE1222" s="1241"/>
      <c r="AF1222" s="1241"/>
      <c r="AG1222" s="1241"/>
      <c r="AH1222" s="1241"/>
      <c r="AI1222" s="1241"/>
      <c r="AJ1222" s="1241"/>
      <c r="AK1222" s="1241"/>
      <c r="AL1222" s="1241"/>
      <c r="AM1222" s="1241"/>
      <c r="AN1222" s="1241"/>
      <c r="AO1222" s="1241"/>
      <c r="AP1222" s="1241"/>
      <c r="AQ1222" s="1241"/>
      <c r="AR1222" s="1241"/>
      <c r="AS1222" s="1241"/>
      <c r="AT1222" s="1241"/>
      <c r="AU1222" s="1241"/>
      <c r="AV1222" s="1241"/>
      <c r="AW1222" s="1241"/>
      <c r="AX1222" s="1241"/>
      <c r="AY1222" s="1241"/>
      <c r="AZ1222" s="1241"/>
      <c r="BA1222" s="1241"/>
      <c r="BB1222" s="1241"/>
      <c r="BC1222" s="1241"/>
      <c r="BD1222" s="1241"/>
      <c r="BE1222" s="1241"/>
      <c r="BF1222" s="1241"/>
      <c r="BG1222" s="1241"/>
      <c r="BH1222" s="1241"/>
      <c r="BI1222" s="1241"/>
      <c r="BJ1222" s="1241"/>
      <c r="BK1222" s="1241"/>
      <c r="BL1222" s="1241"/>
      <c r="BM1222" s="1241"/>
      <c r="BN1222" s="1241"/>
      <c r="BO1222" s="1241"/>
      <c r="BP1222" s="1241"/>
      <c r="BQ1222" s="1241"/>
      <c r="BR1222" s="1241"/>
      <c r="BS1222" s="1241"/>
      <c r="BT1222" s="1241"/>
      <c r="BU1222" s="1241"/>
      <c r="BV1222" s="1241"/>
      <c r="BW1222" s="1241"/>
      <c r="BX1222" s="1241"/>
      <c r="BY1222" s="1241"/>
      <c r="BZ1222" s="1241"/>
      <c r="CA1222" s="1241"/>
      <c r="CB1222" s="1241"/>
      <c r="CC1222" s="1241"/>
      <c r="CD1222" s="1241"/>
      <c r="CE1222" s="1241"/>
      <c r="CF1222" s="1241"/>
      <c r="CG1222" s="1241"/>
      <c r="CH1222" s="1241"/>
      <c r="CI1222" s="1241"/>
      <c r="CJ1222" s="1241"/>
      <c r="CK1222" s="1241"/>
      <c r="CL1222" s="1241"/>
      <c r="CM1222" s="1241"/>
      <c r="CN1222" s="1241"/>
      <c r="CO1222" s="1241"/>
      <c r="CP1222" s="1241"/>
      <c r="CQ1222" s="1241"/>
      <c r="CR1222" s="1241"/>
      <c r="CS1222" s="1241"/>
      <c r="CT1222" s="1241"/>
      <c r="CU1222" s="1241"/>
      <c r="CV1222" s="1241"/>
      <c r="CW1222" s="1241"/>
      <c r="CX1222" s="1241"/>
      <c r="CY1222" s="1241"/>
      <c r="CZ1222" s="1241"/>
      <c r="DA1222" s="1241"/>
      <c r="DB1222" s="1241"/>
      <c r="DC1222" s="1241"/>
      <c r="DD1222" s="1241"/>
      <c r="DE1222" s="1241"/>
      <c r="DF1222" s="1241"/>
      <c r="DG1222" s="1241"/>
      <c r="DH1222" s="1241"/>
      <c r="DI1222" s="1241"/>
      <c r="DJ1222" s="1241"/>
      <c r="DK1222" s="1241"/>
      <c r="DL1222" s="1241"/>
      <c r="DM1222" s="1241"/>
    </row>
    <row r="1223" spans="1:117" s="1302" customFormat="1">
      <c r="A1223" s="1241"/>
      <c r="B1223" s="1241"/>
      <c r="C1223" s="1241"/>
      <c r="D1223" s="1241"/>
      <c r="E1223" s="1241"/>
      <c r="F1223" s="1241"/>
      <c r="G1223" s="1514"/>
      <c r="H1223" s="1514"/>
      <c r="I1223" s="1514"/>
      <c r="J1223" s="1514"/>
      <c r="K1223" s="1514"/>
      <c r="L1223" s="1514"/>
      <c r="M1223" s="1514"/>
      <c r="N1223" s="1514"/>
      <c r="O1223" s="1650"/>
      <c r="P1223" s="1241"/>
      <c r="Q1223" s="1241"/>
      <c r="R1223" s="1241"/>
      <c r="S1223" s="1241"/>
      <c r="T1223" s="1241"/>
      <c r="U1223" s="1241"/>
      <c r="V1223" s="1241"/>
      <c r="W1223" s="1241"/>
      <c r="X1223" s="1241"/>
      <c r="Y1223" s="1241"/>
      <c r="Z1223" s="1241"/>
      <c r="AA1223" s="1241"/>
      <c r="AB1223" s="1241"/>
      <c r="AC1223" s="1241"/>
      <c r="AD1223" s="1241"/>
      <c r="AE1223" s="1241"/>
      <c r="AF1223" s="1241"/>
      <c r="AG1223" s="1241"/>
      <c r="AH1223" s="1241"/>
      <c r="AI1223" s="1241"/>
      <c r="AJ1223" s="1241"/>
      <c r="AK1223" s="1241"/>
      <c r="AL1223" s="1241"/>
      <c r="AM1223" s="1241"/>
      <c r="AN1223" s="1241"/>
      <c r="AO1223" s="1241"/>
      <c r="AP1223" s="1241"/>
      <c r="AQ1223" s="1241"/>
      <c r="AR1223" s="1241"/>
      <c r="AS1223" s="1241"/>
      <c r="AT1223" s="1241"/>
      <c r="AU1223" s="1241"/>
      <c r="AV1223" s="1241"/>
      <c r="AW1223" s="1241"/>
      <c r="AX1223" s="1241"/>
      <c r="AY1223" s="1241"/>
      <c r="AZ1223" s="1241"/>
      <c r="BA1223" s="1241"/>
      <c r="BB1223" s="1241"/>
      <c r="BC1223" s="1241"/>
      <c r="BD1223" s="1241"/>
      <c r="BE1223" s="1241"/>
      <c r="BF1223" s="1241"/>
      <c r="BG1223" s="1241"/>
      <c r="BH1223" s="1241"/>
      <c r="BI1223" s="1241"/>
      <c r="BJ1223" s="1241"/>
      <c r="BK1223" s="1241"/>
      <c r="BL1223" s="1241"/>
      <c r="BM1223" s="1241"/>
      <c r="BN1223" s="1241"/>
      <c r="BO1223" s="1241"/>
      <c r="BP1223" s="1241"/>
      <c r="BQ1223" s="1241"/>
      <c r="BR1223" s="1241"/>
      <c r="BS1223" s="1241"/>
      <c r="BT1223" s="1241"/>
      <c r="BU1223" s="1241"/>
      <c r="BV1223" s="1241"/>
      <c r="BW1223" s="1241"/>
      <c r="BX1223" s="1241"/>
      <c r="BY1223" s="1241"/>
      <c r="BZ1223" s="1241"/>
      <c r="CA1223" s="1241"/>
      <c r="CB1223" s="1241"/>
      <c r="CC1223" s="1241"/>
      <c r="CD1223" s="1241"/>
      <c r="CE1223" s="1241"/>
      <c r="CF1223" s="1241"/>
      <c r="CG1223" s="1241"/>
      <c r="CH1223" s="1241"/>
      <c r="CI1223" s="1241"/>
      <c r="CJ1223" s="1241"/>
      <c r="CK1223" s="1241"/>
      <c r="CL1223" s="1241"/>
      <c r="CM1223" s="1241"/>
      <c r="CN1223" s="1241"/>
      <c r="CO1223" s="1241"/>
      <c r="CP1223" s="1241"/>
      <c r="CQ1223" s="1241"/>
      <c r="CR1223" s="1241"/>
      <c r="CS1223" s="1241"/>
      <c r="CT1223" s="1241"/>
      <c r="CU1223" s="1241"/>
      <c r="CV1223" s="1241"/>
      <c r="CW1223" s="1241"/>
      <c r="CX1223" s="1241"/>
      <c r="CY1223" s="1241"/>
      <c r="CZ1223" s="1241"/>
      <c r="DA1223" s="1241"/>
      <c r="DB1223" s="1241"/>
      <c r="DC1223" s="1241"/>
      <c r="DD1223" s="1241"/>
      <c r="DE1223" s="1241"/>
      <c r="DF1223" s="1241"/>
      <c r="DG1223" s="1241"/>
      <c r="DH1223" s="1241"/>
      <c r="DI1223" s="1241"/>
      <c r="DJ1223" s="1241"/>
      <c r="DK1223" s="1241"/>
      <c r="DL1223" s="1241"/>
      <c r="DM1223" s="1241"/>
    </row>
    <row r="1224" spans="1:117" s="1302" customFormat="1">
      <c r="A1224" s="1241"/>
      <c r="B1224" s="1241"/>
      <c r="C1224" s="1241"/>
      <c r="D1224" s="1241"/>
      <c r="E1224" s="1241"/>
      <c r="F1224" s="1241"/>
      <c r="G1224" s="1514"/>
      <c r="H1224" s="1514"/>
      <c r="I1224" s="1514"/>
      <c r="J1224" s="1514"/>
      <c r="K1224" s="1514"/>
      <c r="L1224" s="1514"/>
      <c r="M1224" s="1514"/>
      <c r="N1224" s="1514"/>
      <c r="O1224" s="1650"/>
      <c r="P1224" s="1241"/>
      <c r="Q1224" s="1241"/>
      <c r="R1224" s="1241"/>
      <c r="S1224" s="1241"/>
      <c r="T1224" s="1241"/>
      <c r="U1224" s="1241"/>
      <c r="V1224" s="1241"/>
      <c r="W1224" s="1241"/>
      <c r="X1224" s="1241"/>
      <c r="Y1224" s="1241"/>
      <c r="Z1224" s="1241"/>
      <c r="AA1224" s="1241"/>
      <c r="AB1224" s="1241"/>
      <c r="AC1224" s="1241"/>
      <c r="AD1224" s="1241"/>
      <c r="AE1224" s="1241"/>
      <c r="AF1224" s="1241"/>
      <c r="AG1224" s="1241"/>
      <c r="AH1224" s="1241"/>
      <c r="AI1224" s="1241"/>
      <c r="AJ1224" s="1241"/>
      <c r="AK1224" s="1241"/>
      <c r="AL1224" s="1241"/>
      <c r="AM1224" s="1241"/>
      <c r="AN1224" s="1241"/>
      <c r="AO1224" s="1241"/>
      <c r="AP1224" s="1241"/>
      <c r="AQ1224" s="1241"/>
      <c r="AR1224" s="1241"/>
      <c r="AS1224" s="1241"/>
      <c r="AT1224" s="1241"/>
      <c r="AU1224" s="1241"/>
      <c r="AV1224" s="1241"/>
      <c r="AW1224" s="1241"/>
      <c r="AX1224" s="1241"/>
      <c r="AY1224" s="1241"/>
      <c r="AZ1224" s="1241"/>
      <c r="BA1224" s="1241"/>
      <c r="BB1224" s="1241"/>
      <c r="BC1224" s="1241"/>
      <c r="BD1224" s="1241"/>
      <c r="BE1224" s="1241"/>
      <c r="BF1224" s="1241"/>
      <c r="BG1224" s="1241"/>
      <c r="BH1224" s="1241"/>
      <c r="BI1224" s="1241"/>
      <c r="BJ1224" s="1241"/>
      <c r="BK1224" s="1241"/>
      <c r="BL1224" s="1241"/>
      <c r="BM1224" s="1241"/>
      <c r="BN1224" s="1241"/>
      <c r="BO1224" s="1241"/>
      <c r="BP1224" s="1241"/>
      <c r="BQ1224" s="1241"/>
      <c r="BR1224" s="1241"/>
      <c r="BS1224" s="1241"/>
      <c r="BT1224" s="1241"/>
      <c r="BU1224" s="1241"/>
      <c r="BV1224" s="1241"/>
      <c r="BW1224" s="1241"/>
      <c r="BX1224" s="1241"/>
      <c r="BY1224" s="1241"/>
      <c r="BZ1224" s="1241"/>
      <c r="CA1224" s="1241"/>
      <c r="CB1224" s="1241"/>
      <c r="CC1224" s="1241"/>
      <c r="CD1224" s="1241"/>
      <c r="CE1224" s="1241"/>
      <c r="CF1224" s="1241"/>
      <c r="CG1224" s="1241"/>
      <c r="CH1224" s="1241"/>
      <c r="CI1224" s="1241"/>
      <c r="CJ1224" s="1241"/>
      <c r="CK1224" s="1241"/>
      <c r="CL1224" s="1241"/>
      <c r="CM1224" s="1241"/>
      <c r="CN1224" s="1241"/>
      <c r="CO1224" s="1241"/>
      <c r="CP1224" s="1241"/>
      <c r="CQ1224" s="1241"/>
      <c r="CR1224" s="1241"/>
      <c r="CS1224" s="1241"/>
      <c r="CT1224" s="1241"/>
      <c r="CU1224" s="1241"/>
      <c r="CV1224" s="1241"/>
      <c r="CW1224" s="1241"/>
      <c r="CX1224" s="1241"/>
      <c r="CY1224" s="1241"/>
      <c r="CZ1224" s="1241"/>
      <c r="DA1224" s="1241"/>
      <c r="DB1224" s="1241"/>
      <c r="DC1224" s="1241"/>
      <c r="DD1224" s="1241"/>
      <c r="DE1224" s="1241"/>
      <c r="DF1224" s="1241"/>
      <c r="DG1224" s="1241"/>
      <c r="DH1224" s="1241"/>
      <c r="DI1224" s="1241"/>
      <c r="DJ1224" s="1241"/>
      <c r="DK1224" s="1241"/>
      <c r="DL1224" s="1241"/>
      <c r="DM1224" s="1241"/>
    </row>
    <row r="1225" spans="1:117" s="1302" customFormat="1">
      <c r="A1225" s="1241"/>
      <c r="B1225" s="1241"/>
      <c r="C1225" s="1241"/>
      <c r="D1225" s="1241"/>
      <c r="E1225" s="1241"/>
      <c r="F1225" s="1241"/>
      <c r="G1225" s="1514"/>
      <c r="H1225" s="1514"/>
      <c r="I1225" s="1514"/>
      <c r="J1225" s="1514"/>
      <c r="K1225" s="1514"/>
      <c r="L1225" s="1514"/>
      <c r="M1225" s="1514"/>
      <c r="N1225" s="1514"/>
      <c r="O1225" s="1241"/>
      <c r="P1225" s="1241"/>
      <c r="Q1225" s="1241"/>
      <c r="R1225" s="1241"/>
      <c r="S1225" s="1241"/>
      <c r="T1225" s="1241"/>
      <c r="U1225" s="1241"/>
      <c r="V1225" s="1241"/>
      <c r="W1225" s="1241"/>
      <c r="X1225" s="1241"/>
      <c r="Y1225" s="1241"/>
      <c r="Z1225" s="1241"/>
      <c r="AA1225" s="1241"/>
      <c r="AB1225" s="1241"/>
      <c r="AC1225" s="1241"/>
      <c r="AD1225" s="1241"/>
      <c r="AE1225" s="1241"/>
      <c r="AF1225" s="1241"/>
      <c r="AG1225" s="1241"/>
      <c r="AH1225" s="1241"/>
      <c r="AI1225" s="1241"/>
      <c r="AJ1225" s="1241"/>
      <c r="AK1225" s="1241"/>
      <c r="AL1225" s="1241"/>
      <c r="AM1225" s="1241"/>
      <c r="AN1225" s="1241"/>
      <c r="AO1225" s="1241"/>
      <c r="AP1225" s="1241"/>
      <c r="AQ1225" s="1241"/>
      <c r="AR1225" s="1241"/>
      <c r="AS1225" s="1241"/>
      <c r="AT1225" s="1241"/>
      <c r="AU1225" s="1241"/>
      <c r="AV1225" s="1241"/>
      <c r="AW1225" s="1241"/>
      <c r="AX1225" s="1241"/>
      <c r="AY1225" s="1241"/>
      <c r="AZ1225" s="1241"/>
      <c r="BA1225" s="1241"/>
      <c r="BB1225" s="1241"/>
      <c r="BC1225" s="1241"/>
      <c r="BD1225" s="1241"/>
      <c r="BE1225" s="1241"/>
      <c r="BF1225" s="1241"/>
      <c r="BG1225" s="1241"/>
      <c r="BH1225" s="1241"/>
      <c r="BI1225" s="1241"/>
      <c r="BJ1225" s="1241"/>
      <c r="BK1225" s="1241"/>
      <c r="BL1225" s="1241"/>
      <c r="BM1225" s="1241"/>
      <c r="BN1225" s="1241"/>
      <c r="BO1225" s="1241"/>
      <c r="BP1225" s="1241"/>
      <c r="BQ1225" s="1241"/>
      <c r="BR1225" s="1241"/>
      <c r="BS1225" s="1241"/>
      <c r="BT1225" s="1241"/>
      <c r="BU1225" s="1241"/>
      <c r="BV1225" s="1241"/>
      <c r="BW1225" s="1241"/>
      <c r="BX1225" s="1241"/>
      <c r="BY1225" s="1241"/>
      <c r="BZ1225" s="1241"/>
      <c r="CA1225" s="1241"/>
      <c r="CB1225" s="1241"/>
      <c r="CC1225" s="1241"/>
      <c r="CD1225" s="1241"/>
      <c r="CE1225" s="1241"/>
      <c r="CF1225" s="1241"/>
      <c r="CG1225" s="1241"/>
      <c r="CH1225" s="1241"/>
      <c r="CI1225" s="1241"/>
      <c r="CJ1225" s="1241"/>
      <c r="CK1225" s="1241"/>
      <c r="CL1225" s="1241"/>
      <c r="CM1225" s="1241"/>
      <c r="CN1225" s="1241"/>
      <c r="CO1225" s="1241"/>
      <c r="CP1225" s="1241"/>
      <c r="CQ1225" s="1241"/>
      <c r="CR1225" s="1241"/>
      <c r="CS1225" s="1241"/>
      <c r="CT1225" s="1241"/>
      <c r="CU1225" s="1241"/>
      <c r="CV1225" s="1241"/>
      <c r="CW1225" s="1241"/>
      <c r="CX1225" s="1241"/>
      <c r="CY1225" s="1241"/>
      <c r="CZ1225" s="1241"/>
      <c r="DA1225" s="1241"/>
      <c r="DB1225" s="1241"/>
      <c r="DC1225" s="1241"/>
      <c r="DD1225" s="1241"/>
      <c r="DE1225" s="1241"/>
      <c r="DF1225" s="1241"/>
      <c r="DG1225" s="1241"/>
      <c r="DH1225" s="1241"/>
      <c r="DI1225" s="1241"/>
      <c r="DJ1225" s="1241"/>
      <c r="DK1225" s="1241"/>
      <c r="DL1225" s="1241"/>
      <c r="DM1225" s="1241"/>
    </row>
    <row r="1226" spans="1:117">
      <c r="G1226" s="1514"/>
      <c r="H1226" s="1514"/>
      <c r="I1226" s="1514"/>
      <c r="J1226" s="1514"/>
      <c r="K1226" s="1514"/>
      <c r="L1226" s="1514"/>
      <c r="M1226" s="1514"/>
      <c r="N1226" s="1514"/>
    </row>
  </sheetData>
  <mergeCells count="8">
    <mergeCell ref="B717:D717"/>
    <mergeCell ref="B718:D718"/>
    <mergeCell ref="C186:D186"/>
    <mergeCell ref="C196:D196"/>
    <mergeCell ref="C210:D210"/>
    <mergeCell ref="B714:D714"/>
    <mergeCell ref="B715:D715"/>
    <mergeCell ref="B716:D716"/>
  </mergeCells>
  <pageMargins left="0.7" right="0.7" top="0.75" bottom="0.75" header="0.3" footer="0.3"/>
  <pageSetup paperSize="9"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A5130-4463-4628-9911-353D5B82F79A}">
  <sheetPr codeName="Sheet49"/>
  <dimension ref="A1:AG17"/>
  <sheetViews>
    <sheetView workbookViewId="0"/>
  </sheetViews>
  <sheetFormatPr baseColWidth="10" defaultColWidth="8.83203125" defaultRowHeight="15"/>
  <cols>
    <col min="1" max="1" width="61" customWidth="1"/>
  </cols>
  <sheetData>
    <row r="1" spans="1:33">
      <c r="A1" t="s">
        <v>4396</v>
      </c>
      <c r="B1">
        <v>2019</v>
      </c>
      <c r="C1">
        <v>2020</v>
      </c>
      <c r="D1">
        <v>2021</v>
      </c>
      <c r="E1">
        <v>2022</v>
      </c>
      <c r="F1">
        <v>2023</v>
      </c>
      <c r="G1">
        <v>2024</v>
      </c>
      <c r="H1">
        <v>2025</v>
      </c>
      <c r="I1">
        <v>2026</v>
      </c>
      <c r="J1">
        <v>2027</v>
      </c>
      <c r="K1">
        <v>2028</v>
      </c>
      <c r="L1">
        <v>2029</v>
      </c>
      <c r="M1">
        <v>2030</v>
      </c>
      <c r="N1">
        <v>2031</v>
      </c>
      <c r="O1">
        <v>2032</v>
      </c>
      <c r="P1">
        <v>2033</v>
      </c>
      <c r="Q1">
        <v>2034</v>
      </c>
      <c r="R1">
        <v>2035</v>
      </c>
      <c r="S1">
        <v>2036</v>
      </c>
      <c r="T1">
        <v>2037</v>
      </c>
      <c r="U1">
        <v>2038</v>
      </c>
      <c r="V1">
        <v>2039</v>
      </c>
      <c r="W1">
        <v>2040</v>
      </c>
      <c r="X1">
        <v>2041</v>
      </c>
      <c r="Y1">
        <v>2042</v>
      </c>
      <c r="Z1">
        <v>2043</v>
      </c>
      <c r="AA1">
        <v>2044</v>
      </c>
      <c r="AB1">
        <v>2045</v>
      </c>
      <c r="AC1">
        <v>2046</v>
      </c>
      <c r="AD1">
        <v>2047</v>
      </c>
      <c r="AE1">
        <v>2048</v>
      </c>
      <c r="AF1">
        <v>2049</v>
      </c>
      <c r="AG1">
        <v>2050</v>
      </c>
    </row>
    <row r="2" spans="1:33">
      <c r="A2" t="s">
        <v>4397</v>
      </c>
      <c r="B2">
        <v>200.196</v>
      </c>
      <c r="C2">
        <v>205.35599999999999</v>
      </c>
      <c r="D2">
        <v>210.51599999999999</v>
      </c>
      <c r="E2">
        <v>215.16</v>
      </c>
      <c r="F2">
        <v>210.25800000000001</v>
      </c>
      <c r="G2">
        <v>207.16200000000001</v>
      </c>
      <c r="H2">
        <v>205.614</v>
      </c>
      <c r="I2">
        <v>202.26</v>
      </c>
      <c r="J2">
        <v>198.13200000000001</v>
      </c>
      <c r="K2">
        <v>198.648</v>
      </c>
      <c r="L2">
        <v>198.648</v>
      </c>
      <c r="M2">
        <v>198.648</v>
      </c>
      <c r="N2">
        <v>198.648</v>
      </c>
      <c r="O2">
        <v>198.648</v>
      </c>
      <c r="P2">
        <v>198.648</v>
      </c>
      <c r="Q2">
        <v>198.648</v>
      </c>
      <c r="R2">
        <v>198.648</v>
      </c>
      <c r="S2">
        <v>198.648</v>
      </c>
      <c r="T2">
        <v>198.648</v>
      </c>
      <c r="U2">
        <v>198.648</v>
      </c>
      <c r="V2">
        <v>198.648</v>
      </c>
      <c r="W2">
        <v>198.648</v>
      </c>
      <c r="X2">
        <v>198.648</v>
      </c>
      <c r="Y2">
        <v>198.648</v>
      </c>
      <c r="Z2">
        <v>198.648</v>
      </c>
      <c r="AA2">
        <v>198.648</v>
      </c>
      <c r="AB2">
        <v>198.648</v>
      </c>
      <c r="AC2">
        <v>198.648</v>
      </c>
      <c r="AD2">
        <v>198.648</v>
      </c>
      <c r="AE2">
        <v>198.648</v>
      </c>
      <c r="AF2">
        <v>198.648</v>
      </c>
      <c r="AG2">
        <v>198.648</v>
      </c>
    </row>
    <row r="3" spans="1:33">
      <c r="A3" t="s">
        <v>4398</v>
      </c>
      <c r="B3">
        <v>24.8</v>
      </c>
      <c r="C3">
        <v>24.8</v>
      </c>
      <c r="D3">
        <v>24.8</v>
      </c>
      <c r="E3">
        <v>24.8</v>
      </c>
      <c r="F3">
        <v>24.8</v>
      </c>
      <c r="G3">
        <v>24.8</v>
      </c>
      <c r="H3">
        <v>24.8</v>
      </c>
      <c r="I3">
        <v>24.8</v>
      </c>
      <c r="J3">
        <v>24.8</v>
      </c>
      <c r="K3">
        <v>24.8</v>
      </c>
      <c r="L3">
        <v>24.8</v>
      </c>
      <c r="M3">
        <v>24.8</v>
      </c>
      <c r="N3">
        <v>24.8</v>
      </c>
      <c r="O3">
        <v>24.8</v>
      </c>
      <c r="P3">
        <v>24.8</v>
      </c>
      <c r="Q3">
        <v>24.8</v>
      </c>
      <c r="R3">
        <v>24.8</v>
      </c>
      <c r="S3">
        <v>24.8</v>
      </c>
      <c r="T3">
        <v>24.8</v>
      </c>
      <c r="U3">
        <v>24.8</v>
      </c>
      <c r="V3">
        <v>24.8</v>
      </c>
      <c r="W3">
        <v>24.8</v>
      </c>
      <c r="X3">
        <v>24.8</v>
      </c>
      <c r="Y3">
        <v>24.8</v>
      </c>
      <c r="Z3">
        <v>24.8</v>
      </c>
      <c r="AA3">
        <v>24.8</v>
      </c>
      <c r="AB3">
        <v>24.8</v>
      </c>
      <c r="AC3">
        <v>24.8</v>
      </c>
      <c r="AD3">
        <v>24.8</v>
      </c>
      <c r="AE3">
        <v>24.8</v>
      </c>
      <c r="AF3">
        <v>24.8</v>
      </c>
      <c r="AG3">
        <v>24.8</v>
      </c>
    </row>
    <row r="4" spans="1:33">
      <c r="A4" t="s">
        <v>4399</v>
      </c>
      <c r="B4">
        <v>6.78</v>
      </c>
      <c r="C4">
        <v>7.28</v>
      </c>
      <c r="D4">
        <v>7.78</v>
      </c>
      <c r="E4">
        <v>8.2799999999999994</v>
      </c>
      <c r="F4">
        <v>9.2799999999999994</v>
      </c>
      <c r="G4">
        <v>10.78</v>
      </c>
      <c r="H4">
        <v>12.78</v>
      </c>
      <c r="I4">
        <v>14.28</v>
      </c>
      <c r="J4">
        <v>15.78</v>
      </c>
      <c r="K4">
        <v>15.78</v>
      </c>
      <c r="L4">
        <v>15.78</v>
      </c>
      <c r="M4">
        <v>15.78</v>
      </c>
      <c r="N4">
        <v>16.28</v>
      </c>
      <c r="O4">
        <v>16.78</v>
      </c>
      <c r="P4">
        <v>16.78</v>
      </c>
      <c r="Q4">
        <v>16.78</v>
      </c>
      <c r="R4">
        <v>16.78</v>
      </c>
      <c r="S4">
        <v>16.78</v>
      </c>
      <c r="T4">
        <v>16.78</v>
      </c>
      <c r="U4">
        <v>16.78</v>
      </c>
      <c r="V4">
        <v>16.78</v>
      </c>
      <c r="W4">
        <v>16.78</v>
      </c>
      <c r="X4">
        <v>16.78</v>
      </c>
      <c r="Y4">
        <v>16.78</v>
      </c>
      <c r="Z4">
        <v>16.78</v>
      </c>
      <c r="AA4">
        <v>16.78</v>
      </c>
      <c r="AB4">
        <v>16.78</v>
      </c>
      <c r="AC4">
        <v>16.78</v>
      </c>
      <c r="AD4">
        <v>16.78</v>
      </c>
      <c r="AE4">
        <v>16.78</v>
      </c>
      <c r="AF4">
        <v>16.78</v>
      </c>
      <c r="AG4">
        <v>16.78</v>
      </c>
    </row>
    <row r="5" spans="1:33">
      <c r="A5" t="s">
        <v>4400</v>
      </c>
      <c r="B5">
        <v>49.536999999999999</v>
      </c>
      <c r="C5">
        <v>51.055999999999997</v>
      </c>
      <c r="D5">
        <v>52.575000000000003</v>
      </c>
      <c r="E5">
        <v>54.094000000000001</v>
      </c>
      <c r="F5">
        <v>54.094000000000001</v>
      </c>
      <c r="G5">
        <v>55.924999999999997</v>
      </c>
      <c r="H5">
        <v>57.802</v>
      </c>
      <c r="I5">
        <v>59.503999999999998</v>
      </c>
      <c r="J5">
        <v>61.256999999999998</v>
      </c>
      <c r="K5">
        <v>62.884999999999998</v>
      </c>
      <c r="L5">
        <v>64.369</v>
      </c>
      <c r="M5">
        <v>65.777000000000001</v>
      </c>
      <c r="N5">
        <v>67.174000000000007</v>
      </c>
      <c r="O5">
        <v>68.498000000000005</v>
      </c>
      <c r="P5">
        <v>69.807000000000002</v>
      </c>
      <c r="Q5">
        <v>71.128</v>
      </c>
      <c r="R5">
        <v>72.429000000000002</v>
      </c>
      <c r="S5">
        <v>73.704999999999998</v>
      </c>
      <c r="T5">
        <v>74.966999999999999</v>
      </c>
      <c r="U5">
        <v>76.266999999999996</v>
      </c>
      <c r="V5">
        <v>77.578000000000003</v>
      </c>
      <c r="W5">
        <v>78.921000000000006</v>
      </c>
      <c r="X5">
        <v>80.292000000000002</v>
      </c>
      <c r="Y5">
        <v>81.691999999999993</v>
      </c>
      <c r="Z5">
        <v>83.055999999999997</v>
      </c>
      <c r="AA5">
        <v>84.394000000000005</v>
      </c>
      <c r="AB5">
        <v>85.722999999999999</v>
      </c>
      <c r="AC5">
        <v>87.024000000000001</v>
      </c>
      <c r="AD5">
        <v>88.316999999999993</v>
      </c>
      <c r="AE5">
        <v>89.588999999999999</v>
      </c>
      <c r="AF5">
        <v>90.834000000000003</v>
      </c>
      <c r="AG5">
        <v>92.064999999999998</v>
      </c>
    </row>
    <row r="6" spans="1:33">
      <c r="A6" t="s">
        <v>4401</v>
      </c>
      <c r="B6">
        <v>35.213000000000001</v>
      </c>
      <c r="C6">
        <v>37.707999999999998</v>
      </c>
      <c r="D6">
        <v>40.203000000000003</v>
      </c>
      <c r="E6">
        <v>42.698</v>
      </c>
      <c r="F6">
        <v>42.698</v>
      </c>
      <c r="G6">
        <v>45.908000000000001</v>
      </c>
      <c r="H6">
        <v>51.768000000000001</v>
      </c>
      <c r="I6">
        <v>57.567999999999998</v>
      </c>
      <c r="J6">
        <v>63.768000000000001</v>
      </c>
      <c r="K6">
        <v>69.522999999999996</v>
      </c>
      <c r="L6">
        <v>74.028000000000006</v>
      </c>
      <c r="M6">
        <v>78.453000000000003</v>
      </c>
      <c r="N6">
        <v>83.808000000000007</v>
      </c>
      <c r="O6">
        <v>89.048000000000002</v>
      </c>
      <c r="P6">
        <v>95.778000000000006</v>
      </c>
      <c r="Q6">
        <v>105.82299999999999</v>
      </c>
      <c r="R6">
        <v>117.648</v>
      </c>
      <c r="S6">
        <v>129.97800000000001</v>
      </c>
      <c r="T6">
        <v>143.47300000000001</v>
      </c>
      <c r="U6">
        <v>158.863</v>
      </c>
      <c r="V6">
        <v>174.15799999999999</v>
      </c>
      <c r="W6">
        <v>190.43299999999999</v>
      </c>
      <c r="X6">
        <v>207.548</v>
      </c>
      <c r="Y6">
        <v>225.44800000000001</v>
      </c>
      <c r="Z6">
        <v>242.768</v>
      </c>
      <c r="AA6">
        <v>260.16800000000001</v>
      </c>
      <c r="AB6">
        <v>278.81299999999999</v>
      </c>
      <c r="AC6">
        <v>297.24799999999999</v>
      </c>
      <c r="AD6">
        <v>316.78800000000001</v>
      </c>
      <c r="AE6">
        <v>336.54300000000001</v>
      </c>
      <c r="AF6">
        <v>355.97800000000001</v>
      </c>
      <c r="AG6">
        <v>376.18799999999999</v>
      </c>
    </row>
    <row r="7" spans="1:33">
      <c r="A7" t="s">
        <v>4402</v>
      </c>
      <c r="B7">
        <v>25.57</v>
      </c>
      <c r="C7">
        <v>33.991999999999997</v>
      </c>
      <c r="D7">
        <v>42.414000000000001</v>
      </c>
      <c r="E7">
        <v>50.835999999999999</v>
      </c>
      <c r="F7">
        <v>50.835999999999999</v>
      </c>
      <c r="G7">
        <v>58.473999999999997</v>
      </c>
      <c r="H7">
        <v>74.097999999999999</v>
      </c>
      <c r="I7">
        <v>90.891999999999996</v>
      </c>
      <c r="J7">
        <v>109.542</v>
      </c>
      <c r="K7">
        <v>128.43199999999999</v>
      </c>
      <c r="L7">
        <v>144.75</v>
      </c>
      <c r="M7">
        <v>162.298</v>
      </c>
      <c r="N7">
        <v>182.67400000000001</v>
      </c>
      <c r="O7">
        <v>200.52199999999999</v>
      </c>
      <c r="P7">
        <v>218.92599999999999</v>
      </c>
      <c r="Q7">
        <v>240.072</v>
      </c>
      <c r="R7">
        <v>261.19200000000001</v>
      </c>
      <c r="S7">
        <v>281.68400000000003</v>
      </c>
      <c r="T7">
        <v>302.36</v>
      </c>
      <c r="U7">
        <v>323.97800000000001</v>
      </c>
      <c r="V7">
        <v>343.92200000000003</v>
      </c>
      <c r="W7">
        <v>363.45800000000003</v>
      </c>
      <c r="X7">
        <v>382.37200000000001</v>
      </c>
      <c r="Y7">
        <v>400.55200000000002</v>
      </c>
      <c r="Z7">
        <v>416.67599999999999</v>
      </c>
      <c r="AA7">
        <v>431.47199999999998</v>
      </c>
      <c r="AB7">
        <v>445.97800000000001</v>
      </c>
      <c r="AC7">
        <v>458.99599999999998</v>
      </c>
      <c r="AD7">
        <v>471.59199999999998</v>
      </c>
      <c r="AE7">
        <v>483.12200000000001</v>
      </c>
      <c r="AF7">
        <v>493.31599999999997</v>
      </c>
      <c r="AG7">
        <v>502.92599999999999</v>
      </c>
    </row>
    <row r="8" spans="1:33">
      <c r="A8" t="s">
        <v>4403</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row>
    <row r="9" spans="1:33">
      <c r="A9" t="s">
        <v>4404</v>
      </c>
      <c r="B9">
        <v>9.1880000000000006</v>
      </c>
      <c r="C9">
        <v>9.9619999999999997</v>
      </c>
      <c r="D9">
        <v>10.736000000000001</v>
      </c>
      <c r="E9">
        <v>11.51</v>
      </c>
      <c r="F9">
        <v>11.51</v>
      </c>
      <c r="G9">
        <v>11.51</v>
      </c>
      <c r="H9">
        <v>11.51</v>
      </c>
      <c r="I9">
        <v>11.51</v>
      </c>
      <c r="J9">
        <v>11.51</v>
      </c>
      <c r="K9">
        <v>11.51</v>
      </c>
      <c r="L9">
        <v>11.51</v>
      </c>
      <c r="M9">
        <v>11.51</v>
      </c>
      <c r="N9">
        <v>11.51</v>
      </c>
      <c r="O9">
        <v>11.51</v>
      </c>
      <c r="P9">
        <v>11.51</v>
      </c>
      <c r="Q9">
        <v>11.51</v>
      </c>
      <c r="R9">
        <v>11.51</v>
      </c>
      <c r="S9">
        <v>11.51</v>
      </c>
      <c r="T9">
        <v>11.51</v>
      </c>
      <c r="U9">
        <v>11.51</v>
      </c>
      <c r="V9">
        <v>11.51</v>
      </c>
      <c r="W9">
        <v>11.51</v>
      </c>
      <c r="X9">
        <v>11.51</v>
      </c>
      <c r="Y9">
        <v>11.51</v>
      </c>
      <c r="Z9">
        <v>11.51</v>
      </c>
      <c r="AA9">
        <v>11.51</v>
      </c>
      <c r="AB9">
        <v>11.51</v>
      </c>
      <c r="AC9">
        <v>11.51</v>
      </c>
      <c r="AD9">
        <v>11.51</v>
      </c>
      <c r="AE9">
        <v>11.51</v>
      </c>
      <c r="AF9">
        <v>11.51</v>
      </c>
      <c r="AG9">
        <v>11.51</v>
      </c>
    </row>
    <row r="10" spans="1:33">
      <c r="A10" t="s">
        <v>4405</v>
      </c>
      <c r="B10">
        <v>3.306</v>
      </c>
      <c r="C10">
        <v>3.306</v>
      </c>
      <c r="D10">
        <v>3.306</v>
      </c>
      <c r="E10">
        <v>4.306</v>
      </c>
      <c r="F10">
        <v>4.8860000000000001</v>
      </c>
      <c r="G10">
        <v>5.0960000000000001</v>
      </c>
      <c r="H10">
        <v>5.3259999999999996</v>
      </c>
      <c r="I10">
        <v>5.5460000000000003</v>
      </c>
      <c r="J10">
        <v>5.766</v>
      </c>
      <c r="K10">
        <v>5.9660000000000002</v>
      </c>
      <c r="L10">
        <v>6.1559999999999997</v>
      </c>
      <c r="M10">
        <v>6.3360000000000003</v>
      </c>
      <c r="N10">
        <v>6.9859999999999998</v>
      </c>
      <c r="O10">
        <v>7.6559999999999997</v>
      </c>
      <c r="P10">
        <v>8.3559999999999999</v>
      </c>
      <c r="Q10">
        <v>9.0860000000000003</v>
      </c>
      <c r="R10">
        <v>9.8360000000000003</v>
      </c>
      <c r="S10">
        <v>10.616</v>
      </c>
      <c r="T10">
        <v>11.456</v>
      </c>
      <c r="U10">
        <v>12.375999999999999</v>
      </c>
      <c r="V10">
        <v>13.396000000000001</v>
      </c>
      <c r="W10">
        <v>14.516</v>
      </c>
      <c r="X10">
        <v>15.746</v>
      </c>
      <c r="Y10">
        <v>17.096</v>
      </c>
      <c r="Z10">
        <v>18.576000000000001</v>
      </c>
      <c r="AA10">
        <v>20.166</v>
      </c>
      <c r="AB10">
        <v>21.756</v>
      </c>
      <c r="AC10">
        <v>23.346</v>
      </c>
      <c r="AD10">
        <v>24.936</v>
      </c>
      <c r="AE10">
        <v>26.526</v>
      </c>
      <c r="AF10">
        <v>28.116</v>
      </c>
      <c r="AG10">
        <v>29.706</v>
      </c>
    </row>
    <row r="11" spans="1:33">
      <c r="A11" t="s">
        <v>4406</v>
      </c>
      <c r="B11">
        <v>0.71099999999999997</v>
      </c>
      <c r="C11">
        <v>0.71099999999999997</v>
      </c>
      <c r="D11">
        <v>0.71099999999999997</v>
      </c>
      <c r="E11">
        <v>0.71099999999999997</v>
      </c>
      <c r="F11">
        <v>0.71099999999999997</v>
      </c>
      <c r="G11">
        <v>0.71099999999999997</v>
      </c>
      <c r="H11">
        <v>0.71099999999999997</v>
      </c>
      <c r="I11">
        <v>0.71099999999999997</v>
      </c>
      <c r="J11">
        <v>0.71099999999999997</v>
      </c>
      <c r="K11">
        <v>0.71099999999999997</v>
      </c>
      <c r="L11">
        <v>0.71099999999999997</v>
      </c>
      <c r="M11">
        <v>0.71099999999999997</v>
      </c>
      <c r="N11">
        <v>0.71099999999999997</v>
      </c>
      <c r="O11">
        <v>0.71099999999999997</v>
      </c>
      <c r="P11">
        <v>0.71099999999999997</v>
      </c>
      <c r="Q11">
        <v>0.71099999999999997</v>
      </c>
      <c r="R11">
        <v>0.71099999999999997</v>
      </c>
      <c r="S11">
        <v>0.71099999999999997</v>
      </c>
      <c r="T11">
        <v>0.71099999999999997</v>
      </c>
      <c r="U11">
        <v>0.71099999999999997</v>
      </c>
      <c r="V11">
        <v>0.71099999999999997</v>
      </c>
      <c r="W11">
        <v>0.71099999999999997</v>
      </c>
      <c r="X11">
        <v>0.71099999999999997</v>
      </c>
      <c r="Y11">
        <v>0.71099999999999997</v>
      </c>
      <c r="Z11">
        <v>0.71099999999999997</v>
      </c>
      <c r="AA11">
        <v>0.71099999999999997</v>
      </c>
      <c r="AB11">
        <v>0.71099999999999997</v>
      </c>
      <c r="AC11">
        <v>0.71099999999999997</v>
      </c>
      <c r="AD11">
        <v>0.71099999999999997</v>
      </c>
      <c r="AE11">
        <v>0.71099999999999997</v>
      </c>
      <c r="AF11">
        <v>0.71099999999999997</v>
      </c>
      <c r="AG11">
        <v>0.71099999999999997</v>
      </c>
    </row>
    <row r="12" spans="1:33">
      <c r="A12" t="s">
        <v>4407</v>
      </c>
      <c r="B12">
        <v>0.35</v>
      </c>
      <c r="C12">
        <v>0.35</v>
      </c>
      <c r="D12">
        <v>0.35</v>
      </c>
      <c r="E12">
        <v>0.35</v>
      </c>
      <c r="F12">
        <v>0.35</v>
      </c>
      <c r="G12">
        <v>0.35</v>
      </c>
      <c r="H12">
        <v>0.35</v>
      </c>
      <c r="I12">
        <v>0.35</v>
      </c>
      <c r="J12">
        <v>0.35</v>
      </c>
      <c r="K12">
        <v>0.35</v>
      </c>
      <c r="L12">
        <v>0.35</v>
      </c>
      <c r="M12">
        <v>0.35</v>
      </c>
      <c r="N12">
        <v>4.5</v>
      </c>
      <c r="O12">
        <v>13.05</v>
      </c>
      <c r="P12">
        <v>21.35</v>
      </c>
      <c r="Q12">
        <v>28.75</v>
      </c>
      <c r="R12">
        <v>35.5</v>
      </c>
      <c r="S12">
        <v>41.9</v>
      </c>
      <c r="T12">
        <v>48.1</v>
      </c>
      <c r="U12">
        <v>54.4</v>
      </c>
      <c r="V12">
        <v>60.6</v>
      </c>
      <c r="W12">
        <v>66.5</v>
      </c>
      <c r="X12">
        <v>72.25</v>
      </c>
      <c r="Y12">
        <v>77.55</v>
      </c>
      <c r="Z12">
        <v>80.55</v>
      </c>
      <c r="AA12">
        <v>83.55</v>
      </c>
      <c r="AB12">
        <v>86.5</v>
      </c>
      <c r="AC12">
        <v>89.4</v>
      </c>
      <c r="AD12">
        <v>92.2</v>
      </c>
      <c r="AE12">
        <v>95.1</v>
      </c>
      <c r="AF12">
        <v>98.35</v>
      </c>
      <c r="AG12">
        <v>101.35</v>
      </c>
    </row>
    <row r="13" spans="1:33">
      <c r="A13" t="s">
        <v>4408</v>
      </c>
      <c r="B13">
        <v>0.25800000000000001</v>
      </c>
      <c r="C13">
        <v>0.25800000000000001</v>
      </c>
      <c r="D13">
        <v>0.25800000000000001</v>
      </c>
      <c r="E13">
        <v>0.25800000000000001</v>
      </c>
      <c r="F13">
        <v>0.25800000000000001</v>
      </c>
      <c r="G13">
        <v>0.25800000000000001</v>
      </c>
      <c r="H13">
        <v>0.25800000000000001</v>
      </c>
      <c r="I13">
        <v>0.25800000000000001</v>
      </c>
      <c r="J13">
        <v>0.25800000000000001</v>
      </c>
      <c r="K13">
        <v>0.25800000000000001</v>
      </c>
      <c r="L13">
        <v>0.25800000000000001</v>
      </c>
      <c r="M13">
        <v>0.25800000000000001</v>
      </c>
      <c r="N13">
        <v>0.25800000000000001</v>
      </c>
      <c r="O13">
        <v>0.25800000000000001</v>
      </c>
      <c r="P13">
        <v>0.25800000000000001</v>
      </c>
      <c r="Q13">
        <v>0.25800000000000001</v>
      </c>
      <c r="R13">
        <v>0.25800000000000001</v>
      </c>
      <c r="S13">
        <v>0.25800000000000001</v>
      </c>
      <c r="T13">
        <v>0.25800000000000001</v>
      </c>
      <c r="U13">
        <v>0.25800000000000001</v>
      </c>
      <c r="V13">
        <v>0.25800000000000001</v>
      </c>
      <c r="W13">
        <v>0.25800000000000001</v>
      </c>
      <c r="X13">
        <v>0.25800000000000001</v>
      </c>
      <c r="Y13">
        <v>0.25800000000000001</v>
      </c>
      <c r="Z13">
        <v>0.25800000000000001</v>
      </c>
      <c r="AA13">
        <v>0.25800000000000001</v>
      </c>
      <c r="AB13">
        <v>0.25800000000000001</v>
      </c>
      <c r="AC13">
        <v>0.25800000000000001</v>
      </c>
      <c r="AD13">
        <v>0.25800000000000001</v>
      </c>
      <c r="AE13">
        <v>0.25800000000000001</v>
      </c>
      <c r="AF13">
        <v>0.25800000000000001</v>
      </c>
      <c r="AG13">
        <v>0.25800000000000001</v>
      </c>
    </row>
    <row r="14" spans="1:33">
      <c r="A14" t="s">
        <v>4409</v>
      </c>
      <c r="B14">
        <v>0</v>
      </c>
      <c r="C14">
        <v>0</v>
      </c>
      <c r="D14">
        <v>0</v>
      </c>
      <c r="E14">
        <v>0</v>
      </c>
      <c r="F14">
        <v>0</v>
      </c>
      <c r="G14">
        <v>0</v>
      </c>
      <c r="H14">
        <v>0.01</v>
      </c>
      <c r="I14">
        <v>0.02</v>
      </c>
      <c r="J14">
        <v>0.03</v>
      </c>
      <c r="K14">
        <v>3.5000000000000003E-2</v>
      </c>
      <c r="L14">
        <v>0.04</v>
      </c>
      <c r="M14">
        <v>4.4999999999999998E-2</v>
      </c>
      <c r="N14">
        <v>0.05</v>
      </c>
      <c r="O14">
        <v>5.5E-2</v>
      </c>
      <c r="P14">
        <v>0.06</v>
      </c>
      <c r="Q14">
        <v>7.0000000000000007E-2</v>
      </c>
      <c r="R14">
        <v>8.5000000000000006E-2</v>
      </c>
      <c r="S14">
        <v>0.1</v>
      </c>
      <c r="T14">
        <v>0.115</v>
      </c>
      <c r="U14">
        <v>0.13500000000000001</v>
      </c>
      <c r="V14">
        <v>0.155</v>
      </c>
      <c r="W14">
        <v>0.17499999999999999</v>
      </c>
      <c r="X14">
        <v>0.19500000000000001</v>
      </c>
      <c r="Y14">
        <v>0.215</v>
      </c>
      <c r="Z14">
        <v>0.23499999999999999</v>
      </c>
      <c r="AA14">
        <v>0.255</v>
      </c>
      <c r="AB14">
        <v>0.27500000000000002</v>
      </c>
      <c r="AC14">
        <v>0.29499999999999998</v>
      </c>
      <c r="AD14">
        <v>0.32</v>
      </c>
      <c r="AE14">
        <v>0.34</v>
      </c>
      <c r="AF14">
        <v>0.36</v>
      </c>
      <c r="AG14">
        <v>0.38</v>
      </c>
    </row>
    <row r="15" spans="1:33">
      <c r="A15" t="s">
        <v>4410</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row>
    <row r="16" spans="1:33">
      <c r="A16" t="s">
        <v>4411</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row>
    <row r="17" spans="1:33">
      <c r="A17" t="s">
        <v>4412</v>
      </c>
      <c r="B17">
        <v>0.114</v>
      </c>
      <c r="C17">
        <v>0.114</v>
      </c>
      <c r="D17">
        <v>0.114</v>
      </c>
      <c r="E17">
        <v>0.114</v>
      </c>
      <c r="F17">
        <v>0.114</v>
      </c>
      <c r="G17">
        <v>0.114</v>
      </c>
      <c r="H17">
        <v>0.114</v>
      </c>
      <c r="I17">
        <v>0.114</v>
      </c>
      <c r="J17">
        <v>0.114</v>
      </c>
      <c r="K17">
        <v>0.114</v>
      </c>
      <c r="L17">
        <v>0.114</v>
      </c>
      <c r="M17">
        <v>0.114</v>
      </c>
      <c r="N17">
        <v>0.114</v>
      </c>
      <c r="O17">
        <v>0.114</v>
      </c>
      <c r="P17">
        <v>0.114</v>
      </c>
      <c r="Q17">
        <v>0.114</v>
      </c>
      <c r="R17">
        <v>0.114</v>
      </c>
      <c r="S17">
        <v>0.114</v>
      </c>
      <c r="T17">
        <v>0.114</v>
      </c>
      <c r="U17">
        <v>0.114</v>
      </c>
      <c r="V17">
        <v>0.114</v>
      </c>
      <c r="W17">
        <v>0.114</v>
      </c>
      <c r="X17">
        <v>0.114</v>
      </c>
      <c r="Y17">
        <v>0.114</v>
      </c>
      <c r="Z17">
        <v>0.114</v>
      </c>
      <c r="AA17">
        <v>0.114</v>
      </c>
      <c r="AB17">
        <v>0.114</v>
      </c>
      <c r="AC17">
        <v>0.114</v>
      </c>
      <c r="AD17">
        <v>0.114</v>
      </c>
      <c r="AE17">
        <v>0.114</v>
      </c>
      <c r="AF17">
        <v>0.114</v>
      </c>
      <c r="AG17">
        <v>0.114</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0379E-DB1F-453E-AD6C-B7918332C1B6}">
  <sheetPr codeName="Sheet50"/>
  <dimension ref="A1:AG76"/>
  <sheetViews>
    <sheetView workbookViewId="0">
      <selection activeCell="E4" sqref="E4"/>
    </sheetView>
  </sheetViews>
  <sheetFormatPr baseColWidth="10" defaultColWidth="8.83203125" defaultRowHeight="15"/>
  <cols>
    <col min="1" max="1" width="94.6640625" customWidth="1"/>
  </cols>
  <sheetData>
    <row r="1" spans="1:33">
      <c r="A1" s="3" t="s">
        <v>4396</v>
      </c>
      <c r="B1">
        <v>2019</v>
      </c>
      <c r="C1">
        <v>2020</v>
      </c>
      <c r="D1">
        <v>2021</v>
      </c>
      <c r="E1">
        <v>2022</v>
      </c>
      <c r="F1">
        <v>2023</v>
      </c>
      <c r="G1">
        <v>2024</v>
      </c>
      <c r="H1">
        <v>2025</v>
      </c>
      <c r="I1">
        <v>2026</v>
      </c>
      <c r="J1">
        <v>2027</v>
      </c>
      <c r="K1">
        <v>2028</v>
      </c>
      <c r="L1">
        <v>2029</v>
      </c>
      <c r="M1">
        <v>2030</v>
      </c>
      <c r="N1">
        <v>2031</v>
      </c>
      <c r="O1">
        <v>2032</v>
      </c>
      <c r="P1">
        <v>2033</v>
      </c>
      <c r="Q1">
        <v>2034</v>
      </c>
      <c r="R1">
        <v>2035</v>
      </c>
      <c r="S1">
        <v>2036</v>
      </c>
      <c r="T1">
        <v>2037</v>
      </c>
      <c r="U1">
        <v>2038</v>
      </c>
      <c r="V1">
        <v>2039</v>
      </c>
      <c r="W1">
        <v>2040</v>
      </c>
      <c r="X1">
        <v>2041</v>
      </c>
      <c r="Y1">
        <v>2042</v>
      </c>
      <c r="Z1">
        <v>2043</v>
      </c>
      <c r="AA1">
        <v>2044</v>
      </c>
      <c r="AB1">
        <v>2045</v>
      </c>
      <c r="AC1">
        <v>2046</v>
      </c>
      <c r="AD1">
        <v>2047</v>
      </c>
      <c r="AE1">
        <v>2048</v>
      </c>
      <c r="AF1">
        <v>2049</v>
      </c>
      <c r="AG1">
        <v>2050</v>
      </c>
    </row>
    <row r="2" spans="1:33">
      <c r="A2" t="s">
        <v>4413</v>
      </c>
      <c r="B2">
        <v>0</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row>
    <row r="3" spans="1:33">
      <c r="A3" t="s">
        <v>4414</v>
      </c>
      <c r="B3">
        <v>0</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row>
    <row r="4" spans="1:33">
      <c r="A4" t="s">
        <v>4415</v>
      </c>
      <c r="B4" s="493">
        <v>716200000000000</v>
      </c>
      <c r="C4" s="493">
        <v>657763000000000</v>
      </c>
      <c r="D4" s="493">
        <v>687661000000000</v>
      </c>
      <c r="E4" s="493">
        <v>702772000000000</v>
      </c>
      <c r="F4" s="493">
        <v>717262000000000</v>
      </c>
      <c r="G4" s="493">
        <v>728144000000000</v>
      </c>
      <c r="H4" s="493">
        <v>737303000000000</v>
      </c>
      <c r="I4" s="493">
        <v>745442000000000</v>
      </c>
      <c r="J4" s="493">
        <v>753117000000000</v>
      </c>
      <c r="K4" s="493">
        <v>764955000000000</v>
      </c>
      <c r="L4" s="493">
        <v>776675000000000</v>
      </c>
      <c r="M4" s="493">
        <v>788237000000000</v>
      </c>
      <c r="N4" s="493">
        <v>799868000000000</v>
      </c>
      <c r="O4" s="493">
        <v>811500000000000</v>
      </c>
      <c r="P4" s="493">
        <v>823100000000000</v>
      </c>
      <c r="Q4" s="493">
        <v>834800000000000</v>
      </c>
      <c r="R4" s="493">
        <v>846400000000000</v>
      </c>
      <c r="S4" s="493">
        <v>858000000000000</v>
      </c>
      <c r="T4" s="493">
        <v>869700000000000</v>
      </c>
      <c r="U4" s="493">
        <v>878900000000000</v>
      </c>
      <c r="V4" s="493">
        <v>888100000000000</v>
      </c>
      <c r="W4" s="493">
        <v>897400000000000</v>
      </c>
      <c r="X4" s="493">
        <v>906600000000000</v>
      </c>
      <c r="Y4" s="493">
        <v>915900000000000</v>
      </c>
      <c r="Z4" s="493">
        <v>927900000000000</v>
      </c>
      <c r="AA4" s="493">
        <v>939900000000000</v>
      </c>
      <c r="AB4" s="493">
        <v>951900000000000</v>
      </c>
      <c r="AC4" s="493">
        <v>963900000000000</v>
      </c>
      <c r="AD4" s="493">
        <v>976000000000000</v>
      </c>
      <c r="AE4" s="493">
        <v>988000000000000</v>
      </c>
      <c r="AF4" s="493">
        <v>1000000000000000</v>
      </c>
      <c r="AG4" s="493">
        <v>1012000000000000</v>
      </c>
    </row>
    <row r="5" spans="1:33">
      <c r="A5" t="s">
        <v>4416</v>
      </c>
      <c r="B5">
        <v>0</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row>
    <row r="6" spans="1:33">
      <c r="A6" t="s">
        <v>4417</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row>
    <row r="7" spans="1:33">
      <c r="A7" t="s">
        <v>4418</v>
      </c>
      <c r="B7">
        <v>0</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row>
    <row r="8" spans="1:33">
      <c r="A8" t="s">
        <v>4419</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row>
    <row r="9" spans="1:33">
      <c r="A9" t="s">
        <v>4420</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row>
    <row r="10" spans="1:33">
      <c r="A10" t="s">
        <v>4421</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row>
    <row r="11" spans="1:33">
      <c r="A11" t="s">
        <v>4422</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row>
    <row r="14" spans="1:33">
      <c r="B14" s="493"/>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493"/>
      <c r="AA14" s="493"/>
      <c r="AB14" s="493"/>
      <c r="AC14" s="493"/>
      <c r="AD14" s="493"/>
      <c r="AE14" s="493"/>
      <c r="AF14" s="493"/>
      <c r="AG14" s="493"/>
    </row>
    <row r="18" spans="2:33">
      <c r="B18" s="493"/>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493"/>
      <c r="AC18" s="493"/>
      <c r="AD18" s="493"/>
      <c r="AE18" s="493"/>
      <c r="AF18" s="493"/>
      <c r="AG18" s="493"/>
    </row>
    <row r="24" spans="2:33">
      <c r="B24" s="493"/>
      <c r="C24" s="493"/>
      <c r="D24" s="493"/>
      <c r="E24" s="493"/>
      <c r="F24" s="493"/>
      <c r="G24" s="493"/>
      <c r="H24" s="493"/>
      <c r="I24" s="493"/>
      <c r="J24" s="493"/>
      <c r="K24" s="493"/>
      <c r="L24" s="493"/>
      <c r="M24" s="493"/>
      <c r="N24" s="493"/>
      <c r="O24" s="493"/>
      <c r="P24" s="493"/>
      <c r="Q24" s="493"/>
      <c r="R24" s="493"/>
      <c r="S24" s="493"/>
      <c r="T24" s="493"/>
      <c r="U24" s="493"/>
      <c r="V24" s="493"/>
      <c r="W24" s="493"/>
      <c r="X24" s="493"/>
      <c r="Y24" s="493"/>
      <c r="Z24" s="493"/>
      <c r="AA24" s="493"/>
      <c r="AB24" s="493"/>
      <c r="AC24" s="493"/>
      <c r="AD24" s="493"/>
      <c r="AE24" s="493"/>
      <c r="AF24" s="493"/>
      <c r="AG24" s="493"/>
    </row>
    <row r="34" spans="2:33">
      <c r="B34" s="493"/>
      <c r="C34" s="493"/>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3"/>
      <c r="AF34" s="493"/>
      <c r="AG34" s="493"/>
    </row>
    <row r="76" spans="2:33">
      <c r="B76" s="493"/>
      <c r="C76" s="493"/>
      <c r="D76" s="493"/>
      <c r="E76" s="493"/>
      <c r="F76" s="493"/>
      <c r="G76" s="493"/>
      <c r="H76" s="493"/>
      <c r="I76" s="493"/>
      <c r="J76" s="493"/>
      <c r="K76" s="493"/>
      <c r="L76" s="493"/>
      <c r="M76" s="493"/>
      <c r="N76" s="493"/>
      <c r="O76" s="493"/>
      <c r="P76" s="493"/>
      <c r="Q76" s="493"/>
      <c r="R76" s="493"/>
      <c r="S76" s="493"/>
      <c r="T76" s="493"/>
      <c r="U76" s="493"/>
      <c r="V76" s="493"/>
      <c r="W76" s="493"/>
      <c r="X76" s="493"/>
      <c r="Y76" s="493"/>
      <c r="Z76" s="493"/>
      <c r="AA76" s="493"/>
      <c r="AB76" s="493"/>
      <c r="AC76" s="493"/>
      <c r="AD76" s="493"/>
      <c r="AE76" s="493"/>
      <c r="AF76" s="493"/>
      <c r="AG76" s="493"/>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61F41-9DEB-405F-BB0D-C6D40C5594A0}">
  <sheetPr codeName="Sheet51"/>
  <dimension ref="A1:AG11"/>
  <sheetViews>
    <sheetView workbookViewId="0"/>
  </sheetViews>
  <sheetFormatPr baseColWidth="10" defaultColWidth="8.83203125" defaultRowHeight="15"/>
  <cols>
    <col min="1" max="1" width="105.1640625" customWidth="1"/>
  </cols>
  <sheetData>
    <row r="1" spans="1:33">
      <c r="A1" t="s">
        <v>4396</v>
      </c>
      <c r="B1">
        <v>2019</v>
      </c>
      <c r="C1">
        <v>2020</v>
      </c>
      <c r="D1">
        <v>2021</v>
      </c>
      <c r="E1">
        <v>2022</v>
      </c>
      <c r="F1">
        <v>2023</v>
      </c>
      <c r="G1">
        <v>2024</v>
      </c>
      <c r="H1">
        <v>2025</v>
      </c>
      <c r="I1">
        <v>2026</v>
      </c>
      <c r="J1">
        <v>2027</v>
      </c>
      <c r="K1">
        <v>2028</v>
      </c>
      <c r="L1">
        <v>2029</v>
      </c>
      <c r="M1">
        <v>2030</v>
      </c>
      <c r="N1">
        <v>2031</v>
      </c>
      <c r="O1">
        <v>2032</v>
      </c>
      <c r="P1">
        <v>2033</v>
      </c>
      <c r="Q1">
        <v>2034</v>
      </c>
      <c r="R1">
        <v>2035</v>
      </c>
      <c r="S1">
        <v>2036</v>
      </c>
      <c r="T1">
        <v>2037</v>
      </c>
      <c r="U1">
        <v>2038</v>
      </c>
      <c r="V1">
        <v>2039</v>
      </c>
      <c r="W1">
        <v>2040</v>
      </c>
      <c r="X1">
        <v>2041</v>
      </c>
      <c r="Y1">
        <v>2042</v>
      </c>
      <c r="Z1">
        <v>2043</v>
      </c>
      <c r="AA1">
        <v>2044</v>
      </c>
      <c r="AB1">
        <v>2045</v>
      </c>
      <c r="AC1">
        <v>2046</v>
      </c>
      <c r="AD1">
        <v>2047</v>
      </c>
      <c r="AE1">
        <v>2048</v>
      </c>
      <c r="AF1">
        <v>2049</v>
      </c>
      <c r="AG1">
        <v>2050</v>
      </c>
    </row>
    <row r="2" spans="1:33">
      <c r="A2" t="s">
        <v>4827</v>
      </c>
      <c r="B2">
        <v>0</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row>
    <row r="3" spans="1:33">
      <c r="A3" t="s">
        <v>4828</v>
      </c>
      <c r="B3" s="493">
        <v>342835000000</v>
      </c>
      <c r="C3" s="493">
        <v>321719000000</v>
      </c>
      <c r="D3" s="493">
        <v>343454000000</v>
      </c>
      <c r="E3" s="493">
        <v>358310000000</v>
      </c>
      <c r="F3" s="493">
        <v>365571000000</v>
      </c>
      <c r="G3" s="493">
        <v>370992000000</v>
      </c>
      <c r="H3" s="493">
        <v>375483000000</v>
      </c>
      <c r="I3" s="493">
        <v>379504000000</v>
      </c>
      <c r="J3" s="493">
        <v>383289000000</v>
      </c>
      <c r="K3" s="493">
        <v>382838000000</v>
      </c>
      <c r="L3" s="493">
        <v>382325000000</v>
      </c>
      <c r="M3" s="493">
        <v>381781000000</v>
      </c>
      <c r="N3" s="493">
        <v>381222000000</v>
      </c>
      <c r="O3" s="493">
        <v>380662000000</v>
      </c>
      <c r="P3" s="493">
        <v>380183000000</v>
      </c>
      <c r="Q3" s="493">
        <v>379705000000</v>
      </c>
      <c r="R3" s="493">
        <v>379226000000</v>
      </c>
      <c r="S3" s="493">
        <v>378747000000</v>
      </c>
      <c r="T3" s="493">
        <v>378268000000</v>
      </c>
      <c r="U3" s="493">
        <v>365149000000</v>
      </c>
      <c r="V3" s="493">
        <v>352029000000</v>
      </c>
      <c r="W3" s="493">
        <v>338909000000</v>
      </c>
      <c r="X3" s="493">
        <v>325789000000</v>
      </c>
      <c r="Y3" s="493">
        <v>312670000000</v>
      </c>
      <c r="Z3" s="493">
        <v>301848000000</v>
      </c>
      <c r="AA3" s="493">
        <v>291027000000</v>
      </c>
      <c r="AB3" s="493">
        <v>280206000000</v>
      </c>
      <c r="AC3" s="493">
        <v>269384000000</v>
      </c>
      <c r="AD3" s="493">
        <v>258563000000</v>
      </c>
      <c r="AE3" s="493">
        <v>247742000000</v>
      </c>
      <c r="AF3" s="493">
        <v>236920000000</v>
      </c>
      <c r="AG3" s="493">
        <v>226099000000</v>
      </c>
    </row>
    <row r="4" spans="1:33">
      <c r="A4" t="s">
        <v>4829</v>
      </c>
      <c r="B4">
        <v>0</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row>
    <row r="5" spans="1:33">
      <c r="A5" t="s">
        <v>4830</v>
      </c>
      <c r="B5">
        <v>0</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row>
    <row r="6" spans="1:33">
      <c r="A6" t="s">
        <v>4831</v>
      </c>
      <c r="B6" s="493">
        <v>62510000000000</v>
      </c>
      <c r="C6" s="493">
        <v>58653400000000</v>
      </c>
      <c r="D6" s="493">
        <v>62619200000000</v>
      </c>
      <c r="E6" s="493">
        <v>65330900000000</v>
      </c>
      <c r="F6" s="493">
        <v>66648900000000</v>
      </c>
      <c r="G6" s="493">
        <v>67641100000000</v>
      </c>
      <c r="H6" s="493">
        <v>68453900000000</v>
      </c>
      <c r="I6" s="493">
        <v>69191100000000</v>
      </c>
      <c r="J6" s="493">
        <v>69885100000000</v>
      </c>
      <c r="K6" s="493">
        <v>69797600000000</v>
      </c>
      <c r="L6" s="493">
        <v>69708800000000</v>
      </c>
      <c r="M6" s="493">
        <v>69604400000000</v>
      </c>
      <c r="N6" s="493">
        <v>69507200000000</v>
      </c>
      <c r="O6" s="493">
        <v>69400000000000</v>
      </c>
      <c r="P6" s="493">
        <v>69310000000000</v>
      </c>
      <c r="Q6" s="493">
        <v>69230000000000</v>
      </c>
      <c r="R6" s="493">
        <v>69140000000000</v>
      </c>
      <c r="S6" s="493">
        <v>69050000000000</v>
      </c>
      <c r="T6" s="493">
        <v>68970000000000</v>
      </c>
      <c r="U6" s="493">
        <v>66570000000000</v>
      </c>
      <c r="V6" s="493">
        <v>64180000000000</v>
      </c>
      <c r="W6" s="493">
        <v>61790000000000</v>
      </c>
      <c r="X6" s="493">
        <v>59400000000000</v>
      </c>
      <c r="Y6" s="493">
        <v>57010000000000</v>
      </c>
      <c r="Z6" s="493">
        <v>55030000000000</v>
      </c>
      <c r="AA6" s="493">
        <v>53060000000000</v>
      </c>
      <c r="AB6" s="493">
        <v>51090000000000</v>
      </c>
      <c r="AC6" s="493">
        <v>49110000000000</v>
      </c>
      <c r="AD6" s="493">
        <v>47140000000000</v>
      </c>
      <c r="AE6" s="493">
        <v>45170000000000</v>
      </c>
      <c r="AF6" s="493">
        <v>43200000000000</v>
      </c>
      <c r="AG6" s="493">
        <v>41220000000000</v>
      </c>
    </row>
    <row r="7" spans="1:33">
      <c r="A7" t="s">
        <v>4832</v>
      </c>
      <c r="B7">
        <v>0</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row>
    <row r="8" spans="1:33">
      <c r="A8" t="s">
        <v>4833</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row>
    <row r="9" spans="1:33">
      <c r="A9" t="s">
        <v>4834</v>
      </c>
      <c r="B9" s="493">
        <v>2114720000000</v>
      </c>
      <c r="C9" s="493">
        <v>1984470000000</v>
      </c>
      <c r="D9" s="493">
        <v>2118530000000</v>
      </c>
      <c r="E9" s="493">
        <v>2210170000000</v>
      </c>
      <c r="F9" s="493">
        <v>2254960000000</v>
      </c>
      <c r="G9" s="493">
        <v>2288400000000</v>
      </c>
      <c r="H9" s="493">
        <v>2316100000000</v>
      </c>
      <c r="I9" s="493">
        <v>2340900000000</v>
      </c>
      <c r="J9" s="493">
        <v>2364250000000</v>
      </c>
      <c r="K9" s="493">
        <v>2361460000000</v>
      </c>
      <c r="L9" s="493">
        <v>2358300000000</v>
      </c>
      <c r="M9" s="493">
        <v>2354950000000</v>
      </c>
      <c r="N9" s="493">
        <v>2351500000000</v>
      </c>
      <c r="O9" s="493">
        <v>2348050000000</v>
      </c>
      <c r="P9" s="493">
        <v>2345090000000</v>
      </c>
      <c r="Q9" s="493">
        <v>2342140000000</v>
      </c>
      <c r="R9" s="493">
        <v>2339190000000</v>
      </c>
      <c r="S9" s="493">
        <v>2336230000000</v>
      </c>
      <c r="T9" s="493">
        <v>2333280000000</v>
      </c>
      <c r="U9" s="493">
        <v>2252350000000</v>
      </c>
      <c r="V9" s="493">
        <v>2171430000000</v>
      </c>
      <c r="W9" s="493">
        <v>2090500000000</v>
      </c>
      <c r="X9" s="493">
        <v>2009570000000</v>
      </c>
      <c r="Y9" s="493">
        <v>1928650000000</v>
      </c>
      <c r="Z9" s="493">
        <v>1861900000000</v>
      </c>
      <c r="AA9" s="493">
        <v>1795150000000</v>
      </c>
      <c r="AB9" s="493">
        <v>1728400000000</v>
      </c>
      <c r="AC9" s="493">
        <v>1661650000000</v>
      </c>
      <c r="AD9" s="493">
        <v>1594900000000</v>
      </c>
      <c r="AE9" s="493">
        <v>1528150000000</v>
      </c>
      <c r="AF9" s="493">
        <v>1461400000000</v>
      </c>
      <c r="AG9" s="493">
        <v>1394650000000</v>
      </c>
    </row>
    <row r="10" spans="1:33">
      <c r="A10" t="s">
        <v>4835</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row>
    <row r="11" spans="1:33">
      <c r="A11" t="s">
        <v>4836</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9A6A6-E78E-485B-A8C5-91E4EE3DE059}">
  <sheetPr codeName="Sheet52"/>
  <dimension ref="A1:AJ46"/>
  <sheetViews>
    <sheetView workbookViewId="0">
      <selection activeCell="C6" sqref="C6"/>
    </sheetView>
  </sheetViews>
  <sheetFormatPr baseColWidth="10" defaultColWidth="9" defaultRowHeight="15"/>
  <cols>
    <col min="1" max="1" width="27.1640625" customWidth="1"/>
    <col min="2" max="2" width="52.1640625" customWidth="1"/>
    <col min="3" max="3" width="10.5" customWidth="1"/>
  </cols>
  <sheetData>
    <row r="1" spans="1:36">
      <c r="A1" s="911" t="s">
        <v>4423</v>
      </c>
      <c r="B1" s="904"/>
      <c r="C1" s="904"/>
      <c r="D1" s="904"/>
      <c r="E1" s="904"/>
      <c r="F1" s="904"/>
      <c r="G1" s="904"/>
      <c r="H1" s="904"/>
      <c r="I1" s="904"/>
      <c r="J1" s="904"/>
      <c r="K1" s="904"/>
      <c r="L1" s="904"/>
      <c r="M1" s="904"/>
      <c r="N1" s="904"/>
    </row>
    <row r="2" spans="1:36">
      <c r="A2" s="911" t="s">
        <v>4424</v>
      </c>
      <c r="B2" s="904"/>
      <c r="C2" s="904"/>
      <c r="D2" s="904"/>
      <c r="E2" s="904"/>
      <c r="F2" s="904"/>
      <c r="G2" s="904"/>
      <c r="H2" s="904"/>
      <c r="I2" s="904"/>
      <c r="J2" s="904"/>
      <c r="K2" s="904"/>
      <c r="L2" s="904"/>
      <c r="M2" s="904"/>
      <c r="N2" s="904"/>
    </row>
    <row r="3" spans="1:36">
      <c r="A3" s="911" t="s">
        <v>4425</v>
      </c>
      <c r="B3" s="904"/>
      <c r="C3" s="904"/>
      <c r="D3" s="904"/>
      <c r="E3" s="904"/>
      <c r="F3" s="904"/>
      <c r="G3" s="904"/>
      <c r="H3" s="904"/>
      <c r="I3" s="904"/>
      <c r="J3" s="904"/>
      <c r="K3" s="904"/>
      <c r="L3" s="904"/>
      <c r="M3" s="904"/>
      <c r="N3" s="904"/>
    </row>
    <row r="4" spans="1:36" ht="17">
      <c r="A4" s="912" t="s">
        <v>454</v>
      </c>
      <c r="B4" s="905"/>
      <c r="C4" s="905"/>
      <c r="D4" s="905"/>
      <c r="E4" s="905"/>
      <c r="F4" s="905"/>
      <c r="G4" s="905"/>
      <c r="H4" s="905"/>
      <c r="I4" s="905"/>
      <c r="J4" s="905"/>
      <c r="K4" s="905"/>
      <c r="L4" s="905"/>
      <c r="M4" s="905"/>
      <c r="N4" s="905"/>
    </row>
    <row r="5" spans="1:36" ht="13.5" customHeight="1">
      <c r="A5" s="2210" t="s">
        <v>4426</v>
      </c>
      <c r="B5" s="2215" t="s">
        <v>4427</v>
      </c>
      <c r="C5" s="2217" t="s">
        <v>4428</v>
      </c>
      <c r="D5" s="2218"/>
      <c r="E5" s="2212" t="s">
        <v>457</v>
      </c>
      <c r="F5" s="2212" t="s">
        <v>458</v>
      </c>
      <c r="G5" s="2212" t="s">
        <v>459</v>
      </c>
      <c r="H5" s="2212" t="s">
        <v>460</v>
      </c>
      <c r="I5" s="2212" t="s">
        <v>4429</v>
      </c>
      <c r="J5" s="2212" t="s">
        <v>4430</v>
      </c>
      <c r="K5" s="2212" t="s">
        <v>461</v>
      </c>
      <c r="L5" s="2212" t="s">
        <v>462</v>
      </c>
      <c r="M5" s="2212" t="s">
        <v>463</v>
      </c>
      <c r="N5" s="2210" t="s">
        <v>464</v>
      </c>
    </row>
    <row r="6" spans="1:36" ht="90">
      <c r="A6" s="2214"/>
      <c r="B6" s="2216"/>
      <c r="C6" s="913" t="s">
        <v>4431</v>
      </c>
      <c r="D6" s="913" t="s">
        <v>4432</v>
      </c>
      <c r="E6" s="2213"/>
      <c r="F6" s="2213"/>
      <c r="G6" s="2213"/>
      <c r="H6" s="2213"/>
      <c r="I6" s="2213"/>
      <c r="J6" s="2213"/>
      <c r="K6" s="2213"/>
      <c r="L6" s="2213"/>
      <c r="M6" s="2213"/>
      <c r="N6" s="2211"/>
      <c r="O6" s="913" t="s">
        <v>465</v>
      </c>
      <c r="P6" s="913" t="s">
        <v>468</v>
      </c>
      <c r="Q6" s="913" t="s">
        <v>469</v>
      </c>
      <c r="R6" s="913" t="s">
        <v>470</v>
      </c>
      <c r="S6" s="913" t="s">
        <v>471</v>
      </c>
      <c r="T6" s="913" t="s">
        <v>472</v>
      </c>
      <c r="U6" s="913" t="s">
        <v>473</v>
      </c>
      <c r="V6" s="913" t="s">
        <v>474</v>
      </c>
      <c r="W6" s="913" t="s">
        <v>475</v>
      </c>
      <c r="X6" s="913" t="s">
        <v>476</v>
      </c>
      <c r="Y6" s="1731" t="s">
        <v>477</v>
      </c>
      <c r="Z6" s="913" t="s">
        <v>478</v>
      </c>
      <c r="AA6" s="913" t="s">
        <v>479</v>
      </c>
      <c r="AB6" s="913" t="s">
        <v>480</v>
      </c>
      <c r="AC6" s="913" t="s">
        <v>481</v>
      </c>
      <c r="AD6" s="913" t="s">
        <v>482</v>
      </c>
      <c r="AE6" s="913" t="s">
        <v>483</v>
      </c>
      <c r="AF6" s="913" t="s">
        <v>484</v>
      </c>
      <c r="AG6" s="913" t="s">
        <v>485</v>
      </c>
      <c r="AH6" s="913" t="s">
        <v>486</v>
      </c>
      <c r="AI6" s="913" t="s">
        <v>487</v>
      </c>
      <c r="AJ6" s="1731" t="s">
        <v>4433</v>
      </c>
    </row>
    <row r="7" spans="1:36">
      <c r="A7" s="914" t="s">
        <v>4434</v>
      </c>
      <c r="B7" s="915" t="s">
        <v>4435</v>
      </c>
      <c r="C7" s="906">
        <v>533840.75</v>
      </c>
      <c r="D7" s="906">
        <v>487105.94</v>
      </c>
      <c r="E7" s="906">
        <v>301134.39</v>
      </c>
      <c r="F7" s="906">
        <v>300510.17</v>
      </c>
      <c r="G7" s="906">
        <v>501.85</v>
      </c>
      <c r="H7" s="906">
        <v>135.71</v>
      </c>
      <c r="I7" s="906">
        <v>-13.35</v>
      </c>
      <c r="J7" s="907"/>
      <c r="K7" s="906">
        <v>-268.43</v>
      </c>
      <c r="L7" s="907"/>
      <c r="M7" s="907"/>
      <c r="N7" s="907"/>
      <c r="O7" s="907"/>
      <c r="P7" s="907"/>
      <c r="Q7" s="906">
        <v>99087.59</v>
      </c>
      <c r="R7" s="906">
        <v>103301.81</v>
      </c>
      <c r="S7" s="906">
        <v>-2477.38</v>
      </c>
      <c r="T7" s="906">
        <v>-998.82</v>
      </c>
      <c r="U7" s="906">
        <v>-2142.92</v>
      </c>
      <c r="V7" s="906">
        <v>-904.18</v>
      </c>
      <c r="W7" s="906">
        <v>1080</v>
      </c>
      <c r="X7" s="906">
        <v>23.08</v>
      </c>
      <c r="Y7" s="906">
        <v>-101.14</v>
      </c>
      <c r="Z7" s="906">
        <v>4.49</v>
      </c>
      <c r="AA7" s="906">
        <v>367.25</v>
      </c>
      <c r="AB7" s="906">
        <v>1127.43</v>
      </c>
      <c r="AC7" s="906">
        <v>3979.01</v>
      </c>
      <c r="AD7" s="907"/>
      <c r="AE7" s="906">
        <v>-4171.0600000000004</v>
      </c>
      <c r="AF7" s="906">
        <v>32722.67</v>
      </c>
      <c r="AG7" s="906">
        <v>13642.06</v>
      </c>
      <c r="AH7" s="907"/>
      <c r="AI7" s="906">
        <v>33356.800000000003</v>
      </c>
      <c r="AJ7" s="906">
        <v>7430.86</v>
      </c>
    </row>
    <row r="8" spans="1:36">
      <c r="A8" s="916" t="s">
        <v>4436</v>
      </c>
      <c r="B8" s="917" t="s">
        <v>4437</v>
      </c>
      <c r="C8" s="906">
        <v>427115.25</v>
      </c>
      <c r="D8" s="906">
        <v>380135.28</v>
      </c>
      <c r="E8" s="906">
        <v>284706.74</v>
      </c>
      <c r="F8" s="906">
        <v>284706.74</v>
      </c>
      <c r="G8" s="907"/>
      <c r="H8" s="907"/>
      <c r="I8" s="907"/>
      <c r="J8" s="907"/>
      <c r="K8" s="907"/>
      <c r="L8" s="907"/>
      <c r="M8" s="907"/>
      <c r="N8" s="907"/>
      <c r="O8" s="907"/>
      <c r="P8" s="907"/>
      <c r="Q8" s="906">
        <v>28412.16</v>
      </c>
      <c r="R8" s="906">
        <v>28412.16</v>
      </c>
      <c r="S8" s="907"/>
      <c r="T8" s="907"/>
      <c r="U8" s="907"/>
      <c r="V8" s="907"/>
      <c r="W8" s="907"/>
      <c r="X8" s="907"/>
      <c r="Y8" s="907"/>
      <c r="Z8" s="907"/>
      <c r="AA8" s="907"/>
      <c r="AB8" s="907"/>
      <c r="AC8" s="907"/>
      <c r="AD8" s="907"/>
      <c r="AE8" s="907"/>
      <c r="AF8" s="906">
        <v>26053.74</v>
      </c>
      <c r="AG8" s="907"/>
      <c r="AH8" s="907"/>
      <c r="AI8" s="906">
        <v>33531.78</v>
      </c>
      <c r="AJ8" s="906">
        <v>7430.86</v>
      </c>
    </row>
    <row r="9" spans="1:36">
      <c r="A9" s="916" t="s">
        <v>4438</v>
      </c>
      <c r="B9" s="917" t="s">
        <v>4439</v>
      </c>
      <c r="C9" s="906">
        <v>39512.519999999997</v>
      </c>
      <c r="D9" s="906">
        <v>16456.3</v>
      </c>
      <c r="E9" s="907"/>
      <c r="F9" s="907"/>
      <c r="G9" s="907"/>
      <c r="H9" s="907"/>
      <c r="I9" s="907"/>
      <c r="J9" s="907"/>
      <c r="K9" s="907"/>
      <c r="L9" s="907"/>
      <c r="M9" s="907"/>
      <c r="N9" s="907"/>
      <c r="O9" s="907"/>
      <c r="P9" s="907"/>
      <c r="Q9" s="907"/>
      <c r="R9" s="907"/>
      <c r="S9" s="907"/>
      <c r="T9" s="907"/>
      <c r="U9" s="907"/>
      <c r="V9" s="907"/>
      <c r="W9" s="907"/>
      <c r="X9" s="907"/>
      <c r="Y9" s="907"/>
      <c r="Z9" s="907"/>
      <c r="AA9" s="907"/>
      <c r="AB9" s="907"/>
      <c r="AC9" s="907"/>
      <c r="AD9" s="907"/>
      <c r="AE9" s="907"/>
      <c r="AF9" s="907"/>
      <c r="AG9" s="907"/>
      <c r="AH9" s="907"/>
      <c r="AI9" s="906">
        <v>16456.3</v>
      </c>
      <c r="AJ9" s="907"/>
    </row>
    <row r="10" spans="1:36">
      <c r="A10" s="916" t="s">
        <v>4440</v>
      </c>
      <c r="B10" s="917" t="s">
        <v>2513</v>
      </c>
      <c r="C10" s="906">
        <v>12025.59</v>
      </c>
      <c r="D10" s="906">
        <v>5008.46</v>
      </c>
      <c r="E10" s="907"/>
      <c r="F10" s="907"/>
      <c r="G10" s="907"/>
      <c r="H10" s="907"/>
      <c r="I10" s="907"/>
      <c r="J10" s="907"/>
      <c r="K10" s="907"/>
      <c r="L10" s="907"/>
      <c r="M10" s="907"/>
      <c r="N10" s="907"/>
      <c r="O10" s="907"/>
      <c r="P10" s="907"/>
      <c r="Q10" s="907"/>
      <c r="R10" s="907"/>
      <c r="S10" s="907"/>
      <c r="T10" s="907"/>
      <c r="U10" s="907"/>
      <c r="V10" s="907"/>
      <c r="W10" s="907"/>
      <c r="X10" s="907"/>
      <c r="Y10" s="907"/>
      <c r="Z10" s="907"/>
      <c r="AA10" s="907"/>
      <c r="AB10" s="907"/>
      <c r="AC10" s="907"/>
      <c r="AD10" s="907"/>
      <c r="AE10" s="907"/>
      <c r="AF10" s="907"/>
      <c r="AG10" s="907"/>
      <c r="AH10" s="907"/>
      <c r="AI10" s="906">
        <v>5008.46</v>
      </c>
      <c r="AJ10" s="907"/>
    </row>
    <row r="11" spans="1:36">
      <c r="A11" s="916" t="s">
        <v>4441</v>
      </c>
      <c r="B11" s="917" t="s">
        <v>4442</v>
      </c>
      <c r="C11" s="906">
        <v>19360.91</v>
      </c>
      <c r="D11" s="906">
        <v>8063.49</v>
      </c>
      <c r="E11" s="907"/>
      <c r="F11" s="907"/>
      <c r="G11" s="907"/>
      <c r="H11" s="907"/>
      <c r="I11" s="907"/>
      <c r="J11" s="907"/>
      <c r="K11" s="907"/>
      <c r="L11" s="907"/>
      <c r="M11" s="907"/>
      <c r="N11" s="907"/>
      <c r="O11" s="907"/>
      <c r="P11" s="907"/>
      <c r="Q11" s="907"/>
      <c r="R11" s="907"/>
      <c r="S11" s="907"/>
      <c r="T11" s="907"/>
      <c r="U11" s="907"/>
      <c r="V11" s="907"/>
      <c r="W11" s="907"/>
      <c r="X11" s="907"/>
      <c r="Y11" s="907"/>
      <c r="Z11" s="907"/>
      <c r="AA11" s="907"/>
      <c r="AB11" s="907"/>
      <c r="AC11" s="907"/>
      <c r="AD11" s="907"/>
      <c r="AE11" s="907"/>
      <c r="AF11" s="907"/>
      <c r="AG11" s="907"/>
      <c r="AH11" s="907"/>
      <c r="AI11" s="906">
        <v>8063.49</v>
      </c>
      <c r="AJ11" s="907"/>
    </row>
    <row r="12" spans="1:36">
      <c r="A12" s="916" t="s">
        <v>4443</v>
      </c>
      <c r="B12" s="917" t="s">
        <v>4444</v>
      </c>
      <c r="C12" s="906">
        <v>123695.52</v>
      </c>
      <c r="D12" s="906">
        <v>123593.28</v>
      </c>
      <c r="E12" s="906">
        <v>19228.54</v>
      </c>
      <c r="F12" s="906">
        <v>19228.54</v>
      </c>
      <c r="G12" s="907"/>
      <c r="H12" s="907"/>
      <c r="I12" s="907"/>
      <c r="J12" s="907"/>
      <c r="K12" s="906">
        <v>129.37</v>
      </c>
      <c r="L12" s="907"/>
      <c r="M12" s="907"/>
      <c r="N12" s="907"/>
      <c r="O12" s="907"/>
      <c r="P12" s="907"/>
      <c r="Q12" s="906">
        <v>83158.210000000006</v>
      </c>
      <c r="R12" s="906">
        <v>73276.06</v>
      </c>
      <c r="S12" s="906">
        <v>52.63</v>
      </c>
      <c r="T12" s="906">
        <v>231.38</v>
      </c>
      <c r="U12" s="906">
        <v>111.01</v>
      </c>
      <c r="V12" s="906">
        <v>1973.03</v>
      </c>
      <c r="W12" s="906">
        <v>1141.3699999999999</v>
      </c>
      <c r="X12" s="906">
        <v>47.66</v>
      </c>
      <c r="Y12" s="906">
        <v>14.38</v>
      </c>
      <c r="Z12" s="906">
        <v>5.66</v>
      </c>
      <c r="AA12" s="906">
        <v>420.29</v>
      </c>
      <c r="AB12" s="906">
        <v>1337.79</v>
      </c>
      <c r="AC12" s="906">
        <v>4247.71</v>
      </c>
      <c r="AD12" s="907"/>
      <c r="AE12" s="906">
        <v>299.26</v>
      </c>
      <c r="AF12" s="906">
        <v>7357.61</v>
      </c>
      <c r="AG12" s="906">
        <v>13646.57</v>
      </c>
      <c r="AH12" s="907"/>
      <c r="AI12" s="906">
        <v>72.98</v>
      </c>
      <c r="AJ12" s="907"/>
    </row>
    <row r="13" spans="1:36" ht="30">
      <c r="A13" s="916" t="s">
        <v>4445</v>
      </c>
      <c r="B13" s="917" t="s">
        <v>4446</v>
      </c>
      <c r="C13" s="906">
        <v>1111.03</v>
      </c>
      <c r="D13" s="906">
        <v>1111.03</v>
      </c>
      <c r="E13" s="907"/>
      <c r="F13" s="907"/>
      <c r="G13" s="907"/>
      <c r="H13" s="907"/>
      <c r="I13" s="907"/>
      <c r="J13" s="907"/>
      <c r="K13" s="907"/>
      <c r="L13" s="907"/>
      <c r="M13" s="907"/>
      <c r="N13" s="907"/>
      <c r="O13" s="907"/>
      <c r="P13" s="907"/>
      <c r="Q13" s="906">
        <v>1111.03</v>
      </c>
      <c r="R13" s="907"/>
      <c r="S13" s="907"/>
      <c r="T13" s="906">
        <v>322.39999999999998</v>
      </c>
      <c r="U13" s="906">
        <v>28.46</v>
      </c>
      <c r="V13" s="906">
        <v>760.17</v>
      </c>
      <c r="W13" s="907"/>
      <c r="X13" s="907"/>
      <c r="Y13" s="907"/>
      <c r="Z13" s="907"/>
      <c r="AA13" s="907"/>
      <c r="AB13" s="907"/>
      <c r="AC13" s="907"/>
      <c r="AD13" s="907"/>
      <c r="AE13" s="907"/>
      <c r="AF13" s="907"/>
      <c r="AG13" s="907"/>
      <c r="AH13" s="907"/>
      <c r="AI13" s="907"/>
      <c r="AJ13" s="907"/>
    </row>
    <row r="14" spans="1:36">
      <c r="A14" s="916" t="s">
        <v>4447</v>
      </c>
      <c r="B14" s="917" t="s">
        <v>4448</v>
      </c>
      <c r="C14" s="906">
        <v>11821.08</v>
      </c>
      <c r="D14" s="906">
        <v>11473.67</v>
      </c>
      <c r="E14" s="906">
        <v>224.17</v>
      </c>
      <c r="F14" s="906">
        <v>222.59</v>
      </c>
      <c r="G14" s="907"/>
      <c r="H14" s="907"/>
      <c r="I14" s="906">
        <v>1.58</v>
      </c>
      <c r="J14" s="907"/>
      <c r="K14" s="906">
        <v>625</v>
      </c>
      <c r="L14" s="907"/>
      <c r="M14" s="907"/>
      <c r="N14" s="907"/>
      <c r="O14" s="907"/>
      <c r="P14" s="907"/>
      <c r="Q14" s="906">
        <v>9683.36</v>
      </c>
      <c r="R14" s="906">
        <v>372.97</v>
      </c>
      <c r="S14" s="906">
        <v>2139.7399999999998</v>
      </c>
      <c r="T14" s="906">
        <v>1261.73</v>
      </c>
      <c r="U14" s="906">
        <v>2506.9499999999998</v>
      </c>
      <c r="V14" s="906">
        <v>2801.92</v>
      </c>
      <c r="W14" s="907"/>
      <c r="X14" s="906">
        <v>24.13</v>
      </c>
      <c r="Y14" s="906">
        <v>114.76</v>
      </c>
      <c r="Z14" s="906">
        <v>0.56999999999999995</v>
      </c>
      <c r="AA14" s="906">
        <v>72.400000000000006</v>
      </c>
      <c r="AB14" s="906">
        <v>195.42</v>
      </c>
      <c r="AC14" s="906">
        <v>169.7</v>
      </c>
      <c r="AD14" s="907"/>
      <c r="AE14" s="906">
        <v>23.07</v>
      </c>
      <c r="AF14" s="906">
        <v>688.67</v>
      </c>
      <c r="AG14" s="906">
        <v>4.51</v>
      </c>
      <c r="AH14" s="907"/>
      <c r="AI14" s="906">
        <v>247.96</v>
      </c>
      <c r="AJ14" s="907"/>
    </row>
    <row r="15" spans="1:36" ht="45">
      <c r="A15" s="916" t="s">
        <v>4449</v>
      </c>
      <c r="B15" s="917" t="s">
        <v>4450</v>
      </c>
      <c r="C15" s="906">
        <v>1300.5999999999999</v>
      </c>
      <c r="D15" s="906">
        <v>1300.5999999999999</v>
      </c>
      <c r="E15" s="907"/>
      <c r="F15" s="907"/>
      <c r="G15" s="907"/>
      <c r="H15" s="907"/>
      <c r="I15" s="907"/>
      <c r="J15" s="907"/>
      <c r="K15" s="907"/>
      <c r="L15" s="907"/>
      <c r="M15" s="907"/>
      <c r="N15" s="907"/>
      <c r="O15" s="907"/>
      <c r="P15" s="907"/>
      <c r="Q15" s="906">
        <v>1300.5999999999999</v>
      </c>
      <c r="R15" s="907"/>
      <c r="S15" s="907"/>
      <c r="T15" s="906">
        <v>321.93</v>
      </c>
      <c r="U15" s="906">
        <v>63.69</v>
      </c>
      <c r="V15" s="906">
        <v>914.98</v>
      </c>
      <c r="W15" s="907"/>
      <c r="X15" s="907"/>
      <c r="Y15" s="907"/>
      <c r="Z15" s="907"/>
      <c r="AA15" s="907"/>
      <c r="AB15" s="907"/>
      <c r="AC15" s="907"/>
      <c r="AD15" s="907"/>
      <c r="AE15" s="907"/>
      <c r="AF15" s="907"/>
      <c r="AG15" s="907"/>
      <c r="AH15" s="907"/>
      <c r="AI15" s="907"/>
      <c r="AJ15" s="907"/>
    </row>
    <row r="16" spans="1:36">
      <c r="A16" s="916" t="s">
        <v>4451</v>
      </c>
      <c r="B16" s="917" t="s">
        <v>4452</v>
      </c>
      <c r="C16" s="906">
        <v>-4959.37</v>
      </c>
      <c r="D16" s="906">
        <v>-4959.37</v>
      </c>
      <c r="E16" s="906">
        <v>-2576.73</v>
      </c>
      <c r="F16" s="906">
        <v>-3202.52</v>
      </c>
      <c r="G16" s="906">
        <v>501.85</v>
      </c>
      <c r="H16" s="906">
        <v>135.71</v>
      </c>
      <c r="I16" s="906">
        <v>-11.77</v>
      </c>
      <c r="J16" s="907"/>
      <c r="K16" s="906">
        <v>227.2</v>
      </c>
      <c r="L16" s="907"/>
      <c r="M16" s="907"/>
      <c r="N16" s="907"/>
      <c r="O16" s="907"/>
      <c r="P16" s="907"/>
      <c r="Q16" s="906">
        <v>-2609.85</v>
      </c>
      <c r="R16" s="906">
        <v>1986.57</v>
      </c>
      <c r="S16" s="906">
        <v>-390.26</v>
      </c>
      <c r="T16" s="906">
        <v>31.06</v>
      </c>
      <c r="U16" s="906">
        <v>288.26</v>
      </c>
      <c r="V16" s="906">
        <v>79.52</v>
      </c>
      <c r="W16" s="906">
        <v>-61.37</v>
      </c>
      <c r="X16" s="906">
        <v>-0.44</v>
      </c>
      <c r="Y16" s="906">
        <v>-0.75</v>
      </c>
      <c r="Z16" s="906">
        <v>-0.6</v>
      </c>
      <c r="AA16" s="906">
        <v>19.36</v>
      </c>
      <c r="AB16" s="906">
        <v>-14.94</v>
      </c>
      <c r="AC16" s="906">
        <v>-99</v>
      </c>
      <c r="AD16" s="907"/>
      <c r="AE16" s="906">
        <v>-4777.25</v>
      </c>
      <c r="AF16" s="907"/>
      <c r="AG16" s="907"/>
      <c r="AH16" s="907"/>
      <c r="AI16" s="907"/>
      <c r="AJ16" s="907"/>
    </row>
    <row r="17" spans="1:36">
      <c r="A17" s="914" t="s">
        <v>4453</v>
      </c>
      <c r="B17" s="918" t="s">
        <v>4454</v>
      </c>
      <c r="C17" s="906">
        <v>-1014.45</v>
      </c>
      <c r="D17" s="906">
        <v>-100985.7</v>
      </c>
      <c r="E17" s="906">
        <v>-244753.4</v>
      </c>
      <c r="F17" s="906">
        <v>-253120.83</v>
      </c>
      <c r="G17" s="906">
        <v>-144.5</v>
      </c>
      <c r="H17" s="906">
        <v>7667.14</v>
      </c>
      <c r="I17" s="906">
        <v>844.78</v>
      </c>
      <c r="J17" s="906">
        <v>39.159999999999997</v>
      </c>
      <c r="K17" s="906">
        <v>44578.22</v>
      </c>
      <c r="L17" s="906">
        <v>3875.88</v>
      </c>
      <c r="M17" s="906">
        <v>10648.56</v>
      </c>
      <c r="N17" s="906">
        <v>1836.28</v>
      </c>
      <c r="O17" s="906">
        <v>278.75</v>
      </c>
      <c r="P17" s="906">
        <v>1047.5999999999999</v>
      </c>
      <c r="Q17" s="906">
        <v>-3179.26</v>
      </c>
      <c r="R17" s="906">
        <v>-102608.71</v>
      </c>
      <c r="S17" s="906">
        <v>23575.47</v>
      </c>
      <c r="T17" s="906">
        <v>5950.23</v>
      </c>
      <c r="U17" s="906">
        <v>24389.08</v>
      </c>
      <c r="V17" s="906">
        <v>4499.47</v>
      </c>
      <c r="W17" s="906">
        <v>9157.1</v>
      </c>
      <c r="X17" s="906">
        <v>355.01</v>
      </c>
      <c r="Y17" s="906">
        <v>357.66</v>
      </c>
      <c r="Z17" s="906">
        <v>86.45</v>
      </c>
      <c r="AA17" s="906">
        <v>4392.43</v>
      </c>
      <c r="AB17" s="906">
        <v>2666.96</v>
      </c>
      <c r="AC17" s="906">
        <v>6730.26</v>
      </c>
      <c r="AD17" s="906">
        <v>3059.76</v>
      </c>
      <c r="AE17" s="906">
        <v>14229.57</v>
      </c>
      <c r="AF17" s="906">
        <v>-11113.39</v>
      </c>
      <c r="AG17" s="906">
        <v>2081.13</v>
      </c>
      <c r="AH17" s="906">
        <v>24413.11</v>
      </c>
      <c r="AI17" s="906">
        <v>71354.12</v>
      </c>
      <c r="AJ17" s="906">
        <v>-2092.44</v>
      </c>
    </row>
    <row r="18" spans="1:36">
      <c r="A18" s="916" t="s">
        <v>4455</v>
      </c>
      <c r="B18" s="917" t="s">
        <v>4456</v>
      </c>
      <c r="C18" s="907"/>
      <c r="D18" s="906">
        <v>-99971.25</v>
      </c>
      <c r="E18" s="906">
        <v>-150569.63</v>
      </c>
      <c r="F18" s="906">
        <v>-147609.92000000001</v>
      </c>
      <c r="G18" s="907"/>
      <c r="H18" s="906">
        <v>-2959.71</v>
      </c>
      <c r="I18" s="907"/>
      <c r="J18" s="906">
        <v>-326.67</v>
      </c>
      <c r="K18" s="906">
        <v>-183.56</v>
      </c>
      <c r="L18" s="906">
        <v>-1236.77</v>
      </c>
      <c r="M18" s="906">
        <v>-3683.35</v>
      </c>
      <c r="N18" s="906">
        <v>-926.35</v>
      </c>
      <c r="O18" s="906">
        <v>-19.82</v>
      </c>
      <c r="P18" s="907"/>
      <c r="Q18" s="906">
        <v>-391.82</v>
      </c>
      <c r="R18" s="906">
        <v>-17.64</v>
      </c>
      <c r="S18" s="907"/>
      <c r="T18" s="907"/>
      <c r="U18" s="906">
        <v>-42.08</v>
      </c>
      <c r="V18" s="906">
        <v>-35.06</v>
      </c>
      <c r="W18" s="907"/>
      <c r="X18" s="907"/>
      <c r="Y18" s="907"/>
      <c r="Z18" s="907"/>
      <c r="AA18" s="907"/>
      <c r="AB18" s="906">
        <v>-216.37</v>
      </c>
      <c r="AC18" s="906">
        <v>-0.26</v>
      </c>
      <c r="AD18" s="906">
        <v>-71</v>
      </c>
      <c r="AE18" s="906">
        <v>-9.41</v>
      </c>
      <c r="AF18" s="906">
        <v>-5925.79</v>
      </c>
      <c r="AG18" s="906">
        <v>-504.23</v>
      </c>
      <c r="AH18" s="906">
        <v>-4652.9799999999996</v>
      </c>
      <c r="AI18" s="906">
        <v>71354.12</v>
      </c>
      <c r="AJ18" s="906">
        <v>-2904.4</v>
      </c>
    </row>
    <row r="19" spans="1:36">
      <c r="A19" s="916" t="s">
        <v>4457</v>
      </c>
      <c r="B19" s="917" t="s">
        <v>4458</v>
      </c>
      <c r="C19" s="906">
        <v>-8218.14</v>
      </c>
      <c r="D19" s="906">
        <v>-8218.14</v>
      </c>
      <c r="E19" s="906">
        <v>-27077.41</v>
      </c>
      <c r="F19" s="906">
        <v>-26168.54</v>
      </c>
      <c r="G19" s="907"/>
      <c r="H19" s="906">
        <v>-908.87</v>
      </c>
      <c r="I19" s="907"/>
      <c r="J19" s="906">
        <v>-163.09</v>
      </c>
      <c r="K19" s="906">
        <v>-323.87</v>
      </c>
      <c r="L19" s="906">
        <v>-290.36</v>
      </c>
      <c r="M19" s="906">
        <v>-570.30999999999995</v>
      </c>
      <c r="N19" s="906">
        <v>-129.81</v>
      </c>
      <c r="O19" s="906">
        <v>-13.09</v>
      </c>
      <c r="P19" s="907"/>
      <c r="Q19" s="906">
        <v>-914.45</v>
      </c>
      <c r="R19" s="907"/>
      <c r="S19" s="907"/>
      <c r="T19" s="907"/>
      <c r="U19" s="906">
        <v>-4.99</v>
      </c>
      <c r="V19" s="906">
        <v>-348.52</v>
      </c>
      <c r="W19" s="907"/>
      <c r="X19" s="907"/>
      <c r="Y19" s="907"/>
      <c r="Z19" s="907"/>
      <c r="AA19" s="907"/>
      <c r="AB19" s="906">
        <v>-226.93</v>
      </c>
      <c r="AC19" s="906">
        <v>-15.54</v>
      </c>
      <c r="AD19" s="906">
        <v>-297.98</v>
      </c>
      <c r="AE19" s="906">
        <v>-20.5</v>
      </c>
      <c r="AF19" s="906">
        <v>-2524.65</v>
      </c>
      <c r="AG19" s="906">
        <v>-90.73</v>
      </c>
      <c r="AH19" s="906">
        <v>24789.07</v>
      </c>
      <c r="AI19" s="907"/>
      <c r="AJ19" s="906">
        <v>-909.45</v>
      </c>
    </row>
    <row r="20" spans="1:36">
      <c r="A20" s="916" t="s">
        <v>4459</v>
      </c>
      <c r="B20" s="917" t="s">
        <v>4460</v>
      </c>
      <c r="C20" s="906">
        <v>-4488.62</v>
      </c>
      <c r="D20" s="906">
        <v>-4488.62</v>
      </c>
      <c r="E20" s="906">
        <v>-5017.54</v>
      </c>
      <c r="F20" s="906">
        <v>-66639.31</v>
      </c>
      <c r="G20" s="906">
        <v>49278.68</v>
      </c>
      <c r="H20" s="906">
        <v>12343.08</v>
      </c>
      <c r="I20" s="907"/>
      <c r="J20" s="906">
        <v>528.91999999999996</v>
      </c>
      <c r="K20" s="907"/>
      <c r="L20" s="907"/>
      <c r="M20" s="907"/>
      <c r="N20" s="907"/>
      <c r="O20" s="907"/>
      <c r="P20" s="907"/>
      <c r="Q20" s="907"/>
      <c r="R20" s="907"/>
      <c r="S20" s="907"/>
      <c r="T20" s="907"/>
      <c r="U20" s="907"/>
      <c r="V20" s="907"/>
      <c r="W20" s="907"/>
      <c r="X20" s="907"/>
      <c r="Y20" s="907"/>
      <c r="Z20" s="907"/>
      <c r="AA20" s="907"/>
      <c r="AB20" s="907"/>
      <c r="AC20" s="907"/>
      <c r="AD20" s="907"/>
      <c r="AE20" s="907"/>
      <c r="AF20" s="907"/>
      <c r="AG20" s="907"/>
      <c r="AH20" s="907"/>
      <c r="AI20" s="907"/>
      <c r="AJ20" s="907"/>
    </row>
    <row r="21" spans="1:36">
      <c r="A21" s="916" t="s">
        <v>4461</v>
      </c>
      <c r="B21" s="917" t="s">
        <v>4462</v>
      </c>
      <c r="C21" s="906">
        <v>-3840.31</v>
      </c>
      <c r="D21" s="906">
        <v>-3840.31</v>
      </c>
      <c r="E21" s="906">
        <v>-56800.77</v>
      </c>
      <c r="F21" s="906">
        <v>-7377.59</v>
      </c>
      <c r="G21" s="906">
        <v>-49423.18</v>
      </c>
      <c r="H21" s="907"/>
      <c r="I21" s="907"/>
      <c r="J21" s="907"/>
      <c r="K21" s="906">
        <v>45096.3</v>
      </c>
      <c r="L21" s="906">
        <v>5932.35</v>
      </c>
      <c r="M21" s="907"/>
      <c r="N21" s="907"/>
      <c r="O21" s="907"/>
      <c r="P21" s="906">
        <v>1931.81</v>
      </c>
      <c r="Q21" s="906"/>
      <c r="R21" s="907"/>
      <c r="S21" s="907"/>
      <c r="T21" s="907"/>
      <c r="U21" s="907"/>
      <c r="V21" s="907"/>
      <c r="W21" s="907"/>
      <c r="X21" s="907"/>
      <c r="Y21" s="907"/>
      <c r="Z21" s="907"/>
      <c r="AA21" s="907"/>
      <c r="AB21" s="906"/>
      <c r="AC21" s="907"/>
      <c r="AD21" s="907"/>
      <c r="AE21" s="907"/>
      <c r="AF21" s="907"/>
      <c r="AG21" s="907"/>
      <c r="AH21" s="907"/>
      <c r="AI21" s="907"/>
      <c r="AJ21" s="907"/>
    </row>
    <row r="22" spans="1:36">
      <c r="A22" s="916" t="s">
        <v>4463</v>
      </c>
      <c r="B22" s="917" t="s">
        <v>4464</v>
      </c>
      <c r="C22" s="906">
        <v>14434.05</v>
      </c>
      <c r="D22" s="906">
        <v>14434.05</v>
      </c>
      <c r="E22" s="906">
        <v>-2646.6</v>
      </c>
      <c r="F22" s="906">
        <v>-2542.71</v>
      </c>
      <c r="G22" s="907"/>
      <c r="H22" s="906">
        <v>-103.89</v>
      </c>
      <c r="I22" s="907"/>
      <c r="J22" s="907"/>
      <c r="K22" s="907"/>
      <c r="L22" s="907"/>
      <c r="M22" s="907"/>
      <c r="N22" s="907"/>
      <c r="O22" s="907"/>
      <c r="P22" s="907">
        <v>-898.54</v>
      </c>
      <c r="Q22" s="906">
        <v>19064.38</v>
      </c>
      <c r="R22" s="906">
        <v>-102591.07</v>
      </c>
      <c r="S22" s="906">
        <v>23641.42</v>
      </c>
      <c r="T22" s="906">
        <v>5950.23</v>
      </c>
      <c r="U22" s="906">
        <v>24547.79</v>
      </c>
      <c r="V22" s="906">
        <v>8629.68</v>
      </c>
      <c r="W22" s="906">
        <v>12571.17</v>
      </c>
      <c r="X22" s="906">
        <v>345.49</v>
      </c>
      <c r="Y22" s="906">
        <v>398.71</v>
      </c>
      <c r="Z22" s="906">
        <v>91.49</v>
      </c>
      <c r="AA22" s="906">
        <v>5389.94</v>
      </c>
      <c r="AB22" s="906">
        <v>3193.19</v>
      </c>
      <c r="AC22" s="906">
        <v>8203.75</v>
      </c>
      <c r="AD22" s="906">
        <v>3896.52</v>
      </c>
      <c r="AE22" s="906">
        <v>24796.07</v>
      </c>
      <c r="AF22" s="906">
        <v>-536.76</v>
      </c>
      <c r="AG22" s="907"/>
      <c r="AH22" s="907"/>
      <c r="AI22" s="907"/>
      <c r="AJ22" s="906">
        <v>-548.41999999999996</v>
      </c>
    </row>
    <row r="23" spans="1:36">
      <c r="A23" s="916" t="s">
        <v>4465</v>
      </c>
      <c r="B23" s="917" t="s">
        <v>4466</v>
      </c>
      <c r="C23" s="906">
        <v>-20855.34</v>
      </c>
      <c r="D23" s="906">
        <v>-20855.34</v>
      </c>
      <c r="E23" s="907"/>
      <c r="F23" s="907"/>
      <c r="G23" s="907"/>
      <c r="H23" s="907"/>
      <c r="I23" s="907"/>
      <c r="J23" s="907"/>
      <c r="K23" s="907"/>
      <c r="L23" s="907"/>
      <c r="M23" s="907"/>
      <c r="N23" s="907"/>
      <c r="O23" s="907"/>
      <c r="Q23" s="906">
        <v>-20855.34</v>
      </c>
      <c r="R23" s="907"/>
      <c r="S23" s="906">
        <v>-65.95</v>
      </c>
      <c r="T23" s="907"/>
      <c r="U23" s="906">
        <v>-111.63</v>
      </c>
      <c r="V23" s="906">
        <v>-3746.63</v>
      </c>
      <c r="W23" s="906">
        <v>-3414.07</v>
      </c>
      <c r="X23" s="906">
        <v>-10.47</v>
      </c>
      <c r="Y23" s="906">
        <v>-41.05</v>
      </c>
      <c r="Z23" s="906">
        <v>-5.03</v>
      </c>
      <c r="AA23" s="906">
        <v>-997.52</v>
      </c>
      <c r="AB23" s="906">
        <v>-55.24</v>
      </c>
      <c r="AC23" s="906">
        <v>-1449.46</v>
      </c>
      <c r="AD23" s="906">
        <v>-421.68</v>
      </c>
      <c r="AE23" s="906">
        <v>-10536.6</v>
      </c>
      <c r="AF23" s="907"/>
      <c r="AG23" s="907"/>
      <c r="AH23" s="907"/>
      <c r="AI23" s="907"/>
      <c r="AJ23" s="907"/>
    </row>
    <row r="24" spans="1:36">
      <c r="A24" s="916" t="s">
        <v>4467</v>
      </c>
      <c r="B24" s="917" t="s">
        <v>4468</v>
      </c>
      <c r="C24" s="906">
        <v>-241.24</v>
      </c>
      <c r="D24" s="906">
        <v>-241.24</v>
      </c>
      <c r="E24" s="906">
        <v>-2538.6</v>
      </c>
      <c r="F24" s="906">
        <v>-2440.08</v>
      </c>
      <c r="G24" s="907"/>
      <c r="H24" s="906">
        <v>-98.52</v>
      </c>
      <c r="I24" s="907"/>
      <c r="J24" s="907"/>
      <c r="K24" s="907"/>
      <c r="L24" s="907"/>
      <c r="M24" s="907"/>
      <c r="N24" s="907"/>
      <c r="O24" s="906">
        <v>311.66000000000003</v>
      </c>
      <c r="P24" s="906">
        <v>22.59</v>
      </c>
      <c r="Q24" s="906">
        <v>-82.2</v>
      </c>
      <c r="R24" s="907"/>
      <c r="S24" s="907"/>
      <c r="T24" s="907"/>
      <c r="U24" s="907"/>
      <c r="V24" s="907"/>
      <c r="W24" s="907"/>
      <c r="X24" s="907"/>
      <c r="Y24" s="907"/>
      <c r="Z24" s="907"/>
      <c r="AA24" s="907"/>
      <c r="AB24" s="906">
        <v>-27.69</v>
      </c>
      <c r="AC24" s="906">
        <v>-8.24</v>
      </c>
      <c r="AD24" s="906">
        <v>-46.09</v>
      </c>
      <c r="AE24" s="907"/>
      <c r="AF24" s="906">
        <v>1000.06</v>
      </c>
      <c r="AG24" s="907"/>
      <c r="AH24" s="907"/>
      <c r="AI24" s="907"/>
      <c r="AJ24" s="906">
        <v>1045.07</v>
      </c>
    </row>
    <row r="25" spans="1:36">
      <c r="A25" s="916" t="s">
        <v>4469</v>
      </c>
      <c r="B25" s="917" t="s">
        <v>4470</v>
      </c>
      <c r="C25" s="906">
        <v>-829.75</v>
      </c>
      <c r="D25" s="906">
        <v>-829.75</v>
      </c>
      <c r="E25" s="907"/>
      <c r="F25" s="907"/>
      <c r="G25" s="907"/>
      <c r="H25" s="907"/>
      <c r="I25" s="907"/>
      <c r="J25" s="907"/>
      <c r="K25" s="906">
        <v>-10.65</v>
      </c>
      <c r="L25" s="906">
        <v>-529.34</v>
      </c>
      <c r="M25" s="907"/>
      <c r="N25" s="907"/>
      <c r="O25" s="907"/>
      <c r="P25" s="906">
        <v>-8.26</v>
      </c>
      <c r="Q25" s="907"/>
      <c r="R25" s="907"/>
      <c r="S25" s="907"/>
      <c r="T25" s="907"/>
      <c r="U25" s="907"/>
      <c r="V25" s="907"/>
      <c r="W25" s="907"/>
      <c r="X25" s="907"/>
      <c r="Y25" s="907"/>
      <c r="Z25" s="907"/>
      <c r="AA25" s="907"/>
      <c r="AB25" s="907"/>
      <c r="AC25" s="907"/>
      <c r="AD25" s="907"/>
      <c r="AE25" s="907"/>
      <c r="AF25" s="906">
        <v>-281.49</v>
      </c>
      <c r="AG25" s="907"/>
      <c r="AH25" s="907"/>
      <c r="AI25" s="907"/>
      <c r="AJ25" s="907"/>
    </row>
    <row r="26" spans="1:36">
      <c r="A26" s="916" t="s">
        <v>4471</v>
      </c>
      <c r="B26" s="917" t="s">
        <v>4472</v>
      </c>
      <c r="C26" s="906">
        <v>-168.68</v>
      </c>
      <c r="D26" s="906">
        <v>-168.68</v>
      </c>
      <c r="E26" s="907"/>
      <c r="F26" s="907"/>
      <c r="G26" s="907"/>
      <c r="H26" s="907"/>
      <c r="I26" s="907"/>
      <c r="J26" s="907"/>
      <c r="K26" s="907"/>
      <c r="L26" s="907"/>
      <c r="M26" s="907"/>
      <c r="N26" s="907"/>
      <c r="O26" s="907"/>
      <c r="P26" s="907"/>
      <c r="Q26" s="907"/>
      <c r="R26" s="907"/>
      <c r="S26" s="907"/>
      <c r="T26" s="907"/>
      <c r="U26" s="907"/>
      <c r="V26" s="907"/>
      <c r="W26" s="907"/>
      <c r="X26" s="907"/>
      <c r="Y26" s="907"/>
      <c r="Z26" s="907"/>
      <c r="AA26" s="907"/>
      <c r="AB26" s="907"/>
      <c r="AC26" s="907"/>
      <c r="AD26" s="907"/>
      <c r="AE26" s="907"/>
      <c r="AF26" s="906">
        <v>-2844.76</v>
      </c>
      <c r="AG26" s="906">
        <v>2676.08</v>
      </c>
      <c r="AH26" s="907"/>
      <c r="AI26" s="907"/>
      <c r="AJ26" s="907"/>
    </row>
    <row r="27" spans="1:36">
      <c r="A27" s="916" t="s">
        <v>4473</v>
      </c>
      <c r="B27" s="917" t="s">
        <v>4474</v>
      </c>
      <c r="C27" s="906">
        <v>-102.86</v>
      </c>
      <c r="D27" s="906">
        <v>-102.86</v>
      </c>
      <c r="E27" s="906">
        <v>-102.86</v>
      </c>
      <c r="F27" s="906">
        <v>-342.69</v>
      </c>
      <c r="G27" s="907"/>
      <c r="H27" s="906">
        <v>-604.95000000000005</v>
      </c>
      <c r="I27" s="906">
        <v>844.78</v>
      </c>
      <c r="J27" s="907"/>
      <c r="K27" s="907"/>
      <c r="L27" s="907"/>
      <c r="M27" s="907"/>
      <c r="N27" s="907"/>
      <c r="O27" s="907"/>
      <c r="P27" s="907"/>
      <c r="Q27" s="907"/>
      <c r="R27" s="907"/>
      <c r="S27" s="907"/>
      <c r="T27" s="907"/>
      <c r="U27" s="907"/>
      <c r="V27" s="907"/>
      <c r="W27" s="907"/>
      <c r="X27" s="907"/>
      <c r="Y27" s="907"/>
      <c r="Z27" s="907"/>
      <c r="AA27" s="907"/>
      <c r="AB27" s="907"/>
      <c r="AC27" s="907"/>
      <c r="AD27" s="907"/>
      <c r="AE27" s="907"/>
      <c r="AF27" s="907"/>
      <c r="AG27" s="907"/>
      <c r="AH27" s="907"/>
      <c r="AI27" s="907"/>
      <c r="AJ27" s="907"/>
    </row>
    <row r="28" spans="1:36">
      <c r="A28" s="916" t="s">
        <v>4475</v>
      </c>
      <c r="B28" s="917" t="s">
        <v>4476</v>
      </c>
      <c r="C28" s="906">
        <v>23296.45</v>
      </c>
      <c r="D28" s="906">
        <v>23296.45</v>
      </c>
      <c r="E28" s="907"/>
      <c r="F28" s="907"/>
      <c r="G28" s="907"/>
      <c r="H28" s="907"/>
      <c r="I28" s="907"/>
      <c r="J28" s="907"/>
      <c r="K28" s="907"/>
      <c r="L28" s="907"/>
      <c r="M28" s="906">
        <v>14902.22</v>
      </c>
      <c r="N28" s="906">
        <v>2892.44</v>
      </c>
      <c r="O28" s="907"/>
      <c r="P28" s="907"/>
      <c r="Q28" s="907"/>
      <c r="R28" s="907"/>
      <c r="S28" s="907"/>
      <c r="T28" s="907"/>
      <c r="U28" s="907"/>
      <c r="V28" s="907"/>
      <c r="W28" s="907"/>
      <c r="X28" s="907"/>
      <c r="Y28" s="907"/>
      <c r="Z28" s="907"/>
      <c r="AA28" s="907"/>
      <c r="AB28" s="907"/>
      <c r="AC28" s="907"/>
      <c r="AD28" s="907"/>
      <c r="AE28" s="907"/>
      <c r="AF28" s="907"/>
      <c r="AG28" s="907"/>
      <c r="AH28" s="906">
        <v>4277.03</v>
      </c>
      <c r="AI28" s="907"/>
      <c r="AJ28" s="906">
        <v>1224.77</v>
      </c>
    </row>
    <row r="29" spans="1:36">
      <c r="A29" s="914" t="s">
        <v>4477</v>
      </c>
      <c r="B29" s="918" t="s">
        <v>4478</v>
      </c>
      <c r="C29" s="906">
        <v>10137.549999999999</v>
      </c>
      <c r="D29" s="906">
        <v>4530.8599999999997</v>
      </c>
      <c r="E29" s="907"/>
      <c r="F29" s="907"/>
      <c r="G29" s="907"/>
      <c r="H29" s="907"/>
      <c r="I29" s="907"/>
      <c r="J29" s="907"/>
      <c r="K29" s="907"/>
      <c r="L29" s="907"/>
      <c r="M29" s="907"/>
      <c r="N29" s="907"/>
      <c r="O29" s="907"/>
      <c r="P29" s="907"/>
      <c r="Q29" s="906">
        <v>28.73</v>
      </c>
      <c r="R29" s="906">
        <v>27.96</v>
      </c>
      <c r="S29" s="907"/>
      <c r="T29" s="907"/>
      <c r="U29" s="907"/>
      <c r="V29" s="907"/>
      <c r="W29" s="907"/>
      <c r="X29" s="907"/>
      <c r="Y29" s="907"/>
      <c r="Z29" s="907"/>
      <c r="AA29" s="907"/>
      <c r="AB29" s="907"/>
      <c r="AC29" s="906">
        <v>0.77</v>
      </c>
      <c r="AD29" s="907"/>
      <c r="AE29" s="907"/>
      <c r="AF29" s="906">
        <v>325.32</v>
      </c>
      <c r="AG29" s="906">
        <v>1.39</v>
      </c>
      <c r="AH29" s="906">
        <v>173.67</v>
      </c>
      <c r="AI29" s="906">
        <v>4001.76</v>
      </c>
      <c r="AJ29" s="907"/>
    </row>
    <row r="30" spans="1:36">
      <c r="A30" s="914" t="s">
        <v>4479</v>
      </c>
      <c r="B30" s="918" t="s">
        <v>4480</v>
      </c>
      <c r="C30" s="906">
        <v>514744.18</v>
      </c>
      <c r="D30" s="906">
        <v>373644.79999999999</v>
      </c>
      <c r="E30" s="906">
        <v>48618.34</v>
      </c>
      <c r="F30" s="906">
        <v>40046.019999999997</v>
      </c>
      <c r="G30" s="907"/>
      <c r="H30" s="906">
        <v>7779.43</v>
      </c>
      <c r="I30" s="906">
        <v>792.89</v>
      </c>
      <c r="J30" s="907"/>
      <c r="K30" s="906">
        <v>44811.040000000001</v>
      </c>
      <c r="L30" s="906">
        <v>3948.53</v>
      </c>
      <c r="M30" s="906">
        <v>10773.9</v>
      </c>
      <c r="N30" s="906">
        <v>1772.08</v>
      </c>
      <c r="O30" s="906">
        <v>286.62</v>
      </c>
      <c r="P30" s="906">
        <v>1145.8</v>
      </c>
      <c r="Q30" s="906">
        <v>94885.440000000002</v>
      </c>
      <c r="R30" s="906">
        <v>649.49</v>
      </c>
      <c r="S30" s="906">
        <v>20890.37</v>
      </c>
      <c r="T30" s="906">
        <v>5135.03</v>
      </c>
      <c r="U30" s="906">
        <v>21984.9</v>
      </c>
      <c r="V30" s="906">
        <v>3711.78</v>
      </c>
      <c r="W30" s="906">
        <v>9839.3700000000008</v>
      </c>
      <c r="X30" s="906">
        <v>373.36</v>
      </c>
      <c r="Y30" s="906">
        <v>262.11</v>
      </c>
      <c r="Z30" s="906">
        <v>87.13</v>
      </c>
      <c r="AA30" s="906">
        <v>4694.8100000000004</v>
      </c>
      <c r="AB30" s="906">
        <v>3600.46</v>
      </c>
      <c r="AC30" s="906">
        <v>10228.1</v>
      </c>
      <c r="AD30" s="906">
        <v>3020.36</v>
      </c>
      <c r="AE30" s="906">
        <v>10408.17</v>
      </c>
      <c r="AF30" s="906">
        <v>21281.61</v>
      </c>
      <c r="AG30" s="906">
        <v>15713.58</v>
      </c>
      <c r="AH30" s="906">
        <v>24228.12</v>
      </c>
      <c r="AI30" s="906">
        <v>100709.17</v>
      </c>
      <c r="AJ30" s="906">
        <v>5470.58</v>
      </c>
    </row>
    <row r="31" spans="1:36">
      <c r="A31" s="916" t="s">
        <v>4481</v>
      </c>
      <c r="B31" s="917" t="s">
        <v>4482</v>
      </c>
      <c r="C31" s="906">
        <v>9661.23</v>
      </c>
      <c r="D31" s="906">
        <v>6912.15</v>
      </c>
      <c r="E31" s="906">
        <v>1301.6300000000001</v>
      </c>
      <c r="F31" s="906">
        <v>1264.99</v>
      </c>
      <c r="G31" s="907"/>
      <c r="H31" s="906">
        <v>36.65</v>
      </c>
      <c r="I31" s="907"/>
      <c r="J31" s="907"/>
      <c r="K31" s="906">
        <v>20.98</v>
      </c>
      <c r="L31" s="907"/>
      <c r="M31" s="907"/>
      <c r="N31" s="907"/>
      <c r="O31" s="907"/>
      <c r="P31" s="907"/>
      <c r="Q31" s="906">
        <v>2892.4</v>
      </c>
      <c r="R31" s="907"/>
      <c r="S31" s="906">
        <v>413.27</v>
      </c>
      <c r="T31" s="906">
        <v>18.2</v>
      </c>
      <c r="U31" s="906">
        <v>2447.85</v>
      </c>
      <c r="V31" s="906">
        <v>1.47</v>
      </c>
      <c r="W31" s="907"/>
      <c r="X31" s="907"/>
      <c r="Y31" s="907"/>
      <c r="Z31" s="907"/>
      <c r="AA31" s="907"/>
      <c r="AB31" s="907"/>
      <c r="AC31" s="906">
        <v>11.6</v>
      </c>
      <c r="AD31" s="907"/>
      <c r="AE31" s="907"/>
      <c r="AF31" s="906">
        <v>20.82</v>
      </c>
      <c r="AG31" s="907"/>
      <c r="AH31" s="906">
        <v>4.8</v>
      </c>
      <c r="AI31" s="906">
        <v>1962.15</v>
      </c>
      <c r="AJ31" s="906">
        <v>709.37</v>
      </c>
    </row>
    <row r="32" spans="1:36">
      <c r="A32" s="916" t="s">
        <v>4483</v>
      </c>
      <c r="B32" s="917" t="s">
        <v>4484</v>
      </c>
      <c r="C32" s="906">
        <v>337621.14</v>
      </c>
      <c r="D32" s="906">
        <v>245729.87</v>
      </c>
      <c r="E32" s="906">
        <v>39741.269999999997</v>
      </c>
      <c r="F32" s="906">
        <v>31647.49</v>
      </c>
      <c r="G32" s="907"/>
      <c r="H32" s="906">
        <v>7493.44</v>
      </c>
      <c r="I32" s="906">
        <v>600.34</v>
      </c>
      <c r="J32" s="907"/>
      <c r="K32" s="906">
        <v>44780.72</v>
      </c>
      <c r="L32" s="906">
        <v>3926.54</v>
      </c>
      <c r="M32" s="906">
        <v>10773.9</v>
      </c>
      <c r="N32" s="906">
        <v>1772.08</v>
      </c>
      <c r="O32" s="906">
        <v>196.9</v>
      </c>
      <c r="P32" s="906">
        <v>1145.8</v>
      </c>
      <c r="Q32" s="906">
        <v>35854.36</v>
      </c>
      <c r="R32" s="906">
        <v>649.49</v>
      </c>
      <c r="S32" s="906">
        <v>219.91</v>
      </c>
      <c r="T32" s="906">
        <v>13.21</v>
      </c>
      <c r="U32" s="906">
        <v>1578.87</v>
      </c>
      <c r="V32" s="906">
        <v>342.23</v>
      </c>
      <c r="W32" s="906">
        <v>9839.3700000000008</v>
      </c>
      <c r="X32" s="906">
        <v>373.36</v>
      </c>
      <c r="Y32" s="906">
        <v>262.11</v>
      </c>
      <c r="Z32" s="906">
        <v>87.13</v>
      </c>
      <c r="AA32" s="906">
        <v>578.13</v>
      </c>
      <c r="AB32" s="906">
        <v>3600.46</v>
      </c>
      <c r="AC32" s="906">
        <v>4999.8</v>
      </c>
      <c r="AD32" s="906">
        <v>3020.36</v>
      </c>
      <c r="AE32" s="906">
        <v>10289.93</v>
      </c>
      <c r="AF32" s="906">
        <v>8646.92</v>
      </c>
      <c r="AG32" s="906">
        <v>14692.14</v>
      </c>
      <c r="AH32" s="906">
        <v>17466.73</v>
      </c>
      <c r="AI32" s="906">
        <v>65587.070000000007</v>
      </c>
      <c r="AJ32" s="906">
        <v>1145.43</v>
      </c>
    </row>
    <row r="33" spans="1:36">
      <c r="A33" s="916" t="s">
        <v>4485</v>
      </c>
      <c r="B33" s="917" t="s">
        <v>4486</v>
      </c>
      <c r="C33" s="906">
        <v>37043.519999999997</v>
      </c>
      <c r="D33" s="906">
        <v>37043.519999999997</v>
      </c>
      <c r="E33" s="906">
        <v>9959.24</v>
      </c>
      <c r="F33" s="906">
        <v>8788.7000000000007</v>
      </c>
      <c r="G33" s="907"/>
      <c r="H33" s="906">
        <v>1080.4100000000001</v>
      </c>
      <c r="I33" s="906">
        <v>90.12</v>
      </c>
      <c r="J33" s="907"/>
      <c r="K33" s="906">
        <v>2008.18</v>
      </c>
      <c r="L33" s="906">
        <v>510.89</v>
      </c>
      <c r="M33" s="907">
        <v>1.65</v>
      </c>
      <c r="N33" s="907">
        <v>14.71</v>
      </c>
      <c r="O33" s="907">
        <v>8.61</v>
      </c>
      <c r="P33" s="906">
        <v>483.23</v>
      </c>
      <c r="Q33" s="906">
        <v>22289.49</v>
      </c>
      <c r="R33" s="907"/>
      <c r="S33" s="906">
        <v>2.2200000000000002</v>
      </c>
      <c r="T33" s="906">
        <v>1.28</v>
      </c>
      <c r="U33" s="906">
        <v>14.76</v>
      </c>
      <c r="V33" s="906">
        <v>49.31</v>
      </c>
      <c r="W33" s="906">
        <v>9752.0499999999993</v>
      </c>
      <c r="X33" s="906">
        <v>340.25</v>
      </c>
      <c r="Y33" s="906">
        <v>258.67</v>
      </c>
      <c r="Z33" s="906">
        <v>78.63</v>
      </c>
      <c r="AA33" s="906">
        <v>459.38</v>
      </c>
      <c r="AB33" s="906">
        <v>2963.08</v>
      </c>
      <c r="AC33" s="906">
        <v>1910.27</v>
      </c>
      <c r="AD33" s="906">
        <v>159.5</v>
      </c>
      <c r="AE33" s="906">
        <v>6300.1</v>
      </c>
      <c r="AF33" s="906">
        <v>1210.8399999999999</v>
      </c>
      <c r="AG33" s="906">
        <v>163.6</v>
      </c>
      <c r="AH33" s="907"/>
      <c r="AI33" s="907"/>
      <c r="AJ33" s="906">
        <v>393.09</v>
      </c>
    </row>
    <row r="34" spans="1:36">
      <c r="A34" s="916" t="s">
        <v>4487</v>
      </c>
      <c r="B34" s="917" t="s">
        <v>2702</v>
      </c>
      <c r="C34" s="906">
        <v>9607.77</v>
      </c>
      <c r="D34" s="906">
        <v>7657.03</v>
      </c>
      <c r="E34" s="906">
        <v>351.53</v>
      </c>
      <c r="F34" s="906">
        <v>332.05</v>
      </c>
      <c r="G34" s="907"/>
      <c r="H34" s="906">
        <v>19.48</v>
      </c>
      <c r="I34" s="907"/>
      <c r="J34" s="907"/>
      <c r="K34" s="906">
        <v>1.99</v>
      </c>
      <c r="L34" s="907"/>
      <c r="M34" s="907"/>
      <c r="N34" s="907"/>
      <c r="O34" s="907"/>
      <c r="P34" s="907"/>
      <c r="Q34" s="906">
        <v>5775.96</v>
      </c>
      <c r="R34" s="907"/>
      <c r="S34" s="906">
        <v>828.69</v>
      </c>
      <c r="T34" s="906">
        <v>14.68</v>
      </c>
      <c r="U34" s="906">
        <v>768.03</v>
      </c>
      <c r="V34" s="906">
        <v>57.35</v>
      </c>
      <c r="W34" s="907"/>
      <c r="X34" s="907"/>
      <c r="Y34" s="907"/>
      <c r="Z34" s="907"/>
      <c r="AA34" s="906">
        <v>3965.34</v>
      </c>
      <c r="AB34" s="907"/>
      <c r="AC34" s="906">
        <v>23.64</v>
      </c>
      <c r="AD34" s="907"/>
      <c r="AE34" s="906">
        <v>118.23</v>
      </c>
      <c r="AF34" s="906">
        <v>40.28</v>
      </c>
      <c r="AG34" s="907"/>
      <c r="AH34" s="906">
        <v>68.78</v>
      </c>
      <c r="AI34" s="906">
        <v>1392.33</v>
      </c>
      <c r="AJ34" s="906">
        <v>26.15</v>
      </c>
    </row>
    <row r="35" spans="1:36">
      <c r="A35" s="916" t="s">
        <v>4488</v>
      </c>
      <c r="B35" s="917" t="s">
        <v>4489</v>
      </c>
      <c r="C35" s="906">
        <v>43713.16</v>
      </c>
      <c r="D35" s="906">
        <v>40281.39</v>
      </c>
      <c r="E35" s="906">
        <v>85.05</v>
      </c>
      <c r="F35" s="906">
        <v>82.22</v>
      </c>
      <c r="G35" s="907"/>
      <c r="H35" s="906">
        <v>2.83</v>
      </c>
      <c r="I35" s="907"/>
      <c r="J35" s="907"/>
      <c r="K35" s="907">
        <v>0.05</v>
      </c>
      <c r="L35" s="907"/>
      <c r="M35" s="907"/>
      <c r="N35" s="907"/>
      <c r="O35" s="907"/>
      <c r="P35" s="907"/>
      <c r="Q35" s="906">
        <v>32119.33</v>
      </c>
      <c r="R35" s="907"/>
      <c r="S35" s="906">
        <v>9156.91</v>
      </c>
      <c r="T35" s="906">
        <v>4776.6499999999996</v>
      </c>
      <c r="U35" s="906">
        <v>14547.74</v>
      </c>
      <c r="V35" s="906">
        <v>3288.33</v>
      </c>
      <c r="W35" s="907"/>
      <c r="X35" s="907"/>
      <c r="Y35" s="907"/>
      <c r="Z35" s="907"/>
      <c r="AA35" s="906">
        <v>151.34</v>
      </c>
      <c r="AB35" s="907"/>
      <c r="AC35" s="906">
        <v>198.37</v>
      </c>
      <c r="AD35" s="907"/>
      <c r="AE35" s="907"/>
      <c r="AF35" s="906">
        <v>3492.51</v>
      </c>
      <c r="AG35" s="906">
        <v>1021.43</v>
      </c>
      <c r="AH35" s="906">
        <v>141.36000000000001</v>
      </c>
      <c r="AI35" s="906">
        <v>2449.42</v>
      </c>
      <c r="AJ35" s="906">
        <v>972.24</v>
      </c>
    </row>
    <row r="36" spans="1:36">
      <c r="A36" s="916" t="s">
        <v>4490</v>
      </c>
      <c r="B36" s="917" t="s">
        <v>4491</v>
      </c>
      <c r="C36" s="906">
        <v>14897.64</v>
      </c>
      <c r="D36" s="906">
        <v>8234.58</v>
      </c>
      <c r="E36" s="906">
        <v>1169.92</v>
      </c>
      <c r="F36" s="906">
        <v>1160.31</v>
      </c>
      <c r="G36" s="907"/>
      <c r="H36" s="906">
        <v>6.92</v>
      </c>
      <c r="I36" s="906">
        <v>2.7</v>
      </c>
      <c r="J36" s="907"/>
      <c r="K36" s="906">
        <v>0.06</v>
      </c>
      <c r="L36" s="906">
        <v>2.4</v>
      </c>
      <c r="M36" s="907"/>
      <c r="N36" s="907"/>
      <c r="O36" s="906">
        <v>16.510000000000002</v>
      </c>
      <c r="P36" s="907"/>
      <c r="Q36" s="906">
        <v>962.42</v>
      </c>
      <c r="R36" s="907"/>
      <c r="S36" s="906">
        <v>445.76</v>
      </c>
      <c r="T36" s="906">
        <v>20.309999999999999</v>
      </c>
      <c r="U36" s="906">
        <v>318.60000000000002</v>
      </c>
      <c r="V36" s="906">
        <v>13.92</v>
      </c>
      <c r="W36" s="907"/>
      <c r="X36" s="907"/>
      <c r="Y36" s="907"/>
      <c r="Z36" s="907"/>
      <c r="AA36" s="907"/>
      <c r="AB36" s="907"/>
      <c r="AC36" s="906">
        <v>163.84</v>
      </c>
      <c r="AD36" s="907"/>
      <c r="AE36" s="907"/>
      <c r="AF36" s="906">
        <v>881.58</v>
      </c>
      <c r="AG36" s="907"/>
      <c r="AH36" s="906">
        <v>403.94</v>
      </c>
      <c r="AI36" s="906">
        <v>4755.7299999999996</v>
      </c>
      <c r="AJ36" s="906">
        <v>42.01</v>
      </c>
    </row>
    <row r="37" spans="1:36">
      <c r="A37" s="916" t="s">
        <v>4492</v>
      </c>
      <c r="B37" s="917" t="s">
        <v>4493</v>
      </c>
      <c r="C37" s="906">
        <v>31761.87</v>
      </c>
      <c r="D37" s="906">
        <v>18491.46</v>
      </c>
      <c r="E37" s="906">
        <v>1694.2</v>
      </c>
      <c r="F37" s="906">
        <v>1650.88</v>
      </c>
      <c r="G37" s="907"/>
      <c r="H37" s="906">
        <v>42.69</v>
      </c>
      <c r="I37" s="906">
        <v>0.63</v>
      </c>
      <c r="J37" s="907"/>
      <c r="K37" s="907"/>
      <c r="L37" s="906">
        <v>5.49</v>
      </c>
      <c r="M37" s="907"/>
      <c r="N37" s="907"/>
      <c r="O37" s="907"/>
      <c r="P37" s="907"/>
      <c r="Q37" s="906">
        <v>5583.6</v>
      </c>
      <c r="R37" s="907"/>
      <c r="S37" s="906">
        <v>3682.52</v>
      </c>
      <c r="T37" s="906">
        <v>287.74</v>
      </c>
      <c r="U37" s="906">
        <v>1457.63</v>
      </c>
      <c r="V37" s="906">
        <v>8.48</v>
      </c>
      <c r="W37" s="907"/>
      <c r="X37" s="907"/>
      <c r="Y37" s="907"/>
      <c r="Z37" s="907"/>
      <c r="AA37" s="907"/>
      <c r="AB37" s="907"/>
      <c r="AC37" s="906">
        <v>147.22</v>
      </c>
      <c r="AD37" s="907"/>
      <c r="AE37" s="907"/>
      <c r="AF37" s="906">
        <v>766.12</v>
      </c>
      <c r="AG37" s="907"/>
      <c r="AH37" s="906">
        <v>754.07</v>
      </c>
      <c r="AI37" s="906">
        <v>9471.7000000000007</v>
      </c>
      <c r="AJ37" s="906">
        <v>216.29</v>
      </c>
    </row>
    <row r="38" spans="1:36">
      <c r="A38" s="916" t="s">
        <v>4494</v>
      </c>
      <c r="B38" s="917" t="s">
        <v>4495</v>
      </c>
      <c r="C38" s="906">
        <v>67481.37</v>
      </c>
      <c r="D38" s="906">
        <v>46338.33</v>
      </c>
      <c r="E38" s="906">
        <v>4274.74</v>
      </c>
      <c r="F38" s="906">
        <v>3908.09</v>
      </c>
      <c r="G38" s="907"/>
      <c r="H38" s="906">
        <v>177.42</v>
      </c>
      <c r="I38" s="906">
        <v>189.23</v>
      </c>
      <c r="J38" s="907"/>
      <c r="K38" s="906">
        <v>7.23</v>
      </c>
      <c r="L38" s="906">
        <v>14.11</v>
      </c>
      <c r="M38" s="907"/>
      <c r="N38" s="907"/>
      <c r="O38" s="906">
        <v>73.22</v>
      </c>
      <c r="P38" s="907"/>
      <c r="Q38" s="906">
        <v>11697.37</v>
      </c>
      <c r="R38" s="907"/>
      <c r="S38" s="906">
        <v>6143.31</v>
      </c>
      <c r="T38" s="906">
        <v>4.24</v>
      </c>
      <c r="U38" s="906">
        <v>866.18</v>
      </c>
      <c r="V38" s="907"/>
      <c r="W38" s="907"/>
      <c r="X38" s="907"/>
      <c r="Y38" s="907"/>
      <c r="Z38" s="907"/>
      <c r="AA38" s="907"/>
      <c r="AB38" s="907"/>
      <c r="AC38" s="906">
        <v>4683.6400000000003</v>
      </c>
      <c r="AD38" s="907"/>
      <c r="AE38" s="907"/>
      <c r="AF38" s="906">
        <v>7433.38</v>
      </c>
      <c r="AG38" s="907"/>
      <c r="AH38" s="906">
        <v>5388.42</v>
      </c>
      <c r="AI38" s="906">
        <v>15090.77</v>
      </c>
      <c r="AJ38" s="906">
        <v>2359.09</v>
      </c>
    </row>
    <row r="39" spans="1:36">
      <c r="A39" s="916" t="s">
        <v>4496</v>
      </c>
      <c r="B39" s="917" t="s">
        <v>4497</v>
      </c>
      <c r="C39" s="906">
        <v>40829.550000000003</v>
      </c>
      <c r="D39" s="906">
        <v>29371.99</v>
      </c>
      <c r="E39" s="906">
        <v>397.49</v>
      </c>
      <c r="F39" s="906">
        <v>331.52</v>
      </c>
      <c r="G39" s="907"/>
      <c r="H39" s="906">
        <v>25.56</v>
      </c>
      <c r="I39" s="906">
        <v>40.42</v>
      </c>
      <c r="J39" s="907"/>
      <c r="K39" s="906"/>
      <c r="L39" s="906">
        <v>7.37</v>
      </c>
      <c r="M39" s="907"/>
      <c r="N39" s="907"/>
      <c r="O39" s="906">
        <v>72.95</v>
      </c>
      <c r="P39" s="907"/>
      <c r="Q39" s="906">
        <v>7839.3</v>
      </c>
      <c r="R39" s="907"/>
      <c r="S39" s="906">
        <v>3935.73</v>
      </c>
      <c r="T39" s="906">
        <v>0.56000000000000005</v>
      </c>
      <c r="U39" s="906">
        <v>395.29</v>
      </c>
      <c r="V39" s="907"/>
      <c r="W39" s="907"/>
      <c r="X39" s="907"/>
      <c r="Y39" s="907"/>
      <c r="Z39" s="907"/>
      <c r="AA39" s="907"/>
      <c r="AB39" s="907"/>
      <c r="AC39" s="906">
        <v>3507.72</v>
      </c>
      <c r="AD39" s="907"/>
      <c r="AE39" s="907"/>
      <c r="AF39" s="906">
        <v>7326.34</v>
      </c>
      <c r="AG39" s="907"/>
      <c r="AH39" s="906">
        <v>5388.42</v>
      </c>
      <c r="AI39" s="906">
        <v>8177.79</v>
      </c>
      <c r="AJ39" s="906">
        <v>162.32</v>
      </c>
    </row>
    <row r="40" spans="1:36">
      <c r="A40" s="916" t="s">
        <v>4498</v>
      </c>
      <c r="B40" s="917" t="s">
        <v>4499</v>
      </c>
      <c r="C40" s="906">
        <v>26651.82</v>
      </c>
      <c r="D40" s="906">
        <v>16966.330000000002</v>
      </c>
      <c r="E40" s="906">
        <v>3877.24</v>
      </c>
      <c r="F40" s="906">
        <v>3576.58</v>
      </c>
      <c r="G40" s="907"/>
      <c r="H40" s="906">
        <v>151.86000000000001</v>
      </c>
      <c r="I40" s="906">
        <v>148.81</v>
      </c>
      <c r="J40" s="907"/>
      <c r="K40" s="906">
        <v>7.23</v>
      </c>
      <c r="L40" s="906">
        <v>6.74</v>
      </c>
      <c r="M40" s="907"/>
      <c r="N40" s="907"/>
      <c r="O40" s="906">
        <v>0.26</v>
      </c>
      <c r="P40" s="907"/>
      <c r="Q40" s="906">
        <v>3858.07</v>
      </c>
      <c r="R40" s="907">
        <v>15.65</v>
      </c>
      <c r="S40" s="906">
        <v>2207.58</v>
      </c>
      <c r="T40" s="906">
        <v>3.68</v>
      </c>
      <c r="U40" s="906">
        <v>470.89</v>
      </c>
      <c r="V40" s="907"/>
      <c r="W40" s="907"/>
      <c r="X40" s="907"/>
      <c r="Y40" s="907"/>
      <c r="Z40" s="907"/>
      <c r="AA40" s="907"/>
      <c r="AB40" s="907"/>
      <c r="AC40" s="906">
        <v>1175.92</v>
      </c>
      <c r="AD40" s="907"/>
      <c r="AE40" s="907"/>
      <c r="AF40" s="906">
        <v>107.03</v>
      </c>
      <c r="AG40" s="907"/>
      <c r="AH40" s="907"/>
      <c r="AI40" s="906">
        <v>6912.98</v>
      </c>
      <c r="AJ40" s="906">
        <v>2196.77</v>
      </c>
    </row>
    <row r="41" spans="1:36">
      <c r="A41" s="914" t="s">
        <v>4500</v>
      </c>
      <c r="B41" s="918" t="s">
        <v>4501</v>
      </c>
      <c r="C41" s="906">
        <v>7944.57</v>
      </c>
      <c r="D41" s="906">
        <v>7944.58</v>
      </c>
      <c r="E41" s="906">
        <v>7762.65</v>
      </c>
      <c r="F41" s="906">
        <v>7343.32</v>
      </c>
      <c r="G41" s="906">
        <v>357.35</v>
      </c>
      <c r="H41" s="906">
        <v>23.43</v>
      </c>
      <c r="I41" s="906">
        <v>38.54</v>
      </c>
      <c r="J41" s="906">
        <v>39.159999999999997</v>
      </c>
      <c r="K41" s="906">
        <v>-501.25</v>
      </c>
      <c r="L41" s="906">
        <v>-72.66</v>
      </c>
      <c r="M41" s="906">
        <v>-125.34</v>
      </c>
      <c r="N41" s="906">
        <v>64.2</v>
      </c>
      <c r="O41" s="906">
        <v>-7.87</v>
      </c>
      <c r="P41" s="906">
        <v>-98.2</v>
      </c>
      <c r="Q41" s="906">
        <v>994.16</v>
      </c>
      <c r="R41" s="906">
        <v>703.59</v>
      </c>
      <c r="S41" s="906">
        <v>207.73</v>
      </c>
      <c r="T41" s="906">
        <v>-183.63</v>
      </c>
      <c r="U41" s="906">
        <v>261.27</v>
      </c>
      <c r="V41" s="906">
        <v>-116.48</v>
      </c>
      <c r="W41" s="906">
        <v>397.73</v>
      </c>
      <c r="X41" s="906">
        <v>-15.26</v>
      </c>
      <c r="Y41" s="906">
        <v>-5.59</v>
      </c>
      <c r="Z41" s="906">
        <v>3.81</v>
      </c>
      <c r="AA41" s="906">
        <v>64.87</v>
      </c>
      <c r="AB41" s="906">
        <v>193.93</v>
      </c>
      <c r="AC41" s="906">
        <v>480.4</v>
      </c>
      <c r="AD41" s="906">
        <v>39.39</v>
      </c>
      <c r="AE41" s="906">
        <v>-349.65</v>
      </c>
      <c r="AF41" s="906">
        <v>2.35</v>
      </c>
      <c r="AG41" s="906">
        <v>8.23</v>
      </c>
      <c r="AH41" s="906">
        <v>11.32</v>
      </c>
      <c r="AI41" s="907"/>
      <c r="AJ41" s="906">
        <v>-132.16</v>
      </c>
    </row>
    <row r="42" spans="1:36">
      <c r="A42" s="1733" t="s">
        <v>4502</v>
      </c>
      <c r="B42" s="1734" t="s">
        <v>4503</v>
      </c>
      <c r="C42" s="919">
        <v>525896.18000000005</v>
      </c>
      <c r="D42" s="910">
        <v>479161.36</v>
      </c>
      <c r="E42" s="909"/>
      <c r="F42" s="909"/>
      <c r="G42" s="909"/>
      <c r="H42" s="909"/>
      <c r="I42" s="909"/>
      <c r="J42" s="909"/>
      <c r="K42" s="909"/>
      <c r="L42" s="909"/>
      <c r="M42" s="909"/>
      <c r="N42" s="909"/>
      <c r="O42" s="908"/>
      <c r="P42" s="909"/>
      <c r="Q42" s="909"/>
      <c r="R42" s="909"/>
      <c r="S42" s="909"/>
      <c r="T42" s="909"/>
      <c r="U42" s="909"/>
      <c r="V42" s="909"/>
      <c r="W42" s="909"/>
      <c r="X42" s="909"/>
      <c r="Y42" s="909"/>
      <c r="Z42" s="908"/>
      <c r="AA42" s="909"/>
      <c r="AB42" s="909"/>
      <c r="AC42" s="909"/>
      <c r="AD42" s="909"/>
      <c r="AE42" s="909"/>
      <c r="AF42" s="909"/>
      <c r="AG42" s="909"/>
      <c r="AH42" s="909"/>
      <c r="AI42" s="909"/>
      <c r="AJ42" s="909"/>
    </row>
    <row r="43" spans="1:36">
      <c r="E43" s="1735"/>
    </row>
    <row r="44" spans="1:36">
      <c r="E44" s="1735"/>
    </row>
    <row r="45" spans="1:36">
      <c r="E45" s="1735"/>
    </row>
    <row r="46" spans="1:36">
      <c r="E46" s="1735"/>
    </row>
  </sheetData>
  <mergeCells count="13">
    <mergeCell ref="G5:G6"/>
    <mergeCell ref="A5:A6"/>
    <mergeCell ref="B5:B6"/>
    <mergeCell ref="C5:D5"/>
    <mergeCell ref="E5:E6"/>
    <mergeCell ref="F5:F6"/>
    <mergeCell ref="N5:N6"/>
    <mergeCell ref="H5:H6"/>
    <mergeCell ref="I5:I6"/>
    <mergeCell ref="J5:J6"/>
    <mergeCell ref="K5:K6"/>
    <mergeCell ref="L5:L6"/>
    <mergeCell ref="M5:M6"/>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A5F3B-B81D-45B1-B697-74A300AFC766}">
  <sheetPr codeName="Sheet53"/>
  <dimension ref="A1:AH51"/>
  <sheetViews>
    <sheetView topLeftCell="A43" workbookViewId="0">
      <selection activeCell="P7" sqref="P7:AF7"/>
    </sheetView>
  </sheetViews>
  <sheetFormatPr baseColWidth="10" defaultColWidth="8.83203125" defaultRowHeight="15"/>
  <cols>
    <col min="2" max="2" width="17.33203125" customWidth="1"/>
    <col min="3" max="3" width="18.33203125" customWidth="1"/>
    <col min="21" max="21" width="12" bestFit="1" customWidth="1"/>
  </cols>
  <sheetData>
    <row r="1" spans="1:34">
      <c r="A1" s="911" t="s">
        <v>4504</v>
      </c>
      <c r="B1" s="904"/>
      <c r="C1" s="904"/>
      <c r="D1" s="904"/>
      <c r="E1" s="904"/>
      <c r="F1" s="904"/>
      <c r="G1" s="904"/>
      <c r="H1" s="904"/>
      <c r="I1" s="904"/>
      <c r="J1" s="904"/>
      <c r="K1" s="904"/>
      <c r="L1" s="904"/>
      <c r="M1" s="904"/>
      <c r="N1" s="895"/>
    </row>
    <row r="2" spans="1:34">
      <c r="A2" s="911" t="s">
        <v>4505</v>
      </c>
      <c r="B2" s="904"/>
      <c r="C2" s="904"/>
      <c r="D2" s="904"/>
      <c r="E2" s="904"/>
      <c r="F2" s="904"/>
      <c r="G2" s="904"/>
      <c r="H2" s="904"/>
      <c r="I2" s="904"/>
      <c r="J2" s="904"/>
      <c r="K2" s="904"/>
      <c r="L2" s="904"/>
      <c r="M2" s="904"/>
      <c r="N2" s="895"/>
    </row>
    <row r="3" spans="1:34">
      <c r="A3" s="911" t="s">
        <v>4425</v>
      </c>
      <c r="B3" s="904"/>
      <c r="C3" s="904"/>
      <c r="D3" s="904"/>
      <c r="E3" s="904"/>
      <c r="F3" s="904"/>
      <c r="G3" s="904"/>
      <c r="H3" s="904"/>
      <c r="I3" s="904"/>
      <c r="J3" s="904"/>
      <c r="K3" s="904"/>
      <c r="L3" s="904"/>
      <c r="M3" s="904"/>
      <c r="N3" s="895"/>
    </row>
    <row r="4" spans="1:34" ht="17">
      <c r="A4" s="912" t="s">
        <v>454</v>
      </c>
      <c r="B4" s="905"/>
      <c r="C4" s="905"/>
      <c r="D4" s="905"/>
      <c r="E4" s="905"/>
      <c r="F4" s="905"/>
      <c r="G4" s="905"/>
      <c r="H4" s="905"/>
      <c r="I4" s="905"/>
      <c r="J4" s="905"/>
      <c r="K4" s="905"/>
      <c r="L4" s="905"/>
      <c r="M4" s="905"/>
      <c r="N4" s="895"/>
    </row>
    <row r="5" spans="1:34" ht="23.25" customHeight="1">
      <c r="A5" s="2210" t="s">
        <v>4506</v>
      </c>
      <c r="B5" s="2215" t="s">
        <v>455</v>
      </c>
      <c r="C5" s="2217" t="s">
        <v>456</v>
      </c>
      <c r="D5" s="2218"/>
      <c r="E5" s="2221" t="s">
        <v>457</v>
      </c>
      <c r="F5" s="2223" t="s">
        <v>458</v>
      </c>
      <c r="G5" s="2223" t="s">
        <v>459</v>
      </c>
      <c r="H5" s="2223" t="s">
        <v>460</v>
      </c>
      <c r="I5" s="2223" t="s">
        <v>461</v>
      </c>
      <c r="J5" s="2223" t="s">
        <v>462</v>
      </c>
      <c r="K5" s="2223" t="s">
        <v>463</v>
      </c>
      <c r="L5" s="2223" t="s">
        <v>464</v>
      </c>
      <c r="M5" s="2219" t="s">
        <v>465</v>
      </c>
      <c r="N5" s="902"/>
    </row>
    <row r="6" spans="1:34" ht="105">
      <c r="A6" s="2214"/>
      <c r="B6" s="2216"/>
      <c r="C6" s="913" t="s">
        <v>466</v>
      </c>
      <c r="D6" s="920" t="s">
        <v>467</v>
      </c>
      <c r="E6" s="2222"/>
      <c r="F6" s="2224"/>
      <c r="G6" s="2224"/>
      <c r="H6" s="2224"/>
      <c r="I6" s="2224"/>
      <c r="J6" s="2224"/>
      <c r="K6" s="2224"/>
      <c r="L6" s="2224"/>
      <c r="M6" s="2220"/>
      <c r="N6" s="921" t="s">
        <v>468</v>
      </c>
      <c r="O6" s="922" t="s">
        <v>469</v>
      </c>
      <c r="P6" s="921" t="s">
        <v>470</v>
      </c>
      <c r="Q6" s="921" t="s">
        <v>471</v>
      </c>
      <c r="R6" s="921" t="s">
        <v>472</v>
      </c>
      <c r="S6" s="921" t="s">
        <v>473</v>
      </c>
      <c r="T6" s="921" t="s">
        <v>474</v>
      </c>
      <c r="U6" s="921" t="s">
        <v>475</v>
      </c>
      <c r="V6" s="921" t="s">
        <v>476</v>
      </c>
      <c r="W6" s="921" t="s">
        <v>477</v>
      </c>
      <c r="X6" s="923" t="s">
        <v>478</v>
      </c>
      <c r="Y6" s="921" t="s">
        <v>479</v>
      </c>
      <c r="Z6" s="921" t="s">
        <v>480</v>
      </c>
      <c r="AA6" s="921" t="s">
        <v>481</v>
      </c>
      <c r="AB6" s="921" t="s">
        <v>482</v>
      </c>
      <c r="AC6" s="921" t="s">
        <v>483</v>
      </c>
      <c r="AD6" s="921" t="s">
        <v>484</v>
      </c>
      <c r="AE6" s="921" t="s">
        <v>485</v>
      </c>
      <c r="AF6" s="921" t="s">
        <v>486</v>
      </c>
      <c r="AG6" s="921" t="s">
        <v>487</v>
      </c>
      <c r="AH6" s="923" t="s">
        <v>488</v>
      </c>
    </row>
    <row r="7" spans="1:34">
      <c r="A7" s="914" t="s">
        <v>4507</v>
      </c>
      <c r="B7" s="915" t="s">
        <v>413</v>
      </c>
      <c r="C7" s="906">
        <v>337621.14</v>
      </c>
      <c r="D7" s="906">
        <v>245729.87</v>
      </c>
      <c r="E7" s="906">
        <v>39741.269999999997</v>
      </c>
      <c r="F7" s="906">
        <v>31647.49</v>
      </c>
      <c r="G7" s="907"/>
      <c r="H7" s="906">
        <v>7493.44</v>
      </c>
      <c r="I7" s="906">
        <v>44780.72</v>
      </c>
      <c r="J7" s="906">
        <v>3926.54</v>
      </c>
      <c r="K7" s="906">
        <v>10773.9</v>
      </c>
      <c r="L7" s="906">
        <v>1772.08</v>
      </c>
      <c r="M7" s="906">
        <v>196.9</v>
      </c>
      <c r="N7" s="906">
        <v>1145.8</v>
      </c>
      <c r="O7" s="906">
        <v>35854.36</v>
      </c>
      <c r="P7" s="906">
        <v>649.49</v>
      </c>
      <c r="Q7" s="906">
        <v>219.91</v>
      </c>
      <c r="R7" s="906">
        <v>13.21</v>
      </c>
      <c r="S7" s="906">
        <v>1578.87</v>
      </c>
      <c r="T7" s="906">
        <v>342.23</v>
      </c>
      <c r="U7" s="906">
        <v>9839.3700000000008</v>
      </c>
      <c r="V7" s="906">
        <v>373.36</v>
      </c>
      <c r="W7" s="906">
        <v>262.11</v>
      </c>
      <c r="X7" s="906">
        <v>87.13</v>
      </c>
      <c r="Y7" s="906">
        <v>578.13</v>
      </c>
      <c r="Z7" s="906">
        <v>3600.46</v>
      </c>
      <c r="AA7" s="906">
        <v>4999.8</v>
      </c>
      <c r="AB7" s="906">
        <v>3020.36</v>
      </c>
      <c r="AC7" s="906">
        <v>10289.93</v>
      </c>
      <c r="AD7" s="906">
        <v>8646.92</v>
      </c>
      <c r="AE7" s="906">
        <v>14692.14</v>
      </c>
      <c r="AF7" s="906">
        <v>17466.73</v>
      </c>
      <c r="AG7" s="906">
        <v>65587.070000000007</v>
      </c>
      <c r="AH7" s="906">
        <v>1145.43</v>
      </c>
    </row>
    <row r="8" spans="1:34" ht="30">
      <c r="A8" s="914" t="s">
        <v>4508</v>
      </c>
      <c r="B8" s="918" t="s">
        <v>432</v>
      </c>
      <c r="C8" s="906">
        <v>13637.07</v>
      </c>
      <c r="D8" s="906">
        <v>8783.9</v>
      </c>
      <c r="E8" s="906">
        <v>1590.84</v>
      </c>
      <c r="F8" s="906">
        <v>1194.78</v>
      </c>
      <c r="G8" s="907"/>
      <c r="H8" s="906">
        <v>383.66</v>
      </c>
      <c r="I8" s="906">
        <v>197.89</v>
      </c>
      <c r="J8" s="906">
        <v>29.88</v>
      </c>
      <c r="K8" s="906">
        <v>27.15</v>
      </c>
      <c r="L8" s="906">
        <v>4.34</v>
      </c>
      <c r="M8" s="906">
        <v>2.04</v>
      </c>
      <c r="N8" s="906">
        <v>0.44</v>
      </c>
      <c r="O8" s="906">
        <v>1334.11</v>
      </c>
      <c r="P8" s="906">
        <v>351.09</v>
      </c>
      <c r="Q8" s="906">
        <v>19.53</v>
      </c>
      <c r="R8" s="906">
        <v>2.2000000000000002</v>
      </c>
      <c r="S8" s="906">
        <v>708.35</v>
      </c>
      <c r="T8" s="906">
        <v>1.62</v>
      </c>
      <c r="U8" s="906">
        <v>202.5</v>
      </c>
      <c r="V8" s="906">
        <v>3.2</v>
      </c>
      <c r="W8" s="907"/>
      <c r="X8" s="907">
        <v>0.01</v>
      </c>
      <c r="Y8" s="906">
        <v>0.74</v>
      </c>
      <c r="Z8" s="906">
        <v>1.46</v>
      </c>
      <c r="AA8" s="906">
        <v>4.6100000000000003</v>
      </c>
      <c r="AB8" s="906">
        <v>19.260000000000002</v>
      </c>
      <c r="AC8" s="906">
        <v>19.54</v>
      </c>
      <c r="AD8" s="906">
        <v>1813.59</v>
      </c>
      <c r="AE8" s="906">
        <v>120.44</v>
      </c>
      <c r="AF8" s="906">
        <v>188.36</v>
      </c>
      <c r="AG8" s="906">
        <v>3463.94</v>
      </c>
      <c r="AH8" s="906">
        <v>10.89</v>
      </c>
    </row>
    <row r="9" spans="1:34" ht="45">
      <c r="A9" s="916" t="s">
        <v>4509</v>
      </c>
      <c r="B9" s="917" t="s">
        <v>4510</v>
      </c>
      <c r="C9" s="906">
        <v>4588.24</v>
      </c>
      <c r="D9" s="906">
        <v>2903.09</v>
      </c>
      <c r="E9" s="906">
        <v>1004.04</v>
      </c>
      <c r="F9" s="906">
        <v>745.21</v>
      </c>
      <c r="G9" s="907"/>
      <c r="H9" s="906">
        <v>254.44</v>
      </c>
      <c r="I9" s="906">
        <v>6.58</v>
      </c>
      <c r="J9" s="906">
        <v>1.59</v>
      </c>
      <c r="K9" s="906">
        <v>0.82</v>
      </c>
      <c r="L9" s="907"/>
      <c r="M9" s="906"/>
      <c r="N9" s="906">
        <v>0.44</v>
      </c>
      <c r="O9" s="906">
        <v>507.27</v>
      </c>
      <c r="P9" s="906">
        <v>0.14000000000000001</v>
      </c>
      <c r="Q9" s="906">
        <v>4.45</v>
      </c>
      <c r="R9" s="906">
        <v>0.75</v>
      </c>
      <c r="S9" s="906">
        <v>292.3</v>
      </c>
      <c r="T9" s="906">
        <v>0.35</v>
      </c>
      <c r="U9" s="906">
        <v>202.5</v>
      </c>
      <c r="V9" s="906">
        <v>1.99</v>
      </c>
      <c r="W9" s="907"/>
      <c r="X9" s="907"/>
      <c r="Y9" s="906"/>
      <c r="Z9" s="907">
        <v>0.11</v>
      </c>
      <c r="AA9" s="906">
        <v>3.97</v>
      </c>
      <c r="AB9" s="907"/>
      <c r="AC9" s="906">
        <v>0.71</v>
      </c>
      <c r="AD9" s="906">
        <v>117.8</v>
      </c>
      <c r="AE9" s="906">
        <v>32.93</v>
      </c>
      <c r="AF9" s="906">
        <v>27.82</v>
      </c>
      <c r="AG9" s="906">
        <v>1202.76</v>
      </c>
      <c r="AH9" s="906">
        <v>1.04</v>
      </c>
    </row>
    <row r="10" spans="1:34" ht="60">
      <c r="A10" s="916" t="s">
        <v>4511</v>
      </c>
      <c r="B10" s="917" t="s">
        <v>4512</v>
      </c>
      <c r="C10" s="906">
        <v>3975.18</v>
      </c>
      <c r="D10" s="906">
        <v>2962.63</v>
      </c>
      <c r="E10" s="906">
        <v>47.08</v>
      </c>
      <c r="F10" s="906">
        <v>47.08</v>
      </c>
      <c r="G10" s="907"/>
      <c r="H10" s="907"/>
      <c r="I10" s="907"/>
      <c r="J10" s="907"/>
      <c r="K10" s="907"/>
      <c r="L10" s="907"/>
      <c r="M10" s="907"/>
      <c r="N10" s="907"/>
      <c r="O10" s="906">
        <v>451.92</v>
      </c>
      <c r="P10" s="906">
        <v>350.82</v>
      </c>
      <c r="Q10" s="906">
        <v>8.51</v>
      </c>
      <c r="R10" s="907">
        <v>0.87</v>
      </c>
      <c r="S10" s="906">
        <v>53.63</v>
      </c>
      <c r="T10" s="906">
        <v>0.05</v>
      </c>
      <c r="U10" s="907"/>
      <c r="V10" s="906">
        <v>0.02</v>
      </c>
      <c r="W10" s="907"/>
      <c r="X10" s="907"/>
      <c r="Y10" s="907"/>
      <c r="Z10" s="907"/>
      <c r="AA10" s="906">
        <v>0.53</v>
      </c>
      <c r="AB10" s="906">
        <v>19.260000000000002</v>
      </c>
      <c r="AC10" s="906">
        <v>18.22</v>
      </c>
      <c r="AD10" s="906">
        <v>1642.85</v>
      </c>
      <c r="AE10" s="906">
        <v>29.54</v>
      </c>
      <c r="AF10" s="906">
        <v>68.55</v>
      </c>
      <c r="AG10" s="906">
        <v>722.7</v>
      </c>
      <c r="AH10" s="907"/>
    </row>
    <row r="11" spans="1:34" ht="45">
      <c r="A11" s="916" t="s">
        <v>4513</v>
      </c>
      <c r="B11" s="917" t="s">
        <v>4514</v>
      </c>
      <c r="C11" s="906">
        <v>1898.47</v>
      </c>
      <c r="D11" s="906">
        <v>1068.48</v>
      </c>
      <c r="E11" s="906">
        <v>171.31</v>
      </c>
      <c r="F11" s="906">
        <v>162.29</v>
      </c>
      <c r="G11" s="907"/>
      <c r="H11" s="906">
        <v>3.22</v>
      </c>
      <c r="I11" s="906">
        <v>177.14</v>
      </c>
      <c r="J11" s="906">
        <v>15.83</v>
      </c>
      <c r="K11" s="906">
        <v>26.33</v>
      </c>
      <c r="L11" s="906">
        <v>0.87</v>
      </c>
      <c r="M11" s="907"/>
      <c r="N11" s="907"/>
      <c r="O11" s="906">
        <v>77.37</v>
      </c>
      <c r="P11" s="907"/>
      <c r="Q11" s="906">
        <v>0.81</v>
      </c>
      <c r="R11" s="906"/>
      <c r="S11" s="906">
        <v>75.66</v>
      </c>
      <c r="T11" s="906">
        <v>0.16</v>
      </c>
      <c r="U11" s="907"/>
      <c r="V11" s="906">
        <v>0.41</v>
      </c>
      <c r="W11" s="907"/>
      <c r="X11" s="907">
        <v>0.01</v>
      </c>
      <c r="Y11" s="907"/>
      <c r="Z11" s="907"/>
      <c r="AA11" s="907"/>
      <c r="AB11" s="907"/>
      <c r="AC11" s="906">
        <v>0.32</v>
      </c>
      <c r="AD11" s="906">
        <v>0.84</v>
      </c>
      <c r="AE11" s="907"/>
      <c r="AF11" s="906">
        <v>5.73</v>
      </c>
      <c r="AG11" s="906">
        <v>592.4</v>
      </c>
      <c r="AH11" s="906">
        <v>0.66</v>
      </c>
    </row>
    <row r="12" spans="1:34" ht="45">
      <c r="A12" s="916" t="s">
        <v>4515</v>
      </c>
      <c r="B12" s="917" t="s">
        <v>4516</v>
      </c>
      <c r="C12" s="906">
        <v>1081.8499999999999</v>
      </c>
      <c r="D12" s="906">
        <v>518.17999999999995</v>
      </c>
      <c r="E12" s="906">
        <v>60.54</v>
      </c>
      <c r="F12" s="906">
        <v>59.97</v>
      </c>
      <c r="G12" s="907"/>
      <c r="H12" s="906">
        <v>0.56999999999999995</v>
      </c>
      <c r="I12" s="906">
        <v>2.73</v>
      </c>
      <c r="J12" s="906"/>
      <c r="K12" s="907"/>
      <c r="L12" s="907"/>
      <c r="M12" s="907">
        <v>2.04</v>
      </c>
      <c r="N12" s="907"/>
      <c r="O12" s="906">
        <v>32.630000000000003</v>
      </c>
      <c r="P12" s="907"/>
      <c r="Q12" s="906">
        <v>1.02</v>
      </c>
      <c r="R12" s="906">
        <v>0.55000000000000004</v>
      </c>
      <c r="S12" s="906">
        <v>29.25</v>
      </c>
      <c r="T12" s="906">
        <v>0.94</v>
      </c>
      <c r="U12" s="907"/>
      <c r="V12" s="906">
        <v>7.0000000000000007E-2</v>
      </c>
      <c r="W12" s="907"/>
      <c r="X12" s="907"/>
      <c r="Y12" s="906">
        <v>0.3</v>
      </c>
      <c r="Z12" s="906">
        <v>0.5</v>
      </c>
      <c r="AA12" s="907"/>
      <c r="AB12" s="907"/>
      <c r="AC12" s="907"/>
      <c r="AD12" s="906">
        <v>8.92</v>
      </c>
      <c r="AE12" s="907"/>
      <c r="AF12" s="906">
        <v>0.13</v>
      </c>
      <c r="AG12" s="906">
        <v>402.32</v>
      </c>
      <c r="AH12" s="906">
        <v>8.8699999999999992</v>
      </c>
    </row>
    <row r="13" spans="1:34" ht="45">
      <c r="A13" s="916" t="s">
        <v>4517</v>
      </c>
      <c r="B13" s="917" t="s">
        <v>4518</v>
      </c>
      <c r="C13" s="906">
        <v>1258.5</v>
      </c>
      <c r="D13" s="906">
        <v>849.26</v>
      </c>
      <c r="E13" s="906">
        <v>297.27</v>
      </c>
      <c r="F13" s="906">
        <v>169.64</v>
      </c>
      <c r="G13" s="907"/>
      <c r="H13" s="906">
        <v>125.43</v>
      </c>
      <c r="I13" s="906">
        <v>11.14</v>
      </c>
      <c r="J13" s="906">
        <v>12.46</v>
      </c>
      <c r="K13" s="907"/>
      <c r="L13" s="906">
        <v>3.47</v>
      </c>
      <c r="M13" s="907"/>
      <c r="N13" s="907"/>
      <c r="O13" s="906">
        <v>91.94</v>
      </c>
      <c r="P13" s="907"/>
      <c r="Q13" s="906">
        <v>1.06</v>
      </c>
      <c r="R13" s="906">
        <v>0.02</v>
      </c>
      <c r="S13" s="906">
        <v>89.15</v>
      </c>
      <c r="T13" s="906">
        <v>0.09</v>
      </c>
      <c r="U13" s="907"/>
      <c r="V13" s="906">
        <v>0.24</v>
      </c>
      <c r="W13" s="907"/>
      <c r="X13" s="907"/>
      <c r="Y13" s="906">
        <v>0.44</v>
      </c>
      <c r="Z13" s="906">
        <v>0.84</v>
      </c>
      <c r="AA13" s="906">
        <v>0.04</v>
      </c>
      <c r="AB13" s="907"/>
      <c r="AC13" s="906">
        <v>0.05</v>
      </c>
      <c r="AD13" s="906">
        <v>7.85</v>
      </c>
      <c r="AE13" s="906">
        <v>57.82</v>
      </c>
      <c r="AF13" s="906">
        <v>74.599999999999994</v>
      </c>
      <c r="AG13" s="906">
        <v>292.08999999999997</v>
      </c>
      <c r="AH13" s="906">
        <v>0.32</v>
      </c>
    </row>
    <row r="14" spans="1:34" ht="60">
      <c r="A14" s="916" t="s">
        <v>4519</v>
      </c>
      <c r="B14" s="917" t="s">
        <v>4520</v>
      </c>
      <c r="C14" s="906">
        <v>318.85000000000002</v>
      </c>
      <c r="D14" s="906">
        <v>262.5</v>
      </c>
      <c r="E14" s="906">
        <v>2.36</v>
      </c>
      <c r="F14" s="906">
        <v>2.36</v>
      </c>
      <c r="G14" s="907"/>
      <c r="H14" s="907"/>
      <c r="I14" s="907"/>
      <c r="J14" s="907"/>
      <c r="K14" s="907"/>
      <c r="L14" s="907"/>
      <c r="M14" s="907"/>
      <c r="N14" s="907"/>
      <c r="O14" s="906">
        <v>172.89</v>
      </c>
      <c r="P14" s="906">
        <v>0.13</v>
      </c>
      <c r="Q14" s="906">
        <v>3.68</v>
      </c>
      <c r="R14" s="907"/>
      <c r="S14" s="906">
        <v>168.27</v>
      </c>
      <c r="T14" s="906">
        <v>0.03</v>
      </c>
      <c r="U14" s="907"/>
      <c r="V14" s="906">
        <v>0.48</v>
      </c>
      <c r="W14" s="907"/>
      <c r="X14" s="907"/>
      <c r="Y14" s="907"/>
      <c r="Z14" s="907"/>
      <c r="AA14" s="906">
        <v>7.0000000000000007E-2</v>
      </c>
      <c r="AB14" s="907"/>
      <c r="AC14" s="906">
        <v>0.23</v>
      </c>
      <c r="AD14" s="906">
        <v>35.33</v>
      </c>
      <c r="AE14" s="906">
        <v>0.15</v>
      </c>
      <c r="AF14" s="906">
        <v>11.54</v>
      </c>
      <c r="AG14" s="906">
        <v>40.22</v>
      </c>
      <c r="AH14" s="907"/>
    </row>
    <row r="15" spans="1:34" ht="45">
      <c r="A15" s="916" t="s">
        <v>4521</v>
      </c>
      <c r="B15" s="917" t="s">
        <v>4522</v>
      </c>
      <c r="C15" s="906">
        <v>515.98</v>
      </c>
      <c r="D15" s="906">
        <v>219.75</v>
      </c>
      <c r="E15" s="906">
        <v>8.2200000000000006</v>
      </c>
      <c r="F15" s="906">
        <v>8.2200000000000006</v>
      </c>
      <c r="G15" s="907"/>
      <c r="H15" s="907"/>
      <c r="I15" s="907"/>
      <c r="J15" s="907"/>
      <c r="K15" s="907"/>
      <c r="L15" s="907"/>
      <c r="M15" s="907"/>
      <c r="N15" s="907"/>
      <c r="O15" s="906">
        <v>0.09</v>
      </c>
      <c r="P15" s="907"/>
      <c r="Q15" s="907"/>
      <c r="R15" s="907"/>
      <c r="S15" s="906">
        <v>0.09</v>
      </c>
      <c r="T15" s="907"/>
      <c r="U15" s="907"/>
      <c r="V15" s="907"/>
      <c r="W15" s="907"/>
      <c r="X15" s="907"/>
      <c r="Y15" s="907"/>
      <c r="Z15" s="907"/>
      <c r="AA15" s="907"/>
      <c r="AB15" s="907"/>
      <c r="AC15" s="907"/>
      <c r="AD15" s="907"/>
      <c r="AE15" s="907"/>
      <c r="AF15" s="907"/>
      <c r="AG15" s="906">
        <v>211.43</v>
      </c>
      <c r="AH15" s="907"/>
    </row>
    <row r="16" spans="1:34" ht="30">
      <c r="A16" s="914" t="s">
        <v>4523</v>
      </c>
      <c r="B16" s="918" t="s">
        <v>4524</v>
      </c>
      <c r="C16" s="906">
        <v>301751.40999999997</v>
      </c>
      <c r="D16" s="906">
        <v>227009.14</v>
      </c>
      <c r="E16" s="906">
        <v>37867.64</v>
      </c>
      <c r="F16" s="906">
        <v>30176.31</v>
      </c>
      <c r="G16" s="907"/>
      <c r="H16" s="906">
        <v>7109.45</v>
      </c>
      <c r="I16" s="906">
        <v>44486.239999999998</v>
      </c>
      <c r="J16" s="906">
        <v>3891.11</v>
      </c>
      <c r="K16" s="906">
        <v>10744.49</v>
      </c>
      <c r="L16" s="906">
        <v>1767.47</v>
      </c>
      <c r="M16" s="906">
        <v>194.19</v>
      </c>
      <c r="N16" s="906">
        <v>1145.01</v>
      </c>
      <c r="O16" s="906">
        <v>3441.03</v>
      </c>
      <c r="P16" s="906">
        <v>298.08</v>
      </c>
      <c r="Q16" s="906">
        <v>171.6</v>
      </c>
      <c r="R16" s="906">
        <v>11</v>
      </c>
      <c r="S16" s="906">
        <v>827</v>
      </c>
      <c r="T16" s="906">
        <v>338.55</v>
      </c>
      <c r="U16" s="906">
        <v>9636.8700000000008</v>
      </c>
      <c r="V16" s="906">
        <v>369.74</v>
      </c>
      <c r="W16" s="906">
        <v>262.11</v>
      </c>
      <c r="X16" s="906">
        <v>87.12</v>
      </c>
      <c r="Y16" s="906">
        <v>577.39</v>
      </c>
      <c r="Z16" s="906">
        <v>3599.01</v>
      </c>
      <c r="AA16" s="906">
        <v>4994.01</v>
      </c>
      <c r="AB16" s="906">
        <v>2998.43</v>
      </c>
      <c r="AC16" s="906">
        <v>10270.1</v>
      </c>
      <c r="AD16" s="906">
        <v>6745.07</v>
      </c>
      <c r="AE16" s="906">
        <v>14482.85</v>
      </c>
      <c r="AF16" s="906">
        <v>16771.79</v>
      </c>
      <c r="AG16" s="906">
        <v>53347.03</v>
      </c>
      <c r="AH16" s="906">
        <v>1125.22</v>
      </c>
    </row>
    <row r="17" spans="1:34" ht="60">
      <c r="A17" s="916" t="s">
        <v>4525</v>
      </c>
      <c r="B17" s="924" t="s">
        <v>4526</v>
      </c>
      <c r="C17" s="906">
        <v>4270.55</v>
      </c>
      <c r="D17" s="906">
        <v>2680.99</v>
      </c>
      <c r="E17" s="906">
        <v>393.79</v>
      </c>
      <c r="F17" s="906">
        <v>375.08</v>
      </c>
      <c r="G17" s="907"/>
      <c r="H17" s="906">
        <v>15.9</v>
      </c>
      <c r="I17" s="906">
        <v>13.15</v>
      </c>
      <c r="J17" s="906">
        <v>0.12</v>
      </c>
      <c r="K17" s="907"/>
      <c r="L17" s="907"/>
      <c r="M17" s="906">
        <v>0.36</v>
      </c>
      <c r="N17" s="907"/>
      <c r="O17" s="906">
        <v>35.15</v>
      </c>
      <c r="P17" s="907"/>
      <c r="Q17" s="906">
        <v>5.89</v>
      </c>
      <c r="R17" s="906">
        <v>0.06</v>
      </c>
      <c r="S17" s="906">
        <v>22.62</v>
      </c>
      <c r="T17" s="906">
        <v>2.5299999999999998</v>
      </c>
      <c r="U17" s="907"/>
      <c r="V17" s="906">
        <v>0.03</v>
      </c>
      <c r="W17" s="906">
        <v>0.02</v>
      </c>
      <c r="X17" s="906">
        <v>1.96</v>
      </c>
      <c r="Y17" s="907"/>
      <c r="Z17" s="907"/>
      <c r="AA17" s="906">
        <v>1.84</v>
      </c>
      <c r="AB17" s="907"/>
      <c r="AC17" s="906">
        <v>0.2</v>
      </c>
      <c r="AD17" s="906">
        <v>61.21</v>
      </c>
      <c r="AE17" s="906">
        <v>422.86</v>
      </c>
      <c r="AF17" s="906">
        <v>428.27</v>
      </c>
      <c r="AG17" s="906">
        <v>1134.54</v>
      </c>
      <c r="AH17" s="906">
        <v>191.54</v>
      </c>
    </row>
    <row r="18" spans="1:34" ht="45">
      <c r="A18" s="916" t="s">
        <v>4527</v>
      </c>
      <c r="B18" s="924" t="s">
        <v>4528</v>
      </c>
      <c r="C18" s="906">
        <v>2289.0500000000002</v>
      </c>
      <c r="D18" s="906">
        <v>1652.67</v>
      </c>
      <c r="E18" s="906">
        <v>320.32</v>
      </c>
      <c r="F18" s="906">
        <v>314.42</v>
      </c>
      <c r="G18" s="907"/>
      <c r="H18" s="906">
        <v>0.7</v>
      </c>
      <c r="I18" s="906">
        <v>1.62</v>
      </c>
      <c r="J18" s="907">
        <v>0.16</v>
      </c>
      <c r="K18" s="907"/>
      <c r="L18" s="907"/>
      <c r="M18" s="907"/>
      <c r="N18" s="907"/>
      <c r="O18" s="906">
        <v>19.25</v>
      </c>
      <c r="P18" s="907"/>
      <c r="Q18" s="906">
        <v>6.03</v>
      </c>
      <c r="R18" s="906">
        <v>0.02</v>
      </c>
      <c r="S18" s="906">
        <v>9.1999999999999993</v>
      </c>
      <c r="T18" s="906">
        <v>0.77</v>
      </c>
      <c r="U18" s="907"/>
      <c r="V18" s="906">
        <v>0.03</v>
      </c>
      <c r="W18" s="907"/>
      <c r="X18" s="907"/>
      <c r="Y18" s="907"/>
      <c r="Z18" s="907"/>
      <c r="AA18" s="906">
        <v>2.15</v>
      </c>
      <c r="AB18" s="907"/>
      <c r="AC18" s="906">
        <v>1.05</v>
      </c>
      <c r="AD18" s="906">
        <v>186.62</v>
      </c>
      <c r="AE18" s="906">
        <v>169.64</v>
      </c>
      <c r="AF18" s="906">
        <v>458.54</v>
      </c>
      <c r="AG18" s="906">
        <v>454.21</v>
      </c>
      <c r="AH18" s="906">
        <v>42.31</v>
      </c>
    </row>
    <row r="19" spans="1:34" ht="60">
      <c r="A19" s="916" t="s">
        <v>4529</v>
      </c>
      <c r="B19" s="924" t="s">
        <v>4530</v>
      </c>
      <c r="C19" s="906">
        <v>1256.8</v>
      </c>
      <c r="D19" s="906">
        <v>913.89</v>
      </c>
      <c r="E19" s="906">
        <v>198.43</v>
      </c>
      <c r="F19" s="906">
        <v>195.04</v>
      </c>
      <c r="G19" s="907"/>
      <c r="H19" s="906">
        <v>2.08</v>
      </c>
      <c r="I19" s="906">
        <v>0.03</v>
      </c>
      <c r="J19" s="906">
        <v>0.08</v>
      </c>
      <c r="K19" s="907"/>
      <c r="L19" s="906"/>
      <c r="M19" s="906">
        <v>0.01</v>
      </c>
      <c r="N19" s="906">
        <v>0.01</v>
      </c>
      <c r="O19" s="906">
        <v>9.0399999999999991</v>
      </c>
      <c r="P19" s="907"/>
      <c r="Q19" s="906">
        <v>2.16</v>
      </c>
      <c r="R19" s="907"/>
      <c r="S19" s="906">
        <v>4.25</v>
      </c>
      <c r="T19" s="906">
        <v>1.56</v>
      </c>
      <c r="U19" s="907"/>
      <c r="V19" s="906">
        <v>0.02</v>
      </c>
      <c r="W19" s="907"/>
      <c r="X19" s="907"/>
      <c r="Y19" s="907"/>
      <c r="Z19" s="907"/>
      <c r="AA19" s="906">
        <v>1.04</v>
      </c>
      <c r="AB19" s="907"/>
      <c r="AC19" s="906"/>
      <c r="AD19" s="906">
        <v>139.54</v>
      </c>
      <c r="AE19" s="906">
        <v>70.61</v>
      </c>
      <c r="AF19" s="906">
        <v>234.77</v>
      </c>
      <c r="AG19" s="906">
        <v>244.75</v>
      </c>
      <c r="AH19" s="906">
        <v>16.64</v>
      </c>
    </row>
    <row r="20" spans="1:34" ht="45">
      <c r="A20" s="916" t="s">
        <v>4531</v>
      </c>
      <c r="B20" s="924" t="s">
        <v>4532</v>
      </c>
      <c r="C20" s="906">
        <v>185.45</v>
      </c>
      <c r="D20" s="906">
        <v>94.05</v>
      </c>
      <c r="E20" s="906">
        <v>2.4300000000000002</v>
      </c>
      <c r="F20" s="906">
        <v>2.4300000000000002</v>
      </c>
      <c r="G20" s="907"/>
      <c r="H20" s="907"/>
      <c r="I20" s="907"/>
      <c r="J20" s="907"/>
      <c r="K20" s="907"/>
      <c r="L20" s="907"/>
      <c r="M20" s="907"/>
      <c r="N20" s="907"/>
      <c r="O20" s="906">
        <v>1.1299999999999999</v>
      </c>
      <c r="P20" s="907"/>
      <c r="Q20" s="906">
        <v>0.13</v>
      </c>
      <c r="R20" s="907"/>
      <c r="S20" s="906">
        <v>0.93</v>
      </c>
      <c r="T20" s="907"/>
      <c r="U20" s="907"/>
      <c r="V20" s="907"/>
      <c r="W20" s="907"/>
      <c r="X20" s="907"/>
      <c r="Y20" s="907"/>
      <c r="Z20" s="907"/>
      <c r="AA20" s="906">
        <v>0.06</v>
      </c>
      <c r="AB20" s="907"/>
      <c r="AC20" s="907"/>
      <c r="AD20" s="906">
        <v>14.43</v>
      </c>
      <c r="AE20" s="907"/>
      <c r="AF20" s="906">
        <v>10.14</v>
      </c>
      <c r="AG20" s="906">
        <v>65.239999999999995</v>
      </c>
      <c r="AH20" s="906">
        <v>0.68</v>
      </c>
    </row>
    <row r="21" spans="1:34" ht="30">
      <c r="A21" s="916" t="s">
        <v>4533</v>
      </c>
      <c r="B21" s="924" t="s">
        <v>4534</v>
      </c>
      <c r="C21" s="906">
        <v>7887.66</v>
      </c>
      <c r="D21" s="906">
        <v>4633.49</v>
      </c>
      <c r="E21" s="906">
        <v>144.11000000000001</v>
      </c>
      <c r="F21" s="906">
        <v>126.95</v>
      </c>
      <c r="G21" s="907"/>
      <c r="H21" s="906">
        <v>1.9</v>
      </c>
      <c r="I21" s="906">
        <v>5.25</v>
      </c>
      <c r="J21" s="907"/>
      <c r="K21" s="907"/>
      <c r="L21" s="907"/>
      <c r="M21" s="907"/>
      <c r="N21" s="907"/>
      <c r="O21" s="906">
        <v>15.64</v>
      </c>
      <c r="P21" s="907"/>
      <c r="Q21" s="906">
        <v>4.2300000000000004</v>
      </c>
      <c r="R21" s="906">
        <v>0.06</v>
      </c>
      <c r="S21" s="906">
        <v>6.14</v>
      </c>
      <c r="T21" s="906">
        <v>0.57999999999999996</v>
      </c>
      <c r="U21" s="907"/>
      <c r="V21" s="906">
        <v>0.32</v>
      </c>
      <c r="W21" s="907">
        <v>0.01</v>
      </c>
      <c r="X21" s="907"/>
      <c r="Y21" s="906">
        <v>1.55</v>
      </c>
      <c r="Z21" s="907"/>
      <c r="AA21" s="906">
        <v>2.04</v>
      </c>
      <c r="AB21" s="907"/>
      <c r="AC21" s="906">
        <v>0.7</v>
      </c>
      <c r="AD21" s="906">
        <v>236.71</v>
      </c>
      <c r="AE21" s="906">
        <v>628.57000000000005</v>
      </c>
      <c r="AF21" s="906">
        <v>1235.1199999999999</v>
      </c>
      <c r="AG21" s="906">
        <v>2322.65</v>
      </c>
      <c r="AH21" s="906">
        <v>45.43</v>
      </c>
    </row>
    <row r="22" spans="1:34" ht="60">
      <c r="A22" s="916" t="s">
        <v>4535</v>
      </c>
      <c r="B22" s="924" t="s">
        <v>4536</v>
      </c>
      <c r="C22" s="906">
        <v>988.8</v>
      </c>
      <c r="D22" s="906">
        <v>544.54</v>
      </c>
      <c r="E22" s="906">
        <v>15.22</v>
      </c>
      <c r="F22" s="906">
        <v>15.09</v>
      </c>
      <c r="G22" s="907"/>
      <c r="H22" s="906">
        <v>0.09</v>
      </c>
      <c r="I22" s="906">
        <v>0.05</v>
      </c>
      <c r="J22" s="907"/>
      <c r="K22" s="907"/>
      <c r="L22" s="907"/>
      <c r="M22" s="907"/>
      <c r="N22" s="907"/>
      <c r="O22" s="906">
        <v>7.5</v>
      </c>
      <c r="P22" s="907"/>
      <c r="Q22" s="906">
        <v>3.43</v>
      </c>
      <c r="R22" s="907"/>
      <c r="S22" s="906">
        <v>3.26</v>
      </c>
      <c r="T22" s="906">
        <v>0.42</v>
      </c>
      <c r="U22" s="907"/>
      <c r="V22" s="906">
        <v>0.03</v>
      </c>
      <c r="W22" s="907"/>
      <c r="X22" s="907"/>
      <c r="Y22" s="907"/>
      <c r="Z22" s="907"/>
      <c r="AA22" s="906">
        <v>0.33</v>
      </c>
      <c r="AB22" s="907"/>
      <c r="AC22" s="906">
        <v>0.03</v>
      </c>
      <c r="AD22" s="906">
        <v>14.06</v>
      </c>
      <c r="AE22" s="906">
        <v>173.38</v>
      </c>
      <c r="AF22" s="906">
        <v>11.36</v>
      </c>
      <c r="AG22" s="906">
        <v>317.08999999999997</v>
      </c>
      <c r="AH22" s="906">
        <v>5.87</v>
      </c>
    </row>
    <row r="23" spans="1:34" ht="75">
      <c r="A23" s="916" t="s">
        <v>4537</v>
      </c>
      <c r="B23" s="924" t="s">
        <v>4538</v>
      </c>
      <c r="C23" s="906">
        <v>535.21</v>
      </c>
      <c r="D23" s="906">
        <v>256.14</v>
      </c>
      <c r="E23" s="906">
        <v>10.92</v>
      </c>
      <c r="F23" s="906">
        <v>9.86</v>
      </c>
      <c r="G23" s="907"/>
      <c r="H23" s="906">
        <v>0.01</v>
      </c>
      <c r="I23" s="907"/>
      <c r="J23" s="907"/>
      <c r="K23" s="906"/>
      <c r="L23" s="907"/>
      <c r="M23" s="907"/>
      <c r="N23" s="907"/>
      <c r="O23" s="906">
        <v>4.2300000000000004</v>
      </c>
      <c r="P23" s="907"/>
      <c r="Q23" s="906">
        <v>1.72</v>
      </c>
      <c r="R23" s="907"/>
      <c r="S23" s="906">
        <v>1.95</v>
      </c>
      <c r="T23" s="906">
        <v>0.15</v>
      </c>
      <c r="U23" s="907"/>
      <c r="V23" s="906">
        <v>0.03</v>
      </c>
      <c r="W23" s="907"/>
      <c r="X23" s="906">
        <v>0.24</v>
      </c>
      <c r="Y23" s="907"/>
      <c r="Z23" s="907"/>
      <c r="AA23" s="906">
        <v>0.1</v>
      </c>
      <c r="AB23" s="907"/>
      <c r="AC23" s="906">
        <v>0.03</v>
      </c>
      <c r="AD23" s="906">
        <v>1.6</v>
      </c>
      <c r="AE23" s="906">
        <v>25.45</v>
      </c>
      <c r="AF23" s="906">
        <v>7.79</v>
      </c>
      <c r="AG23" s="906">
        <v>199.18</v>
      </c>
      <c r="AH23" s="906">
        <v>6.98</v>
      </c>
    </row>
    <row r="24" spans="1:34" ht="105">
      <c r="A24" s="916" t="s">
        <v>4539</v>
      </c>
      <c r="B24" s="924" t="s">
        <v>4540</v>
      </c>
      <c r="C24" s="906">
        <v>1168.03</v>
      </c>
      <c r="D24" s="906">
        <v>598.45000000000005</v>
      </c>
      <c r="E24" s="906">
        <v>21.42</v>
      </c>
      <c r="F24" s="906">
        <v>21.33</v>
      </c>
      <c r="G24" s="907"/>
      <c r="H24" s="906">
        <v>0.09</v>
      </c>
      <c r="I24" s="906">
        <v>0.01</v>
      </c>
      <c r="J24" s="907"/>
      <c r="K24" s="907"/>
      <c r="L24" s="907"/>
      <c r="M24" s="907"/>
      <c r="N24" s="907"/>
      <c r="O24" s="906">
        <v>12.56</v>
      </c>
      <c r="P24" s="907"/>
      <c r="Q24" s="906">
        <v>2.52</v>
      </c>
      <c r="R24" s="907">
        <v>0.01</v>
      </c>
      <c r="S24" s="906">
        <v>7.51</v>
      </c>
      <c r="T24" s="906">
        <v>0.14000000000000001</v>
      </c>
      <c r="U24" s="907"/>
      <c r="V24" s="906">
        <v>0.05</v>
      </c>
      <c r="W24" s="906">
        <v>2</v>
      </c>
      <c r="X24" s="907"/>
      <c r="Y24" s="907"/>
      <c r="Z24" s="907"/>
      <c r="AA24" s="906">
        <v>0.34</v>
      </c>
      <c r="AB24" s="907"/>
      <c r="AC24" s="907"/>
      <c r="AD24" s="906">
        <v>35.880000000000003</v>
      </c>
      <c r="AE24" s="906">
        <v>5.61</v>
      </c>
      <c r="AF24" s="906">
        <v>32.53</v>
      </c>
      <c r="AG24" s="906">
        <v>406.53</v>
      </c>
      <c r="AH24" s="906">
        <v>83.91</v>
      </c>
    </row>
    <row r="25" spans="1:34" ht="45">
      <c r="A25" s="916" t="s">
        <v>4541</v>
      </c>
      <c r="B25" s="924" t="s">
        <v>4542</v>
      </c>
      <c r="C25" s="906">
        <v>459.2</v>
      </c>
      <c r="D25" s="906">
        <v>214.33</v>
      </c>
      <c r="E25" s="906">
        <v>1.41</v>
      </c>
      <c r="F25" s="906">
        <v>1.31</v>
      </c>
      <c r="G25" s="907"/>
      <c r="H25" s="906">
        <v>0.1</v>
      </c>
      <c r="I25" s="906">
        <v>0.03</v>
      </c>
      <c r="J25" s="907"/>
      <c r="K25" s="907"/>
      <c r="L25" s="907"/>
      <c r="M25" s="907"/>
      <c r="N25" s="907"/>
      <c r="O25" s="906">
        <v>5.91</v>
      </c>
      <c r="P25" s="907"/>
      <c r="Q25" s="906">
        <v>2.13</v>
      </c>
      <c r="R25" s="906">
        <v>0.01</v>
      </c>
      <c r="S25" s="906">
        <v>33.15</v>
      </c>
      <c r="T25" s="906">
        <v>0.09</v>
      </c>
      <c r="U25" s="907"/>
      <c r="V25" s="906">
        <v>0.12</v>
      </c>
      <c r="W25" s="907"/>
      <c r="X25" s="907"/>
      <c r="Y25" s="907"/>
      <c r="Z25" s="907"/>
      <c r="AA25" s="906">
        <v>0.4</v>
      </c>
      <c r="AB25" s="907"/>
      <c r="AC25" s="907"/>
      <c r="AD25" s="906">
        <v>20.55</v>
      </c>
      <c r="AE25" s="906">
        <v>6.15</v>
      </c>
      <c r="AF25" s="906">
        <v>2.1800000000000002</v>
      </c>
      <c r="AG25" s="906">
        <v>174.77</v>
      </c>
      <c r="AH25" s="906">
        <v>3.32</v>
      </c>
    </row>
    <row r="26" spans="1:34" ht="45">
      <c r="A26" s="916" t="s">
        <v>4543</v>
      </c>
      <c r="B26" s="924" t="s">
        <v>4544</v>
      </c>
      <c r="C26" s="906">
        <v>4196.87</v>
      </c>
      <c r="D26" s="906">
        <v>2734.3</v>
      </c>
      <c r="E26" s="906">
        <v>315.57</v>
      </c>
      <c r="F26" s="906">
        <v>265.32</v>
      </c>
      <c r="G26" s="907"/>
      <c r="H26" s="906">
        <v>31.66</v>
      </c>
      <c r="I26" s="906">
        <v>0.94</v>
      </c>
      <c r="J26" s="906">
        <v>0.38</v>
      </c>
      <c r="K26" s="907"/>
      <c r="L26" s="907"/>
      <c r="M26" s="907"/>
      <c r="N26" s="907">
        <v>0.01</v>
      </c>
      <c r="O26" s="906">
        <v>28.15</v>
      </c>
      <c r="P26" s="906">
        <v>0.04</v>
      </c>
      <c r="Q26" s="906">
        <v>2.15</v>
      </c>
      <c r="R26" s="907"/>
      <c r="S26" s="906">
        <v>17.649999999999999</v>
      </c>
      <c r="T26" s="906">
        <v>3.64</v>
      </c>
      <c r="U26" s="907"/>
      <c r="V26" s="906">
        <v>0.09</v>
      </c>
      <c r="W26" s="906">
        <v>0.02</v>
      </c>
      <c r="X26" s="906">
        <v>0.35</v>
      </c>
      <c r="Y26" s="907"/>
      <c r="Z26" s="907"/>
      <c r="AA26" s="906">
        <v>3.3</v>
      </c>
      <c r="AB26" s="907"/>
      <c r="AC26" s="906">
        <v>0.91</v>
      </c>
      <c r="AD26" s="906">
        <v>68.989999999999995</v>
      </c>
      <c r="AE26" s="906">
        <v>212.86</v>
      </c>
      <c r="AF26" s="906">
        <v>1015.86</v>
      </c>
      <c r="AG26" s="906">
        <v>1043.9000000000001</v>
      </c>
      <c r="AH26" s="906">
        <v>47.65</v>
      </c>
    </row>
    <row r="27" spans="1:34" ht="60">
      <c r="A27" s="916" t="s">
        <v>4545</v>
      </c>
      <c r="B27" s="924" t="s">
        <v>4546</v>
      </c>
      <c r="C27" s="906">
        <v>554.53</v>
      </c>
      <c r="D27" s="906">
        <v>299.70999999999998</v>
      </c>
      <c r="E27" s="906">
        <v>5.38</v>
      </c>
      <c r="F27" s="906">
        <v>4.87</v>
      </c>
      <c r="G27" s="907"/>
      <c r="H27" s="906">
        <v>0.16</v>
      </c>
      <c r="I27" s="906">
        <v>0.01</v>
      </c>
      <c r="J27" s="906">
        <v>0.37</v>
      </c>
      <c r="K27" s="907"/>
      <c r="L27" s="907"/>
      <c r="M27" s="907"/>
      <c r="N27" s="907"/>
      <c r="O27" s="906">
        <v>10.029999999999999</v>
      </c>
      <c r="P27" s="907"/>
      <c r="Q27" s="906">
        <v>3.87</v>
      </c>
      <c r="R27" s="906">
        <v>0.01</v>
      </c>
      <c r="S27" s="906">
        <v>5.01</v>
      </c>
      <c r="T27" s="906">
        <v>0.31</v>
      </c>
      <c r="U27" s="907"/>
      <c r="V27" s="906">
        <v>0.01</v>
      </c>
      <c r="W27" s="907"/>
      <c r="X27" s="906">
        <v>0.02</v>
      </c>
      <c r="Y27" s="907"/>
      <c r="Z27" s="907"/>
      <c r="AA27" s="906">
        <v>0.56999999999999995</v>
      </c>
      <c r="AB27" s="907"/>
      <c r="AC27" s="906">
        <v>0.23</v>
      </c>
      <c r="AD27" s="906">
        <v>47.66</v>
      </c>
      <c r="AE27" s="906">
        <v>16.27</v>
      </c>
      <c r="AF27" s="906">
        <v>30.5</v>
      </c>
      <c r="AG27" s="906">
        <v>181.87</v>
      </c>
      <c r="AH27" s="906">
        <v>7.64</v>
      </c>
    </row>
    <row r="28" spans="1:34" ht="105">
      <c r="A28" s="916" t="s">
        <v>4547</v>
      </c>
      <c r="B28" s="924" t="s">
        <v>4548</v>
      </c>
      <c r="C28" s="906">
        <v>548.6</v>
      </c>
      <c r="D28" s="906">
        <v>377.08</v>
      </c>
      <c r="E28" s="906">
        <v>12.05</v>
      </c>
      <c r="F28" s="906">
        <v>11.95</v>
      </c>
      <c r="G28" s="907"/>
      <c r="H28" s="907"/>
      <c r="I28" s="906">
        <v>0.05</v>
      </c>
      <c r="J28" s="907"/>
      <c r="K28" s="907"/>
      <c r="L28" s="907"/>
      <c r="M28" s="907">
        <v>0.01</v>
      </c>
      <c r="N28" s="907"/>
      <c r="O28" s="906">
        <v>18.38</v>
      </c>
      <c r="P28" s="907"/>
      <c r="Q28" s="906">
        <v>2.5499999999999998</v>
      </c>
      <c r="R28" s="907"/>
      <c r="S28" s="906">
        <v>3.39</v>
      </c>
      <c r="T28" s="906">
        <v>0.12</v>
      </c>
      <c r="U28" s="907"/>
      <c r="V28" s="906">
        <v>0.04</v>
      </c>
      <c r="W28" s="906">
        <v>0.62</v>
      </c>
      <c r="X28" s="906">
        <v>0.13</v>
      </c>
      <c r="Y28" s="907"/>
      <c r="Z28" s="906">
        <v>10.5</v>
      </c>
      <c r="AA28" s="906">
        <v>0.77</v>
      </c>
      <c r="AB28" s="907"/>
      <c r="AC28" s="906">
        <v>0.28000000000000003</v>
      </c>
      <c r="AD28" s="906">
        <v>45.95</v>
      </c>
      <c r="AE28" s="906">
        <v>167.55</v>
      </c>
      <c r="AF28" s="906">
        <v>5.82</v>
      </c>
      <c r="AG28" s="906">
        <v>122.42</v>
      </c>
      <c r="AH28" s="906">
        <v>4.84</v>
      </c>
    </row>
    <row r="29" spans="1:34" ht="75">
      <c r="A29" s="916" t="s">
        <v>4549</v>
      </c>
      <c r="B29" s="924" t="s">
        <v>4550</v>
      </c>
      <c r="C29" s="906">
        <v>28640.959999999999</v>
      </c>
      <c r="D29" s="906">
        <v>26180.65</v>
      </c>
      <c r="E29" s="906">
        <v>1903.67</v>
      </c>
      <c r="F29" s="906">
        <v>1357.84</v>
      </c>
      <c r="G29" s="907"/>
      <c r="H29" s="906">
        <v>519.17999999999995</v>
      </c>
      <c r="I29" s="906">
        <v>59.24</v>
      </c>
      <c r="J29" s="906">
        <v>1160.07</v>
      </c>
      <c r="K29" s="906">
        <v>164.39</v>
      </c>
      <c r="L29" s="906">
        <v>8.5399999999999991</v>
      </c>
      <c r="M29" s="906">
        <v>3.9</v>
      </c>
      <c r="N29" s="906">
        <v>95.9</v>
      </c>
      <c r="O29" s="906">
        <v>16761.740000000002</v>
      </c>
      <c r="P29" s="906">
        <v>294.72000000000003</v>
      </c>
      <c r="Q29" s="906">
        <v>1.45</v>
      </c>
      <c r="R29" s="906">
        <v>0.03</v>
      </c>
      <c r="S29" s="906">
        <v>25.23</v>
      </c>
      <c r="T29" s="906">
        <v>61.87</v>
      </c>
      <c r="U29" s="906">
        <v>1991.39</v>
      </c>
      <c r="V29" s="906">
        <v>334.08</v>
      </c>
      <c r="W29" s="906">
        <v>0.25</v>
      </c>
      <c r="X29" s="906">
        <v>2.0699999999999998</v>
      </c>
      <c r="Y29" s="906">
        <v>43.17</v>
      </c>
      <c r="Z29" s="906">
        <v>208.86</v>
      </c>
      <c r="AA29" s="906">
        <v>2368.5500000000002</v>
      </c>
      <c r="AB29" s="906">
        <v>2698.34</v>
      </c>
      <c r="AC29" s="906">
        <v>8731.7199999999993</v>
      </c>
      <c r="AD29" s="906">
        <v>294.70999999999998</v>
      </c>
      <c r="AE29" s="906">
        <v>1287.98</v>
      </c>
      <c r="AF29" s="906">
        <v>2596.02</v>
      </c>
      <c r="AG29" s="906">
        <v>1756.03</v>
      </c>
      <c r="AH29" s="906">
        <v>88.46</v>
      </c>
    </row>
    <row r="30" spans="1:34" ht="60">
      <c r="A30" s="916" t="s">
        <v>4551</v>
      </c>
      <c r="B30" s="924" t="s">
        <v>4552</v>
      </c>
      <c r="C30" s="906">
        <v>58158.93</v>
      </c>
      <c r="D30" s="906">
        <v>47597.41</v>
      </c>
      <c r="E30" s="906">
        <v>8340.14</v>
      </c>
      <c r="F30" s="906">
        <v>8069</v>
      </c>
      <c r="G30" s="907"/>
      <c r="H30" s="906">
        <v>126.61</v>
      </c>
      <c r="I30" s="906">
        <v>3905.75</v>
      </c>
      <c r="J30" s="906">
        <v>501.59</v>
      </c>
      <c r="K30" s="906">
        <v>12.08</v>
      </c>
      <c r="L30" s="906">
        <v>35.590000000000003</v>
      </c>
      <c r="M30" s="906">
        <v>45.76</v>
      </c>
      <c r="N30" s="906">
        <v>639.05999999999995</v>
      </c>
      <c r="O30" s="906">
        <v>12495.37</v>
      </c>
      <c r="P30" s="906">
        <v>2.02</v>
      </c>
      <c r="Q30" s="906">
        <v>10.59</v>
      </c>
      <c r="R30" s="906">
        <v>2.7</v>
      </c>
      <c r="S30" s="906">
        <v>48.18</v>
      </c>
      <c r="T30" s="906">
        <v>58.1</v>
      </c>
      <c r="U30" s="906">
        <v>7645.47</v>
      </c>
      <c r="V30" s="906">
        <v>1.6</v>
      </c>
      <c r="W30" s="906">
        <v>255.49</v>
      </c>
      <c r="X30" s="906">
        <v>75.930000000000007</v>
      </c>
      <c r="Y30" s="906">
        <v>74.8</v>
      </c>
      <c r="Z30" s="906">
        <v>79.27</v>
      </c>
      <c r="AA30" s="906">
        <v>2473.81</v>
      </c>
      <c r="AB30" s="906">
        <v>298.91000000000003</v>
      </c>
      <c r="AC30" s="906">
        <v>1468.49</v>
      </c>
      <c r="AD30" s="906">
        <v>2721.77</v>
      </c>
      <c r="AE30" s="906">
        <v>3420.65</v>
      </c>
      <c r="AF30" s="906">
        <v>7593.36</v>
      </c>
      <c r="AG30" s="906">
        <v>7538.24</v>
      </c>
      <c r="AH30" s="906">
        <v>348.04</v>
      </c>
    </row>
    <row r="31" spans="1:34" ht="45">
      <c r="A31" s="916" t="s">
        <v>4553</v>
      </c>
      <c r="B31" s="924" t="s">
        <v>4554</v>
      </c>
      <c r="C31" s="906">
        <v>2380.2399999999998</v>
      </c>
      <c r="D31" s="906">
        <v>1540.71</v>
      </c>
      <c r="E31" s="906">
        <v>236.71</v>
      </c>
      <c r="F31" s="906">
        <v>226.93</v>
      </c>
      <c r="G31" s="907"/>
      <c r="H31" s="906">
        <v>2.25</v>
      </c>
      <c r="I31" s="906">
        <v>5.49</v>
      </c>
      <c r="J31" s="906">
        <v>1.06</v>
      </c>
      <c r="K31" s="907"/>
      <c r="L31" s="907"/>
      <c r="M31" s="906">
        <v>0.06</v>
      </c>
      <c r="N31" s="906">
        <v>0.09</v>
      </c>
      <c r="O31" s="906">
        <v>17.38</v>
      </c>
      <c r="P31" s="907"/>
      <c r="Q31" s="906">
        <v>4.09</v>
      </c>
      <c r="R31" s="906"/>
      <c r="S31" s="906">
        <v>7.08</v>
      </c>
      <c r="T31" s="906">
        <v>3.1</v>
      </c>
      <c r="U31" s="907">
        <v>0.01</v>
      </c>
      <c r="V31" s="906">
        <v>0.02</v>
      </c>
      <c r="W31" s="906">
        <v>0.04</v>
      </c>
      <c r="X31" s="906">
        <v>0.78</v>
      </c>
      <c r="Y31" s="907"/>
      <c r="Z31" s="907"/>
      <c r="AA31" s="906">
        <v>1.32</v>
      </c>
      <c r="AB31" s="907"/>
      <c r="AC31" s="906">
        <v>0.94</v>
      </c>
      <c r="AD31" s="906">
        <v>117.18</v>
      </c>
      <c r="AE31" s="906">
        <v>110.1</v>
      </c>
      <c r="AF31" s="906">
        <v>429.57</v>
      </c>
      <c r="AG31" s="906">
        <v>599.21</v>
      </c>
      <c r="AH31" s="906">
        <v>23.85</v>
      </c>
    </row>
    <row r="32" spans="1:34" ht="45">
      <c r="A32" s="916" t="s">
        <v>4555</v>
      </c>
      <c r="B32" s="924" t="s">
        <v>4556</v>
      </c>
      <c r="C32" s="906">
        <v>2719.82</v>
      </c>
      <c r="D32" s="906">
        <v>1837.92</v>
      </c>
      <c r="E32" s="906">
        <v>285.32</v>
      </c>
      <c r="F32" s="906">
        <v>210.36</v>
      </c>
      <c r="G32" s="907"/>
      <c r="H32" s="906">
        <v>2.38</v>
      </c>
      <c r="I32" s="906">
        <v>0.28999999999999998</v>
      </c>
      <c r="J32" s="907"/>
      <c r="K32" s="907"/>
      <c r="L32" s="907"/>
      <c r="M32" s="907"/>
      <c r="N32" s="907"/>
      <c r="O32" s="906">
        <v>7.92</v>
      </c>
      <c r="P32" s="907"/>
      <c r="Q32" s="906">
        <v>0.52</v>
      </c>
      <c r="R32" s="906">
        <v>0.02</v>
      </c>
      <c r="S32" s="906">
        <v>2.97</v>
      </c>
      <c r="T32" s="906">
        <v>3.85</v>
      </c>
      <c r="U32" s="907"/>
      <c r="V32" s="906">
        <v>0.11</v>
      </c>
      <c r="W32" s="907"/>
      <c r="X32" s="906">
        <v>0.13</v>
      </c>
      <c r="Y32" s="907"/>
      <c r="Z32" s="907"/>
      <c r="AA32" s="906">
        <v>0.23</v>
      </c>
      <c r="AB32" s="907"/>
      <c r="AC32" s="906">
        <v>0.09</v>
      </c>
      <c r="AD32" s="906">
        <v>30.93</v>
      </c>
      <c r="AE32" s="906">
        <v>349.27</v>
      </c>
      <c r="AF32" s="906">
        <v>519.5</v>
      </c>
      <c r="AG32" s="906">
        <v>629.45000000000005</v>
      </c>
      <c r="AH32" s="906">
        <v>15.24</v>
      </c>
    </row>
    <row r="33" spans="1:34" ht="45">
      <c r="A33" s="916" t="s">
        <v>4557</v>
      </c>
      <c r="B33" s="924" t="s">
        <v>4558</v>
      </c>
      <c r="C33" s="906">
        <v>5541.06</v>
      </c>
      <c r="D33" s="906">
        <v>2689.94</v>
      </c>
      <c r="E33" s="906">
        <v>156.68</v>
      </c>
      <c r="F33" s="906">
        <v>145.25</v>
      </c>
      <c r="G33" s="907"/>
      <c r="H33" s="906">
        <v>1.1100000000000001</v>
      </c>
      <c r="I33" s="906">
        <v>4.13</v>
      </c>
      <c r="J33" s="906">
        <v>3.44</v>
      </c>
      <c r="K33" s="907"/>
      <c r="L33" s="907"/>
      <c r="M33" s="907"/>
      <c r="N33" s="906">
        <v>2.41</v>
      </c>
      <c r="O33" s="906">
        <v>52.26</v>
      </c>
      <c r="P33" s="906">
        <v>0.15</v>
      </c>
      <c r="Q33" s="906">
        <v>8.19</v>
      </c>
      <c r="R33" s="906">
        <v>0.05</v>
      </c>
      <c r="S33" s="906">
        <v>15.09</v>
      </c>
      <c r="T33" s="906">
        <v>3.84</v>
      </c>
      <c r="U33" s="907"/>
      <c r="V33" s="906">
        <v>3.22</v>
      </c>
      <c r="W33" s="906">
        <v>1.8</v>
      </c>
      <c r="X33" s="906">
        <v>0.7</v>
      </c>
      <c r="Y33" s="906">
        <v>4.2</v>
      </c>
      <c r="Z33" s="907"/>
      <c r="AA33" s="906">
        <v>5.44</v>
      </c>
      <c r="AB33" s="906"/>
      <c r="AC33" s="906">
        <v>9.58</v>
      </c>
      <c r="AD33" s="906">
        <v>130.53</v>
      </c>
      <c r="AE33" s="906">
        <v>155.24</v>
      </c>
      <c r="AF33" s="906">
        <v>134.36000000000001</v>
      </c>
      <c r="AG33" s="906">
        <v>2034.97</v>
      </c>
      <c r="AH33" s="906">
        <v>15.92</v>
      </c>
    </row>
    <row r="34" spans="1:34" ht="45">
      <c r="A34" s="916" t="s">
        <v>4559</v>
      </c>
      <c r="B34" s="924" t="s">
        <v>4560</v>
      </c>
      <c r="C34" s="906">
        <v>37131.1</v>
      </c>
      <c r="D34" s="906">
        <v>29981.64</v>
      </c>
      <c r="E34" s="906">
        <v>15103.54</v>
      </c>
      <c r="F34" s="906">
        <v>9437.11</v>
      </c>
      <c r="G34" s="907"/>
      <c r="H34" s="906">
        <v>5529.12</v>
      </c>
      <c r="I34" s="906">
        <v>1246.56</v>
      </c>
      <c r="J34" s="906">
        <v>229.15</v>
      </c>
      <c r="K34" s="906">
        <v>62.16</v>
      </c>
      <c r="L34" s="906">
        <v>49.69</v>
      </c>
      <c r="M34" s="906">
        <v>31.04</v>
      </c>
      <c r="N34" s="906">
        <v>103.58</v>
      </c>
      <c r="O34" s="906">
        <v>4115.21</v>
      </c>
      <c r="P34" s="906">
        <v>0.84</v>
      </c>
      <c r="Q34" s="906">
        <v>15.96</v>
      </c>
      <c r="R34" s="906">
        <v>0.44</v>
      </c>
      <c r="S34" s="906">
        <v>365.52</v>
      </c>
      <c r="T34" s="906">
        <v>165.81</v>
      </c>
      <c r="U34" s="907"/>
      <c r="V34" s="906">
        <v>0.86</v>
      </c>
      <c r="W34" s="906">
        <v>1.29</v>
      </c>
      <c r="X34" s="906">
        <v>4.01</v>
      </c>
      <c r="Y34" s="906">
        <v>442.73</v>
      </c>
      <c r="Z34" s="906">
        <v>3009.67</v>
      </c>
      <c r="AA34" s="906">
        <v>78.27</v>
      </c>
      <c r="AB34" s="906">
        <v>0.17</v>
      </c>
      <c r="AC34" s="906">
        <v>29.63</v>
      </c>
      <c r="AD34" s="906">
        <v>649.96</v>
      </c>
      <c r="AE34" s="906">
        <v>2992.89</v>
      </c>
      <c r="AF34" s="906">
        <v>195.78</v>
      </c>
      <c r="AG34" s="906">
        <v>5102.91</v>
      </c>
      <c r="AH34" s="906">
        <v>99.17</v>
      </c>
    </row>
    <row r="35" spans="1:34" ht="60">
      <c r="A35" s="916" t="s">
        <v>4561</v>
      </c>
      <c r="B35" s="924" t="s">
        <v>4562</v>
      </c>
      <c r="C35" s="906">
        <v>84374.45</v>
      </c>
      <c r="D35" s="906">
        <v>72118.19</v>
      </c>
      <c r="E35" s="906">
        <v>8435.36</v>
      </c>
      <c r="F35" s="906">
        <v>7732.47</v>
      </c>
      <c r="G35" s="907"/>
      <c r="H35" s="906">
        <v>625.6</v>
      </c>
      <c r="I35" s="906">
        <v>38097.99</v>
      </c>
      <c r="J35" s="906">
        <v>1837.09</v>
      </c>
      <c r="K35" s="906">
        <v>10359.9</v>
      </c>
      <c r="L35" s="906">
        <v>1654.19</v>
      </c>
      <c r="M35" s="906">
        <v>2.13</v>
      </c>
      <c r="N35" s="906">
        <v>285.94</v>
      </c>
      <c r="O35" s="906">
        <v>110.65</v>
      </c>
      <c r="P35" s="907"/>
      <c r="Q35" s="906">
        <v>3.07</v>
      </c>
      <c r="R35" s="906">
        <v>0.03</v>
      </c>
      <c r="S35" s="906">
        <v>68.59</v>
      </c>
      <c r="T35" s="906">
        <v>0.3</v>
      </c>
      <c r="U35" s="907"/>
      <c r="V35" s="906">
        <v>2.35</v>
      </c>
      <c r="W35" s="906">
        <v>0.04</v>
      </c>
      <c r="X35" s="907"/>
      <c r="Y35" s="907"/>
      <c r="Z35" s="906">
        <v>20.6</v>
      </c>
      <c r="AA35" s="906">
        <v>14.15</v>
      </c>
      <c r="AB35" s="906">
        <v>1</v>
      </c>
      <c r="AC35" s="906">
        <v>0.53</v>
      </c>
      <c r="AD35" s="906">
        <v>711.94</v>
      </c>
      <c r="AE35" s="906">
        <v>1229.08</v>
      </c>
      <c r="AF35" s="906">
        <v>608.44000000000005</v>
      </c>
      <c r="AG35" s="906">
        <v>8747.86</v>
      </c>
      <c r="AH35" s="906">
        <v>37.6</v>
      </c>
    </row>
    <row r="36" spans="1:34" ht="60">
      <c r="A36" s="916" t="s">
        <v>4563</v>
      </c>
      <c r="B36" s="924" t="s">
        <v>4564</v>
      </c>
      <c r="C36" s="906">
        <v>26290.240000000002</v>
      </c>
      <c r="D36" s="906">
        <v>13478.52</v>
      </c>
      <c r="E36" s="906">
        <v>1606.1</v>
      </c>
      <c r="F36" s="906">
        <v>1387.19</v>
      </c>
      <c r="G36" s="907"/>
      <c r="H36" s="906">
        <v>167.89</v>
      </c>
      <c r="I36" s="906">
        <v>391.96</v>
      </c>
      <c r="J36" s="906">
        <v>126.21</v>
      </c>
      <c r="K36" s="907">
        <v>1.61</v>
      </c>
      <c r="L36" s="906">
        <v>5.14</v>
      </c>
      <c r="M36" s="906">
        <v>105.02</v>
      </c>
      <c r="N36" s="906">
        <v>13.8</v>
      </c>
      <c r="O36" s="906">
        <v>366.96</v>
      </c>
      <c r="P36" s="906">
        <v>0.31</v>
      </c>
      <c r="Q36" s="906">
        <v>3.08</v>
      </c>
      <c r="R36" s="906">
        <v>0.45</v>
      </c>
      <c r="S36" s="906">
        <v>45.73</v>
      </c>
      <c r="T36" s="906">
        <v>18.649999999999999</v>
      </c>
      <c r="U36" s="907"/>
      <c r="V36" s="906">
        <v>1.66</v>
      </c>
      <c r="W36" s="906">
        <v>0.01</v>
      </c>
      <c r="X36" s="906">
        <v>0.25</v>
      </c>
      <c r="Y36" s="906">
        <v>10.62</v>
      </c>
      <c r="Z36" s="906">
        <v>269.86</v>
      </c>
      <c r="AA36" s="906">
        <v>4.83</v>
      </c>
      <c r="AB36" s="907"/>
      <c r="AC36" s="906">
        <v>11.5</v>
      </c>
      <c r="AD36" s="906">
        <v>310.85000000000002</v>
      </c>
      <c r="AE36" s="906">
        <v>515.39</v>
      </c>
      <c r="AF36" s="906">
        <v>882.3</v>
      </c>
      <c r="AG36" s="906">
        <v>9144.32</v>
      </c>
      <c r="AH36" s="906">
        <v>8.86</v>
      </c>
    </row>
    <row r="37" spans="1:34" ht="45">
      <c r="A37" s="916" t="s">
        <v>4565</v>
      </c>
      <c r="B37" s="924" t="s">
        <v>4566</v>
      </c>
      <c r="C37" s="906">
        <v>7031.99</v>
      </c>
      <c r="D37" s="906">
        <v>4043.44</v>
      </c>
      <c r="E37" s="906">
        <v>176.96</v>
      </c>
      <c r="F37" s="906">
        <v>150.29</v>
      </c>
      <c r="G37" s="907"/>
      <c r="H37" s="906">
        <v>26.16</v>
      </c>
      <c r="I37" s="906">
        <v>481.48</v>
      </c>
      <c r="J37" s="906">
        <v>16.48</v>
      </c>
      <c r="K37" s="906">
        <v>114.52</v>
      </c>
      <c r="L37" s="906">
        <v>6.14</v>
      </c>
      <c r="M37" s="906">
        <v>2.42</v>
      </c>
      <c r="N37" s="906">
        <v>3.54</v>
      </c>
      <c r="O37" s="906">
        <v>53.11</v>
      </c>
      <c r="P37" s="907"/>
      <c r="Q37" s="906">
        <v>11.33</v>
      </c>
      <c r="R37" s="906">
        <v>0.59</v>
      </c>
      <c r="S37" s="906">
        <v>24.04</v>
      </c>
      <c r="T37" s="906">
        <v>1.56</v>
      </c>
      <c r="U37" s="907"/>
      <c r="V37" s="906">
        <v>0.85</v>
      </c>
      <c r="W37" s="906">
        <v>0.06</v>
      </c>
      <c r="X37" s="906">
        <v>0.02</v>
      </c>
      <c r="Y37" s="906">
        <v>0.02</v>
      </c>
      <c r="Z37" s="907"/>
      <c r="AA37" s="906">
        <v>9.92</v>
      </c>
      <c r="AB37" s="906">
        <v>0.01</v>
      </c>
      <c r="AC37" s="906">
        <v>4.72</v>
      </c>
      <c r="AD37" s="906">
        <v>188.78</v>
      </c>
      <c r="AE37" s="906">
        <v>835.49</v>
      </c>
      <c r="AF37" s="906">
        <v>27.06</v>
      </c>
      <c r="AG37" s="906">
        <v>2133.0700000000002</v>
      </c>
      <c r="AH37" s="906">
        <v>4.4000000000000004</v>
      </c>
    </row>
    <row r="38" spans="1:34" ht="45">
      <c r="A38" s="916" t="s">
        <v>4567</v>
      </c>
      <c r="B38" s="924" t="s">
        <v>4568</v>
      </c>
      <c r="C38" s="906">
        <v>4345.0200000000004</v>
      </c>
      <c r="D38" s="906">
        <v>2190.19</v>
      </c>
      <c r="E38" s="906">
        <v>7.14</v>
      </c>
      <c r="F38" s="906">
        <v>6.78</v>
      </c>
      <c r="G38" s="907"/>
      <c r="H38" s="906">
        <v>0.19</v>
      </c>
      <c r="I38" s="906">
        <v>220.31</v>
      </c>
      <c r="J38" s="906">
        <v>3.83</v>
      </c>
      <c r="K38" s="906">
        <v>0.34</v>
      </c>
      <c r="L38" s="906">
        <v>1.07</v>
      </c>
      <c r="M38" s="907">
        <v>0.09</v>
      </c>
      <c r="N38" s="907"/>
      <c r="O38" s="906">
        <v>57.88</v>
      </c>
      <c r="P38" s="907"/>
      <c r="Q38" s="906">
        <v>14.88</v>
      </c>
      <c r="R38" s="906">
        <v>1.91</v>
      </c>
      <c r="S38" s="906">
        <v>27.89</v>
      </c>
      <c r="T38" s="906">
        <v>0.5</v>
      </c>
      <c r="U38" s="906"/>
      <c r="V38" s="906">
        <v>5.9</v>
      </c>
      <c r="W38" s="906">
        <v>7.0000000000000007E-2</v>
      </c>
      <c r="X38" s="906">
        <v>7.0000000000000007E-2</v>
      </c>
      <c r="Y38" s="907"/>
      <c r="Z38" s="907"/>
      <c r="AA38" s="906">
        <v>4.5599999999999996</v>
      </c>
      <c r="AB38" s="906">
        <v>0.01</v>
      </c>
      <c r="AC38" s="906">
        <v>2.09</v>
      </c>
      <c r="AD38" s="906">
        <v>144.27000000000001</v>
      </c>
      <c r="AE38" s="906">
        <v>197.82</v>
      </c>
      <c r="AF38" s="906">
        <v>15.06</v>
      </c>
      <c r="AG38" s="906">
        <v>1538</v>
      </c>
      <c r="AH38" s="906">
        <v>4.37</v>
      </c>
    </row>
    <row r="39" spans="1:34" ht="45">
      <c r="A39" s="916" t="s">
        <v>4569</v>
      </c>
      <c r="B39" s="924" t="s">
        <v>4570</v>
      </c>
      <c r="C39" s="906">
        <v>1990.31</v>
      </c>
      <c r="D39" s="906">
        <v>1030.3800000000001</v>
      </c>
      <c r="E39" s="906">
        <v>8.57</v>
      </c>
      <c r="F39" s="906">
        <v>3.37</v>
      </c>
      <c r="G39" s="907"/>
      <c r="H39" s="907"/>
      <c r="I39" s="907"/>
      <c r="J39" s="906">
        <v>1.1100000000000001</v>
      </c>
      <c r="K39" s="906">
        <v>2.68</v>
      </c>
      <c r="L39" s="906">
        <v>0.04</v>
      </c>
      <c r="M39" s="906">
        <v>3.22</v>
      </c>
      <c r="N39" s="906">
        <v>0.12</v>
      </c>
      <c r="O39" s="906">
        <v>51</v>
      </c>
      <c r="P39" s="906"/>
      <c r="Q39" s="906">
        <v>11.93</v>
      </c>
      <c r="R39" s="906">
        <v>1.21</v>
      </c>
      <c r="S39" s="906">
        <v>27.86</v>
      </c>
      <c r="T39" s="906">
        <v>0.28000000000000003</v>
      </c>
      <c r="U39" s="907"/>
      <c r="V39" s="906">
        <v>3.92</v>
      </c>
      <c r="W39" s="906">
        <v>0.01</v>
      </c>
      <c r="X39" s="906">
        <v>0.06</v>
      </c>
      <c r="Y39" s="907">
        <v>0.02</v>
      </c>
      <c r="Z39" s="907"/>
      <c r="AA39" s="906">
        <v>2.8</v>
      </c>
      <c r="AB39" s="907"/>
      <c r="AC39" s="906">
        <v>2.92</v>
      </c>
      <c r="AD39" s="906">
        <v>70.989999999999995</v>
      </c>
      <c r="AE39" s="906">
        <v>168.24</v>
      </c>
      <c r="AF39" s="906">
        <v>34.909999999999997</v>
      </c>
      <c r="AG39" s="906">
        <v>685.15</v>
      </c>
      <c r="AH39" s="906">
        <v>4.34</v>
      </c>
    </row>
    <row r="40" spans="1:34" ht="45">
      <c r="A40" s="916" t="s">
        <v>4571</v>
      </c>
      <c r="B40" s="924" t="s">
        <v>4572</v>
      </c>
      <c r="C40" s="906">
        <v>4636.57</v>
      </c>
      <c r="D40" s="906">
        <v>2303.0500000000002</v>
      </c>
      <c r="E40" s="906">
        <v>9</v>
      </c>
      <c r="F40" s="906">
        <v>7.76</v>
      </c>
      <c r="G40" s="907"/>
      <c r="H40" s="906">
        <v>0.23</v>
      </c>
      <c r="I40" s="906">
        <v>9.84</v>
      </c>
      <c r="J40" s="906">
        <v>0.26</v>
      </c>
      <c r="K40" s="906">
        <v>0.01</v>
      </c>
      <c r="L40" s="906">
        <v>0.02</v>
      </c>
      <c r="M40" s="906"/>
      <c r="N40" s="907"/>
      <c r="O40" s="906">
        <v>62.67</v>
      </c>
      <c r="P40" s="906"/>
      <c r="Q40" s="906">
        <v>18.8</v>
      </c>
      <c r="R40" s="906">
        <v>0.3</v>
      </c>
      <c r="S40" s="906">
        <v>28.04</v>
      </c>
      <c r="T40" s="906">
        <v>0.24</v>
      </c>
      <c r="U40" s="906">
        <v>0.01</v>
      </c>
      <c r="V40" s="906">
        <v>10.81</v>
      </c>
      <c r="W40" s="906">
        <v>0.01</v>
      </c>
      <c r="X40" s="906">
        <v>0.18</v>
      </c>
      <c r="Y40" s="906">
        <v>0.01</v>
      </c>
      <c r="Z40" s="907"/>
      <c r="AA40" s="906">
        <v>2.89</v>
      </c>
      <c r="AB40" s="907"/>
      <c r="AC40" s="906">
        <v>1.4</v>
      </c>
      <c r="AD40" s="906">
        <v>93.66</v>
      </c>
      <c r="AE40" s="906">
        <v>369.4</v>
      </c>
      <c r="AF40" s="906">
        <v>90.25</v>
      </c>
      <c r="AG40" s="906">
        <v>1665.55</v>
      </c>
      <c r="AH40" s="906">
        <v>2.37</v>
      </c>
    </row>
    <row r="41" spans="1:34" ht="105">
      <c r="A41" s="916" t="s">
        <v>4573</v>
      </c>
      <c r="B41" s="924" t="s">
        <v>4574</v>
      </c>
      <c r="C41" s="906">
        <v>909.19</v>
      </c>
      <c r="D41" s="906">
        <v>615.66999999999996</v>
      </c>
      <c r="E41" s="906">
        <v>21.69</v>
      </c>
      <c r="F41" s="906">
        <v>2.34</v>
      </c>
      <c r="G41" s="907"/>
      <c r="H41" s="906">
        <v>19.350000000000001</v>
      </c>
      <c r="I41" s="906">
        <v>0.44</v>
      </c>
      <c r="J41" s="906"/>
      <c r="K41" s="907"/>
      <c r="L41" s="907"/>
      <c r="M41" s="906">
        <v>0.01</v>
      </c>
      <c r="N41" s="907"/>
      <c r="O41" s="906">
        <v>26.48</v>
      </c>
      <c r="P41" s="907"/>
      <c r="Q41" s="906">
        <v>3.83</v>
      </c>
      <c r="R41" s="906">
        <v>1.1499999999999999</v>
      </c>
      <c r="S41" s="906">
        <v>15.65</v>
      </c>
      <c r="T41" s="906">
        <v>2.65</v>
      </c>
      <c r="U41" s="907"/>
      <c r="V41" s="906">
        <v>0.52</v>
      </c>
      <c r="W41" s="906">
        <v>0.06</v>
      </c>
      <c r="X41" s="906">
        <v>0.05</v>
      </c>
      <c r="Y41" s="907"/>
      <c r="Z41" s="907"/>
      <c r="AA41" s="906">
        <v>2.19</v>
      </c>
      <c r="AB41" s="907"/>
      <c r="AC41" s="906">
        <v>0.37</v>
      </c>
      <c r="AD41" s="906">
        <v>70.17</v>
      </c>
      <c r="AE41" s="906">
        <v>267.08999999999997</v>
      </c>
      <c r="AF41" s="906">
        <v>20.2</v>
      </c>
      <c r="AG41" s="906">
        <v>209.5</v>
      </c>
      <c r="AH41" s="906">
        <v>0.27</v>
      </c>
    </row>
    <row r="42" spans="1:34" ht="60">
      <c r="A42" s="916" t="s">
        <v>4575</v>
      </c>
      <c r="B42" s="924" t="s">
        <v>4576</v>
      </c>
      <c r="C42" s="906">
        <v>3908.82</v>
      </c>
      <c r="D42" s="906">
        <v>1893.33</v>
      </c>
      <c r="E42" s="906">
        <v>15.48</v>
      </c>
      <c r="F42" s="906">
        <v>15.48</v>
      </c>
      <c r="G42" s="907"/>
      <c r="H42" s="907"/>
      <c r="I42" s="906">
        <v>0.98</v>
      </c>
      <c r="J42" s="906"/>
      <c r="K42" s="907"/>
      <c r="L42" s="907"/>
      <c r="M42" s="906">
        <v>0.14000000000000001</v>
      </c>
      <c r="N42" s="907"/>
      <c r="O42" s="906">
        <v>39.11</v>
      </c>
      <c r="P42" s="907"/>
      <c r="Q42" s="906">
        <v>13.24</v>
      </c>
      <c r="R42" s="906">
        <v>0.26</v>
      </c>
      <c r="S42" s="906">
        <v>12.11</v>
      </c>
      <c r="T42" s="906">
        <v>4.6100000000000003</v>
      </c>
      <c r="U42" s="907"/>
      <c r="V42" s="906">
        <v>2.5</v>
      </c>
      <c r="W42" s="906">
        <v>0.13</v>
      </c>
      <c r="X42" s="906">
        <v>0.09</v>
      </c>
      <c r="Y42" s="906">
        <v>0.04</v>
      </c>
      <c r="Z42" s="906">
        <v>0.25</v>
      </c>
      <c r="AA42" s="906">
        <v>4.59</v>
      </c>
      <c r="AB42" s="907"/>
      <c r="AC42" s="906">
        <v>1.3</v>
      </c>
      <c r="AD42" s="906">
        <v>54.63</v>
      </c>
      <c r="AE42" s="906">
        <v>278.27</v>
      </c>
      <c r="AF42" s="906">
        <v>62.5</v>
      </c>
      <c r="AG42" s="906">
        <v>1438.55</v>
      </c>
      <c r="AH42" s="906">
        <v>3.66</v>
      </c>
    </row>
    <row r="43" spans="1:34" ht="75">
      <c r="A43" s="916" t="s">
        <v>4577</v>
      </c>
      <c r="B43" s="924" t="s">
        <v>4578</v>
      </c>
      <c r="C43" s="906">
        <v>6001.26</v>
      </c>
      <c r="D43" s="906">
        <v>2764.08</v>
      </c>
      <c r="E43" s="906">
        <v>7.52</v>
      </c>
      <c r="F43" s="906">
        <v>7.52</v>
      </c>
      <c r="G43" s="907"/>
      <c r="H43" s="906"/>
      <c r="I43" s="906">
        <v>0.02</v>
      </c>
      <c r="J43" s="906"/>
      <c r="K43" s="906">
        <v>0.09</v>
      </c>
      <c r="L43" s="907"/>
      <c r="M43" s="907"/>
      <c r="N43" s="907"/>
      <c r="O43" s="906">
        <v>18.809999999999999</v>
      </c>
      <c r="P43" s="907"/>
      <c r="Q43" s="906">
        <v>8.48</v>
      </c>
      <c r="R43" s="906">
        <v>0.11</v>
      </c>
      <c r="S43" s="906">
        <v>7.7</v>
      </c>
      <c r="T43" s="906">
        <v>0.3</v>
      </c>
      <c r="U43" s="907"/>
      <c r="V43" s="906">
        <v>0.23</v>
      </c>
      <c r="W43" s="906">
        <v>0.01</v>
      </c>
      <c r="X43" s="906">
        <v>0.06</v>
      </c>
      <c r="Y43" s="907"/>
      <c r="Z43" s="907"/>
      <c r="AA43" s="906">
        <v>0.9</v>
      </c>
      <c r="AB43" s="907"/>
      <c r="AC43" s="906">
        <v>1.02</v>
      </c>
      <c r="AD43" s="906">
        <v>219.7</v>
      </c>
      <c r="AE43" s="906">
        <v>128.27000000000001</v>
      </c>
      <c r="AF43" s="906">
        <v>77.19</v>
      </c>
      <c r="AG43" s="906">
        <v>2310.52</v>
      </c>
      <c r="AH43" s="906">
        <v>1.97</v>
      </c>
    </row>
    <row r="44" spans="1:34" ht="60">
      <c r="A44" s="916" t="s">
        <v>4579</v>
      </c>
      <c r="B44" s="924" t="s">
        <v>4580</v>
      </c>
      <c r="C44" s="906">
        <v>289.64</v>
      </c>
      <c r="D44" s="906">
        <v>134.91</v>
      </c>
      <c r="E44" s="906">
        <v>1.07</v>
      </c>
      <c r="F44" s="906">
        <v>1.07</v>
      </c>
      <c r="G44" s="907"/>
      <c r="H44" s="907"/>
      <c r="I44" s="907"/>
      <c r="J44" s="907"/>
      <c r="K44" s="907"/>
      <c r="L44" s="907"/>
      <c r="M44" s="907"/>
      <c r="N44" s="907"/>
      <c r="O44" s="906">
        <v>5.84</v>
      </c>
      <c r="P44" s="907"/>
      <c r="Q44" s="906">
        <v>3.82</v>
      </c>
      <c r="R44" s="906">
        <v>0.08</v>
      </c>
      <c r="S44" s="906">
        <v>1.24</v>
      </c>
      <c r="T44" s="906">
        <v>0.09</v>
      </c>
      <c r="U44" s="907"/>
      <c r="V44" s="906">
        <v>0.15</v>
      </c>
      <c r="W44" s="906">
        <v>0.08</v>
      </c>
      <c r="X44" s="907"/>
      <c r="Y44" s="907"/>
      <c r="Z44" s="907"/>
      <c r="AA44" s="906">
        <v>0.15</v>
      </c>
      <c r="AB44" s="907"/>
      <c r="AC44" s="906">
        <v>0.24</v>
      </c>
      <c r="AD44" s="906">
        <v>8.0399999999999991</v>
      </c>
      <c r="AE44" s="906">
        <v>5.95</v>
      </c>
      <c r="AF44" s="906">
        <v>2.25</v>
      </c>
      <c r="AG44" s="906">
        <v>110.43</v>
      </c>
      <c r="AH44" s="906">
        <v>1.33</v>
      </c>
    </row>
    <row r="45" spans="1:34" ht="45">
      <c r="A45" s="916" t="s">
        <v>4581</v>
      </c>
      <c r="B45" s="924" t="s">
        <v>4582</v>
      </c>
      <c r="C45" s="906">
        <v>2261.69</v>
      </c>
      <c r="D45" s="906">
        <v>983.37</v>
      </c>
      <c r="E45" s="906">
        <v>1.3</v>
      </c>
      <c r="F45" s="906">
        <v>1.3</v>
      </c>
      <c r="G45" s="907"/>
      <c r="H45" s="907"/>
      <c r="I45" s="906"/>
      <c r="J45" s="907"/>
      <c r="K45" s="906">
        <v>0.61</v>
      </c>
      <c r="L45" s="907"/>
      <c r="M45" s="907"/>
      <c r="N45" s="907"/>
      <c r="O45" s="906">
        <v>8.15</v>
      </c>
      <c r="P45" s="907"/>
      <c r="Q45" s="906">
        <v>0.54</v>
      </c>
      <c r="R45" s="906">
        <v>0.16</v>
      </c>
      <c r="S45" s="906">
        <v>1.32</v>
      </c>
      <c r="T45" s="907"/>
      <c r="U45" s="907"/>
      <c r="V45" s="906">
        <v>0.01</v>
      </c>
      <c r="W45" s="906">
        <v>0.11</v>
      </c>
      <c r="X45" s="907"/>
      <c r="Y45" s="907"/>
      <c r="Z45" s="907"/>
      <c r="AA45" s="906">
        <v>6</v>
      </c>
      <c r="AB45" s="907"/>
      <c r="AC45" s="907"/>
      <c r="AD45" s="906">
        <v>0.45</v>
      </c>
      <c r="AE45" s="906">
        <v>54.69</v>
      </c>
      <c r="AF45" s="906">
        <v>3.79</v>
      </c>
      <c r="AG45" s="906">
        <v>912.39</v>
      </c>
      <c r="AH45" s="906">
        <v>1.99</v>
      </c>
    </row>
    <row r="46" spans="1:34" ht="60">
      <c r="A46" s="916" t="s">
        <v>4583</v>
      </c>
      <c r="B46" s="924" t="s">
        <v>4584</v>
      </c>
      <c r="C46" s="906">
        <v>729.84</v>
      </c>
      <c r="D46" s="906">
        <v>584.15</v>
      </c>
      <c r="E46" s="906">
        <v>109.49</v>
      </c>
      <c r="F46" s="906">
        <v>69.73</v>
      </c>
      <c r="G46" s="907"/>
      <c r="H46" s="906">
        <v>36.69</v>
      </c>
      <c r="I46" s="906">
        <v>40.619999999999997</v>
      </c>
      <c r="J46" s="906">
        <v>9.33</v>
      </c>
      <c r="K46" s="906">
        <v>26.09</v>
      </c>
      <c r="L46" s="906">
        <v>7.04</v>
      </c>
      <c r="M46" s="907"/>
      <c r="N46" s="906">
        <v>0.54</v>
      </c>
      <c r="O46" s="906">
        <v>12.67</v>
      </c>
      <c r="P46" s="907"/>
      <c r="Q46" s="906">
        <v>0.39</v>
      </c>
      <c r="R46" s="906"/>
      <c r="S46" s="906">
        <v>9.41</v>
      </c>
      <c r="T46" s="906">
        <v>2.0699999999999998</v>
      </c>
      <c r="U46" s="907"/>
      <c r="V46" s="906">
        <v>0.04</v>
      </c>
      <c r="W46" s="907"/>
      <c r="X46" s="907"/>
      <c r="Y46" s="907">
        <v>0.22</v>
      </c>
      <c r="Z46" s="906"/>
      <c r="AA46" s="906">
        <v>0.44</v>
      </c>
      <c r="AB46" s="907"/>
      <c r="AC46" s="906">
        <v>0.1</v>
      </c>
      <c r="AD46" s="906">
        <v>50.59</v>
      </c>
      <c r="AE46" s="906">
        <v>211.4</v>
      </c>
      <c r="AF46" s="906">
        <v>5.81</v>
      </c>
      <c r="AG46" s="906">
        <v>103.98</v>
      </c>
      <c r="AH46" s="906">
        <v>6.59</v>
      </c>
    </row>
    <row r="47" spans="1:34" ht="75">
      <c r="A47" s="916" t="s">
        <v>4585</v>
      </c>
      <c r="B47" s="924" t="s">
        <v>4586</v>
      </c>
      <c r="C47" s="906">
        <v>69.55</v>
      </c>
      <c r="D47" s="906">
        <v>41.94</v>
      </c>
      <c r="E47" s="906">
        <v>0.88</v>
      </c>
      <c r="F47" s="906">
        <v>0.88</v>
      </c>
      <c r="G47" s="907"/>
      <c r="H47" s="907"/>
      <c r="I47" s="907"/>
      <c r="J47" s="906">
        <v>0.37</v>
      </c>
      <c r="K47" s="907"/>
      <c r="L47" s="907"/>
      <c r="M47" s="906"/>
      <c r="N47" s="907"/>
      <c r="O47" s="906">
        <v>10.83</v>
      </c>
      <c r="P47" s="907"/>
      <c r="Q47" s="906">
        <v>0.61</v>
      </c>
      <c r="R47" s="906">
        <v>1.33</v>
      </c>
      <c r="S47" s="906">
        <v>8.3000000000000007</v>
      </c>
      <c r="T47" s="906">
        <v>0.4</v>
      </c>
      <c r="U47" s="907"/>
      <c r="V47" s="906">
        <v>0.15</v>
      </c>
      <c r="W47" s="907"/>
      <c r="X47" s="907"/>
      <c r="Y47" s="907"/>
      <c r="Z47" s="907"/>
      <c r="AA47" s="906">
        <v>0.04</v>
      </c>
      <c r="AB47" s="907"/>
      <c r="AC47" s="907">
        <v>0.01</v>
      </c>
      <c r="AD47" s="906">
        <v>2.76</v>
      </c>
      <c r="AE47" s="906">
        <v>6.65</v>
      </c>
      <c r="AF47" s="906">
        <v>0.73</v>
      </c>
      <c r="AG47" s="906">
        <v>19.71</v>
      </c>
      <c r="AH47" s="907"/>
    </row>
    <row r="48" spans="1:34" ht="75">
      <c r="A48" s="914" t="s">
        <v>4587</v>
      </c>
      <c r="B48" s="918" t="s">
        <v>4588</v>
      </c>
      <c r="C48" s="906">
        <v>22232.66</v>
      </c>
      <c r="D48" s="906">
        <v>9936.83</v>
      </c>
      <c r="E48" s="906">
        <v>282.79000000000002</v>
      </c>
      <c r="F48" s="906">
        <v>276.39999999999998</v>
      </c>
      <c r="G48" s="907"/>
      <c r="H48" s="906">
        <v>0.33</v>
      </c>
      <c r="I48" s="906">
        <v>96.59</v>
      </c>
      <c r="J48" s="906">
        <v>5.55</v>
      </c>
      <c r="K48" s="906">
        <v>2.2599999999999998</v>
      </c>
      <c r="L48" s="907">
        <v>0.27</v>
      </c>
      <c r="M48" s="906">
        <v>0.67</v>
      </c>
      <c r="N48" s="906">
        <v>0.35</v>
      </c>
      <c r="O48" s="906">
        <v>79.22</v>
      </c>
      <c r="P48" s="906">
        <v>0.31</v>
      </c>
      <c r="Q48" s="906">
        <v>28.78</v>
      </c>
      <c r="R48" s="907"/>
      <c r="S48" s="906">
        <v>43.52</v>
      </c>
      <c r="T48" s="906">
        <v>2.0499999999999998</v>
      </c>
      <c r="U48" s="907"/>
      <c r="V48" s="906">
        <v>0.42</v>
      </c>
      <c r="W48" s="906"/>
      <c r="X48" s="907"/>
      <c r="Y48" s="907"/>
      <c r="Z48" s="906"/>
      <c r="AA48" s="906">
        <v>1.18</v>
      </c>
      <c r="AB48" s="906">
        <v>2.67</v>
      </c>
      <c r="AC48" s="906">
        <v>0.28999999999999998</v>
      </c>
      <c r="AD48" s="906">
        <v>88.26</v>
      </c>
      <c r="AE48" s="906">
        <v>88.85</v>
      </c>
      <c r="AF48" s="906">
        <v>506.59</v>
      </c>
      <c r="AG48" s="906">
        <v>8776.1</v>
      </c>
      <c r="AH48" s="906">
        <v>9.31</v>
      </c>
    </row>
    <row r="49" spans="1:34" ht="60">
      <c r="A49" s="916" t="s">
        <v>4589</v>
      </c>
      <c r="B49" s="917" t="s">
        <v>4590</v>
      </c>
      <c r="C49" s="906">
        <v>19190.61</v>
      </c>
      <c r="D49" s="906">
        <v>8475.06</v>
      </c>
      <c r="E49" s="906">
        <v>275.95</v>
      </c>
      <c r="F49" s="906">
        <v>269.58999999999997</v>
      </c>
      <c r="G49" s="907"/>
      <c r="H49" s="906">
        <v>0.33</v>
      </c>
      <c r="I49" s="906">
        <v>96.59</v>
      </c>
      <c r="J49" s="906">
        <v>1.02</v>
      </c>
      <c r="K49" s="906">
        <v>1.1200000000000001</v>
      </c>
      <c r="L49" s="907"/>
      <c r="M49" s="907"/>
      <c r="N49" s="906">
        <v>0.35</v>
      </c>
      <c r="O49" s="906">
        <v>69.06</v>
      </c>
      <c r="P49" s="906">
        <v>0.31</v>
      </c>
      <c r="Q49" s="906">
        <v>22.81</v>
      </c>
      <c r="R49" s="907"/>
      <c r="S49" s="906">
        <v>40.64</v>
      </c>
      <c r="T49" s="906">
        <v>1.96</v>
      </c>
      <c r="U49" s="907"/>
      <c r="V49" s="906">
        <v>0.39</v>
      </c>
      <c r="W49" s="907"/>
      <c r="X49" s="907"/>
      <c r="Y49" s="907"/>
      <c r="Z49" s="906"/>
      <c r="AA49" s="906">
        <v>0.02</v>
      </c>
      <c r="AB49" s="906">
        <v>2.67</v>
      </c>
      <c r="AC49" s="906">
        <v>0.27</v>
      </c>
      <c r="AD49" s="906">
        <v>24.85</v>
      </c>
      <c r="AE49" s="907"/>
      <c r="AF49" s="906">
        <v>348.61</v>
      </c>
      <c r="AG49" s="906">
        <v>7648.19</v>
      </c>
      <c r="AH49" s="906">
        <v>9.31</v>
      </c>
    </row>
    <row r="50" spans="1:34" ht="45">
      <c r="A50" s="916" t="s">
        <v>4591</v>
      </c>
      <c r="B50" s="917" t="s">
        <v>4592</v>
      </c>
      <c r="C50" s="906">
        <v>856.65</v>
      </c>
      <c r="D50" s="906">
        <v>535.48</v>
      </c>
      <c r="E50" s="906">
        <v>2.93</v>
      </c>
      <c r="F50" s="906">
        <v>2.93</v>
      </c>
      <c r="G50" s="907"/>
      <c r="H50" s="907"/>
      <c r="I50" s="907"/>
      <c r="J50" s="906">
        <v>4.53</v>
      </c>
      <c r="K50" s="906">
        <v>1.1399999999999999</v>
      </c>
      <c r="L50" s="907">
        <v>0.27</v>
      </c>
      <c r="M50" s="906">
        <v>0.67</v>
      </c>
      <c r="N50" s="907"/>
      <c r="O50" s="906">
        <v>4.92</v>
      </c>
      <c r="P50" s="907"/>
      <c r="Q50" s="906">
        <v>3.39</v>
      </c>
      <c r="R50" s="907"/>
      <c r="S50" s="906">
        <v>1.37</v>
      </c>
      <c r="T50" s="907"/>
      <c r="U50" s="907"/>
      <c r="V50" s="906">
        <v>0.02</v>
      </c>
      <c r="W50" s="907"/>
      <c r="X50" s="907"/>
      <c r="Y50" s="907"/>
      <c r="Z50" s="907"/>
      <c r="AA50" s="906">
        <v>0.13</v>
      </c>
      <c r="AB50" s="907"/>
      <c r="AC50" s="906">
        <v>0.01</v>
      </c>
      <c r="AD50" s="906">
        <v>55.21</v>
      </c>
      <c r="AE50" s="906">
        <v>88.66</v>
      </c>
      <c r="AF50" s="906">
        <v>147.91</v>
      </c>
      <c r="AG50" s="906">
        <v>229.23</v>
      </c>
      <c r="AH50" s="907"/>
    </row>
    <row r="51" spans="1:34" ht="45">
      <c r="A51" s="925" t="s">
        <v>4593</v>
      </c>
      <c r="B51" s="926" t="s">
        <v>4594</v>
      </c>
      <c r="C51" s="919">
        <v>2185.4</v>
      </c>
      <c r="D51" s="910">
        <v>926.3</v>
      </c>
      <c r="E51" s="910">
        <v>3.9</v>
      </c>
      <c r="F51" s="910">
        <v>3.88</v>
      </c>
      <c r="G51" s="909"/>
      <c r="H51" s="909"/>
      <c r="I51" s="909"/>
      <c r="J51" s="909"/>
      <c r="K51" s="909"/>
      <c r="L51" s="909"/>
      <c r="M51" s="909"/>
      <c r="N51" s="908"/>
      <c r="O51" s="910">
        <v>5.24</v>
      </c>
      <c r="P51" s="910"/>
      <c r="Q51" s="910">
        <v>2.58</v>
      </c>
      <c r="R51" s="909"/>
      <c r="S51" s="910">
        <v>1.52</v>
      </c>
      <c r="T51" s="910">
        <v>0.09</v>
      </c>
      <c r="U51" s="909"/>
      <c r="V51" s="910">
        <v>0.01</v>
      </c>
      <c r="W51" s="910"/>
      <c r="X51" s="909"/>
      <c r="Y51" s="908"/>
      <c r="Z51" s="909"/>
      <c r="AA51" s="910">
        <v>1.03</v>
      </c>
      <c r="AB51" s="909"/>
      <c r="AC51" s="910">
        <v>0.01</v>
      </c>
      <c r="AD51" s="910">
        <v>8.1999999999999993</v>
      </c>
      <c r="AE51" s="910">
        <v>0.19</v>
      </c>
      <c r="AF51" s="910">
        <v>10.08</v>
      </c>
      <c r="AG51" s="910">
        <v>898.68</v>
      </c>
      <c r="AH51" s="909"/>
    </row>
  </sheetData>
  <mergeCells count="12">
    <mergeCell ref="M5:M6"/>
    <mergeCell ref="A5:A6"/>
    <mergeCell ref="B5:B6"/>
    <mergeCell ref="C5:D5"/>
    <mergeCell ref="E5:E6"/>
    <mergeCell ref="F5:F6"/>
    <mergeCell ref="G5:G6"/>
    <mergeCell ref="H5:H6"/>
    <mergeCell ref="I5:I6"/>
    <mergeCell ref="J5:J6"/>
    <mergeCell ref="K5:K6"/>
    <mergeCell ref="L5:L6"/>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47CD8-5F79-4EC7-A756-F4DD58B81311}">
  <dimension ref="A1:P30"/>
  <sheetViews>
    <sheetView workbookViewId="0"/>
  </sheetViews>
  <sheetFormatPr baseColWidth="10" defaultColWidth="8.83203125" defaultRowHeight="15"/>
  <cols>
    <col min="1" max="1" width="26.5" customWidth="1"/>
    <col min="2" max="2" width="9.5" customWidth="1"/>
    <col min="5" max="5" width="8.6640625" customWidth="1"/>
    <col min="6" max="6" width="4.1640625" customWidth="1"/>
    <col min="7" max="7" width="26.1640625" customWidth="1"/>
    <col min="8" max="8" width="12.1640625" customWidth="1"/>
    <col min="10" max="10" width="10.6640625" customWidth="1"/>
    <col min="11" max="11" width="26.33203125" customWidth="1"/>
    <col min="12" max="12" width="3.83203125" customWidth="1"/>
    <col min="13" max="13" width="23.5" customWidth="1"/>
    <col min="14" max="14" width="15.33203125" customWidth="1"/>
    <col min="16" max="16" width="10.1640625" customWidth="1"/>
  </cols>
  <sheetData>
    <row r="1" spans="1:16">
      <c r="A1" t="s">
        <v>5626</v>
      </c>
      <c r="B1" t="s">
        <v>5625</v>
      </c>
    </row>
    <row r="3" spans="1:16">
      <c r="A3" s="2011" t="s">
        <v>5624</v>
      </c>
      <c r="B3" s="2011">
        <v>2015</v>
      </c>
      <c r="C3" s="2011">
        <v>2020</v>
      </c>
      <c r="D3" s="2011">
        <v>2021</v>
      </c>
      <c r="E3" s="2011" t="s">
        <v>41</v>
      </c>
      <c r="G3" s="2011" t="s">
        <v>5624</v>
      </c>
      <c r="H3" s="2011">
        <v>2015</v>
      </c>
      <c r="I3" s="2011">
        <v>2020</v>
      </c>
      <c r="J3" s="2011" t="s">
        <v>41</v>
      </c>
      <c r="K3" s="2011" t="s">
        <v>5623</v>
      </c>
      <c r="L3" s="3"/>
      <c r="M3" s="2011" t="s">
        <v>45</v>
      </c>
      <c r="N3" s="2011" t="s">
        <v>5622</v>
      </c>
      <c r="O3" s="2011" t="s">
        <v>41</v>
      </c>
    </row>
    <row r="4" spans="1:16">
      <c r="A4" s="2002" t="s">
        <v>5621</v>
      </c>
      <c r="B4" s="2002"/>
      <c r="C4" s="2002">
        <v>90</v>
      </c>
      <c r="D4" s="2002"/>
      <c r="E4" s="2002" t="s">
        <v>4283</v>
      </c>
      <c r="G4" s="2002" t="s">
        <v>5621</v>
      </c>
      <c r="H4" s="2002"/>
      <c r="I4" s="2002">
        <f>C4</f>
        <v>90</v>
      </c>
      <c r="J4" s="2002" t="s">
        <v>4283</v>
      </c>
      <c r="K4" s="2002" t="s">
        <v>5620</v>
      </c>
      <c r="M4" s="2002"/>
      <c r="N4" s="2002"/>
      <c r="O4" s="2002"/>
    </row>
    <row r="5" spans="1:16">
      <c r="A5" s="2002" t="s">
        <v>5619</v>
      </c>
      <c r="B5" s="2002"/>
      <c r="C5" s="2002">
        <v>153.69999999999999</v>
      </c>
      <c r="D5" s="2002"/>
      <c r="E5" s="2002" t="s">
        <v>4283</v>
      </c>
      <c r="G5" s="2002" t="s">
        <v>5619</v>
      </c>
      <c r="H5" s="2002"/>
      <c r="I5" s="2002"/>
      <c r="J5" s="2002"/>
      <c r="K5" s="2002"/>
      <c r="M5" s="2002"/>
      <c r="N5" s="2002"/>
      <c r="O5" s="2002"/>
    </row>
    <row r="6" spans="1:16">
      <c r="A6" s="2016" t="s">
        <v>5615</v>
      </c>
      <c r="B6" s="2002">
        <v>52</v>
      </c>
      <c r="C6" s="2002">
        <v>132.6</v>
      </c>
      <c r="D6" s="2002">
        <v>163.69999999999999</v>
      </c>
      <c r="E6" s="2002" t="s">
        <v>1065</v>
      </c>
      <c r="G6" s="2016" t="s">
        <v>5617</v>
      </c>
      <c r="H6" s="2002">
        <v>15.2</v>
      </c>
      <c r="I6" s="2002">
        <v>38.1</v>
      </c>
      <c r="J6" s="2002" t="s">
        <v>4283</v>
      </c>
      <c r="K6" s="2002" t="s">
        <v>5618</v>
      </c>
      <c r="M6" s="2016" t="s">
        <v>5617</v>
      </c>
      <c r="N6" s="2019">
        <f>H6*10^9/(B6*10^9)</f>
        <v>0.29230769230769232</v>
      </c>
      <c r="O6" s="2018" t="s">
        <v>5613</v>
      </c>
      <c r="P6" t="s">
        <v>5616</v>
      </c>
    </row>
    <row r="7" spans="1:16">
      <c r="A7" s="2016" t="s">
        <v>5615</v>
      </c>
      <c r="B7" s="2002"/>
      <c r="C7" s="2002"/>
      <c r="D7" s="2002"/>
      <c r="E7" s="2002"/>
      <c r="G7" s="2016" t="s">
        <v>5614</v>
      </c>
      <c r="H7" s="2003">
        <f>B6*N7</f>
        <v>6.3907999999999996</v>
      </c>
      <c r="I7" s="2020">
        <f>N7*C6</f>
        <v>16.29654</v>
      </c>
      <c r="J7" s="2002" t="s">
        <v>4283</v>
      </c>
      <c r="K7" s="2002"/>
      <c r="M7" s="2016" t="s">
        <v>5614</v>
      </c>
      <c r="N7" s="2019">
        <v>0.1229</v>
      </c>
      <c r="O7" s="2018" t="s">
        <v>5613</v>
      </c>
      <c r="P7" t="s">
        <v>5612</v>
      </c>
    </row>
    <row r="8" spans="1:16">
      <c r="A8" s="2016" t="s">
        <v>5610</v>
      </c>
      <c r="B8" s="2002">
        <v>8</v>
      </c>
      <c r="C8" s="2002">
        <v>23.4</v>
      </c>
      <c r="D8" s="2002"/>
      <c r="E8" s="2002" t="s">
        <v>5602</v>
      </c>
      <c r="G8" s="2016" t="s">
        <v>5610</v>
      </c>
      <c r="H8" s="2002">
        <v>4</v>
      </c>
      <c r="I8" s="2017">
        <f>C8*N8</f>
        <v>11.7</v>
      </c>
      <c r="J8" s="2002" t="s">
        <v>4283</v>
      </c>
      <c r="K8" s="2002" t="s">
        <v>5611</v>
      </c>
      <c r="M8" s="2016" t="s">
        <v>5610</v>
      </c>
      <c r="N8" s="2014">
        <f>(H8*10^9)/(B8*10^9)</f>
        <v>0.5</v>
      </c>
      <c r="O8" s="2002" t="s">
        <v>5600</v>
      </c>
    </row>
    <row r="9" spans="1:16">
      <c r="A9" s="2016" t="s">
        <v>5606</v>
      </c>
      <c r="B9" s="2002">
        <v>19</v>
      </c>
      <c r="C9" s="2002">
        <v>20.7</v>
      </c>
      <c r="D9" s="2002"/>
      <c r="E9" s="2002" t="s">
        <v>5609</v>
      </c>
      <c r="G9" s="2016" t="s">
        <v>5608</v>
      </c>
      <c r="H9" s="2002">
        <v>13.2</v>
      </c>
      <c r="I9" s="2002">
        <v>14.7</v>
      </c>
      <c r="J9" s="2002" t="s">
        <v>4283</v>
      </c>
      <c r="K9" s="2002" t="s">
        <v>5607</v>
      </c>
      <c r="M9" s="2016" t="s">
        <v>5606</v>
      </c>
      <c r="N9" s="2014">
        <f>(H9*10^9)/(B9*10^9)</f>
        <v>0.69473684210526321</v>
      </c>
      <c r="O9" s="2002" t="s">
        <v>5605</v>
      </c>
    </row>
    <row r="10" spans="1:16">
      <c r="A10" s="2016" t="s">
        <v>5604</v>
      </c>
      <c r="B10" s="2002">
        <v>2.9</v>
      </c>
      <c r="C10" s="2002">
        <v>4.0199999999999996</v>
      </c>
      <c r="D10" s="2002"/>
      <c r="E10" s="2002" t="s">
        <v>5602</v>
      </c>
      <c r="G10" s="2016" t="s">
        <v>5604</v>
      </c>
      <c r="H10" s="2002">
        <f>H11+H12</f>
        <v>3</v>
      </c>
      <c r="I10" s="2017">
        <f>C10*N10</f>
        <v>4.1586206896551721</v>
      </c>
      <c r="J10" s="2002" t="s">
        <v>4283</v>
      </c>
      <c r="K10" s="2002"/>
      <c r="M10" s="2016" t="s">
        <v>5604</v>
      </c>
      <c r="N10" s="2014">
        <f>(H10*10^9)/(B10*10^9)</f>
        <v>1.0344827586206897</v>
      </c>
      <c r="O10" s="2002" t="s">
        <v>5600</v>
      </c>
    </row>
    <row r="11" spans="1:16">
      <c r="A11" s="2015" t="s">
        <v>5603</v>
      </c>
      <c r="B11" s="2002">
        <v>2.1</v>
      </c>
      <c r="C11" s="2002"/>
      <c r="D11" s="2002"/>
      <c r="E11" s="2002" t="s">
        <v>5602</v>
      </c>
      <c r="G11" s="2015" t="s">
        <v>5603</v>
      </c>
      <c r="H11" s="2002">
        <v>1.8</v>
      </c>
      <c r="I11" s="2002"/>
      <c r="J11" s="2002" t="s">
        <v>4283</v>
      </c>
      <c r="K11" s="2002" t="s">
        <v>3852</v>
      </c>
      <c r="M11" s="2015" t="s">
        <v>5603</v>
      </c>
      <c r="N11" s="2014">
        <f>(H11*10^9)/(B11*10^9)</f>
        <v>0.8571428571428571</v>
      </c>
      <c r="O11" s="2002" t="s">
        <v>5600</v>
      </c>
    </row>
    <row r="12" spans="1:16">
      <c r="A12" s="2015" t="s">
        <v>5601</v>
      </c>
      <c r="B12" s="2002">
        <v>0.8</v>
      </c>
      <c r="C12" s="2002"/>
      <c r="D12" s="2002">
        <v>1.5</v>
      </c>
      <c r="E12" s="2002" t="s">
        <v>5602</v>
      </c>
      <c r="G12" s="2015" t="s">
        <v>5601</v>
      </c>
      <c r="H12" s="2002">
        <v>1.2</v>
      </c>
      <c r="I12" s="2002"/>
      <c r="J12" s="2002" t="s">
        <v>4283</v>
      </c>
      <c r="K12" s="2002" t="s">
        <v>3852</v>
      </c>
      <c r="M12" s="2015" t="s">
        <v>5601</v>
      </c>
      <c r="N12" s="2014">
        <f>(H12*10^9)/(B12*10^9)</f>
        <v>1.5</v>
      </c>
      <c r="O12" s="2002" t="s">
        <v>5600</v>
      </c>
    </row>
    <row r="13" spans="1:16">
      <c r="A13" s="2013" t="s">
        <v>4128</v>
      </c>
      <c r="B13" s="2013"/>
      <c r="C13" s="2002">
        <v>243.7</v>
      </c>
      <c r="D13" s="2002"/>
      <c r="E13" s="2002" t="s">
        <v>4283</v>
      </c>
      <c r="G13" s="2013" t="s">
        <v>5599</v>
      </c>
      <c r="H13" s="2003"/>
      <c r="I13" s="2003">
        <f>I4+I6+I8+I9+I10</f>
        <v>158.65862068965515</v>
      </c>
      <c r="J13" s="2002" t="s">
        <v>4283</v>
      </c>
      <c r="K13" s="2002"/>
      <c r="M13" s="2002"/>
      <c r="N13" s="2002"/>
      <c r="O13" s="2002"/>
    </row>
    <row r="14" spans="1:16">
      <c r="A14" s="20" t="s">
        <v>5597</v>
      </c>
      <c r="G14" s="2013" t="s">
        <v>5598</v>
      </c>
      <c r="H14" s="2003"/>
      <c r="I14" s="2003">
        <f>I7+I8+I9+I10+I4</f>
        <v>136.85516068965518</v>
      </c>
      <c r="J14" s="2002" t="s">
        <v>4283</v>
      </c>
      <c r="K14" s="2002"/>
    </row>
    <row r="15" spans="1:16">
      <c r="G15" s="20" t="s">
        <v>5597</v>
      </c>
      <c r="I15" s="2012"/>
      <c r="J15" s="2012"/>
    </row>
    <row r="17" spans="1:16">
      <c r="A17" s="2227" t="s">
        <v>5596</v>
      </c>
      <c r="B17" s="2227"/>
      <c r="C17" s="2227"/>
      <c r="D17" s="2227"/>
      <c r="E17" s="2227"/>
      <c r="F17" s="2227"/>
      <c r="G17" s="2227"/>
      <c r="H17" s="2011">
        <v>2020</v>
      </c>
      <c r="I17" s="2011" t="s">
        <v>41</v>
      </c>
      <c r="M17" s="2002"/>
      <c r="N17" s="2002">
        <v>2020</v>
      </c>
      <c r="O17" s="2002" t="s">
        <v>41</v>
      </c>
      <c r="P17" s="2002"/>
    </row>
    <row r="18" spans="1:16">
      <c r="A18" s="2229" t="s">
        <v>277</v>
      </c>
      <c r="B18" s="2229"/>
      <c r="C18" s="2229"/>
      <c r="D18" s="2229"/>
      <c r="E18" s="2229"/>
      <c r="F18" s="2229"/>
      <c r="G18" s="2230"/>
      <c r="H18" s="2026"/>
      <c r="I18" s="2002" t="s">
        <v>4283</v>
      </c>
      <c r="M18" s="2002" t="s">
        <v>5595</v>
      </c>
      <c r="N18" s="2006">
        <f>3985.338</f>
        <v>3985.3380000000002</v>
      </c>
      <c r="O18" s="2002" t="s">
        <v>1065</v>
      </c>
      <c r="P18" s="2008">
        <f>N18/$N$20</f>
        <v>0.82820891787939976</v>
      </c>
    </row>
    <row r="19" spans="1:16">
      <c r="A19" s="2007"/>
      <c r="B19" s="2225" t="s">
        <v>5589</v>
      </c>
      <c r="C19" s="2226"/>
      <c r="D19" s="2226"/>
      <c r="E19" s="2226"/>
      <c r="F19" s="2226"/>
      <c r="G19" s="2226"/>
      <c r="H19" s="2024">
        <f>I7*(N18/N21)</f>
        <v>8.3673122759870289</v>
      </c>
      <c r="I19" s="2002" t="s">
        <v>4283</v>
      </c>
      <c r="M19" s="2002" t="s">
        <v>5594</v>
      </c>
      <c r="N19" s="2006">
        <f>N20-N18</f>
        <v>826.6579999999999</v>
      </c>
      <c r="O19" s="2002" t="s">
        <v>1065</v>
      </c>
      <c r="P19" s="2010">
        <f>1-P18</f>
        <v>0.17179108212060024</v>
      </c>
    </row>
    <row r="20" spans="1:16">
      <c r="A20" s="2007"/>
      <c r="B20" s="2225" t="s">
        <v>5587</v>
      </c>
      <c r="C20" s="2226"/>
      <c r="D20" s="2226"/>
      <c r="E20" s="2226"/>
      <c r="F20" s="2226"/>
      <c r="G20" s="2226"/>
      <c r="H20" s="2024">
        <f>I8*30%*P26</f>
        <v>2.9509958962795939</v>
      </c>
      <c r="I20" s="2002" t="s">
        <v>4283</v>
      </c>
      <c r="J20" t="s">
        <v>5593</v>
      </c>
      <c r="M20" s="2002" t="s">
        <v>5592</v>
      </c>
      <c r="N20" s="2006">
        <f>4811.996</f>
        <v>4811.9960000000001</v>
      </c>
      <c r="O20" s="2002" t="s">
        <v>1065</v>
      </c>
      <c r="P20" s="2002"/>
    </row>
    <row r="21" spans="1:16">
      <c r="A21" s="2007"/>
      <c r="B21" s="2005" t="s">
        <v>5585</v>
      </c>
      <c r="C21" s="2004"/>
      <c r="D21" s="2004"/>
      <c r="E21" s="2004"/>
      <c r="F21" s="2004"/>
      <c r="G21" s="2004"/>
      <c r="H21" s="2024">
        <f>I9*20%*P26</f>
        <v>2.4717743404735062</v>
      </c>
      <c r="I21" s="2002" t="s">
        <v>4283</v>
      </c>
      <c r="J21" t="s">
        <v>5591</v>
      </c>
      <c r="M21" s="2002" t="s">
        <v>162</v>
      </c>
      <c r="N21" s="2002">
        <v>7762.0169999999998</v>
      </c>
      <c r="O21" s="2002" t="s">
        <v>1065</v>
      </c>
      <c r="P21" s="2002"/>
    </row>
    <row r="22" spans="1:16">
      <c r="A22" s="2229" t="s">
        <v>278</v>
      </c>
      <c r="B22" s="2229"/>
      <c r="C22" s="2229"/>
      <c r="D22" s="2229"/>
      <c r="E22" s="2229"/>
      <c r="F22" s="2229"/>
      <c r="G22" s="2230"/>
      <c r="H22" s="2026"/>
      <c r="I22" s="2002" t="s">
        <v>4283</v>
      </c>
    </row>
    <row r="23" spans="1:16">
      <c r="A23" s="2007"/>
      <c r="B23" s="2225" t="s">
        <v>5589</v>
      </c>
      <c r="C23" s="2226"/>
      <c r="D23" s="2226"/>
      <c r="E23" s="2226"/>
      <c r="F23" s="2226"/>
      <c r="G23" s="2226"/>
      <c r="H23" s="2025">
        <f>I7*(N19/N21)</f>
        <v>1.7355882064313952</v>
      </c>
      <c r="I23" s="2002" t="s">
        <v>4283</v>
      </c>
    </row>
    <row r="24" spans="1:16">
      <c r="A24" s="2007"/>
      <c r="B24" s="2225" t="s">
        <v>5587</v>
      </c>
      <c r="C24" s="2226"/>
      <c r="D24" s="2226"/>
      <c r="E24" s="2226"/>
      <c r="F24" s="2226"/>
      <c r="G24" s="2226"/>
      <c r="H24" s="2024">
        <f>I8*30%*P27</f>
        <v>0.55900410372040577</v>
      </c>
      <c r="I24" s="2002" t="s">
        <v>4283</v>
      </c>
    </row>
    <row r="25" spans="1:16">
      <c r="A25" s="2007"/>
      <c r="B25" s="2005" t="s">
        <v>5585</v>
      </c>
      <c r="C25" s="2004"/>
      <c r="D25" s="2004"/>
      <c r="E25" s="2004"/>
      <c r="F25" s="2004"/>
      <c r="G25" s="2004"/>
      <c r="H25" s="2024">
        <f>I9*20%*P27</f>
        <v>0.46822565952649375</v>
      </c>
      <c r="I25" s="2002" t="s">
        <v>4283</v>
      </c>
      <c r="M25" s="2002"/>
      <c r="N25" s="2009">
        <v>2020</v>
      </c>
      <c r="O25" s="2002" t="s">
        <v>41</v>
      </c>
      <c r="P25" s="2002"/>
    </row>
    <row r="26" spans="1:16">
      <c r="A26" s="2229" t="s">
        <v>4973</v>
      </c>
      <c r="B26" s="2229"/>
      <c r="C26" s="2229"/>
      <c r="D26" s="2229"/>
      <c r="E26" s="2229"/>
      <c r="F26" s="2229"/>
      <c r="G26" s="2230"/>
      <c r="H26" s="2026"/>
      <c r="I26" s="2002" t="s">
        <v>4283</v>
      </c>
      <c r="M26" s="2002" t="s">
        <v>5590</v>
      </c>
      <c r="N26" s="2006">
        <f>2796.51</f>
        <v>2796.51</v>
      </c>
      <c r="O26" s="2002" t="s">
        <v>4283</v>
      </c>
      <c r="P26" s="2008">
        <f>N26/N28</f>
        <v>0.84073957158962798</v>
      </c>
    </row>
    <row r="27" spans="1:16">
      <c r="A27" s="2007"/>
      <c r="B27" s="2225" t="s">
        <v>5589</v>
      </c>
      <c r="C27" s="2226"/>
      <c r="D27" s="2226"/>
      <c r="E27" s="2226"/>
      <c r="F27" s="2226"/>
      <c r="G27" s="2226"/>
      <c r="H27" s="2025">
        <f>I7-H19-H23</f>
        <v>6.1936395175815759</v>
      </c>
      <c r="I27" s="2002" t="s">
        <v>4283</v>
      </c>
      <c r="M27" s="2002" t="s">
        <v>5588</v>
      </c>
      <c r="N27" s="2006">
        <f>(17451+35523)/100</f>
        <v>529.74</v>
      </c>
      <c r="O27" s="2002" t="s">
        <v>4283</v>
      </c>
      <c r="P27" s="2008">
        <f>1-P26</f>
        <v>0.15926042841037202</v>
      </c>
    </row>
    <row r="28" spans="1:16">
      <c r="A28" s="2007"/>
      <c r="B28" s="2225" t="s">
        <v>5587</v>
      </c>
      <c r="C28" s="2226"/>
      <c r="D28" s="2226"/>
      <c r="E28" s="2226"/>
      <c r="F28" s="2226"/>
      <c r="G28" s="2226"/>
      <c r="H28" s="2025">
        <f>I8-H20-H24</f>
        <v>8.19</v>
      </c>
      <c r="I28" s="2002" t="s">
        <v>4283</v>
      </c>
      <c r="M28" s="2002" t="s">
        <v>5586</v>
      </c>
      <c r="N28" s="2006">
        <f>3326.25</f>
        <v>3326.25</v>
      </c>
      <c r="O28" s="2002" t="s">
        <v>4283</v>
      </c>
      <c r="P28" s="2002"/>
    </row>
    <row r="29" spans="1:16">
      <c r="A29" s="2002"/>
      <c r="B29" s="2225" t="s">
        <v>5585</v>
      </c>
      <c r="C29" s="2226"/>
      <c r="D29" s="2226"/>
      <c r="E29" s="2226"/>
      <c r="F29" s="2226"/>
      <c r="G29" s="2228"/>
      <c r="H29" s="2025">
        <f>I9-H21-H25</f>
        <v>11.76</v>
      </c>
      <c r="I29" s="2002" t="s">
        <v>4283</v>
      </c>
    </row>
    <row r="30" spans="1:16">
      <c r="A30" s="20" t="s">
        <v>5584</v>
      </c>
    </row>
  </sheetData>
  <mergeCells count="11">
    <mergeCell ref="B24:G24"/>
    <mergeCell ref="B27:G27"/>
    <mergeCell ref="B28:G28"/>
    <mergeCell ref="A17:G17"/>
    <mergeCell ref="B29:G29"/>
    <mergeCell ref="A18:G18"/>
    <mergeCell ref="A22:G22"/>
    <mergeCell ref="A26:G26"/>
    <mergeCell ref="B20:G20"/>
    <mergeCell ref="B19:G19"/>
    <mergeCell ref="B23:G23"/>
  </mergeCells>
  <pageMargins left="0.7" right="0.7" top="0.75" bottom="0.75" header="0.3" footer="0.3"/>
  <drawing r:id="rId1"/>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19F4-768F-4B91-84C5-766B06727D32}">
  <sheetPr codeName="Sheet54"/>
  <dimension ref="A1:AQ17"/>
  <sheetViews>
    <sheetView workbookViewId="0">
      <selection activeCell="C5" sqref="C5"/>
    </sheetView>
  </sheetViews>
  <sheetFormatPr baseColWidth="10" defaultColWidth="8.83203125" defaultRowHeight="15"/>
  <cols>
    <col min="1" max="1" width="74.1640625" customWidth="1"/>
  </cols>
  <sheetData>
    <row r="1" spans="1:43">
      <c r="A1" t="s">
        <v>4396</v>
      </c>
      <c r="B1">
        <v>2019</v>
      </c>
      <c r="C1">
        <v>2020</v>
      </c>
      <c r="D1">
        <v>2021</v>
      </c>
      <c r="E1">
        <v>2022</v>
      </c>
      <c r="F1">
        <v>2023</v>
      </c>
      <c r="G1">
        <v>2024</v>
      </c>
      <c r="H1">
        <v>2025</v>
      </c>
      <c r="I1">
        <v>2026</v>
      </c>
      <c r="J1">
        <v>2027</v>
      </c>
      <c r="K1">
        <v>2028</v>
      </c>
      <c r="L1">
        <v>2029</v>
      </c>
      <c r="M1">
        <v>2030</v>
      </c>
      <c r="N1">
        <v>2031</v>
      </c>
      <c r="O1">
        <v>2032</v>
      </c>
      <c r="P1">
        <v>2033</v>
      </c>
      <c r="Q1">
        <v>2034</v>
      </c>
      <c r="R1">
        <v>2035</v>
      </c>
      <c r="S1">
        <v>2036</v>
      </c>
      <c r="T1">
        <v>2037</v>
      </c>
      <c r="U1">
        <v>2038</v>
      </c>
      <c r="V1">
        <v>2039</v>
      </c>
      <c r="W1">
        <v>2040</v>
      </c>
      <c r="X1">
        <v>2041</v>
      </c>
      <c r="Y1">
        <v>2042</v>
      </c>
      <c r="Z1">
        <v>2043</v>
      </c>
      <c r="AA1">
        <v>2044</v>
      </c>
      <c r="AB1">
        <v>2045</v>
      </c>
      <c r="AC1">
        <v>2046</v>
      </c>
      <c r="AD1">
        <v>2047</v>
      </c>
      <c r="AE1">
        <v>2048</v>
      </c>
      <c r="AF1">
        <v>2049</v>
      </c>
      <c r="AG1">
        <v>2050</v>
      </c>
      <c r="AH1">
        <v>2051</v>
      </c>
      <c r="AI1">
        <v>2052</v>
      </c>
      <c r="AJ1">
        <v>2053</v>
      </c>
      <c r="AK1">
        <v>2054</v>
      </c>
      <c r="AL1">
        <v>2055</v>
      </c>
      <c r="AM1">
        <v>2056</v>
      </c>
      <c r="AN1">
        <v>2057</v>
      </c>
      <c r="AO1">
        <v>2058</v>
      </c>
      <c r="AP1">
        <v>2059</v>
      </c>
      <c r="AQ1">
        <v>2060</v>
      </c>
    </row>
    <row r="2" spans="1:43">
      <c r="A2" t="s">
        <v>4397</v>
      </c>
      <c r="B2">
        <v>1000.97</v>
      </c>
      <c r="C2">
        <v>1053.83</v>
      </c>
      <c r="D2">
        <v>1058.56</v>
      </c>
      <c r="E2">
        <v>1083.55</v>
      </c>
      <c r="F2">
        <v>1104.5899999999999</v>
      </c>
      <c r="G2">
        <v>1120.8900000000001</v>
      </c>
      <c r="H2">
        <v>1110.3699999999999</v>
      </c>
      <c r="I2">
        <v>1100.6400000000001</v>
      </c>
      <c r="J2">
        <v>1092.23</v>
      </c>
      <c r="K2">
        <v>1089.5999999999999</v>
      </c>
      <c r="L2">
        <v>1093.02</v>
      </c>
      <c r="M2">
        <v>1098.54</v>
      </c>
      <c r="N2">
        <v>1092.23</v>
      </c>
      <c r="O2">
        <v>1094.8599999999999</v>
      </c>
      <c r="P2">
        <v>1098.8</v>
      </c>
      <c r="Q2">
        <v>1103.8</v>
      </c>
      <c r="R2">
        <v>1106.95</v>
      </c>
      <c r="S2">
        <v>1107.48</v>
      </c>
      <c r="T2">
        <v>1111.95</v>
      </c>
      <c r="U2">
        <v>1111.69</v>
      </c>
      <c r="V2">
        <v>1112.21</v>
      </c>
      <c r="W2">
        <v>1111.1600000000001</v>
      </c>
      <c r="X2">
        <v>1110.9000000000001</v>
      </c>
      <c r="Y2">
        <v>1109.8499999999999</v>
      </c>
      <c r="Z2">
        <v>1105.1099999999999</v>
      </c>
      <c r="AA2">
        <v>1087.49</v>
      </c>
      <c r="AB2">
        <v>1052.78</v>
      </c>
      <c r="AC2">
        <v>989.13</v>
      </c>
      <c r="AD2">
        <v>921.27599999999995</v>
      </c>
      <c r="AE2">
        <v>869.46500000000003</v>
      </c>
      <c r="AF2">
        <v>815.28700000000003</v>
      </c>
      <c r="AG2">
        <v>757.95299999999997</v>
      </c>
      <c r="AH2">
        <v>698.51499999999999</v>
      </c>
      <c r="AI2">
        <v>647.75599999999997</v>
      </c>
      <c r="AJ2">
        <v>598.31200000000001</v>
      </c>
      <c r="AK2">
        <v>560.17700000000002</v>
      </c>
      <c r="AL2">
        <v>500.476</v>
      </c>
      <c r="AM2">
        <v>462.07799999999997</v>
      </c>
      <c r="AN2">
        <v>433.14800000000002</v>
      </c>
      <c r="AO2">
        <v>406.322</v>
      </c>
      <c r="AP2">
        <v>370.291</v>
      </c>
      <c r="AQ2">
        <v>370.291</v>
      </c>
    </row>
    <row r="3" spans="1:43">
      <c r="A3" t="s">
        <v>4398</v>
      </c>
      <c r="B3">
        <v>55.625</v>
      </c>
      <c r="C3">
        <v>55.625</v>
      </c>
      <c r="D3">
        <v>55.625</v>
      </c>
      <c r="E3">
        <v>55.625</v>
      </c>
      <c r="F3">
        <v>55.469000000000001</v>
      </c>
      <c r="G3">
        <v>54.533000000000001</v>
      </c>
      <c r="H3">
        <v>54.533000000000001</v>
      </c>
      <c r="I3">
        <v>54.689</v>
      </c>
      <c r="J3">
        <v>54.844999999999999</v>
      </c>
      <c r="K3">
        <v>57.029000000000003</v>
      </c>
      <c r="L3">
        <v>61.085000000000001</v>
      </c>
      <c r="M3">
        <v>65.921000000000006</v>
      </c>
      <c r="N3">
        <v>67.168999999999997</v>
      </c>
      <c r="O3">
        <v>71.224999999999994</v>
      </c>
      <c r="P3">
        <v>74.968999999999994</v>
      </c>
      <c r="Q3">
        <v>78.400999999999996</v>
      </c>
      <c r="R3">
        <v>81.364999999999995</v>
      </c>
      <c r="S3">
        <v>83.393000000000001</v>
      </c>
      <c r="T3">
        <v>85.421000000000006</v>
      </c>
      <c r="U3">
        <v>86.668999999999997</v>
      </c>
      <c r="V3">
        <v>89.632999999999996</v>
      </c>
      <c r="W3">
        <v>92.753</v>
      </c>
      <c r="X3">
        <v>96.497</v>
      </c>
      <c r="Y3">
        <v>96.808999999999997</v>
      </c>
      <c r="Z3">
        <v>91.037000000000006</v>
      </c>
      <c r="AA3">
        <v>89.789000000000001</v>
      </c>
      <c r="AB3">
        <v>86.513000000000005</v>
      </c>
      <c r="AC3">
        <v>88.540999999999997</v>
      </c>
      <c r="AD3">
        <v>86.980999999999995</v>
      </c>
      <c r="AE3">
        <v>79.649000000000001</v>
      </c>
      <c r="AF3">
        <v>68.105000000000004</v>
      </c>
      <c r="AG3">
        <v>56.716999999999999</v>
      </c>
      <c r="AH3">
        <v>57.497</v>
      </c>
      <c r="AI3">
        <v>57.808999999999997</v>
      </c>
      <c r="AJ3">
        <v>58.277000000000001</v>
      </c>
      <c r="AK3">
        <v>58.433</v>
      </c>
      <c r="AL3">
        <v>59.993000000000002</v>
      </c>
      <c r="AM3">
        <v>62.488999999999997</v>
      </c>
      <c r="AN3">
        <v>64.204999999999998</v>
      </c>
      <c r="AO3">
        <v>65.765000000000001</v>
      </c>
      <c r="AP3">
        <v>67.948999999999998</v>
      </c>
      <c r="AQ3">
        <v>67.948999999999998</v>
      </c>
    </row>
    <row r="4" spans="1:43">
      <c r="A4" t="s">
        <v>4399</v>
      </c>
      <c r="B4">
        <v>44.66</v>
      </c>
      <c r="C4">
        <v>49.66</v>
      </c>
      <c r="D4">
        <v>49.66</v>
      </c>
      <c r="E4">
        <v>49.66</v>
      </c>
      <c r="F4">
        <v>49.66</v>
      </c>
      <c r="G4">
        <v>49.66</v>
      </c>
      <c r="H4">
        <v>49.66</v>
      </c>
      <c r="I4">
        <v>50.16</v>
      </c>
      <c r="J4">
        <v>51.16</v>
      </c>
      <c r="K4">
        <v>55.66</v>
      </c>
      <c r="L4">
        <v>63.66</v>
      </c>
      <c r="M4">
        <v>73.16</v>
      </c>
      <c r="N4">
        <v>76.16</v>
      </c>
      <c r="O4">
        <v>84.16</v>
      </c>
      <c r="P4">
        <v>92.66</v>
      </c>
      <c r="Q4">
        <v>99.66</v>
      </c>
      <c r="R4">
        <v>108.66</v>
      </c>
      <c r="S4">
        <v>116.66</v>
      </c>
      <c r="T4">
        <v>125.66</v>
      </c>
      <c r="U4">
        <v>134.16</v>
      </c>
      <c r="V4">
        <v>142.66</v>
      </c>
      <c r="W4">
        <v>150.66</v>
      </c>
      <c r="X4">
        <v>157.66</v>
      </c>
      <c r="Y4">
        <v>160.66</v>
      </c>
      <c r="Z4">
        <v>166.16</v>
      </c>
      <c r="AA4">
        <v>171.66</v>
      </c>
      <c r="AB4">
        <v>178.66</v>
      </c>
      <c r="AC4">
        <v>186.66</v>
      </c>
      <c r="AD4">
        <v>191.66</v>
      </c>
      <c r="AE4">
        <v>196.66</v>
      </c>
      <c r="AF4">
        <v>200.16</v>
      </c>
      <c r="AG4">
        <v>202.16</v>
      </c>
      <c r="AH4">
        <v>202.16</v>
      </c>
      <c r="AI4">
        <v>202.66</v>
      </c>
      <c r="AJ4">
        <v>201.66</v>
      </c>
      <c r="AK4">
        <v>197.66</v>
      </c>
      <c r="AL4">
        <v>196.66</v>
      </c>
      <c r="AM4">
        <v>196.66</v>
      </c>
      <c r="AN4">
        <v>199.16</v>
      </c>
      <c r="AO4">
        <v>202.16</v>
      </c>
      <c r="AP4">
        <v>206.66</v>
      </c>
      <c r="AQ4">
        <v>206.66</v>
      </c>
    </row>
    <row r="5" spans="1:43">
      <c r="A5" t="s">
        <v>4400</v>
      </c>
      <c r="B5">
        <v>353.15800000000002</v>
      </c>
      <c r="C5">
        <v>370.35399999999998</v>
      </c>
      <c r="D5">
        <v>370.35399999999998</v>
      </c>
      <c r="E5">
        <v>370.35399999999998</v>
      </c>
      <c r="F5">
        <v>370.35399999999998</v>
      </c>
      <c r="G5">
        <v>381.23200000000003</v>
      </c>
      <c r="H5">
        <v>394.30900000000003</v>
      </c>
      <c r="I5">
        <v>432.54599999999999</v>
      </c>
      <c r="J5">
        <v>486.34800000000001</v>
      </c>
      <c r="K5">
        <v>521.66399999999999</v>
      </c>
      <c r="L5">
        <v>521.64499999999998</v>
      </c>
      <c r="M5">
        <v>521.63</v>
      </c>
      <c r="N5">
        <v>521.60900000000004</v>
      </c>
      <c r="O5">
        <v>521.58199999999999</v>
      </c>
      <c r="P5">
        <v>521.54200000000003</v>
      </c>
      <c r="Q5">
        <v>521.5</v>
      </c>
      <c r="R5">
        <v>521.46299999999997</v>
      </c>
      <c r="S5">
        <v>521.42600000000004</v>
      </c>
      <c r="T5">
        <v>521.38900000000001</v>
      </c>
      <c r="U5">
        <v>521.34400000000005</v>
      </c>
      <c r="V5">
        <v>521.28099999999995</v>
      </c>
      <c r="W5">
        <v>521.23599999999999</v>
      </c>
      <c r="X5">
        <v>521.18299999999999</v>
      </c>
      <c r="Y5">
        <v>521.13099999999997</v>
      </c>
      <c r="Z5">
        <v>521.00400000000002</v>
      </c>
      <c r="AA5">
        <v>520.89300000000003</v>
      </c>
      <c r="AB5">
        <v>520.76499999999999</v>
      </c>
      <c r="AC5">
        <v>520.63499999999999</v>
      </c>
      <c r="AD5">
        <v>520.46799999999996</v>
      </c>
      <c r="AE5">
        <v>520.21699999999998</v>
      </c>
      <c r="AF5">
        <v>519.96799999999996</v>
      </c>
      <c r="AG5">
        <v>519.82299999999998</v>
      </c>
      <c r="AH5">
        <v>519.67499999999995</v>
      </c>
      <c r="AI5">
        <v>519.45500000000004</v>
      </c>
      <c r="AJ5">
        <v>519.09699999999998</v>
      </c>
      <c r="AK5">
        <v>518.85699999999997</v>
      </c>
      <c r="AL5">
        <v>518.70899999999995</v>
      </c>
      <c r="AM5">
        <v>518.54100000000005</v>
      </c>
      <c r="AN5">
        <v>518.54100000000005</v>
      </c>
      <c r="AO5">
        <v>518.54100000000005</v>
      </c>
      <c r="AP5">
        <v>518.54100000000005</v>
      </c>
      <c r="AQ5">
        <v>518.54100000000005</v>
      </c>
    </row>
    <row r="6" spans="1:43">
      <c r="A6" t="s">
        <v>4401</v>
      </c>
      <c r="B6">
        <v>179.97499999999999</v>
      </c>
      <c r="C6">
        <v>269.5</v>
      </c>
      <c r="D6">
        <v>269.44499999999999</v>
      </c>
      <c r="E6">
        <v>269.38</v>
      </c>
      <c r="F6">
        <v>269.28500000000003</v>
      </c>
      <c r="G6">
        <v>269.60000000000002</v>
      </c>
      <c r="H6">
        <v>269.745</v>
      </c>
      <c r="I6">
        <v>270.54500000000002</v>
      </c>
      <c r="J6">
        <v>270.42500000000001</v>
      </c>
      <c r="K6">
        <v>276.38499999999999</v>
      </c>
      <c r="L6">
        <v>285.07</v>
      </c>
      <c r="M6">
        <v>294.20999999999998</v>
      </c>
      <c r="N6">
        <v>285.70999999999998</v>
      </c>
      <c r="O6">
        <v>298.52499999999998</v>
      </c>
      <c r="P6">
        <v>309.88499999999999</v>
      </c>
      <c r="Q6">
        <v>316.33499999999998</v>
      </c>
      <c r="R6">
        <v>316.95999999999998</v>
      </c>
      <c r="S6">
        <v>323.70999999999998</v>
      </c>
      <c r="T6">
        <v>338.62</v>
      </c>
      <c r="U6">
        <v>352.51499999999999</v>
      </c>
      <c r="V6">
        <v>362.53500000000003</v>
      </c>
      <c r="W6">
        <v>363.995</v>
      </c>
      <c r="X6">
        <v>370.19499999999999</v>
      </c>
      <c r="Y6">
        <v>393.71499999999997</v>
      </c>
      <c r="Z6">
        <v>425.79</v>
      </c>
      <c r="AA6">
        <v>455.04500000000002</v>
      </c>
      <c r="AB6">
        <v>489.78500000000003</v>
      </c>
      <c r="AC6">
        <v>529.81500000000005</v>
      </c>
      <c r="AD6">
        <v>567.68499999999995</v>
      </c>
      <c r="AE6">
        <v>596.44500000000005</v>
      </c>
      <c r="AF6">
        <v>616.85500000000002</v>
      </c>
      <c r="AG6">
        <v>638.20000000000005</v>
      </c>
      <c r="AH6">
        <v>648.23</v>
      </c>
      <c r="AI6">
        <v>652.33000000000004</v>
      </c>
      <c r="AJ6">
        <v>658.35500000000002</v>
      </c>
      <c r="AK6">
        <v>660.52</v>
      </c>
      <c r="AL6">
        <v>681.245</v>
      </c>
      <c r="AM6">
        <v>715.76499999999999</v>
      </c>
      <c r="AN6">
        <v>740.96</v>
      </c>
      <c r="AO6">
        <v>764.02499999999998</v>
      </c>
      <c r="AP6">
        <v>796.55499999999995</v>
      </c>
      <c r="AQ6">
        <v>796.55499999999995</v>
      </c>
    </row>
    <row r="7" spans="1:43">
      <c r="A7" t="s">
        <v>4402</v>
      </c>
      <c r="B7">
        <v>124.02</v>
      </c>
      <c r="C7">
        <v>170.762</v>
      </c>
      <c r="D7">
        <v>170.762</v>
      </c>
      <c r="E7">
        <v>170.762</v>
      </c>
      <c r="F7">
        <v>170.762</v>
      </c>
      <c r="G7">
        <v>171.21799999999999</v>
      </c>
      <c r="H7">
        <v>171.84</v>
      </c>
      <c r="I7">
        <v>173.95400000000001</v>
      </c>
      <c r="J7">
        <v>177.42599999999999</v>
      </c>
      <c r="K7">
        <v>191.44</v>
      </c>
      <c r="L7">
        <v>219.17400000000001</v>
      </c>
      <c r="M7">
        <v>256.00799999999998</v>
      </c>
      <c r="N7">
        <v>268.26</v>
      </c>
      <c r="O7">
        <v>303.08800000000002</v>
      </c>
      <c r="P7">
        <v>339.71800000000002</v>
      </c>
      <c r="Q7">
        <v>378.97800000000001</v>
      </c>
      <c r="R7">
        <v>420.21800000000002</v>
      </c>
      <c r="S7">
        <v>459.62799999999999</v>
      </c>
      <c r="T7">
        <v>504.47199999999998</v>
      </c>
      <c r="U7">
        <v>547.98599999999999</v>
      </c>
      <c r="V7">
        <v>591.48</v>
      </c>
      <c r="W7">
        <v>634.93600000000004</v>
      </c>
      <c r="X7">
        <v>672.21400000000006</v>
      </c>
      <c r="Y7">
        <v>700.35400000000004</v>
      </c>
      <c r="Z7">
        <v>726.45600000000002</v>
      </c>
      <c r="AA7">
        <v>750.67600000000004</v>
      </c>
      <c r="AB7">
        <v>775.74</v>
      </c>
      <c r="AC7">
        <v>786.11800000000005</v>
      </c>
      <c r="AD7">
        <v>773.59199999999998</v>
      </c>
      <c r="AE7">
        <v>759.25</v>
      </c>
      <c r="AF7">
        <v>761.90599999999995</v>
      </c>
      <c r="AG7">
        <v>764.928</v>
      </c>
      <c r="AH7">
        <v>774.5</v>
      </c>
      <c r="AI7">
        <v>778.32600000000002</v>
      </c>
      <c r="AJ7">
        <v>783.85799999999995</v>
      </c>
      <c r="AK7">
        <v>785.80200000000002</v>
      </c>
      <c r="AL7">
        <v>803.99</v>
      </c>
      <c r="AM7">
        <v>833.11400000000003</v>
      </c>
      <c r="AN7">
        <v>853.89200000000005</v>
      </c>
      <c r="AO7">
        <v>872.39</v>
      </c>
      <c r="AP7">
        <v>897.77</v>
      </c>
      <c r="AQ7">
        <v>897.77</v>
      </c>
    </row>
    <row r="8" spans="1:43">
      <c r="A8" t="s">
        <v>4403</v>
      </c>
      <c r="B8">
        <v>0.17</v>
      </c>
      <c r="C8">
        <v>0.17</v>
      </c>
      <c r="D8">
        <v>0.17</v>
      </c>
      <c r="E8">
        <v>0.17</v>
      </c>
      <c r="F8">
        <v>0.17</v>
      </c>
      <c r="G8">
        <v>0.17</v>
      </c>
      <c r="H8">
        <v>0.17</v>
      </c>
      <c r="I8">
        <v>0.17</v>
      </c>
      <c r="J8">
        <v>0.17</v>
      </c>
      <c r="K8">
        <v>0.48199999999999998</v>
      </c>
      <c r="L8">
        <v>1.262</v>
      </c>
      <c r="M8">
        <v>2.3540000000000001</v>
      </c>
      <c r="N8">
        <v>2.6659999999999999</v>
      </c>
      <c r="O8">
        <v>4.07</v>
      </c>
      <c r="P8">
        <v>5.7859999999999996</v>
      </c>
      <c r="Q8">
        <v>7.8140000000000001</v>
      </c>
      <c r="R8">
        <v>10.31</v>
      </c>
      <c r="S8">
        <v>12.805999999999999</v>
      </c>
      <c r="T8">
        <v>15.77</v>
      </c>
      <c r="U8">
        <v>18.89</v>
      </c>
      <c r="V8">
        <v>22.166</v>
      </c>
      <c r="W8">
        <v>25.597999999999999</v>
      </c>
      <c r="X8">
        <v>28.873999999999999</v>
      </c>
      <c r="Y8">
        <v>31.526</v>
      </c>
      <c r="Z8">
        <v>35.270000000000003</v>
      </c>
      <c r="AA8">
        <v>38.857999999999997</v>
      </c>
      <c r="AB8">
        <v>43.225999999999999</v>
      </c>
      <c r="AC8">
        <v>48.53</v>
      </c>
      <c r="AD8">
        <v>53.677999999999997</v>
      </c>
      <c r="AE8">
        <v>57.578000000000003</v>
      </c>
      <c r="AF8">
        <v>59.917999999999999</v>
      </c>
      <c r="AG8">
        <v>63.194000000000003</v>
      </c>
      <c r="AH8">
        <v>64.754000000000005</v>
      </c>
      <c r="AI8">
        <v>65.378</v>
      </c>
      <c r="AJ8">
        <v>66.47</v>
      </c>
      <c r="AK8">
        <v>66.781999999999996</v>
      </c>
      <c r="AL8">
        <v>71.150000000000006</v>
      </c>
      <c r="AM8">
        <v>78.793999999999997</v>
      </c>
      <c r="AN8">
        <v>84.721999999999994</v>
      </c>
      <c r="AO8">
        <v>90.494</v>
      </c>
      <c r="AP8">
        <v>99.073999999999998</v>
      </c>
      <c r="AQ8">
        <v>99.073999999999998</v>
      </c>
    </row>
    <row r="9" spans="1:43">
      <c r="A9" t="s">
        <v>4404</v>
      </c>
      <c r="B9">
        <v>9.49</v>
      </c>
      <c r="C9">
        <v>9.49</v>
      </c>
      <c r="D9">
        <v>9.49</v>
      </c>
      <c r="E9">
        <v>9.49</v>
      </c>
      <c r="F9">
        <v>9.49</v>
      </c>
      <c r="G9">
        <v>9.49</v>
      </c>
      <c r="H9">
        <v>9.49</v>
      </c>
      <c r="I9">
        <v>9.5079999999999991</v>
      </c>
      <c r="J9">
        <v>9.5259999999999998</v>
      </c>
      <c r="K9">
        <v>9.6340000000000003</v>
      </c>
      <c r="L9">
        <v>9.8320000000000007</v>
      </c>
      <c r="M9">
        <v>10.029999999999999</v>
      </c>
      <c r="N9">
        <v>10.119999999999999</v>
      </c>
      <c r="O9">
        <v>10.3</v>
      </c>
      <c r="P9">
        <v>9.9939999999999998</v>
      </c>
      <c r="Q9">
        <v>10.173999999999999</v>
      </c>
      <c r="R9">
        <v>9.8680000000000003</v>
      </c>
      <c r="S9">
        <v>9.5259999999999998</v>
      </c>
      <c r="T9">
        <v>9.202</v>
      </c>
      <c r="U9">
        <v>9.0939999999999994</v>
      </c>
      <c r="V9">
        <v>9.0399999999999991</v>
      </c>
      <c r="W9">
        <v>8.7880000000000003</v>
      </c>
      <c r="X9">
        <v>8.3019999999999996</v>
      </c>
      <c r="Y9">
        <v>7.726</v>
      </c>
      <c r="Z9">
        <v>7.33</v>
      </c>
      <c r="AA9">
        <v>6.79</v>
      </c>
      <c r="AB9">
        <v>6.484</v>
      </c>
      <c r="AC9">
        <v>6.016</v>
      </c>
      <c r="AD9">
        <v>5.3680000000000003</v>
      </c>
      <c r="AE9">
        <v>4.3780000000000001</v>
      </c>
      <c r="AF9">
        <v>3.3340000000000001</v>
      </c>
      <c r="AG9">
        <v>2.3079999999999998</v>
      </c>
      <c r="AH9">
        <v>2.3620000000000001</v>
      </c>
      <c r="AI9">
        <v>2.38</v>
      </c>
      <c r="AJ9">
        <v>2.3980000000000001</v>
      </c>
      <c r="AK9">
        <v>2.3980000000000001</v>
      </c>
      <c r="AL9">
        <v>2.5059999999999998</v>
      </c>
      <c r="AM9">
        <v>2.6320000000000001</v>
      </c>
      <c r="AN9">
        <v>2.758</v>
      </c>
      <c r="AO9">
        <v>2.8660000000000001</v>
      </c>
      <c r="AP9">
        <v>2.9740000000000002</v>
      </c>
      <c r="AQ9">
        <v>2.9740000000000002</v>
      </c>
    </row>
    <row r="10" spans="1:43">
      <c r="A10" t="s">
        <v>4405</v>
      </c>
      <c r="B10">
        <v>2.7E-2</v>
      </c>
      <c r="C10">
        <v>2.7E-2</v>
      </c>
      <c r="D10">
        <v>2.7E-2</v>
      </c>
      <c r="E10">
        <v>2.7E-2</v>
      </c>
      <c r="F10">
        <v>2.7E-2</v>
      </c>
      <c r="G10">
        <v>6.6000000000000003E-2</v>
      </c>
      <c r="H10">
        <v>0.11799999999999999</v>
      </c>
      <c r="I10">
        <v>0.27400000000000002</v>
      </c>
      <c r="J10">
        <v>0.50800000000000001</v>
      </c>
      <c r="K10">
        <v>1.353</v>
      </c>
      <c r="L10">
        <v>2.835</v>
      </c>
      <c r="M10">
        <v>4.5510000000000002</v>
      </c>
      <c r="N10">
        <v>5.0839999999999996</v>
      </c>
      <c r="O10">
        <v>6.5659999999999998</v>
      </c>
      <c r="P10">
        <v>8.0739999999999998</v>
      </c>
      <c r="Q10">
        <v>9.6340000000000003</v>
      </c>
      <c r="R10">
        <v>11.233000000000001</v>
      </c>
      <c r="S10">
        <v>12.702</v>
      </c>
      <c r="T10">
        <v>14.327</v>
      </c>
      <c r="U10">
        <v>15.861000000000001</v>
      </c>
      <c r="V10">
        <v>17.356000000000002</v>
      </c>
      <c r="W10">
        <v>18.838000000000001</v>
      </c>
      <c r="X10">
        <v>20.151</v>
      </c>
      <c r="Y10">
        <v>21.113</v>
      </c>
      <c r="Z10">
        <v>22.387</v>
      </c>
      <c r="AA10">
        <v>23.504999999999999</v>
      </c>
      <c r="AB10">
        <v>24.792000000000002</v>
      </c>
      <c r="AC10">
        <v>26.222000000000001</v>
      </c>
      <c r="AD10">
        <v>27.521999999999998</v>
      </c>
      <c r="AE10">
        <v>28.484000000000002</v>
      </c>
      <c r="AF10">
        <v>29.146999999999998</v>
      </c>
      <c r="AG10">
        <v>29.81</v>
      </c>
      <c r="AH10">
        <v>30.109000000000002</v>
      </c>
      <c r="AI10">
        <v>30.225999999999999</v>
      </c>
      <c r="AJ10">
        <v>30.395</v>
      </c>
      <c r="AK10">
        <v>30.446999999999999</v>
      </c>
      <c r="AL10">
        <v>31.018999999999998</v>
      </c>
      <c r="AM10">
        <v>31.954999999999998</v>
      </c>
      <c r="AN10">
        <v>32.618000000000002</v>
      </c>
      <c r="AO10">
        <v>33.203000000000003</v>
      </c>
      <c r="AP10">
        <v>34.009</v>
      </c>
      <c r="AQ10">
        <v>34.009</v>
      </c>
    </row>
    <row r="11" spans="1:43">
      <c r="A11" t="s">
        <v>4406</v>
      </c>
      <c r="B11">
        <v>1.73</v>
      </c>
      <c r="C11">
        <v>1.73</v>
      </c>
      <c r="D11">
        <v>1.73</v>
      </c>
      <c r="E11">
        <v>1.73</v>
      </c>
      <c r="F11">
        <v>1.73</v>
      </c>
      <c r="G11">
        <v>1.73</v>
      </c>
      <c r="H11">
        <v>1.73</v>
      </c>
      <c r="I11">
        <v>1.7470000000000001</v>
      </c>
      <c r="J11">
        <v>1.784</v>
      </c>
      <c r="K11">
        <v>1.9179999999999999</v>
      </c>
      <c r="L11">
        <v>2.1520000000000001</v>
      </c>
      <c r="M11">
        <v>2.4239999999999999</v>
      </c>
      <c r="N11">
        <v>2.5089999999999999</v>
      </c>
      <c r="O11">
        <v>2.5630000000000002</v>
      </c>
      <c r="P11">
        <v>2.7269999999999999</v>
      </c>
      <c r="Q11">
        <v>2.8839999999999999</v>
      </c>
      <c r="R11">
        <v>3.1349999999999998</v>
      </c>
      <c r="S11">
        <v>3.3660000000000001</v>
      </c>
      <c r="T11">
        <v>3.6070000000000002</v>
      </c>
      <c r="U11">
        <v>3.8210000000000002</v>
      </c>
      <c r="V11">
        <v>4.016</v>
      </c>
      <c r="W11">
        <v>4.1950000000000003</v>
      </c>
      <c r="X11">
        <v>4.3330000000000002</v>
      </c>
      <c r="Y11">
        <v>4.4029999999999996</v>
      </c>
      <c r="Z11">
        <v>4.601</v>
      </c>
      <c r="AA11">
        <v>4.7759999999999998</v>
      </c>
      <c r="AB11">
        <v>2.6059999999999999</v>
      </c>
      <c r="AC11">
        <v>2.2040000000000002</v>
      </c>
      <c r="AD11">
        <v>5.8579999999999997</v>
      </c>
      <c r="AE11">
        <v>9.3290000000000006</v>
      </c>
      <c r="AF11">
        <v>12.507</v>
      </c>
      <c r="AG11">
        <v>15.961</v>
      </c>
      <c r="AH11">
        <v>19.122</v>
      </c>
      <c r="AI11">
        <v>21.425000000000001</v>
      </c>
      <c r="AJ11">
        <v>23.870999999999999</v>
      </c>
      <c r="AK11">
        <v>25.66</v>
      </c>
      <c r="AL11">
        <v>27.946999999999999</v>
      </c>
      <c r="AM11">
        <v>28.568999999999999</v>
      </c>
      <c r="AN11">
        <v>28.670999999999999</v>
      </c>
      <c r="AO11">
        <v>28.760999999999999</v>
      </c>
      <c r="AP11">
        <v>28.936</v>
      </c>
      <c r="AQ11">
        <v>28.936</v>
      </c>
    </row>
    <row r="12" spans="1:43">
      <c r="A12" t="s">
        <v>4407</v>
      </c>
      <c r="B12">
        <v>25.125</v>
      </c>
      <c r="C12">
        <v>25.125</v>
      </c>
      <c r="D12">
        <v>25.125</v>
      </c>
      <c r="E12">
        <v>25.125</v>
      </c>
      <c r="F12">
        <v>25.125</v>
      </c>
      <c r="G12">
        <v>25.125</v>
      </c>
      <c r="H12">
        <v>25.125</v>
      </c>
      <c r="I12">
        <v>25.274999999999999</v>
      </c>
      <c r="J12">
        <v>25.675000000000001</v>
      </c>
      <c r="K12">
        <v>27.125</v>
      </c>
      <c r="L12">
        <v>29.675000000000001</v>
      </c>
      <c r="M12">
        <v>32.674999999999997</v>
      </c>
      <c r="N12">
        <v>33.575000000000003</v>
      </c>
      <c r="O12">
        <v>36.125</v>
      </c>
      <c r="P12">
        <v>38.725000000000001</v>
      </c>
      <c r="Q12">
        <v>41.424999999999997</v>
      </c>
      <c r="R12">
        <v>44.174999999999997</v>
      </c>
      <c r="S12">
        <v>46.725000000000001</v>
      </c>
      <c r="T12">
        <v>49.524999999999999</v>
      </c>
      <c r="U12">
        <v>52.174999999999997</v>
      </c>
      <c r="V12">
        <v>54.725000000000001</v>
      </c>
      <c r="W12">
        <v>57.274999999999999</v>
      </c>
      <c r="X12">
        <v>59.524999999999999</v>
      </c>
      <c r="Y12">
        <v>61.174999999999997</v>
      </c>
      <c r="Z12">
        <v>63.325000000000003</v>
      </c>
      <c r="AA12">
        <v>65.224999999999994</v>
      </c>
      <c r="AB12">
        <v>67.424999999999997</v>
      </c>
      <c r="AC12">
        <v>97.474999999999994</v>
      </c>
      <c r="AD12">
        <v>153.57499999999999</v>
      </c>
      <c r="AE12">
        <v>204.875</v>
      </c>
      <c r="AF12">
        <v>251.97499999999999</v>
      </c>
      <c r="AG12">
        <v>303.17500000000001</v>
      </c>
      <c r="AH12">
        <v>350.22500000000002</v>
      </c>
      <c r="AI12">
        <v>384.52499999999998</v>
      </c>
      <c r="AJ12">
        <v>420.92500000000001</v>
      </c>
      <c r="AK12">
        <v>447.57499999999999</v>
      </c>
      <c r="AL12">
        <v>481.32499999999999</v>
      </c>
      <c r="AM12">
        <v>490.02499999999998</v>
      </c>
      <c r="AN12">
        <v>491.125</v>
      </c>
      <c r="AO12">
        <v>492.07499999999999</v>
      </c>
      <c r="AP12">
        <v>494.17500000000001</v>
      </c>
      <c r="AQ12">
        <v>494.17500000000001</v>
      </c>
    </row>
    <row r="13" spans="1:43">
      <c r="A13" t="s">
        <v>4408</v>
      </c>
      <c r="B13">
        <v>50.78</v>
      </c>
      <c r="C13">
        <v>50.78</v>
      </c>
      <c r="D13">
        <v>50.78</v>
      </c>
      <c r="E13">
        <v>50.78</v>
      </c>
      <c r="F13">
        <v>50.78</v>
      </c>
      <c r="G13">
        <v>50.78</v>
      </c>
      <c r="H13">
        <v>50.78</v>
      </c>
      <c r="I13">
        <v>50.78</v>
      </c>
      <c r="J13">
        <v>50.78</v>
      </c>
      <c r="K13">
        <v>50.78</v>
      </c>
      <c r="L13">
        <v>50.78</v>
      </c>
      <c r="M13">
        <v>50.78</v>
      </c>
      <c r="N13">
        <v>50.78</v>
      </c>
      <c r="O13">
        <v>50.78</v>
      </c>
      <c r="P13">
        <v>50.78</v>
      </c>
      <c r="Q13">
        <v>50.78</v>
      </c>
      <c r="R13">
        <v>50.78</v>
      </c>
      <c r="S13">
        <v>50.78</v>
      </c>
      <c r="T13">
        <v>50.78</v>
      </c>
      <c r="U13">
        <v>50.78</v>
      </c>
      <c r="V13">
        <v>50.78</v>
      </c>
      <c r="W13">
        <v>50.78</v>
      </c>
      <c r="X13">
        <v>50.78</v>
      </c>
      <c r="Y13">
        <v>50.78</v>
      </c>
      <c r="Z13">
        <v>50.78</v>
      </c>
      <c r="AA13">
        <v>50.78</v>
      </c>
      <c r="AB13">
        <v>50.78</v>
      </c>
      <c r="AC13">
        <v>50.78</v>
      </c>
      <c r="AD13">
        <v>50.78</v>
      </c>
      <c r="AE13">
        <v>50.78</v>
      </c>
      <c r="AF13">
        <v>50.78</v>
      </c>
      <c r="AG13">
        <v>50.78</v>
      </c>
      <c r="AH13">
        <v>50.78</v>
      </c>
      <c r="AI13">
        <v>50.78</v>
      </c>
      <c r="AJ13">
        <v>50.78</v>
      </c>
      <c r="AK13">
        <v>50.78</v>
      </c>
      <c r="AL13">
        <v>50.78</v>
      </c>
      <c r="AM13">
        <v>50.78</v>
      </c>
      <c r="AN13">
        <v>50.78</v>
      </c>
      <c r="AO13">
        <v>50.78</v>
      </c>
      <c r="AP13">
        <v>50.78</v>
      </c>
      <c r="AQ13">
        <v>50.78</v>
      </c>
    </row>
    <row r="14" spans="1:43">
      <c r="A14" t="s">
        <v>4409</v>
      </c>
      <c r="B14">
        <v>3.63</v>
      </c>
      <c r="C14">
        <v>3.63</v>
      </c>
      <c r="D14">
        <v>3.63</v>
      </c>
      <c r="E14">
        <v>3.63</v>
      </c>
      <c r="F14">
        <v>3.63</v>
      </c>
      <c r="G14">
        <v>3.645</v>
      </c>
      <c r="H14">
        <v>3.665</v>
      </c>
      <c r="I14">
        <v>3.74</v>
      </c>
      <c r="J14">
        <v>3.855</v>
      </c>
      <c r="K14">
        <v>4.3150000000000004</v>
      </c>
      <c r="L14">
        <v>5.1950000000000003</v>
      </c>
      <c r="M14">
        <v>6.32</v>
      </c>
      <c r="N14">
        <v>6.7</v>
      </c>
      <c r="O14">
        <v>7.81</v>
      </c>
      <c r="P14">
        <v>9.0250000000000004</v>
      </c>
      <c r="Q14">
        <v>10.355</v>
      </c>
      <c r="R14">
        <v>11.805</v>
      </c>
      <c r="S14">
        <v>13.2</v>
      </c>
      <c r="T14">
        <v>14.79</v>
      </c>
      <c r="U14">
        <v>16.36</v>
      </c>
      <c r="V14">
        <v>17.704999999999998</v>
      </c>
      <c r="W14">
        <v>18.945</v>
      </c>
      <c r="X14">
        <v>19.795000000000002</v>
      </c>
      <c r="Y14">
        <v>19.7</v>
      </c>
      <c r="Z14">
        <v>19.46</v>
      </c>
      <c r="AA14">
        <v>18.725000000000001</v>
      </c>
      <c r="AB14">
        <v>17.145</v>
      </c>
      <c r="AC14">
        <v>13.705</v>
      </c>
      <c r="AD14">
        <v>15.095000000000001</v>
      </c>
      <c r="AE14">
        <v>16.13</v>
      </c>
      <c r="AF14">
        <v>16.850000000000001</v>
      </c>
      <c r="AG14">
        <v>17.585000000000001</v>
      </c>
      <c r="AH14">
        <v>17.920000000000002</v>
      </c>
      <c r="AI14">
        <v>18.05</v>
      </c>
      <c r="AJ14">
        <v>18.239999999999998</v>
      </c>
      <c r="AK14">
        <v>18.305</v>
      </c>
      <c r="AL14">
        <v>18.93</v>
      </c>
      <c r="AM14">
        <v>19.940000000000001</v>
      </c>
      <c r="AN14">
        <v>20.655000000000001</v>
      </c>
      <c r="AO14">
        <v>21.29</v>
      </c>
      <c r="AP14">
        <v>22.155000000000001</v>
      </c>
      <c r="AQ14">
        <v>22.155000000000001</v>
      </c>
    </row>
    <row r="15" spans="1:43">
      <c r="A15" t="s">
        <v>4410</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row>
    <row r="16" spans="1:43">
      <c r="A16" t="s">
        <v>4411</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row>
    <row r="17" spans="1:43">
      <c r="A17" t="s">
        <v>4412</v>
      </c>
      <c r="B17">
        <v>11.73</v>
      </c>
      <c r="C17">
        <v>11.73</v>
      </c>
      <c r="D17">
        <v>11.73</v>
      </c>
      <c r="E17">
        <v>11.73</v>
      </c>
      <c r="F17">
        <v>11.73</v>
      </c>
      <c r="G17">
        <v>11.73</v>
      </c>
      <c r="H17">
        <v>11.73</v>
      </c>
      <c r="I17">
        <v>11.73</v>
      </c>
      <c r="J17">
        <v>11.73</v>
      </c>
      <c r="K17">
        <v>11.73</v>
      </c>
      <c r="L17">
        <v>11.73</v>
      </c>
      <c r="M17">
        <v>11.73</v>
      </c>
      <c r="N17">
        <v>11.73</v>
      </c>
      <c r="O17">
        <v>11.73</v>
      </c>
      <c r="P17">
        <v>11.73</v>
      </c>
      <c r="Q17">
        <v>11.73</v>
      </c>
      <c r="R17">
        <v>11.73</v>
      </c>
      <c r="S17">
        <v>11.73</v>
      </c>
      <c r="T17">
        <v>11.73</v>
      </c>
      <c r="U17">
        <v>11.73</v>
      </c>
      <c r="V17">
        <v>11.634</v>
      </c>
      <c r="W17">
        <v>11.522</v>
      </c>
      <c r="X17">
        <v>11.298</v>
      </c>
      <c r="Y17">
        <v>11.138</v>
      </c>
      <c r="Z17">
        <v>10.85</v>
      </c>
      <c r="AA17">
        <v>10.69</v>
      </c>
      <c r="AB17">
        <v>10.706</v>
      </c>
      <c r="AC17">
        <v>10.513999999999999</v>
      </c>
      <c r="AD17">
        <v>9.41</v>
      </c>
      <c r="AE17">
        <v>8.8179999999999996</v>
      </c>
      <c r="AF17">
        <v>8.2260000000000009</v>
      </c>
      <c r="AG17">
        <v>7.65</v>
      </c>
      <c r="AH17">
        <v>7.7140000000000004</v>
      </c>
      <c r="AI17">
        <v>7.73</v>
      </c>
      <c r="AJ17">
        <v>7.7619999999999996</v>
      </c>
      <c r="AK17">
        <v>7.7619999999999996</v>
      </c>
      <c r="AL17">
        <v>7.89</v>
      </c>
      <c r="AM17">
        <v>8.0340000000000007</v>
      </c>
      <c r="AN17">
        <v>8.1780000000000008</v>
      </c>
      <c r="AO17">
        <v>8.3059999999999992</v>
      </c>
      <c r="AP17">
        <v>8.4339999999999993</v>
      </c>
      <c r="AQ17">
        <v>8.4339999999999993</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CFD1-E28A-4261-95AB-63E30F828059}">
  <sheetPr codeName="Sheet55"/>
  <dimension ref="A1:AQ11"/>
  <sheetViews>
    <sheetView workbookViewId="0"/>
  </sheetViews>
  <sheetFormatPr baseColWidth="10" defaultColWidth="8.83203125" defaultRowHeight="15"/>
  <cols>
    <col min="1" max="1" width="87.33203125" customWidth="1"/>
  </cols>
  <sheetData>
    <row r="1" spans="1:43">
      <c r="A1" t="s">
        <v>4396</v>
      </c>
      <c r="B1">
        <v>2019</v>
      </c>
      <c r="C1">
        <v>2020</v>
      </c>
      <c r="D1">
        <v>2021</v>
      </c>
      <c r="E1">
        <v>2022</v>
      </c>
      <c r="F1">
        <v>2023</v>
      </c>
      <c r="G1">
        <v>2024</v>
      </c>
      <c r="H1">
        <v>2025</v>
      </c>
      <c r="I1">
        <v>2026</v>
      </c>
      <c r="J1">
        <v>2027</v>
      </c>
      <c r="K1">
        <v>2028</v>
      </c>
      <c r="L1">
        <v>2029</v>
      </c>
      <c r="M1">
        <v>2030</v>
      </c>
      <c r="N1">
        <v>2031</v>
      </c>
      <c r="O1">
        <v>2032</v>
      </c>
      <c r="P1">
        <v>2033</v>
      </c>
      <c r="Q1">
        <v>2034</v>
      </c>
      <c r="R1">
        <v>2035</v>
      </c>
      <c r="S1">
        <v>2036</v>
      </c>
      <c r="T1">
        <v>2037</v>
      </c>
      <c r="U1">
        <v>2038</v>
      </c>
      <c r="V1">
        <v>2039</v>
      </c>
      <c r="W1">
        <v>2040</v>
      </c>
      <c r="X1">
        <v>2041</v>
      </c>
      <c r="Y1">
        <v>2042</v>
      </c>
      <c r="Z1">
        <v>2043</v>
      </c>
      <c r="AA1">
        <v>2044</v>
      </c>
      <c r="AB1">
        <v>2045</v>
      </c>
      <c r="AC1">
        <v>2046</v>
      </c>
      <c r="AD1">
        <v>2047</v>
      </c>
      <c r="AE1">
        <v>2048</v>
      </c>
      <c r="AF1">
        <v>2049</v>
      </c>
      <c r="AG1">
        <v>2050</v>
      </c>
      <c r="AH1">
        <v>2051</v>
      </c>
      <c r="AI1">
        <v>2052</v>
      </c>
      <c r="AJ1">
        <v>2053</v>
      </c>
      <c r="AK1">
        <v>2054</v>
      </c>
      <c r="AL1">
        <v>2055</v>
      </c>
      <c r="AM1">
        <v>2056</v>
      </c>
      <c r="AN1">
        <v>2057</v>
      </c>
      <c r="AO1">
        <v>2058</v>
      </c>
      <c r="AP1">
        <v>2059</v>
      </c>
      <c r="AQ1">
        <v>2060</v>
      </c>
    </row>
    <row r="2" spans="1:43">
      <c r="A2" t="s">
        <v>4595</v>
      </c>
      <c r="B2">
        <v>0</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row>
    <row r="3" spans="1:43">
      <c r="A3" t="s">
        <v>4596</v>
      </c>
      <c r="B3" s="493">
        <v>1000770000000000</v>
      </c>
      <c r="C3" s="493">
        <v>1026750000000000</v>
      </c>
      <c r="D3" s="493">
        <v>1036190000000000</v>
      </c>
      <c r="E3" s="493">
        <v>1077640000000000</v>
      </c>
      <c r="F3" s="493">
        <v>1088070000000000</v>
      </c>
      <c r="G3" s="493">
        <v>1109020000000000</v>
      </c>
      <c r="H3" s="493">
        <v>1117860000000000</v>
      </c>
      <c r="I3" s="493">
        <v>1135530000000000</v>
      </c>
      <c r="J3" s="493">
        <v>1142160000000000</v>
      </c>
      <c r="K3" s="493">
        <v>1157630000000000</v>
      </c>
      <c r="L3" s="493">
        <v>1162050000000000</v>
      </c>
      <c r="M3" s="493">
        <v>1175300000000000</v>
      </c>
      <c r="N3" s="493">
        <v>1142160000000000</v>
      </c>
      <c r="O3" s="493">
        <v>1144370000000000</v>
      </c>
      <c r="P3" s="493">
        <v>1139950000000000</v>
      </c>
      <c r="Q3" s="493">
        <v>1142160000000000</v>
      </c>
      <c r="R3" s="493">
        <v>1139950000000000</v>
      </c>
      <c r="S3" s="493">
        <v>1135530000000000</v>
      </c>
      <c r="T3" s="493">
        <v>1131120000000000</v>
      </c>
      <c r="U3" s="493">
        <v>1133330000000000</v>
      </c>
      <c r="V3" s="493">
        <v>1133330000000000</v>
      </c>
      <c r="W3" s="493">
        <v>1133330000000000</v>
      </c>
      <c r="X3" s="493">
        <v>1124490000000000</v>
      </c>
      <c r="Y3" s="493">
        <v>1109020000000000</v>
      </c>
      <c r="Z3" s="493">
        <v>1100190000000000</v>
      </c>
      <c r="AA3" s="493">
        <v>1091350000000000</v>
      </c>
      <c r="AB3" s="493">
        <v>1078090000000000</v>
      </c>
      <c r="AC3" s="493">
        <v>1064840000000000</v>
      </c>
      <c r="AD3" s="493">
        <v>1044960000000000</v>
      </c>
      <c r="AE3" s="493">
        <v>1022860000000000</v>
      </c>
      <c r="AF3" s="493">
        <v>1005190000000000</v>
      </c>
      <c r="AG3" s="493">
        <v>985308000000000</v>
      </c>
      <c r="AH3" s="493">
        <v>961007000000000</v>
      </c>
      <c r="AI3" s="493">
        <v>938915000000000</v>
      </c>
      <c r="AJ3" s="493">
        <v>914613000000000</v>
      </c>
      <c r="AK3" s="493">
        <v>888103000000000</v>
      </c>
      <c r="AL3" s="493">
        <v>863801000000000</v>
      </c>
      <c r="AM3" s="493">
        <v>837291000000000</v>
      </c>
      <c r="AN3" s="493">
        <v>808571000000000</v>
      </c>
      <c r="AO3" s="493">
        <v>782061000000000</v>
      </c>
      <c r="AP3" s="493">
        <v>753341000000000</v>
      </c>
      <c r="AQ3" s="493">
        <v>724621000000000</v>
      </c>
    </row>
    <row r="4" spans="1:43">
      <c r="A4" t="s">
        <v>4597</v>
      </c>
      <c r="B4" s="493">
        <v>371918000000000</v>
      </c>
      <c r="C4" s="493">
        <v>387069000000000</v>
      </c>
      <c r="D4" s="493">
        <v>398297000000000</v>
      </c>
      <c r="E4" s="493">
        <v>422321000000000</v>
      </c>
      <c r="F4" s="493">
        <v>434856000000000</v>
      </c>
      <c r="G4" s="493">
        <v>452252000000000</v>
      </c>
      <c r="H4" s="493">
        <v>464154000000000</v>
      </c>
      <c r="I4" s="493">
        <v>479030000000000</v>
      </c>
      <c r="J4" s="493">
        <v>487956000000000</v>
      </c>
      <c r="K4" s="493">
        <v>499858000000000</v>
      </c>
      <c r="L4" s="493">
        <v>505808000000000</v>
      </c>
      <c r="M4" s="493">
        <v>517710000000000</v>
      </c>
      <c r="N4" s="493">
        <v>508784000000000</v>
      </c>
      <c r="O4" s="493">
        <v>517710000000000</v>
      </c>
      <c r="P4" s="493">
        <v>523660000000000</v>
      </c>
      <c r="Q4" s="493">
        <v>532587000000000</v>
      </c>
      <c r="R4" s="493">
        <v>538537000000000</v>
      </c>
      <c r="S4" s="493">
        <v>547463000000000</v>
      </c>
      <c r="T4" s="493">
        <v>556389000000000</v>
      </c>
      <c r="U4" s="493">
        <v>565315000000000</v>
      </c>
      <c r="V4" s="493">
        <v>577217000000000</v>
      </c>
      <c r="W4" s="493">
        <v>589118000000000</v>
      </c>
      <c r="X4" s="493">
        <v>592093000000000</v>
      </c>
      <c r="Y4" s="493">
        <v>586143000000000</v>
      </c>
      <c r="Z4" s="493">
        <v>586143000000000</v>
      </c>
      <c r="AA4" s="493">
        <v>583167000000000</v>
      </c>
      <c r="AB4" s="493">
        <v>577217000000000</v>
      </c>
      <c r="AC4" s="493">
        <v>568291000000000</v>
      </c>
      <c r="AD4" s="493">
        <v>553414000000000</v>
      </c>
      <c r="AE4" s="493">
        <v>541513000000000</v>
      </c>
      <c r="AF4" s="493">
        <v>523660000000000</v>
      </c>
      <c r="AG4" s="493">
        <v>502833000000000</v>
      </c>
      <c r="AH4" s="493">
        <v>482006000000000</v>
      </c>
      <c r="AI4" s="493">
        <v>458203000000000</v>
      </c>
      <c r="AJ4" s="493">
        <v>434400000000000</v>
      </c>
      <c r="AK4" s="493">
        <v>410597000000000</v>
      </c>
      <c r="AL4" s="493">
        <v>386795000000000</v>
      </c>
      <c r="AM4" s="493">
        <v>360017000000000</v>
      </c>
      <c r="AN4" s="493">
        <v>336214000000000</v>
      </c>
      <c r="AO4" s="493">
        <v>309436000000000</v>
      </c>
      <c r="AP4" s="493">
        <v>286228000000000</v>
      </c>
      <c r="AQ4" s="493">
        <v>262128000000000</v>
      </c>
    </row>
    <row r="5" spans="1:43">
      <c r="A5" t="s">
        <v>4598</v>
      </c>
      <c r="B5">
        <v>0</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row>
    <row r="6" spans="1:43">
      <c r="A6" t="s">
        <v>4599</v>
      </c>
      <c r="B6" s="493">
        <v>16610800000000</v>
      </c>
      <c r="C6" s="493">
        <v>17281200000000</v>
      </c>
      <c r="D6" s="493">
        <v>17780400000000</v>
      </c>
      <c r="E6" s="493">
        <v>18844000000000</v>
      </c>
      <c r="F6" s="493">
        <v>19333600000000</v>
      </c>
      <c r="G6" s="493">
        <v>19445200000000</v>
      </c>
      <c r="H6" s="493">
        <v>19906600000000</v>
      </c>
      <c r="I6" s="493">
        <v>20499800000000</v>
      </c>
      <c r="J6" s="493">
        <v>20829400000000</v>
      </c>
      <c r="K6" s="493">
        <v>21356700000000</v>
      </c>
      <c r="L6" s="493">
        <v>21620400000000</v>
      </c>
      <c r="M6" s="493">
        <v>22081800000000</v>
      </c>
      <c r="N6" s="493">
        <v>21224900000000</v>
      </c>
      <c r="O6" s="493">
        <v>21027100000000</v>
      </c>
      <c r="P6" s="493">
        <v>20763500000000</v>
      </c>
      <c r="Q6" s="493">
        <v>20565700000000</v>
      </c>
      <c r="R6" s="493">
        <v>20302100000000</v>
      </c>
      <c r="S6" s="493">
        <v>20038400000000</v>
      </c>
      <c r="T6" s="493">
        <v>19313300000000</v>
      </c>
      <c r="U6" s="493">
        <v>19115600000000</v>
      </c>
      <c r="V6" s="493">
        <v>18851900000000</v>
      </c>
      <c r="W6" s="493">
        <v>18588300000000</v>
      </c>
      <c r="X6" s="493">
        <v>18258700000000</v>
      </c>
      <c r="Y6" s="493">
        <v>17863200000000</v>
      </c>
      <c r="Z6" s="493">
        <v>17533600000000</v>
      </c>
      <c r="AA6" s="493">
        <v>17204000000000</v>
      </c>
      <c r="AB6" s="493">
        <v>16808500000000</v>
      </c>
      <c r="AC6" s="493">
        <v>16478900000000</v>
      </c>
      <c r="AD6" s="493">
        <v>16017500000000</v>
      </c>
      <c r="AE6" s="493">
        <v>15226500000000</v>
      </c>
      <c r="AF6" s="493">
        <v>14831100000000</v>
      </c>
      <c r="AG6" s="493">
        <v>14435600000000</v>
      </c>
      <c r="AH6" s="493">
        <v>13908200000000</v>
      </c>
      <c r="AI6" s="493">
        <v>13446800000000</v>
      </c>
      <c r="AJ6" s="493">
        <v>12919500000000</v>
      </c>
      <c r="AK6" s="493">
        <v>12392200000000</v>
      </c>
      <c r="AL6" s="493">
        <v>11798900000000</v>
      </c>
      <c r="AM6" s="493">
        <v>11271600000000</v>
      </c>
      <c r="AN6" s="493">
        <v>10744300000000</v>
      </c>
      <c r="AO6" s="493">
        <v>10216900000000</v>
      </c>
      <c r="AP6" s="493">
        <v>9755540000000</v>
      </c>
      <c r="AQ6" s="493">
        <v>9228210000000</v>
      </c>
    </row>
    <row r="7" spans="1:43">
      <c r="A7" t="s">
        <v>4600</v>
      </c>
      <c r="B7">
        <v>0</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row>
    <row r="8" spans="1:43">
      <c r="A8" t="s">
        <v>4601</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row>
    <row r="9" spans="1:43">
      <c r="A9" t="s">
        <v>4602</v>
      </c>
      <c r="B9" s="493">
        <v>614051000000000</v>
      </c>
      <c r="C9" s="493">
        <v>639659000000000</v>
      </c>
      <c r="D9" s="493">
        <v>659056000000000</v>
      </c>
      <c r="E9" s="493">
        <v>698153000000000</v>
      </c>
      <c r="F9" s="493">
        <v>716659000000000</v>
      </c>
      <c r="G9" s="493">
        <v>720758000000000</v>
      </c>
      <c r="H9" s="493">
        <v>737249000000000</v>
      </c>
      <c r="I9" s="493">
        <v>758590000000000</v>
      </c>
      <c r="J9" s="493">
        <v>772171000000000</v>
      </c>
      <c r="K9" s="493">
        <v>791572000000000</v>
      </c>
      <c r="L9" s="493">
        <v>801273000000000</v>
      </c>
      <c r="M9" s="493">
        <v>818734000000000</v>
      </c>
      <c r="N9" s="493">
        <v>786722000000000</v>
      </c>
      <c r="O9" s="493">
        <v>778961000000000</v>
      </c>
      <c r="P9" s="493">
        <v>768291000000000</v>
      </c>
      <c r="Q9" s="493">
        <v>761500000000000</v>
      </c>
      <c r="R9" s="493">
        <v>751800000000000</v>
      </c>
      <c r="S9" s="493">
        <v>741129000000000</v>
      </c>
      <c r="T9" s="493">
        <v>713967000000000</v>
      </c>
      <c r="U9" s="493">
        <v>706207000000000</v>
      </c>
      <c r="V9" s="493">
        <v>698446000000000</v>
      </c>
      <c r="W9" s="493">
        <v>688745000000000</v>
      </c>
      <c r="X9" s="493">
        <v>677105000000000</v>
      </c>
      <c r="Y9" s="493">
        <v>661584000000000</v>
      </c>
      <c r="Z9" s="493">
        <v>648973000000000</v>
      </c>
      <c r="AA9" s="493">
        <v>636362000000000</v>
      </c>
      <c r="AB9" s="493">
        <v>622781000000000</v>
      </c>
      <c r="AC9" s="493">
        <v>610170000000000</v>
      </c>
      <c r="AD9" s="493">
        <v>592709000000000</v>
      </c>
      <c r="AE9" s="493">
        <v>563607000000000</v>
      </c>
      <c r="AF9" s="493">
        <v>549056000000000</v>
      </c>
      <c r="AG9" s="493">
        <v>535475000000000</v>
      </c>
      <c r="AH9" s="493">
        <v>515104000000000</v>
      </c>
      <c r="AI9" s="493">
        <v>496673000000000</v>
      </c>
      <c r="AJ9" s="493">
        <v>477271000000000</v>
      </c>
      <c r="AK9" s="493">
        <v>457870000000000</v>
      </c>
      <c r="AL9" s="493">
        <v>438469000000000</v>
      </c>
      <c r="AM9" s="493">
        <v>418098000000000</v>
      </c>
      <c r="AN9" s="493">
        <v>398696000000000</v>
      </c>
      <c r="AO9" s="493">
        <v>379295000000000</v>
      </c>
      <c r="AP9" s="493">
        <v>359894000000000</v>
      </c>
      <c r="AQ9" s="493">
        <v>341463000000000</v>
      </c>
    </row>
    <row r="10" spans="1:43">
      <c r="A10" t="s">
        <v>4603</v>
      </c>
      <c r="B10" s="493">
        <v>2025820000000000</v>
      </c>
      <c r="C10" s="493">
        <v>2183190000000000</v>
      </c>
      <c r="D10" s="493">
        <v>2304170000000000</v>
      </c>
      <c r="E10" s="493">
        <v>2497160000000000</v>
      </c>
      <c r="F10" s="493">
        <v>2619050000000000</v>
      </c>
      <c r="G10" s="493">
        <v>2725320000000000</v>
      </c>
      <c r="H10" s="493">
        <v>2834330000000000</v>
      </c>
      <c r="I10" s="493">
        <v>2961510000000000</v>
      </c>
      <c r="J10" s="493">
        <v>3052350000000000</v>
      </c>
      <c r="K10" s="493">
        <v>3152280000000000</v>
      </c>
      <c r="L10" s="493">
        <v>3215870000000000</v>
      </c>
      <c r="M10" s="493">
        <v>3297630000000000</v>
      </c>
      <c r="N10" s="493">
        <v>3252210000000000</v>
      </c>
      <c r="O10" s="493">
        <v>3297630000000000</v>
      </c>
      <c r="P10" s="493">
        <v>3324890000000000</v>
      </c>
      <c r="Q10" s="493">
        <v>3379390000000000</v>
      </c>
      <c r="R10" s="493">
        <v>3415730000000000</v>
      </c>
      <c r="S10" s="493">
        <v>3442980000000000</v>
      </c>
      <c r="T10" s="493">
        <v>3452070000000000</v>
      </c>
      <c r="U10" s="493">
        <v>3506570000000000</v>
      </c>
      <c r="V10" s="493">
        <v>3570160000000000</v>
      </c>
      <c r="W10" s="493">
        <v>3624670000000000</v>
      </c>
      <c r="X10" s="493">
        <v>3642840000000000</v>
      </c>
      <c r="Y10" s="493">
        <v>3633750000000000</v>
      </c>
      <c r="Z10" s="493">
        <v>3633750000000000</v>
      </c>
      <c r="AA10" s="493">
        <v>3633750000000000</v>
      </c>
      <c r="AB10" s="493">
        <v>3615590000000000</v>
      </c>
      <c r="AC10" s="493">
        <v>3579250000000000</v>
      </c>
      <c r="AD10" s="493">
        <v>3524740000000000</v>
      </c>
      <c r="AE10" s="493">
        <v>3415730000000000</v>
      </c>
      <c r="AF10" s="493">
        <v>3343050000000000</v>
      </c>
      <c r="AG10" s="493">
        <v>3252210000000000</v>
      </c>
      <c r="AH10" s="493">
        <v>3143200000000000</v>
      </c>
      <c r="AI10" s="493">
        <v>3034190000000000</v>
      </c>
      <c r="AJ10" s="493">
        <v>2907000000000000</v>
      </c>
      <c r="AK10" s="493">
        <v>2779820000000000</v>
      </c>
      <c r="AL10" s="493">
        <v>2643560000000000</v>
      </c>
      <c r="AM10" s="493">
        <v>2507290000000000</v>
      </c>
      <c r="AN10" s="493">
        <v>2361940000000000</v>
      </c>
      <c r="AO10" s="493">
        <v>2216590000000000</v>
      </c>
      <c r="AP10" s="493">
        <v>2071240000000000</v>
      </c>
      <c r="AQ10" s="493">
        <v>1925890000000000</v>
      </c>
    </row>
    <row r="11" spans="1:43">
      <c r="A11" t="s">
        <v>4604</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DD15C-752E-4117-8B53-90F66B1F8CD3}">
  <sheetPr codeName="Sheet4">
    <tabColor rgb="FFFFFF00"/>
  </sheetPr>
  <dimension ref="A1:M273"/>
  <sheetViews>
    <sheetView zoomScale="115" zoomScaleNormal="115" workbookViewId="0">
      <pane ySplit="1" topLeftCell="A2" activePane="bottomLeft" state="frozen"/>
      <selection pane="bottomLeft"/>
    </sheetView>
  </sheetViews>
  <sheetFormatPr baseColWidth="10" defaultColWidth="8.83203125" defaultRowHeight="15"/>
  <cols>
    <col min="1" max="1" width="65.6640625" customWidth="1"/>
    <col min="2" max="7" width="13.1640625" customWidth="1"/>
    <col min="8" max="8" width="13.33203125" style="15" customWidth="1"/>
    <col min="9" max="9" width="21.33203125" style="15" customWidth="1"/>
    <col min="10" max="10" width="72.6640625" customWidth="1"/>
    <col min="12" max="12" width="11.6640625" customWidth="1"/>
    <col min="13" max="13" width="55.33203125" customWidth="1"/>
  </cols>
  <sheetData>
    <row r="1" spans="1:13" s="3" customFormat="1" ht="30" customHeight="1">
      <c r="A1" s="1" t="s">
        <v>65</v>
      </c>
      <c r="B1" s="458" t="s">
        <v>4750</v>
      </c>
      <c r="C1" s="458" t="s">
        <v>5449</v>
      </c>
      <c r="D1" s="458" t="s">
        <v>4751</v>
      </c>
      <c r="E1" s="458" t="s">
        <v>4752</v>
      </c>
      <c r="F1" s="458" t="s">
        <v>5643</v>
      </c>
      <c r="G1" s="458" t="s">
        <v>5517</v>
      </c>
      <c r="H1" s="451" t="s">
        <v>41</v>
      </c>
      <c r="I1" s="451" t="s">
        <v>67</v>
      </c>
      <c r="J1" s="1" t="s">
        <v>48</v>
      </c>
    </row>
    <row r="2" spans="1:13">
      <c r="L2" s="1" t="s">
        <v>5481</v>
      </c>
      <c r="M2" s="2"/>
    </row>
    <row r="3" spans="1:13">
      <c r="A3" s="463" t="s">
        <v>68</v>
      </c>
      <c r="B3" s="464"/>
      <c r="C3" s="464"/>
      <c r="D3" s="464"/>
      <c r="E3" s="464"/>
      <c r="F3" s="464"/>
      <c r="G3" s="464"/>
      <c r="H3" s="473"/>
      <c r="I3" s="473"/>
      <c r="J3" s="464"/>
      <c r="L3" s="1732" t="s">
        <v>5482</v>
      </c>
      <c r="M3" t="s">
        <v>70</v>
      </c>
    </row>
    <row r="4" spans="1:13">
      <c r="L4" s="23" t="s">
        <v>5519</v>
      </c>
      <c r="M4" t="s">
        <v>4882</v>
      </c>
    </row>
    <row r="5" spans="1:13" ht="16">
      <c r="A5" s="12" t="s">
        <v>69</v>
      </c>
      <c r="B5" s="457">
        <f>IF('Scenario Controls'!$B$7="Yes",SUM('Region-Specific Data'!$M$3:$M$4),'Region-Specific Data'!$M$3)</f>
        <v>3.6496440259232461</v>
      </c>
      <c r="C5" s="457">
        <f>IF('Scenario Controls'!$B$7="Yes",SUM('Region-Specific Data'!$M$3:$M$4),'Region-Specific Data'!$M$3)</f>
        <v>3.6496440259232461</v>
      </c>
      <c r="D5" s="457">
        <f>IF('Scenario Controls'!$B$7="Yes",SUM('Region-Specific Data'!$M$3:$M$4),'Region-Specific Data'!$M$3)</f>
        <v>3.6496440259232461</v>
      </c>
      <c r="E5" s="457">
        <f>IF('Scenario Controls'!$B$7="Yes",SUM('Region-Specific Data'!$M$3:$M$4),'Region-Specific Data'!$M$3)</f>
        <v>3.6496440259232461</v>
      </c>
      <c r="F5" s="457">
        <f>IF('Scenario Controls'!$B$7="Yes",SUM('Region-Specific Data'!$M$3:$M$4),'Region-Specific Data'!$M$3)</f>
        <v>3.6496440259232461</v>
      </c>
      <c r="G5" s="457">
        <f>IF('Scenario Controls'!$B$7="Yes",SUM('Region-Specific Data'!$M$3:$M$4),'Region-Specific Data'!$M$3)</f>
        <v>3.6496440259232461</v>
      </c>
      <c r="H5" s="15" t="s">
        <v>43</v>
      </c>
      <c r="I5" s="15" t="s">
        <v>70</v>
      </c>
      <c r="J5" t="s">
        <v>71</v>
      </c>
      <c r="L5" s="1981" t="s">
        <v>5484</v>
      </c>
      <c r="M5" t="s">
        <v>4881</v>
      </c>
    </row>
    <row r="6" spans="1:13" ht="16">
      <c r="A6" s="12" t="s">
        <v>72</v>
      </c>
      <c r="B6" s="457">
        <f>IF('Scenario Controls'!$B$7="Yes",SUM('Region-Specific Data'!$M$7:$M$8),'Region-Specific Data'!$M$7)</f>
        <v>15.913442060430881</v>
      </c>
      <c r="C6" s="457">
        <f>IF('Scenario Controls'!$B$7="Yes",SUM('Region-Specific Data'!$M$7:$M$8),'Region-Specific Data'!$M$7)</f>
        <v>15.913442060430881</v>
      </c>
      <c r="D6" s="457">
        <f>IF('Scenario Controls'!$B$7="Yes",SUM('Region-Specific Data'!$M$7:$M$8),'Region-Specific Data'!$M$7)</f>
        <v>15.913442060430881</v>
      </c>
      <c r="E6" s="457">
        <f>IF('Scenario Controls'!$B$7="Yes",SUM('Region-Specific Data'!$M$7:$M$8),'Region-Specific Data'!$M$7)</f>
        <v>15.913442060430881</v>
      </c>
      <c r="F6" s="457">
        <f>IF('Scenario Controls'!$B$7="Yes",SUM('Region-Specific Data'!$M$7:$M$8),'Region-Specific Data'!$M$7)</f>
        <v>15.913442060430881</v>
      </c>
      <c r="G6" s="457">
        <f>IF('Scenario Controls'!$B$7="Yes",SUM('Region-Specific Data'!$M$7:$M$8),'Region-Specific Data'!$M$7)</f>
        <v>15.913442060430881</v>
      </c>
      <c r="H6" s="15" t="s">
        <v>43</v>
      </c>
      <c r="I6" s="15" t="s">
        <v>73</v>
      </c>
      <c r="J6" t="s">
        <v>71</v>
      </c>
      <c r="L6" s="1987" t="s">
        <v>5520</v>
      </c>
      <c r="M6" t="s">
        <v>75</v>
      </c>
    </row>
    <row r="7" spans="1:13" ht="16">
      <c r="A7" s="12" t="s">
        <v>74</v>
      </c>
      <c r="B7" s="457">
        <f>IF('Scenario Controls'!$B$7="Yes",SUM('Region-Specific Data'!$M$10:$M$11),'Region-Specific Data'!$M$10)</f>
        <v>1.2294838162586879</v>
      </c>
      <c r="C7" s="457">
        <f>IF('Scenario Controls'!$B$7="Yes",SUM('Region-Specific Data'!$M$10:$M$11),'Region-Specific Data'!$M$10)</f>
        <v>1.2294838162586879</v>
      </c>
      <c r="D7" s="457">
        <f>IF('Scenario Controls'!$B$7="Yes",SUM('Region-Specific Data'!$M$10:$M$11),'Region-Specific Data'!$M$10)</f>
        <v>1.2294838162586879</v>
      </c>
      <c r="E7" s="457">
        <f>IF('Scenario Controls'!$B$7="Yes",SUM('Region-Specific Data'!$M$10:$M$11),'Region-Specific Data'!$M$10)</f>
        <v>1.2294838162586879</v>
      </c>
      <c r="F7" s="457">
        <f>IF('Scenario Controls'!$B$7="Yes",SUM('Region-Specific Data'!$M$10:$M$11),'Region-Specific Data'!$M$10)</f>
        <v>1.2294838162586879</v>
      </c>
      <c r="G7" s="457">
        <f>IF('Scenario Controls'!$B$7="Yes",SUM('Region-Specific Data'!$M$10:$M$11),'Region-Specific Data'!$M$10)</f>
        <v>1.2294838162586879</v>
      </c>
      <c r="H7" s="15" t="s">
        <v>43</v>
      </c>
      <c r="I7" s="15" t="s">
        <v>75</v>
      </c>
      <c r="J7" t="s">
        <v>71</v>
      </c>
      <c r="L7" s="1983" t="s">
        <v>5511</v>
      </c>
      <c r="M7" t="s">
        <v>5512</v>
      </c>
    </row>
    <row r="8" spans="1:13" ht="16">
      <c r="A8" s="12" t="s">
        <v>5509</v>
      </c>
      <c r="B8" s="457">
        <f>IF('Scenario Controls'!$B$7="Yes",SUM('Region-Specific Data'!$M$14:$M$15),'Region-Specific Data'!$M$14)</f>
        <v>0</v>
      </c>
      <c r="C8" s="457">
        <f>IF('Scenario Controls'!$B$7="Yes",SUM('Region-Specific Data'!$M$14:$M$15),'Region-Specific Data'!$M$14)</f>
        <v>0</v>
      </c>
      <c r="D8" s="457">
        <f>IF('Scenario Controls'!$B$7="Yes",SUM('Region-Specific Data'!$M$14:$M$15),'Region-Specific Data'!$M$14)</f>
        <v>0</v>
      </c>
      <c r="E8" s="457">
        <f>IF('Scenario Controls'!$B$7="Yes",SUM('Region-Specific Data'!$M$14:$M$15),'Region-Specific Data'!$M$14)</f>
        <v>0</v>
      </c>
      <c r="F8" s="457">
        <f>IF('Scenario Controls'!$B$7="Yes",SUM('Region-Specific Data'!$M$14:$M$15),'Region-Specific Data'!$M$14)</f>
        <v>0</v>
      </c>
      <c r="G8" s="457">
        <f>IF('Scenario Controls'!$B$7="Yes",SUM('Region-Specific Data'!$M$14:$M$15),'Region-Specific Data'!$M$14)</f>
        <v>0</v>
      </c>
      <c r="H8" s="15" t="s">
        <v>43</v>
      </c>
      <c r="I8" s="15" t="s">
        <v>5510</v>
      </c>
      <c r="J8" t="s">
        <v>71</v>
      </c>
      <c r="L8" s="9" t="s">
        <v>5483</v>
      </c>
      <c r="M8" t="s">
        <v>37</v>
      </c>
    </row>
    <row r="9" spans="1:13" ht="16">
      <c r="A9" s="12" t="s">
        <v>76</v>
      </c>
      <c r="B9" s="455">
        <f>SUM('Region-Specific Data'!$M$17:$M$20)</f>
        <v>5.5906556891894539</v>
      </c>
      <c r="C9" s="455">
        <f>SUM('Region-Specific Data'!$M$17:$M$20)</f>
        <v>5.5906556891894539</v>
      </c>
      <c r="D9" s="455">
        <f>SUM('Region-Specific Data'!$M$17:$M$20)</f>
        <v>5.5906556891894539</v>
      </c>
      <c r="E9" s="455">
        <f>SUM('Region-Specific Data'!$M$17:$M$20)</f>
        <v>5.5906556891894539</v>
      </c>
      <c r="F9" s="455">
        <f>SUM('Region-Specific Data'!$M$17:$M$20)</f>
        <v>5.5906556891894539</v>
      </c>
      <c r="G9" s="455">
        <f>SUM('Region-Specific Data'!$M$17:$M$20)</f>
        <v>5.5906556891894539</v>
      </c>
      <c r="H9" s="15" t="s">
        <v>43</v>
      </c>
      <c r="I9" s="15" t="s">
        <v>73</v>
      </c>
      <c r="J9" t="s">
        <v>77</v>
      </c>
      <c r="L9" s="1982" t="s">
        <v>5485</v>
      </c>
      <c r="M9" t="s">
        <v>5486</v>
      </c>
    </row>
    <row r="10" spans="1:13" ht="16">
      <c r="A10" s="12" t="s">
        <v>5563</v>
      </c>
      <c r="B10" s="455">
        <f>'Region-Specific Data'!$M$22</f>
        <v>0.41103895133788992</v>
      </c>
      <c r="C10" s="455">
        <f>'Region-Specific Data'!$M$22</f>
        <v>0.41103895133788992</v>
      </c>
      <c r="D10" s="455">
        <f>'Region-Specific Data'!$M$22</f>
        <v>0.41103895133788992</v>
      </c>
      <c r="E10" s="455">
        <f>'Region-Specific Data'!$M$22</f>
        <v>0.41103895133788992</v>
      </c>
      <c r="F10" s="455">
        <f>'Region-Specific Data'!$M$22</f>
        <v>0.41103895133788992</v>
      </c>
      <c r="G10" s="455">
        <f>'Region-Specific Data'!$M$22</f>
        <v>0.41103895133788992</v>
      </c>
      <c r="H10" s="15" t="s">
        <v>43</v>
      </c>
      <c r="I10" s="15" t="s">
        <v>73</v>
      </c>
      <c r="L10" s="20" t="s">
        <v>5489</v>
      </c>
    </row>
    <row r="11" spans="1:13">
      <c r="L11" s="20" t="s">
        <v>5488</v>
      </c>
    </row>
    <row r="12" spans="1:13" ht="16">
      <c r="A12" s="12" t="s">
        <v>5539</v>
      </c>
      <c r="B12" s="11">
        <f>'Region-Specific Data'!$M$28</f>
        <v>49.384124335116034</v>
      </c>
      <c r="C12" s="11">
        <f>'Region-Specific Data'!$M$28</f>
        <v>49.384124335116034</v>
      </c>
      <c r="D12" s="11">
        <f>'Region-Specific Data'!$M$28</f>
        <v>49.384124335116034</v>
      </c>
      <c r="E12" s="11">
        <f>'Region-Specific Data'!$M$28</f>
        <v>49.384124335116034</v>
      </c>
      <c r="F12" s="11">
        <f>'Region-Specific Data'!$M$28</f>
        <v>49.384124335116034</v>
      </c>
      <c r="G12" s="11">
        <f>'Region-Specific Data'!$M$28</f>
        <v>49.384124335116034</v>
      </c>
      <c r="H12" s="15" t="s">
        <v>121</v>
      </c>
      <c r="I12" s="15" t="s">
        <v>122</v>
      </c>
      <c r="L12" s="20" t="s">
        <v>5487</v>
      </c>
    </row>
    <row r="13" spans="1:13" ht="16">
      <c r="A13" s="12" t="s">
        <v>5543</v>
      </c>
      <c r="B13" s="11">
        <f>'Region-Specific Data'!$M$29</f>
        <v>68.413910865068146</v>
      </c>
      <c r="C13" s="11">
        <f>'Region-Specific Data'!$M$29</f>
        <v>68.413910865068146</v>
      </c>
      <c r="D13" s="11">
        <f>'Region-Specific Data'!$M$29</f>
        <v>68.413910865068146</v>
      </c>
      <c r="E13" s="11">
        <f>'Region-Specific Data'!$M$29</f>
        <v>68.413910865068146</v>
      </c>
      <c r="F13" s="11">
        <f>'Region-Specific Data'!$M$29</f>
        <v>68.413910865068146</v>
      </c>
      <c r="G13" s="11">
        <f>'Region-Specific Data'!$M$29</f>
        <v>68.413910865068146</v>
      </c>
      <c r="H13" s="15" t="s">
        <v>121</v>
      </c>
      <c r="I13" s="15" t="s">
        <v>122</v>
      </c>
      <c r="L13" s="20"/>
    </row>
    <row r="14" spans="1:13" ht="16">
      <c r="A14" s="12" t="s">
        <v>5544</v>
      </c>
      <c r="B14" s="11">
        <f>'Region-Specific Data'!$M$30</f>
        <v>49.52734834967977</v>
      </c>
      <c r="C14" s="11">
        <f>'Region-Specific Data'!$M$30</f>
        <v>49.52734834967977</v>
      </c>
      <c r="D14" s="11">
        <f>'Region-Specific Data'!$M$30</f>
        <v>49.52734834967977</v>
      </c>
      <c r="E14" s="11">
        <f>'Region-Specific Data'!$M$30</f>
        <v>49.52734834967977</v>
      </c>
      <c r="F14" s="11">
        <f>'Region-Specific Data'!$M$30</f>
        <v>49.52734834967977</v>
      </c>
      <c r="G14" s="11">
        <f>'Region-Specific Data'!$M$30</f>
        <v>49.52734834967977</v>
      </c>
      <c r="H14" s="15" t="s">
        <v>121</v>
      </c>
      <c r="I14" s="15" t="s">
        <v>122</v>
      </c>
      <c r="L14" s="20"/>
    </row>
    <row r="16" spans="1:13" ht="16">
      <c r="A16" s="467" t="s">
        <v>78</v>
      </c>
      <c r="B16" s="25"/>
      <c r="C16" s="25"/>
      <c r="D16" s="25"/>
      <c r="E16" s="25"/>
      <c r="F16" s="25"/>
      <c r="G16" s="25"/>
      <c r="H16" s="26"/>
      <c r="I16" s="26"/>
      <c r="J16" s="25"/>
    </row>
    <row r="18" spans="1:10">
      <c r="A18" t="s">
        <v>79</v>
      </c>
      <c r="B18" s="455">
        <f>B5*(1-'Scenario Controls'!$B$12)*(1-'Scenario Controls'!$B$13)</f>
        <v>3.6496440259232461</v>
      </c>
      <c r="C18" s="455">
        <f>C5*(1-'Scenario Controls'!$B$12)*(1-'Scenario Controls'!$B$13)</f>
        <v>3.6496440259232461</v>
      </c>
      <c r="D18" s="455">
        <f>D5*(1-'Scenario Controls'!$B$12)*(1-'Scenario Controls'!$B$13)</f>
        <v>3.6496440259232461</v>
      </c>
      <c r="E18" s="455">
        <f>E5*(1-'Scenario Controls'!$B$12)*(1-'Scenario Controls'!$B$13)</f>
        <v>3.6496440259232461</v>
      </c>
      <c r="F18" s="455">
        <f>F5*(1-'Scenario Controls'!$B$12)*(1-'Scenario Controls'!$B$13)</f>
        <v>3.6496440259232461</v>
      </c>
      <c r="G18" s="455">
        <f>G5*(1-'Scenario Controls'!$B$12)*(1-'Scenario Controls'!$B$13)</f>
        <v>3.6496440259232461</v>
      </c>
      <c r="H18" s="15" t="s">
        <v>43</v>
      </c>
      <c r="I18" s="15" t="s">
        <v>70</v>
      </c>
      <c r="J18" t="s">
        <v>80</v>
      </c>
    </row>
    <row r="19" spans="1:10">
      <c r="A19" t="s">
        <v>81</v>
      </c>
      <c r="B19" s="455">
        <f>B6*(1-'Scenario Controls'!$B$12)*(1-'Scenario Controls'!$B$13)</f>
        <v>15.913442060430881</v>
      </c>
      <c r="C19" s="455">
        <f>C6*(1-'Scenario Controls'!$B$12)*(1-'Scenario Controls'!$B$13)</f>
        <v>15.913442060430881</v>
      </c>
      <c r="D19" s="455">
        <f>D6*(1-'Scenario Controls'!$B$12)*(1-'Scenario Controls'!$B$13)</f>
        <v>15.913442060430881</v>
      </c>
      <c r="E19" s="455">
        <f>E6*(1-'Scenario Controls'!$B$12)*(1-'Scenario Controls'!$B$13)</f>
        <v>15.913442060430881</v>
      </c>
      <c r="F19" s="455">
        <f>F6*(1-'Scenario Controls'!$B$12)*(1-'Scenario Controls'!$B$13)</f>
        <v>15.913442060430881</v>
      </c>
      <c r="G19" s="455">
        <f>G6*(1-'Scenario Controls'!$B$12)*(1-'Scenario Controls'!$B$13)</f>
        <v>15.913442060430881</v>
      </c>
      <c r="H19" s="15" t="s">
        <v>43</v>
      </c>
      <c r="I19" s="15" t="s">
        <v>73</v>
      </c>
      <c r="J19" t="s">
        <v>5912</v>
      </c>
    </row>
    <row r="20" spans="1:10">
      <c r="A20" t="s">
        <v>82</v>
      </c>
      <c r="B20" s="455">
        <f>B7*(1-'Scenario Controls'!$B$12)*(1-'Scenario Controls'!$B$13)</f>
        <v>1.2294838162586879</v>
      </c>
      <c r="C20" s="455">
        <f>C7*(1-'Scenario Controls'!$B$12)*(1-'Scenario Controls'!$B$13)</f>
        <v>1.2294838162586879</v>
      </c>
      <c r="D20" s="455">
        <f>D7*(1-'Scenario Controls'!$B$12)*(1-'Scenario Controls'!$B$13)</f>
        <v>1.2294838162586879</v>
      </c>
      <c r="E20" s="455">
        <f>E7*(1-'Scenario Controls'!$B$12)*(1-'Scenario Controls'!$B$13)</f>
        <v>1.2294838162586879</v>
      </c>
      <c r="F20" s="455">
        <f>F7*(1-'Scenario Controls'!$B$12)*(1-'Scenario Controls'!$B$13)</f>
        <v>1.2294838162586879</v>
      </c>
      <c r="G20" s="455">
        <f>G7*(1-'Scenario Controls'!$B$12)*(1-'Scenario Controls'!$B$13)</f>
        <v>1.2294838162586879</v>
      </c>
      <c r="H20" s="15" t="s">
        <v>43</v>
      </c>
      <c r="I20" s="15" t="s">
        <v>75</v>
      </c>
      <c r="J20" t="s">
        <v>83</v>
      </c>
    </row>
    <row r="21" spans="1:10">
      <c r="A21" t="s">
        <v>5513</v>
      </c>
      <c r="B21" s="455">
        <f>B8*(1-'Scenario Controls'!$B$12)*(1-'Scenario Controls'!$B$13)</f>
        <v>0</v>
      </c>
      <c r="C21" s="455">
        <f>C8*(1-'Scenario Controls'!$B$12)*(1-'Scenario Controls'!$B$13)</f>
        <v>0</v>
      </c>
      <c r="D21" s="455">
        <f>D8*(1-'Scenario Controls'!$B$12)*(1-'Scenario Controls'!$B$13)</f>
        <v>0</v>
      </c>
      <c r="E21" s="455">
        <f>E8*(1-'Scenario Controls'!$B$12)*(1-'Scenario Controls'!$B$13)</f>
        <v>0</v>
      </c>
      <c r="F21" s="455">
        <f>F8*(1-'Scenario Controls'!$B$12)*(1-'Scenario Controls'!$B$13)</f>
        <v>0</v>
      </c>
      <c r="G21" s="455">
        <f>G8*(1-'Scenario Controls'!$B$12)*(1-'Scenario Controls'!$B$13)</f>
        <v>0</v>
      </c>
      <c r="H21" s="15" t="s">
        <v>43</v>
      </c>
      <c r="I21" s="15" t="s">
        <v>5510</v>
      </c>
      <c r="J21" t="s">
        <v>5514</v>
      </c>
    </row>
    <row r="22" spans="1:10">
      <c r="A22" t="s">
        <v>84</v>
      </c>
      <c r="B22" s="455">
        <f>B9*(1-'Scenario Controls'!$B$13)</f>
        <v>5.5906556891894539</v>
      </c>
      <c r="C22" s="455">
        <f>C9*(1-'Scenario Controls'!$B$13)</f>
        <v>5.5906556891894539</v>
      </c>
      <c r="D22" s="455">
        <f>D9*(1-'Scenario Controls'!$B$13)</f>
        <v>5.5906556891894539</v>
      </c>
      <c r="E22" s="455">
        <f>E9*(1-'Scenario Controls'!$B$13)</f>
        <v>5.5906556891894539</v>
      </c>
      <c r="F22" s="455">
        <f>F9*(1-'Scenario Controls'!$B$13)</f>
        <v>5.5906556891894539</v>
      </c>
      <c r="G22" s="455">
        <f>G9*(1-'Scenario Controls'!$B$13)</f>
        <v>5.5906556891894539</v>
      </c>
      <c r="H22" s="15" t="s">
        <v>43</v>
      </c>
      <c r="I22" s="15" t="s">
        <v>73</v>
      </c>
      <c r="J22" t="s">
        <v>85</v>
      </c>
    </row>
    <row r="23" spans="1:10" ht="16">
      <c r="A23" s="12" t="s">
        <v>5564</v>
      </c>
      <c r="B23" s="455">
        <f>B10*(1-'Scenario Controls'!$B$13)</f>
        <v>0.41103895133788992</v>
      </c>
      <c r="C23" s="455">
        <f>C10*(1-'Scenario Controls'!$B$13)</f>
        <v>0.41103895133788992</v>
      </c>
      <c r="D23" s="455">
        <f>D10*(1-'Scenario Controls'!$B$13)</f>
        <v>0.41103895133788992</v>
      </c>
      <c r="E23" s="455">
        <f>E10*(1-'Scenario Controls'!$B$13)</f>
        <v>0.41103895133788992</v>
      </c>
      <c r="F23" s="455">
        <f>F10*(1-'Scenario Controls'!$B$13)</f>
        <v>0.41103895133788992</v>
      </c>
      <c r="G23" s="455">
        <f>G10*(1-'Scenario Controls'!$B$13)</f>
        <v>0.41103895133788992</v>
      </c>
      <c r="H23" s="15" t="s">
        <v>43</v>
      </c>
      <c r="I23" s="15" t="s">
        <v>73</v>
      </c>
      <c r="J23" t="s">
        <v>5642</v>
      </c>
    </row>
    <row r="25" spans="1:10" ht="16">
      <c r="A25" s="12" t="s">
        <v>5540</v>
      </c>
      <c r="B25" s="11">
        <f>B12*(1-'Scenario Controls'!$B$13)</f>
        <v>49.384124335116034</v>
      </c>
      <c r="C25" s="11">
        <f>C12*(1-'Scenario Controls'!$B$13)</f>
        <v>49.384124335116034</v>
      </c>
      <c r="D25" s="11">
        <f>D12*(1-'Scenario Controls'!$B$13)</f>
        <v>49.384124335116034</v>
      </c>
      <c r="E25" s="11">
        <f>E12*(1-'Scenario Controls'!$B$13)</f>
        <v>49.384124335116034</v>
      </c>
      <c r="F25" s="11">
        <f>F12*(1-'Scenario Controls'!$B$13)</f>
        <v>49.384124335116034</v>
      </c>
      <c r="G25" s="11">
        <f>G12*(1-'Scenario Controls'!$B$13)</f>
        <v>49.384124335116034</v>
      </c>
      <c r="H25" s="15" t="s">
        <v>121</v>
      </c>
      <c r="I25" s="15" t="s">
        <v>122</v>
      </c>
      <c r="J25" t="s">
        <v>5541</v>
      </c>
    </row>
    <row r="26" spans="1:10" ht="16">
      <c r="A26" s="12" t="s">
        <v>5545</v>
      </c>
      <c r="B26" s="11">
        <f>B13*(1-'Scenario Controls'!$B$13)</f>
        <v>68.413910865068146</v>
      </c>
      <c r="C26" s="11">
        <f>C13*(1-'Scenario Controls'!$B$13)</f>
        <v>68.413910865068146</v>
      </c>
      <c r="D26" s="11">
        <f>D13*(1-'Scenario Controls'!$B$13)</f>
        <v>68.413910865068146</v>
      </c>
      <c r="E26" s="11">
        <f>E13*(1-'Scenario Controls'!$B$13)</f>
        <v>68.413910865068146</v>
      </c>
      <c r="F26" s="11">
        <f>F13*(1-'Scenario Controls'!$B$13)</f>
        <v>68.413910865068146</v>
      </c>
      <c r="G26" s="11">
        <f>G13*(1-'Scenario Controls'!$B$13)</f>
        <v>68.413910865068146</v>
      </c>
      <c r="H26" s="15" t="s">
        <v>121</v>
      </c>
      <c r="I26" s="15" t="s">
        <v>122</v>
      </c>
      <c r="J26" t="s">
        <v>5541</v>
      </c>
    </row>
    <row r="27" spans="1:10" ht="16">
      <c r="A27" s="12" t="s">
        <v>5546</v>
      </c>
      <c r="B27" s="11">
        <f>B14*(1-'Scenario Controls'!$B$13)</f>
        <v>49.52734834967977</v>
      </c>
      <c r="C27" s="11">
        <f>C14*(1-'Scenario Controls'!$B$13)</f>
        <v>49.52734834967977</v>
      </c>
      <c r="D27" s="11">
        <f>D14*(1-'Scenario Controls'!$B$13)</f>
        <v>49.52734834967977</v>
      </c>
      <c r="E27" s="11">
        <f>E14*(1-'Scenario Controls'!$B$13)</f>
        <v>49.52734834967977</v>
      </c>
      <c r="F27" s="11">
        <f>F14*(1-'Scenario Controls'!$B$13)</f>
        <v>49.52734834967977</v>
      </c>
      <c r="G27" s="11">
        <f>G14*(1-'Scenario Controls'!$B$13)</f>
        <v>49.52734834967977</v>
      </c>
      <c r="H27" s="15" t="s">
        <v>121</v>
      </c>
      <c r="I27" s="15" t="s">
        <v>122</v>
      </c>
      <c r="J27" t="s">
        <v>5541</v>
      </c>
    </row>
    <row r="29" spans="1:10" ht="16">
      <c r="A29" s="467" t="s">
        <v>5654</v>
      </c>
      <c r="B29" s="25"/>
      <c r="C29" s="25"/>
      <c r="D29" s="25"/>
      <c r="E29" s="25"/>
      <c r="F29" s="25"/>
      <c r="G29" s="25"/>
      <c r="H29" s="26"/>
      <c r="I29" s="26"/>
      <c r="J29" s="25"/>
    </row>
    <row r="31" spans="1:10">
      <c r="A31" t="s">
        <v>5913</v>
      </c>
      <c r="B31" s="455">
        <f>B19+IF('Scenario Controls'!$B$8="yes",B20,0)+IF('Scenario Controls'!$B$9="Yes",B21,0)</f>
        <v>15.913442060430881</v>
      </c>
      <c r="C31" s="455">
        <f>C19+IF('Scenario Controls'!$B$8="yes",C20,0)+IF('Scenario Controls'!$B$9="Yes",C21,0)</f>
        <v>15.913442060430881</v>
      </c>
      <c r="D31" s="455">
        <f>D19+IF('Scenario Controls'!$B$8="yes",D20,0)+IF('Scenario Controls'!$B$9="Yes",D21,0)</f>
        <v>15.913442060430881</v>
      </c>
      <c r="E31" s="455">
        <f>E19+IF('Scenario Controls'!$B$8="yes",E20,0)+IF('Scenario Controls'!$B$9="Yes",E21,0)</f>
        <v>15.913442060430881</v>
      </c>
      <c r="F31" s="455">
        <f>F19+IF('Scenario Controls'!$B$8="yes",F20,0)+IF('Scenario Controls'!$B$9="Yes",F21,0)</f>
        <v>15.913442060430881</v>
      </c>
      <c r="G31" s="455">
        <f>G19+IF('Scenario Controls'!$B$8="yes",G20,0)+IF('Scenario Controls'!$B$9="Yes",G21,0)</f>
        <v>15.913442060430881</v>
      </c>
      <c r="H31" s="15" t="s">
        <v>43</v>
      </c>
      <c r="I31" s="15" t="s">
        <v>5914</v>
      </c>
      <c r="J31" t="s">
        <v>5515</v>
      </c>
    </row>
    <row r="33" spans="1:10">
      <c r="A33" s="463" t="s">
        <v>86</v>
      </c>
      <c r="B33" s="464"/>
      <c r="C33" s="464"/>
      <c r="D33" s="464"/>
      <c r="E33" s="464"/>
      <c r="F33" s="464"/>
      <c r="G33" s="464"/>
      <c r="H33" s="473"/>
      <c r="I33" s="473"/>
      <c r="J33" s="464"/>
    </row>
    <row r="35" spans="1:10">
      <c r="A35" s="24" t="s">
        <v>5915</v>
      </c>
      <c r="B35" s="25"/>
      <c r="C35" s="25"/>
      <c r="D35" s="25"/>
      <c r="E35" s="25"/>
      <c r="F35" s="25"/>
      <c r="G35" s="25"/>
      <c r="H35" s="26"/>
      <c r="I35" s="26"/>
      <c r="J35" s="25"/>
    </row>
    <row r="37" spans="1:10">
      <c r="A37" t="s">
        <v>5916</v>
      </c>
      <c r="B37" s="455">
        <f>B$31*'Region-Specific Data'!$M$24</f>
        <v>1.365939217889524</v>
      </c>
      <c r="C37" s="455">
        <f>C$31*'Region-Specific Data'!$M$24</f>
        <v>1.365939217889524</v>
      </c>
      <c r="D37" s="455">
        <f>D$31*'Region-Specific Data'!$M$24</f>
        <v>1.365939217889524</v>
      </c>
      <c r="E37" s="455">
        <f>E$31*'Region-Specific Data'!$M$24</f>
        <v>1.365939217889524</v>
      </c>
      <c r="F37" s="455">
        <f>F$31*'Region-Specific Data'!$M$24</f>
        <v>1.365939217889524</v>
      </c>
      <c r="G37" s="455">
        <f>G$31*'Region-Specific Data'!$M$24</f>
        <v>1.365939217889524</v>
      </c>
      <c r="H37" s="15" t="s">
        <v>43</v>
      </c>
      <c r="I37" s="15" t="s">
        <v>5914</v>
      </c>
    </row>
    <row r="38" spans="1:10">
      <c r="A38" t="s">
        <v>5917</v>
      </c>
      <c r="B38" s="455">
        <f>B$31*'Region-Specific Data'!$M$25</f>
        <v>4.0389020428567184</v>
      </c>
      <c r="C38" s="455">
        <f>C$31*'Region-Specific Data'!$M$25</f>
        <v>4.0389020428567184</v>
      </c>
      <c r="D38" s="455">
        <f>D$31*'Region-Specific Data'!$M$25</f>
        <v>4.0389020428567184</v>
      </c>
      <c r="E38" s="455">
        <f>E$31*'Region-Specific Data'!$M$25</f>
        <v>4.0389020428567184</v>
      </c>
      <c r="F38" s="455">
        <f>F$31*'Region-Specific Data'!$M$25</f>
        <v>4.0389020428567184</v>
      </c>
      <c r="G38" s="455">
        <f>G$31*'Region-Specific Data'!$M$25</f>
        <v>4.0389020428567184</v>
      </c>
      <c r="H38" s="15" t="s">
        <v>43</v>
      </c>
      <c r="I38" s="15" t="s">
        <v>5914</v>
      </c>
    </row>
    <row r="39" spans="1:10">
      <c r="A39" t="s">
        <v>5918</v>
      </c>
      <c r="B39" s="455">
        <f>B$31*'Region-Specific Data'!$M$26</f>
        <v>10.50860079968464</v>
      </c>
      <c r="C39" s="455">
        <f>C$31*'Region-Specific Data'!$M$26</f>
        <v>10.50860079968464</v>
      </c>
      <c r="D39" s="455">
        <f>D$31*'Region-Specific Data'!$M$26</f>
        <v>10.50860079968464</v>
      </c>
      <c r="E39" s="455">
        <f>E$31*'Region-Specific Data'!$M$26</f>
        <v>10.50860079968464</v>
      </c>
      <c r="F39" s="455">
        <f>F$31*'Region-Specific Data'!$M$26</f>
        <v>10.50860079968464</v>
      </c>
      <c r="G39" s="455">
        <f>G$31*'Region-Specific Data'!$M$26</f>
        <v>10.50860079968464</v>
      </c>
      <c r="H39" s="15" t="s">
        <v>43</v>
      </c>
      <c r="I39" s="15" t="s">
        <v>5914</v>
      </c>
    </row>
    <row r="41" spans="1:10">
      <c r="A41" s="24" t="s">
        <v>87</v>
      </c>
      <c r="B41" s="25"/>
      <c r="C41" s="25"/>
      <c r="D41" s="25"/>
      <c r="E41" s="25"/>
      <c r="F41" s="25"/>
      <c r="G41" s="25"/>
      <c r="H41" s="26"/>
      <c r="I41" s="26"/>
      <c r="J41" s="25"/>
    </row>
    <row r="43" spans="1:10">
      <c r="A43" t="s">
        <v>88</v>
      </c>
      <c r="B43" s="455">
        <f>B18</f>
        <v>3.6496440259232461</v>
      </c>
      <c r="C43" s="455">
        <f t="shared" ref="C43:G43" si="0">C18</f>
        <v>3.6496440259232461</v>
      </c>
      <c r="D43" s="455">
        <f t="shared" si="0"/>
        <v>3.6496440259232461</v>
      </c>
      <c r="E43" s="455">
        <f t="shared" si="0"/>
        <v>3.6496440259232461</v>
      </c>
      <c r="F43" s="455">
        <f t="shared" si="0"/>
        <v>3.6496440259232461</v>
      </c>
      <c r="G43" s="455">
        <f t="shared" si="0"/>
        <v>3.6496440259232461</v>
      </c>
      <c r="H43" s="15" t="s">
        <v>43</v>
      </c>
      <c r="I43" s="15" t="s">
        <v>70</v>
      </c>
    </row>
    <row r="44" spans="1:10">
      <c r="A44" t="s">
        <v>5919</v>
      </c>
      <c r="B44" s="455">
        <f>B37*'Scenario Controls'!B$17*(1-'Region-Independent Data'!$B$13)</f>
        <v>0.7070744186722242</v>
      </c>
      <c r="C44" s="455">
        <f>C37*'Scenario Controls'!C$17*(1-'Region-Independent Data'!$B$13)</f>
        <v>0.7070744186722242</v>
      </c>
      <c r="D44" s="455">
        <f>D37*'Scenario Controls'!D$17*(1-'Region-Independent Data'!$B$13)</f>
        <v>0.7070744186722242</v>
      </c>
      <c r="E44" s="455">
        <f>E37*'Scenario Controls'!E$17*(1-'Region-Independent Data'!$B$13)</f>
        <v>0.7070744186722242</v>
      </c>
      <c r="F44" s="455">
        <f>F37*'Scenario Controls'!F$17*(1-'Region-Independent Data'!$B$13)</f>
        <v>0.7070744186722242</v>
      </c>
      <c r="G44" s="455">
        <f>G37*'Scenario Controls'!G$17*(1-'Region-Independent Data'!$B$13)</f>
        <v>0</v>
      </c>
      <c r="H44" s="15" t="s">
        <v>43</v>
      </c>
      <c r="I44" s="15" t="s">
        <v>70</v>
      </c>
    </row>
    <row r="45" spans="1:10">
      <c r="A45" t="s">
        <v>89</v>
      </c>
      <c r="B45" s="455">
        <f>B38*'Scenario Controls'!B$21*(1-'Region-Independent Data'!$B$14)</f>
        <v>1.0635775379522696</v>
      </c>
      <c r="C45" s="455">
        <f>C38*'Scenario Controls'!C$21*(1-'Region-Independent Data'!$B$14)</f>
        <v>0.71259695042802063</v>
      </c>
      <c r="D45" s="455">
        <f>D38*'Scenario Controls'!D$21*(1-'Region-Independent Data'!$B$14)</f>
        <v>0.53178876897613481</v>
      </c>
      <c r="E45" s="455">
        <f>E38*'Scenario Controls'!E$21*(1-'Region-Independent Data'!$B$14)</f>
        <v>0.53178876897613481</v>
      </c>
      <c r="F45" s="455">
        <f>F38*'Scenario Controls'!F$21*(1-'Region-Independent Data'!$B$14)</f>
        <v>0.2658943844880674</v>
      </c>
      <c r="G45" s="455">
        <f>G38*'Scenario Controls'!G$21*(1-'Region-Independent Data'!$B$14)</f>
        <v>0</v>
      </c>
      <c r="H45" s="15" t="s">
        <v>43</v>
      </c>
      <c r="I45" s="15" t="s">
        <v>70</v>
      </c>
    </row>
    <row r="46" spans="1:10">
      <c r="A46" t="s">
        <v>90</v>
      </c>
      <c r="B46" s="455">
        <f>B39*'Scenario Controls'!B$28*(1-'Region-Independent Data'!$B$15)</f>
        <v>7.1900952839947534</v>
      </c>
      <c r="C46" s="455">
        <f>C39*'Scenario Controls'!C$28*(1-'Region-Independent Data'!$B$15)</f>
        <v>0</v>
      </c>
      <c r="D46" s="455">
        <f>D39*'Scenario Controls'!D$28*(1-'Region-Independent Data'!$B$15)</f>
        <v>0</v>
      </c>
      <c r="E46" s="455">
        <f>E39*'Scenario Controls'!E$28*(1-'Region-Independent Data'!$B$15)</f>
        <v>0</v>
      </c>
      <c r="F46" s="455">
        <f>F39*'Scenario Controls'!F$28*(1-'Region-Independent Data'!$B$15)</f>
        <v>1.7975238209986883</v>
      </c>
      <c r="G46" s="455">
        <f>G39*'Scenario Controls'!G$28*(1-'Region-Independent Data'!$B$15)</f>
        <v>0</v>
      </c>
      <c r="H46" s="15" t="s">
        <v>43</v>
      </c>
      <c r="I46" s="15" t="s">
        <v>70</v>
      </c>
    </row>
    <row r="47" spans="1:10">
      <c r="A47" t="s">
        <v>91</v>
      </c>
      <c r="B47" s="470">
        <f>SUM(B43:B46)</f>
        <v>12.610391266542493</v>
      </c>
      <c r="C47" s="470">
        <f t="shared" ref="C47:G47" si="1">SUM(C43:C46)</f>
        <v>5.0693153950234908</v>
      </c>
      <c r="D47" s="470">
        <f t="shared" si="1"/>
        <v>4.8885072135716054</v>
      </c>
      <c r="E47" s="470">
        <f t="shared" si="1"/>
        <v>4.8885072135716054</v>
      </c>
      <c r="F47" s="470">
        <f t="shared" si="1"/>
        <v>6.4201366500822266</v>
      </c>
      <c r="G47" s="470">
        <f t="shared" si="1"/>
        <v>3.6496440259232461</v>
      </c>
      <c r="H47" s="15" t="s">
        <v>43</v>
      </c>
      <c r="I47" s="15" t="s">
        <v>70</v>
      </c>
    </row>
    <row r="49" spans="1:10">
      <c r="A49" s="24" t="s">
        <v>4871</v>
      </c>
      <c r="B49" s="25"/>
      <c r="C49" s="25"/>
      <c r="D49" s="25"/>
      <c r="E49" s="25"/>
      <c r="F49" s="25"/>
      <c r="G49" s="25"/>
      <c r="H49" s="26"/>
      <c r="I49" s="26"/>
      <c r="J49" s="25"/>
    </row>
    <row r="51" spans="1:10">
      <c r="A51" t="s">
        <v>92</v>
      </c>
      <c r="B51" s="455">
        <f>B38*'Scenario Controls'!B22</f>
        <v>0</v>
      </c>
      <c r="C51" s="455">
        <f>C38*'Scenario Controls'!C22</f>
        <v>1.332837674142717</v>
      </c>
      <c r="D51" s="455">
        <f>D38*'Scenario Controls'!D22</f>
        <v>0</v>
      </c>
      <c r="E51" s="455">
        <f>E38*'Scenario Controls'!E22</f>
        <v>0</v>
      </c>
      <c r="F51" s="455">
        <f>F38*'Scenario Controls'!F22</f>
        <v>1.0097255107141796</v>
      </c>
      <c r="G51" s="455">
        <f>G38*'Scenario Controls'!G22</f>
        <v>0</v>
      </c>
      <c r="H51" s="15" t="s">
        <v>43</v>
      </c>
      <c r="I51" s="15" t="s">
        <v>93</v>
      </c>
    </row>
    <row r="52" spans="1:10">
      <c r="A52" t="s">
        <v>94</v>
      </c>
      <c r="B52" s="455">
        <f>B39*'Scenario Controls'!B29</f>
        <v>0</v>
      </c>
      <c r="C52" s="455">
        <f>C39*'Scenario Controls'!C29</f>
        <v>10.50860079968464</v>
      </c>
      <c r="D52" s="455">
        <f>D39*'Scenario Controls'!D29</f>
        <v>0</v>
      </c>
      <c r="E52" s="455">
        <f>E39*'Scenario Controls'!E29</f>
        <v>0</v>
      </c>
      <c r="F52" s="455">
        <f>F39*'Scenario Controls'!F29</f>
        <v>2.6271501999211599</v>
      </c>
      <c r="G52" s="455">
        <f>G39*'Scenario Controls'!G29</f>
        <v>0</v>
      </c>
      <c r="H52" s="15" t="s">
        <v>43</v>
      </c>
      <c r="I52" s="15" t="s">
        <v>93</v>
      </c>
    </row>
    <row r="53" spans="1:10">
      <c r="A53" t="s">
        <v>95</v>
      </c>
      <c r="B53" s="469">
        <f>SUM(B51:B52)</f>
        <v>0</v>
      </c>
      <c r="C53" s="469">
        <f t="shared" ref="C53:G53" si="2">SUM(C51:C52)</f>
        <v>11.841438473827356</v>
      </c>
      <c r="D53" s="469">
        <f t="shared" si="2"/>
        <v>0</v>
      </c>
      <c r="E53" s="469">
        <f t="shared" si="2"/>
        <v>0</v>
      </c>
      <c r="F53" s="469">
        <f t="shared" si="2"/>
        <v>3.6368757106353398</v>
      </c>
      <c r="G53" s="469">
        <f t="shared" si="2"/>
        <v>0</v>
      </c>
      <c r="H53" s="15" t="s">
        <v>43</v>
      </c>
      <c r="I53" s="15" t="s">
        <v>93</v>
      </c>
    </row>
    <row r="55" spans="1:10">
      <c r="A55" s="24" t="s">
        <v>96</v>
      </c>
      <c r="B55" s="25"/>
      <c r="C55" s="25"/>
      <c r="D55" s="25"/>
      <c r="E55" s="25"/>
      <c r="F55" s="25"/>
      <c r="G55" s="25"/>
      <c r="H55" s="26"/>
      <c r="I55" s="26"/>
      <c r="J55" s="25"/>
    </row>
    <row r="57" spans="1:10">
      <c r="A57" t="s">
        <v>97</v>
      </c>
      <c r="B57" s="455">
        <f>IF('Scenario Controls'!$B$8="Yes",0,B20)</f>
        <v>1.2294838162586879</v>
      </c>
      <c r="C57" s="455">
        <f>IF('Scenario Controls'!$B$8="Yes",0,C20)</f>
        <v>1.2294838162586879</v>
      </c>
      <c r="D57" s="455">
        <f>IF('Scenario Controls'!$B$8="Yes",0,D20)</f>
        <v>1.2294838162586879</v>
      </c>
      <c r="E57" s="455">
        <f>IF('Scenario Controls'!$B$8="Yes",0,E20)</f>
        <v>1.2294838162586879</v>
      </c>
      <c r="F57" s="455">
        <f>IF('Scenario Controls'!$B$8="Yes",0,F20)</f>
        <v>1.2294838162586879</v>
      </c>
      <c r="G57" s="455">
        <f>IF('Scenario Controls'!$B$8="Yes",0,G20)</f>
        <v>1.2294838162586879</v>
      </c>
      <c r="H57" s="15" t="s">
        <v>43</v>
      </c>
      <c r="I57" s="15" t="s">
        <v>75</v>
      </c>
      <c r="J57" t="s">
        <v>5920</v>
      </c>
    </row>
    <row r="58" spans="1:10">
      <c r="A58" t="s">
        <v>98</v>
      </c>
      <c r="B58" s="455">
        <f>B38*'Scenario Controls'!B24</f>
        <v>0</v>
      </c>
      <c r="C58" s="455">
        <f>C38*'Scenario Controls'!C24</f>
        <v>0</v>
      </c>
      <c r="D58" s="455">
        <f>D38*'Scenario Controls'!D24</f>
        <v>2.0194510214283592</v>
      </c>
      <c r="E58" s="455">
        <f>E38*'Scenario Controls'!E24</f>
        <v>0</v>
      </c>
      <c r="F58" s="455">
        <f>F38*'Scenario Controls'!F24</f>
        <v>1.0097255107141796</v>
      </c>
      <c r="G58" s="455">
        <f>G38*'Scenario Controls'!G24</f>
        <v>0</v>
      </c>
      <c r="H58" s="15" t="s">
        <v>43</v>
      </c>
      <c r="I58" s="15" t="s">
        <v>75</v>
      </c>
    </row>
    <row r="59" spans="1:10">
      <c r="A59" t="s">
        <v>99</v>
      </c>
      <c r="B59" s="455">
        <f>B39*'Scenario Controls'!B31</f>
        <v>0</v>
      </c>
      <c r="C59" s="455">
        <f>C39*'Scenario Controls'!C31</f>
        <v>0</v>
      </c>
      <c r="D59" s="455">
        <f>D39*'Scenario Controls'!D31</f>
        <v>10.50860079968464</v>
      </c>
      <c r="E59" s="455">
        <f>E39*'Scenario Controls'!E31</f>
        <v>0</v>
      </c>
      <c r="F59" s="455">
        <f>F39*'Scenario Controls'!F31</f>
        <v>2.6271501999211599</v>
      </c>
      <c r="G59" s="455">
        <f>G39*'Scenario Controls'!G31</f>
        <v>0</v>
      </c>
      <c r="H59" s="15" t="s">
        <v>43</v>
      </c>
      <c r="I59" s="15" t="s">
        <v>75</v>
      </c>
    </row>
    <row r="60" spans="1:10">
      <c r="A60" t="s">
        <v>100</v>
      </c>
      <c r="B60" s="1988">
        <f>SUM(B57:B59)</f>
        <v>1.2294838162586879</v>
      </c>
      <c r="C60" s="1988">
        <f t="shared" ref="C60:G60" si="3">SUM(C57:C59)</f>
        <v>1.2294838162586879</v>
      </c>
      <c r="D60" s="1988">
        <f t="shared" si="3"/>
        <v>13.757535637371687</v>
      </c>
      <c r="E60" s="1988">
        <f t="shared" si="3"/>
        <v>1.2294838162586879</v>
      </c>
      <c r="F60" s="1988">
        <f t="shared" si="3"/>
        <v>4.8663595268940272</v>
      </c>
      <c r="G60" s="1988">
        <f t="shared" si="3"/>
        <v>1.2294838162586879</v>
      </c>
      <c r="H60" s="15" t="s">
        <v>43</v>
      </c>
      <c r="I60" s="15" t="s">
        <v>75</v>
      </c>
    </row>
    <row r="62" spans="1:10">
      <c r="A62" s="24" t="s">
        <v>101</v>
      </c>
      <c r="B62" s="25"/>
      <c r="C62" s="25"/>
      <c r="D62" s="25"/>
      <c r="E62" s="25"/>
      <c r="F62" s="25"/>
      <c r="G62" s="25"/>
      <c r="H62" s="26"/>
      <c r="I62" s="26"/>
      <c r="J62" s="25"/>
    </row>
    <row r="64" spans="1:10">
      <c r="A64" t="s">
        <v>102</v>
      </c>
      <c r="B64" s="455">
        <f>B38*'Scenario Controls'!B23</f>
        <v>0</v>
      </c>
      <c r="C64" s="455">
        <f>C38*'Scenario Controls'!C23</f>
        <v>0</v>
      </c>
      <c r="D64" s="455">
        <f>D38*'Scenario Controls'!D23</f>
        <v>0</v>
      </c>
      <c r="E64" s="455">
        <f>E38*'Scenario Controls'!E23</f>
        <v>2.0194510214283592</v>
      </c>
      <c r="F64" s="455">
        <f>F38*'Scenario Controls'!F23</f>
        <v>1.0097255107141796</v>
      </c>
      <c r="G64" s="455">
        <f>G38*'Scenario Controls'!G23</f>
        <v>0</v>
      </c>
      <c r="H64" s="15" t="s">
        <v>43</v>
      </c>
      <c r="I64" s="15" t="s">
        <v>73</v>
      </c>
      <c r="J64" t="s">
        <v>103</v>
      </c>
    </row>
    <row r="65" spans="1:10">
      <c r="A65" t="s">
        <v>104</v>
      </c>
      <c r="B65" s="455">
        <f>B39*'Scenario Controls'!B30</f>
        <v>0</v>
      </c>
      <c r="C65" s="455">
        <f>C39*'Scenario Controls'!C30</f>
        <v>0</v>
      </c>
      <c r="D65" s="455">
        <f>D39*'Scenario Controls'!D30</f>
        <v>0</v>
      </c>
      <c r="E65" s="455">
        <f>E39*'Scenario Controls'!E30</f>
        <v>10.50860079968464</v>
      </c>
      <c r="F65" s="455">
        <f>F39*'Scenario Controls'!F30</f>
        <v>2.6271501999211599</v>
      </c>
      <c r="G65" s="455">
        <f>G39*'Scenario Controls'!G30</f>
        <v>0</v>
      </c>
      <c r="H65" s="15" t="s">
        <v>43</v>
      </c>
      <c r="I65" s="15" t="s">
        <v>73</v>
      </c>
      <c r="J65" t="s">
        <v>103</v>
      </c>
    </row>
    <row r="66" spans="1:10">
      <c r="A66" t="s">
        <v>105</v>
      </c>
      <c r="B66" s="455">
        <f>SUM(B64:B65)*'Region-Independent Data'!$B$17</f>
        <v>0</v>
      </c>
      <c r="C66" s="455">
        <f>SUM(C64:C65)*'Region-Independent Data'!$B$17</f>
        <v>0</v>
      </c>
      <c r="D66" s="455">
        <f>SUM(D64:D65)*'Region-Independent Data'!$B$17</f>
        <v>0</v>
      </c>
      <c r="E66" s="455">
        <f>SUM(E64:E65)*'Region-Independent Data'!$B$17</f>
        <v>2.5056103642226</v>
      </c>
      <c r="F66" s="455">
        <f>SUM(F64:F65)*'Region-Independent Data'!$B$17</f>
        <v>0.727375142127068</v>
      </c>
      <c r="G66" s="455">
        <f>SUM(G64:G65)*'Region-Independent Data'!$B$17</f>
        <v>0</v>
      </c>
      <c r="H66" s="15" t="s">
        <v>43</v>
      </c>
      <c r="I66" s="15" t="s">
        <v>73</v>
      </c>
    </row>
    <row r="67" spans="1:10">
      <c r="A67" t="s">
        <v>106</v>
      </c>
      <c r="B67" s="471">
        <f>SUM(B64:B66)</f>
        <v>0</v>
      </c>
      <c r="C67" s="471">
        <f t="shared" ref="C67:G67" si="4">SUM(C64:C66)</f>
        <v>0</v>
      </c>
      <c r="D67" s="471">
        <f t="shared" si="4"/>
        <v>0</v>
      </c>
      <c r="E67" s="471">
        <f t="shared" si="4"/>
        <v>15.033662185335599</v>
      </c>
      <c r="F67" s="471">
        <f t="shared" si="4"/>
        <v>4.3642508527624075</v>
      </c>
      <c r="G67" s="471">
        <f t="shared" si="4"/>
        <v>0</v>
      </c>
      <c r="H67" s="15" t="s">
        <v>43</v>
      </c>
      <c r="I67" s="15" t="s">
        <v>73</v>
      </c>
    </row>
    <row r="69" spans="1:10">
      <c r="A69" s="24" t="s">
        <v>107</v>
      </c>
      <c r="B69" s="25"/>
      <c r="C69" s="25"/>
      <c r="D69" s="25"/>
      <c r="E69" s="25"/>
      <c r="F69" s="25"/>
      <c r="G69" s="25"/>
      <c r="H69" s="26"/>
      <c r="I69" s="26"/>
      <c r="J69" s="25"/>
    </row>
    <row r="71" spans="1:10">
      <c r="A71" t="s">
        <v>5921</v>
      </c>
      <c r="B71" s="459">
        <f>B19/B31</f>
        <v>1</v>
      </c>
      <c r="C71" s="459">
        <f t="shared" ref="C71:G71" si="5">C19/C31</f>
        <v>1</v>
      </c>
      <c r="D71" s="459">
        <f t="shared" si="5"/>
        <v>1</v>
      </c>
      <c r="E71" s="459">
        <f t="shared" si="5"/>
        <v>1</v>
      </c>
      <c r="F71" s="459">
        <f t="shared" si="5"/>
        <v>1</v>
      </c>
      <c r="G71" s="459">
        <f t="shared" si="5"/>
        <v>1</v>
      </c>
      <c r="H71" s="15" t="s">
        <v>61</v>
      </c>
      <c r="I71" s="15" t="s">
        <v>73</v>
      </c>
    </row>
    <row r="72" spans="1:10">
      <c r="A72" t="s">
        <v>108</v>
      </c>
      <c r="B72" s="455">
        <f>B37*'Scenario Controls'!B18*B$71</f>
        <v>0</v>
      </c>
      <c r="C72" s="455">
        <f>C37*'Scenario Controls'!C18*C$71</f>
        <v>0</v>
      </c>
      <c r="D72" s="455">
        <f>D37*'Scenario Controls'!D18*D$71</f>
        <v>0</v>
      </c>
      <c r="E72" s="455">
        <f>E37*'Scenario Controls'!E18*E$71</f>
        <v>0</v>
      </c>
      <c r="F72" s="455">
        <f>F37*'Scenario Controls'!F18*F$71</f>
        <v>0</v>
      </c>
      <c r="G72" s="455">
        <f>G37*'Scenario Controls'!G18*G$71</f>
        <v>1.365939217889524</v>
      </c>
      <c r="H72" s="15" t="s">
        <v>43</v>
      </c>
      <c r="I72" s="15" t="s">
        <v>73</v>
      </c>
    </row>
    <row r="73" spans="1:10">
      <c r="A73" t="s">
        <v>109</v>
      </c>
      <c r="B73" s="455">
        <f>B38*'Scenario Controls'!B25*B$71</f>
        <v>0</v>
      </c>
      <c r="C73" s="455">
        <f>C38*'Scenario Controls'!C25*C$71</f>
        <v>0</v>
      </c>
      <c r="D73" s="455">
        <f>D38*'Scenario Controls'!D25*D$71</f>
        <v>0</v>
      </c>
      <c r="E73" s="455">
        <f>E38*'Scenario Controls'!E25*E$71</f>
        <v>0</v>
      </c>
      <c r="F73" s="455">
        <f>F38*'Scenario Controls'!F25*F$71</f>
        <v>0</v>
      </c>
      <c r="G73" s="455">
        <f>G38*'Scenario Controls'!G25*G$71</f>
        <v>4.0389020428567184</v>
      </c>
      <c r="H73" s="15" t="s">
        <v>43</v>
      </c>
      <c r="I73" s="15" t="s">
        <v>73</v>
      </c>
    </row>
    <row r="74" spans="1:10">
      <c r="A74" t="s">
        <v>110</v>
      </c>
      <c r="B74" s="455">
        <f>B39*'Scenario Controls'!B32*B$71</f>
        <v>0</v>
      </c>
      <c r="C74" s="455">
        <f>C39*'Scenario Controls'!C32*C$71</f>
        <v>0</v>
      </c>
      <c r="D74" s="455">
        <f>D39*'Scenario Controls'!D32*D$71</f>
        <v>0</v>
      </c>
      <c r="E74" s="455">
        <f>E39*'Scenario Controls'!E32*E$71</f>
        <v>0</v>
      </c>
      <c r="F74" s="455">
        <f>F39*'Scenario Controls'!F32*F$71</f>
        <v>0</v>
      </c>
      <c r="G74" s="455">
        <f>G39*'Scenario Controls'!G32*G$71</f>
        <v>10.50860079968464</v>
      </c>
      <c r="H74" s="15" t="s">
        <v>43</v>
      </c>
      <c r="I74" s="15" t="s">
        <v>73</v>
      </c>
    </row>
    <row r="75" spans="1:10">
      <c r="A75" t="s">
        <v>5655</v>
      </c>
      <c r="B75" s="455">
        <f>B20*('Scenario Controls'!B$18*(B$37/SUM(B$37:B$39))+'Scenario Controls'!B$25*B$38/SUM(B$37:B$39)+'Scenario Controls'!B$32*B$39/SUM(B$37:B$39))</f>
        <v>0</v>
      </c>
      <c r="C75" s="455">
        <f>C20*('Scenario Controls'!C$18*(C$37/SUM(C$37:C$39))+'Scenario Controls'!C$25*C$38/SUM(C$37:C$39)+'Scenario Controls'!C$32*C$39/SUM(C$37:C$39))</f>
        <v>0</v>
      </c>
      <c r="D75" s="455">
        <f>D20*('Scenario Controls'!D$18*(D$37/SUM(D$37:D$39))+'Scenario Controls'!D$25*D$38/SUM(D$37:D$39)+'Scenario Controls'!D$32*D$39/SUM(D$37:D$39))</f>
        <v>0</v>
      </c>
      <c r="E75" s="455">
        <f>E20*('Scenario Controls'!E$18*(E$37/SUM(E$37:E$39))+'Scenario Controls'!E$25*E$38/SUM(E$37:E$39)+'Scenario Controls'!E$32*E$39/SUM(E$37:E$39))</f>
        <v>0</v>
      </c>
      <c r="F75" s="455">
        <f>F20*('Scenario Controls'!F$18*(F$37/SUM(F$37:F$39))+'Scenario Controls'!F$25*F$38/SUM(F$37:F$39)+'Scenario Controls'!F$32*F$39/SUM(F$37:F$39))</f>
        <v>0</v>
      </c>
      <c r="G75" s="455">
        <f>IF('Scenario Controls'!$B$8="No",0,G20)*('Scenario Controls'!G$18*(G$37/SUM(G$37:G$39))+'Scenario Controls'!G$25*G$38/SUM(G$37:G$39)+'Scenario Controls'!G$32*G$39/SUM(G$37:G$39))</f>
        <v>0</v>
      </c>
      <c r="H75" s="15" t="s">
        <v>43</v>
      </c>
      <c r="I75" s="15" t="s">
        <v>73</v>
      </c>
      <c r="J75" t="s">
        <v>5657</v>
      </c>
    </row>
    <row r="76" spans="1:10">
      <c r="A76" t="s">
        <v>5656</v>
      </c>
      <c r="B76" s="455">
        <f>B21*('Scenario Controls'!B$18*(B$37/SUM(B$37:B$39))+'Scenario Controls'!B$25*B$38/SUM(B$37:B$39)+'Scenario Controls'!B$32*B$39/SUM(B$37:B$39))</f>
        <v>0</v>
      </c>
      <c r="C76" s="455">
        <f>C21*('Scenario Controls'!C$18*(C$37/SUM(C$37:C$39))+'Scenario Controls'!C$25*C$38/SUM(C$37:C$39)+'Scenario Controls'!C$32*C$39/SUM(C$37:C$39))</f>
        <v>0</v>
      </c>
      <c r="D76" s="455">
        <f>D21*('Scenario Controls'!D$18*(D$37/SUM(D$37:D$39))+'Scenario Controls'!D$25*D$38/SUM(D$37:D$39)+'Scenario Controls'!D$32*D$39/SUM(D$37:D$39))</f>
        <v>0</v>
      </c>
      <c r="E76" s="455">
        <f>E21*('Scenario Controls'!E$18*(E$37/SUM(E$37:E$39))+'Scenario Controls'!E$25*E$38/SUM(E$37:E$39)+'Scenario Controls'!E$32*E$39/SUM(E$37:E$39))</f>
        <v>0</v>
      </c>
      <c r="F76" s="455">
        <f>F21*('Scenario Controls'!F$18*(F$37/SUM(F$37:F$39))+'Scenario Controls'!F$25*F$38/SUM(F$37:F$39)+'Scenario Controls'!F$32*F$39/SUM(F$37:F$39))</f>
        <v>0</v>
      </c>
      <c r="G76" s="455">
        <f>IF('Scenario Controls'!$B$9="No",0,G21)*('Scenario Controls'!G$18*(G$37/SUM(G$37:G$39))+'Scenario Controls'!G$25*G$38/SUM(G$37:G$39)+'Scenario Controls'!G$32*G$39/SUM(G$37:G$39))</f>
        <v>0</v>
      </c>
      <c r="H76" s="15" t="s">
        <v>43</v>
      </c>
      <c r="I76" s="15" t="s">
        <v>73</v>
      </c>
      <c r="J76" t="s">
        <v>5658</v>
      </c>
    </row>
    <row r="77" spans="1:10">
      <c r="A77" t="s">
        <v>111</v>
      </c>
      <c r="B77" s="472">
        <f t="shared" ref="B77:F77" si="6">SUM(B72:B76)</f>
        <v>0</v>
      </c>
      <c r="C77" s="472">
        <f t="shared" si="6"/>
        <v>0</v>
      </c>
      <c r="D77" s="472">
        <f t="shared" si="6"/>
        <v>0</v>
      </c>
      <c r="E77" s="472">
        <f t="shared" si="6"/>
        <v>0</v>
      </c>
      <c r="F77" s="472">
        <f t="shared" si="6"/>
        <v>0</v>
      </c>
      <c r="G77" s="472">
        <f>SUM(G72:G76)</f>
        <v>15.913442060430881</v>
      </c>
      <c r="H77" s="15" t="s">
        <v>43</v>
      </c>
      <c r="I77" s="15" t="s">
        <v>73</v>
      </c>
    </row>
    <row r="79" spans="1:10">
      <c r="A79" s="463" t="s">
        <v>112</v>
      </c>
      <c r="B79" s="464"/>
      <c r="C79" s="464"/>
      <c r="D79" s="464"/>
      <c r="E79" s="464"/>
      <c r="F79" s="464"/>
      <c r="G79" s="464"/>
      <c r="H79" s="473"/>
      <c r="I79" s="473"/>
      <c r="J79" s="464"/>
    </row>
    <row r="81" spans="1:10">
      <c r="A81" s="24" t="s">
        <v>113</v>
      </c>
      <c r="B81" s="25"/>
      <c r="C81" s="25"/>
      <c r="D81" s="25"/>
      <c r="E81" s="25"/>
      <c r="F81" s="25"/>
      <c r="G81" s="25"/>
      <c r="H81" s="26"/>
      <c r="I81" s="26"/>
      <c r="J81" s="25"/>
    </row>
    <row r="83" spans="1:10">
      <c r="A83" t="s">
        <v>114</v>
      </c>
      <c r="B83" s="1988">
        <f>B22*'Scenario Controls'!B35</f>
        <v>2.5157950601352543</v>
      </c>
      <c r="C83" s="1988">
        <f>C22*'Scenario Controls'!C35</f>
        <v>0</v>
      </c>
      <c r="D83" s="1988">
        <f>D22*'Scenario Controls'!D35</f>
        <v>5.5906556891894539</v>
      </c>
      <c r="E83" s="1988">
        <f>E22*'Scenario Controls'!E35</f>
        <v>0</v>
      </c>
      <c r="F83" s="1988">
        <f>F22*'Scenario Controls'!F35</f>
        <v>1.9008229343244145</v>
      </c>
      <c r="G83" s="1988">
        <f>G22*'Scenario Controls'!G35</f>
        <v>0</v>
      </c>
      <c r="H83" s="15" t="s">
        <v>43</v>
      </c>
      <c r="I83" s="15" t="s">
        <v>75</v>
      </c>
      <c r="J83" t="s">
        <v>115</v>
      </c>
    </row>
    <row r="85" spans="1:10">
      <c r="A85" s="24" t="s">
        <v>4872</v>
      </c>
      <c r="B85" s="25"/>
      <c r="C85" s="25"/>
      <c r="D85" s="25"/>
      <c r="E85" s="25"/>
      <c r="F85" s="25"/>
      <c r="G85" s="25"/>
      <c r="H85" s="26"/>
      <c r="I85" s="26"/>
      <c r="J85" s="25"/>
    </row>
    <row r="87" spans="1:10">
      <c r="A87" t="s">
        <v>4879</v>
      </c>
      <c r="B87" s="469">
        <f>B22*'Scenario Controls'!B36</f>
        <v>3.0748606290542</v>
      </c>
      <c r="C87" s="469">
        <f>C22*'Scenario Controls'!C36</f>
        <v>5.5906556891894539</v>
      </c>
      <c r="D87" s="469">
        <f>D22*'Scenario Controls'!D36</f>
        <v>0</v>
      </c>
      <c r="E87" s="469">
        <f>E22*'Scenario Controls'!E36</f>
        <v>0</v>
      </c>
      <c r="F87" s="469">
        <f>F22*'Scenario Controls'!F36</f>
        <v>1.8449163774325199</v>
      </c>
      <c r="G87" s="469">
        <f>G22*'Scenario Controls'!G36</f>
        <v>0</v>
      </c>
      <c r="H87" s="15" t="s">
        <v>43</v>
      </c>
      <c r="I87" s="15" t="s">
        <v>4882</v>
      </c>
    </row>
    <row r="89" spans="1:10">
      <c r="A89" s="24" t="s">
        <v>4878</v>
      </c>
      <c r="B89" s="25"/>
      <c r="C89" s="25"/>
      <c r="D89" s="25"/>
      <c r="E89" s="25"/>
      <c r="F89" s="25"/>
      <c r="G89" s="25"/>
      <c r="H89" s="26"/>
      <c r="I89" s="26"/>
      <c r="J89" s="25"/>
    </row>
    <row r="91" spans="1:10">
      <c r="A91" t="s">
        <v>4880</v>
      </c>
      <c r="B91" s="1950">
        <f>B22*'Scenario Controls'!B37</f>
        <v>0</v>
      </c>
      <c r="C91" s="1950">
        <f>C22*'Scenario Controls'!C37</f>
        <v>0</v>
      </c>
      <c r="D91" s="1950">
        <f>D22*'Scenario Controls'!D37</f>
        <v>0</v>
      </c>
      <c r="E91" s="1950">
        <f>E22*'Scenario Controls'!E37</f>
        <v>5.5906556891894539</v>
      </c>
      <c r="F91" s="1950">
        <f>F22*'Scenario Controls'!F37</f>
        <v>1.8449163774325199</v>
      </c>
      <c r="G91" s="1950">
        <f>G22*'Scenario Controls'!G37</f>
        <v>0</v>
      </c>
      <c r="H91" s="15" t="s">
        <v>43</v>
      </c>
      <c r="I91" s="15" t="s">
        <v>4881</v>
      </c>
    </row>
    <row r="93" spans="1:10">
      <c r="A93" s="24" t="s">
        <v>116</v>
      </c>
      <c r="B93" s="25"/>
      <c r="C93" s="25"/>
      <c r="D93" s="25"/>
      <c r="E93" s="25"/>
      <c r="F93" s="25"/>
      <c r="G93" s="25"/>
      <c r="H93" s="26"/>
      <c r="I93" s="26"/>
      <c r="J93" s="25"/>
    </row>
    <row r="95" spans="1:10">
      <c r="A95" t="s">
        <v>117</v>
      </c>
      <c r="B95" s="472">
        <f>B22*'Scenario Controls'!B38</f>
        <v>0</v>
      </c>
      <c r="C95" s="472">
        <f>C22*'Scenario Controls'!C38</f>
        <v>0</v>
      </c>
      <c r="D95" s="472">
        <f>D22*'Scenario Controls'!D38</f>
        <v>0</v>
      </c>
      <c r="E95" s="472">
        <f>E22*'Scenario Controls'!E38</f>
        <v>0</v>
      </c>
      <c r="F95" s="472">
        <f>F22*'Scenario Controls'!F38</f>
        <v>0</v>
      </c>
      <c r="G95" s="472">
        <f>G22*'Scenario Controls'!G38</f>
        <v>5.5906556891894539</v>
      </c>
      <c r="H95" s="15" t="s">
        <v>43</v>
      </c>
      <c r="I95" s="15" t="s">
        <v>73</v>
      </c>
    </row>
    <row r="97" spans="1:10">
      <c r="A97" s="24" t="s">
        <v>118</v>
      </c>
      <c r="B97" s="25"/>
      <c r="C97" s="25"/>
      <c r="D97" s="25"/>
      <c r="E97" s="25"/>
      <c r="F97" s="25"/>
      <c r="G97" s="25"/>
      <c r="H97" s="26"/>
      <c r="I97" s="26"/>
      <c r="J97" s="25"/>
    </row>
    <row r="98" spans="1:10">
      <c r="A98" s="453" t="s">
        <v>119</v>
      </c>
    </row>
    <row r="100" spans="1:10">
      <c r="A100" t="s">
        <v>120</v>
      </c>
      <c r="B100" s="11">
        <f>SUMPRODUCT('Region-Independent Data'!$B$22:$B$25,'Region-Specific Data'!$M$17:$M$20)</f>
        <v>324.88864830779335</v>
      </c>
      <c r="C100" s="11">
        <f>SUMPRODUCT('Region-Independent Data'!$B$22:$B$25,'Region-Specific Data'!$M$17:$M$20)</f>
        <v>324.88864830779335</v>
      </c>
      <c r="D100" s="11">
        <f>SUMPRODUCT('Region-Independent Data'!$B$22:$B$25,'Region-Specific Data'!$M$17:$M$20)</f>
        <v>324.88864830779335</v>
      </c>
      <c r="E100" s="11">
        <f>SUMPRODUCT('Region-Independent Data'!$B$22:$B$25,'Region-Specific Data'!$M$17:$M$20)</f>
        <v>324.88864830779335</v>
      </c>
      <c r="F100" s="11">
        <f>SUMPRODUCT('Region-Independent Data'!$B$22:$B$25,'Region-Specific Data'!$M$17:$M$20)</f>
        <v>324.88864830779335</v>
      </c>
      <c r="G100" s="11">
        <f>SUMPRODUCT('Region-Independent Data'!$B$22:$B$25,'Region-Specific Data'!$M$17:$M$20)</f>
        <v>324.88864830779335</v>
      </c>
      <c r="H100" s="15" t="s">
        <v>121</v>
      </c>
      <c r="I100" s="15" t="s">
        <v>122</v>
      </c>
    </row>
    <row r="101" spans="1:10">
      <c r="A101" t="s">
        <v>123</v>
      </c>
      <c r="B101" s="11">
        <f>'Region-Specific Data'!$M$28</f>
        <v>49.384124335116034</v>
      </c>
      <c r="C101" s="11">
        <f>'Region-Specific Data'!$M$28</f>
        <v>49.384124335116034</v>
      </c>
      <c r="D101" s="11">
        <f>'Region-Specific Data'!$M$28</f>
        <v>49.384124335116034</v>
      </c>
      <c r="E101" s="11">
        <f>'Region-Specific Data'!$M$28</f>
        <v>49.384124335116034</v>
      </c>
      <c r="F101" s="11">
        <f>'Region-Specific Data'!$M$28</f>
        <v>49.384124335116034</v>
      </c>
      <c r="G101" s="11">
        <f>'Region-Specific Data'!$M$28</f>
        <v>49.384124335116034</v>
      </c>
      <c r="H101" s="15" t="s">
        <v>121</v>
      </c>
      <c r="I101" s="15" t="s">
        <v>122</v>
      </c>
      <c r="J101" t="s">
        <v>5954</v>
      </c>
    </row>
    <row r="102" spans="1:10">
      <c r="A102" t="s">
        <v>124</v>
      </c>
      <c r="B102" s="11">
        <f>(B83/B22)*B100</f>
        <v>146.19989173850701</v>
      </c>
      <c r="C102" s="11">
        <f t="shared" ref="C102:G102" si="7">(C83/C22)*C100</f>
        <v>0</v>
      </c>
      <c r="D102" s="11">
        <f t="shared" si="7"/>
        <v>324.88864830779335</v>
      </c>
      <c r="E102" s="11">
        <f t="shared" si="7"/>
        <v>0</v>
      </c>
      <c r="F102" s="11">
        <f t="shared" si="7"/>
        <v>110.46214042464975</v>
      </c>
      <c r="G102" s="11">
        <f t="shared" si="7"/>
        <v>0</v>
      </c>
      <c r="H102" s="15" t="s">
        <v>121</v>
      </c>
      <c r="I102" s="15" t="s">
        <v>122</v>
      </c>
      <c r="J102" t="s">
        <v>5955</v>
      </c>
    </row>
    <row r="103" spans="1:10">
      <c r="A103" t="s">
        <v>125</v>
      </c>
      <c r="B103" s="11">
        <f>(B95/B22)*B100</f>
        <v>0</v>
      </c>
      <c r="C103" s="11">
        <f t="shared" ref="C103:G103" si="8">(C95/C22)*C100</f>
        <v>0</v>
      </c>
      <c r="D103" s="11">
        <f t="shared" si="8"/>
        <v>0</v>
      </c>
      <c r="E103" s="11">
        <f t="shared" si="8"/>
        <v>0</v>
      </c>
      <c r="F103" s="11">
        <f t="shared" si="8"/>
        <v>0</v>
      </c>
      <c r="G103" s="11">
        <f t="shared" si="8"/>
        <v>324.88864830779335</v>
      </c>
      <c r="H103" s="15" t="s">
        <v>121</v>
      </c>
      <c r="I103" s="15" t="s">
        <v>122</v>
      </c>
    </row>
    <row r="104" spans="1:10">
      <c r="A104" t="s">
        <v>126</v>
      </c>
      <c r="B104" s="11">
        <f>MAX(0,B100-SUM(B101:B103))</f>
        <v>129.3046322341703</v>
      </c>
      <c r="C104" s="11">
        <f t="shared" ref="C104:G104" si="9">MAX(0,C100-SUM(C101:C103))</f>
        <v>275.5045239726773</v>
      </c>
      <c r="D104" s="11">
        <f t="shared" si="9"/>
        <v>0</v>
      </c>
      <c r="E104" s="11">
        <f t="shared" si="9"/>
        <v>275.5045239726773</v>
      </c>
      <c r="F104" s="11">
        <f t="shared" si="9"/>
        <v>165.04238354802757</v>
      </c>
      <c r="G104" s="11">
        <f t="shared" si="9"/>
        <v>0</v>
      </c>
      <c r="H104" s="15" t="s">
        <v>121</v>
      </c>
      <c r="I104" s="15" t="s">
        <v>122</v>
      </c>
    </row>
    <row r="106" spans="1:10">
      <c r="A106" t="s">
        <v>127</v>
      </c>
      <c r="B106" s="11">
        <f>'Scenario Controls'!B41*B104</f>
        <v>64.652316117085149</v>
      </c>
      <c r="C106" s="11">
        <f>'Scenario Controls'!C41*C104</f>
        <v>137.75226198633865</v>
      </c>
      <c r="D106" s="11">
        <f>'Scenario Controls'!D41*D104</f>
        <v>0</v>
      </c>
      <c r="E106" s="11">
        <f>'Scenario Controls'!E41*E104</f>
        <v>137.75226198633865</v>
      </c>
      <c r="F106" s="11">
        <f>'Scenario Controls'!F41*F104</f>
        <v>82.521191774013786</v>
      </c>
      <c r="G106" s="11">
        <f>'Scenario Controls'!G41*G104</f>
        <v>0</v>
      </c>
      <c r="H106" s="15" t="s">
        <v>121</v>
      </c>
      <c r="I106" s="15" t="s">
        <v>122</v>
      </c>
    </row>
    <row r="107" spans="1:10">
      <c r="A107" t="s">
        <v>128</v>
      </c>
      <c r="B107" s="455">
        <f>B106/'Region-Independent Data'!$B$21</f>
        <v>0.64456411975484107</v>
      </c>
      <c r="C107" s="455">
        <f>C106/'Region-Independent Data'!$B$21</f>
        <v>1.3733485638884755</v>
      </c>
      <c r="D107" s="455">
        <f>D106/'Region-Independent Data'!$B$21</f>
        <v>0</v>
      </c>
      <c r="E107" s="455">
        <f>E106/'Region-Independent Data'!$B$21</f>
        <v>1.3733485638884755</v>
      </c>
      <c r="F107" s="455">
        <f>F106/'Region-Independent Data'!$B$21</f>
        <v>0.82271142832084065</v>
      </c>
      <c r="G107" s="455">
        <f>G106/'Region-Independent Data'!$B$21</f>
        <v>0</v>
      </c>
      <c r="H107" s="15" t="s">
        <v>43</v>
      </c>
      <c r="I107" s="15" t="s">
        <v>75</v>
      </c>
    </row>
    <row r="108" spans="1:10">
      <c r="A108" t="s">
        <v>129</v>
      </c>
      <c r="B108" s="455">
        <f>B107*'Region-Independent Data'!$B$17</f>
        <v>0.12891282395096823</v>
      </c>
      <c r="C108" s="455">
        <f>C107*'Region-Independent Data'!$B$17</f>
        <v>0.27466971277769509</v>
      </c>
      <c r="D108" s="455">
        <f>D107*'Region-Independent Data'!$B$17</f>
        <v>0</v>
      </c>
      <c r="E108" s="455">
        <f>E107*'Region-Independent Data'!$B$17</f>
        <v>0.27466971277769509</v>
      </c>
      <c r="F108" s="455">
        <f>F107*'Region-Independent Data'!$B$17</f>
        <v>0.16454228566416815</v>
      </c>
      <c r="G108" s="455">
        <f>G107*'Region-Independent Data'!$B$17</f>
        <v>0</v>
      </c>
      <c r="H108" s="15" t="s">
        <v>43</v>
      </c>
      <c r="I108" s="15" t="s">
        <v>75</v>
      </c>
    </row>
    <row r="109" spans="1:10">
      <c r="A109" t="s">
        <v>130</v>
      </c>
      <c r="B109" s="1988">
        <f>B108+MAX(0,B107-B60)</f>
        <v>0.12891282395096823</v>
      </c>
      <c r="C109" s="1988">
        <f t="shared" ref="C109:G109" si="10">C108+MAX(0,C107-C60)</f>
        <v>0.41853446040748271</v>
      </c>
      <c r="D109" s="1988">
        <f t="shared" si="10"/>
        <v>0</v>
      </c>
      <c r="E109" s="1988">
        <f t="shared" si="10"/>
        <v>0.41853446040748271</v>
      </c>
      <c r="F109" s="1988">
        <f t="shared" si="10"/>
        <v>0.16454228566416815</v>
      </c>
      <c r="G109" s="1988">
        <f t="shared" si="10"/>
        <v>0</v>
      </c>
      <c r="H109" s="15" t="s">
        <v>43</v>
      </c>
      <c r="I109" s="15" t="s">
        <v>75</v>
      </c>
      <c r="J109" t="s">
        <v>5956</v>
      </c>
    </row>
    <row r="111" spans="1:10">
      <c r="A111" t="s">
        <v>131</v>
      </c>
      <c r="B111" s="11">
        <f>'Scenario Controls'!B42*B104</f>
        <v>64.652316117085149</v>
      </c>
      <c r="C111" s="11">
        <f>'Scenario Controls'!C42*C104</f>
        <v>137.75226198633865</v>
      </c>
      <c r="D111" s="11">
        <f>'Scenario Controls'!D42*D104</f>
        <v>0</v>
      </c>
      <c r="E111" s="11">
        <f>'Scenario Controls'!E42*E104</f>
        <v>137.75226198633865</v>
      </c>
      <c r="F111" s="11">
        <f>'Scenario Controls'!F42*F104</f>
        <v>82.521191774013786</v>
      </c>
      <c r="G111" s="11">
        <f>'Scenario Controls'!G42*G104</f>
        <v>0</v>
      </c>
      <c r="H111" s="15" t="s">
        <v>121</v>
      </c>
      <c r="I111" s="15" t="s">
        <v>122</v>
      </c>
    </row>
    <row r="112" spans="1:10">
      <c r="A112" t="s">
        <v>132</v>
      </c>
      <c r="B112" s="470">
        <f>B111*'Region-Independent Data'!$B$19</f>
        <v>0.44247264083771953</v>
      </c>
      <c r="C112" s="470">
        <f>C111*'Region-Independent Data'!$B$19</f>
        <v>0.94275983913834571</v>
      </c>
      <c r="D112" s="470">
        <f>D111*'Region-Independent Data'!$B$19</f>
        <v>0</v>
      </c>
      <c r="E112" s="470">
        <f>E111*'Region-Independent Data'!$B$19</f>
        <v>0.94275983913834571</v>
      </c>
      <c r="F112" s="470">
        <f>F111*'Region-Independent Data'!$B$19</f>
        <v>0.56476506708898377</v>
      </c>
      <c r="G112" s="470">
        <f>G111*'Region-Independent Data'!$B$19</f>
        <v>0</v>
      </c>
      <c r="H112" s="15" t="s">
        <v>43</v>
      </c>
      <c r="I112" s="15" t="s">
        <v>70</v>
      </c>
    </row>
    <row r="114" spans="1:10">
      <c r="A114" t="s">
        <v>133</v>
      </c>
      <c r="B114" s="11">
        <f>'Scenario Controls'!B43*B104</f>
        <v>0</v>
      </c>
      <c r="C114" s="11">
        <f>'Scenario Controls'!C43*C104</f>
        <v>0</v>
      </c>
      <c r="D114" s="11">
        <f>'Scenario Controls'!D43*D104</f>
        <v>0</v>
      </c>
      <c r="E114" s="11">
        <f>'Scenario Controls'!E43*E104</f>
        <v>0</v>
      </c>
      <c r="F114" s="11">
        <f>'Scenario Controls'!F43*F104</f>
        <v>0</v>
      </c>
      <c r="G114" s="11">
        <f>'Scenario Controls'!G43*G104</f>
        <v>0</v>
      </c>
      <c r="H114" s="15" t="s">
        <v>121</v>
      </c>
      <c r="I114" s="15" t="s">
        <v>122</v>
      </c>
    </row>
    <row r="115" spans="1:10">
      <c r="A115" t="s">
        <v>134</v>
      </c>
      <c r="B115" s="11">
        <f>SUMPRODUCT('Region-Independent Data'!$B$22:$B$25,'Region-Specific Data'!$M$17:$M$20)/SUM('Region-Specific Data'!$M$17:$M$20)</f>
        <v>58.112798635770837</v>
      </c>
      <c r="C115" s="11">
        <f>SUMPRODUCT('Region-Independent Data'!$B$22:$B$25,'Region-Specific Data'!$M$17:$M$20)/SUM('Region-Specific Data'!$M$17:$M$20)</f>
        <v>58.112798635770837</v>
      </c>
      <c r="D115" s="11">
        <f>SUMPRODUCT('Region-Independent Data'!$B$22:$B$25,'Region-Specific Data'!$M$17:$M$20)/SUM('Region-Specific Data'!$M$17:$M$20)</f>
        <v>58.112798635770837</v>
      </c>
      <c r="E115" s="11">
        <f>SUMPRODUCT('Region-Independent Data'!$B$22:$B$25,'Region-Specific Data'!$M$17:$M$20)/SUM('Region-Specific Data'!$M$17:$M$20)</f>
        <v>58.112798635770837</v>
      </c>
      <c r="F115" s="11">
        <f>SUMPRODUCT('Region-Independent Data'!$B$22:$B$25,'Region-Specific Data'!$M$17:$M$20)/SUM('Region-Specific Data'!$M$17:$M$20)</f>
        <v>58.112798635770837</v>
      </c>
      <c r="G115" s="11">
        <f>SUMPRODUCT('Region-Independent Data'!$B$22:$B$25,'Region-Specific Data'!$M$17:$M$20)/SUM('Region-Specific Data'!$M$17:$M$20)</f>
        <v>58.112798635770837</v>
      </c>
      <c r="H115" s="15" t="s">
        <v>135</v>
      </c>
      <c r="I115" s="15" t="s">
        <v>122</v>
      </c>
    </row>
    <row r="116" spans="1:10">
      <c r="A116" t="s">
        <v>136</v>
      </c>
      <c r="B116" s="455">
        <f>B114/B115</f>
        <v>0</v>
      </c>
      <c r="C116" s="455">
        <f t="shared" ref="C116:G116" si="11">C114/C115</f>
        <v>0</v>
      </c>
      <c r="D116" s="455">
        <f t="shared" si="11"/>
        <v>0</v>
      </c>
      <c r="E116" s="455">
        <f t="shared" si="11"/>
        <v>0</v>
      </c>
      <c r="F116" s="455">
        <f t="shared" si="11"/>
        <v>0</v>
      </c>
      <c r="G116" s="455">
        <f t="shared" si="11"/>
        <v>0</v>
      </c>
      <c r="H116" s="15" t="s">
        <v>43</v>
      </c>
      <c r="I116" s="15" t="s">
        <v>73</v>
      </c>
    </row>
    <row r="117" spans="1:10">
      <c r="A117" t="s">
        <v>137</v>
      </c>
      <c r="B117" s="472">
        <f>B116*'Region-Independent Data'!$B$17</f>
        <v>0</v>
      </c>
      <c r="C117" s="472">
        <f>C116*'Region-Independent Data'!$B$17</f>
        <v>0</v>
      </c>
      <c r="D117" s="472">
        <f>D116*'Region-Independent Data'!$B$17</f>
        <v>0</v>
      </c>
      <c r="E117" s="472">
        <f>E116*'Region-Independent Data'!$B$17</f>
        <v>0</v>
      </c>
      <c r="F117" s="472">
        <f>F116*'Region-Independent Data'!$B$17</f>
        <v>0</v>
      </c>
      <c r="G117" s="472">
        <f>G116*'Region-Independent Data'!$B$17</f>
        <v>0</v>
      </c>
      <c r="H117" s="15" t="s">
        <v>43</v>
      </c>
      <c r="I117" s="15" t="s">
        <v>73</v>
      </c>
      <c r="J117" t="s">
        <v>138</v>
      </c>
    </row>
    <row r="119" spans="1:10">
      <c r="A119" s="463" t="s">
        <v>139</v>
      </c>
      <c r="B119" s="464"/>
      <c r="C119" s="464"/>
      <c r="D119" s="464"/>
      <c r="E119" s="464"/>
      <c r="F119" s="464"/>
      <c r="G119" s="464"/>
      <c r="H119" s="473"/>
      <c r="I119" s="473"/>
      <c r="J119" s="464"/>
    </row>
    <row r="121" spans="1:10">
      <c r="A121" t="s">
        <v>140</v>
      </c>
      <c r="B121" s="455">
        <f>B23</f>
        <v>0.41103895133788992</v>
      </c>
      <c r="C121" s="455">
        <f t="shared" ref="C121:G121" si="12">C23</f>
        <v>0.41103895133788992</v>
      </c>
      <c r="D121" s="455">
        <f t="shared" si="12"/>
        <v>0.41103895133788992</v>
      </c>
      <c r="E121" s="455">
        <f t="shared" si="12"/>
        <v>0.41103895133788992</v>
      </c>
      <c r="F121" s="455">
        <f t="shared" si="12"/>
        <v>0.41103895133788992</v>
      </c>
      <c r="G121" s="455">
        <f t="shared" si="12"/>
        <v>0.41103895133788992</v>
      </c>
      <c r="H121" s="15" t="s">
        <v>43</v>
      </c>
      <c r="I121" s="15" t="s">
        <v>141</v>
      </c>
      <c r="J121" t="s">
        <v>5957</v>
      </c>
    </row>
    <row r="123" spans="1:10">
      <c r="A123" s="24" t="s">
        <v>142</v>
      </c>
      <c r="B123" s="25"/>
      <c r="C123" s="25"/>
      <c r="D123" s="25"/>
      <c r="E123" s="25"/>
      <c r="F123" s="25"/>
      <c r="G123" s="25"/>
      <c r="H123" s="26"/>
      <c r="I123" s="26"/>
      <c r="J123" s="25"/>
    </row>
    <row r="125" spans="1:10">
      <c r="A125" t="s">
        <v>143</v>
      </c>
      <c r="B125" s="455">
        <f>'Scenario Controls'!B46*B121</f>
        <v>0</v>
      </c>
      <c r="C125" s="455">
        <f>'Scenario Controls'!C46*C121</f>
        <v>0.41103895133788992</v>
      </c>
      <c r="D125" s="455">
        <f>'Scenario Controls'!D46*D121</f>
        <v>0.32883116107031196</v>
      </c>
      <c r="E125" s="455">
        <f>'Scenario Controls'!E46*E121</f>
        <v>0</v>
      </c>
      <c r="F125" s="455">
        <f>'Scenario Controls'!F46*F121</f>
        <v>0.13975324345488258</v>
      </c>
      <c r="G125" s="455">
        <f>'Scenario Controls'!G46*G121</f>
        <v>0</v>
      </c>
      <c r="H125" s="15" t="s">
        <v>43</v>
      </c>
      <c r="I125" s="15" t="s">
        <v>141</v>
      </c>
    </row>
    <row r="126" spans="1:10">
      <c r="A126" t="s">
        <v>144</v>
      </c>
      <c r="B126" s="455">
        <f>B125*('Region-Independent Data'!$B$28/'Region-Independent Data'!$B$27)</f>
        <v>0</v>
      </c>
      <c r="C126" s="455">
        <f>C125*('Region-Independent Data'!$B$28/'Region-Independent Data'!$B$27)</f>
        <v>0.38940532232010622</v>
      </c>
      <c r="D126" s="455">
        <f>D125*('Region-Independent Data'!$B$28/'Region-Independent Data'!$B$27)</f>
        <v>0.31152425785608501</v>
      </c>
      <c r="E126" s="455">
        <f>E125*('Region-Independent Data'!$B$28/'Region-Independent Data'!$B$27)</f>
        <v>0</v>
      </c>
      <c r="F126" s="455">
        <f>F125*('Region-Independent Data'!$B$28/'Region-Independent Data'!$B$27)</f>
        <v>0.13239780958883612</v>
      </c>
      <c r="G126" s="455">
        <f>G125*('Region-Independent Data'!$B$28/'Region-Independent Data'!$B$27)</f>
        <v>0</v>
      </c>
      <c r="H126" s="15" t="s">
        <v>43</v>
      </c>
      <c r="I126" s="15" t="s">
        <v>70</v>
      </c>
    </row>
    <row r="127" spans="1:10">
      <c r="A127" t="s">
        <v>145</v>
      </c>
      <c r="B127" s="470">
        <f>B126*(1-'Region-Independent Data'!$B$29)</f>
        <v>0</v>
      </c>
      <c r="C127" s="470">
        <f>C126*(1-'Region-Independent Data'!$B$29)</f>
        <v>0.12850375636563505</v>
      </c>
      <c r="D127" s="470">
        <f>D126*(1-'Region-Independent Data'!$B$29)</f>
        <v>0.10280300509250805</v>
      </c>
      <c r="E127" s="470">
        <f>E126*(1-'Region-Independent Data'!$B$29)</f>
        <v>0</v>
      </c>
      <c r="F127" s="470">
        <f>F126*(1-'Region-Independent Data'!$B$29)</f>
        <v>4.3691277164315916E-2</v>
      </c>
      <c r="G127" s="470">
        <f>G126*(1-'Region-Independent Data'!$B$29)</f>
        <v>0</v>
      </c>
      <c r="H127" s="15" t="s">
        <v>43</v>
      </c>
      <c r="I127" s="15" t="s">
        <v>70</v>
      </c>
    </row>
    <row r="128" spans="1:10">
      <c r="A128" t="s">
        <v>146</v>
      </c>
      <c r="B128" s="455">
        <f>B126*'Region-Independent Data'!$B$29</f>
        <v>0</v>
      </c>
      <c r="C128" s="455">
        <f>C126*'Region-Independent Data'!$B$29</f>
        <v>0.26090156595447117</v>
      </c>
      <c r="D128" s="455">
        <f>D126*'Region-Independent Data'!$B$29</f>
        <v>0.20872125276357698</v>
      </c>
      <c r="E128" s="455">
        <f>E126*'Region-Independent Data'!$B$29</f>
        <v>0</v>
      </c>
      <c r="F128" s="455">
        <f>F126*'Region-Independent Data'!$B$29</f>
        <v>8.8706532424520215E-2</v>
      </c>
      <c r="G128" s="455">
        <f>G126*'Region-Independent Data'!$B$29</f>
        <v>0</v>
      </c>
      <c r="H128" s="15" t="s">
        <v>43</v>
      </c>
      <c r="I128" s="15" t="s">
        <v>70</v>
      </c>
    </row>
    <row r="129" spans="1:10">
      <c r="A129" t="s">
        <v>4873</v>
      </c>
      <c r="B129" s="469">
        <f>B128/'Region-Independent Data'!$B$3</f>
        <v>0</v>
      </c>
      <c r="C129" s="469">
        <f>C128/'Region-Independent Data'!$B$3</f>
        <v>0.37271652279210171</v>
      </c>
      <c r="D129" s="469">
        <f>D128/'Region-Independent Data'!$B$3</f>
        <v>0.29817321823368143</v>
      </c>
      <c r="E129" s="469">
        <f>E128/'Region-Independent Data'!$B$3</f>
        <v>0</v>
      </c>
      <c r="F129" s="469">
        <f>F128/'Region-Independent Data'!$B$3</f>
        <v>0.12672361774931459</v>
      </c>
      <c r="G129" s="469">
        <f>G128/'Region-Independent Data'!$B$3</f>
        <v>0</v>
      </c>
      <c r="H129" s="15" t="s">
        <v>43</v>
      </c>
      <c r="I129" s="15" t="s">
        <v>4882</v>
      </c>
    </row>
    <row r="131" spans="1:10">
      <c r="A131" s="24" t="s">
        <v>27</v>
      </c>
      <c r="B131" s="25"/>
      <c r="C131" s="25"/>
      <c r="D131" s="25"/>
      <c r="E131" s="25"/>
      <c r="F131" s="25"/>
      <c r="G131" s="25"/>
      <c r="H131" s="26"/>
      <c r="I131" s="26"/>
      <c r="J131" s="25"/>
    </row>
    <row r="133" spans="1:10">
      <c r="A133" t="s">
        <v>147</v>
      </c>
      <c r="B133" s="455">
        <f>'Scenario Controls'!B47*B121</f>
        <v>0.20551947566894496</v>
      </c>
      <c r="C133" s="455">
        <f>'Scenario Controls'!C47*C121</f>
        <v>0</v>
      </c>
      <c r="D133" s="455">
        <f>'Scenario Controls'!D47*D121</f>
        <v>4.1103895133788995E-2</v>
      </c>
      <c r="E133" s="455">
        <f>'Scenario Controls'!E47*E121</f>
        <v>0</v>
      </c>
      <c r="F133" s="455">
        <f>'Scenario Controls'!F47*F121</f>
        <v>0.13564285394150369</v>
      </c>
      <c r="G133" s="455">
        <f>'Scenario Controls'!G47*G121</f>
        <v>0</v>
      </c>
      <c r="H133" s="15" t="s">
        <v>43</v>
      </c>
      <c r="I133" s="15" t="s">
        <v>141</v>
      </c>
    </row>
    <row r="134" spans="1:10">
      <c r="A134" t="s">
        <v>148</v>
      </c>
      <c r="B134" s="470">
        <f>B133*('Region-Independent Data'!$B$34/'Region-Independent Data'!$B$35)</f>
        <v>0.22251114603644162</v>
      </c>
      <c r="C134" s="470">
        <f>C133*('Region-Independent Data'!$B$34/'Region-Independent Data'!$B$35)</f>
        <v>0</v>
      </c>
      <c r="D134" s="470">
        <f>D133*('Region-Independent Data'!$B$34/'Region-Independent Data'!$B$35)</f>
        <v>4.450222920728833E-2</v>
      </c>
      <c r="E134" s="470">
        <f>E133*('Region-Independent Data'!$B$34/'Region-Independent Data'!$B$35)</f>
        <v>0</v>
      </c>
      <c r="F134" s="470">
        <f>F133*('Region-Independent Data'!$B$34/'Region-Independent Data'!$B$35)</f>
        <v>0.14685735638405148</v>
      </c>
      <c r="G134" s="470">
        <f>G133*('Region-Independent Data'!$B$34/'Region-Independent Data'!$B$35)</f>
        <v>0</v>
      </c>
      <c r="H134" s="15" t="s">
        <v>43</v>
      </c>
      <c r="I134" s="15" t="s">
        <v>70</v>
      </c>
    </row>
    <row r="136" spans="1:10">
      <c r="A136" s="24" t="s">
        <v>28</v>
      </c>
      <c r="B136" s="25"/>
      <c r="C136" s="25"/>
      <c r="D136" s="25"/>
      <c r="E136" s="25"/>
      <c r="F136" s="25"/>
      <c r="G136" s="25"/>
      <c r="H136" s="26"/>
      <c r="I136" s="26"/>
      <c r="J136" s="25"/>
    </row>
    <row r="138" spans="1:10">
      <c r="A138" t="s">
        <v>149</v>
      </c>
      <c r="B138" s="455">
        <f>'Scenario Controls'!B48*B121</f>
        <v>0.20551947566894496</v>
      </c>
      <c r="C138" s="455">
        <f>'Scenario Controls'!C48*C121</f>
        <v>0</v>
      </c>
      <c r="D138" s="455">
        <f>'Scenario Controls'!D48*D121</f>
        <v>4.1103895133788995E-2</v>
      </c>
      <c r="E138" s="455">
        <f>'Scenario Controls'!E48*E121</f>
        <v>0</v>
      </c>
      <c r="F138" s="455">
        <f>'Scenario Controls'!F48*F121</f>
        <v>0.13564285394150369</v>
      </c>
      <c r="G138" s="455">
        <f>'Scenario Controls'!G48*G121</f>
        <v>0</v>
      </c>
      <c r="H138" s="15" t="s">
        <v>43</v>
      </c>
      <c r="I138" s="15" t="s">
        <v>141</v>
      </c>
    </row>
    <row r="139" spans="1:10">
      <c r="A139" t="s">
        <v>150</v>
      </c>
      <c r="B139" s="470">
        <f>B138*('Region-Independent Data'!$B$37/'Region-Independent Data'!$B$27)</f>
        <v>0.20088369802227701</v>
      </c>
      <c r="C139" s="470">
        <f>C138*('Region-Independent Data'!$B$37/'Region-Independent Data'!$B$27)</f>
        <v>0</v>
      </c>
      <c r="D139" s="470">
        <f>D138*('Region-Independent Data'!$B$37/'Region-Independent Data'!$B$27)</f>
        <v>4.0176739604455405E-2</v>
      </c>
      <c r="E139" s="470">
        <f>E138*('Region-Independent Data'!$B$37/'Region-Independent Data'!$B$27)</f>
        <v>0</v>
      </c>
      <c r="F139" s="470">
        <f>F138*('Region-Independent Data'!$B$37/'Region-Independent Data'!$B$27)</f>
        <v>0.13258324069470284</v>
      </c>
      <c r="G139" s="470">
        <f>G138*('Region-Independent Data'!$B$37/'Region-Independent Data'!$B$27)</f>
        <v>0</v>
      </c>
      <c r="H139" s="15" t="s">
        <v>43</v>
      </c>
      <c r="I139" s="15" t="s">
        <v>70</v>
      </c>
    </row>
    <row r="141" spans="1:10">
      <c r="A141" s="24" t="s">
        <v>151</v>
      </c>
      <c r="B141" s="25"/>
      <c r="C141" s="25"/>
      <c r="D141" s="25"/>
      <c r="E141" s="25"/>
      <c r="F141" s="25"/>
      <c r="G141" s="25"/>
      <c r="H141" s="26"/>
      <c r="I141" s="26"/>
      <c r="J141" s="25"/>
    </row>
    <row r="143" spans="1:10">
      <c r="A143" t="s">
        <v>152</v>
      </c>
      <c r="B143" s="2001">
        <f>'Scenario Controls'!B49*B121</f>
        <v>0</v>
      </c>
      <c r="C143" s="2001">
        <f>'Scenario Controls'!C49*C121</f>
        <v>0</v>
      </c>
      <c r="D143" s="2001">
        <f>'Scenario Controls'!D49*D121</f>
        <v>0</v>
      </c>
      <c r="E143" s="2001">
        <f>'Scenario Controls'!E49*E121</f>
        <v>0.41103895133788992</v>
      </c>
      <c r="F143" s="2001">
        <f>'Scenario Controls'!F49*F121</f>
        <v>0</v>
      </c>
      <c r="G143" s="2001">
        <f>'Scenario Controls'!G49*G121</f>
        <v>0.41103895133788992</v>
      </c>
      <c r="H143" s="15" t="s">
        <v>43</v>
      </c>
      <c r="I143" s="15" t="s">
        <v>141</v>
      </c>
    </row>
    <row r="144" spans="1:10">
      <c r="A144" t="s">
        <v>5574</v>
      </c>
      <c r="B144" s="471">
        <f>B143*'Scenario Controls'!B52*(1+'Region-Independent Data'!$B$17)</f>
        <v>0</v>
      </c>
      <c r="C144" s="471">
        <f>C143*'Scenario Controls'!C52*(1+'Region-Independent Data'!$B$17)</f>
        <v>0</v>
      </c>
      <c r="D144" s="471">
        <f>D143*'Scenario Controls'!D52*(1+'Region-Independent Data'!$B$17)</f>
        <v>0</v>
      </c>
      <c r="E144" s="471">
        <f>E143*'Scenario Controls'!E52*(1+'Region-Independent Data'!$B$17)</f>
        <v>0.49324674160546789</v>
      </c>
      <c r="F144" s="471">
        <f>F143*'Scenario Controls'!F52*(1+'Region-Independent Data'!$B$17)</f>
        <v>0</v>
      </c>
      <c r="G144" s="471">
        <f>G143*'Scenario Controls'!G52*(1+'Region-Independent Data'!$B$17)</f>
        <v>0</v>
      </c>
      <c r="H144" s="15" t="s">
        <v>43</v>
      </c>
      <c r="I144" s="15" t="s">
        <v>141</v>
      </c>
    </row>
    <row r="145" spans="1:10">
      <c r="A145" t="s">
        <v>5573</v>
      </c>
      <c r="B145" s="472">
        <f>B143*(1-'Scenario Controls'!B52)</f>
        <v>0</v>
      </c>
      <c r="C145" s="472">
        <f>C143*(1-'Scenario Controls'!C52)</f>
        <v>0</v>
      </c>
      <c r="D145" s="472">
        <f>D143*(1-'Scenario Controls'!D52)</f>
        <v>0</v>
      </c>
      <c r="E145" s="472">
        <f>E143*(1-'Scenario Controls'!E52)</f>
        <v>0</v>
      </c>
      <c r="F145" s="472">
        <f>F143*(1-'Scenario Controls'!F52)</f>
        <v>0</v>
      </c>
      <c r="G145" s="472">
        <f>G143*(1-'Scenario Controls'!G52)</f>
        <v>0.41103895133788992</v>
      </c>
      <c r="H145" s="15" t="s">
        <v>43</v>
      </c>
      <c r="I145" s="15" t="s">
        <v>141</v>
      </c>
    </row>
    <row r="146" spans="1:10">
      <c r="B146" s="7"/>
      <c r="C146" s="7"/>
      <c r="D146" s="7"/>
      <c r="E146" s="7"/>
      <c r="F146" s="7"/>
      <c r="G146" s="7"/>
    </row>
    <row r="147" spans="1:10">
      <c r="A147" s="463" t="s">
        <v>5549</v>
      </c>
      <c r="B147" s="1996"/>
      <c r="C147" s="1996"/>
      <c r="D147" s="1996"/>
      <c r="E147" s="1996"/>
      <c r="F147" s="1996"/>
      <c r="G147" s="1996"/>
      <c r="H147" s="473"/>
      <c r="I147" s="473"/>
      <c r="J147" s="464"/>
    </row>
    <row r="148" spans="1:10">
      <c r="B148" s="7"/>
      <c r="C148" s="7"/>
      <c r="D148" s="7"/>
      <c r="E148" s="7"/>
      <c r="F148" s="7"/>
      <c r="G148" s="7"/>
    </row>
    <row r="149" spans="1:10">
      <c r="A149" t="s">
        <v>5542</v>
      </c>
      <c r="B149" s="11">
        <f t="shared" ref="B149:G149" si="13">B25</f>
        <v>49.384124335116034</v>
      </c>
      <c r="C149" s="11">
        <f t="shared" si="13"/>
        <v>49.384124335116034</v>
      </c>
      <c r="D149" s="11">
        <f t="shared" si="13"/>
        <v>49.384124335116034</v>
      </c>
      <c r="E149" s="11">
        <f t="shared" si="13"/>
        <v>49.384124335116034</v>
      </c>
      <c r="F149" s="11">
        <f t="shared" si="13"/>
        <v>49.384124335116034</v>
      </c>
      <c r="G149" s="11">
        <f t="shared" si="13"/>
        <v>49.384124335116034</v>
      </c>
      <c r="H149" s="15" t="s">
        <v>121</v>
      </c>
      <c r="I149" s="15" t="s">
        <v>122</v>
      </c>
    </row>
    <row r="150" spans="1:10">
      <c r="A150" t="s">
        <v>5540</v>
      </c>
      <c r="B150" s="11">
        <f>B149*'Scenario Controls'!B38</f>
        <v>0</v>
      </c>
      <c r="C150" s="11">
        <f>C149*'Scenario Controls'!C38</f>
        <v>0</v>
      </c>
      <c r="D150" s="11">
        <f>D149*'Scenario Controls'!D38</f>
        <v>0</v>
      </c>
      <c r="E150" s="11">
        <f>E149*'Scenario Controls'!E38</f>
        <v>0</v>
      </c>
      <c r="F150" s="11">
        <f>F149*'Scenario Controls'!F38</f>
        <v>0</v>
      </c>
      <c r="G150" s="11">
        <f>G149*'Scenario Controls'!G38</f>
        <v>49.384124335116034</v>
      </c>
      <c r="H150" s="15" t="s">
        <v>121</v>
      </c>
      <c r="I150" s="15" t="s">
        <v>122</v>
      </c>
      <c r="J150" t="s">
        <v>5532</v>
      </c>
    </row>
    <row r="151" spans="1:10">
      <c r="B151" s="7"/>
      <c r="C151" s="7"/>
      <c r="D151" s="7"/>
      <c r="E151" s="7"/>
      <c r="F151" s="7"/>
      <c r="G151" s="7"/>
    </row>
    <row r="152" spans="1:10">
      <c r="A152" t="s">
        <v>5545</v>
      </c>
      <c r="B152" s="11">
        <f t="shared" ref="B152:G152" si="14">B26</f>
        <v>68.413910865068146</v>
      </c>
      <c r="C152" s="11">
        <f t="shared" si="14"/>
        <v>68.413910865068146</v>
      </c>
      <c r="D152" s="11">
        <f t="shared" si="14"/>
        <v>68.413910865068146</v>
      </c>
      <c r="E152" s="11">
        <f t="shared" si="14"/>
        <v>68.413910865068146</v>
      </c>
      <c r="F152" s="11">
        <f t="shared" si="14"/>
        <v>68.413910865068146</v>
      </c>
      <c r="G152" s="11">
        <f t="shared" si="14"/>
        <v>68.413910865068146</v>
      </c>
      <c r="H152" s="15" t="s">
        <v>121</v>
      </c>
      <c r="I152" s="15" t="s">
        <v>122</v>
      </c>
    </row>
    <row r="153" spans="1:10">
      <c r="B153" s="7"/>
      <c r="C153" s="7"/>
      <c r="D153" s="7"/>
      <c r="E153" s="7"/>
      <c r="F153" s="7"/>
      <c r="G153" s="7"/>
    </row>
    <row r="154" spans="1:10">
      <c r="A154" t="s">
        <v>5547</v>
      </c>
      <c r="B154" s="11">
        <f t="shared" ref="B154:G154" si="15">B27</f>
        <v>49.52734834967977</v>
      </c>
      <c r="C154" s="11">
        <f t="shared" si="15"/>
        <v>49.52734834967977</v>
      </c>
      <c r="D154" s="11">
        <f t="shared" si="15"/>
        <v>49.52734834967977</v>
      </c>
      <c r="E154" s="11">
        <f t="shared" si="15"/>
        <v>49.52734834967977</v>
      </c>
      <c r="F154" s="11">
        <f t="shared" si="15"/>
        <v>49.52734834967977</v>
      </c>
      <c r="G154" s="11">
        <f t="shared" si="15"/>
        <v>49.52734834967977</v>
      </c>
      <c r="H154" s="15" t="s">
        <v>121</v>
      </c>
      <c r="I154" s="15" t="s">
        <v>122</v>
      </c>
    </row>
    <row r="155" spans="1:10">
      <c r="A155" t="s">
        <v>5546</v>
      </c>
      <c r="B155" s="11">
        <f>B154*'Scenario Controls'!B49</f>
        <v>0</v>
      </c>
      <c r="C155" s="11">
        <f>C154*'Scenario Controls'!C49</f>
        <v>0</v>
      </c>
      <c r="D155" s="11">
        <f>D154*'Scenario Controls'!D49</f>
        <v>0</v>
      </c>
      <c r="E155" s="11">
        <f>E154*'Scenario Controls'!E49</f>
        <v>49.52734834967977</v>
      </c>
      <c r="F155" s="11">
        <f>F154*'Scenario Controls'!F49</f>
        <v>0</v>
      </c>
      <c r="G155" s="11">
        <f>G154*'Scenario Controls'!G49</f>
        <v>49.52734834967977</v>
      </c>
      <c r="H155" s="15" t="s">
        <v>121</v>
      </c>
      <c r="I155" s="15" t="s">
        <v>122</v>
      </c>
      <c r="J155" t="s">
        <v>5548</v>
      </c>
    </row>
    <row r="156" spans="1:10">
      <c r="B156" s="7"/>
      <c r="C156" s="7"/>
      <c r="D156" s="7"/>
      <c r="E156" s="7"/>
      <c r="F156" s="7"/>
      <c r="G156" s="7"/>
    </row>
    <row r="157" spans="1:10">
      <c r="A157" t="s">
        <v>5553</v>
      </c>
      <c r="B157" s="11">
        <f>SUM(B150,B152,B155)</f>
        <v>68.413910865068146</v>
      </c>
      <c r="C157" s="11">
        <f t="shared" ref="C157:G157" si="16">SUM(C150,C152,C155)</f>
        <v>68.413910865068146</v>
      </c>
      <c r="D157" s="11">
        <f t="shared" si="16"/>
        <v>68.413910865068146</v>
      </c>
      <c r="E157" s="11">
        <f t="shared" si="16"/>
        <v>117.94125921474792</v>
      </c>
      <c r="F157" s="11">
        <f t="shared" si="16"/>
        <v>68.413910865068146</v>
      </c>
      <c r="G157" s="11">
        <f t="shared" si="16"/>
        <v>167.32538354986394</v>
      </c>
      <c r="H157" s="15" t="s">
        <v>121</v>
      </c>
      <c r="I157" s="15" t="s">
        <v>122</v>
      </c>
    </row>
    <row r="158" spans="1:10">
      <c r="A158" t="s">
        <v>5552</v>
      </c>
      <c r="B158" s="11">
        <f>B157*'Scenario Controls'!B52*'Region-Independent Data'!$B$48</f>
        <v>61.572519778561336</v>
      </c>
      <c r="C158" s="11">
        <f>C157*'Scenario Controls'!C52*'Region-Independent Data'!$B$48</f>
        <v>61.572519778561336</v>
      </c>
      <c r="D158" s="11">
        <f>D157*'Scenario Controls'!D52*'Region-Independent Data'!$B$48</f>
        <v>61.572519778561336</v>
      </c>
      <c r="E158" s="11">
        <f>E157*'Scenario Controls'!E52*'Region-Independent Data'!$B$48</f>
        <v>106.14713329327313</v>
      </c>
      <c r="F158" s="11">
        <f>F157*'Scenario Controls'!F52*'Region-Independent Data'!$B$48</f>
        <v>61.572519778561336</v>
      </c>
      <c r="G158" s="11">
        <f>G157*'Scenario Controls'!G52*'Region-Independent Data'!$B$48</f>
        <v>0</v>
      </c>
      <c r="H158" s="15" t="s">
        <v>121</v>
      </c>
      <c r="I158" s="15" t="s">
        <v>122</v>
      </c>
    </row>
    <row r="159" spans="1:10">
      <c r="A159" t="s">
        <v>5579</v>
      </c>
      <c r="B159" s="459">
        <f>B155/B157</f>
        <v>0</v>
      </c>
      <c r="C159" s="459">
        <f t="shared" ref="C159:G159" si="17">C155/C157</f>
        <v>0</v>
      </c>
      <c r="D159" s="459">
        <f t="shared" si="17"/>
        <v>0</v>
      </c>
      <c r="E159" s="459">
        <f t="shared" si="17"/>
        <v>0.41993233478625303</v>
      </c>
      <c r="F159" s="459">
        <f t="shared" si="17"/>
        <v>0</v>
      </c>
      <c r="G159" s="459">
        <f t="shared" si="17"/>
        <v>0.29599423171153427</v>
      </c>
      <c r="H159" s="15" t="s">
        <v>61</v>
      </c>
      <c r="I159" s="15" t="s">
        <v>122</v>
      </c>
    </row>
    <row r="160" spans="1:10">
      <c r="A160" t="s">
        <v>5560</v>
      </c>
      <c r="B160" s="479">
        <f>B158*(1-B159)*'Region-Independent Data'!$B$18</f>
        <v>6.09551013455885E-2</v>
      </c>
      <c r="C160" s="479">
        <f>C158*(1-C159)*'Region-Independent Data'!$B$18</f>
        <v>6.09551013455885E-2</v>
      </c>
      <c r="D160" s="479">
        <f>D158*(1-D159)*'Region-Independent Data'!$B$18</f>
        <v>6.09551013455885E-2</v>
      </c>
      <c r="E160" s="479">
        <f>E158*(1-E159)*'Region-Independent Data'!$B$18</f>
        <v>6.09551013455885E-2</v>
      </c>
      <c r="F160" s="479">
        <f>F158*(1-F159)*'Region-Independent Data'!$B$18</f>
        <v>6.09551013455885E-2</v>
      </c>
      <c r="G160" s="479">
        <f>G158*(1-G159)*'Region-Independent Data'!$B$18</f>
        <v>0</v>
      </c>
      <c r="H160" s="15" t="s">
        <v>43</v>
      </c>
      <c r="I160" s="15" t="s">
        <v>70</v>
      </c>
      <c r="J160" t="s">
        <v>5578</v>
      </c>
    </row>
    <row r="161" spans="1:10">
      <c r="A161" t="s">
        <v>5559</v>
      </c>
      <c r="B161" s="11">
        <f>B157-B158</f>
        <v>6.8413910865068104</v>
      </c>
      <c r="C161" s="11">
        <f t="shared" ref="C161:G161" si="18">C157-C158</f>
        <v>6.8413910865068104</v>
      </c>
      <c r="D161" s="11">
        <f t="shared" si="18"/>
        <v>6.8413910865068104</v>
      </c>
      <c r="E161" s="11">
        <f t="shared" si="18"/>
        <v>11.794125921474787</v>
      </c>
      <c r="F161" s="11">
        <f t="shared" si="18"/>
        <v>6.8413910865068104</v>
      </c>
      <c r="G161" s="11">
        <f t="shared" si="18"/>
        <v>167.32538354986394</v>
      </c>
      <c r="H161" s="15" t="s">
        <v>121</v>
      </c>
      <c r="I161" s="15" t="s">
        <v>122</v>
      </c>
    </row>
    <row r="163" spans="1:10">
      <c r="A163" s="463" t="s">
        <v>153</v>
      </c>
      <c r="B163" s="464"/>
      <c r="C163" s="464"/>
      <c r="D163" s="464"/>
      <c r="E163" s="464"/>
      <c r="F163" s="464"/>
      <c r="G163" s="464"/>
      <c r="H163" s="473"/>
      <c r="I163" s="473"/>
      <c r="J163" s="464"/>
    </row>
    <row r="165" spans="1:10">
      <c r="A165" s="24" t="s">
        <v>154</v>
      </c>
      <c r="B165" s="25"/>
      <c r="C165" s="25"/>
      <c r="D165" s="25"/>
      <c r="E165" s="25"/>
      <c r="F165" s="25"/>
      <c r="G165" s="25"/>
      <c r="H165" s="26"/>
      <c r="I165" s="26"/>
      <c r="J165" s="25"/>
    </row>
    <row r="167" spans="1:10">
      <c r="A167" t="s">
        <v>155</v>
      </c>
      <c r="B167" s="470">
        <f t="shared" ref="B167:G167" si="19">SUM(B47,B112,B127,B134,B139,B160)</f>
        <v>13.53721385278452</v>
      </c>
      <c r="C167" s="470">
        <f t="shared" si="19"/>
        <v>6.2015340918730608</v>
      </c>
      <c r="D167" s="470">
        <f t="shared" si="19"/>
        <v>5.1369442888214465</v>
      </c>
      <c r="E167" s="470">
        <f t="shared" si="19"/>
        <v>5.8922221540555402</v>
      </c>
      <c r="F167" s="470">
        <f t="shared" si="19"/>
        <v>7.3689886927598698</v>
      </c>
      <c r="G167" s="470">
        <f t="shared" si="19"/>
        <v>3.6496440259232461</v>
      </c>
      <c r="H167" s="15" t="s">
        <v>43</v>
      </c>
      <c r="I167" s="15" t="s">
        <v>70</v>
      </c>
    </row>
    <row r="168" spans="1:10">
      <c r="A168" t="s">
        <v>4874</v>
      </c>
      <c r="B168" s="469">
        <f t="shared" ref="B168:G168" si="20">B53</f>
        <v>0</v>
      </c>
      <c r="C168" s="469">
        <f t="shared" si="20"/>
        <v>11.841438473827356</v>
      </c>
      <c r="D168" s="469">
        <f t="shared" si="20"/>
        <v>0</v>
      </c>
      <c r="E168" s="469">
        <f t="shared" si="20"/>
        <v>0</v>
      </c>
      <c r="F168" s="469">
        <f t="shared" si="20"/>
        <v>3.6368757106353398</v>
      </c>
      <c r="G168" s="469">
        <f t="shared" si="20"/>
        <v>0</v>
      </c>
      <c r="H168" s="15" t="s">
        <v>43</v>
      </c>
      <c r="I168" s="15" t="s">
        <v>4882</v>
      </c>
    </row>
    <row r="169" spans="1:10">
      <c r="A169" t="s">
        <v>156</v>
      </c>
      <c r="B169" s="1988">
        <f t="shared" ref="B169:G169" si="21">SUM(B60,B109)</f>
        <v>1.3583966402096561</v>
      </c>
      <c r="C169" s="1988">
        <f t="shared" si="21"/>
        <v>1.6480182766661706</v>
      </c>
      <c r="D169" s="1988">
        <f t="shared" si="21"/>
        <v>13.757535637371687</v>
      </c>
      <c r="E169" s="1988">
        <f t="shared" si="21"/>
        <v>1.6480182766661706</v>
      </c>
      <c r="F169" s="1988">
        <f t="shared" si="21"/>
        <v>5.030901812558195</v>
      </c>
      <c r="G169" s="1988">
        <f t="shared" si="21"/>
        <v>1.2294838162586879</v>
      </c>
      <c r="H169" s="15" t="s">
        <v>43</v>
      </c>
      <c r="I169" s="15" t="s">
        <v>75</v>
      </c>
    </row>
    <row r="170" spans="1:10">
      <c r="A170" t="s">
        <v>5516</v>
      </c>
      <c r="B170" s="1984">
        <f>IF('Scenario Controls'!$B$9="Yes",0,B21)</f>
        <v>0</v>
      </c>
      <c r="C170" s="1984">
        <f>IF('Scenario Controls'!$B$9="Yes",0,C21)</f>
        <v>0</v>
      </c>
      <c r="D170" s="1984">
        <f>IF('Scenario Controls'!$B$9="Yes",0,D21)</f>
        <v>0</v>
      </c>
      <c r="E170" s="1984">
        <f>IF('Scenario Controls'!$B$9="Yes",0,E21)</f>
        <v>0</v>
      </c>
      <c r="F170" s="1984">
        <f>IF('Scenario Controls'!$B$9="Yes",0,F21)</f>
        <v>0</v>
      </c>
      <c r="G170" s="1984">
        <f>IF('Scenario Controls'!$B$9="Yes",0,G21)</f>
        <v>0</v>
      </c>
      <c r="H170" s="15" t="s">
        <v>43</v>
      </c>
      <c r="I170" s="15" t="s">
        <v>5510</v>
      </c>
    </row>
    <row r="171" spans="1:10">
      <c r="A171" t="s">
        <v>157</v>
      </c>
      <c r="B171" s="471">
        <f t="shared" ref="B171:G171" si="22">B67</f>
        <v>0</v>
      </c>
      <c r="C171" s="471">
        <f t="shared" si="22"/>
        <v>0</v>
      </c>
      <c r="D171" s="471">
        <f t="shared" si="22"/>
        <v>0</v>
      </c>
      <c r="E171" s="471">
        <f t="shared" si="22"/>
        <v>15.033662185335599</v>
      </c>
      <c r="F171" s="471">
        <f t="shared" si="22"/>
        <v>4.3642508527624075</v>
      </c>
      <c r="G171" s="471">
        <f t="shared" si="22"/>
        <v>0</v>
      </c>
      <c r="H171" s="15" t="s">
        <v>43</v>
      </c>
      <c r="I171" s="15" t="s">
        <v>73</v>
      </c>
      <c r="J171" t="s">
        <v>158</v>
      </c>
    </row>
    <row r="172" spans="1:10">
      <c r="A172" t="s">
        <v>159</v>
      </c>
      <c r="B172" s="472">
        <f t="shared" ref="B172:G172" si="23">SUM(B77,B117)</f>
        <v>0</v>
      </c>
      <c r="C172" s="472">
        <f t="shared" si="23"/>
        <v>0</v>
      </c>
      <c r="D172" s="472">
        <f t="shared" si="23"/>
        <v>0</v>
      </c>
      <c r="E172" s="472">
        <f t="shared" si="23"/>
        <v>0</v>
      </c>
      <c r="F172" s="472">
        <f t="shared" si="23"/>
        <v>0</v>
      </c>
      <c r="G172" s="472">
        <f t="shared" si="23"/>
        <v>15.913442060430881</v>
      </c>
      <c r="H172" s="15" t="s">
        <v>43</v>
      </c>
      <c r="I172" s="15" t="s">
        <v>73</v>
      </c>
    </row>
    <row r="174" spans="1:10">
      <c r="A174" s="24" t="s">
        <v>160</v>
      </c>
      <c r="B174" s="25"/>
      <c r="C174" s="25"/>
      <c r="D174" s="25"/>
      <c r="E174" s="25"/>
      <c r="F174" s="25"/>
      <c r="G174" s="25"/>
      <c r="H174" s="26"/>
      <c r="I174" s="26"/>
      <c r="J174" s="25"/>
    </row>
    <row r="176" spans="1:10">
      <c r="A176" t="s">
        <v>161</v>
      </c>
      <c r="B176" s="1988">
        <f t="shared" ref="B176:G176" si="24">B83</f>
        <v>2.5157950601352543</v>
      </c>
      <c r="C176" s="1988">
        <f t="shared" si="24"/>
        <v>0</v>
      </c>
      <c r="D176" s="1988">
        <f t="shared" si="24"/>
        <v>5.5906556891894539</v>
      </c>
      <c r="E176" s="1988">
        <f t="shared" si="24"/>
        <v>0</v>
      </c>
      <c r="F176" s="1988">
        <f t="shared" si="24"/>
        <v>1.9008229343244145</v>
      </c>
      <c r="G176" s="1988">
        <f t="shared" si="24"/>
        <v>0</v>
      </c>
      <c r="H176" s="15" t="s">
        <v>43</v>
      </c>
      <c r="I176" s="15" t="s">
        <v>75</v>
      </c>
    </row>
    <row r="177" spans="1:10">
      <c r="A177" t="s">
        <v>4875</v>
      </c>
      <c r="B177" s="469">
        <f t="shared" ref="B177:G177" si="25">SUM(B87,B129)</f>
        <v>3.0748606290542</v>
      </c>
      <c r="C177" s="469">
        <f t="shared" si="25"/>
        <v>5.9633722119815555</v>
      </c>
      <c r="D177" s="469">
        <f t="shared" si="25"/>
        <v>0.29817321823368143</v>
      </c>
      <c r="E177" s="469">
        <f t="shared" si="25"/>
        <v>0</v>
      </c>
      <c r="F177" s="469">
        <f t="shared" si="25"/>
        <v>1.9716399951818344</v>
      </c>
      <c r="G177" s="469">
        <f t="shared" si="25"/>
        <v>0</v>
      </c>
      <c r="H177" s="15" t="s">
        <v>43</v>
      </c>
      <c r="I177" s="15" t="s">
        <v>4882</v>
      </c>
    </row>
    <row r="178" spans="1:10">
      <c r="A178" t="s">
        <v>4884</v>
      </c>
      <c r="B178" s="1950">
        <f t="shared" ref="B178:G178" si="26">B91</f>
        <v>0</v>
      </c>
      <c r="C178" s="1950">
        <f t="shared" si="26"/>
        <v>0</v>
      </c>
      <c r="D178" s="1950">
        <f t="shared" si="26"/>
        <v>0</v>
      </c>
      <c r="E178" s="1950">
        <f t="shared" si="26"/>
        <v>5.5906556891894539</v>
      </c>
      <c r="F178" s="1950">
        <f t="shared" si="26"/>
        <v>1.8449163774325199</v>
      </c>
      <c r="G178" s="1950">
        <f t="shared" si="26"/>
        <v>0</v>
      </c>
      <c r="H178" s="15" t="s">
        <v>43</v>
      </c>
      <c r="I178" s="15" t="s">
        <v>4881</v>
      </c>
    </row>
    <row r="179" spans="1:10">
      <c r="A179" t="s">
        <v>5576</v>
      </c>
      <c r="B179" s="471">
        <f>B144</f>
        <v>0</v>
      </c>
      <c r="C179" s="471">
        <f t="shared" ref="C179:G179" si="27">C144</f>
        <v>0</v>
      </c>
      <c r="D179" s="471">
        <f t="shared" si="27"/>
        <v>0</v>
      </c>
      <c r="E179" s="471">
        <f t="shared" si="27"/>
        <v>0.49324674160546789</v>
      </c>
      <c r="F179" s="471">
        <f t="shared" si="27"/>
        <v>0</v>
      </c>
      <c r="G179" s="471">
        <f t="shared" si="27"/>
        <v>0</v>
      </c>
      <c r="H179" s="15" t="s">
        <v>43</v>
      </c>
      <c r="I179" s="15" t="s">
        <v>73</v>
      </c>
      <c r="J179" t="s">
        <v>5577</v>
      </c>
    </row>
    <row r="180" spans="1:10">
      <c r="A180" t="s">
        <v>5575</v>
      </c>
      <c r="B180" s="472">
        <f>SUM(B95,B145)</f>
        <v>0</v>
      </c>
      <c r="C180" s="472">
        <f t="shared" ref="C180:G180" si="28">SUM(C95,C145)</f>
        <v>0</v>
      </c>
      <c r="D180" s="472">
        <f t="shared" si="28"/>
        <v>0</v>
      </c>
      <c r="E180" s="472">
        <f t="shared" si="28"/>
        <v>0</v>
      </c>
      <c r="F180" s="472">
        <f t="shared" si="28"/>
        <v>0</v>
      </c>
      <c r="G180" s="472">
        <f t="shared" si="28"/>
        <v>6.0016946405273437</v>
      </c>
      <c r="H180" s="15" t="s">
        <v>43</v>
      </c>
      <c r="I180" s="15" t="s">
        <v>73</v>
      </c>
    </row>
    <row r="182" spans="1:10">
      <c r="A182" s="24" t="s">
        <v>162</v>
      </c>
      <c r="B182" s="25"/>
      <c r="C182" s="25"/>
      <c r="D182" s="25"/>
      <c r="E182" s="25"/>
      <c r="F182" s="25"/>
      <c r="G182" s="25"/>
      <c r="H182" s="26"/>
      <c r="I182" s="26"/>
      <c r="J182" s="25"/>
    </row>
    <row r="184" spans="1:10">
      <c r="A184" t="s">
        <v>4877</v>
      </c>
      <c r="B184" s="470">
        <f>B167</f>
        <v>13.53721385278452</v>
      </c>
      <c r="C184" s="470">
        <f t="shared" ref="C184:G184" si="29">C167</f>
        <v>6.2015340918730608</v>
      </c>
      <c r="D184" s="470">
        <f t="shared" si="29"/>
        <v>5.1369442888214465</v>
      </c>
      <c r="E184" s="470">
        <f t="shared" si="29"/>
        <v>5.8922221540555402</v>
      </c>
      <c r="F184" s="470">
        <f t="shared" si="29"/>
        <v>7.3689886927598698</v>
      </c>
      <c r="G184" s="470">
        <f t="shared" si="29"/>
        <v>3.6496440259232461</v>
      </c>
      <c r="H184" s="15" t="s">
        <v>43</v>
      </c>
      <c r="I184" s="15" t="s">
        <v>70</v>
      </c>
    </row>
    <row r="185" spans="1:10">
      <c r="A185" t="s">
        <v>4876</v>
      </c>
      <c r="B185" s="479">
        <f>SUM(B168,B177)/'Region-Independent Data'!$B$3</f>
        <v>4.3926580415060004</v>
      </c>
      <c r="C185" s="479">
        <f>SUM(C168,C177)/'Region-Independent Data'!$B$3</f>
        <v>25.435443836869872</v>
      </c>
      <c r="D185" s="479">
        <f>SUM(D168,D177)/'Region-Independent Data'!$B$3</f>
        <v>0.42596174033383061</v>
      </c>
      <c r="E185" s="479">
        <f>SUM(E168,E177)/'Region-Independent Data'!$B$3</f>
        <v>0</v>
      </c>
      <c r="F185" s="479">
        <f>SUM(F168,F177)/'Region-Independent Data'!$B$3</f>
        <v>8.0121652940245358</v>
      </c>
      <c r="G185" s="479">
        <f>SUM(G168,G177)/'Region-Independent Data'!$B$3</f>
        <v>0</v>
      </c>
      <c r="H185" s="15" t="s">
        <v>43</v>
      </c>
      <c r="I185" s="15" t="s">
        <v>70</v>
      </c>
    </row>
    <row r="186" spans="1:10">
      <c r="A186" t="s">
        <v>163</v>
      </c>
      <c r="B186" s="455">
        <f>'Region-Specific Data'!$M$5+(SUM('Region-Specific Data'!$M$3:$M$4)-B5)</f>
        <v>10.339994138086674</v>
      </c>
      <c r="C186" s="455">
        <f>'Region-Specific Data'!$M$5+(SUM('Region-Specific Data'!$M$3:$M$4)-C5)</f>
        <v>10.339994138086674</v>
      </c>
      <c r="D186" s="455">
        <f>'Region-Specific Data'!$M$5+(SUM('Region-Specific Data'!$M$3:$M$4)-D5)</f>
        <v>10.339994138086674</v>
      </c>
      <c r="E186" s="455">
        <f>'Region-Specific Data'!$M$5+(SUM('Region-Specific Data'!$M$3:$M$4)-E5)</f>
        <v>10.339994138086674</v>
      </c>
      <c r="F186" s="455">
        <f>'Region-Specific Data'!$M$5+(SUM('Region-Specific Data'!$M$3:$M$4)-F5)</f>
        <v>10.339994138086674</v>
      </c>
      <c r="G186" s="455">
        <f>'Region-Specific Data'!$M$5+(SUM('Region-Specific Data'!$M$3:$M$4)-G5)</f>
        <v>10.339994138086674</v>
      </c>
      <c r="H186" s="15" t="s">
        <v>43</v>
      </c>
      <c r="I186" s="15" t="s">
        <v>70</v>
      </c>
      <c r="J186" t="s">
        <v>164</v>
      </c>
    </row>
    <row r="187" spans="1:10">
      <c r="B187" s="455"/>
      <c r="C187" s="455"/>
      <c r="D187" s="455"/>
      <c r="E187" s="455"/>
      <c r="F187" s="455"/>
      <c r="G187" s="455"/>
    </row>
    <row r="188" spans="1:10">
      <c r="A188" s="24" t="s">
        <v>5434</v>
      </c>
      <c r="B188" s="25"/>
      <c r="C188" s="25"/>
      <c r="D188" s="25"/>
      <c r="E188" s="25"/>
      <c r="F188" s="25"/>
      <c r="G188" s="25"/>
      <c r="H188" s="26"/>
      <c r="I188" s="26"/>
      <c r="J188" s="25"/>
    </row>
    <row r="189" spans="1:10">
      <c r="B189" s="455"/>
      <c r="C189" s="455"/>
      <c r="D189" s="455"/>
      <c r="E189" s="455"/>
      <c r="F189" s="455"/>
      <c r="G189" s="455"/>
    </row>
    <row r="190" spans="1:10">
      <c r="A190" t="s">
        <v>156</v>
      </c>
      <c r="B190" s="1988">
        <f>B169</f>
        <v>1.3583966402096561</v>
      </c>
      <c r="C190" s="1988">
        <f t="shared" ref="C190:G190" si="30">C169</f>
        <v>1.6480182766661706</v>
      </c>
      <c r="D190" s="1988">
        <f t="shared" si="30"/>
        <v>13.757535637371687</v>
      </c>
      <c r="E190" s="1988">
        <f t="shared" si="30"/>
        <v>1.6480182766661706</v>
      </c>
      <c r="F190" s="1988">
        <f t="shared" si="30"/>
        <v>5.030901812558195</v>
      </c>
      <c r="G190" s="1988">
        <f t="shared" si="30"/>
        <v>1.2294838162586879</v>
      </c>
      <c r="H190" s="15" t="s">
        <v>43</v>
      </c>
      <c r="I190" s="15" t="s">
        <v>75</v>
      </c>
    </row>
    <row r="191" spans="1:10">
      <c r="A191" t="s">
        <v>161</v>
      </c>
      <c r="B191" s="1988">
        <f>B176</f>
        <v>2.5157950601352543</v>
      </c>
      <c r="C191" s="1988">
        <f t="shared" ref="C191:G191" si="31">C176</f>
        <v>0</v>
      </c>
      <c r="D191" s="1988">
        <f t="shared" si="31"/>
        <v>5.5906556891894539</v>
      </c>
      <c r="E191" s="1988">
        <f t="shared" si="31"/>
        <v>0</v>
      </c>
      <c r="F191" s="1988">
        <f t="shared" si="31"/>
        <v>1.9008229343244145</v>
      </c>
      <c r="G191" s="1988">
        <f t="shared" si="31"/>
        <v>0</v>
      </c>
      <c r="H191" s="15" t="s">
        <v>43</v>
      </c>
      <c r="I191" s="15" t="s">
        <v>75</v>
      </c>
    </row>
    <row r="192" spans="1:10">
      <c r="A192" t="s">
        <v>5435</v>
      </c>
      <c r="B192" s="455">
        <f>'Region-Specific Data'!$M$12+(SUM('Region-Specific Data'!$M$10:$M$11)-B7)</f>
        <v>3.2144288779488424</v>
      </c>
      <c r="C192" s="455">
        <f>'Region-Specific Data'!$M$12+(SUM('Region-Specific Data'!$M$10:$M$11)-C7)</f>
        <v>3.2144288779488424</v>
      </c>
      <c r="D192" s="455">
        <f>'Region-Specific Data'!$M$12+(SUM('Region-Specific Data'!$M$10:$M$11)-D7)</f>
        <v>3.2144288779488424</v>
      </c>
      <c r="E192" s="455">
        <f>'Region-Specific Data'!$M$12+(SUM('Region-Specific Data'!$M$10:$M$11)-E7)</f>
        <v>3.2144288779488424</v>
      </c>
      <c r="F192" s="455">
        <f>'Region-Specific Data'!$M$12+(SUM('Region-Specific Data'!$M$10:$M$11)-F7)</f>
        <v>3.2144288779488424</v>
      </c>
      <c r="G192" s="455">
        <f>'Region-Specific Data'!$M$12+(SUM('Region-Specific Data'!$M$10:$M$11)-G7)</f>
        <v>3.2144288779488424</v>
      </c>
      <c r="H192" s="15" t="s">
        <v>43</v>
      </c>
      <c r="I192" s="15" t="s">
        <v>75</v>
      </c>
      <c r="J192" t="s">
        <v>164</v>
      </c>
    </row>
    <row r="194" spans="1:10">
      <c r="A194" s="24" t="s">
        <v>165</v>
      </c>
      <c r="B194" s="25"/>
      <c r="C194" s="25"/>
      <c r="D194" s="25"/>
      <c r="E194" s="25"/>
      <c r="F194" s="25"/>
      <c r="G194" s="25"/>
      <c r="H194" s="26"/>
      <c r="I194" s="26"/>
      <c r="J194" s="25"/>
    </row>
    <row r="196" spans="1:10">
      <c r="A196" t="s">
        <v>166</v>
      </c>
      <c r="B196" s="455">
        <f>'Region-Specific Data'!$M$32</f>
        <v>10</v>
      </c>
      <c r="C196" s="455">
        <f>'Region-Specific Data'!$M$32</f>
        <v>10</v>
      </c>
      <c r="D196" s="455">
        <f>'Region-Specific Data'!$M$32</f>
        <v>10</v>
      </c>
      <c r="E196" s="455">
        <f>'Region-Specific Data'!$M$32</f>
        <v>10</v>
      </c>
      <c r="F196" s="455">
        <f>'Region-Specific Data'!$M$32</f>
        <v>10</v>
      </c>
      <c r="G196" s="455">
        <f>'Region-Specific Data'!$M$32</f>
        <v>10</v>
      </c>
      <c r="H196" s="15" t="s">
        <v>121</v>
      </c>
      <c r="I196" s="15" t="s">
        <v>93</v>
      </c>
      <c r="J196" t="s">
        <v>167</v>
      </c>
    </row>
    <row r="197" spans="1:10">
      <c r="A197" t="s">
        <v>168</v>
      </c>
      <c r="B197" s="455">
        <f>SUM(B168,B177)/'Region-Independent Data'!$B$41</f>
        <v>25.772027734927502</v>
      </c>
      <c r="C197" s="455">
        <f>SUM(C168,C177)/'Region-Independent Data'!$B$41</f>
        <v>149.23150352702129</v>
      </c>
      <c r="D197" s="455">
        <f>SUM(D168,D177)/'Region-Independent Data'!$B$41</f>
        <v>2.4991469133658657</v>
      </c>
      <c r="E197" s="455">
        <f>SUM(E168,E177)/'Region-Independent Data'!$B$41</f>
        <v>0</v>
      </c>
      <c r="F197" s="455">
        <f>SUM(F168,F177)/'Region-Independent Data'!$B$41</f>
        <v>47.007926458948738</v>
      </c>
      <c r="G197" s="455">
        <f>SUM(G168,G177)/'Region-Independent Data'!$B$41</f>
        <v>0</v>
      </c>
      <c r="H197" s="15" t="s">
        <v>121</v>
      </c>
      <c r="I197" s="15" t="s">
        <v>4882</v>
      </c>
    </row>
    <row r="198" spans="1:10">
      <c r="A198" t="s">
        <v>4883</v>
      </c>
      <c r="B198" s="455">
        <f>B178/'Region-Independent Data'!$B$41</f>
        <v>0</v>
      </c>
      <c r="C198" s="455">
        <f>C178/'Region-Independent Data'!$B$41</f>
        <v>0</v>
      </c>
      <c r="D198" s="455">
        <f>D178/'Region-Independent Data'!$B$41</f>
        <v>0</v>
      </c>
      <c r="E198" s="455">
        <f>E178/'Region-Independent Data'!$B$41</f>
        <v>46.858232245322725</v>
      </c>
      <c r="F198" s="455">
        <f>F178/'Region-Independent Data'!$B$41</f>
        <v>15.4632166409565</v>
      </c>
      <c r="G198" s="455">
        <f>G178/'Region-Independent Data'!$B$41</f>
        <v>0</v>
      </c>
      <c r="H198" s="15" t="s">
        <v>121</v>
      </c>
      <c r="I198" s="15" t="s">
        <v>4881</v>
      </c>
    </row>
    <row r="199" spans="1:10">
      <c r="A199" t="s">
        <v>169</v>
      </c>
      <c r="B199" s="455">
        <f t="shared" ref="B199:F199" si="32">B196*(B95/B9)</f>
        <v>0</v>
      </c>
      <c r="C199" s="455">
        <f t="shared" si="32"/>
        <v>0</v>
      </c>
      <c r="D199" s="455">
        <f t="shared" si="32"/>
        <v>0</v>
      </c>
      <c r="E199" s="455">
        <f t="shared" si="32"/>
        <v>0</v>
      </c>
      <c r="F199" s="455">
        <f t="shared" si="32"/>
        <v>0</v>
      </c>
      <c r="G199" s="455">
        <f>G196*(G95/G9)</f>
        <v>10</v>
      </c>
      <c r="H199" s="15" t="s">
        <v>121</v>
      </c>
      <c r="I199" s="15" t="s">
        <v>93</v>
      </c>
      <c r="J199" t="s">
        <v>5659</v>
      </c>
    </row>
    <row r="201" spans="1:10">
      <c r="A201" t="s">
        <v>170</v>
      </c>
      <c r="B201" s="455">
        <f>B185/'Unit Conversions'!$E$13</f>
        <v>1.2202166840328168</v>
      </c>
      <c r="C201" s="455">
        <f>C185/'Unit Conversions'!$E$13</f>
        <v>7.0655973313341525</v>
      </c>
      <c r="D201" s="455">
        <f>D185/'Unit Conversions'!$E$13</f>
        <v>0.11832599246373285</v>
      </c>
      <c r="E201" s="455">
        <f>E185/'Unit Conversions'!$E$13</f>
        <v>0</v>
      </c>
      <c r="F201" s="455">
        <f>F185/'Unit Conversions'!$E$13</f>
        <v>2.225663294210261</v>
      </c>
      <c r="G201" s="455">
        <f>G185/'Unit Conversions'!$E$13</f>
        <v>0</v>
      </c>
      <c r="H201" s="15" t="s">
        <v>52</v>
      </c>
      <c r="I201" s="15" t="s">
        <v>70</v>
      </c>
    </row>
    <row r="202" spans="1:10">
      <c r="A202" t="s">
        <v>171</v>
      </c>
      <c r="B202" s="11">
        <f>B201/8760/'Region-Independent Data'!$B$43*10^6</f>
        <v>278.58828402575728</v>
      </c>
      <c r="C202" s="11">
        <f>C201/8760/'Region-Independent Data'!$B$43*10^6</f>
        <v>1613.1500756470668</v>
      </c>
      <c r="D202" s="11">
        <f>D201/8760/'Region-Independent Data'!$B$43*10^6</f>
        <v>27.015066772541747</v>
      </c>
      <c r="E202" s="11">
        <f>E201/8760/'Region-Independent Data'!$B$43*10^6</f>
        <v>0</v>
      </c>
      <c r="F202" s="11">
        <f>F201/8760/'Region-Independent Data'!$B$43*10^6</f>
        <v>508.14230461421488</v>
      </c>
      <c r="G202" s="11">
        <f>G201/8760/'Region-Independent Data'!$B$43*10^6</f>
        <v>0</v>
      </c>
      <c r="H202" s="15" t="s">
        <v>58</v>
      </c>
      <c r="I202" s="15" t="s">
        <v>172</v>
      </c>
    </row>
    <row r="204" spans="1:10">
      <c r="A204" s="463" t="s">
        <v>173</v>
      </c>
      <c r="B204" s="464"/>
      <c r="C204" s="464"/>
      <c r="D204" s="464"/>
      <c r="E204" s="464"/>
      <c r="F204" s="464"/>
      <c r="G204" s="464"/>
      <c r="H204" s="473"/>
      <c r="I204" s="473"/>
      <c r="J204" s="464"/>
    </row>
    <row r="206" spans="1:10">
      <c r="A206" s="24" t="s">
        <v>59</v>
      </c>
      <c r="B206" s="25"/>
      <c r="C206" s="25"/>
      <c r="D206" s="25"/>
      <c r="E206" s="25"/>
      <c r="F206" s="25"/>
      <c r="G206" s="25"/>
      <c r="H206" s="26"/>
      <c r="I206" s="26"/>
      <c r="J206" s="25"/>
    </row>
    <row r="208" spans="1:10">
      <c r="A208" t="s">
        <v>5436</v>
      </c>
      <c r="B208" s="455">
        <f>B192*'Region-Independent Data'!$B$46</f>
        <v>12.429124994735524</v>
      </c>
      <c r="C208" s="455">
        <f>C192*'Region-Independent Data'!$B$46</f>
        <v>12.429124994735524</v>
      </c>
      <c r="D208" s="455">
        <f>D192*'Region-Independent Data'!$B$46</f>
        <v>12.429124994735524</v>
      </c>
      <c r="E208" s="455">
        <f>E192*'Region-Independent Data'!$B$46</f>
        <v>12.429124994735524</v>
      </c>
      <c r="F208" s="455">
        <f>F192*'Region-Independent Data'!$B$46</f>
        <v>12.429124994735524</v>
      </c>
      <c r="G208" s="455">
        <f>G192*'Region-Independent Data'!$B$46</f>
        <v>12.429124994735524</v>
      </c>
      <c r="H208" s="15" t="s">
        <v>60</v>
      </c>
      <c r="I208" s="15" t="s">
        <v>175</v>
      </c>
    </row>
    <row r="209" spans="1:10">
      <c r="A209" t="s">
        <v>4972</v>
      </c>
      <c r="B209" s="97">
        <f>B208/'Region-Specific Data'!$M$38</f>
        <v>3.062791493205988E-2</v>
      </c>
      <c r="C209" s="97">
        <f>C208/'Region-Specific Data'!$M$38</f>
        <v>3.062791493205988E-2</v>
      </c>
      <c r="D209" s="97">
        <f>D208/'Region-Specific Data'!$M$38</f>
        <v>3.062791493205988E-2</v>
      </c>
      <c r="E209" s="97">
        <f>E208/'Region-Specific Data'!$M$38</f>
        <v>3.062791493205988E-2</v>
      </c>
      <c r="F209" s="97">
        <f>F208/'Region-Specific Data'!$M$38</f>
        <v>3.062791493205988E-2</v>
      </c>
      <c r="G209" s="97">
        <f>G208/'Region-Specific Data'!$M$38</f>
        <v>3.062791493205988E-2</v>
      </c>
      <c r="H209" s="15" t="s">
        <v>61</v>
      </c>
      <c r="I209" s="15" t="s">
        <v>175</v>
      </c>
    </row>
    <row r="211" spans="1:10">
      <c r="A211" t="s">
        <v>174</v>
      </c>
      <c r="B211" s="455">
        <f>B7*'Region-Independent Data'!$B$46</f>
        <v>4.7540040895335931</v>
      </c>
      <c r="C211" s="455">
        <f>C7*'Region-Independent Data'!$B$46</f>
        <v>4.7540040895335931</v>
      </c>
      <c r="D211" s="455">
        <f>D7*'Region-Independent Data'!$B$46</f>
        <v>4.7540040895335931</v>
      </c>
      <c r="E211" s="455">
        <f>E7*'Region-Independent Data'!$B$46</f>
        <v>4.7540040895335931</v>
      </c>
      <c r="F211" s="455">
        <f>F7*'Region-Independent Data'!$B$46</f>
        <v>4.7540040895335931</v>
      </c>
      <c r="G211" s="455">
        <f>G7*'Region-Independent Data'!$B$46</f>
        <v>4.7540040895335931</v>
      </c>
      <c r="H211" s="15" t="s">
        <v>60</v>
      </c>
      <c r="I211" s="15" t="s">
        <v>175</v>
      </c>
    </row>
    <row r="212" spans="1:10">
      <c r="A212" t="s">
        <v>4972</v>
      </c>
      <c r="B212" s="97">
        <f>B211/'Region-Specific Data'!$M$38</f>
        <v>1.1714841785127448E-2</v>
      </c>
      <c r="C212" s="97">
        <f>C211/'Region-Specific Data'!$M$38</f>
        <v>1.1714841785127448E-2</v>
      </c>
      <c r="D212" s="97">
        <f>D211/'Region-Specific Data'!$M$38</f>
        <v>1.1714841785127448E-2</v>
      </c>
      <c r="E212" s="97">
        <f>E211/'Region-Specific Data'!$M$38</f>
        <v>1.1714841785127448E-2</v>
      </c>
      <c r="F212" s="97">
        <f>F211/'Region-Specific Data'!$M$38</f>
        <v>1.1714841785127448E-2</v>
      </c>
      <c r="G212" s="97">
        <f>G211/'Region-Specific Data'!$M$38</f>
        <v>1.1714841785127448E-2</v>
      </c>
      <c r="H212" s="15" t="s">
        <v>61</v>
      </c>
      <c r="I212" s="15" t="s">
        <v>175</v>
      </c>
    </row>
    <row r="213" spans="1:10">
      <c r="B213" s="455"/>
      <c r="C213" s="455"/>
      <c r="D213" s="455"/>
      <c r="E213" s="455"/>
      <c r="F213" s="455"/>
      <c r="G213" s="455"/>
    </row>
    <row r="214" spans="1:10">
      <c r="A214" t="s">
        <v>176</v>
      </c>
      <c r="B214" s="455">
        <f>(B169+B176)*'Region-Independent Data'!$B$46</f>
        <v>14.980207908000322</v>
      </c>
      <c r="C214" s="455">
        <f>(C169+C176)*'Region-Independent Data'!$B$46</f>
        <v>6.3723373364425262</v>
      </c>
      <c r="D214" s="455">
        <f>(D169+D176)*'Region-Independent Data'!$B$46</f>
        <v>74.813006462703086</v>
      </c>
      <c r="E214" s="455">
        <f>(E169+E176)*'Region-Independent Data'!$B$46</f>
        <v>6.3723373364425262</v>
      </c>
      <c r="F214" s="455">
        <f>(F169+F176)*'Region-Independent Data'!$B$46</f>
        <v>26.802669021279424</v>
      </c>
      <c r="G214" s="455">
        <f>(G169+G176)*'Region-Independent Data'!$B$46</f>
        <v>4.7540040895335931</v>
      </c>
      <c r="H214" s="15" t="s">
        <v>60</v>
      </c>
      <c r="I214" s="15" t="s">
        <v>175</v>
      </c>
    </row>
    <row r="215" spans="1:10">
      <c r="A215" t="s">
        <v>4972</v>
      </c>
      <c r="B215" s="97">
        <f>B214/'Region-Specific Data'!$M$38</f>
        <v>3.6914306812839928E-2</v>
      </c>
      <c r="C215" s="97">
        <f>C214/'Region-Specific Data'!$M$38</f>
        <v>1.5702747051109186E-2</v>
      </c>
      <c r="D215" s="97">
        <f>D214/'Region-Specific Data'!$M$38</f>
        <v>0.18435460249388808</v>
      </c>
      <c r="E215" s="97">
        <f>E214/'Region-Specific Data'!$M$38</f>
        <v>1.5702747051109186E-2</v>
      </c>
      <c r="F215" s="97">
        <f>F214/'Region-Specific Data'!$M$38</f>
        <v>6.6047277429715057E-2</v>
      </c>
      <c r="G215" s="97">
        <f>G214/'Region-Specific Data'!$M$38</f>
        <v>1.1714841785127448E-2</v>
      </c>
      <c r="H215" s="15" t="s">
        <v>61</v>
      </c>
      <c r="I215" s="15" t="s">
        <v>175</v>
      </c>
    </row>
    <row r="217" spans="1:10">
      <c r="A217" s="24" t="s">
        <v>177</v>
      </c>
      <c r="B217" s="25"/>
      <c r="C217" s="25"/>
      <c r="D217" s="25"/>
      <c r="E217" s="25"/>
      <c r="F217" s="25"/>
      <c r="G217" s="25"/>
      <c r="H217" s="26"/>
      <c r="I217" s="26"/>
      <c r="J217" s="25"/>
    </row>
    <row r="219" spans="1:10">
      <c r="A219" s="11" t="s">
        <v>178</v>
      </c>
      <c r="B219" s="11">
        <f>'Region-Specific Data'!$M$40</f>
        <v>775.6</v>
      </c>
      <c r="C219" s="11">
        <f>'Region-Specific Data'!$M$40</f>
        <v>775.6</v>
      </c>
      <c r="D219" s="11">
        <f>'Region-Specific Data'!$M$40</f>
        <v>775.6</v>
      </c>
      <c r="E219" s="11">
        <f>'Region-Specific Data'!$M$40</f>
        <v>775.6</v>
      </c>
      <c r="F219" s="11">
        <f>'Region-Specific Data'!$M$40</f>
        <v>775.6</v>
      </c>
      <c r="G219" s="11">
        <f>'Region-Specific Data'!$M$40</f>
        <v>775.6</v>
      </c>
      <c r="H219" s="15" t="s">
        <v>121</v>
      </c>
      <c r="I219" s="15" t="s">
        <v>122</v>
      </c>
    </row>
    <row r="220" spans="1:10">
      <c r="A220" t="s">
        <v>179</v>
      </c>
      <c r="B220" s="459">
        <f t="shared" ref="B220:G220" si="33">B172/B6</f>
        <v>0</v>
      </c>
      <c r="C220" s="459">
        <f t="shared" si="33"/>
        <v>0</v>
      </c>
      <c r="D220" s="459">
        <f t="shared" si="33"/>
        <v>0</v>
      </c>
      <c r="E220" s="459">
        <f t="shared" si="33"/>
        <v>0</v>
      </c>
      <c r="F220" s="459">
        <f t="shared" si="33"/>
        <v>0</v>
      </c>
      <c r="G220" s="459">
        <f t="shared" si="33"/>
        <v>1</v>
      </c>
      <c r="H220" s="15" t="s">
        <v>61</v>
      </c>
      <c r="I220" s="15" t="s">
        <v>73</v>
      </c>
    </row>
    <row r="221" spans="1:10">
      <c r="A221" t="s">
        <v>15</v>
      </c>
      <c r="B221" s="459">
        <f t="shared" ref="B221:G221" si="34">B171/B6</f>
        <v>0</v>
      </c>
      <c r="C221" s="459">
        <f t="shared" si="34"/>
        <v>0</v>
      </c>
      <c r="D221" s="459">
        <f t="shared" si="34"/>
        <v>0</v>
      </c>
      <c r="E221" s="459">
        <f t="shared" si="34"/>
        <v>0.94471467129774056</v>
      </c>
      <c r="F221" s="459">
        <f t="shared" si="34"/>
        <v>0.27424933186605882</v>
      </c>
      <c r="G221" s="459">
        <f t="shared" si="34"/>
        <v>0</v>
      </c>
      <c r="H221" s="15" t="s">
        <v>61</v>
      </c>
      <c r="I221" s="15" t="s">
        <v>73</v>
      </c>
      <c r="J221" t="s">
        <v>180</v>
      </c>
    </row>
    <row r="222" spans="1:10">
      <c r="A222" t="s">
        <v>181</v>
      </c>
      <c r="B222" s="7">
        <f>B219*(B220+(B221*(1-'Region-Independent Data'!$B$48)))</f>
        <v>0</v>
      </c>
      <c r="C222" s="7">
        <f>C219*(C220+(C221*(1-'Region-Independent Data'!$B$48)))</f>
        <v>0</v>
      </c>
      <c r="D222" s="7">
        <f>D219*(D220+(D221*(1-'Region-Independent Data'!$B$48)))</f>
        <v>0</v>
      </c>
      <c r="E222" s="7">
        <f>E219*(E220+(E221*(1-'Region-Independent Data'!$B$48)))</f>
        <v>73.272069905852732</v>
      </c>
      <c r="F222" s="7">
        <f>F219*(F220+(F221*(1-'Region-Independent Data'!$B$48)))</f>
        <v>21.270778179531519</v>
      </c>
      <c r="G222" s="7">
        <f>G219*(G220+(G221*(1-'Region-Independent Data'!$B$48)))</f>
        <v>775.6</v>
      </c>
      <c r="H222" s="15" t="s">
        <v>121</v>
      </c>
      <c r="I222" s="15" t="s">
        <v>122</v>
      </c>
    </row>
    <row r="224" spans="1:10">
      <c r="A224" s="24" t="s">
        <v>4887</v>
      </c>
      <c r="B224" s="25"/>
      <c r="C224" s="25"/>
      <c r="D224" s="25"/>
      <c r="E224" s="25"/>
      <c r="F224" s="25"/>
      <c r="G224" s="25"/>
      <c r="H224" s="26"/>
      <c r="I224" s="26"/>
      <c r="J224" s="25"/>
    </row>
    <row r="226" spans="1:10">
      <c r="A226" t="s">
        <v>4904</v>
      </c>
      <c r="B226" s="7">
        <f>B196*'Region-Specific Data'!$M$34</f>
        <v>120</v>
      </c>
      <c r="C226" s="7">
        <f>C196*'Region-Specific Data'!$M$34</f>
        <v>120</v>
      </c>
      <c r="D226" s="7">
        <f>D196*'Region-Specific Data'!$M$34</f>
        <v>120</v>
      </c>
      <c r="E226" s="7">
        <f>E196*'Region-Specific Data'!$M$34</f>
        <v>120</v>
      </c>
      <c r="F226" s="7">
        <f>F196*'Region-Specific Data'!$M$34</f>
        <v>120</v>
      </c>
      <c r="G226" s="7">
        <f>G196*'Region-Specific Data'!$M$34</f>
        <v>120</v>
      </c>
      <c r="H226" s="15" t="s">
        <v>121</v>
      </c>
      <c r="I226" s="15" t="s">
        <v>122</v>
      </c>
    </row>
    <row r="227" spans="1:10">
      <c r="A227" t="s">
        <v>4908</v>
      </c>
      <c r="B227">
        <f>B199*'Region-Specific Data'!$M$34</f>
        <v>0</v>
      </c>
      <c r="C227">
        <f>C199*'Region-Specific Data'!$M$34</f>
        <v>0</v>
      </c>
      <c r="D227">
        <f>D199*'Region-Specific Data'!$M$34</f>
        <v>0</v>
      </c>
      <c r="E227">
        <f>E199*'Region-Specific Data'!$M$34</f>
        <v>0</v>
      </c>
      <c r="F227">
        <f>F199*'Region-Specific Data'!$M$34</f>
        <v>0</v>
      </c>
      <c r="G227" s="7">
        <f>G199*'Region-Specific Data'!$M$34</f>
        <v>120</v>
      </c>
      <c r="H227" s="15" t="s">
        <v>121</v>
      </c>
      <c r="I227" s="15" t="s">
        <v>122</v>
      </c>
    </row>
    <row r="228" spans="1:10">
      <c r="A228" t="s">
        <v>4909</v>
      </c>
      <c r="B228" s="7">
        <f>B198*(1-'Region-Independent Data'!$B$48)*'Region-Specific Data'!$M$34</f>
        <v>0</v>
      </c>
      <c r="C228" s="7">
        <f>C198*(1-'Region-Independent Data'!$B$48)*'Region-Specific Data'!$M$34</f>
        <v>0</v>
      </c>
      <c r="D228" s="7">
        <f>D198*(1-'Region-Independent Data'!$B$48)*'Region-Specific Data'!$M$34</f>
        <v>0</v>
      </c>
      <c r="E228" s="7">
        <f>E198*(1-'Region-Independent Data'!$B$48)*'Region-Specific Data'!$M$34</f>
        <v>56.229878694387253</v>
      </c>
      <c r="F228" s="7">
        <f>F198*(1-'Region-Independent Data'!$B$48)*'Region-Specific Data'!$M$34</f>
        <v>18.555859969147797</v>
      </c>
      <c r="G228" s="7">
        <f>G198*(1-'Region-Independent Data'!$B$48)*'Region-Specific Data'!$M$34</f>
        <v>0</v>
      </c>
      <c r="H228" s="15" t="s">
        <v>121</v>
      </c>
      <c r="I228" s="15" t="s">
        <v>122</v>
      </c>
      <c r="J228" t="s">
        <v>180</v>
      </c>
    </row>
    <row r="230" spans="1:10">
      <c r="A230" s="24" t="s">
        <v>182</v>
      </c>
      <c r="B230" s="25"/>
      <c r="C230" s="25"/>
      <c r="D230" s="25"/>
      <c r="E230" s="25"/>
      <c r="F230" s="25"/>
      <c r="G230" s="25"/>
      <c r="H230" s="26"/>
      <c r="I230" s="26"/>
      <c r="J230" s="25"/>
    </row>
    <row r="232" spans="1:10">
      <c r="A232" t="s">
        <v>4910</v>
      </c>
      <c r="B232" s="11">
        <f>B219*B221*'Region-Independent Data'!$B$48</f>
        <v>0</v>
      </c>
      <c r="C232" s="11">
        <f>C219*C221*'Region-Independent Data'!$B$48</f>
        <v>0</v>
      </c>
      <c r="D232" s="11">
        <f>D219*D221*'Region-Independent Data'!$B$48</f>
        <v>0</v>
      </c>
      <c r="E232" s="11">
        <f>E219*E221*'Region-Independent Data'!$B$48</f>
        <v>659.44862915267481</v>
      </c>
      <c r="F232" s="11">
        <f>F219*F221*'Region-Independent Data'!$B$48</f>
        <v>191.43700361578371</v>
      </c>
      <c r="G232" s="11">
        <f>G219*G221*'Region-Independent Data'!$B$48</f>
        <v>0</v>
      </c>
      <c r="H232" s="15" t="s">
        <v>121</v>
      </c>
      <c r="I232" s="15" t="s">
        <v>122</v>
      </c>
      <c r="J232" t="s">
        <v>180</v>
      </c>
    </row>
    <row r="233" spans="1:10">
      <c r="A233" t="s">
        <v>183</v>
      </c>
      <c r="B233" s="459">
        <f>B232/'Region-Independent Data'!$B$49</f>
        <v>0</v>
      </c>
      <c r="C233" s="459">
        <f>C232/'Region-Independent Data'!$B$49</f>
        <v>0</v>
      </c>
      <c r="D233" s="459">
        <f>D232/'Region-Independent Data'!$B$49</f>
        <v>0</v>
      </c>
      <c r="E233" s="459">
        <f>E232/'Region-Independent Data'!$B$49</f>
        <v>0.2156070371624349</v>
      </c>
      <c r="F233" s="459">
        <f>F232/'Region-Independent Data'!$B$49</f>
        <v>6.2590417703783693E-2</v>
      </c>
      <c r="G233" s="459">
        <f>G232/'Region-Independent Data'!$B$49</f>
        <v>0</v>
      </c>
      <c r="H233" s="15" t="s">
        <v>61</v>
      </c>
      <c r="I233" s="15" t="s">
        <v>122</v>
      </c>
      <c r="J233" t="s">
        <v>184</v>
      </c>
    </row>
    <row r="234" spans="1:10">
      <c r="B234" s="459"/>
      <c r="C234" s="459"/>
      <c r="D234" s="459"/>
      <c r="E234" s="459"/>
      <c r="F234" s="459"/>
      <c r="G234" s="459"/>
    </row>
    <row r="235" spans="1:10">
      <c r="A235" t="s">
        <v>4905</v>
      </c>
      <c r="B235" s="11">
        <f>B198*'Region-Specific Data'!$M$34*'Region-Independent Data'!$B$48</f>
        <v>0</v>
      </c>
      <c r="C235" s="11">
        <f>C198*'Region-Specific Data'!$M$34*'Region-Independent Data'!$B$48</f>
        <v>0</v>
      </c>
      <c r="D235" s="11">
        <f>D198*'Region-Specific Data'!$M$34*'Region-Independent Data'!$B$48</f>
        <v>0</v>
      </c>
      <c r="E235" s="11">
        <f>E198*'Region-Specific Data'!$M$34*'Region-Independent Data'!$B$48</f>
        <v>506.0689082494855</v>
      </c>
      <c r="F235" s="11">
        <f>F198*'Region-Specific Data'!$M$34*'Region-Independent Data'!$B$48</f>
        <v>167.00273972233018</v>
      </c>
      <c r="G235" s="11">
        <f>G198*'Region-Specific Data'!$M$34*'Region-Independent Data'!$B$48</f>
        <v>0</v>
      </c>
      <c r="H235" s="15" t="s">
        <v>121</v>
      </c>
      <c r="I235" s="15" t="s">
        <v>122</v>
      </c>
      <c r="J235" t="s">
        <v>180</v>
      </c>
    </row>
    <row r="236" spans="1:10">
      <c r="A236" t="s">
        <v>183</v>
      </c>
      <c r="B236" s="459">
        <f>B235/'Region-Independent Data'!$B$49</f>
        <v>0</v>
      </c>
      <c r="C236" s="459">
        <f>C235/'Region-Independent Data'!$B$49</f>
        <v>0</v>
      </c>
      <c r="D236" s="459">
        <f>D235/'Region-Independent Data'!$B$49</f>
        <v>0</v>
      </c>
      <c r="E236" s="459">
        <f>E235/'Region-Independent Data'!$B$49</f>
        <v>0.16545946580842491</v>
      </c>
      <c r="F236" s="459">
        <f>F235/'Region-Independent Data'!$B$49</f>
        <v>5.4601623716780207E-2</v>
      </c>
      <c r="G236" s="459">
        <f>G235/'Region-Independent Data'!$B$49</f>
        <v>0</v>
      </c>
      <c r="H236" s="15" t="s">
        <v>61</v>
      </c>
      <c r="I236" s="15" t="s">
        <v>122</v>
      </c>
      <c r="J236" t="s">
        <v>184</v>
      </c>
    </row>
    <row r="237" spans="1:10">
      <c r="B237" s="459"/>
      <c r="C237" s="459"/>
      <c r="D237" s="459"/>
      <c r="E237" s="459"/>
      <c r="F237" s="459"/>
      <c r="G237" s="459"/>
    </row>
    <row r="238" spans="1:10">
      <c r="A238" t="s">
        <v>5561</v>
      </c>
      <c r="B238" s="1997">
        <f>B158</f>
        <v>61.572519778561336</v>
      </c>
      <c r="C238" s="1997">
        <f t="shared" ref="C238:G238" si="35">C158</f>
        <v>61.572519778561336</v>
      </c>
      <c r="D238" s="1997">
        <f t="shared" si="35"/>
        <v>61.572519778561336</v>
      </c>
      <c r="E238" s="1997">
        <f t="shared" si="35"/>
        <v>106.14713329327313</v>
      </c>
      <c r="F238" s="1997">
        <f t="shared" si="35"/>
        <v>61.572519778561336</v>
      </c>
      <c r="G238" s="1997">
        <f t="shared" si="35"/>
        <v>0</v>
      </c>
      <c r="H238" s="15" t="s">
        <v>121</v>
      </c>
      <c r="I238" s="15" t="s">
        <v>122</v>
      </c>
      <c r="J238" t="s">
        <v>180</v>
      </c>
    </row>
    <row r="239" spans="1:10">
      <c r="A239" t="s">
        <v>183</v>
      </c>
      <c r="B239" s="459">
        <f>B238/'Region-Independent Data'!$B$49</f>
        <v>2.0131164086486426E-2</v>
      </c>
      <c r="C239" s="459">
        <f>C238/'Region-Independent Data'!$B$49</f>
        <v>2.0131164086486426E-2</v>
      </c>
      <c r="D239" s="459">
        <f>D238/'Region-Independent Data'!$B$49</f>
        <v>2.0131164086486426E-2</v>
      </c>
      <c r="E239" s="459">
        <f>E238/'Region-Independent Data'!$B$49</f>
        <v>3.4704854784602356E-2</v>
      </c>
      <c r="F239" s="459">
        <f>F238/'Region-Independent Data'!$B$49</f>
        <v>2.0131164086486426E-2</v>
      </c>
      <c r="G239" s="459">
        <f>G238/'Region-Independent Data'!$B$49</f>
        <v>0</v>
      </c>
      <c r="H239" s="15" t="s">
        <v>61</v>
      </c>
      <c r="I239" s="15" t="s">
        <v>122</v>
      </c>
      <c r="J239" t="s">
        <v>184</v>
      </c>
    </row>
    <row r="241" spans="1:10">
      <c r="A241" s="24" t="s">
        <v>185</v>
      </c>
      <c r="B241" s="25"/>
      <c r="C241" s="25"/>
      <c r="D241" s="25"/>
      <c r="E241" s="25"/>
      <c r="F241" s="25"/>
      <c r="G241" s="25"/>
      <c r="H241" s="26"/>
      <c r="I241" s="26"/>
      <c r="J241" s="25"/>
    </row>
    <row r="243" spans="1:10">
      <c r="A243" t="s">
        <v>186</v>
      </c>
      <c r="B243" s="459">
        <f t="shared" ref="B243:G243" si="36">B5/SUM(B5,B186)</f>
        <v>0.26088194584706331</v>
      </c>
      <c r="C243" s="459">
        <f t="shared" si="36"/>
        <v>0.26088194584706331</v>
      </c>
      <c r="D243" s="459">
        <f t="shared" si="36"/>
        <v>0.26088194584706331</v>
      </c>
      <c r="E243" s="459">
        <f t="shared" si="36"/>
        <v>0.26088194584706331</v>
      </c>
      <c r="F243" s="459">
        <f t="shared" si="36"/>
        <v>0.26088194584706331</v>
      </c>
      <c r="G243" s="459">
        <f t="shared" si="36"/>
        <v>0.26088194584706331</v>
      </c>
      <c r="H243" s="15" t="s">
        <v>61</v>
      </c>
      <c r="I243" s="15" t="s">
        <v>70</v>
      </c>
    </row>
    <row r="245" spans="1:10">
      <c r="A245" t="s">
        <v>5952</v>
      </c>
      <c r="B245" s="7">
        <f>'Region-Specific Data'!$M$42*B$243</f>
        <v>37.558019601873276</v>
      </c>
      <c r="C245" s="7">
        <f>'Region-Specific Data'!$M$42*C$243</f>
        <v>37.558019601873276</v>
      </c>
      <c r="D245" s="7">
        <f>'Region-Specific Data'!$M$42*D$243</f>
        <v>37.558019601873276</v>
      </c>
      <c r="E245" s="7">
        <f>'Region-Specific Data'!$M$42*E$243</f>
        <v>37.558019601873276</v>
      </c>
      <c r="F245" s="7">
        <f>'Region-Specific Data'!$M$42*F$243</f>
        <v>37.558019601873276</v>
      </c>
      <c r="G245" s="7">
        <f>'Region-Specific Data'!$M$42*G$243</f>
        <v>37.558019601873276</v>
      </c>
      <c r="H245" s="15" t="s">
        <v>58</v>
      </c>
      <c r="I245" s="15" t="s">
        <v>187</v>
      </c>
    </row>
    <row r="246" spans="1:10">
      <c r="A246" t="s">
        <v>5945</v>
      </c>
      <c r="B246" s="7">
        <f>'Region-Specific Data'!$M$43*B$243</f>
        <v>0.12052745898134326</v>
      </c>
      <c r="C246" s="7">
        <f>'Region-Specific Data'!$M$43*C$243</f>
        <v>0.12052745898134326</v>
      </c>
      <c r="D246" s="7">
        <f>'Region-Specific Data'!$M$43*D$243</f>
        <v>0.12052745898134326</v>
      </c>
      <c r="E246" s="7">
        <f>'Region-Specific Data'!$M$43*E$243</f>
        <v>0.12052745898134326</v>
      </c>
      <c r="F246" s="7">
        <f>'Region-Specific Data'!$M$43*F$243</f>
        <v>0.12052745898134326</v>
      </c>
      <c r="G246" s="7">
        <f>'Region-Specific Data'!$M$43*G$243</f>
        <v>0.12052745898134326</v>
      </c>
      <c r="H246" s="15" t="s">
        <v>58</v>
      </c>
      <c r="I246" s="15" t="s">
        <v>187</v>
      </c>
    </row>
    <row r="247" spans="1:10">
      <c r="A247" t="s">
        <v>5946</v>
      </c>
      <c r="B247" s="7">
        <f>'Region-Specific Data'!$M$44*B$243</f>
        <v>19.947352898968177</v>
      </c>
      <c r="C247" s="7">
        <f>'Region-Specific Data'!$M$44*C$243</f>
        <v>19.947352898968177</v>
      </c>
      <c r="D247" s="7">
        <f>'Region-Specific Data'!$M$44*D$243</f>
        <v>19.947352898968177</v>
      </c>
      <c r="E247" s="7">
        <f>'Region-Specific Data'!$M$44*E$243</f>
        <v>19.947352898968177</v>
      </c>
      <c r="F247" s="7">
        <f>'Region-Specific Data'!$M$44*F$243</f>
        <v>19.947352898968177</v>
      </c>
      <c r="G247" s="7">
        <f>'Region-Specific Data'!$M$44*G$243</f>
        <v>19.947352898968177</v>
      </c>
      <c r="H247" s="15" t="s">
        <v>58</v>
      </c>
      <c r="I247" s="15" t="s">
        <v>187</v>
      </c>
    </row>
    <row r="248" spans="1:10">
      <c r="A248" t="s">
        <v>5947</v>
      </c>
      <c r="B248" s="7">
        <f>'Region-Specific Data'!$M$45*B$243</f>
        <v>0.66279667161904909</v>
      </c>
      <c r="C248" s="7">
        <f>'Region-Specific Data'!$M$45*C$243</f>
        <v>0.66279667161904909</v>
      </c>
      <c r="D248" s="7">
        <f>'Region-Specific Data'!$M$45*D$243</f>
        <v>0.66279667161904909</v>
      </c>
      <c r="E248" s="7">
        <f>'Region-Specific Data'!$M$45*E$243</f>
        <v>0.66279667161904909</v>
      </c>
      <c r="F248" s="7">
        <f>'Region-Specific Data'!$M$45*F$243</f>
        <v>0.66279667161904909</v>
      </c>
      <c r="G248" s="7">
        <f>'Region-Specific Data'!$M$45*G$243</f>
        <v>0.66279667161904909</v>
      </c>
      <c r="H248" s="15" t="s">
        <v>58</v>
      </c>
      <c r="I248" s="15" t="s">
        <v>187</v>
      </c>
    </row>
    <row r="249" spans="1:10">
      <c r="A249" t="s">
        <v>5948</v>
      </c>
      <c r="B249" s="7">
        <f>'Region-Specific Data'!$M$46*B$243</f>
        <v>20.667876223154536</v>
      </c>
      <c r="C249" s="7">
        <f>'Region-Specific Data'!$M$46*C$243</f>
        <v>20.667876223154536</v>
      </c>
      <c r="D249" s="7">
        <f>'Region-Specific Data'!$M$46*D$243</f>
        <v>20.667876223154536</v>
      </c>
      <c r="E249" s="7">
        <f>'Region-Specific Data'!$M$46*E$243</f>
        <v>20.667876223154536</v>
      </c>
      <c r="F249" s="7">
        <f>'Region-Specific Data'!$M$46*F$243</f>
        <v>20.667876223154536</v>
      </c>
      <c r="G249" s="7">
        <f>'Region-Specific Data'!$M$46*G$243</f>
        <v>20.667876223154536</v>
      </c>
      <c r="H249" s="15" t="s">
        <v>58</v>
      </c>
      <c r="I249" s="15" t="s">
        <v>187</v>
      </c>
    </row>
    <row r="250" spans="1:10">
      <c r="A250" t="s">
        <v>5949</v>
      </c>
      <c r="B250" s="7">
        <f>'Region-Specific Data'!$M$47*B$243</f>
        <v>0.69845949449828848</v>
      </c>
      <c r="C250" s="7">
        <f>'Region-Specific Data'!$M$47*C$243</f>
        <v>0.69845949449828848</v>
      </c>
      <c r="D250" s="7">
        <f>'Region-Specific Data'!$M$47*D$243</f>
        <v>0.69845949449828848</v>
      </c>
      <c r="E250" s="7">
        <f>'Region-Specific Data'!$M$47*E$243</f>
        <v>0.69845949449828848</v>
      </c>
      <c r="F250" s="7">
        <f>'Region-Specific Data'!$M$47*F$243</f>
        <v>0.69845949449828848</v>
      </c>
      <c r="G250" s="7">
        <f>'Region-Specific Data'!$M$47*G$243</f>
        <v>0.69845949449828848</v>
      </c>
      <c r="H250" s="15" t="s">
        <v>58</v>
      </c>
      <c r="I250" s="15" t="s">
        <v>187</v>
      </c>
    </row>
    <row r="251" spans="1:10">
      <c r="A251" t="s">
        <v>5950</v>
      </c>
      <c r="B251" s="7">
        <f>'Region-Specific Data'!$M$48*B$243</f>
        <v>24.725506698470184</v>
      </c>
      <c r="C251" s="7">
        <f>'Region-Specific Data'!$M$48*C$243</f>
        <v>24.725506698470184</v>
      </c>
      <c r="D251" s="7">
        <f>'Region-Specific Data'!$M$48*D$243</f>
        <v>24.725506698470184</v>
      </c>
      <c r="E251" s="7">
        <f>'Region-Specific Data'!$M$48*E$243</f>
        <v>24.725506698470184</v>
      </c>
      <c r="F251" s="7">
        <f>'Region-Specific Data'!$M$48*F$243</f>
        <v>24.725506698470184</v>
      </c>
      <c r="G251" s="7">
        <f>'Region-Specific Data'!$M$48*G$243</f>
        <v>24.725506698470184</v>
      </c>
      <c r="H251" s="15" t="s">
        <v>58</v>
      </c>
      <c r="I251" s="15" t="s">
        <v>187</v>
      </c>
    </row>
    <row r="252" spans="1:10">
      <c r="A252" t="s">
        <v>5951</v>
      </c>
      <c r="B252" s="7">
        <f>'Region-Specific Data'!$M$49*B$243</f>
        <v>0</v>
      </c>
      <c r="C252" s="7">
        <f>'Region-Specific Data'!$M$49*C$243</f>
        <v>0</v>
      </c>
      <c r="D252" s="7">
        <f>'Region-Specific Data'!$M$49*D$243</f>
        <v>0</v>
      </c>
      <c r="E252" s="7">
        <f>'Region-Specific Data'!$M$49*E$243</f>
        <v>0</v>
      </c>
      <c r="F252" s="7">
        <f>'Region-Specific Data'!$M$49*F$243</f>
        <v>0</v>
      </c>
      <c r="G252" s="7">
        <f>'Region-Specific Data'!$M$49*G$243</f>
        <v>0</v>
      </c>
      <c r="H252" s="15" t="s">
        <v>58</v>
      </c>
      <c r="I252" s="15" t="s">
        <v>187</v>
      </c>
    </row>
    <row r="253" spans="1:10">
      <c r="A253" t="s">
        <v>5953</v>
      </c>
      <c r="B253" s="7">
        <f>'Region-Specific Data'!$M$50*B$243</f>
        <v>183.3899702367371</v>
      </c>
      <c r="C253" s="7">
        <f>'Region-Specific Data'!$M$50*C$243</f>
        <v>183.3899702367371</v>
      </c>
      <c r="D253" s="7">
        <f>'Region-Specific Data'!$M$50*D$243</f>
        <v>183.3899702367371</v>
      </c>
      <c r="E253" s="7">
        <f>'Region-Specific Data'!$M$50*E$243</f>
        <v>183.3899702367371</v>
      </c>
      <c r="F253" s="7">
        <f>'Region-Specific Data'!$M$50*F$243</f>
        <v>183.3899702367371</v>
      </c>
      <c r="G253" s="7">
        <f>'Region-Specific Data'!$M$50*G$243</f>
        <v>183.3899702367371</v>
      </c>
      <c r="H253" s="15" t="s">
        <v>58</v>
      </c>
      <c r="I253" s="15" t="s">
        <v>187</v>
      </c>
    </row>
    <row r="255" spans="1:10">
      <c r="A255" t="s">
        <v>188</v>
      </c>
      <c r="B255" s="455">
        <f>SUM(B$184:B$185)*'Scenario Controls'!B56/'Unit Conversions'!$E$13</f>
        <v>1.4941974964536624</v>
      </c>
      <c r="C255" s="455">
        <f>SUM(C$184:C$185)*'Scenario Controls'!C56/'Unit Conversions'!$E$13</f>
        <v>2.6364880627808858</v>
      </c>
      <c r="D255" s="455">
        <f>SUM(D$184:D$185)*'Scenario Controls'!D56/'Unit Conversions'!$E$13</f>
        <v>0.46358837981534307</v>
      </c>
      <c r="E255" s="455">
        <f>SUM(E$184:E$185)*'Scenario Controls'!E56/'Unit Conversions'!$E$13</f>
        <v>0.49103215254661864</v>
      </c>
      <c r="F255" s="455">
        <f>SUM(F$184:F$185)*'Scenario Controls'!F56/'Unit Conversions'!$E$13</f>
        <v>1.2817984375526925</v>
      </c>
      <c r="G255" s="455">
        <f>SUM(G$184:G$185)*'Scenario Controls'!G56/'Unit Conversions'!$E$13</f>
        <v>0.30414545059957127</v>
      </c>
      <c r="H255" s="15" t="s">
        <v>52</v>
      </c>
      <c r="I255" s="15" t="s">
        <v>70</v>
      </c>
    </row>
    <row r="256" spans="1:10">
      <c r="A256" t="s">
        <v>189</v>
      </c>
      <c r="B256" s="455">
        <f>SUM(B$184:B$185)*'Scenario Controls'!B57/'Unit Conversions'!$E$13</f>
        <v>0.2490329160756104</v>
      </c>
      <c r="C256" s="455">
        <f>SUM(C$184:C$185)*'Scenario Controls'!C57/'Unit Conversions'!$E$13</f>
        <v>0.43941467713014759</v>
      </c>
      <c r="D256" s="455">
        <f>SUM(D$184:D$185)*'Scenario Controls'!D57/'Unit Conversions'!$E$13</f>
        <v>7.7264729969223858E-2</v>
      </c>
      <c r="E256" s="455">
        <f>SUM(E$184:E$185)*'Scenario Controls'!E57/'Unit Conversions'!$E$13</f>
        <v>8.1838692091103116E-2</v>
      </c>
      <c r="F256" s="455">
        <f>SUM(F$184:F$185)*'Scenario Controls'!F57/'Unit Conversions'!$E$13</f>
        <v>0.21363307292544878</v>
      </c>
      <c r="G256" s="455">
        <f>SUM(G$184:G$185)*'Scenario Controls'!G57/'Unit Conversions'!$E$13</f>
        <v>5.0690908433261891E-2</v>
      </c>
      <c r="H256" s="15" t="s">
        <v>52</v>
      </c>
      <c r="I256" s="15" t="s">
        <v>70</v>
      </c>
    </row>
    <row r="257" spans="1:10">
      <c r="A257" t="s">
        <v>190</v>
      </c>
      <c r="B257" s="455">
        <f>SUM(B$184:B$185)*'Scenario Controls'!B58/'Unit Conversions'!$E$13</f>
        <v>1.4941974964536624</v>
      </c>
      <c r="C257" s="455">
        <f>SUM(C$184:C$185)*'Scenario Controls'!C58/'Unit Conversions'!$E$13</f>
        <v>2.6364880627808858</v>
      </c>
      <c r="D257" s="455">
        <f>SUM(D$184:D$185)*'Scenario Controls'!D58/'Unit Conversions'!$E$13</f>
        <v>0.46358837981534307</v>
      </c>
      <c r="E257" s="455">
        <f>SUM(E$184:E$185)*'Scenario Controls'!E58/'Unit Conversions'!$E$13</f>
        <v>0.49103215254661864</v>
      </c>
      <c r="F257" s="455">
        <f>SUM(F$184:F$185)*'Scenario Controls'!F58/'Unit Conversions'!$E$13</f>
        <v>1.2817984375526925</v>
      </c>
      <c r="G257" s="455">
        <f>SUM(G$184:G$185)*'Scenario Controls'!G58/'Unit Conversions'!$E$13</f>
        <v>0.30414545059957127</v>
      </c>
      <c r="H257" s="15" t="s">
        <v>52</v>
      </c>
      <c r="I257" s="15" t="s">
        <v>70</v>
      </c>
    </row>
    <row r="258" spans="1:10">
      <c r="A258" t="s">
        <v>191</v>
      </c>
      <c r="B258" s="455">
        <f>SUM(B$184:B$185)*'Scenario Controls'!B59/'Unit Conversions'!$E$13</f>
        <v>0.14941974964536622</v>
      </c>
      <c r="C258" s="455">
        <f>SUM(C$184:C$185)*'Scenario Controls'!C59/'Unit Conversions'!$E$13</f>
        <v>0.26364880627808857</v>
      </c>
      <c r="D258" s="455">
        <f>SUM(D$184:D$185)*'Scenario Controls'!D59/'Unit Conversions'!$E$13</f>
        <v>4.6358837981534312E-2</v>
      </c>
      <c r="E258" s="455">
        <f>SUM(E$184:E$185)*'Scenario Controls'!E59/'Unit Conversions'!$E$13</f>
        <v>4.9103215254661867E-2</v>
      </c>
      <c r="F258" s="455">
        <f>SUM(F$184:F$185)*'Scenario Controls'!F59/'Unit Conversions'!$E$13</f>
        <v>0.12817984375526925</v>
      </c>
      <c r="G258" s="455">
        <f>SUM(G$184:G$185)*'Scenario Controls'!G59/'Unit Conversions'!$E$13</f>
        <v>3.0414545059957131E-2</v>
      </c>
      <c r="H258" s="15" t="s">
        <v>52</v>
      </c>
      <c r="I258" s="15" t="s">
        <v>70</v>
      </c>
    </row>
    <row r="259" spans="1:10">
      <c r="A259" t="s">
        <v>192</v>
      </c>
      <c r="B259" s="455">
        <f>SUM(B$184:B$185)*'Scenario Controls'!B60/'Unit Conversions'!$E$13</f>
        <v>9.9613166430244163E-2</v>
      </c>
      <c r="C259" s="455">
        <f>SUM(C$184:C$185)*'Scenario Controls'!C60/'Unit Conversions'!$E$13</f>
        <v>0.17576587085205903</v>
      </c>
      <c r="D259" s="455">
        <f>SUM(D$184:D$185)*'Scenario Controls'!D60/'Unit Conversions'!$E$13</f>
        <v>3.0905891987689543E-2</v>
      </c>
      <c r="E259" s="455">
        <f>SUM(E$184:E$185)*'Scenario Controls'!E60/'Unit Conversions'!$E$13</f>
        <v>3.2735476836441249E-2</v>
      </c>
      <c r="F259" s="455">
        <f>SUM(F$184:F$185)*'Scenario Controls'!F60/'Unit Conversions'!$E$13</f>
        <v>8.5453229170179501E-2</v>
      </c>
      <c r="G259" s="455">
        <f>SUM(G$184:G$185)*'Scenario Controls'!G60/'Unit Conversions'!$E$13</f>
        <v>2.0276363373304754E-2</v>
      </c>
      <c r="H259" s="15" t="s">
        <v>52</v>
      </c>
      <c r="I259" s="15" t="s">
        <v>70</v>
      </c>
    </row>
    <row r="260" spans="1:10">
      <c r="A260" t="s">
        <v>193</v>
      </c>
      <c r="B260" s="455">
        <f>SUM(B$184:B$185)*'Scenario Controls'!B61/'Unit Conversions'!$E$13</f>
        <v>0.4980658321512208</v>
      </c>
      <c r="C260" s="455">
        <f>SUM(C$184:C$185)*'Scenario Controls'!C61/'Unit Conversions'!$E$13</f>
        <v>0.87882935426029518</v>
      </c>
      <c r="D260" s="455">
        <f>SUM(D$184:D$185)*'Scenario Controls'!D61/'Unit Conversions'!$E$13</f>
        <v>0.15452945993844772</v>
      </c>
      <c r="E260" s="455">
        <f>SUM(E$184:E$185)*'Scenario Controls'!E61/'Unit Conversions'!$E$13</f>
        <v>0.16367738418220623</v>
      </c>
      <c r="F260" s="455">
        <f>SUM(F$184:F$185)*'Scenario Controls'!F61/'Unit Conversions'!$E$13</f>
        <v>0.42726614585089756</v>
      </c>
      <c r="G260" s="455">
        <f>SUM(G$184:G$185)*'Scenario Controls'!G61/'Unit Conversions'!$E$13</f>
        <v>0.10138181686652378</v>
      </c>
      <c r="H260" s="15" t="s">
        <v>52</v>
      </c>
      <c r="I260" s="15" t="s">
        <v>70</v>
      </c>
    </row>
    <row r="261" spans="1:10">
      <c r="A261" t="s">
        <v>194</v>
      </c>
      <c r="B261" s="455">
        <f>SUM(B$184:B$185)*'Scenario Controls'!B62/'Unit Conversions'!$E$13</f>
        <v>0.4980658321512208</v>
      </c>
      <c r="C261" s="455">
        <f>SUM(C$184:C$185)*'Scenario Controls'!C62/'Unit Conversions'!$E$13</f>
        <v>0.87882935426029518</v>
      </c>
      <c r="D261" s="455">
        <f>SUM(D$184:D$185)*'Scenario Controls'!D62/'Unit Conversions'!$E$13</f>
        <v>0.15452945993844772</v>
      </c>
      <c r="E261" s="455">
        <f>SUM(E$184:E$185)*'Scenario Controls'!E62/'Unit Conversions'!$E$13</f>
        <v>0.16367738418220623</v>
      </c>
      <c r="F261" s="455">
        <f>SUM(F$184:F$185)*'Scenario Controls'!F62/'Unit Conversions'!$E$13</f>
        <v>0.42726614585089756</v>
      </c>
      <c r="G261" s="455">
        <f>SUM(G$184:G$185)*'Scenario Controls'!G62/'Unit Conversions'!$E$13</f>
        <v>0.10138181686652378</v>
      </c>
      <c r="H261" s="15" t="s">
        <v>52</v>
      </c>
      <c r="I261" s="15" t="s">
        <v>70</v>
      </c>
    </row>
    <row r="262" spans="1:10">
      <c r="A262" t="s">
        <v>195</v>
      </c>
      <c r="B262" s="455">
        <f>SUM(B$184:B$185)*'Scenario Controls'!B63/'Unit Conversions'!$E$13</f>
        <v>0.4980658321512208</v>
      </c>
      <c r="C262" s="455">
        <f>SUM(C$184:C$185)*'Scenario Controls'!C63/'Unit Conversions'!$E$13</f>
        <v>0.87882935426029518</v>
      </c>
      <c r="D262" s="455">
        <f>SUM(D$184:D$185)*'Scenario Controls'!D63/'Unit Conversions'!$E$13</f>
        <v>0.15452945993844772</v>
      </c>
      <c r="E262" s="455">
        <f>SUM(E$184:E$185)*'Scenario Controls'!E63/'Unit Conversions'!$E$13</f>
        <v>0.16367738418220623</v>
      </c>
      <c r="F262" s="455">
        <f>SUM(F$184:F$185)*'Scenario Controls'!F63/'Unit Conversions'!$E$13</f>
        <v>0.42726614585089756</v>
      </c>
      <c r="G262" s="455">
        <f>SUM(G$184:G$185)*'Scenario Controls'!G63/'Unit Conversions'!$E$13</f>
        <v>0.10138181686652378</v>
      </c>
      <c r="H262" s="15" t="s">
        <v>52</v>
      </c>
      <c r="I262" s="15" t="s">
        <v>70</v>
      </c>
    </row>
    <row r="263" spans="1:10">
      <c r="A263" t="s">
        <v>196</v>
      </c>
      <c r="B263" s="455">
        <f>SUM(B$184:B$185)*'Scenario Controls'!B64/'Unit Conversions'!$E$13</f>
        <v>0</v>
      </c>
      <c r="C263" s="455">
        <f>SUM(C$184:C$185)*'Scenario Controls'!C64/'Unit Conversions'!$E$13</f>
        <v>0</v>
      </c>
      <c r="D263" s="455">
        <f>SUM(D$184:D$185)*'Scenario Controls'!D64/'Unit Conversions'!$E$13</f>
        <v>0</v>
      </c>
      <c r="E263" s="455">
        <f>SUM(E$184:E$185)*'Scenario Controls'!E64/'Unit Conversions'!$E$13</f>
        <v>0</v>
      </c>
      <c r="F263" s="455">
        <f>SUM(F$184:F$185)*'Scenario Controls'!F64/'Unit Conversions'!$E$13</f>
        <v>0</v>
      </c>
      <c r="G263" s="455">
        <f>SUM(G$184:G$185)*'Scenario Controls'!G64/'Unit Conversions'!$E$13</f>
        <v>0</v>
      </c>
      <c r="H263" s="15" t="s">
        <v>52</v>
      </c>
      <c r="I263" s="15" t="s">
        <v>70</v>
      </c>
    </row>
    <row r="265" spans="1:10">
      <c r="A265" t="s">
        <v>197</v>
      </c>
      <c r="B265" s="11">
        <f>B255/8760/'Region-Independent Data'!$B51*(1+'Region-Specific Data'!$M$52)*10^6</f>
        <v>478.26792067834572</v>
      </c>
      <c r="C265" s="11">
        <f>C255/8760/'Region-Independent Data'!$B51*(1+'Region-Specific Data'!$M$52)*10^6</f>
        <v>843.89624977436722</v>
      </c>
      <c r="D265" s="11">
        <f>D255/8760/'Region-Independent Data'!$B51*(1+'Region-Specific Data'!$M$52)*10^6</f>
        <v>148.38697761919533</v>
      </c>
      <c r="E265" s="11">
        <f>E255/8760/'Region-Independent Data'!$B51*(1+'Region-Specific Data'!$M$52)*10^6</f>
        <v>157.17127564600128</v>
      </c>
      <c r="F265" s="11">
        <f>F255/8760/'Region-Independent Data'!$B51*(1+'Region-Specific Data'!$M$52)*10^6</f>
        <v>410.28249271738099</v>
      </c>
      <c r="G265" s="11">
        <f>G255/8760/'Region-Independent Data'!$B51*(1+'Region-Specific Data'!$M$52)*10^6</f>
        <v>97.351931446330426</v>
      </c>
      <c r="H265" s="15" t="s">
        <v>58</v>
      </c>
      <c r="I265" s="15" t="s">
        <v>187</v>
      </c>
      <c r="J265" t="s">
        <v>198</v>
      </c>
    </row>
    <row r="266" spans="1:10">
      <c r="A266" t="s">
        <v>199</v>
      </c>
      <c r="B266" s="11">
        <f>B256/8760/'Region-Independent Data'!$B52*(1+'Region-Specific Data'!$M$52)*10^6</f>
        <v>64.498026413547606</v>
      </c>
      <c r="C266" s="11">
        <f>C256/8760/'Region-Independent Data'!$B52*(1+'Region-Specific Data'!$M$52)*10^6</f>
        <v>113.80575667931325</v>
      </c>
      <c r="D266" s="11">
        <f>D256/8760/'Region-Independent Data'!$B52*(1+'Region-Specific Data'!$M$52)*10^6</f>
        <v>20.011100030156566</v>
      </c>
      <c r="E266" s="11">
        <f>E256/8760/'Region-Independent Data'!$B52*(1+'Region-Specific Data'!$M$52)*10^6</f>
        <v>21.195728690497855</v>
      </c>
      <c r="F266" s="11">
        <f>F256/8760/'Region-Independent Data'!$B52*(1+'Region-Specific Data'!$M$52)*10^6</f>
        <v>55.329680098069602</v>
      </c>
      <c r="G266" s="11">
        <f>G256/8760/'Region-Independent Data'!$B52*(1+'Region-Specific Data'!$M$52)*10^6</f>
        <v>13.128640191735085</v>
      </c>
      <c r="H266" s="15" t="s">
        <v>58</v>
      </c>
      <c r="I266" s="15" t="s">
        <v>187</v>
      </c>
      <c r="J266" t="s">
        <v>198</v>
      </c>
    </row>
    <row r="267" spans="1:10">
      <c r="A267" t="s">
        <v>200</v>
      </c>
      <c r="B267" s="11">
        <f>B257/8760/'Region-Independent Data'!$B53*(1+'Region-Specific Data'!$M$52)*10^6</f>
        <v>788.07710006512832</v>
      </c>
      <c r="C267" s="11">
        <f>C257/8760/'Region-Independent Data'!$B53*(1+'Region-Specific Data'!$M$52)*10^6</f>
        <v>1390.549690923755</v>
      </c>
      <c r="D267" s="11">
        <f>D257/8760/'Region-Independent Data'!$B53*(1+'Region-Specific Data'!$M$52)*10^6</f>
        <v>244.50809672474696</v>
      </c>
      <c r="E267" s="11">
        <f>E257/8760/'Region-Independent Data'!$B53*(1+'Region-Specific Data'!$M$52)*10^6</f>
        <v>258.98262829118426</v>
      </c>
      <c r="F267" s="11">
        <f>F257/8760/'Region-Independent Data'!$B53*(1+'Region-Specific Data'!$M$52)*10^6</f>
        <v>676.05252848572491</v>
      </c>
      <c r="G267" s="11">
        <f>G257/8760/'Region-Independent Data'!$B53*(1+'Region-Specific Data'!$M$52)*10^6</f>
        <v>160.41391133059304</v>
      </c>
      <c r="H267" s="15" t="s">
        <v>58</v>
      </c>
      <c r="I267" s="15" t="s">
        <v>187</v>
      </c>
      <c r="J267" t="s">
        <v>198</v>
      </c>
    </row>
    <row r="268" spans="1:10">
      <c r="A268" t="s">
        <v>201</v>
      </c>
      <c r="B268" s="11">
        <f>B258/8760/'Region-Independent Data'!$B54*(1+'Region-Specific Data'!$M$52)*10^6</f>
        <v>25.612505752116672</v>
      </c>
      <c r="C268" s="11">
        <f>C258/8760/'Region-Independent Data'!$B54*(1+'Region-Specific Data'!$M$52)*10^6</f>
        <v>45.192864955022024</v>
      </c>
      <c r="D268" s="11">
        <f>D258/8760/'Region-Independent Data'!$B54*(1+'Region-Specific Data'!$M$52)*10^6</f>
        <v>7.9465131435542764</v>
      </c>
      <c r="E268" s="11">
        <f>E258/8760/'Region-Independent Data'!$B54*(1+'Region-Specific Data'!$M$52)*10^6</f>
        <v>8.4169354194634884</v>
      </c>
      <c r="F268" s="11">
        <f>F258/8760/'Region-Independent Data'!$B54*(1+'Region-Specific Data'!$M$52)*10^6</f>
        <v>21.971707175786058</v>
      </c>
      <c r="G268" s="11">
        <f>G258/8760/'Region-Independent Data'!$B54*(1+'Region-Specific Data'!$M$52)*10^6</f>
        <v>5.2134521182442723</v>
      </c>
      <c r="H268" s="15" t="s">
        <v>58</v>
      </c>
      <c r="I268" s="15" t="s">
        <v>187</v>
      </c>
      <c r="J268" t="s">
        <v>198</v>
      </c>
    </row>
    <row r="269" spans="1:10">
      <c r="A269" t="s">
        <v>202</v>
      </c>
      <c r="B269" s="11">
        <f>B259/8760/'Region-Independent Data'!$B55*(1+'Region-Specific Data'!$M$52)*10^6</f>
        <v>28.966524362512903</v>
      </c>
      <c r="C269" s="11">
        <f>C259/8760/'Region-Independent Data'!$B55*(1+'Region-Specific Data'!$M$52)*10^6</f>
        <v>51.110978222941576</v>
      </c>
      <c r="D269" s="11">
        <f>D259/8760/'Region-Independent Data'!$B55*(1+'Region-Specific Data'!$M$52)*10^6</f>
        <v>8.9871279599720992</v>
      </c>
      <c r="E269" s="11">
        <f>E259/8760/'Region-Independent Data'!$B55*(1+'Region-Specific Data'!$M$52)*10^6</f>
        <v>9.5191531529646625</v>
      </c>
      <c r="F269" s="11">
        <f>F259/8760/'Region-Independent Data'!$B55*(1+'Region-Specific Data'!$M$52)*10^6</f>
        <v>24.848954544043757</v>
      </c>
      <c r="G269" s="11">
        <f>G259/8760/'Region-Independent Data'!$B55*(1+'Region-Specific Data'!$M$52)*10^6</f>
        <v>5.896166086109595</v>
      </c>
      <c r="H269" s="15" t="s">
        <v>58</v>
      </c>
      <c r="I269" s="15" t="s">
        <v>187</v>
      </c>
      <c r="J269" t="s">
        <v>198</v>
      </c>
    </row>
    <row r="270" spans="1:10">
      <c r="A270" t="s">
        <v>203</v>
      </c>
      <c r="B270" s="11">
        <f>B260/8760/'Region-Independent Data'!$B56*(1+'Region-Specific Data'!$M$52)*10^6</f>
        <v>94.309614203530387</v>
      </c>
      <c r="C270" s="11">
        <f>C260/8760/'Region-Independent Data'!$B56*(1+'Region-Specific Data'!$M$52)*10^6</f>
        <v>166.40783607469353</v>
      </c>
      <c r="D270" s="11">
        <f>D260/8760/'Region-Independent Data'!$B56*(1+'Region-Specific Data'!$M$52)*10^6</f>
        <v>29.260416613862656</v>
      </c>
      <c r="E270" s="11">
        <f>E260/8760/'Region-Independent Data'!$B56*(1+'Region-Specific Data'!$M$52)*10^6</f>
        <v>30.992591660815179</v>
      </c>
      <c r="F270" s="11">
        <f>F260/8760/'Region-Independent Data'!$B56*(1+'Region-Specific Data'!$M$52)*10^6</f>
        <v>80.903572934095962</v>
      </c>
      <c r="G270" s="11">
        <f>G260/8760/'Region-Independent Data'!$B56*(1+'Region-Specific Data'!$M$52)*10^6</f>
        <v>19.196819815240545</v>
      </c>
      <c r="H270" s="15" t="s">
        <v>58</v>
      </c>
      <c r="I270" s="15" t="s">
        <v>187</v>
      </c>
      <c r="J270" t="s">
        <v>198</v>
      </c>
    </row>
    <row r="271" spans="1:10">
      <c r="A271" t="s">
        <v>204</v>
      </c>
      <c r="B271" s="11">
        <f>B261/8760/'Region-Independent Data'!$B57*(1+'Region-Specific Data'!$M$52)*10^6</f>
        <v>70.22187724245552</v>
      </c>
      <c r="C271" s="11">
        <f>C261/8760/'Region-Independent Data'!$B57*(1+'Region-Specific Data'!$M$52)*10^6</f>
        <v>123.90540175258563</v>
      </c>
      <c r="D271" s="11">
        <f>D261/8760/'Region-Independent Data'!$B57*(1+'Region-Specific Data'!$M$52)*10^6</f>
        <v>21.78697687265964</v>
      </c>
      <c r="E271" s="11">
        <f>E261/8760/'Region-Independent Data'!$B57*(1+'Region-Specific Data'!$M$52)*10^6</f>
        <v>23.076734916277964</v>
      </c>
      <c r="F271" s="11">
        <f>F261/8760/'Region-Independent Data'!$B57*(1+'Region-Specific Data'!$M$52)*10^6</f>
        <v>60.23988980374245</v>
      </c>
      <c r="G271" s="11">
        <f>G261/8760/'Region-Independent Data'!$B57*(1+'Region-Specific Data'!$M$52)*10^6</f>
        <v>14.293735966326294</v>
      </c>
      <c r="H271" s="15" t="s">
        <v>58</v>
      </c>
      <c r="I271" s="15" t="s">
        <v>187</v>
      </c>
      <c r="J271" t="s">
        <v>198</v>
      </c>
    </row>
    <row r="272" spans="1:10">
      <c r="A272" t="s">
        <v>205</v>
      </c>
      <c r="B272" s="11">
        <f>B262/8760/'Region-Independent Data'!$B58*(1+'Region-Specific Data'!$M$52)*10^6</f>
        <v>100.44119902790851</v>
      </c>
      <c r="C272" s="11">
        <f>C262/8760/'Region-Independent Data'!$B58*(1+'Region-Specific Data'!$M$52)*10^6</f>
        <v>177.22692139224324</v>
      </c>
      <c r="D272" s="11">
        <f>D262/8760/'Region-Independent Data'!$B58*(1+'Region-Specific Data'!$M$52)*10^6</f>
        <v>31.162796641389328</v>
      </c>
      <c r="E272" s="11">
        <f>E262/8760/'Region-Independent Data'!$B58*(1+'Region-Specific Data'!$M$52)*10^6</f>
        <v>33.007589880248979</v>
      </c>
      <c r="F272" s="11">
        <f>F262/8760/'Region-Independent Data'!$B58*(1+'Region-Specific Data'!$M$52)*10^6</f>
        <v>86.163557552102191</v>
      </c>
      <c r="G272" s="11">
        <f>G262/8760/'Region-Independent Data'!$B58*(1+'Region-Specific Data'!$M$52)*10^6</f>
        <v>20.444910267624604</v>
      </c>
      <c r="H272" s="15" t="s">
        <v>58</v>
      </c>
      <c r="I272" s="15" t="s">
        <v>187</v>
      </c>
      <c r="J272" t="s">
        <v>198</v>
      </c>
    </row>
    <row r="273" spans="1:10">
      <c r="A273" t="s">
        <v>206</v>
      </c>
      <c r="B273" s="11">
        <f>B263/8760/'Region-Independent Data'!$B59*(1+'Region-Specific Data'!$M$52)*10^6</f>
        <v>0</v>
      </c>
      <c r="C273" s="11">
        <f>C263/8760/'Region-Independent Data'!$B59*(1+'Region-Specific Data'!$M$52)*10^6</f>
        <v>0</v>
      </c>
      <c r="D273" s="11">
        <f>D263/8760/'Region-Independent Data'!$B59*(1+'Region-Specific Data'!$M$52)*10^6</f>
        <v>0</v>
      </c>
      <c r="E273" s="11">
        <f>E263/8760/'Region-Independent Data'!$B59*(1+'Region-Specific Data'!$M$52)*10^6</f>
        <v>0</v>
      </c>
      <c r="F273" s="11">
        <f>F263/8760/'Region-Independent Data'!$B59*(1+'Region-Specific Data'!$M$52)*10^6</f>
        <v>0</v>
      </c>
      <c r="G273" s="11">
        <f>G263/8760/'Region-Independent Data'!$B59*(1+'Region-Specific Data'!$M$52)*10^6</f>
        <v>0</v>
      </c>
      <c r="H273" s="15" t="s">
        <v>58</v>
      </c>
      <c r="I273" s="15" t="s">
        <v>187</v>
      </c>
      <c r="J273" t="s">
        <v>198</v>
      </c>
    </row>
  </sheetData>
  <pageMargins left="0.7" right="0.7" top="0.75" bottom="0.75" header="0.3" footer="0.3"/>
  <ignoredErrors>
    <ignoredError sqref="B235:C235" formula="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4A9A9-D049-43BE-AE4A-CF0D0E787EE0}">
  <sheetPr>
    <pageSetUpPr fitToPage="1"/>
  </sheetPr>
  <dimension ref="A1:X76"/>
  <sheetViews>
    <sheetView showGridLines="0" workbookViewId="0">
      <pane xSplit="2" ySplit="2" topLeftCell="D32" activePane="bottomRight" state="frozen"/>
      <selection activeCell="W2" sqref="W2"/>
      <selection pane="topRight" activeCell="W2" sqref="W2"/>
      <selection pane="bottomLeft" activeCell="W2" sqref="W2"/>
      <selection pane="bottomRight"/>
    </sheetView>
  </sheetViews>
  <sheetFormatPr baseColWidth="10" defaultColWidth="9.1640625" defaultRowHeight="11.25" customHeight="1"/>
  <cols>
    <col min="1" max="1" width="40.6640625" style="2059" bestFit="1" customWidth="1"/>
    <col min="2" max="2" width="16.1640625" style="2059" bestFit="1" customWidth="1"/>
    <col min="3" max="24" width="9.6640625" style="2059" customWidth="1"/>
    <col min="25" max="16384" width="9.1640625" style="2059"/>
  </cols>
  <sheetData>
    <row r="1" spans="1:24" ht="11.25" customHeight="1">
      <c r="A1" s="2057" t="s">
        <v>5736</v>
      </c>
      <c r="B1" s="2057" t="s">
        <v>5737</v>
      </c>
      <c r="C1" s="2058">
        <v>2000</v>
      </c>
      <c r="D1" s="2058">
        <v>2001</v>
      </c>
      <c r="E1" s="2058">
        <v>2002</v>
      </c>
      <c r="F1" s="2058">
        <v>2003</v>
      </c>
      <c r="G1" s="2058">
        <v>2004</v>
      </c>
      <c r="H1" s="2058">
        <v>2005</v>
      </c>
      <c r="I1" s="2058">
        <v>2006</v>
      </c>
      <c r="J1" s="2058">
        <v>2007</v>
      </c>
      <c r="K1" s="2058">
        <v>2008</v>
      </c>
      <c r="L1" s="2058">
        <v>2009</v>
      </c>
      <c r="M1" s="2058">
        <v>2010</v>
      </c>
      <c r="N1" s="2058">
        <v>2011</v>
      </c>
      <c r="O1" s="2058">
        <v>2012</v>
      </c>
      <c r="P1" s="2058">
        <v>2013</v>
      </c>
      <c r="Q1" s="2058">
        <v>2014</v>
      </c>
      <c r="R1" s="2058">
        <v>2015</v>
      </c>
      <c r="S1" s="2058">
        <v>2016</v>
      </c>
      <c r="T1" s="2058">
        <v>2017</v>
      </c>
      <c r="U1" s="2058">
        <v>2018</v>
      </c>
      <c r="V1" s="2058">
        <v>2019</v>
      </c>
      <c r="W1" s="2058">
        <v>2020</v>
      </c>
      <c r="X1" s="2058">
        <v>2021</v>
      </c>
    </row>
    <row r="2" spans="1:24" ht="11.25" customHeight="1">
      <c r="A2" s="2060" t="s">
        <v>1265</v>
      </c>
      <c r="B2" s="2060" t="s">
        <v>5738</v>
      </c>
      <c r="C2" s="2061">
        <v>34962.264098184824</v>
      </c>
      <c r="D2" s="2061">
        <v>33652.877643078362</v>
      </c>
      <c r="E2" s="2061">
        <v>33212.353056094064</v>
      </c>
      <c r="F2" s="2061">
        <v>34789.524364637749</v>
      </c>
      <c r="G2" s="2061">
        <v>35078.789582570389</v>
      </c>
      <c r="H2" s="2061">
        <v>33523.186013506776</v>
      </c>
      <c r="I2" s="2061">
        <v>34387.137753816314</v>
      </c>
      <c r="J2" s="2061">
        <v>33041.719737974658</v>
      </c>
      <c r="K2" s="2061">
        <v>30966.523377020942</v>
      </c>
      <c r="L2" s="2061">
        <v>23100.011326961867</v>
      </c>
      <c r="M2" s="2061">
        <v>26441.36150131308</v>
      </c>
      <c r="N2" s="2061">
        <v>27812.683710966288</v>
      </c>
      <c r="O2" s="2061">
        <v>26665.897282986218</v>
      </c>
      <c r="P2" s="2061">
        <v>25519.467655171014</v>
      </c>
      <c r="Q2" s="2061">
        <v>25235.1478516391</v>
      </c>
      <c r="R2" s="2061">
        <v>25786.541193339632</v>
      </c>
      <c r="S2" s="2061">
        <v>25840.484054477776</v>
      </c>
      <c r="T2" s="2061">
        <v>26251.879819119134</v>
      </c>
      <c r="U2" s="2061">
        <v>26180.738296116571</v>
      </c>
      <c r="V2" s="2061">
        <v>24586.489618657222</v>
      </c>
      <c r="W2" s="2061">
        <v>22361.425337517809</v>
      </c>
      <c r="X2" s="2061">
        <v>24254.125065189561</v>
      </c>
    </row>
    <row r="3" spans="1:24" ht="11.25" customHeight="1">
      <c r="A3" s="2062" t="s">
        <v>5739</v>
      </c>
      <c r="B3" s="2063" t="s">
        <v>5740</v>
      </c>
      <c r="C3" s="2064">
        <v>5340.3912381771715</v>
      </c>
      <c r="D3" s="2064">
        <v>4618.1688306107771</v>
      </c>
      <c r="E3" s="2064">
        <v>4963.8245657787083</v>
      </c>
      <c r="F3" s="2064">
        <v>5859.8035253656326</v>
      </c>
      <c r="G3" s="2064">
        <v>5161.7510490116674</v>
      </c>
      <c r="H3" s="2064">
        <v>5121.5616337066003</v>
      </c>
      <c r="I3" s="2064">
        <v>5513.7865176271471</v>
      </c>
      <c r="J3" s="2064">
        <v>4780.872003439752</v>
      </c>
      <c r="K3" s="2064">
        <v>3870.6806104907218</v>
      </c>
      <c r="L3" s="2064">
        <v>3062.03388650119</v>
      </c>
      <c r="M3" s="2064">
        <v>2930.5996044714921</v>
      </c>
      <c r="N3" s="2064">
        <v>3955.2506749789291</v>
      </c>
      <c r="O3" s="2064">
        <v>3313.4395915739096</v>
      </c>
      <c r="P3" s="2064">
        <v>3241.9692304388509</v>
      </c>
      <c r="Q3" s="2064">
        <v>2876.9228761827076</v>
      </c>
      <c r="R3" s="2064">
        <v>3182.0586715394943</v>
      </c>
      <c r="S3" s="2064">
        <v>3275.9608168536006</v>
      </c>
      <c r="T3" s="2064">
        <v>3284.8159888225009</v>
      </c>
      <c r="U3" s="2064">
        <v>2944.6053224424063</v>
      </c>
      <c r="V3" s="2064">
        <v>2726.4500042997652</v>
      </c>
      <c r="W3" s="2064">
        <v>2290.5077815996628</v>
      </c>
      <c r="X3" s="2064">
        <v>2609.377742906745</v>
      </c>
    </row>
    <row r="4" spans="1:24" ht="11.25" customHeight="1">
      <c r="A4" s="2065" t="s">
        <v>5741</v>
      </c>
      <c r="B4" s="2066" t="s">
        <v>5742</v>
      </c>
      <c r="C4" s="2067">
        <v>1298.9089509888217</v>
      </c>
      <c r="D4" s="2067">
        <v>1301.6259673258814</v>
      </c>
      <c r="E4" s="2067">
        <v>1270.394514187446</v>
      </c>
      <c r="F4" s="2067">
        <v>1535.080997420464</v>
      </c>
      <c r="G4" s="2067">
        <v>2084.0766723989682</v>
      </c>
      <c r="H4" s="2067">
        <v>2011.3452106620807</v>
      </c>
      <c r="I4" s="2067">
        <v>1836.2832072226997</v>
      </c>
      <c r="J4" s="2067">
        <v>1781.6462940670679</v>
      </c>
      <c r="K4" s="2067">
        <v>1400.4694754944107</v>
      </c>
      <c r="L4" s="2067">
        <v>1256.9655717970766</v>
      </c>
      <c r="M4" s="2067">
        <v>968.33214961306987</v>
      </c>
      <c r="N4" s="2067">
        <v>1596.6123473774717</v>
      </c>
      <c r="O4" s="2067">
        <v>1356.587291487532</v>
      </c>
      <c r="P4" s="2067">
        <v>1318.1763456577814</v>
      </c>
      <c r="Q4" s="2067">
        <v>1114.5505846947549</v>
      </c>
      <c r="R4" s="2067">
        <v>1206.0906792777298</v>
      </c>
      <c r="S4" s="2067">
        <v>1304.1313671539122</v>
      </c>
      <c r="T4" s="2067">
        <v>1267.4602063628545</v>
      </c>
      <c r="U4" s="2067">
        <v>1014.4899742046432</v>
      </c>
      <c r="V4" s="2067">
        <v>1018.7888478073944</v>
      </c>
      <c r="W4" s="2067">
        <v>884.3701633705931</v>
      </c>
      <c r="X4" s="2067">
        <v>1049.4290541702492</v>
      </c>
    </row>
    <row r="5" spans="1:24" ht="11.25" customHeight="1">
      <c r="A5" s="2068" t="s">
        <v>4613</v>
      </c>
      <c r="B5" s="2069" t="s">
        <v>5743</v>
      </c>
      <c r="C5" s="2070">
        <v>18.619862424763543</v>
      </c>
      <c r="D5" s="2070">
        <v>19.240498710232153</v>
      </c>
      <c r="E5" s="2070">
        <v>34.49828030954427</v>
      </c>
      <c r="F5" s="2070">
        <v>760.44067067927767</v>
      </c>
      <c r="G5" s="2070">
        <v>166.04634565778156</v>
      </c>
      <c r="H5" s="2070">
        <v>298.02656921754078</v>
      </c>
      <c r="I5" s="2070">
        <v>275.34170249355122</v>
      </c>
      <c r="J5" s="2070">
        <v>248.65584694754943</v>
      </c>
      <c r="K5" s="2070">
        <v>301.28122957867572</v>
      </c>
      <c r="L5" s="2070">
        <v>185.98058469475487</v>
      </c>
      <c r="M5" s="2070">
        <v>355.88896818572658</v>
      </c>
      <c r="N5" s="2070">
        <v>728.98862424763524</v>
      </c>
      <c r="O5" s="2070">
        <v>720.88479793637134</v>
      </c>
      <c r="P5" s="2070">
        <v>866.94421324161647</v>
      </c>
      <c r="Q5" s="2070">
        <v>782.67085124677556</v>
      </c>
      <c r="R5" s="2070">
        <v>954.35073086844352</v>
      </c>
      <c r="S5" s="2070">
        <v>956.70435941530513</v>
      </c>
      <c r="T5" s="2070">
        <v>905.78759243336174</v>
      </c>
      <c r="U5" s="2070">
        <v>714.5595614789338</v>
      </c>
      <c r="V5" s="2070">
        <v>698.32321582115196</v>
      </c>
      <c r="W5" s="2070">
        <v>589.12674978503856</v>
      </c>
      <c r="X5" s="2070">
        <v>747.67187446259663</v>
      </c>
    </row>
    <row r="6" spans="1:24" ht="11.25" customHeight="1">
      <c r="A6" s="2068" t="s">
        <v>4647</v>
      </c>
      <c r="B6" s="2069" t="s">
        <v>5744</v>
      </c>
      <c r="C6" s="2070">
        <v>27.707841788478071</v>
      </c>
      <c r="D6" s="2070">
        <v>47.982717110920021</v>
      </c>
      <c r="E6" s="2070">
        <v>0.67489251934651762</v>
      </c>
      <c r="F6" s="2070">
        <v>0</v>
      </c>
      <c r="G6" s="2070">
        <v>157.83531384350817</v>
      </c>
      <c r="H6" s="2070">
        <v>179.70763542562341</v>
      </c>
      <c r="I6" s="2070">
        <v>79.43092863284609</v>
      </c>
      <c r="J6" s="2070">
        <v>42.651926053310419</v>
      </c>
      <c r="K6" s="2070">
        <v>19.139922613929492</v>
      </c>
      <c r="L6" s="2070">
        <v>39.514909716251069</v>
      </c>
      <c r="M6" s="2070">
        <v>34.52770421324162</v>
      </c>
      <c r="N6" s="2070">
        <v>75.997669819432502</v>
      </c>
      <c r="O6" s="2070">
        <v>38.638349097162504</v>
      </c>
      <c r="P6" s="2070">
        <v>35.468589853826316</v>
      </c>
      <c r="Q6" s="2070">
        <v>13.111289767841793</v>
      </c>
      <c r="R6" s="2070">
        <v>8.9828546861564913</v>
      </c>
      <c r="S6" s="2070">
        <v>12.175417024935509</v>
      </c>
      <c r="T6" s="2070">
        <v>18.962553740326733</v>
      </c>
      <c r="U6" s="2070">
        <v>22.379681857265695</v>
      </c>
      <c r="V6" s="2070">
        <v>8.0327858985382612</v>
      </c>
      <c r="W6" s="2070">
        <v>18.448744625967322</v>
      </c>
      <c r="X6" s="2070">
        <v>25.614531384350819</v>
      </c>
    </row>
    <row r="7" spans="1:24" ht="11.25" customHeight="1">
      <c r="A7" s="2068" t="s">
        <v>4648</v>
      </c>
      <c r="B7" s="2069" t="s">
        <v>5745</v>
      </c>
      <c r="C7" s="2070">
        <v>1252.5812467755802</v>
      </c>
      <c r="D7" s="2070">
        <v>1234.4027515047292</v>
      </c>
      <c r="E7" s="2070">
        <v>1235.2213413585553</v>
      </c>
      <c r="F7" s="2070">
        <v>774.64032674118641</v>
      </c>
      <c r="G7" s="2070">
        <v>1760.1950128976785</v>
      </c>
      <c r="H7" s="2070">
        <v>1533.6110060189164</v>
      </c>
      <c r="I7" s="2070">
        <v>1481.5105760963024</v>
      </c>
      <c r="J7" s="2070">
        <v>1490.3385210662079</v>
      </c>
      <c r="K7" s="2070">
        <v>1080.0483233018056</v>
      </c>
      <c r="L7" s="2070">
        <v>1031.4700773860707</v>
      </c>
      <c r="M7" s="2070">
        <v>577.91547721410166</v>
      </c>
      <c r="N7" s="2070">
        <v>791.6260533104039</v>
      </c>
      <c r="O7" s="2070">
        <v>597.0641444539981</v>
      </c>
      <c r="P7" s="2070">
        <v>415.76354256233873</v>
      </c>
      <c r="Q7" s="2070">
        <v>318.76844368013752</v>
      </c>
      <c r="R7" s="2070">
        <v>242.75709372312983</v>
      </c>
      <c r="S7" s="2070">
        <v>335.25159071367148</v>
      </c>
      <c r="T7" s="2070">
        <v>342.71006018916597</v>
      </c>
      <c r="U7" s="2070">
        <v>277.55073086844362</v>
      </c>
      <c r="V7" s="2070">
        <v>312.43284608770415</v>
      </c>
      <c r="W7" s="2070">
        <v>276.79466895958728</v>
      </c>
      <c r="X7" s="2070">
        <v>276.14264832330178</v>
      </c>
    </row>
    <row r="8" spans="1:24" ht="11.25" customHeight="1">
      <c r="A8" s="2065" t="s">
        <v>5746</v>
      </c>
      <c r="B8" s="2066" t="s">
        <v>5747</v>
      </c>
      <c r="C8" s="2067">
        <v>66.502493551160796</v>
      </c>
      <c r="D8" s="2067">
        <v>49.665348237317282</v>
      </c>
      <c r="E8" s="2067">
        <v>53.211134995700768</v>
      </c>
      <c r="F8" s="2067">
        <v>138.6003439380911</v>
      </c>
      <c r="G8" s="2067">
        <v>28.433619948409284</v>
      </c>
      <c r="H8" s="2067">
        <v>121.56861564918313</v>
      </c>
      <c r="I8" s="2067">
        <v>151.3737317282889</v>
      </c>
      <c r="J8" s="2067">
        <v>137.35631986242478</v>
      </c>
      <c r="K8" s="2067">
        <v>93.511220980223555</v>
      </c>
      <c r="L8" s="2067">
        <v>58.733748925193467</v>
      </c>
      <c r="M8" s="2067">
        <v>78.699613069647469</v>
      </c>
      <c r="N8" s="2067">
        <v>86.116401547721424</v>
      </c>
      <c r="O8" s="2067">
        <v>86.801225279449682</v>
      </c>
      <c r="P8" s="2067">
        <v>113.482222699914</v>
      </c>
      <c r="Q8" s="2067">
        <v>120.90737317282887</v>
      </c>
      <c r="R8" s="2067">
        <v>165.88905846947546</v>
      </c>
      <c r="S8" s="2067">
        <v>169.49858125537401</v>
      </c>
      <c r="T8" s="2067">
        <v>152.379600171969</v>
      </c>
      <c r="U8" s="2067">
        <v>150.0370163370593</v>
      </c>
      <c r="V8" s="2067">
        <v>162.782222699914</v>
      </c>
      <c r="W8" s="2067">
        <v>149.21380051590714</v>
      </c>
      <c r="X8" s="2067">
        <v>176.23011607910573</v>
      </c>
    </row>
    <row r="9" spans="1:24" ht="11.25" customHeight="1">
      <c r="A9" s="2068" t="s">
        <v>4649</v>
      </c>
      <c r="B9" s="2069" t="s">
        <v>5748</v>
      </c>
      <c r="C9" s="2070">
        <v>0</v>
      </c>
      <c r="D9" s="2070">
        <v>0</v>
      </c>
      <c r="E9" s="2070">
        <v>0</v>
      </c>
      <c r="F9" s="2070">
        <v>0</v>
      </c>
      <c r="G9" s="2070">
        <v>0</v>
      </c>
      <c r="H9" s="2070">
        <v>95.196474634565774</v>
      </c>
      <c r="I9" s="2070">
        <v>126.48791917454858</v>
      </c>
      <c r="J9" s="2070">
        <v>113.26251074806538</v>
      </c>
      <c r="K9" s="2070">
        <v>73.068056749785029</v>
      </c>
      <c r="L9" s="2070">
        <v>43.124290627687017</v>
      </c>
      <c r="M9" s="2070">
        <v>70.023946689595874</v>
      </c>
      <c r="N9" s="2070">
        <v>77.935576096302682</v>
      </c>
      <c r="O9" s="2070">
        <v>72.922377472055018</v>
      </c>
      <c r="P9" s="2070">
        <v>104.53252364574375</v>
      </c>
      <c r="Q9" s="2070">
        <v>115.73815563198622</v>
      </c>
      <c r="R9" s="2070">
        <v>160.33239466895955</v>
      </c>
      <c r="S9" s="2070">
        <v>163.068056749785</v>
      </c>
      <c r="T9" s="2070">
        <v>146.54658211521922</v>
      </c>
      <c r="U9" s="2070">
        <v>145.18516766981941</v>
      </c>
      <c r="V9" s="2070">
        <v>158.27276440240755</v>
      </c>
      <c r="W9" s="2070">
        <v>144.88955288048152</v>
      </c>
      <c r="X9" s="2070">
        <v>171.33372742906275</v>
      </c>
    </row>
    <row r="10" spans="1:24" ht="11.25" customHeight="1">
      <c r="A10" s="2068" t="s">
        <v>4290</v>
      </c>
      <c r="B10" s="2069" t="s">
        <v>5749</v>
      </c>
      <c r="C10" s="2070">
        <v>66.502493551160796</v>
      </c>
      <c r="D10" s="2070">
        <v>49.665348237317282</v>
      </c>
      <c r="E10" s="2070">
        <v>53.211134995700768</v>
      </c>
      <c r="F10" s="2070">
        <v>138.6003439380911</v>
      </c>
      <c r="G10" s="2070">
        <v>28.433619948409284</v>
      </c>
      <c r="H10" s="2070">
        <v>26.372141014617362</v>
      </c>
      <c r="I10" s="2070">
        <v>24.885812553740326</v>
      </c>
      <c r="J10" s="2070">
        <v>24.093809114359413</v>
      </c>
      <c r="K10" s="2070">
        <v>20.443164230438526</v>
      </c>
      <c r="L10" s="2070">
        <v>15.60945829750645</v>
      </c>
      <c r="M10" s="2070">
        <v>8.6756663800515899</v>
      </c>
      <c r="N10" s="2070">
        <v>8.1808254514187446</v>
      </c>
      <c r="O10" s="2070">
        <v>13.878847807394667</v>
      </c>
      <c r="P10" s="2070">
        <v>8.9496990541702477</v>
      </c>
      <c r="Q10" s="2070">
        <v>5.1692175408426477</v>
      </c>
      <c r="R10" s="2070">
        <v>5.5566638005159064</v>
      </c>
      <c r="S10" s="2070">
        <v>6.430524505588993</v>
      </c>
      <c r="T10" s="2070">
        <v>5.8330180567497836</v>
      </c>
      <c r="U10" s="2070">
        <v>4.8518486672398957</v>
      </c>
      <c r="V10" s="2070">
        <v>4.5094582975064492</v>
      </c>
      <c r="W10" s="2070">
        <v>4.324247635425623</v>
      </c>
      <c r="X10" s="2070">
        <v>4.8963886500429918</v>
      </c>
    </row>
    <row r="11" spans="1:24" ht="11.25" customHeight="1">
      <c r="A11" s="2065" t="s">
        <v>5750</v>
      </c>
      <c r="B11" s="2066" t="s">
        <v>5751</v>
      </c>
      <c r="C11" s="2067">
        <v>3974.9797936371892</v>
      </c>
      <c r="D11" s="2067">
        <v>3266.8775150475785</v>
      </c>
      <c r="E11" s="2067">
        <v>3640.2189165955615</v>
      </c>
      <c r="F11" s="2067">
        <v>4186.1221840070775</v>
      </c>
      <c r="G11" s="2067">
        <v>3049.2407566642896</v>
      </c>
      <c r="H11" s="2067">
        <v>2988.6478073953367</v>
      </c>
      <c r="I11" s="2067">
        <v>3526.1295786761584</v>
      </c>
      <c r="J11" s="2067">
        <v>2861.8693895102597</v>
      </c>
      <c r="K11" s="2067">
        <v>2376.6999140160874</v>
      </c>
      <c r="L11" s="2067">
        <v>1746.33456577892</v>
      </c>
      <c r="M11" s="2067">
        <v>1883.5678417887746</v>
      </c>
      <c r="N11" s="2067">
        <v>2272.521926053736</v>
      </c>
      <c r="O11" s="2067">
        <v>1870.0510748069282</v>
      </c>
      <c r="P11" s="2067">
        <v>1810.3106620811554</v>
      </c>
      <c r="Q11" s="2067">
        <v>1641.4649183151239</v>
      </c>
      <c r="R11" s="2067">
        <v>1810.078933792289</v>
      </c>
      <c r="S11" s="2067">
        <v>1802.3308684443148</v>
      </c>
      <c r="T11" s="2067">
        <v>1864.9761822876771</v>
      </c>
      <c r="U11" s="2067">
        <v>1780.0783319007037</v>
      </c>
      <c r="V11" s="2067">
        <v>1544.878933792457</v>
      </c>
      <c r="W11" s="2067">
        <v>1256.9238177131626</v>
      </c>
      <c r="X11" s="2067">
        <v>1383.7185726573898</v>
      </c>
    </row>
    <row r="12" spans="1:24" ht="11.25" customHeight="1">
      <c r="A12" s="2068" t="s">
        <v>4650</v>
      </c>
      <c r="B12" s="2069" t="s">
        <v>5752</v>
      </c>
      <c r="C12" s="2070">
        <v>0</v>
      </c>
      <c r="D12" s="2070">
        <v>0.55812553740326731</v>
      </c>
      <c r="E12" s="2070">
        <v>0.53963886500429914</v>
      </c>
      <c r="F12" s="2070">
        <v>8.8001719690455698</v>
      </c>
      <c r="G12" s="2070">
        <v>9.7496990541702484</v>
      </c>
      <c r="H12" s="2070">
        <v>5.249871023215821</v>
      </c>
      <c r="I12" s="2070">
        <v>2.0537403267411865</v>
      </c>
      <c r="J12" s="2070">
        <v>0</v>
      </c>
      <c r="K12" s="2070">
        <v>0</v>
      </c>
      <c r="L12" s="2070">
        <v>0</v>
      </c>
      <c r="M12" s="2070">
        <v>0</v>
      </c>
      <c r="N12" s="2070">
        <v>0</v>
      </c>
      <c r="O12" s="2070">
        <v>0.56044711951848658</v>
      </c>
      <c r="P12" s="2070">
        <v>0</v>
      </c>
      <c r="Q12" s="2070">
        <v>0</v>
      </c>
      <c r="R12" s="2070">
        <v>0</v>
      </c>
      <c r="S12" s="2070">
        <v>0</v>
      </c>
      <c r="T12" s="2070">
        <v>8.5124677558039551E-3</v>
      </c>
      <c r="U12" s="2070">
        <v>0</v>
      </c>
      <c r="V12" s="2070">
        <v>0</v>
      </c>
      <c r="W12" s="2070">
        <v>0</v>
      </c>
      <c r="X12" s="2070">
        <v>7.8245915735167659E-3</v>
      </c>
    </row>
    <row r="13" spans="1:24" ht="11.25" customHeight="1">
      <c r="A13" s="2068" t="s">
        <v>4651</v>
      </c>
      <c r="B13" s="2069" t="s">
        <v>5753</v>
      </c>
      <c r="C13" s="2070">
        <v>3944.9393809114799</v>
      </c>
      <c r="D13" s="2070">
        <v>3237.7849957010612</v>
      </c>
      <c r="E13" s="2070">
        <v>3592.6297506454325</v>
      </c>
      <c r="F13" s="2070">
        <v>4131.3168529666646</v>
      </c>
      <c r="G13" s="2070">
        <v>2969.0632846092594</v>
      </c>
      <c r="H13" s="2070">
        <v>2916.1003439387591</v>
      </c>
      <c r="I13" s="2070">
        <v>3484.2480653485572</v>
      </c>
      <c r="J13" s="2070">
        <v>2829.561220980595</v>
      </c>
      <c r="K13" s="2070">
        <v>2333.2568357701716</v>
      </c>
      <c r="L13" s="2070">
        <v>1706.5298366301668</v>
      </c>
      <c r="M13" s="2070">
        <v>1880.295356836066</v>
      </c>
      <c r="N13" s="2070">
        <v>2248.7877901981897</v>
      </c>
      <c r="O13" s="2070">
        <v>1789.3094582978997</v>
      </c>
      <c r="P13" s="2070">
        <v>1655.5886500433223</v>
      </c>
      <c r="Q13" s="2070">
        <v>1510.3941530528712</v>
      </c>
      <c r="R13" s="2070">
        <v>1664.0564918318419</v>
      </c>
      <c r="S13" s="2070">
        <v>1656.8578675844697</v>
      </c>
      <c r="T13" s="2070">
        <v>1696.5613069652352</v>
      </c>
      <c r="U13" s="2070">
        <v>1576.8926913160089</v>
      </c>
      <c r="V13" s="2070">
        <v>1390.4625107486049</v>
      </c>
      <c r="W13" s="2070">
        <v>1163.9838349100671</v>
      </c>
      <c r="X13" s="2070">
        <v>1224.0095442824972</v>
      </c>
    </row>
    <row r="14" spans="1:24" ht="11.25" customHeight="1">
      <c r="A14" s="2068" t="s">
        <v>4652</v>
      </c>
      <c r="B14" s="2069" t="s">
        <v>5754</v>
      </c>
      <c r="C14" s="2070">
        <v>0</v>
      </c>
      <c r="D14" s="2070">
        <v>0</v>
      </c>
      <c r="E14" s="2070">
        <v>0</v>
      </c>
      <c r="F14" s="2070">
        <v>0</v>
      </c>
      <c r="G14" s="2070">
        <v>0</v>
      </c>
      <c r="H14" s="2070">
        <v>0</v>
      </c>
      <c r="I14" s="2070">
        <v>0</v>
      </c>
      <c r="J14" s="2070">
        <v>0</v>
      </c>
      <c r="K14" s="2070">
        <v>0</v>
      </c>
      <c r="L14" s="2070">
        <v>0</v>
      </c>
      <c r="M14" s="2070">
        <v>0</v>
      </c>
      <c r="N14" s="2070">
        <v>0</v>
      </c>
      <c r="O14" s="2070">
        <v>0</v>
      </c>
      <c r="P14" s="2070">
        <v>0</v>
      </c>
      <c r="Q14" s="2070">
        <v>0</v>
      </c>
      <c r="R14" s="2070">
        <v>0</v>
      </c>
      <c r="S14" s="2070">
        <v>0</v>
      </c>
      <c r="T14" s="2070">
        <v>0</v>
      </c>
      <c r="U14" s="2070">
        <v>0</v>
      </c>
      <c r="V14" s="2070">
        <v>0</v>
      </c>
      <c r="W14" s="2070">
        <v>0</v>
      </c>
      <c r="X14" s="2070">
        <v>0</v>
      </c>
    </row>
    <row r="15" spans="1:24" ht="11.25" customHeight="1">
      <c r="A15" s="2068" t="s">
        <v>4653</v>
      </c>
      <c r="B15" s="2069" t="s">
        <v>5755</v>
      </c>
      <c r="C15" s="2070">
        <v>22.873860705073088</v>
      </c>
      <c r="D15" s="2070">
        <v>21.911779879621669</v>
      </c>
      <c r="E15" s="2070">
        <v>40.912811693895094</v>
      </c>
      <c r="F15" s="2070">
        <v>40.823645743766114</v>
      </c>
      <c r="G15" s="2070">
        <v>60.311006018916579</v>
      </c>
      <c r="H15" s="2070">
        <v>58.115821152192602</v>
      </c>
      <c r="I15" s="2070">
        <v>33.46233877901976</v>
      </c>
      <c r="J15" s="2070">
        <v>24.978503869303523</v>
      </c>
      <c r="K15" s="2070">
        <v>35.077386070507309</v>
      </c>
      <c r="L15" s="2070">
        <v>37.274376612209792</v>
      </c>
      <c r="M15" s="2070">
        <v>1.7674978503869301</v>
      </c>
      <c r="N15" s="2070">
        <v>0.88374892519346515</v>
      </c>
      <c r="O15" s="2070">
        <v>0</v>
      </c>
      <c r="P15" s="2070">
        <v>0</v>
      </c>
      <c r="Q15" s="2070">
        <v>0</v>
      </c>
      <c r="R15" s="2070">
        <v>0</v>
      </c>
      <c r="S15" s="2070">
        <v>0</v>
      </c>
      <c r="T15" s="2070">
        <v>0</v>
      </c>
      <c r="U15" s="2070">
        <v>0</v>
      </c>
      <c r="V15" s="2070">
        <v>0</v>
      </c>
      <c r="W15" s="2070">
        <v>0</v>
      </c>
      <c r="X15" s="2070">
        <v>0</v>
      </c>
    </row>
    <row r="16" spans="1:24" ht="11.25" customHeight="1">
      <c r="A16" s="2068" t="s">
        <v>5756</v>
      </c>
      <c r="B16" s="2069" t="s">
        <v>5757</v>
      </c>
      <c r="C16" s="2070">
        <v>7.166552020636284</v>
      </c>
      <c r="D16" s="2070">
        <v>6.6226139294926911</v>
      </c>
      <c r="E16" s="2070">
        <v>6.1367153912295791</v>
      </c>
      <c r="F16" s="2070">
        <v>5.1815133276010306</v>
      </c>
      <c r="G16" s="2070">
        <v>10.11676698194325</v>
      </c>
      <c r="H16" s="2070">
        <v>9.1817712811693895</v>
      </c>
      <c r="I16" s="2070">
        <v>6.3654342218400686</v>
      </c>
      <c r="J16" s="2070">
        <v>7.3296646603611348</v>
      </c>
      <c r="K16" s="2070">
        <v>8.3656921754084266</v>
      </c>
      <c r="L16" s="2070">
        <v>2.5303525365434218</v>
      </c>
      <c r="M16" s="2070">
        <v>1.5049871023215819</v>
      </c>
      <c r="N16" s="2070">
        <v>22.850386930352531</v>
      </c>
      <c r="O16" s="2070">
        <v>80.181169389509876</v>
      </c>
      <c r="P16" s="2070">
        <v>154.7220120378332</v>
      </c>
      <c r="Q16" s="2070">
        <v>131.07076526225279</v>
      </c>
      <c r="R16" s="2070">
        <v>146.02244196044711</v>
      </c>
      <c r="S16" s="2070">
        <v>145.4730008598452</v>
      </c>
      <c r="T16" s="2070">
        <v>168.40636285468611</v>
      </c>
      <c r="U16" s="2070">
        <v>203.1856405846948</v>
      </c>
      <c r="V16" s="2070">
        <v>154.41642304385206</v>
      </c>
      <c r="W16" s="2070">
        <v>92.939982803095447</v>
      </c>
      <c r="X16" s="2070">
        <v>159.70120378331899</v>
      </c>
    </row>
    <row r="17" spans="1:24" ht="11.25" customHeight="1">
      <c r="A17" s="2071" t="s">
        <v>5758</v>
      </c>
      <c r="B17" s="2072" t="s">
        <v>5759</v>
      </c>
      <c r="C17" s="2073">
        <v>7386.778159931212</v>
      </c>
      <c r="D17" s="2073">
        <v>6718.104729148753</v>
      </c>
      <c r="E17" s="2073">
        <v>6443.5024075666379</v>
      </c>
      <c r="F17" s="2073">
        <v>6440.1406706792768</v>
      </c>
      <c r="G17" s="2073">
        <v>6614.7746345657779</v>
      </c>
      <c r="H17" s="2073">
        <v>6167.062166809973</v>
      </c>
      <c r="I17" s="2073">
        <v>6243.2413585554605</v>
      </c>
      <c r="J17" s="2073">
        <v>5941.5451418744615</v>
      </c>
      <c r="K17" s="2073">
        <v>5636.4419604471186</v>
      </c>
      <c r="L17" s="2073">
        <v>3997.0060189165952</v>
      </c>
      <c r="M17" s="2073">
        <v>4825.8351676698194</v>
      </c>
      <c r="N17" s="2073">
        <v>4754.3815993121243</v>
      </c>
      <c r="O17" s="2073">
        <v>4942.1210662080812</v>
      </c>
      <c r="P17" s="2073">
        <v>4659.4020636285459</v>
      </c>
      <c r="Q17" s="2073">
        <v>4733.5891659501285</v>
      </c>
      <c r="R17" s="2073">
        <v>4669.3529664660364</v>
      </c>
      <c r="S17" s="2073">
        <v>4492.9484952708517</v>
      </c>
      <c r="T17" s="2073">
        <v>4414.8706792777293</v>
      </c>
      <c r="U17" s="2073">
        <v>4646.5994840928633</v>
      </c>
      <c r="V17" s="2073">
        <v>4264.724333619949</v>
      </c>
      <c r="W17" s="2073">
        <v>3899.1018056749772</v>
      </c>
      <c r="X17" s="2073">
        <v>4246.0901977644016</v>
      </c>
    </row>
    <row r="18" spans="1:24" ht="11.25" customHeight="1">
      <c r="A18" s="2074" t="s">
        <v>4654</v>
      </c>
      <c r="B18" s="2069" t="s">
        <v>5760</v>
      </c>
      <c r="C18" s="2070">
        <v>1.0748065348237319</v>
      </c>
      <c r="D18" s="2070">
        <v>0.83834909716251071</v>
      </c>
      <c r="E18" s="2070">
        <v>1.010318142734308</v>
      </c>
      <c r="F18" s="2070">
        <v>6.4488392089423904E-2</v>
      </c>
      <c r="G18" s="2070">
        <v>0</v>
      </c>
      <c r="H18" s="2070">
        <v>2.149613069647463E-2</v>
      </c>
      <c r="I18" s="2070">
        <v>0</v>
      </c>
      <c r="J18" s="2070">
        <v>0</v>
      </c>
      <c r="K18" s="2070">
        <v>0</v>
      </c>
      <c r="L18" s="2070">
        <v>0</v>
      </c>
      <c r="M18" s="2070">
        <v>0</v>
      </c>
      <c r="N18" s="2070">
        <v>0</v>
      </c>
      <c r="O18" s="2070">
        <v>0</v>
      </c>
      <c r="P18" s="2070">
        <v>0</v>
      </c>
      <c r="Q18" s="2070">
        <v>0</v>
      </c>
      <c r="R18" s="2070">
        <v>0</v>
      </c>
      <c r="S18" s="2070">
        <v>0</v>
      </c>
      <c r="T18" s="2070">
        <v>0</v>
      </c>
      <c r="U18" s="2070">
        <v>0</v>
      </c>
      <c r="V18" s="2070">
        <v>0</v>
      </c>
      <c r="W18" s="2070">
        <v>0</v>
      </c>
      <c r="X18" s="2070">
        <v>0</v>
      </c>
    </row>
    <row r="19" spans="1:24" ht="11.25" customHeight="1">
      <c r="A19" s="2074" t="s">
        <v>4655</v>
      </c>
      <c r="B19" s="2069" t="s">
        <v>5761</v>
      </c>
      <c r="C19" s="2070">
        <v>2657.213413585554</v>
      </c>
      <c r="D19" s="2070">
        <v>2360.6458297506447</v>
      </c>
      <c r="E19" s="2070">
        <v>2201.1018916595012</v>
      </c>
      <c r="F19" s="2070">
        <v>2244.3881341358556</v>
      </c>
      <c r="G19" s="2070">
        <v>2281.5400687876181</v>
      </c>
      <c r="H19" s="2070">
        <v>2165.6219260533098</v>
      </c>
      <c r="I19" s="2070">
        <v>2244.2734307824594</v>
      </c>
      <c r="J19" s="2070">
        <v>2139.6006018916596</v>
      </c>
      <c r="K19" s="2070">
        <v>2051.5216680997419</v>
      </c>
      <c r="L19" s="2070">
        <v>1485.5531384350818</v>
      </c>
      <c r="M19" s="2070">
        <v>1808.5428202923474</v>
      </c>
      <c r="N19" s="2070">
        <v>1867.2886500429922</v>
      </c>
      <c r="O19" s="2070">
        <v>2092.1522785898533</v>
      </c>
      <c r="P19" s="2070">
        <v>1890.6820292347375</v>
      </c>
      <c r="Q19" s="2070">
        <v>1867.893551160791</v>
      </c>
      <c r="R19" s="2070">
        <v>1798.4267411865862</v>
      </c>
      <c r="S19" s="2070">
        <v>1795.9435081685297</v>
      </c>
      <c r="T19" s="2070">
        <v>1678.2475494411005</v>
      </c>
      <c r="U19" s="2070">
        <v>1587.775064488392</v>
      </c>
      <c r="V19" s="2070">
        <v>1544.9664660361136</v>
      </c>
      <c r="W19" s="2070">
        <v>1469.0452278589851</v>
      </c>
      <c r="X19" s="2070">
        <v>1646.1767841788476</v>
      </c>
    </row>
    <row r="20" spans="1:24" ht="11.25" customHeight="1">
      <c r="A20" s="2074" t="s">
        <v>4656</v>
      </c>
      <c r="B20" s="2069" t="s">
        <v>5762</v>
      </c>
      <c r="C20" s="2070">
        <v>4457.6387790197768</v>
      </c>
      <c r="D20" s="2070">
        <v>4082.9509888220123</v>
      </c>
      <c r="E20" s="2070">
        <v>3961.4628546861563</v>
      </c>
      <c r="F20" s="2070">
        <v>3887.9113499570067</v>
      </c>
      <c r="G20" s="2070">
        <v>4006.0395528804816</v>
      </c>
      <c r="H20" s="2070">
        <v>3728.964144453998</v>
      </c>
      <c r="I20" s="2070">
        <v>3708.0921754084261</v>
      </c>
      <c r="J20" s="2070">
        <v>3492.5333619948401</v>
      </c>
      <c r="K20" s="2070">
        <v>3298.4463456577805</v>
      </c>
      <c r="L20" s="2070">
        <v>2299.6418744625967</v>
      </c>
      <c r="M20" s="2070">
        <v>2734.3774720550305</v>
      </c>
      <c r="N20" s="2070">
        <v>2589.3296646603608</v>
      </c>
      <c r="O20" s="2070">
        <v>2535.9002579535677</v>
      </c>
      <c r="P20" s="2070">
        <v>2426.9937231298363</v>
      </c>
      <c r="Q20" s="2070">
        <v>2398.7734307824585</v>
      </c>
      <c r="R20" s="2070">
        <v>2425.9088564058466</v>
      </c>
      <c r="S20" s="2070">
        <v>2209.7909716251079</v>
      </c>
      <c r="T20" s="2070">
        <v>2323.0769561478924</v>
      </c>
      <c r="U20" s="2070">
        <v>2658.9440240756662</v>
      </c>
      <c r="V20" s="2070">
        <v>2346.7870163370599</v>
      </c>
      <c r="W20" s="2070">
        <v>2105.3678417884771</v>
      </c>
      <c r="X20" s="2070">
        <v>2233.7589853826307</v>
      </c>
    </row>
    <row r="21" spans="1:24" ht="11.25" customHeight="1">
      <c r="A21" s="2074" t="s">
        <v>4615</v>
      </c>
      <c r="B21" s="2069" t="s">
        <v>5763</v>
      </c>
      <c r="C21" s="2070">
        <v>270.85116079105762</v>
      </c>
      <c r="D21" s="2070">
        <v>273.66956147893387</v>
      </c>
      <c r="E21" s="2070">
        <v>279.92734307824594</v>
      </c>
      <c r="F21" s="2070">
        <v>307.77669819432504</v>
      </c>
      <c r="G21" s="2070">
        <v>327.19501289767845</v>
      </c>
      <c r="H21" s="2070">
        <v>272.45460017196905</v>
      </c>
      <c r="I21" s="2070">
        <v>290.8757523645744</v>
      </c>
      <c r="J21" s="2070">
        <v>309.41117798796216</v>
      </c>
      <c r="K21" s="2070">
        <v>286.47394668959589</v>
      </c>
      <c r="L21" s="2070">
        <v>211.81100601891652</v>
      </c>
      <c r="M21" s="2070">
        <v>282.91487532244207</v>
      </c>
      <c r="N21" s="2070">
        <v>297.76328460877039</v>
      </c>
      <c r="O21" s="2070">
        <v>314.06852966466039</v>
      </c>
      <c r="P21" s="2070">
        <v>341.72631126397243</v>
      </c>
      <c r="Q21" s="2070">
        <v>466.92218400687869</v>
      </c>
      <c r="R21" s="2070">
        <v>445.01736887360272</v>
      </c>
      <c r="S21" s="2070">
        <v>487.21401547721399</v>
      </c>
      <c r="T21" s="2070">
        <v>413.54617368873602</v>
      </c>
      <c r="U21" s="2070">
        <v>399.88039552880485</v>
      </c>
      <c r="V21" s="2070">
        <v>372.97085124677557</v>
      </c>
      <c r="W21" s="2070">
        <v>324.68873602751501</v>
      </c>
      <c r="X21" s="2070">
        <v>366.15442820292355</v>
      </c>
    </row>
    <row r="22" spans="1:24" ht="11.25" customHeight="1">
      <c r="A22" s="2071" t="s">
        <v>4741</v>
      </c>
      <c r="B22" s="2072" t="s">
        <v>5764</v>
      </c>
      <c r="C22" s="2073">
        <v>0</v>
      </c>
      <c r="D22" s="2073">
        <v>0</v>
      </c>
      <c r="E22" s="2073">
        <v>0</v>
      </c>
      <c r="F22" s="2073">
        <v>0</v>
      </c>
      <c r="G22" s="2073">
        <v>0</v>
      </c>
      <c r="H22" s="2073">
        <v>0</v>
      </c>
      <c r="I22" s="2073">
        <v>0</v>
      </c>
      <c r="J22" s="2073">
        <v>0</v>
      </c>
      <c r="K22" s="2073">
        <v>0</v>
      </c>
      <c r="L22" s="2073">
        <v>0</v>
      </c>
      <c r="M22" s="2073">
        <v>0</v>
      </c>
      <c r="N22" s="2073">
        <v>0</v>
      </c>
      <c r="O22" s="2073">
        <v>0</v>
      </c>
      <c r="P22" s="2073">
        <v>0</v>
      </c>
      <c r="Q22" s="2073">
        <v>0</v>
      </c>
      <c r="R22" s="2073">
        <v>0</v>
      </c>
      <c r="S22" s="2073">
        <v>0</v>
      </c>
      <c r="T22" s="2073">
        <v>0</v>
      </c>
      <c r="U22" s="2073">
        <v>0</v>
      </c>
      <c r="V22" s="2073">
        <v>0</v>
      </c>
      <c r="W22" s="2073">
        <v>0</v>
      </c>
      <c r="X22" s="2073">
        <v>0</v>
      </c>
    </row>
    <row r="23" spans="1:24" ht="11.25" customHeight="1">
      <c r="A23" s="2074" t="s">
        <v>559</v>
      </c>
      <c r="B23" s="2069" t="s">
        <v>5765</v>
      </c>
      <c r="C23" s="2070">
        <v>0</v>
      </c>
      <c r="D23" s="2070">
        <v>0</v>
      </c>
      <c r="E23" s="2070">
        <v>0</v>
      </c>
      <c r="F23" s="2070">
        <v>0</v>
      </c>
      <c r="G23" s="2070">
        <v>0</v>
      </c>
      <c r="H23" s="2070">
        <v>0</v>
      </c>
      <c r="I23" s="2070">
        <v>0</v>
      </c>
      <c r="J23" s="2070">
        <v>0</v>
      </c>
      <c r="K23" s="2070">
        <v>0</v>
      </c>
      <c r="L23" s="2070">
        <v>0</v>
      </c>
      <c r="M23" s="2070">
        <v>0</v>
      </c>
      <c r="N23" s="2070">
        <v>0</v>
      </c>
      <c r="O23" s="2070">
        <v>0</v>
      </c>
      <c r="P23" s="2070">
        <v>0</v>
      </c>
      <c r="Q23" s="2070">
        <v>0</v>
      </c>
      <c r="R23" s="2070">
        <v>0</v>
      </c>
      <c r="S23" s="2070">
        <v>0</v>
      </c>
      <c r="T23" s="2070">
        <v>0</v>
      </c>
      <c r="U23" s="2070">
        <v>0</v>
      </c>
      <c r="V23" s="2070">
        <v>0</v>
      </c>
      <c r="W23" s="2070">
        <v>0</v>
      </c>
      <c r="X23" s="2070">
        <v>0</v>
      </c>
    </row>
    <row r="24" spans="1:24" ht="11.25" customHeight="1">
      <c r="A24" s="2074" t="s">
        <v>4657</v>
      </c>
      <c r="B24" s="2069" t="s">
        <v>5766</v>
      </c>
      <c r="C24" s="2070">
        <v>0</v>
      </c>
      <c r="D24" s="2070">
        <v>0</v>
      </c>
      <c r="E24" s="2070">
        <v>0</v>
      </c>
      <c r="F24" s="2070">
        <v>0</v>
      </c>
      <c r="G24" s="2070">
        <v>0</v>
      </c>
      <c r="H24" s="2070">
        <v>0</v>
      </c>
      <c r="I24" s="2070">
        <v>0</v>
      </c>
      <c r="J24" s="2070">
        <v>0</v>
      </c>
      <c r="K24" s="2070">
        <v>0</v>
      </c>
      <c r="L24" s="2070">
        <v>0</v>
      </c>
      <c r="M24" s="2070">
        <v>0</v>
      </c>
      <c r="N24" s="2070">
        <v>0</v>
      </c>
      <c r="O24" s="2070">
        <v>0</v>
      </c>
      <c r="P24" s="2070">
        <v>0</v>
      </c>
      <c r="Q24" s="2070">
        <v>0</v>
      </c>
      <c r="R24" s="2070">
        <v>0</v>
      </c>
      <c r="S24" s="2070">
        <v>0</v>
      </c>
      <c r="T24" s="2070">
        <v>0</v>
      </c>
      <c r="U24" s="2070">
        <v>0</v>
      </c>
      <c r="V24" s="2070">
        <v>0</v>
      </c>
      <c r="W24" s="2070">
        <v>0</v>
      </c>
      <c r="X24" s="2070">
        <v>0</v>
      </c>
    </row>
    <row r="25" spans="1:24" ht="11.25" customHeight="1">
      <c r="A25" s="2071" t="s">
        <v>4658</v>
      </c>
      <c r="B25" s="2072" t="s">
        <v>5767</v>
      </c>
      <c r="C25" s="2073">
        <v>0</v>
      </c>
      <c r="D25" s="2073">
        <v>0</v>
      </c>
      <c r="E25" s="2073">
        <v>0</v>
      </c>
      <c r="F25" s="2073">
        <v>0</v>
      </c>
      <c r="G25" s="2073">
        <v>0</v>
      </c>
      <c r="H25" s="2073">
        <v>0</v>
      </c>
      <c r="I25" s="2073">
        <v>0</v>
      </c>
      <c r="J25" s="2073">
        <v>0</v>
      </c>
      <c r="K25" s="2073">
        <v>0</v>
      </c>
      <c r="L25" s="2073">
        <v>0</v>
      </c>
      <c r="M25" s="2073">
        <v>0</v>
      </c>
      <c r="N25" s="2073">
        <v>0</v>
      </c>
      <c r="O25" s="2073">
        <v>0</v>
      </c>
      <c r="P25" s="2073">
        <v>0</v>
      </c>
      <c r="Q25" s="2073">
        <v>0</v>
      </c>
      <c r="R25" s="2073">
        <v>0</v>
      </c>
      <c r="S25" s="2073">
        <v>0</v>
      </c>
      <c r="T25" s="2073">
        <v>0</v>
      </c>
      <c r="U25" s="2073">
        <v>0</v>
      </c>
      <c r="V25" s="2073">
        <v>0</v>
      </c>
      <c r="W25" s="2073">
        <v>0</v>
      </c>
      <c r="X25" s="2073">
        <v>0</v>
      </c>
    </row>
    <row r="26" spans="1:24" ht="11.25" customHeight="1">
      <c r="A26" s="2071" t="s">
        <v>3872</v>
      </c>
      <c r="B26" s="2072" t="s">
        <v>5768</v>
      </c>
      <c r="C26" s="2073">
        <v>1935.686263972485</v>
      </c>
      <c r="D26" s="2073">
        <v>1744.9832330180566</v>
      </c>
      <c r="E26" s="2073">
        <v>1617.3507093723126</v>
      </c>
      <c r="F26" s="2073">
        <v>1520.3400042992259</v>
      </c>
      <c r="G26" s="2073">
        <v>1533.6975924333622</v>
      </c>
      <c r="H26" s="2073">
        <v>1456.3180997420463</v>
      </c>
      <c r="I26" s="2073">
        <v>1523.2815563198624</v>
      </c>
      <c r="J26" s="2073">
        <v>1235.0049226139295</v>
      </c>
      <c r="K26" s="2073">
        <v>1191.5041702493552</v>
      </c>
      <c r="L26" s="2073">
        <v>1007.4503654342216</v>
      </c>
      <c r="M26" s="2073">
        <v>1127.6917669819431</v>
      </c>
      <c r="N26" s="2073">
        <v>944.7296646603611</v>
      </c>
      <c r="O26" s="2073">
        <v>876.71429492691311</v>
      </c>
      <c r="P26" s="2073">
        <v>633.33798366294059</v>
      </c>
      <c r="Q26" s="2073">
        <v>636.60838349097162</v>
      </c>
      <c r="R26" s="2073">
        <v>635.47573086844352</v>
      </c>
      <c r="S26" s="2073">
        <v>588.44262682717113</v>
      </c>
      <c r="T26" s="2073">
        <v>596.54914015477209</v>
      </c>
      <c r="U26" s="2073">
        <v>572.00552450558894</v>
      </c>
      <c r="V26" s="2073">
        <v>451.09516337059324</v>
      </c>
      <c r="W26" s="2073">
        <v>384.64636715391225</v>
      </c>
      <c r="X26" s="2073">
        <v>500.26861564918312</v>
      </c>
    </row>
    <row r="27" spans="1:24" ht="11.25" customHeight="1">
      <c r="A27" s="2065" t="s">
        <v>5769</v>
      </c>
      <c r="B27" s="2066" t="s">
        <v>5770</v>
      </c>
      <c r="C27" s="2067">
        <v>0</v>
      </c>
      <c r="D27" s="2067">
        <v>0</v>
      </c>
      <c r="E27" s="2067">
        <v>0</v>
      </c>
      <c r="F27" s="2067">
        <v>0</v>
      </c>
      <c r="G27" s="2067">
        <v>0</v>
      </c>
      <c r="H27" s="2067">
        <v>0</v>
      </c>
      <c r="I27" s="2067">
        <v>0</v>
      </c>
      <c r="J27" s="2067">
        <v>0</v>
      </c>
      <c r="K27" s="2067">
        <v>0</v>
      </c>
      <c r="L27" s="2067">
        <v>0</v>
      </c>
      <c r="M27" s="2067">
        <v>0</v>
      </c>
      <c r="N27" s="2067">
        <v>0</v>
      </c>
      <c r="O27" s="2067">
        <v>0</v>
      </c>
      <c r="P27" s="2067">
        <v>0</v>
      </c>
      <c r="Q27" s="2067">
        <v>0</v>
      </c>
      <c r="R27" s="2067">
        <v>0</v>
      </c>
      <c r="S27" s="2067">
        <v>0</v>
      </c>
      <c r="T27" s="2067">
        <v>0</v>
      </c>
      <c r="U27" s="2067">
        <v>0</v>
      </c>
      <c r="V27" s="2067">
        <v>0</v>
      </c>
      <c r="W27" s="2067">
        <v>0</v>
      </c>
      <c r="X27" s="2067">
        <v>0</v>
      </c>
    </row>
    <row r="28" spans="1:24" ht="11.25" customHeight="1">
      <c r="A28" s="2068" t="s">
        <v>4659</v>
      </c>
      <c r="B28" s="2069" t="s">
        <v>5771</v>
      </c>
      <c r="C28" s="2070">
        <v>0</v>
      </c>
      <c r="D28" s="2070">
        <v>0</v>
      </c>
      <c r="E28" s="2070">
        <v>0</v>
      </c>
      <c r="F28" s="2070">
        <v>0</v>
      </c>
      <c r="G28" s="2070">
        <v>0</v>
      </c>
      <c r="H28" s="2070">
        <v>0</v>
      </c>
      <c r="I28" s="2070">
        <v>0</v>
      </c>
      <c r="J28" s="2070">
        <v>0</v>
      </c>
      <c r="K28" s="2070">
        <v>0</v>
      </c>
      <c r="L28" s="2070">
        <v>0</v>
      </c>
      <c r="M28" s="2070">
        <v>0</v>
      </c>
      <c r="N28" s="2070">
        <v>0</v>
      </c>
      <c r="O28" s="2070">
        <v>0</v>
      </c>
      <c r="P28" s="2070">
        <v>0</v>
      </c>
      <c r="Q28" s="2070">
        <v>0</v>
      </c>
      <c r="R28" s="2070">
        <v>0</v>
      </c>
      <c r="S28" s="2070">
        <v>0</v>
      </c>
      <c r="T28" s="2070">
        <v>0</v>
      </c>
      <c r="U28" s="2070">
        <v>0</v>
      </c>
      <c r="V28" s="2070">
        <v>0</v>
      </c>
      <c r="W28" s="2070">
        <v>0</v>
      </c>
      <c r="X28" s="2070">
        <v>0</v>
      </c>
    </row>
    <row r="29" spans="1:24" ht="11.25" customHeight="1">
      <c r="A29" s="2068" t="s">
        <v>4660</v>
      </c>
      <c r="B29" s="2069" t="s">
        <v>5772</v>
      </c>
      <c r="C29" s="2070">
        <v>0</v>
      </c>
      <c r="D29" s="2070">
        <v>0</v>
      </c>
      <c r="E29" s="2070">
        <v>0</v>
      </c>
      <c r="F29" s="2070">
        <v>0</v>
      </c>
      <c r="G29" s="2070">
        <v>0</v>
      </c>
      <c r="H29" s="2070">
        <v>0</v>
      </c>
      <c r="I29" s="2070">
        <v>0</v>
      </c>
      <c r="J29" s="2070">
        <v>0</v>
      </c>
      <c r="K29" s="2070">
        <v>0</v>
      </c>
      <c r="L29" s="2070">
        <v>0</v>
      </c>
      <c r="M29" s="2070">
        <v>0</v>
      </c>
      <c r="N29" s="2070">
        <v>0</v>
      </c>
      <c r="O29" s="2070">
        <v>0</v>
      </c>
      <c r="P29" s="2070">
        <v>0</v>
      </c>
      <c r="Q29" s="2070">
        <v>0</v>
      </c>
      <c r="R29" s="2070">
        <v>0</v>
      </c>
      <c r="S29" s="2070">
        <v>0</v>
      </c>
      <c r="T29" s="2070">
        <v>0</v>
      </c>
      <c r="U29" s="2070">
        <v>0</v>
      </c>
      <c r="V29" s="2070">
        <v>0</v>
      </c>
      <c r="W29" s="2070">
        <v>0</v>
      </c>
      <c r="X29" s="2070">
        <v>0</v>
      </c>
    </row>
    <row r="30" spans="1:24" ht="11.25" customHeight="1">
      <c r="A30" s="2068" t="s">
        <v>4661</v>
      </c>
      <c r="B30" s="2069" t="s">
        <v>5773</v>
      </c>
      <c r="C30" s="2070">
        <v>0</v>
      </c>
      <c r="D30" s="2070">
        <v>0</v>
      </c>
      <c r="E30" s="2070">
        <v>0</v>
      </c>
      <c r="F30" s="2070">
        <v>0</v>
      </c>
      <c r="G30" s="2070">
        <v>0</v>
      </c>
      <c r="H30" s="2070">
        <v>0</v>
      </c>
      <c r="I30" s="2070">
        <v>0</v>
      </c>
      <c r="J30" s="2070">
        <v>0</v>
      </c>
      <c r="K30" s="2070">
        <v>0</v>
      </c>
      <c r="L30" s="2070">
        <v>0</v>
      </c>
      <c r="M30" s="2070">
        <v>0</v>
      </c>
      <c r="N30" s="2070">
        <v>0</v>
      </c>
      <c r="O30" s="2070">
        <v>0</v>
      </c>
      <c r="P30" s="2070">
        <v>0</v>
      </c>
      <c r="Q30" s="2070">
        <v>0</v>
      </c>
      <c r="R30" s="2070">
        <v>0</v>
      </c>
      <c r="S30" s="2070">
        <v>0</v>
      </c>
      <c r="T30" s="2070">
        <v>0</v>
      </c>
      <c r="U30" s="2070">
        <v>0</v>
      </c>
      <c r="V30" s="2070">
        <v>0</v>
      </c>
      <c r="W30" s="2070">
        <v>0</v>
      </c>
      <c r="X30" s="2070">
        <v>0</v>
      </c>
    </row>
    <row r="31" spans="1:24" ht="11.25" customHeight="1">
      <c r="A31" s="2068" t="s">
        <v>5774</v>
      </c>
      <c r="B31" s="2069" t="s">
        <v>5775</v>
      </c>
      <c r="C31" s="2070">
        <v>0</v>
      </c>
      <c r="D31" s="2070">
        <v>0</v>
      </c>
      <c r="E31" s="2070">
        <v>0</v>
      </c>
      <c r="F31" s="2070">
        <v>0</v>
      </c>
      <c r="G31" s="2070">
        <v>0</v>
      </c>
      <c r="H31" s="2070">
        <v>0</v>
      </c>
      <c r="I31" s="2070">
        <v>0</v>
      </c>
      <c r="J31" s="2070">
        <v>0</v>
      </c>
      <c r="K31" s="2070">
        <v>0</v>
      </c>
      <c r="L31" s="2070">
        <v>0</v>
      </c>
      <c r="M31" s="2070">
        <v>0</v>
      </c>
      <c r="N31" s="2070">
        <v>0</v>
      </c>
      <c r="O31" s="2070">
        <v>0</v>
      </c>
      <c r="P31" s="2070">
        <v>0</v>
      </c>
      <c r="Q31" s="2070">
        <v>0</v>
      </c>
      <c r="R31" s="2070">
        <v>0</v>
      </c>
      <c r="S31" s="2070">
        <v>0</v>
      </c>
      <c r="T31" s="2070">
        <v>0</v>
      </c>
      <c r="U31" s="2070">
        <v>0</v>
      </c>
      <c r="V31" s="2070">
        <v>0</v>
      </c>
      <c r="W31" s="2070">
        <v>0</v>
      </c>
      <c r="X31" s="2070">
        <v>0</v>
      </c>
    </row>
    <row r="32" spans="1:24" ht="11.25" customHeight="1">
      <c r="A32" s="2068" t="s">
        <v>4662</v>
      </c>
      <c r="B32" s="2069" t="s">
        <v>5776</v>
      </c>
      <c r="C32" s="2070">
        <v>0</v>
      </c>
      <c r="D32" s="2070">
        <v>0</v>
      </c>
      <c r="E32" s="2070">
        <v>0</v>
      </c>
      <c r="F32" s="2070">
        <v>0</v>
      </c>
      <c r="G32" s="2070">
        <v>0</v>
      </c>
      <c r="H32" s="2070">
        <v>0</v>
      </c>
      <c r="I32" s="2070">
        <v>0</v>
      </c>
      <c r="J32" s="2070">
        <v>0</v>
      </c>
      <c r="K32" s="2070">
        <v>0</v>
      </c>
      <c r="L32" s="2070">
        <v>0</v>
      </c>
      <c r="M32" s="2070">
        <v>0</v>
      </c>
      <c r="N32" s="2070">
        <v>0</v>
      </c>
      <c r="O32" s="2070">
        <v>0</v>
      </c>
      <c r="P32" s="2070">
        <v>0</v>
      </c>
      <c r="Q32" s="2070">
        <v>0</v>
      </c>
      <c r="R32" s="2070">
        <v>0</v>
      </c>
      <c r="S32" s="2070">
        <v>0</v>
      </c>
      <c r="T32" s="2070">
        <v>0</v>
      </c>
      <c r="U32" s="2070">
        <v>0</v>
      </c>
      <c r="V32" s="2070">
        <v>0</v>
      </c>
      <c r="W32" s="2070">
        <v>0</v>
      </c>
      <c r="X32" s="2070">
        <v>0</v>
      </c>
    </row>
    <row r="33" spans="1:24" ht="11.25" customHeight="1">
      <c r="A33" s="2065" t="s">
        <v>5777</v>
      </c>
      <c r="B33" s="2066" t="s">
        <v>5778</v>
      </c>
      <c r="C33" s="2067">
        <v>1935.686263972485</v>
      </c>
      <c r="D33" s="2067">
        <v>1744.9832330180566</v>
      </c>
      <c r="E33" s="2067">
        <v>1617.3507093723126</v>
      </c>
      <c r="F33" s="2067">
        <v>1520.3400042992259</v>
      </c>
      <c r="G33" s="2067">
        <v>1533.6975924333622</v>
      </c>
      <c r="H33" s="2067">
        <v>1456.3180997420463</v>
      </c>
      <c r="I33" s="2067">
        <v>1523.2815563198624</v>
      </c>
      <c r="J33" s="2067">
        <v>1235.0049226139295</v>
      </c>
      <c r="K33" s="2067">
        <v>1191.5041702493552</v>
      </c>
      <c r="L33" s="2067">
        <v>1007.4503654342216</v>
      </c>
      <c r="M33" s="2067">
        <v>1127.6917669819431</v>
      </c>
      <c r="N33" s="2067">
        <v>944.7296646603611</v>
      </c>
      <c r="O33" s="2067">
        <v>876.71429492691311</v>
      </c>
      <c r="P33" s="2067">
        <v>633.33798366294059</v>
      </c>
      <c r="Q33" s="2067">
        <v>636.60838349097162</v>
      </c>
      <c r="R33" s="2067">
        <v>635.47573086844352</v>
      </c>
      <c r="S33" s="2067">
        <v>588.44262682717113</v>
      </c>
      <c r="T33" s="2067">
        <v>596.54914015477209</v>
      </c>
      <c r="U33" s="2067">
        <v>572.00552450558894</v>
      </c>
      <c r="V33" s="2067">
        <v>451.09516337059324</v>
      </c>
      <c r="W33" s="2067">
        <v>384.64636715391225</v>
      </c>
      <c r="X33" s="2067">
        <v>500.26861564918312</v>
      </c>
    </row>
    <row r="34" spans="1:24" ht="11.25" customHeight="1">
      <c r="A34" s="2068" t="s">
        <v>4607</v>
      </c>
      <c r="B34" s="2069" t="s">
        <v>5779</v>
      </c>
      <c r="C34" s="2070">
        <v>0</v>
      </c>
      <c r="D34" s="2070">
        <v>0</v>
      </c>
      <c r="E34" s="2070">
        <v>0</v>
      </c>
      <c r="F34" s="2070">
        <v>0</v>
      </c>
      <c r="G34" s="2070">
        <v>0</v>
      </c>
      <c r="H34" s="2070">
        <v>0</v>
      </c>
      <c r="I34" s="2070">
        <v>0</v>
      </c>
      <c r="J34" s="2070">
        <v>0</v>
      </c>
      <c r="K34" s="2070">
        <v>0</v>
      </c>
      <c r="L34" s="2070">
        <v>0</v>
      </c>
      <c r="M34" s="2070">
        <v>0</v>
      </c>
      <c r="N34" s="2070">
        <v>0</v>
      </c>
      <c r="O34" s="2070">
        <v>0</v>
      </c>
      <c r="P34" s="2070">
        <v>0</v>
      </c>
      <c r="Q34" s="2070">
        <v>0</v>
      </c>
      <c r="R34" s="2070">
        <v>0</v>
      </c>
      <c r="S34" s="2070">
        <v>0</v>
      </c>
      <c r="T34" s="2070">
        <v>0</v>
      </c>
      <c r="U34" s="2070">
        <v>0</v>
      </c>
      <c r="V34" s="2070">
        <v>0</v>
      </c>
      <c r="W34" s="2070">
        <v>0</v>
      </c>
      <c r="X34" s="2070">
        <v>0</v>
      </c>
    </row>
    <row r="35" spans="1:24" ht="11.25" customHeight="1">
      <c r="A35" s="2068" t="s">
        <v>587</v>
      </c>
      <c r="B35" s="2069" t="s">
        <v>5780</v>
      </c>
      <c r="C35" s="2070">
        <v>0</v>
      </c>
      <c r="D35" s="2070">
        <v>0</v>
      </c>
      <c r="E35" s="2070">
        <v>0</v>
      </c>
      <c r="F35" s="2070">
        <v>0</v>
      </c>
      <c r="G35" s="2070">
        <v>0</v>
      </c>
      <c r="H35" s="2070">
        <v>0</v>
      </c>
      <c r="I35" s="2070">
        <v>0</v>
      </c>
      <c r="J35" s="2070">
        <v>0</v>
      </c>
      <c r="K35" s="2070">
        <v>0</v>
      </c>
      <c r="L35" s="2070">
        <v>0</v>
      </c>
      <c r="M35" s="2070">
        <v>0</v>
      </c>
      <c r="N35" s="2070">
        <v>0</v>
      </c>
      <c r="O35" s="2070">
        <v>0</v>
      </c>
      <c r="P35" s="2070">
        <v>0</v>
      </c>
      <c r="Q35" s="2070">
        <v>0</v>
      </c>
      <c r="R35" s="2070">
        <v>0</v>
      </c>
      <c r="S35" s="2070">
        <v>0</v>
      </c>
      <c r="T35" s="2070">
        <v>0</v>
      </c>
      <c r="U35" s="2070">
        <v>0</v>
      </c>
      <c r="V35" s="2070">
        <v>0</v>
      </c>
      <c r="W35" s="2070">
        <v>0.20610490111779881</v>
      </c>
      <c r="X35" s="2070">
        <v>0.32029234737747198</v>
      </c>
    </row>
    <row r="36" spans="1:24" ht="11.25" customHeight="1">
      <c r="A36" s="2068" t="s">
        <v>5781</v>
      </c>
      <c r="B36" s="2069" t="s">
        <v>5782</v>
      </c>
      <c r="C36" s="2070">
        <v>397.08529664660358</v>
      </c>
      <c r="D36" s="2070">
        <v>483.95219260533099</v>
      </c>
      <c r="E36" s="2070">
        <v>466.683147033534</v>
      </c>
      <c r="F36" s="2070">
        <v>430.27153912295785</v>
      </c>
      <c r="G36" s="2070">
        <v>435.53533963886503</v>
      </c>
      <c r="H36" s="2070">
        <v>406.95451418744619</v>
      </c>
      <c r="I36" s="2070">
        <v>421.0485812553739</v>
      </c>
      <c r="J36" s="2070">
        <v>407.63877901977639</v>
      </c>
      <c r="K36" s="2070">
        <v>440.24860275150473</v>
      </c>
      <c r="L36" s="2070">
        <v>340.67343078245915</v>
      </c>
      <c r="M36" s="2070">
        <v>406.00713671539114</v>
      </c>
      <c r="N36" s="2070">
        <v>395.46199484092853</v>
      </c>
      <c r="O36" s="2070">
        <v>384.67110920034389</v>
      </c>
      <c r="P36" s="2070">
        <v>308.72304385210657</v>
      </c>
      <c r="Q36" s="2070">
        <v>296.88460877042127</v>
      </c>
      <c r="R36" s="2070">
        <v>302.6371453138434</v>
      </c>
      <c r="S36" s="2070">
        <v>313.73998280309547</v>
      </c>
      <c r="T36" s="2070">
        <v>326.28976784178843</v>
      </c>
      <c r="U36" s="2070">
        <v>319.11743336199481</v>
      </c>
      <c r="V36" s="2070">
        <v>214.73404987102316</v>
      </c>
      <c r="W36" s="2070">
        <v>202.24555030094581</v>
      </c>
      <c r="X36" s="2070">
        <v>218.31072656921748</v>
      </c>
    </row>
    <row r="37" spans="1:24" ht="11.25" customHeight="1">
      <c r="A37" s="2068" t="s">
        <v>5783</v>
      </c>
      <c r="B37" s="2069" t="s">
        <v>5784</v>
      </c>
      <c r="C37" s="2070">
        <v>0.79359415305245018</v>
      </c>
      <c r="D37" s="2070">
        <v>0</v>
      </c>
      <c r="E37" s="2070">
        <v>0</v>
      </c>
      <c r="F37" s="2070">
        <v>0</v>
      </c>
      <c r="G37" s="2070">
        <v>0</v>
      </c>
      <c r="H37" s="2070">
        <v>0</v>
      </c>
      <c r="I37" s="2070">
        <v>4.2132416165090282E-3</v>
      </c>
      <c r="J37" s="2070">
        <v>0.79847377472055037</v>
      </c>
      <c r="K37" s="2070">
        <v>7.3946689595872726E-3</v>
      </c>
      <c r="L37" s="2070">
        <v>7.3946689595872734E-3</v>
      </c>
      <c r="M37" s="2070">
        <v>5.288048151332761E-2</v>
      </c>
      <c r="N37" s="2070">
        <v>3.172828890799656E-2</v>
      </c>
      <c r="O37" s="2070">
        <v>2.2184006878761819E-2</v>
      </c>
      <c r="P37" s="2070">
        <v>1.16079105760963E-2</v>
      </c>
      <c r="Q37" s="2070">
        <v>2.0120378331900262E-2</v>
      </c>
      <c r="R37" s="2070">
        <v>1.6938950988822008E-2</v>
      </c>
      <c r="S37" s="2070">
        <v>7.6182287188306094E-2</v>
      </c>
      <c r="T37" s="2070">
        <v>0.14226139294926915</v>
      </c>
      <c r="U37" s="2070">
        <v>0.1421109200343938</v>
      </c>
      <c r="V37" s="2070">
        <v>0.19009028374892523</v>
      </c>
      <c r="W37" s="2070">
        <v>7.9535683576956145E-2</v>
      </c>
      <c r="X37" s="2070">
        <v>8.8972484952708514E-2</v>
      </c>
    </row>
    <row r="38" spans="1:24" ht="11.25" customHeight="1">
      <c r="A38" s="2068" t="s">
        <v>4663</v>
      </c>
      <c r="B38" s="2069" t="s">
        <v>5785</v>
      </c>
      <c r="C38" s="2070">
        <v>0</v>
      </c>
      <c r="D38" s="2070">
        <v>0</v>
      </c>
      <c r="E38" s="2070">
        <v>0</v>
      </c>
      <c r="F38" s="2070">
        <v>0</v>
      </c>
      <c r="G38" s="2070">
        <v>0</v>
      </c>
      <c r="H38" s="2070">
        <v>0</v>
      </c>
      <c r="I38" s="2070">
        <v>0</v>
      </c>
      <c r="J38" s="2070">
        <v>0</v>
      </c>
      <c r="K38" s="2070">
        <v>0</v>
      </c>
      <c r="L38" s="2070">
        <v>0</v>
      </c>
      <c r="M38" s="2070">
        <v>0</v>
      </c>
      <c r="N38" s="2070">
        <v>0</v>
      </c>
      <c r="O38" s="2070">
        <v>0</v>
      </c>
      <c r="P38" s="2070">
        <v>0</v>
      </c>
      <c r="Q38" s="2070">
        <v>0</v>
      </c>
      <c r="R38" s="2070">
        <v>0</v>
      </c>
      <c r="S38" s="2070">
        <v>0</v>
      </c>
      <c r="T38" s="2070">
        <v>0</v>
      </c>
      <c r="U38" s="2070">
        <v>0</v>
      </c>
      <c r="V38" s="2070">
        <v>0</v>
      </c>
      <c r="W38" s="2070">
        <v>0</v>
      </c>
      <c r="X38" s="2070">
        <v>0</v>
      </c>
    </row>
    <row r="39" spans="1:24" ht="11.25" customHeight="1">
      <c r="A39" s="2068" t="s">
        <v>5786</v>
      </c>
      <c r="B39" s="2069" t="s">
        <v>5787</v>
      </c>
      <c r="C39" s="2070">
        <v>0</v>
      </c>
      <c r="D39" s="2070">
        <v>0</v>
      </c>
      <c r="E39" s="2070">
        <v>0</v>
      </c>
      <c r="F39" s="2070">
        <v>0</v>
      </c>
      <c r="G39" s="2070">
        <v>0</v>
      </c>
      <c r="H39" s="2070">
        <v>0</v>
      </c>
      <c r="I39" s="2070">
        <v>0</v>
      </c>
      <c r="J39" s="2070">
        <v>0</v>
      </c>
      <c r="K39" s="2070">
        <v>0</v>
      </c>
      <c r="L39" s="2070">
        <v>0</v>
      </c>
      <c r="M39" s="2070">
        <v>0</v>
      </c>
      <c r="N39" s="2070">
        <v>0</v>
      </c>
      <c r="O39" s="2070">
        <v>0</v>
      </c>
      <c r="P39" s="2070">
        <v>0</v>
      </c>
      <c r="Q39" s="2070">
        <v>0</v>
      </c>
      <c r="R39" s="2070">
        <v>0</v>
      </c>
      <c r="S39" s="2070">
        <v>0</v>
      </c>
      <c r="T39" s="2070">
        <v>0</v>
      </c>
      <c r="U39" s="2070">
        <v>0</v>
      </c>
      <c r="V39" s="2070">
        <v>0</v>
      </c>
      <c r="W39" s="2070">
        <v>0</v>
      </c>
      <c r="X39" s="2070">
        <v>0</v>
      </c>
    </row>
    <row r="40" spans="1:24" ht="11.25" customHeight="1">
      <c r="A40" s="2068" t="s">
        <v>5788</v>
      </c>
      <c r="B40" s="2069" t="s">
        <v>5789</v>
      </c>
      <c r="C40" s="2070">
        <v>0</v>
      </c>
      <c r="D40" s="2070">
        <v>0</v>
      </c>
      <c r="E40" s="2070">
        <v>0</v>
      </c>
      <c r="F40" s="2070">
        <v>0</v>
      </c>
      <c r="G40" s="2070">
        <v>0</v>
      </c>
      <c r="H40" s="2070">
        <v>0</v>
      </c>
      <c r="I40" s="2070">
        <v>0</v>
      </c>
      <c r="J40" s="2070">
        <v>0</v>
      </c>
      <c r="K40" s="2070">
        <v>0</v>
      </c>
      <c r="L40" s="2070">
        <v>0</v>
      </c>
      <c r="M40" s="2070">
        <v>0</v>
      </c>
      <c r="N40" s="2070">
        <v>0</v>
      </c>
      <c r="O40" s="2070">
        <v>0</v>
      </c>
      <c r="P40" s="2070">
        <v>0</v>
      </c>
      <c r="Q40" s="2070">
        <v>0</v>
      </c>
      <c r="R40" s="2070">
        <v>0</v>
      </c>
      <c r="S40" s="2070">
        <v>0</v>
      </c>
      <c r="T40" s="2070">
        <v>0</v>
      </c>
      <c r="U40" s="2070">
        <v>0</v>
      </c>
      <c r="V40" s="2070">
        <v>0</v>
      </c>
      <c r="W40" s="2070">
        <v>0</v>
      </c>
      <c r="X40" s="2070">
        <v>0</v>
      </c>
    </row>
    <row r="41" spans="1:24" ht="11.25" customHeight="1">
      <c r="A41" s="2068" t="s">
        <v>4664</v>
      </c>
      <c r="B41" s="2069" t="s">
        <v>5790</v>
      </c>
      <c r="C41" s="2070">
        <v>2.0922613929492693</v>
      </c>
      <c r="D41" s="2070">
        <v>0</v>
      </c>
      <c r="E41" s="2070">
        <v>0</v>
      </c>
      <c r="F41" s="2070">
        <v>0</v>
      </c>
      <c r="G41" s="2070">
        <v>0</v>
      </c>
      <c r="H41" s="2070">
        <v>4.7893379191745494E-2</v>
      </c>
      <c r="I41" s="2070">
        <v>6.4402407566637995E-2</v>
      </c>
      <c r="J41" s="2070">
        <v>4.256233877901977E-2</v>
      </c>
      <c r="K41" s="2070">
        <v>4.5743766122098017E-2</v>
      </c>
      <c r="L41" s="2070">
        <v>3.5339638865004297E-2</v>
      </c>
      <c r="M41" s="2070">
        <v>2.0722269991401549E-2</v>
      </c>
      <c r="N41" s="2070">
        <v>2.1754084264832326E-2</v>
      </c>
      <c r="O41" s="2070">
        <v>2.8976784178847807E-2</v>
      </c>
      <c r="P41" s="2070">
        <v>1.9690455717970765E-2</v>
      </c>
      <c r="Q41" s="2070">
        <v>2.0722269991401549E-2</v>
      </c>
      <c r="R41" s="2070">
        <v>0</v>
      </c>
      <c r="S41" s="2070">
        <v>0</v>
      </c>
      <c r="T41" s="2070">
        <v>7.7386070507308642E-4</v>
      </c>
      <c r="U41" s="2070">
        <v>7.7386070507308642E-4</v>
      </c>
      <c r="V41" s="2070">
        <v>0</v>
      </c>
      <c r="W41" s="2070">
        <v>0</v>
      </c>
      <c r="X41" s="2070">
        <v>0</v>
      </c>
    </row>
    <row r="42" spans="1:24" ht="11.25" customHeight="1">
      <c r="A42" s="2068" t="s">
        <v>4611</v>
      </c>
      <c r="B42" s="2069" t="s">
        <v>5791</v>
      </c>
      <c r="C42" s="2070">
        <v>0</v>
      </c>
      <c r="D42" s="2070">
        <v>0</v>
      </c>
      <c r="E42" s="2070">
        <v>0</v>
      </c>
      <c r="F42" s="2070">
        <v>0</v>
      </c>
      <c r="G42" s="2070">
        <v>0</v>
      </c>
      <c r="H42" s="2070">
        <v>0</v>
      </c>
      <c r="I42" s="2070">
        <v>0</v>
      </c>
      <c r="J42" s="2070">
        <v>0</v>
      </c>
      <c r="K42" s="2070">
        <v>0</v>
      </c>
      <c r="L42" s="2070">
        <v>0</v>
      </c>
      <c r="M42" s="2070">
        <v>0</v>
      </c>
      <c r="N42" s="2070">
        <v>0</v>
      </c>
      <c r="O42" s="2070">
        <v>0</v>
      </c>
      <c r="P42" s="2070">
        <v>0</v>
      </c>
      <c r="Q42" s="2070">
        <v>0</v>
      </c>
      <c r="R42" s="2070">
        <v>0</v>
      </c>
      <c r="S42" s="2070">
        <v>0</v>
      </c>
      <c r="T42" s="2070">
        <v>0</v>
      </c>
      <c r="U42" s="2070">
        <v>0</v>
      </c>
      <c r="V42" s="2070">
        <v>0</v>
      </c>
      <c r="W42" s="2070">
        <v>0</v>
      </c>
      <c r="X42" s="2070">
        <v>0</v>
      </c>
    </row>
    <row r="43" spans="1:24" ht="11.25" customHeight="1">
      <c r="A43" s="2068" t="s">
        <v>5792</v>
      </c>
      <c r="B43" s="2069" t="s">
        <v>5793</v>
      </c>
      <c r="C43" s="2070">
        <v>268.09924763542563</v>
      </c>
      <c r="D43" s="2070">
        <v>321.77994411006011</v>
      </c>
      <c r="E43" s="2070">
        <v>256.40393379191738</v>
      </c>
      <c r="F43" s="2070">
        <v>226.6603181427343</v>
      </c>
      <c r="G43" s="2070">
        <v>202.02233447979364</v>
      </c>
      <c r="H43" s="2070">
        <v>200.95429922613931</v>
      </c>
      <c r="I43" s="2070">
        <v>159.01182287188306</v>
      </c>
      <c r="J43" s="2070">
        <v>152.60315993121236</v>
      </c>
      <c r="K43" s="2070">
        <v>147.15064488392088</v>
      </c>
      <c r="L43" s="2070">
        <v>125.82794496990542</v>
      </c>
      <c r="M43" s="2070">
        <v>161.92725709372314</v>
      </c>
      <c r="N43" s="2070">
        <v>145.61554170249357</v>
      </c>
      <c r="O43" s="2070">
        <v>133.82699914015475</v>
      </c>
      <c r="P43" s="2070">
        <v>126.01953998280308</v>
      </c>
      <c r="Q43" s="2070">
        <v>115.94509888220122</v>
      </c>
      <c r="R43" s="2070">
        <v>173.26036113499566</v>
      </c>
      <c r="S43" s="2070">
        <v>125.84858125537403</v>
      </c>
      <c r="T43" s="2070">
        <v>135.25733018056749</v>
      </c>
      <c r="U43" s="2070">
        <v>102.17592433361993</v>
      </c>
      <c r="V43" s="2070">
        <v>100.45941530524505</v>
      </c>
      <c r="W43" s="2070">
        <v>84.257760103181425</v>
      </c>
      <c r="X43" s="2070">
        <v>117.36917454858126</v>
      </c>
    </row>
    <row r="44" spans="1:24" ht="11.25" customHeight="1">
      <c r="A44" s="2068" t="s">
        <v>4665</v>
      </c>
      <c r="B44" s="2069" t="s">
        <v>5794</v>
      </c>
      <c r="C44" s="2070">
        <v>790.7955717970766</v>
      </c>
      <c r="D44" s="2070">
        <v>659.44309974204634</v>
      </c>
      <c r="E44" s="2070">
        <v>637.37669819432494</v>
      </c>
      <c r="F44" s="2070">
        <v>586.54314273430782</v>
      </c>
      <c r="G44" s="2070">
        <v>618.81893809114354</v>
      </c>
      <c r="H44" s="2070">
        <v>571.67962166809968</v>
      </c>
      <c r="I44" s="2070">
        <v>631.07145313843512</v>
      </c>
      <c r="J44" s="2070">
        <v>414.13172828890799</v>
      </c>
      <c r="K44" s="2070">
        <v>360.52762252794497</v>
      </c>
      <c r="L44" s="2070">
        <v>337.10068787618223</v>
      </c>
      <c r="M44" s="2070">
        <v>227.73645743766122</v>
      </c>
      <c r="N44" s="2070">
        <v>216.06053310404127</v>
      </c>
      <c r="O44" s="2070">
        <v>184.03705932932073</v>
      </c>
      <c r="P44" s="2070">
        <v>180.12583834909719</v>
      </c>
      <c r="Q44" s="2070">
        <v>200.97962166809972</v>
      </c>
      <c r="R44" s="2070">
        <v>141.9701633705933</v>
      </c>
      <c r="S44" s="2070">
        <v>130.5292347377472</v>
      </c>
      <c r="T44" s="2070">
        <v>119.60120378331901</v>
      </c>
      <c r="U44" s="2070">
        <v>132.05520206362854</v>
      </c>
      <c r="V44" s="2070">
        <v>117.1656921754084</v>
      </c>
      <c r="W44" s="2070">
        <v>85.95674978503871</v>
      </c>
      <c r="X44" s="2070">
        <v>109.63680137575238</v>
      </c>
    </row>
    <row r="45" spans="1:24" ht="11.25" customHeight="1">
      <c r="A45" s="2068" t="s">
        <v>5795</v>
      </c>
      <c r="B45" s="2069" t="s">
        <v>5796</v>
      </c>
      <c r="C45" s="2070">
        <v>0</v>
      </c>
      <c r="D45" s="2070">
        <v>0</v>
      </c>
      <c r="E45" s="2070">
        <v>0</v>
      </c>
      <c r="F45" s="2070">
        <v>0</v>
      </c>
      <c r="G45" s="2070">
        <v>0</v>
      </c>
      <c r="H45" s="2070">
        <v>0</v>
      </c>
      <c r="I45" s="2070">
        <v>0</v>
      </c>
      <c r="J45" s="2070">
        <v>0</v>
      </c>
      <c r="K45" s="2070">
        <v>0</v>
      </c>
      <c r="L45" s="2070">
        <v>0</v>
      </c>
      <c r="M45" s="2070">
        <v>0</v>
      </c>
      <c r="N45" s="2070">
        <v>0</v>
      </c>
      <c r="O45" s="2070">
        <v>0</v>
      </c>
      <c r="P45" s="2070">
        <v>0</v>
      </c>
      <c r="Q45" s="2070">
        <v>0</v>
      </c>
      <c r="R45" s="2070">
        <v>0</v>
      </c>
      <c r="S45" s="2070">
        <v>0</v>
      </c>
      <c r="T45" s="2070">
        <v>0</v>
      </c>
      <c r="U45" s="2070">
        <v>0</v>
      </c>
      <c r="V45" s="2070">
        <v>0</v>
      </c>
      <c r="W45" s="2070">
        <v>0</v>
      </c>
      <c r="X45" s="2070">
        <v>0</v>
      </c>
    </row>
    <row r="46" spans="1:24" ht="11.25" customHeight="1">
      <c r="A46" s="2068" t="s">
        <v>595</v>
      </c>
      <c r="B46" s="2069" t="s">
        <v>5797</v>
      </c>
      <c r="C46" s="2070">
        <v>0</v>
      </c>
      <c r="D46" s="2070">
        <v>0</v>
      </c>
      <c r="E46" s="2070">
        <v>0</v>
      </c>
      <c r="F46" s="2070">
        <v>0</v>
      </c>
      <c r="G46" s="2070">
        <v>0</v>
      </c>
      <c r="H46" s="2070">
        <v>0</v>
      </c>
      <c r="I46" s="2070">
        <v>0</v>
      </c>
      <c r="J46" s="2070">
        <v>0</v>
      </c>
      <c r="K46" s="2070">
        <v>0</v>
      </c>
      <c r="L46" s="2070">
        <v>0</v>
      </c>
      <c r="M46" s="2070">
        <v>0</v>
      </c>
      <c r="N46" s="2070">
        <v>0</v>
      </c>
      <c r="O46" s="2070">
        <v>0</v>
      </c>
      <c r="P46" s="2070">
        <v>0</v>
      </c>
      <c r="Q46" s="2070">
        <v>0</v>
      </c>
      <c r="R46" s="2070">
        <v>0</v>
      </c>
      <c r="S46" s="2070">
        <v>0</v>
      </c>
      <c r="T46" s="2070">
        <v>0</v>
      </c>
      <c r="U46" s="2070">
        <v>0</v>
      </c>
      <c r="V46" s="2070">
        <v>0</v>
      </c>
      <c r="W46" s="2070">
        <v>0</v>
      </c>
      <c r="X46" s="2070">
        <v>0</v>
      </c>
    </row>
    <row r="47" spans="1:24" ht="11.25" customHeight="1">
      <c r="A47" s="2068" t="s">
        <v>4614</v>
      </c>
      <c r="B47" s="2069" t="s">
        <v>5798</v>
      </c>
      <c r="C47" s="2070">
        <v>0</v>
      </c>
      <c r="D47" s="2070">
        <v>0</v>
      </c>
      <c r="E47" s="2070">
        <v>0</v>
      </c>
      <c r="F47" s="2070">
        <v>0</v>
      </c>
      <c r="G47" s="2070">
        <v>0</v>
      </c>
      <c r="H47" s="2070">
        <v>0</v>
      </c>
      <c r="I47" s="2070">
        <v>0</v>
      </c>
      <c r="J47" s="2070">
        <v>0</v>
      </c>
      <c r="K47" s="2070">
        <v>0</v>
      </c>
      <c r="L47" s="2070">
        <v>0</v>
      </c>
      <c r="M47" s="2070">
        <v>0</v>
      </c>
      <c r="N47" s="2070">
        <v>0</v>
      </c>
      <c r="O47" s="2070">
        <v>0</v>
      </c>
      <c r="P47" s="2070">
        <v>0</v>
      </c>
      <c r="Q47" s="2070">
        <v>0</v>
      </c>
      <c r="R47" s="2070">
        <v>0</v>
      </c>
      <c r="S47" s="2070">
        <v>0</v>
      </c>
      <c r="T47" s="2070">
        <v>0</v>
      </c>
      <c r="U47" s="2070">
        <v>0</v>
      </c>
      <c r="V47" s="2070">
        <v>0</v>
      </c>
      <c r="W47" s="2070">
        <v>0</v>
      </c>
      <c r="X47" s="2070">
        <v>0</v>
      </c>
    </row>
    <row r="48" spans="1:24" ht="11.25" customHeight="1">
      <c r="A48" s="2068" t="s">
        <v>4667</v>
      </c>
      <c r="B48" s="2069" t="s">
        <v>5799</v>
      </c>
      <c r="C48" s="2070">
        <v>450.64247635425619</v>
      </c>
      <c r="D48" s="2070">
        <v>254.3470335339639</v>
      </c>
      <c r="E48" s="2070">
        <v>218.85451418744617</v>
      </c>
      <c r="F48" s="2070">
        <v>251.06285468615647</v>
      </c>
      <c r="G48" s="2070">
        <v>251.2507308684437</v>
      </c>
      <c r="H48" s="2070">
        <v>255.68856405846944</v>
      </c>
      <c r="I48" s="2070">
        <v>273.64711951848665</v>
      </c>
      <c r="J48" s="2070">
        <v>238.54370163370595</v>
      </c>
      <c r="K48" s="2070">
        <v>226.32484952708512</v>
      </c>
      <c r="L48" s="2070">
        <v>187.78854256233868</v>
      </c>
      <c r="M48" s="2070">
        <v>308.77904127257091</v>
      </c>
      <c r="N48" s="2070">
        <v>187.53811263972489</v>
      </c>
      <c r="O48" s="2070">
        <v>174.12796646603613</v>
      </c>
      <c r="P48" s="2070">
        <v>18.438263112639724</v>
      </c>
      <c r="Q48" s="2070">
        <v>22.758211521926057</v>
      </c>
      <c r="R48" s="2070">
        <v>17.591122098022353</v>
      </c>
      <c r="S48" s="2070">
        <v>18.248645743766119</v>
      </c>
      <c r="T48" s="2070">
        <v>15.250924333619947</v>
      </c>
      <c r="U48" s="2070">
        <v>18.508061049011179</v>
      </c>
      <c r="V48" s="2070">
        <v>18.539982803095441</v>
      </c>
      <c r="W48" s="2070">
        <v>11.82407566638005</v>
      </c>
      <c r="X48" s="2070">
        <v>32.776182287188306</v>
      </c>
    </row>
    <row r="49" spans="1:24" ht="11.25" customHeight="1">
      <c r="A49" s="2068" t="s">
        <v>4666</v>
      </c>
      <c r="B49" s="2069" t="s">
        <v>5800</v>
      </c>
      <c r="C49" s="2070">
        <v>0</v>
      </c>
      <c r="D49" s="2070">
        <v>0</v>
      </c>
      <c r="E49" s="2070">
        <v>0</v>
      </c>
      <c r="F49" s="2070">
        <v>0</v>
      </c>
      <c r="G49" s="2070">
        <v>0</v>
      </c>
      <c r="H49" s="2070">
        <v>0</v>
      </c>
      <c r="I49" s="2070">
        <v>0</v>
      </c>
      <c r="J49" s="2070">
        <v>0</v>
      </c>
      <c r="K49" s="2070">
        <v>0</v>
      </c>
      <c r="L49" s="2070">
        <v>0</v>
      </c>
      <c r="M49" s="2070">
        <v>0</v>
      </c>
      <c r="N49" s="2070">
        <v>0</v>
      </c>
      <c r="O49" s="2070">
        <v>0</v>
      </c>
      <c r="P49" s="2070">
        <v>0</v>
      </c>
      <c r="Q49" s="2070">
        <v>0</v>
      </c>
      <c r="R49" s="2070">
        <v>0</v>
      </c>
      <c r="S49" s="2070">
        <v>0</v>
      </c>
      <c r="T49" s="2070">
        <v>0</v>
      </c>
      <c r="U49" s="2070">
        <v>0</v>
      </c>
      <c r="V49" s="2070">
        <v>0</v>
      </c>
      <c r="W49" s="2070">
        <v>0</v>
      </c>
      <c r="X49" s="2070">
        <v>0</v>
      </c>
    </row>
    <row r="50" spans="1:24" ht="11.25" customHeight="1">
      <c r="A50" s="2068" t="s">
        <v>4668</v>
      </c>
      <c r="B50" s="2069" t="s">
        <v>5801</v>
      </c>
      <c r="C50" s="2070">
        <v>26.177815993121239</v>
      </c>
      <c r="D50" s="2070">
        <v>25.4609630266552</v>
      </c>
      <c r="E50" s="2070">
        <v>38.032416165090275</v>
      </c>
      <c r="F50" s="2070">
        <v>25.802149613069648</v>
      </c>
      <c r="G50" s="2070">
        <v>26.070249355116076</v>
      </c>
      <c r="H50" s="2070">
        <v>20.993207222699915</v>
      </c>
      <c r="I50" s="2070">
        <v>38.433963886500429</v>
      </c>
      <c r="J50" s="2070">
        <v>21.24651762682717</v>
      </c>
      <c r="K50" s="2070">
        <v>17.199312123817709</v>
      </c>
      <c r="L50" s="2070">
        <v>16.017024935511611</v>
      </c>
      <c r="M50" s="2070">
        <v>23.168271711092</v>
      </c>
      <c r="N50" s="2070">
        <v>0</v>
      </c>
      <c r="O50" s="2070">
        <v>0</v>
      </c>
      <c r="P50" s="2070">
        <v>0</v>
      </c>
      <c r="Q50" s="2070">
        <v>0</v>
      </c>
      <c r="R50" s="2070">
        <v>0</v>
      </c>
      <c r="S50" s="2070">
        <v>0</v>
      </c>
      <c r="T50" s="2070">
        <v>6.8787618228718823E-3</v>
      </c>
      <c r="U50" s="2070">
        <v>6.0189165950128975E-3</v>
      </c>
      <c r="V50" s="2070">
        <v>5.9329320722269988E-3</v>
      </c>
      <c r="W50" s="2070">
        <v>7.6590713671539121E-2</v>
      </c>
      <c r="X50" s="2070">
        <v>21.766466036113496</v>
      </c>
    </row>
    <row r="51" spans="1:24" ht="11.25" customHeight="1">
      <c r="A51" s="2071" t="s">
        <v>3875</v>
      </c>
      <c r="B51" s="2072" t="s">
        <v>5802</v>
      </c>
      <c r="C51" s="2073">
        <v>9689.1409286328453</v>
      </c>
      <c r="D51" s="2073">
        <v>9795.6891659501289</v>
      </c>
      <c r="E51" s="2073">
        <v>9569.9951848667224</v>
      </c>
      <c r="F51" s="2073">
        <v>10041.166938950988</v>
      </c>
      <c r="G51" s="2073">
        <v>10536.552794496991</v>
      </c>
      <c r="H51" s="2073">
        <v>9728.0966466036116</v>
      </c>
      <c r="I51" s="2073">
        <v>9712.4339208942383</v>
      </c>
      <c r="J51" s="2073">
        <v>9785.7076956147903</v>
      </c>
      <c r="K51" s="2073">
        <v>9450.3375752364573</v>
      </c>
      <c r="L51" s="2073">
        <v>6507.8256663800503</v>
      </c>
      <c r="M51" s="2073">
        <v>7797.2333619948386</v>
      </c>
      <c r="N51" s="2073">
        <v>7691.8508168529661</v>
      </c>
      <c r="O51" s="2073">
        <v>7300.9873602751504</v>
      </c>
      <c r="P51" s="2073">
        <v>7236.3594582975065</v>
      </c>
      <c r="Q51" s="2073">
        <v>7184.1497850386922</v>
      </c>
      <c r="R51" s="2073">
        <v>7451.5267411865852</v>
      </c>
      <c r="S51" s="2073">
        <v>7363.0007308684435</v>
      </c>
      <c r="T51" s="2073">
        <v>7781.8842510748054</v>
      </c>
      <c r="U51" s="2073">
        <v>7764.7335391229581</v>
      </c>
      <c r="V51" s="2073">
        <v>7405.347055889938</v>
      </c>
      <c r="W51" s="2073">
        <v>7136.6341831470336</v>
      </c>
      <c r="X51" s="2073">
        <v>7388.4423207222699</v>
      </c>
    </row>
    <row r="52" spans="1:24" ht="11.25" customHeight="1">
      <c r="A52" s="2071" t="s">
        <v>5803</v>
      </c>
      <c r="B52" s="2072" t="s">
        <v>5804</v>
      </c>
      <c r="C52" s="2073">
        <v>2.2374685251792874</v>
      </c>
      <c r="D52" s="2073">
        <v>9.2018262251023337</v>
      </c>
      <c r="E52" s="2073">
        <v>2.6645393265361696</v>
      </c>
      <c r="F52" s="2073">
        <v>8.2525675610295401</v>
      </c>
      <c r="G52" s="2073">
        <v>18.520648777982888</v>
      </c>
      <c r="H52" s="2073">
        <v>17.481215569741696</v>
      </c>
      <c r="I52" s="2073">
        <v>39.471764993982134</v>
      </c>
      <c r="J52" s="2073">
        <v>27.608504096384674</v>
      </c>
      <c r="K52" s="2073">
        <v>30.818583383184357</v>
      </c>
      <c r="L52" s="2073">
        <v>46.629310624049623</v>
      </c>
      <c r="M52" s="2073">
        <v>60.67655720272424</v>
      </c>
      <c r="N52" s="2073">
        <v>50.441011051852129</v>
      </c>
      <c r="O52" s="2073">
        <v>48.526822968634619</v>
      </c>
      <c r="P52" s="2073">
        <v>47.644705901556271</v>
      </c>
      <c r="Q52" s="2073">
        <v>52.894558431458037</v>
      </c>
      <c r="R52" s="2073">
        <v>42.40042807701181</v>
      </c>
      <c r="S52" s="2073">
        <v>27.03168560354041</v>
      </c>
      <c r="T52" s="2073">
        <v>32.70353450987777</v>
      </c>
      <c r="U52" s="2073">
        <v>39.953381240804489</v>
      </c>
      <c r="V52" s="2073">
        <v>38.003775148515587</v>
      </c>
      <c r="W52" s="2073">
        <v>43.537147491662061</v>
      </c>
      <c r="X52" s="2073">
        <v>47.186050571725225</v>
      </c>
    </row>
    <row r="53" spans="1:24" ht="11.25" customHeight="1">
      <c r="A53" s="2074" t="s">
        <v>3973</v>
      </c>
      <c r="B53" s="2069" t="s">
        <v>5805</v>
      </c>
      <c r="C53" s="2070">
        <v>0</v>
      </c>
      <c r="D53" s="2070">
        <v>0</v>
      </c>
      <c r="E53" s="2070">
        <v>0</v>
      </c>
      <c r="F53" s="2070">
        <v>0</v>
      </c>
      <c r="G53" s="2070">
        <v>0</v>
      </c>
      <c r="H53" s="2070">
        <v>0</v>
      </c>
      <c r="I53" s="2070">
        <v>0</v>
      </c>
      <c r="J53" s="2070">
        <v>0</v>
      </c>
      <c r="K53" s="2070">
        <v>0</v>
      </c>
      <c r="L53" s="2070">
        <v>0</v>
      </c>
      <c r="M53" s="2070">
        <v>0</v>
      </c>
      <c r="N53" s="2070">
        <v>0</v>
      </c>
      <c r="O53" s="2070">
        <v>0</v>
      </c>
      <c r="P53" s="2070">
        <v>0</v>
      </c>
      <c r="Q53" s="2070">
        <v>0</v>
      </c>
      <c r="R53" s="2070">
        <v>0</v>
      </c>
      <c r="S53" s="2070">
        <v>0</v>
      </c>
      <c r="T53" s="2070">
        <v>0</v>
      </c>
      <c r="U53" s="2070">
        <v>0</v>
      </c>
      <c r="V53" s="2070">
        <v>0</v>
      </c>
      <c r="W53" s="2070">
        <v>0</v>
      </c>
      <c r="X53" s="2070">
        <v>0</v>
      </c>
    </row>
    <row r="54" spans="1:24" ht="11.25" customHeight="1">
      <c r="A54" s="2074" t="s">
        <v>5806</v>
      </c>
      <c r="B54" s="2069" t="s">
        <v>5807</v>
      </c>
      <c r="C54" s="2070">
        <v>0</v>
      </c>
      <c r="D54" s="2070">
        <v>0</v>
      </c>
      <c r="E54" s="2070">
        <v>0</v>
      </c>
      <c r="F54" s="2070">
        <v>0</v>
      </c>
      <c r="G54" s="2070">
        <v>0</v>
      </c>
      <c r="H54" s="2070">
        <v>0</v>
      </c>
      <c r="I54" s="2070">
        <v>0</v>
      </c>
      <c r="J54" s="2070">
        <v>0</v>
      </c>
      <c r="K54" s="2070">
        <v>0</v>
      </c>
      <c r="L54" s="2070">
        <v>0</v>
      </c>
      <c r="M54" s="2070">
        <v>0</v>
      </c>
      <c r="N54" s="2070">
        <v>0</v>
      </c>
      <c r="O54" s="2070">
        <v>0</v>
      </c>
      <c r="P54" s="2070">
        <v>0</v>
      </c>
      <c r="Q54" s="2070">
        <v>0</v>
      </c>
      <c r="R54" s="2070">
        <v>0</v>
      </c>
      <c r="S54" s="2070">
        <v>0</v>
      </c>
      <c r="T54" s="2070">
        <v>0</v>
      </c>
      <c r="U54" s="2070">
        <v>0</v>
      </c>
      <c r="V54" s="2070">
        <v>0</v>
      </c>
      <c r="W54" s="2070">
        <v>0</v>
      </c>
      <c r="X54" s="2070">
        <v>0</v>
      </c>
    </row>
    <row r="55" spans="1:24" ht="11.25" customHeight="1">
      <c r="A55" s="2074" t="s">
        <v>3965</v>
      </c>
      <c r="B55" s="2069" t="s">
        <v>5808</v>
      </c>
      <c r="C55" s="2070">
        <v>0</v>
      </c>
      <c r="D55" s="2070">
        <v>0</v>
      </c>
      <c r="E55" s="2070">
        <v>0</v>
      </c>
      <c r="F55" s="2070">
        <v>0</v>
      </c>
      <c r="G55" s="2070">
        <v>0</v>
      </c>
      <c r="H55" s="2070">
        <v>0</v>
      </c>
      <c r="I55" s="2070">
        <v>0</v>
      </c>
      <c r="J55" s="2070">
        <v>0</v>
      </c>
      <c r="K55" s="2070">
        <v>0</v>
      </c>
      <c r="L55" s="2070">
        <v>0</v>
      </c>
      <c r="M55" s="2070">
        <v>0</v>
      </c>
      <c r="N55" s="2070">
        <v>0</v>
      </c>
      <c r="O55" s="2070">
        <v>0</v>
      </c>
      <c r="P55" s="2070">
        <v>0</v>
      </c>
      <c r="Q55" s="2070">
        <v>0</v>
      </c>
      <c r="R55" s="2070">
        <v>0</v>
      </c>
      <c r="S55" s="2070">
        <v>0</v>
      </c>
      <c r="T55" s="2070">
        <v>0</v>
      </c>
      <c r="U55" s="2070">
        <v>0</v>
      </c>
      <c r="V55" s="2070">
        <v>0</v>
      </c>
      <c r="W55" s="2070">
        <v>0</v>
      </c>
      <c r="X55" s="2070">
        <v>0</v>
      </c>
    </row>
    <row r="56" spans="1:24" ht="11.25" customHeight="1">
      <c r="A56" s="2074" t="s">
        <v>5636</v>
      </c>
      <c r="B56" s="2069" t="s">
        <v>5809</v>
      </c>
      <c r="C56" s="2070">
        <v>0</v>
      </c>
      <c r="D56" s="2070">
        <v>0</v>
      </c>
      <c r="E56" s="2070">
        <v>0</v>
      </c>
      <c r="F56" s="2070">
        <v>0</v>
      </c>
      <c r="G56" s="2070">
        <v>0</v>
      </c>
      <c r="H56" s="2070">
        <v>0</v>
      </c>
      <c r="I56" s="2070">
        <v>0</v>
      </c>
      <c r="J56" s="2070">
        <v>0</v>
      </c>
      <c r="K56" s="2070">
        <v>0</v>
      </c>
      <c r="L56" s="2070">
        <v>0</v>
      </c>
      <c r="M56" s="2070">
        <v>0</v>
      </c>
      <c r="N56" s="2070">
        <v>0</v>
      </c>
      <c r="O56" s="2070">
        <v>0</v>
      </c>
      <c r="P56" s="2070">
        <v>0</v>
      </c>
      <c r="Q56" s="2070">
        <v>0</v>
      </c>
      <c r="R56" s="2070">
        <v>0</v>
      </c>
      <c r="S56" s="2070">
        <v>0</v>
      </c>
      <c r="T56" s="2070">
        <v>0</v>
      </c>
      <c r="U56" s="2070">
        <v>0</v>
      </c>
      <c r="V56" s="2070">
        <v>0</v>
      </c>
      <c r="W56" s="2070">
        <v>0</v>
      </c>
      <c r="X56" s="2070">
        <v>0</v>
      </c>
    </row>
    <row r="57" spans="1:24" ht="11.25" customHeight="1">
      <c r="A57" s="2074" t="s">
        <v>4617</v>
      </c>
      <c r="B57" s="2069" t="s">
        <v>5810</v>
      </c>
      <c r="C57" s="2070">
        <v>0</v>
      </c>
      <c r="D57" s="2070">
        <v>0</v>
      </c>
      <c r="E57" s="2070">
        <v>0</v>
      </c>
      <c r="F57" s="2070">
        <v>6.8787618228718841E-4</v>
      </c>
      <c r="G57" s="2070">
        <v>6.878761822871883E-4</v>
      </c>
      <c r="H57" s="2070">
        <v>6.8787618228718841E-4</v>
      </c>
      <c r="I57" s="2070">
        <v>6.878761822871883E-4</v>
      </c>
      <c r="J57" s="2070">
        <v>6.878761822871883E-4</v>
      </c>
      <c r="K57" s="2070">
        <v>6.8787618228718841E-4</v>
      </c>
      <c r="L57" s="2070">
        <v>2.2355975924333621E-3</v>
      </c>
      <c r="M57" s="2070">
        <v>2.2355975924333621E-3</v>
      </c>
      <c r="N57" s="2070">
        <v>2.2355975924333621E-3</v>
      </c>
      <c r="O57" s="2070">
        <v>2.2355975924333621E-3</v>
      </c>
      <c r="P57" s="2070">
        <v>2.2355975924333625E-3</v>
      </c>
      <c r="Q57" s="2070">
        <v>2.2355975924333621E-3</v>
      </c>
      <c r="R57" s="2070">
        <v>2.2355975924333625E-3</v>
      </c>
      <c r="S57" s="2070">
        <v>2.2355975924333621E-3</v>
      </c>
      <c r="T57" s="2070">
        <v>2.2355975924333617E-3</v>
      </c>
      <c r="U57" s="2070">
        <v>2.2355975924333617E-3</v>
      </c>
      <c r="V57" s="2070">
        <v>7.3946689595872743E-3</v>
      </c>
      <c r="W57" s="2070">
        <v>7.3946689595872743E-3</v>
      </c>
      <c r="X57" s="2070">
        <v>7.3946689595872743E-3</v>
      </c>
    </row>
    <row r="58" spans="1:24" ht="11.25" customHeight="1">
      <c r="A58" s="2074" t="s">
        <v>3971</v>
      </c>
      <c r="B58" s="2069" t="s">
        <v>5811</v>
      </c>
      <c r="C58" s="2070">
        <v>0</v>
      </c>
      <c r="D58" s="2070">
        <v>0</v>
      </c>
      <c r="E58" s="2070">
        <v>0</v>
      </c>
      <c r="F58" s="2070">
        <v>0</v>
      </c>
      <c r="G58" s="2070">
        <v>0</v>
      </c>
      <c r="H58" s="2070">
        <v>0</v>
      </c>
      <c r="I58" s="2070">
        <v>0</v>
      </c>
      <c r="J58" s="2070">
        <v>0</v>
      </c>
      <c r="K58" s="2070">
        <v>0</v>
      </c>
      <c r="L58" s="2070">
        <v>0</v>
      </c>
      <c r="M58" s="2070">
        <v>0</v>
      </c>
      <c r="N58" s="2070">
        <v>0</v>
      </c>
      <c r="O58" s="2070">
        <v>0</v>
      </c>
      <c r="P58" s="2070">
        <v>0</v>
      </c>
      <c r="Q58" s="2070">
        <v>0</v>
      </c>
      <c r="R58" s="2070">
        <v>0</v>
      </c>
      <c r="S58" s="2070">
        <v>0</v>
      </c>
      <c r="T58" s="2070">
        <v>0</v>
      </c>
      <c r="U58" s="2070">
        <v>0</v>
      </c>
      <c r="V58" s="2070">
        <v>0</v>
      </c>
      <c r="W58" s="2070">
        <v>0</v>
      </c>
      <c r="X58" s="2070">
        <v>0</v>
      </c>
    </row>
    <row r="59" spans="1:24" ht="11.25" customHeight="1">
      <c r="A59" s="2074" t="s">
        <v>4669</v>
      </c>
      <c r="B59" s="2069" t="s">
        <v>5812</v>
      </c>
      <c r="C59" s="2070">
        <v>1.0389724849527084</v>
      </c>
      <c r="D59" s="2070">
        <v>7.9356620808254501</v>
      </c>
      <c r="E59" s="2070">
        <v>1.6480868443680137</v>
      </c>
      <c r="F59" s="2070">
        <v>7.2251289767841778</v>
      </c>
      <c r="G59" s="2070">
        <v>17.435769561478928</v>
      </c>
      <c r="H59" s="2070">
        <v>15.978933791917457</v>
      </c>
      <c r="I59" s="2070">
        <v>37.779535683576952</v>
      </c>
      <c r="J59" s="2070">
        <v>26.159522785898538</v>
      </c>
      <c r="K59" s="2070">
        <v>29.270077386070504</v>
      </c>
      <c r="L59" s="2070">
        <v>45.243852106620793</v>
      </c>
      <c r="M59" s="2070">
        <v>55.629406706792778</v>
      </c>
      <c r="N59" s="2070">
        <v>44.32734307824591</v>
      </c>
      <c r="O59" s="2070">
        <v>45.361306964746348</v>
      </c>
      <c r="P59" s="2070">
        <v>43.820249355116076</v>
      </c>
      <c r="Q59" s="2070">
        <v>37.061865864144451</v>
      </c>
      <c r="R59" s="2070">
        <v>22.828374892519342</v>
      </c>
      <c r="S59" s="2070">
        <v>4.1640154772141011</v>
      </c>
      <c r="T59" s="2070">
        <v>5.4286328460877034</v>
      </c>
      <c r="U59" s="2070">
        <v>8.2372957867583825</v>
      </c>
      <c r="V59" s="2070">
        <v>6.9260533104041269</v>
      </c>
      <c r="W59" s="2070">
        <v>12.282373172828891</v>
      </c>
      <c r="X59" s="2070">
        <v>11.048215821152192</v>
      </c>
    </row>
    <row r="60" spans="1:24" ht="11.25" customHeight="1">
      <c r="A60" s="2074" t="s">
        <v>4618</v>
      </c>
      <c r="B60" s="2069" t="s">
        <v>5813</v>
      </c>
      <c r="C60" s="2070">
        <v>0</v>
      </c>
      <c r="D60" s="2070">
        <v>0</v>
      </c>
      <c r="E60" s="2070">
        <v>0</v>
      </c>
      <c r="F60" s="2070">
        <v>0</v>
      </c>
      <c r="G60" s="2070">
        <v>0</v>
      </c>
      <c r="H60" s="2070">
        <v>0</v>
      </c>
      <c r="I60" s="2070">
        <v>0</v>
      </c>
      <c r="J60" s="2070">
        <v>0</v>
      </c>
      <c r="K60" s="2070">
        <v>0</v>
      </c>
      <c r="L60" s="2070">
        <v>0</v>
      </c>
      <c r="M60" s="2070">
        <v>0</v>
      </c>
      <c r="N60" s="2070">
        <v>0</v>
      </c>
      <c r="O60" s="2070">
        <v>0</v>
      </c>
      <c r="P60" s="2070">
        <v>0</v>
      </c>
      <c r="Q60" s="2070">
        <v>0</v>
      </c>
      <c r="R60" s="2070">
        <v>0</v>
      </c>
      <c r="S60" s="2070">
        <v>0</v>
      </c>
      <c r="T60" s="2070">
        <v>0</v>
      </c>
      <c r="U60" s="2070">
        <v>0</v>
      </c>
      <c r="V60" s="2070">
        <v>0</v>
      </c>
      <c r="W60" s="2070">
        <v>0</v>
      </c>
      <c r="X60" s="2070">
        <v>0</v>
      </c>
    </row>
    <row r="61" spans="1:24" ht="11.25" customHeight="1">
      <c r="A61" s="2074" t="s">
        <v>4670</v>
      </c>
      <c r="B61" s="2069" t="s">
        <v>5814</v>
      </c>
      <c r="C61" s="2070">
        <v>0</v>
      </c>
      <c r="D61" s="2070">
        <v>0</v>
      </c>
      <c r="E61" s="2070">
        <v>0</v>
      </c>
      <c r="F61" s="2070">
        <v>0</v>
      </c>
      <c r="G61" s="2070">
        <v>0</v>
      </c>
      <c r="H61" s="2070">
        <v>0</v>
      </c>
      <c r="I61" s="2070">
        <v>0</v>
      </c>
      <c r="J61" s="2070">
        <v>0</v>
      </c>
      <c r="K61" s="2070">
        <v>3.7833190025795349E-3</v>
      </c>
      <c r="L61" s="2070">
        <v>6.1049011177987953E-3</v>
      </c>
      <c r="M61" s="2070">
        <v>3.0610490111779881E-2</v>
      </c>
      <c r="N61" s="2070">
        <v>0.25004299226139293</v>
      </c>
      <c r="O61" s="2070">
        <v>0.32433361994840931</v>
      </c>
      <c r="P61" s="2070">
        <v>0.43705932932072217</v>
      </c>
      <c r="Q61" s="2070">
        <v>0.65064488392089426</v>
      </c>
      <c r="R61" s="2070">
        <v>0.59750644883920889</v>
      </c>
      <c r="S61" s="2070">
        <v>0.61719690455717968</v>
      </c>
      <c r="T61" s="2070">
        <v>0.57024935511607899</v>
      </c>
      <c r="U61" s="2070">
        <v>1.1942390369733453</v>
      </c>
      <c r="V61" s="2070">
        <v>0</v>
      </c>
      <c r="W61" s="2070">
        <v>0</v>
      </c>
      <c r="X61" s="2070">
        <v>0.42992261392949266</v>
      </c>
    </row>
    <row r="62" spans="1:24" ht="11.25" customHeight="1">
      <c r="A62" s="2074" t="s">
        <v>5815</v>
      </c>
      <c r="B62" s="2069" t="s">
        <v>5816</v>
      </c>
      <c r="C62" s="2070">
        <v>2.3903697334479789E-2</v>
      </c>
      <c r="D62" s="2070">
        <v>2.3903697334479789E-2</v>
      </c>
      <c r="E62" s="2070">
        <v>2.3903697334479789E-2</v>
      </c>
      <c r="F62" s="2070">
        <v>2.3903697334479789E-2</v>
      </c>
      <c r="G62" s="2070">
        <v>2.3903697334479789E-2</v>
      </c>
      <c r="H62" s="2070">
        <v>0</v>
      </c>
      <c r="I62" s="2070">
        <v>0</v>
      </c>
      <c r="J62" s="2070">
        <v>0</v>
      </c>
      <c r="K62" s="2070">
        <v>0.1194325021496131</v>
      </c>
      <c r="L62" s="2070">
        <v>9.5528804815133275E-2</v>
      </c>
      <c r="M62" s="2070">
        <v>0.1194325021496131</v>
      </c>
      <c r="N62" s="2070">
        <v>7.1625107480653469E-2</v>
      </c>
      <c r="O62" s="2070">
        <v>0</v>
      </c>
      <c r="P62" s="2070">
        <v>0</v>
      </c>
      <c r="Q62" s="2070">
        <v>0</v>
      </c>
      <c r="R62" s="2070">
        <v>4.9871023215821153E-3</v>
      </c>
      <c r="S62" s="2070">
        <v>7.7386070507308674E-4</v>
      </c>
      <c r="T62" s="2070">
        <v>7.7386070507308674E-4</v>
      </c>
      <c r="U62" s="2070">
        <v>0</v>
      </c>
      <c r="V62" s="2070">
        <v>0</v>
      </c>
      <c r="W62" s="2070">
        <v>0</v>
      </c>
      <c r="X62" s="2070">
        <v>0</v>
      </c>
    </row>
    <row r="63" spans="1:24" ht="11.25" customHeight="1">
      <c r="A63" s="2074" t="s">
        <v>5817</v>
      </c>
      <c r="B63" s="2069" t="s">
        <v>5818</v>
      </c>
      <c r="C63" s="2070">
        <v>0</v>
      </c>
      <c r="D63" s="2070">
        <v>0</v>
      </c>
      <c r="E63" s="2070">
        <v>0</v>
      </c>
      <c r="F63" s="2070">
        <v>0</v>
      </c>
      <c r="G63" s="2070">
        <v>0</v>
      </c>
      <c r="H63" s="2070">
        <v>0</v>
      </c>
      <c r="I63" s="2070">
        <v>0</v>
      </c>
      <c r="J63" s="2070">
        <v>0</v>
      </c>
      <c r="K63" s="2070">
        <v>0</v>
      </c>
      <c r="L63" s="2070">
        <v>0</v>
      </c>
      <c r="M63" s="2070">
        <v>0</v>
      </c>
      <c r="N63" s="2070">
        <v>0</v>
      </c>
      <c r="O63" s="2070">
        <v>0</v>
      </c>
      <c r="P63" s="2070">
        <v>0</v>
      </c>
      <c r="Q63" s="2070">
        <v>0</v>
      </c>
      <c r="R63" s="2070">
        <v>0</v>
      </c>
      <c r="S63" s="2070">
        <v>0</v>
      </c>
      <c r="T63" s="2070">
        <v>0</v>
      </c>
      <c r="U63" s="2070">
        <v>0</v>
      </c>
      <c r="V63" s="2070">
        <v>0</v>
      </c>
      <c r="W63" s="2070">
        <v>0</v>
      </c>
      <c r="X63" s="2070">
        <v>0</v>
      </c>
    </row>
    <row r="64" spans="1:24" ht="11.25" customHeight="1">
      <c r="A64" s="2074" t="s">
        <v>5819</v>
      </c>
      <c r="B64" s="2069" t="s">
        <v>5820</v>
      </c>
      <c r="C64" s="2070">
        <v>0</v>
      </c>
      <c r="D64" s="2070">
        <v>0</v>
      </c>
      <c r="E64" s="2070">
        <v>0</v>
      </c>
      <c r="F64" s="2070">
        <v>0</v>
      </c>
      <c r="G64" s="2070">
        <v>0</v>
      </c>
      <c r="H64" s="2070">
        <v>0</v>
      </c>
      <c r="I64" s="2070">
        <v>0</v>
      </c>
      <c r="J64" s="2070">
        <v>6.878761822871883E-4</v>
      </c>
      <c r="K64" s="2070">
        <v>6.8787618228718841E-4</v>
      </c>
      <c r="L64" s="2070">
        <v>6.8787618228718819E-4</v>
      </c>
      <c r="M64" s="2070">
        <v>2.5795356835769554E-3</v>
      </c>
      <c r="N64" s="2070">
        <v>1.2897678417884779E-3</v>
      </c>
      <c r="O64" s="2070">
        <v>1.2897678417884782E-3</v>
      </c>
      <c r="P64" s="2070">
        <v>6.0189165950128975E-4</v>
      </c>
      <c r="Q64" s="2070">
        <v>1.2897678417884777E-3</v>
      </c>
      <c r="R64" s="2070">
        <v>6.0189165950128975E-4</v>
      </c>
      <c r="S64" s="2070">
        <v>2.5795356835769559E-3</v>
      </c>
      <c r="T64" s="2070">
        <v>1.8916595012897679E-3</v>
      </c>
      <c r="U64" s="2070">
        <v>3.1814273430782461E-3</v>
      </c>
      <c r="V64" s="2070">
        <v>1.8916595012897679E-3</v>
      </c>
      <c r="W64" s="2070">
        <v>2.5795356835769563E-3</v>
      </c>
      <c r="X64" s="2070">
        <v>3.2674118658641443E-3</v>
      </c>
    </row>
    <row r="65" spans="1:24" ht="11.25" customHeight="1">
      <c r="A65" s="2074" t="s">
        <v>5821</v>
      </c>
      <c r="B65" s="2069" t="s">
        <v>5822</v>
      </c>
      <c r="C65" s="2070">
        <v>0</v>
      </c>
      <c r="D65" s="2070">
        <v>0</v>
      </c>
      <c r="E65" s="2070">
        <v>0</v>
      </c>
      <c r="F65" s="2070">
        <v>0</v>
      </c>
      <c r="G65" s="2070">
        <v>0</v>
      </c>
      <c r="H65" s="2070">
        <v>0</v>
      </c>
      <c r="I65" s="2070">
        <v>0</v>
      </c>
      <c r="J65" s="2070">
        <v>0</v>
      </c>
      <c r="K65" s="2070">
        <v>8.5984522785898529E-4</v>
      </c>
      <c r="L65" s="2070">
        <v>1.8056749785038688E-3</v>
      </c>
      <c r="M65" s="2070">
        <v>5.4170249355116069E-3</v>
      </c>
      <c r="N65" s="2070">
        <v>8.5984522785898529E-4</v>
      </c>
      <c r="O65" s="2070">
        <v>8.598452278589854E-4</v>
      </c>
      <c r="P65" s="2070">
        <v>1.8056749785038692E-3</v>
      </c>
      <c r="Q65" s="2070">
        <v>2.510748065348237E-2</v>
      </c>
      <c r="R65" s="2070">
        <v>2.9578675838349087E-2</v>
      </c>
      <c r="S65" s="2070">
        <v>0.27867583834909709</v>
      </c>
      <c r="T65" s="2070">
        <v>1.004385210662081</v>
      </c>
      <c r="U65" s="2070">
        <v>1.0043852106620812</v>
      </c>
      <c r="V65" s="2070">
        <v>1.004385210662081</v>
      </c>
      <c r="W65" s="2070">
        <v>0</v>
      </c>
      <c r="X65" s="2070">
        <v>0</v>
      </c>
    </row>
    <row r="66" spans="1:24" ht="11.25" customHeight="1">
      <c r="A66" s="2074" t="s">
        <v>5823</v>
      </c>
      <c r="B66" s="2069" t="s">
        <v>5824</v>
      </c>
      <c r="C66" s="2070">
        <v>0</v>
      </c>
      <c r="D66" s="2070">
        <v>0</v>
      </c>
      <c r="E66" s="2070">
        <v>0</v>
      </c>
      <c r="F66" s="2070">
        <v>0</v>
      </c>
      <c r="G66" s="2070">
        <v>0</v>
      </c>
      <c r="H66" s="2070">
        <v>1.7196904557179704E-3</v>
      </c>
      <c r="I66" s="2070">
        <v>3.5253654342218403E-3</v>
      </c>
      <c r="J66" s="2070">
        <v>3.5253654342218407E-3</v>
      </c>
      <c r="K66" s="2070">
        <v>2.8288907996560614E-2</v>
      </c>
      <c r="L66" s="2070">
        <v>3.4307824591573513E-2</v>
      </c>
      <c r="M66" s="2070">
        <v>7.7558039552880459E-2</v>
      </c>
      <c r="N66" s="2070">
        <v>2.5623387790197759E-2</v>
      </c>
      <c r="O66" s="2070">
        <v>2.1066208082545137E-2</v>
      </c>
      <c r="P66" s="2070">
        <v>2.1410146173688738E-2</v>
      </c>
      <c r="Q66" s="2070">
        <v>0.10567497850386928</v>
      </c>
      <c r="R66" s="2070">
        <v>0.18641444539982804</v>
      </c>
      <c r="S66" s="2070">
        <v>1.4020636285468615</v>
      </c>
      <c r="T66" s="2070">
        <v>2.0047291487532242</v>
      </c>
      <c r="U66" s="2070">
        <v>1.7747205503009456</v>
      </c>
      <c r="V66" s="2070">
        <v>1.7424763542562336</v>
      </c>
      <c r="W66" s="2070">
        <v>1.5796216680997421</v>
      </c>
      <c r="X66" s="2070">
        <v>2.0166809974204645</v>
      </c>
    </row>
    <row r="67" spans="1:24" ht="11.25" customHeight="1">
      <c r="A67" s="2074" t="s">
        <v>5825</v>
      </c>
      <c r="B67" s="2069" t="s">
        <v>5826</v>
      </c>
      <c r="C67" s="2070">
        <v>0</v>
      </c>
      <c r="D67" s="2070">
        <v>0</v>
      </c>
      <c r="E67" s="2070">
        <v>0</v>
      </c>
      <c r="F67" s="2070">
        <v>0</v>
      </c>
      <c r="G67" s="2070">
        <v>0</v>
      </c>
      <c r="H67" s="2070">
        <v>0</v>
      </c>
      <c r="I67" s="2070">
        <v>0</v>
      </c>
      <c r="J67" s="2070">
        <v>0</v>
      </c>
      <c r="K67" s="2070">
        <v>0</v>
      </c>
      <c r="L67" s="2070">
        <v>0</v>
      </c>
      <c r="M67" s="2070">
        <v>0</v>
      </c>
      <c r="N67" s="2070">
        <v>0</v>
      </c>
      <c r="O67" s="2070">
        <v>0</v>
      </c>
      <c r="P67" s="2070">
        <v>0</v>
      </c>
      <c r="Q67" s="2070">
        <v>0</v>
      </c>
      <c r="R67" s="2070">
        <v>0</v>
      </c>
      <c r="S67" s="2070">
        <v>0</v>
      </c>
      <c r="T67" s="2070">
        <v>0</v>
      </c>
      <c r="U67" s="2070">
        <v>0</v>
      </c>
      <c r="V67" s="2070">
        <v>0</v>
      </c>
      <c r="W67" s="2070">
        <v>0</v>
      </c>
      <c r="X67" s="2070">
        <v>0</v>
      </c>
    </row>
    <row r="68" spans="1:24" ht="11.25" customHeight="1">
      <c r="A68" s="2074" t="s">
        <v>5827</v>
      </c>
      <c r="B68" s="2069" t="s">
        <v>5828</v>
      </c>
      <c r="C68" s="2070">
        <v>0</v>
      </c>
      <c r="D68" s="2070">
        <v>0</v>
      </c>
      <c r="E68" s="2070">
        <v>0</v>
      </c>
      <c r="F68" s="2070">
        <v>0</v>
      </c>
      <c r="G68" s="2070">
        <v>0</v>
      </c>
      <c r="H68" s="2070">
        <v>0</v>
      </c>
      <c r="I68" s="2070">
        <v>0</v>
      </c>
      <c r="J68" s="2070">
        <v>0</v>
      </c>
      <c r="K68" s="2070">
        <v>0</v>
      </c>
      <c r="L68" s="2070">
        <v>0</v>
      </c>
      <c r="M68" s="2070">
        <v>0</v>
      </c>
      <c r="N68" s="2070">
        <v>0</v>
      </c>
      <c r="O68" s="2070">
        <v>0</v>
      </c>
      <c r="P68" s="2070">
        <v>0</v>
      </c>
      <c r="Q68" s="2070">
        <v>0</v>
      </c>
      <c r="R68" s="2070">
        <v>0</v>
      </c>
      <c r="S68" s="2070">
        <v>0</v>
      </c>
      <c r="T68" s="2070">
        <v>0</v>
      </c>
      <c r="U68" s="2070">
        <v>0</v>
      </c>
      <c r="V68" s="2070">
        <v>0</v>
      </c>
      <c r="W68" s="2070">
        <v>0</v>
      </c>
      <c r="X68" s="2070">
        <v>0</v>
      </c>
    </row>
    <row r="69" spans="1:24" ht="11.25" customHeight="1">
      <c r="A69" s="2074" t="s">
        <v>4619</v>
      </c>
      <c r="B69" s="2069" t="s">
        <v>5829</v>
      </c>
      <c r="C69" s="2070">
        <v>0</v>
      </c>
      <c r="D69" s="2070">
        <v>0</v>
      </c>
      <c r="E69" s="2070">
        <v>0</v>
      </c>
      <c r="F69" s="2070">
        <v>0</v>
      </c>
      <c r="G69" s="2070">
        <v>0</v>
      </c>
      <c r="H69" s="2070">
        <v>0</v>
      </c>
      <c r="I69" s="2070">
        <v>0</v>
      </c>
      <c r="J69" s="2070">
        <v>0</v>
      </c>
      <c r="K69" s="2070">
        <v>0</v>
      </c>
      <c r="L69" s="2070">
        <v>0</v>
      </c>
      <c r="M69" s="2070">
        <v>3.2189165950128968</v>
      </c>
      <c r="N69" s="2070">
        <v>3.590713671539123</v>
      </c>
      <c r="O69" s="2070">
        <v>0</v>
      </c>
      <c r="P69" s="2070">
        <v>0</v>
      </c>
      <c r="Q69" s="2070">
        <v>0</v>
      </c>
      <c r="R69" s="2070">
        <v>0</v>
      </c>
      <c r="S69" s="2070">
        <v>0</v>
      </c>
      <c r="T69" s="2070">
        <v>0</v>
      </c>
      <c r="U69" s="2070">
        <v>0</v>
      </c>
      <c r="V69" s="2070">
        <v>0</v>
      </c>
      <c r="W69" s="2070">
        <v>0</v>
      </c>
      <c r="X69" s="2070">
        <v>0</v>
      </c>
    </row>
    <row r="70" spans="1:24" ht="11.25" customHeight="1">
      <c r="A70" s="2074" t="s">
        <v>5830</v>
      </c>
      <c r="B70" s="2069" t="s">
        <v>5831</v>
      </c>
      <c r="C70" s="2070">
        <v>1.1745923428920992</v>
      </c>
      <c r="D70" s="2070">
        <v>1.2422604469424041</v>
      </c>
      <c r="E70" s="2070">
        <v>0.99254878483367626</v>
      </c>
      <c r="F70" s="2070">
        <v>1.0028470107285954</v>
      </c>
      <c r="G70" s="2070">
        <v>1.0602876429871941</v>
      </c>
      <c r="H70" s="2070">
        <v>1.4998742111862315</v>
      </c>
      <c r="I70" s="2070">
        <v>1.6880160687886701</v>
      </c>
      <c r="J70" s="2070">
        <v>1.4440801926873403</v>
      </c>
      <c r="K70" s="2070">
        <v>1.3947656703726663</v>
      </c>
      <c r="L70" s="2070">
        <v>1.244787838151094</v>
      </c>
      <c r="M70" s="2070">
        <v>1.590400710892756</v>
      </c>
      <c r="N70" s="2070">
        <v>2.1712776038727717</v>
      </c>
      <c r="O70" s="2070">
        <v>2.8157309651952387</v>
      </c>
      <c r="P70" s="2070">
        <v>3.361343906715347</v>
      </c>
      <c r="Q70" s="2070">
        <v>15.047739858801119</v>
      </c>
      <c r="R70" s="2070">
        <v>18.750729022841568</v>
      </c>
      <c r="S70" s="2070">
        <v>20.564144760892088</v>
      </c>
      <c r="T70" s="2070">
        <v>23.690636831459891</v>
      </c>
      <c r="U70" s="2070">
        <v>27.737323631174228</v>
      </c>
      <c r="V70" s="2070">
        <v>28.321573944732272</v>
      </c>
      <c r="W70" s="2070">
        <v>29.665178446090266</v>
      </c>
      <c r="X70" s="2070">
        <v>33.680569058397623</v>
      </c>
    </row>
    <row r="71" spans="1:24" ht="11.25" customHeight="1">
      <c r="A71" s="2071" t="s">
        <v>5832</v>
      </c>
      <c r="B71" s="2072" t="s">
        <v>5833</v>
      </c>
      <c r="C71" s="2073">
        <v>5.6845012897678409</v>
      </c>
      <c r="D71" s="2073">
        <v>5.8935511607910573</v>
      </c>
      <c r="E71" s="2073">
        <v>5.3979148753224413</v>
      </c>
      <c r="F71" s="2073">
        <v>1.7077601031814273</v>
      </c>
      <c r="G71" s="2073">
        <v>6.3294496990541687</v>
      </c>
      <c r="H71" s="2073">
        <v>4.854557179707653</v>
      </c>
      <c r="I71" s="2073">
        <v>4.0305245055889936</v>
      </c>
      <c r="J71" s="2073">
        <v>3.3677128116938948</v>
      </c>
      <c r="K71" s="2073">
        <v>13.279858125537407</v>
      </c>
      <c r="L71" s="2073">
        <v>2.1257523645743763</v>
      </c>
      <c r="M71" s="2073">
        <v>2.1914230438521072</v>
      </c>
      <c r="N71" s="2073">
        <v>2.6034608770421328</v>
      </c>
      <c r="O71" s="2073">
        <v>1.3555030094582969</v>
      </c>
      <c r="P71" s="2073">
        <v>0.59116509028374886</v>
      </c>
      <c r="Q71" s="2073">
        <v>2.4421324161650895</v>
      </c>
      <c r="R71" s="2073">
        <v>2.3924548581255372</v>
      </c>
      <c r="S71" s="2073">
        <v>2.3173688736027516</v>
      </c>
      <c r="T71" s="2073">
        <v>2.471517626827171</v>
      </c>
      <c r="U71" s="2073">
        <v>2.4986242476354255</v>
      </c>
      <c r="V71" s="2073">
        <v>2.4088779019776441</v>
      </c>
      <c r="W71" s="2073">
        <v>4.6067927773000852</v>
      </c>
      <c r="X71" s="2073">
        <v>1.9351246775580393</v>
      </c>
    </row>
    <row r="72" spans="1:24" ht="11.25" customHeight="1">
      <c r="A72" s="2074" t="s">
        <v>5834</v>
      </c>
      <c r="B72" s="2069" t="s">
        <v>5835</v>
      </c>
      <c r="C72" s="2070">
        <v>5.6845012897678409</v>
      </c>
      <c r="D72" s="2070">
        <v>5.8696474634565776</v>
      </c>
      <c r="E72" s="2070">
        <v>5.3740111779879616</v>
      </c>
      <c r="F72" s="2070">
        <v>1.6838564058469476</v>
      </c>
      <c r="G72" s="2070">
        <v>6.3055460017196889</v>
      </c>
      <c r="H72" s="2070">
        <v>4.854557179707653</v>
      </c>
      <c r="I72" s="2070">
        <v>4.0305245055889936</v>
      </c>
      <c r="J72" s="2070">
        <v>3.3677128116938948</v>
      </c>
      <c r="K72" s="2070">
        <v>13.184329320722274</v>
      </c>
      <c r="L72" s="2070">
        <v>2.0302235597592428</v>
      </c>
      <c r="M72" s="2070">
        <v>2.0958942390369737</v>
      </c>
      <c r="N72" s="2070">
        <v>2.5556534823731734</v>
      </c>
      <c r="O72" s="2070">
        <v>1.3555030094582969</v>
      </c>
      <c r="P72" s="2070">
        <v>0.59116509028374886</v>
      </c>
      <c r="Q72" s="2070">
        <v>2.4421324161650895</v>
      </c>
      <c r="R72" s="2070">
        <v>2.3884135855545998</v>
      </c>
      <c r="S72" s="2070">
        <v>2.3167669819432501</v>
      </c>
      <c r="T72" s="2070">
        <v>2.4709157351676696</v>
      </c>
      <c r="U72" s="2070">
        <v>2.4986242476354255</v>
      </c>
      <c r="V72" s="2070">
        <v>2.4088779019776441</v>
      </c>
      <c r="W72" s="2070">
        <v>4.6067927773000852</v>
      </c>
      <c r="X72" s="2070">
        <v>1.9351246775580393</v>
      </c>
    </row>
    <row r="73" spans="1:24" ht="11.25" customHeight="1">
      <c r="A73" s="2074" t="s">
        <v>5836</v>
      </c>
      <c r="B73" s="2069" t="s">
        <v>5837</v>
      </c>
      <c r="C73" s="2070">
        <v>0</v>
      </c>
      <c r="D73" s="2070">
        <v>2.3903697334479789E-2</v>
      </c>
      <c r="E73" s="2070">
        <v>2.3903697334479789E-2</v>
      </c>
      <c r="F73" s="2070">
        <v>2.3903697334479789E-2</v>
      </c>
      <c r="G73" s="2070">
        <v>2.3903697334479789E-2</v>
      </c>
      <c r="H73" s="2070">
        <v>0</v>
      </c>
      <c r="I73" s="2070">
        <v>0</v>
      </c>
      <c r="J73" s="2070">
        <v>0</v>
      </c>
      <c r="K73" s="2070">
        <v>9.5528804815133275E-2</v>
      </c>
      <c r="L73" s="2070">
        <v>9.5528804815133275E-2</v>
      </c>
      <c r="M73" s="2070">
        <v>9.5528804815133275E-2</v>
      </c>
      <c r="N73" s="2070">
        <v>4.7807394668959592E-2</v>
      </c>
      <c r="O73" s="2070">
        <v>0</v>
      </c>
      <c r="P73" s="2070">
        <v>0</v>
      </c>
      <c r="Q73" s="2070">
        <v>0</v>
      </c>
      <c r="R73" s="2070">
        <v>4.0412725709372309E-3</v>
      </c>
      <c r="S73" s="2070">
        <v>6.0189165950128975E-4</v>
      </c>
      <c r="T73" s="2070">
        <v>6.0189165950128975E-4</v>
      </c>
      <c r="U73" s="2070">
        <v>0</v>
      </c>
      <c r="V73" s="2070">
        <v>0</v>
      </c>
      <c r="W73" s="2070">
        <v>0</v>
      </c>
      <c r="X73" s="2070">
        <v>0</v>
      </c>
    </row>
    <row r="74" spans="1:24" ht="11.25" customHeight="1">
      <c r="A74" s="2071" t="s">
        <v>4616</v>
      </c>
      <c r="B74" s="2072" t="s">
        <v>5838</v>
      </c>
      <c r="C74" s="2073">
        <v>0</v>
      </c>
      <c r="D74" s="2073">
        <v>0</v>
      </c>
      <c r="E74" s="2073">
        <v>0</v>
      </c>
      <c r="F74" s="2073">
        <v>0</v>
      </c>
      <c r="G74" s="2073">
        <v>0</v>
      </c>
      <c r="H74" s="2073">
        <v>0</v>
      </c>
      <c r="I74" s="2073">
        <v>0</v>
      </c>
      <c r="J74" s="2073">
        <v>0</v>
      </c>
      <c r="K74" s="2073">
        <v>0</v>
      </c>
      <c r="L74" s="2073">
        <v>0</v>
      </c>
      <c r="M74" s="2073">
        <v>0</v>
      </c>
      <c r="N74" s="2073">
        <v>0</v>
      </c>
      <c r="O74" s="2073">
        <v>0</v>
      </c>
      <c r="P74" s="2073">
        <v>0</v>
      </c>
      <c r="Q74" s="2073">
        <v>0</v>
      </c>
      <c r="R74" s="2073">
        <v>0</v>
      </c>
      <c r="S74" s="2073">
        <v>0</v>
      </c>
      <c r="T74" s="2073">
        <v>0</v>
      </c>
      <c r="U74" s="2073">
        <v>0</v>
      </c>
      <c r="V74" s="2073">
        <v>0</v>
      </c>
      <c r="W74" s="2073">
        <v>0</v>
      </c>
      <c r="X74" s="2073">
        <v>0</v>
      </c>
    </row>
    <row r="75" spans="1:24" ht="11.25" customHeight="1">
      <c r="A75" s="2071" t="s">
        <v>4671</v>
      </c>
      <c r="B75" s="2072" t="s">
        <v>5839</v>
      </c>
      <c r="C75" s="2073">
        <v>339.96880911435943</v>
      </c>
      <c r="D75" s="2073">
        <v>357.3486027515047</v>
      </c>
      <c r="E75" s="2073">
        <v>342.74009028374894</v>
      </c>
      <c r="F75" s="2073">
        <v>362.87050730868452</v>
      </c>
      <c r="G75" s="2073">
        <v>248.69840928632851</v>
      </c>
      <c r="H75" s="2073">
        <v>227.87712811693893</v>
      </c>
      <c r="I75" s="2073">
        <v>193.60733018056749</v>
      </c>
      <c r="J75" s="2073">
        <v>178.76233877901979</v>
      </c>
      <c r="K75" s="2073">
        <v>166.57248495270852</v>
      </c>
      <c r="L75" s="2073">
        <v>450.43525365434232</v>
      </c>
      <c r="M75" s="2073">
        <v>293.63860705073091</v>
      </c>
      <c r="N75" s="2073">
        <v>354.72992261392949</v>
      </c>
      <c r="O75" s="2073">
        <v>468.14180997420465</v>
      </c>
      <c r="P75" s="2073">
        <v>364.52839638865009</v>
      </c>
      <c r="Q75" s="2073">
        <v>395.42598882201207</v>
      </c>
      <c r="R75" s="2073">
        <v>502.684845227859</v>
      </c>
      <c r="S75" s="2073">
        <v>520.51388650042986</v>
      </c>
      <c r="T75" s="2073">
        <v>516.3164015477214</v>
      </c>
      <c r="U75" s="2073">
        <v>422.98295356835763</v>
      </c>
      <c r="V75" s="2073">
        <v>495.09443250214952</v>
      </c>
      <c r="W75" s="2073">
        <v>464.70371883061046</v>
      </c>
      <c r="X75" s="2073">
        <v>423.619690455718</v>
      </c>
    </row>
    <row r="76" spans="1:24" ht="11.25" customHeight="1">
      <c r="A76" s="2075" t="s">
        <v>4282</v>
      </c>
      <c r="B76" s="2076" t="s">
        <v>5840</v>
      </c>
      <c r="C76" s="2077">
        <v>10262.376728541803</v>
      </c>
      <c r="D76" s="2077">
        <v>10403.487704213239</v>
      </c>
      <c r="E76" s="2077">
        <v>10266.877644024076</v>
      </c>
      <c r="F76" s="2077">
        <v>10555.242390369731</v>
      </c>
      <c r="G76" s="2077">
        <v>10958.465004299229</v>
      </c>
      <c r="H76" s="2077">
        <v>10799.93456577816</v>
      </c>
      <c r="I76" s="2077">
        <v>11157.284780739468</v>
      </c>
      <c r="J76" s="2077">
        <v>11088.851418744627</v>
      </c>
      <c r="K76" s="2077">
        <v>10606.888134135857</v>
      </c>
      <c r="L76" s="2077">
        <v>8026.5050730868443</v>
      </c>
      <c r="M76" s="2077">
        <v>9403.495012897678</v>
      </c>
      <c r="N76" s="2077">
        <v>10058.696560619088</v>
      </c>
      <c r="O76" s="2077">
        <v>9714.6108340498686</v>
      </c>
      <c r="P76" s="2077">
        <v>9335.6346517626807</v>
      </c>
      <c r="Q76" s="2077">
        <v>9353.1149613069647</v>
      </c>
      <c r="R76" s="2077">
        <v>9300.6493551160802</v>
      </c>
      <c r="S76" s="2077">
        <v>9570.2684436801355</v>
      </c>
      <c r="T76" s="2077">
        <v>9622.2683061048992</v>
      </c>
      <c r="U76" s="2077">
        <v>9787.3594668959558</v>
      </c>
      <c r="V76" s="2077">
        <v>9203.3659759243346</v>
      </c>
      <c r="W76" s="2077">
        <v>8137.6875408426486</v>
      </c>
      <c r="X76" s="2077">
        <v>9037.2053224419615</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6C64-549E-476E-9733-5498DE66D20A}">
  <sheetPr>
    <pageSetUpPr fitToPage="1"/>
  </sheetPr>
  <dimension ref="A1:X76"/>
  <sheetViews>
    <sheetView showGridLines="0" workbookViewId="0">
      <pane xSplit="2" ySplit="2" topLeftCell="I24" activePane="bottomRight" state="frozen"/>
      <selection activeCell="W2" sqref="W2"/>
      <selection pane="topRight" activeCell="W2" sqref="W2"/>
      <selection pane="bottomLeft" activeCell="W2" sqref="W2"/>
      <selection pane="bottomRight"/>
    </sheetView>
  </sheetViews>
  <sheetFormatPr baseColWidth="10" defaultColWidth="9.1640625" defaultRowHeight="11.25" customHeight="1"/>
  <cols>
    <col min="1" max="1" width="40.6640625" style="2059" bestFit="1" customWidth="1"/>
    <col min="2" max="2" width="16.1640625" style="2059" bestFit="1" customWidth="1"/>
    <col min="3" max="24" width="9.6640625" style="2059" customWidth="1"/>
    <col min="25" max="16384" width="9.1640625" style="2059"/>
  </cols>
  <sheetData>
    <row r="1" spans="1:24" ht="11.25" customHeight="1">
      <c r="A1" s="2057" t="s">
        <v>5841</v>
      </c>
      <c r="B1" s="2057" t="s">
        <v>5842</v>
      </c>
      <c r="C1" s="2058">
        <v>2000</v>
      </c>
      <c r="D1" s="2058">
        <v>2001</v>
      </c>
      <c r="E1" s="2058">
        <v>2002</v>
      </c>
      <c r="F1" s="2058">
        <v>2003</v>
      </c>
      <c r="G1" s="2058">
        <v>2004</v>
      </c>
      <c r="H1" s="2058">
        <v>2005</v>
      </c>
      <c r="I1" s="2058">
        <v>2006</v>
      </c>
      <c r="J1" s="2058">
        <v>2007</v>
      </c>
      <c r="K1" s="2058">
        <v>2008</v>
      </c>
      <c r="L1" s="2058">
        <v>2009</v>
      </c>
      <c r="M1" s="2058">
        <v>2010</v>
      </c>
      <c r="N1" s="2058">
        <v>2011</v>
      </c>
      <c r="O1" s="2058">
        <v>2012</v>
      </c>
      <c r="P1" s="2058">
        <v>2013</v>
      </c>
      <c r="Q1" s="2058">
        <v>2014</v>
      </c>
      <c r="R1" s="2058">
        <v>2015</v>
      </c>
      <c r="S1" s="2058">
        <v>2016</v>
      </c>
      <c r="T1" s="2058">
        <v>2017</v>
      </c>
      <c r="U1" s="2058">
        <v>2018</v>
      </c>
      <c r="V1" s="2058">
        <v>2019</v>
      </c>
      <c r="W1" s="2058">
        <v>2020</v>
      </c>
      <c r="X1" s="2058">
        <v>2021</v>
      </c>
    </row>
    <row r="2" spans="1:24" ht="11.25" customHeight="1">
      <c r="A2" s="2060" t="s">
        <v>1265</v>
      </c>
      <c r="B2" s="2060" t="s">
        <v>5738</v>
      </c>
      <c r="C2" s="2061">
        <v>11105.870302876563</v>
      </c>
      <c r="D2" s="2061">
        <v>11130.396272180151</v>
      </c>
      <c r="E2" s="2061">
        <v>11288.319766475644</v>
      </c>
      <c r="F2" s="2061">
        <v>11083.68097761364</v>
      </c>
      <c r="G2" s="2061">
        <v>11541.52337626404</v>
      </c>
      <c r="H2" s="2061">
        <v>11272.434606931631</v>
      </c>
      <c r="I2" s="2061">
        <v>10805.985759324183</v>
      </c>
      <c r="J2" s="2061">
        <v>10876.383432142233</v>
      </c>
      <c r="K2" s="2061">
        <v>10447.052114252663</v>
      </c>
      <c r="L2" s="2061">
        <v>8619.8743556194095</v>
      </c>
      <c r="M2" s="2061">
        <v>9441.7221252830113</v>
      </c>
      <c r="N2" s="2061">
        <v>9816.5569498235982</v>
      </c>
      <c r="O2" s="2061">
        <v>9025.0935388435428</v>
      </c>
      <c r="P2" s="2061">
        <v>8860.37638635025</v>
      </c>
      <c r="Q2" s="2061">
        <v>8730.4657211224712</v>
      </c>
      <c r="R2" s="2061">
        <v>9247.041387362382</v>
      </c>
      <c r="S2" s="2061">
        <v>9414.6104572423574</v>
      </c>
      <c r="T2" s="2061">
        <v>9511.2345680311537</v>
      </c>
      <c r="U2" s="2061">
        <v>9710.8916211729993</v>
      </c>
      <c r="V2" s="2061">
        <v>9440.8298287057078</v>
      </c>
      <c r="W2" s="2061">
        <v>9042.2427071057718</v>
      </c>
      <c r="X2" s="2061">
        <v>9497.2515663914673</v>
      </c>
    </row>
    <row r="3" spans="1:24" ht="11.25" customHeight="1">
      <c r="A3" s="2062" t="s">
        <v>5739</v>
      </c>
      <c r="B3" s="2063" t="s">
        <v>5740</v>
      </c>
      <c r="C3" s="2064">
        <v>579.66430782459156</v>
      </c>
      <c r="D3" s="2064">
        <v>557.63817712811692</v>
      </c>
      <c r="E3" s="2064">
        <v>607.93949269131554</v>
      </c>
      <c r="F3" s="2064">
        <v>489.51100601891653</v>
      </c>
      <c r="G3" s="2064">
        <v>438.1639982803095</v>
      </c>
      <c r="H3" s="2064">
        <v>570.00672398968186</v>
      </c>
      <c r="I3" s="2064">
        <v>427.21631986242471</v>
      </c>
      <c r="J3" s="2064">
        <v>464.73754084264829</v>
      </c>
      <c r="K3" s="2064">
        <v>371.34733447979363</v>
      </c>
      <c r="L3" s="2064">
        <v>235.10858985382629</v>
      </c>
      <c r="M3" s="2064">
        <v>294.188271711092</v>
      </c>
      <c r="N3" s="2064">
        <v>342.19953998280312</v>
      </c>
      <c r="O3" s="2064">
        <v>336.55628116938948</v>
      </c>
      <c r="P3" s="2064">
        <v>305.13360705073092</v>
      </c>
      <c r="Q3" s="2064">
        <v>278.29432072227002</v>
      </c>
      <c r="R3" s="2064">
        <v>306.35173258813415</v>
      </c>
      <c r="S3" s="2064">
        <v>318.7628288907996</v>
      </c>
      <c r="T3" s="2064">
        <v>157.53371023215817</v>
      </c>
      <c r="U3" s="2064">
        <v>195.9148839208942</v>
      </c>
      <c r="V3" s="2064">
        <v>199.70141444539982</v>
      </c>
      <c r="W3" s="2064">
        <v>173.88172828890799</v>
      </c>
      <c r="X3" s="2064">
        <v>183.47393379191746</v>
      </c>
    </row>
    <row r="4" spans="1:24" ht="11.25" customHeight="1">
      <c r="A4" s="2065" t="s">
        <v>5741</v>
      </c>
      <c r="B4" s="2066" t="s">
        <v>5742</v>
      </c>
      <c r="C4" s="2067">
        <v>195.17496990541702</v>
      </c>
      <c r="D4" s="2067">
        <v>248.44737747205502</v>
      </c>
      <c r="E4" s="2067">
        <v>230.13446259673256</v>
      </c>
      <c r="F4" s="2067">
        <v>208.71633705932931</v>
      </c>
      <c r="G4" s="2067">
        <v>185.67371453138435</v>
      </c>
      <c r="H4" s="2067">
        <v>242.92546861564921</v>
      </c>
      <c r="I4" s="2067">
        <v>118.79598452278587</v>
      </c>
      <c r="J4" s="2067">
        <v>152.80950988822011</v>
      </c>
      <c r="K4" s="2067">
        <v>152.3760963026655</v>
      </c>
      <c r="L4" s="2067">
        <v>122.41069647463455</v>
      </c>
      <c r="M4" s="2067">
        <v>171.83552020636284</v>
      </c>
      <c r="N4" s="2067">
        <v>197.64792777300087</v>
      </c>
      <c r="O4" s="2067">
        <v>228.01073086844366</v>
      </c>
      <c r="P4" s="2067">
        <v>205.67550300945831</v>
      </c>
      <c r="Q4" s="2067">
        <v>185.65233877901983</v>
      </c>
      <c r="R4" s="2067">
        <v>185.61190025795358</v>
      </c>
      <c r="S4" s="2067">
        <v>222.49881341358551</v>
      </c>
      <c r="T4" s="2067">
        <v>61.213482373172823</v>
      </c>
      <c r="U4" s="2067">
        <v>96.71905417024935</v>
      </c>
      <c r="V4" s="2067">
        <v>103.17546861564918</v>
      </c>
      <c r="W4" s="2067">
        <v>84.289079965606192</v>
      </c>
      <c r="X4" s="2067">
        <v>85.535864144453996</v>
      </c>
    </row>
    <row r="5" spans="1:24" ht="11.25" customHeight="1">
      <c r="A5" s="2068" t="s">
        <v>4613</v>
      </c>
      <c r="B5" s="2069" t="s">
        <v>5743</v>
      </c>
      <c r="C5" s="2070">
        <v>0</v>
      </c>
      <c r="D5" s="2070">
        <v>0</v>
      </c>
      <c r="E5" s="2070">
        <v>0</v>
      </c>
      <c r="F5" s="2070">
        <v>0</v>
      </c>
      <c r="G5" s="2070">
        <v>0</v>
      </c>
      <c r="H5" s="2070">
        <v>0</v>
      </c>
      <c r="I5" s="2070">
        <v>0</v>
      </c>
      <c r="J5" s="2070">
        <v>1.0264402407566635</v>
      </c>
      <c r="K5" s="2070">
        <v>2.1261650902837488</v>
      </c>
      <c r="L5" s="2070">
        <v>0.18295786758383478</v>
      </c>
      <c r="M5" s="2070">
        <v>0.79280309544282024</v>
      </c>
      <c r="N5" s="2070">
        <v>5.4677815993121204</v>
      </c>
      <c r="O5" s="2070">
        <v>6.8094411006018909</v>
      </c>
      <c r="P5" s="2070">
        <v>8.8814961306964708</v>
      </c>
      <c r="Q5" s="2070">
        <v>7.398538263112636</v>
      </c>
      <c r="R5" s="2070">
        <v>6.5863284608770405</v>
      </c>
      <c r="S5" s="2070">
        <v>7.3791315563198641</v>
      </c>
      <c r="T5" s="2070">
        <v>8.0987360275150433</v>
      </c>
      <c r="U5" s="2070">
        <v>8.0722527944969844</v>
      </c>
      <c r="V5" s="2070">
        <v>7.8880481513327583</v>
      </c>
      <c r="W5" s="2070">
        <v>8.4025709372312978</v>
      </c>
      <c r="X5" s="2070">
        <v>9.106113499570073</v>
      </c>
    </row>
    <row r="6" spans="1:24" ht="11.25" customHeight="1">
      <c r="A6" s="2068" t="s">
        <v>4647</v>
      </c>
      <c r="B6" s="2069" t="s">
        <v>5744</v>
      </c>
      <c r="C6" s="2070">
        <v>7.4882029234737741</v>
      </c>
      <c r="D6" s="2070">
        <v>19.735081685296649</v>
      </c>
      <c r="E6" s="2070">
        <v>4.0492691315563194</v>
      </c>
      <c r="F6" s="2070">
        <v>0</v>
      </c>
      <c r="G6" s="2070">
        <v>17.537257093723127</v>
      </c>
      <c r="H6" s="2070">
        <v>19.967515047291499</v>
      </c>
      <c r="I6" s="2070">
        <v>8.6701031814273364</v>
      </c>
      <c r="J6" s="2070">
        <v>18.277652622527938</v>
      </c>
      <c r="K6" s="2070">
        <v>1.9704815133276024</v>
      </c>
      <c r="L6" s="2070">
        <v>2.0361650902837485</v>
      </c>
      <c r="M6" s="2070">
        <v>3.67822871883061</v>
      </c>
      <c r="N6" s="2070">
        <v>8.2103267411865772</v>
      </c>
      <c r="O6" s="2070">
        <v>4.1380051590713691</v>
      </c>
      <c r="P6" s="2070">
        <v>3.9409544282029225</v>
      </c>
      <c r="Q6" s="2070">
        <v>1.3793379191745492</v>
      </c>
      <c r="R6" s="2070">
        <v>0.91955288048151285</v>
      </c>
      <c r="S6" s="2070">
        <v>0.65682717110920064</v>
      </c>
      <c r="T6" s="2070">
        <v>0.53822012037833122</v>
      </c>
      <c r="U6" s="2070">
        <v>0.4639122957867583</v>
      </c>
      <c r="V6" s="2070">
        <v>0.11029234737747197</v>
      </c>
      <c r="W6" s="2070">
        <v>0.82270851246775589</v>
      </c>
      <c r="X6" s="2070">
        <v>0.60464316423043851</v>
      </c>
    </row>
    <row r="7" spans="1:24" ht="11.25" customHeight="1">
      <c r="A7" s="2068" t="s">
        <v>4648</v>
      </c>
      <c r="B7" s="2069" t="s">
        <v>5745</v>
      </c>
      <c r="C7" s="2070">
        <v>187.68676698194324</v>
      </c>
      <c r="D7" s="2070">
        <v>228.71229578675838</v>
      </c>
      <c r="E7" s="2070">
        <v>226.08519346517625</v>
      </c>
      <c r="F7" s="2070">
        <v>208.71633705932931</v>
      </c>
      <c r="G7" s="2070">
        <v>168.13645743766122</v>
      </c>
      <c r="H7" s="2070">
        <v>222.95795356835771</v>
      </c>
      <c r="I7" s="2070">
        <v>110.12588134135854</v>
      </c>
      <c r="J7" s="2070">
        <v>133.5054170249355</v>
      </c>
      <c r="K7" s="2070">
        <v>148.27944969905414</v>
      </c>
      <c r="L7" s="2070">
        <v>120.19157351676697</v>
      </c>
      <c r="M7" s="2070">
        <v>167.36448839208941</v>
      </c>
      <c r="N7" s="2070">
        <v>183.96981943250216</v>
      </c>
      <c r="O7" s="2070">
        <v>217.0632846087704</v>
      </c>
      <c r="P7" s="2070">
        <v>192.85305245055892</v>
      </c>
      <c r="Q7" s="2070">
        <v>176.87446259673266</v>
      </c>
      <c r="R7" s="2070">
        <v>178.10601891659502</v>
      </c>
      <c r="S7" s="2070">
        <v>214.46285468615645</v>
      </c>
      <c r="T7" s="2070">
        <v>52.576526225279451</v>
      </c>
      <c r="U7" s="2070">
        <v>88.182889079965605</v>
      </c>
      <c r="V7" s="2070">
        <v>95.177128116938945</v>
      </c>
      <c r="W7" s="2070">
        <v>75.063800515907133</v>
      </c>
      <c r="X7" s="2070">
        <v>75.825107480653486</v>
      </c>
    </row>
    <row r="8" spans="1:24" ht="11.25" customHeight="1">
      <c r="A8" s="2065" t="s">
        <v>5746</v>
      </c>
      <c r="B8" s="2066" t="s">
        <v>5747</v>
      </c>
      <c r="C8" s="2067">
        <v>106.45227858985385</v>
      </c>
      <c r="D8" s="2067">
        <v>45.024849527085124</v>
      </c>
      <c r="E8" s="2067">
        <v>38.094969905417024</v>
      </c>
      <c r="F8" s="2067">
        <v>46.070077386070501</v>
      </c>
      <c r="G8" s="2067">
        <v>46.182803095442821</v>
      </c>
      <c r="H8" s="2067">
        <v>82.317798796216664</v>
      </c>
      <c r="I8" s="2067">
        <v>120.37158211521925</v>
      </c>
      <c r="J8" s="2067">
        <v>101.62656921754083</v>
      </c>
      <c r="K8" s="2067">
        <v>83.189036973344798</v>
      </c>
      <c r="L8" s="2067">
        <v>19.524634565778157</v>
      </c>
      <c r="M8" s="2067">
        <v>27.796689595872742</v>
      </c>
      <c r="N8" s="2067">
        <v>36.306900257953572</v>
      </c>
      <c r="O8" s="2067">
        <v>24.307459157351676</v>
      </c>
      <c r="P8" s="2067">
        <v>34.844174548581258</v>
      </c>
      <c r="Q8" s="2067">
        <v>38.579385210662075</v>
      </c>
      <c r="R8" s="2067">
        <v>53.444131556319853</v>
      </c>
      <c r="S8" s="2067">
        <v>54.356018916594998</v>
      </c>
      <c r="T8" s="2067">
        <v>48.858576956147864</v>
      </c>
      <c r="U8" s="2067">
        <v>48.669948409286292</v>
      </c>
      <c r="V8" s="2067">
        <v>53.02577386070508</v>
      </c>
      <c r="W8" s="2067">
        <v>48.581556319862436</v>
      </c>
      <c r="X8" s="2067">
        <v>57.351913155631991</v>
      </c>
    </row>
    <row r="9" spans="1:24" ht="11.25" customHeight="1">
      <c r="A9" s="2068" t="s">
        <v>4649</v>
      </c>
      <c r="B9" s="2069" t="s">
        <v>5748</v>
      </c>
      <c r="C9" s="2070">
        <v>0</v>
      </c>
      <c r="D9" s="2070">
        <v>0</v>
      </c>
      <c r="E9" s="2070">
        <v>0</v>
      </c>
      <c r="F9" s="2070">
        <v>0</v>
      </c>
      <c r="G9" s="2070">
        <v>0</v>
      </c>
      <c r="H9" s="2070">
        <v>31.732158211521917</v>
      </c>
      <c r="I9" s="2070">
        <v>42.162639724849527</v>
      </c>
      <c r="J9" s="2070">
        <v>37.75417024935512</v>
      </c>
      <c r="K9" s="2070">
        <v>24.356018916595005</v>
      </c>
      <c r="L9" s="2070">
        <v>14.374763542562338</v>
      </c>
      <c r="M9" s="2070">
        <v>23.341315563198624</v>
      </c>
      <c r="N9" s="2070">
        <v>25.978525365434226</v>
      </c>
      <c r="O9" s="2070">
        <v>24.307459157351676</v>
      </c>
      <c r="P9" s="2070">
        <v>34.844174548581258</v>
      </c>
      <c r="Q9" s="2070">
        <v>38.579385210662075</v>
      </c>
      <c r="R9" s="2070">
        <v>53.444131556319853</v>
      </c>
      <c r="S9" s="2070">
        <v>54.356018916594998</v>
      </c>
      <c r="T9" s="2070">
        <v>48.848860705073058</v>
      </c>
      <c r="U9" s="2070">
        <v>48.395055889939776</v>
      </c>
      <c r="V9" s="2070">
        <v>52.757588134135865</v>
      </c>
      <c r="W9" s="2070">
        <v>48.296517626827182</v>
      </c>
      <c r="X9" s="2070">
        <v>57.111242476354263</v>
      </c>
    </row>
    <row r="10" spans="1:24" ht="11.25" customHeight="1">
      <c r="A10" s="2068" t="s">
        <v>4290</v>
      </c>
      <c r="B10" s="2069" t="s">
        <v>5749</v>
      </c>
      <c r="C10" s="2070">
        <v>106.45227858985385</v>
      </c>
      <c r="D10" s="2070">
        <v>45.024849527085124</v>
      </c>
      <c r="E10" s="2070">
        <v>38.094969905417024</v>
      </c>
      <c r="F10" s="2070">
        <v>46.070077386070501</v>
      </c>
      <c r="G10" s="2070">
        <v>46.182803095442821</v>
      </c>
      <c r="H10" s="2070">
        <v>50.585640584694751</v>
      </c>
      <c r="I10" s="2070">
        <v>78.208942390369728</v>
      </c>
      <c r="J10" s="2070">
        <v>63.87239896818572</v>
      </c>
      <c r="K10" s="2070">
        <v>58.833018056749793</v>
      </c>
      <c r="L10" s="2070">
        <v>5.1498710232158205</v>
      </c>
      <c r="M10" s="2070">
        <v>4.4553740326741167</v>
      </c>
      <c r="N10" s="2070">
        <v>10.328374892519349</v>
      </c>
      <c r="O10" s="2070">
        <v>0</v>
      </c>
      <c r="P10" s="2070">
        <v>0</v>
      </c>
      <c r="Q10" s="2070">
        <v>0</v>
      </c>
      <c r="R10" s="2070">
        <v>0</v>
      </c>
      <c r="S10" s="2070">
        <v>0</v>
      </c>
      <c r="T10" s="2070">
        <v>9.7162510748065346E-3</v>
      </c>
      <c r="U10" s="2070">
        <v>0.27489251934651759</v>
      </c>
      <c r="V10" s="2070">
        <v>0.26818572656921752</v>
      </c>
      <c r="W10" s="2070">
        <v>0.28503869303525359</v>
      </c>
      <c r="X10" s="2070">
        <v>0.24067067927773</v>
      </c>
    </row>
    <row r="11" spans="1:24" ht="11.25" customHeight="1">
      <c r="A11" s="2065" t="s">
        <v>5750</v>
      </c>
      <c r="B11" s="2066" t="s">
        <v>5751</v>
      </c>
      <c r="C11" s="2067">
        <v>278.03705932932075</v>
      </c>
      <c r="D11" s="2067">
        <v>264.16595012897676</v>
      </c>
      <c r="E11" s="2067">
        <v>339.71006018916597</v>
      </c>
      <c r="F11" s="2067">
        <v>234.72459157351676</v>
      </c>
      <c r="G11" s="2067">
        <v>206.30748065348234</v>
      </c>
      <c r="H11" s="2067">
        <v>244.76345657781599</v>
      </c>
      <c r="I11" s="2067">
        <v>188.04875322441961</v>
      </c>
      <c r="J11" s="2067">
        <v>210.30146173688735</v>
      </c>
      <c r="K11" s="2067">
        <v>135.78220120378333</v>
      </c>
      <c r="L11" s="2067">
        <v>93.173258813413582</v>
      </c>
      <c r="M11" s="2067">
        <v>94.556061908856407</v>
      </c>
      <c r="N11" s="2067">
        <v>108.24471195184867</v>
      </c>
      <c r="O11" s="2067">
        <v>84.238091143594161</v>
      </c>
      <c r="P11" s="2067">
        <v>64.613929492691312</v>
      </c>
      <c r="Q11" s="2067">
        <v>54.062596732588119</v>
      </c>
      <c r="R11" s="2067">
        <v>67.295700773860702</v>
      </c>
      <c r="S11" s="2067">
        <v>41.90799656061909</v>
      </c>
      <c r="T11" s="2067">
        <v>47.461650902837491</v>
      </c>
      <c r="U11" s="2067">
        <v>50.525881341358549</v>
      </c>
      <c r="V11" s="2067">
        <v>43.500171969045574</v>
      </c>
      <c r="W11" s="2067">
        <v>41.011092003439366</v>
      </c>
      <c r="X11" s="2067">
        <v>40.586156491831467</v>
      </c>
    </row>
    <row r="12" spans="1:24" ht="11.25" customHeight="1">
      <c r="A12" s="2068" t="s">
        <v>4650</v>
      </c>
      <c r="B12" s="2069" t="s">
        <v>5752</v>
      </c>
      <c r="C12" s="2070">
        <v>0</v>
      </c>
      <c r="D12" s="2070">
        <v>0</v>
      </c>
      <c r="E12" s="2070">
        <v>1.4</v>
      </c>
      <c r="F12" s="2070">
        <v>0</v>
      </c>
      <c r="G12" s="2070">
        <v>0</v>
      </c>
      <c r="H12" s="2070">
        <v>0</v>
      </c>
      <c r="I12" s="2070">
        <v>0</v>
      </c>
      <c r="J12" s="2070">
        <v>0</v>
      </c>
      <c r="K12" s="2070">
        <v>0</v>
      </c>
      <c r="L12" s="2070">
        <v>0</v>
      </c>
      <c r="M12" s="2070">
        <v>0</v>
      </c>
      <c r="N12" s="2070">
        <v>0</v>
      </c>
      <c r="O12" s="2070">
        <v>0</v>
      </c>
      <c r="P12" s="2070">
        <v>0</v>
      </c>
      <c r="Q12" s="2070">
        <v>0</v>
      </c>
      <c r="R12" s="2070">
        <v>0</v>
      </c>
      <c r="S12" s="2070">
        <v>0</v>
      </c>
      <c r="T12" s="2070">
        <v>0</v>
      </c>
      <c r="U12" s="2070">
        <v>0</v>
      </c>
      <c r="V12" s="2070">
        <v>0</v>
      </c>
      <c r="W12" s="2070">
        <v>0</v>
      </c>
      <c r="X12" s="2070">
        <v>0</v>
      </c>
    </row>
    <row r="13" spans="1:24" ht="11.25" customHeight="1">
      <c r="A13" s="2068" t="s">
        <v>4651</v>
      </c>
      <c r="B13" s="2069" t="s">
        <v>5753</v>
      </c>
      <c r="C13" s="2070">
        <v>239.99329320722271</v>
      </c>
      <c r="D13" s="2070">
        <v>228.34875322441957</v>
      </c>
      <c r="E13" s="2070">
        <v>292.97901977644028</v>
      </c>
      <c r="F13" s="2070">
        <v>184.2774720550301</v>
      </c>
      <c r="G13" s="2070">
        <v>161.76001719690453</v>
      </c>
      <c r="H13" s="2070">
        <v>190.8487532244196</v>
      </c>
      <c r="I13" s="2070">
        <v>151.78151332760103</v>
      </c>
      <c r="J13" s="2070">
        <v>171.42760103181428</v>
      </c>
      <c r="K13" s="2070">
        <v>120.13912295786758</v>
      </c>
      <c r="L13" s="2070">
        <v>86.114359415305245</v>
      </c>
      <c r="M13" s="2070">
        <v>88.034651762682714</v>
      </c>
      <c r="N13" s="2070">
        <v>99.104557179707655</v>
      </c>
      <c r="O13" s="2070">
        <v>76.118486672398973</v>
      </c>
      <c r="P13" s="2070">
        <v>64.098194325021495</v>
      </c>
      <c r="Q13" s="2070">
        <v>52.514531384350803</v>
      </c>
      <c r="R13" s="2070">
        <v>67.295700773860702</v>
      </c>
      <c r="S13" s="2070">
        <v>41.90799656061909</v>
      </c>
      <c r="T13" s="2070">
        <v>47.434135855546003</v>
      </c>
      <c r="U13" s="2070">
        <v>50.496388650042988</v>
      </c>
      <c r="V13" s="2070">
        <v>43.470851246775581</v>
      </c>
      <c r="W13" s="2070">
        <v>40.870765262252782</v>
      </c>
      <c r="X13" s="2070">
        <v>40.416079105760957</v>
      </c>
    </row>
    <row r="14" spans="1:24" ht="11.25" customHeight="1">
      <c r="A14" s="2068" t="s">
        <v>4652</v>
      </c>
      <c r="B14" s="2069" t="s">
        <v>5754</v>
      </c>
      <c r="C14" s="2070">
        <v>0</v>
      </c>
      <c r="D14" s="2070">
        <v>0</v>
      </c>
      <c r="E14" s="2070">
        <v>0</v>
      </c>
      <c r="F14" s="2070">
        <v>0</v>
      </c>
      <c r="G14" s="2070">
        <v>0</v>
      </c>
      <c r="H14" s="2070">
        <v>0</v>
      </c>
      <c r="I14" s="2070">
        <v>0</v>
      </c>
      <c r="J14" s="2070">
        <v>0</v>
      </c>
      <c r="K14" s="2070">
        <v>0</v>
      </c>
      <c r="L14" s="2070">
        <v>0</v>
      </c>
      <c r="M14" s="2070">
        <v>0</v>
      </c>
      <c r="N14" s="2070">
        <v>0</v>
      </c>
      <c r="O14" s="2070">
        <v>0</v>
      </c>
      <c r="P14" s="2070">
        <v>0</v>
      </c>
      <c r="Q14" s="2070">
        <v>0</v>
      </c>
      <c r="R14" s="2070">
        <v>0</v>
      </c>
      <c r="S14" s="2070">
        <v>0</v>
      </c>
      <c r="T14" s="2070">
        <v>0</v>
      </c>
      <c r="U14" s="2070">
        <v>0</v>
      </c>
      <c r="V14" s="2070">
        <v>0</v>
      </c>
      <c r="W14" s="2070">
        <v>0</v>
      </c>
      <c r="X14" s="2070">
        <v>0</v>
      </c>
    </row>
    <row r="15" spans="1:24" ht="11.25" customHeight="1">
      <c r="A15" s="2068" t="s">
        <v>4653</v>
      </c>
      <c r="B15" s="2069" t="s">
        <v>5755</v>
      </c>
      <c r="C15" s="2070">
        <v>0</v>
      </c>
      <c r="D15" s="2070">
        <v>0</v>
      </c>
      <c r="E15" s="2070">
        <v>0</v>
      </c>
      <c r="F15" s="2070">
        <v>0</v>
      </c>
      <c r="G15" s="2070">
        <v>0</v>
      </c>
      <c r="H15" s="2070">
        <v>0</v>
      </c>
      <c r="I15" s="2070">
        <v>0</v>
      </c>
      <c r="J15" s="2070">
        <v>0</v>
      </c>
      <c r="K15" s="2070">
        <v>0</v>
      </c>
      <c r="L15" s="2070">
        <v>0</v>
      </c>
      <c r="M15" s="2070">
        <v>0</v>
      </c>
      <c r="N15" s="2070">
        <v>0</v>
      </c>
      <c r="O15" s="2070">
        <v>0</v>
      </c>
      <c r="P15" s="2070">
        <v>0</v>
      </c>
      <c r="Q15" s="2070">
        <v>0</v>
      </c>
      <c r="R15" s="2070">
        <v>0</v>
      </c>
      <c r="S15" s="2070">
        <v>0</v>
      </c>
      <c r="T15" s="2070">
        <v>0</v>
      </c>
      <c r="U15" s="2070">
        <v>0</v>
      </c>
      <c r="V15" s="2070">
        <v>0</v>
      </c>
      <c r="W15" s="2070">
        <v>0</v>
      </c>
      <c r="X15" s="2070">
        <v>0</v>
      </c>
    </row>
    <row r="16" spans="1:24" ht="11.25" customHeight="1">
      <c r="A16" s="2068" t="s">
        <v>5756</v>
      </c>
      <c r="B16" s="2069" t="s">
        <v>5757</v>
      </c>
      <c r="C16" s="2070">
        <v>38.04376612209802</v>
      </c>
      <c r="D16" s="2070">
        <v>35.817196904557179</v>
      </c>
      <c r="E16" s="2070">
        <v>45.331040412725727</v>
      </c>
      <c r="F16" s="2070">
        <v>50.447119518486659</v>
      </c>
      <c r="G16" s="2070">
        <v>44.547463456577816</v>
      </c>
      <c r="H16" s="2070">
        <v>53.914703353396376</v>
      </c>
      <c r="I16" s="2070">
        <v>36.267239896818566</v>
      </c>
      <c r="J16" s="2070">
        <v>38.873860705073085</v>
      </c>
      <c r="K16" s="2070">
        <v>15.643078245915735</v>
      </c>
      <c r="L16" s="2070">
        <v>7.0588993981083394</v>
      </c>
      <c r="M16" s="2070">
        <v>6.5214101461736877</v>
      </c>
      <c r="N16" s="2070">
        <v>9.1401547721410132</v>
      </c>
      <c r="O16" s="2070">
        <v>8.1196044711951849</v>
      </c>
      <c r="P16" s="2070">
        <v>0.51573516766981942</v>
      </c>
      <c r="Q16" s="2070">
        <v>1.548065348237317</v>
      </c>
      <c r="R16" s="2070">
        <v>0</v>
      </c>
      <c r="S16" s="2070">
        <v>0</v>
      </c>
      <c r="T16" s="2070">
        <v>2.7515047291487529E-2</v>
      </c>
      <c r="U16" s="2070">
        <v>2.9492691315563188E-2</v>
      </c>
      <c r="V16" s="2070">
        <v>2.9320722269991394E-2</v>
      </c>
      <c r="W16" s="2070">
        <v>0.14032674118658642</v>
      </c>
      <c r="X16" s="2070">
        <v>0.17007738607050726</v>
      </c>
    </row>
    <row r="17" spans="1:24" ht="11.25" customHeight="1">
      <c r="A17" s="2071" t="s">
        <v>5758</v>
      </c>
      <c r="B17" s="2072" t="s">
        <v>5759</v>
      </c>
      <c r="C17" s="2073">
        <v>56.061908856405843</v>
      </c>
      <c r="D17" s="2073">
        <v>62.584780739466893</v>
      </c>
      <c r="E17" s="2073">
        <v>66.98907996560618</v>
      </c>
      <c r="F17" s="2073">
        <v>60.642992261392948</v>
      </c>
      <c r="G17" s="2073">
        <v>42.108512467755801</v>
      </c>
      <c r="H17" s="2073">
        <v>22.953052450558893</v>
      </c>
      <c r="I17" s="2073">
        <v>22.714273430782459</v>
      </c>
      <c r="J17" s="2073">
        <v>22.666466036113498</v>
      </c>
      <c r="K17" s="2073">
        <v>29.139208942390365</v>
      </c>
      <c r="L17" s="2073">
        <v>25.93869303525365</v>
      </c>
      <c r="M17" s="2073">
        <v>22.929234737747201</v>
      </c>
      <c r="N17" s="2073">
        <v>24.020722269991399</v>
      </c>
      <c r="O17" s="2073">
        <v>23.196732588134132</v>
      </c>
      <c r="P17" s="2073">
        <v>26.38529664660361</v>
      </c>
      <c r="Q17" s="2073">
        <v>31.678159931212374</v>
      </c>
      <c r="R17" s="2073">
        <v>32.549957007738598</v>
      </c>
      <c r="S17" s="2073">
        <v>29.977558039552878</v>
      </c>
      <c r="T17" s="2073">
        <v>33.981427343078245</v>
      </c>
      <c r="U17" s="2073">
        <v>35.00464316423043</v>
      </c>
      <c r="V17" s="2073">
        <v>31.620894239036968</v>
      </c>
      <c r="W17" s="2073">
        <v>32.911006018916595</v>
      </c>
      <c r="X17" s="2073">
        <v>29.735511607910574</v>
      </c>
    </row>
    <row r="18" spans="1:24" ht="11.25" customHeight="1">
      <c r="A18" s="2074" t="s">
        <v>4654</v>
      </c>
      <c r="B18" s="2069" t="s">
        <v>5760</v>
      </c>
      <c r="C18" s="2070">
        <v>0.34393809114359408</v>
      </c>
      <c r="D18" s="2070">
        <v>0.27944969905417016</v>
      </c>
      <c r="E18" s="2070">
        <v>0.25795356835769562</v>
      </c>
      <c r="F18" s="2070">
        <v>0</v>
      </c>
      <c r="G18" s="2070">
        <v>0</v>
      </c>
      <c r="H18" s="2070">
        <v>0</v>
      </c>
      <c r="I18" s="2070">
        <v>0</v>
      </c>
      <c r="J18" s="2070">
        <v>0</v>
      </c>
      <c r="K18" s="2070">
        <v>0</v>
      </c>
      <c r="L18" s="2070">
        <v>0</v>
      </c>
      <c r="M18" s="2070">
        <v>0</v>
      </c>
      <c r="N18" s="2070">
        <v>0</v>
      </c>
      <c r="O18" s="2070">
        <v>0</v>
      </c>
      <c r="P18" s="2070">
        <v>0</v>
      </c>
      <c r="Q18" s="2070">
        <v>0</v>
      </c>
      <c r="R18" s="2070">
        <v>0</v>
      </c>
      <c r="S18" s="2070">
        <v>0</v>
      </c>
      <c r="T18" s="2070">
        <v>0</v>
      </c>
      <c r="U18" s="2070">
        <v>0</v>
      </c>
      <c r="V18" s="2070">
        <v>0</v>
      </c>
      <c r="W18" s="2070">
        <v>0</v>
      </c>
      <c r="X18" s="2070">
        <v>0</v>
      </c>
    </row>
    <row r="19" spans="1:24" ht="11.25" customHeight="1">
      <c r="A19" s="2074" t="s">
        <v>4655</v>
      </c>
      <c r="B19" s="2069" t="s">
        <v>5761</v>
      </c>
      <c r="C19" s="2070">
        <v>1.547721410146174</v>
      </c>
      <c r="D19" s="2070">
        <v>1.3757523645743768</v>
      </c>
      <c r="E19" s="2070">
        <v>1.3112639724849531</v>
      </c>
      <c r="F19" s="2070">
        <v>0</v>
      </c>
      <c r="G19" s="2070">
        <v>0</v>
      </c>
      <c r="H19" s="2070">
        <v>0</v>
      </c>
      <c r="I19" s="2070">
        <v>0</v>
      </c>
      <c r="J19" s="2070">
        <v>0</v>
      </c>
      <c r="K19" s="2070">
        <v>0</v>
      </c>
      <c r="L19" s="2070">
        <v>0</v>
      </c>
      <c r="M19" s="2070">
        <v>0</v>
      </c>
      <c r="N19" s="2070">
        <v>0.92433361994840924</v>
      </c>
      <c r="O19" s="2070">
        <v>1.031814273430782</v>
      </c>
      <c r="P19" s="2070">
        <v>0.92433361994840935</v>
      </c>
      <c r="Q19" s="2070">
        <v>1.225279449699054</v>
      </c>
      <c r="R19" s="2070">
        <v>1.1177987962166809</v>
      </c>
      <c r="S19" s="2070">
        <v>1.268271711092003</v>
      </c>
      <c r="T19" s="2070">
        <v>2.0464316423043849</v>
      </c>
      <c r="U19" s="2070">
        <v>1.7162510748065347</v>
      </c>
      <c r="V19" s="2070">
        <v>1.648237317282889</v>
      </c>
      <c r="W19" s="2070">
        <v>1.7866723989681859</v>
      </c>
      <c r="X19" s="2070">
        <v>2.0694754944110061</v>
      </c>
    </row>
    <row r="20" spans="1:24" ht="11.25" customHeight="1">
      <c r="A20" s="2074" t="s">
        <v>4656</v>
      </c>
      <c r="B20" s="2069" t="s">
        <v>5762</v>
      </c>
      <c r="C20" s="2070">
        <v>0</v>
      </c>
      <c r="D20" s="2070">
        <v>0</v>
      </c>
      <c r="E20" s="2070">
        <v>0</v>
      </c>
      <c r="F20" s="2070">
        <v>0</v>
      </c>
      <c r="G20" s="2070">
        <v>0</v>
      </c>
      <c r="H20" s="2070">
        <v>0</v>
      </c>
      <c r="I20" s="2070">
        <v>0</v>
      </c>
      <c r="J20" s="2070">
        <v>0</v>
      </c>
      <c r="K20" s="2070">
        <v>0</v>
      </c>
      <c r="L20" s="2070">
        <v>0</v>
      </c>
      <c r="M20" s="2070">
        <v>0</v>
      </c>
      <c r="N20" s="2070">
        <v>0</v>
      </c>
      <c r="O20" s="2070">
        <v>0</v>
      </c>
      <c r="P20" s="2070">
        <v>0</v>
      </c>
      <c r="Q20" s="2070">
        <v>0</v>
      </c>
      <c r="R20" s="2070">
        <v>0</v>
      </c>
      <c r="S20" s="2070">
        <v>0</v>
      </c>
      <c r="T20" s="2070">
        <v>0</v>
      </c>
      <c r="U20" s="2070">
        <v>0</v>
      </c>
      <c r="V20" s="2070">
        <v>0</v>
      </c>
      <c r="W20" s="2070">
        <v>0</v>
      </c>
      <c r="X20" s="2070">
        <v>0</v>
      </c>
    </row>
    <row r="21" spans="1:24" ht="11.25" customHeight="1">
      <c r="A21" s="2074" t="s">
        <v>4615</v>
      </c>
      <c r="B21" s="2069" t="s">
        <v>5763</v>
      </c>
      <c r="C21" s="2070">
        <v>54.170249355116077</v>
      </c>
      <c r="D21" s="2070">
        <v>60.929578675838343</v>
      </c>
      <c r="E21" s="2070">
        <v>65.419862424763537</v>
      </c>
      <c r="F21" s="2070">
        <v>60.642992261392948</v>
      </c>
      <c r="G21" s="2070">
        <v>42.108512467755801</v>
      </c>
      <c r="H21" s="2070">
        <v>22.953052450558893</v>
      </c>
      <c r="I21" s="2070">
        <v>22.714273430782459</v>
      </c>
      <c r="J21" s="2070">
        <v>22.666466036113498</v>
      </c>
      <c r="K21" s="2070">
        <v>29.139208942390365</v>
      </c>
      <c r="L21" s="2070">
        <v>25.93869303525365</v>
      </c>
      <c r="M21" s="2070">
        <v>22.929234737747201</v>
      </c>
      <c r="N21" s="2070">
        <v>23.096388650042989</v>
      </c>
      <c r="O21" s="2070">
        <v>22.16491831470335</v>
      </c>
      <c r="P21" s="2070">
        <v>25.4609630266552</v>
      </c>
      <c r="Q21" s="2070">
        <v>30.452880481513319</v>
      </c>
      <c r="R21" s="2070">
        <v>31.432158211521919</v>
      </c>
      <c r="S21" s="2070">
        <v>28.709286328460877</v>
      </c>
      <c r="T21" s="2070">
        <v>31.934995700773861</v>
      </c>
      <c r="U21" s="2070">
        <v>33.288392089423894</v>
      </c>
      <c r="V21" s="2070">
        <v>29.97265692175408</v>
      </c>
      <c r="W21" s="2070">
        <v>31.124333619948406</v>
      </c>
      <c r="X21" s="2070">
        <v>27.666036113499569</v>
      </c>
    </row>
    <row r="22" spans="1:24" ht="11.25" customHeight="1">
      <c r="A22" s="2071" t="s">
        <v>4741</v>
      </c>
      <c r="B22" s="2072" t="s">
        <v>5764</v>
      </c>
      <c r="C22" s="2073">
        <v>0</v>
      </c>
      <c r="D22" s="2073">
        <v>0</v>
      </c>
      <c r="E22" s="2073">
        <v>0</v>
      </c>
      <c r="F22" s="2073">
        <v>0</v>
      </c>
      <c r="G22" s="2073">
        <v>0</v>
      </c>
      <c r="H22" s="2073">
        <v>0</v>
      </c>
      <c r="I22" s="2073">
        <v>0</v>
      </c>
      <c r="J22" s="2073">
        <v>0</v>
      </c>
      <c r="K22" s="2073">
        <v>0</v>
      </c>
      <c r="L22" s="2073">
        <v>0</v>
      </c>
      <c r="M22" s="2073">
        <v>0</v>
      </c>
      <c r="N22" s="2073">
        <v>0</v>
      </c>
      <c r="O22" s="2073">
        <v>0</v>
      </c>
      <c r="P22" s="2073">
        <v>0</v>
      </c>
      <c r="Q22" s="2073">
        <v>0</v>
      </c>
      <c r="R22" s="2073">
        <v>0</v>
      </c>
      <c r="S22" s="2073">
        <v>0</v>
      </c>
      <c r="T22" s="2073">
        <v>0.2369733447979363</v>
      </c>
      <c r="U22" s="2073">
        <v>0</v>
      </c>
      <c r="V22" s="2073">
        <v>0</v>
      </c>
      <c r="W22" s="2073">
        <v>0</v>
      </c>
      <c r="X22" s="2073">
        <v>0</v>
      </c>
    </row>
    <row r="23" spans="1:24" ht="11.25" customHeight="1">
      <c r="A23" s="2074" t="s">
        <v>559</v>
      </c>
      <c r="B23" s="2069" t="s">
        <v>5765</v>
      </c>
      <c r="C23" s="2070">
        <v>0</v>
      </c>
      <c r="D23" s="2070">
        <v>0</v>
      </c>
      <c r="E23" s="2070">
        <v>0</v>
      </c>
      <c r="F23" s="2070">
        <v>0</v>
      </c>
      <c r="G23" s="2070">
        <v>0</v>
      </c>
      <c r="H23" s="2070">
        <v>0</v>
      </c>
      <c r="I23" s="2070">
        <v>0</v>
      </c>
      <c r="J23" s="2070">
        <v>0</v>
      </c>
      <c r="K23" s="2070">
        <v>0</v>
      </c>
      <c r="L23" s="2070">
        <v>0</v>
      </c>
      <c r="M23" s="2070">
        <v>0</v>
      </c>
      <c r="N23" s="2070">
        <v>0</v>
      </c>
      <c r="O23" s="2070">
        <v>0</v>
      </c>
      <c r="P23" s="2070">
        <v>0</v>
      </c>
      <c r="Q23" s="2070">
        <v>0</v>
      </c>
      <c r="R23" s="2070">
        <v>0</v>
      </c>
      <c r="S23" s="2070">
        <v>0</v>
      </c>
      <c r="T23" s="2070">
        <v>0.2369733447979363</v>
      </c>
      <c r="U23" s="2070">
        <v>0</v>
      </c>
      <c r="V23" s="2070">
        <v>0</v>
      </c>
      <c r="W23" s="2070">
        <v>0</v>
      </c>
      <c r="X23" s="2070">
        <v>0</v>
      </c>
    </row>
    <row r="24" spans="1:24" ht="11.25" customHeight="1">
      <c r="A24" s="2074" t="s">
        <v>4657</v>
      </c>
      <c r="B24" s="2069" t="s">
        <v>5766</v>
      </c>
      <c r="C24" s="2070">
        <v>0</v>
      </c>
      <c r="D24" s="2070">
        <v>0</v>
      </c>
      <c r="E24" s="2070">
        <v>0</v>
      </c>
      <c r="F24" s="2070">
        <v>0</v>
      </c>
      <c r="G24" s="2070">
        <v>0</v>
      </c>
      <c r="H24" s="2070">
        <v>0</v>
      </c>
      <c r="I24" s="2070">
        <v>0</v>
      </c>
      <c r="J24" s="2070">
        <v>0</v>
      </c>
      <c r="K24" s="2070">
        <v>0</v>
      </c>
      <c r="L24" s="2070">
        <v>0</v>
      </c>
      <c r="M24" s="2070">
        <v>0</v>
      </c>
      <c r="N24" s="2070">
        <v>0</v>
      </c>
      <c r="O24" s="2070">
        <v>0</v>
      </c>
      <c r="P24" s="2070">
        <v>0</v>
      </c>
      <c r="Q24" s="2070">
        <v>0</v>
      </c>
      <c r="R24" s="2070">
        <v>0</v>
      </c>
      <c r="S24" s="2070">
        <v>0</v>
      </c>
      <c r="T24" s="2070">
        <v>0</v>
      </c>
      <c r="U24" s="2070">
        <v>0</v>
      </c>
      <c r="V24" s="2070">
        <v>0</v>
      </c>
      <c r="W24" s="2070">
        <v>0</v>
      </c>
      <c r="X24" s="2070">
        <v>0</v>
      </c>
    </row>
    <row r="25" spans="1:24" ht="11.25" customHeight="1">
      <c r="A25" s="2071" t="s">
        <v>4658</v>
      </c>
      <c r="B25" s="2072" t="s">
        <v>5767</v>
      </c>
      <c r="C25" s="2073">
        <v>0</v>
      </c>
      <c r="D25" s="2073">
        <v>0</v>
      </c>
      <c r="E25" s="2073">
        <v>0</v>
      </c>
      <c r="F25" s="2073">
        <v>0</v>
      </c>
      <c r="G25" s="2073">
        <v>0</v>
      </c>
      <c r="H25" s="2073">
        <v>0</v>
      </c>
      <c r="I25" s="2073">
        <v>0</v>
      </c>
      <c r="J25" s="2073">
        <v>0</v>
      </c>
      <c r="K25" s="2073">
        <v>0</v>
      </c>
      <c r="L25" s="2073">
        <v>0</v>
      </c>
      <c r="M25" s="2073">
        <v>0</v>
      </c>
      <c r="N25" s="2073">
        <v>0</v>
      </c>
      <c r="O25" s="2073">
        <v>0</v>
      </c>
      <c r="P25" s="2073">
        <v>0</v>
      </c>
      <c r="Q25" s="2073">
        <v>0</v>
      </c>
      <c r="R25" s="2073">
        <v>0</v>
      </c>
      <c r="S25" s="2073">
        <v>0</v>
      </c>
      <c r="T25" s="2073">
        <v>0</v>
      </c>
      <c r="U25" s="2073">
        <v>0</v>
      </c>
      <c r="V25" s="2073">
        <v>0</v>
      </c>
      <c r="W25" s="2073">
        <v>0</v>
      </c>
      <c r="X25" s="2073">
        <v>0</v>
      </c>
    </row>
    <row r="26" spans="1:24" ht="11.25" customHeight="1">
      <c r="A26" s="2071" t="s">
        <v>3872</v>
      </c>
      <c r="B26" s="2072" t="s">
        <v>5768</v>
      </c>
      <c r="C26" s="2073">
        <v>1593.5513112639724</v>
      </c>
      <c r="D26" s="2073">
        <v>1309.0703353396389</v>
      </c>
      <c r="E26" s="2073">
        <v>1245.8503224419603</v>
      </c>
      <c r="F26" s="2073">
        <v>1294.9256878761823</v>
      </c>
      <c r="G26" s="2073">
        <v>1275.5190025795357</v>
      </c>
      <c r="H26" s="2073">
        <v>1195.2604901117797</v>
      </c>
      <c r="I26" s="2073">
        <v>1149.1360705073087</v>
      </c>
      <c r="J26" s="2073">
        <v>956.23574806534816</v>
      </c>
      <c r="K26" s="2073">
        <v>974.39032674118653</v>
      </c>
      <c r="L26" s="2073">
        <v>718.48239466895961</v>
      </c>
      <c r="M26" s="2073">
        <v>726.17736457437661</v>
      </c>
      <c r="N26" s="2073">
        <v>600.57050730868445</v>
      </c>
      <c r="O26" s="2073">
        <v>397.59765692175404</v>
      </c>
      <c r="P26" s="2073">
        <v>380.34189595872749</v>
      </c>
      <c r="Q26" s="2073">
        <v>306.46186586414439</v>
      </c>
      <c r="R26" s="2073">
        <v>283.54413155631988</v>
      </c>
      <c r="S26" s="2073">
        <v>313.34103611349957</v>
      </c>
      <c r="T26" s="2073">
        <v>309.34595872742904</v>
      </c>
      <c r="U26" s="2073">
        <v>311.24185296646601</v>
      </c>
      <c r="V26" s="2073">
        <v>301.40543852106617</v>
      </c>
      <c r="W26" s="2073">
        <v>301.76962596732591</v>
      </c>
      <c r="X26" s="2073">
        <v>294.9196904557179</v>
      </c>
    </row>
    <row r="27" spans="1:24" ht="11.25" customHeight="1">
      <c r="A27" s="2065" t="s">
        <v>5769</v>
      </c>
      <c r="B27" s="2066" t="s">
        <v>5770</v>
      </c>
      <c r="C27" s="2067">
        <v>0</v>
      </c>
      <c r="D27" s="2067">
        <v>0</v>
      </c>
      <c r="E27" s="2067">
        <v>0</v>
      </c>
      <c r="F27" s="2067">
        <v>0</v>
      </c>
      <c r="G27" s="2067">
        <v>0</v>
      </c>
      <c r="H27" s="2067">
        <v>0</v>
      </c>
      <c r="I27" s="2067">
        <v>0</v>
      </c>
      <c r="J27" s="2067">
        <v>0</v>
      </c>
      <c r="K27" s="2067">
        <v>0</v>
      </c>
      <c r="L27" s="2067">
        <v>0</v>
      </c>
      <c r="M27" s="2067">
        <v>0</v>
      </c>
      <c r="N27" s="2067">
        <v>0</v>
      </c>
      <c r="O27" s="2067">
        <v>0</v>
      </c>
      <c r="P27" s="2067">
        <v>0</v>
      </c>
      <c r="Q27" s="2067">
        <v>0</v>
      </c>
      <c r="R27" s="2067">
        <v>0</v>
      </c>
      <c r="S27" s="2067">
        <v>0</v>
      </c>
      <c r="T27" s="2067">
        <v>0</v>
      </c>
      <c r="U27" s="2067">
        <v>0</v>
      </c>
      <c r="V27" s="2067">
        <v>0</v>
      </c>
      <c r="W27" s="2067">
        <v>0</v>
      </c>
      <c r="X27" s="2067">
        <v>0</v>
      </c>
    </row>
    <row r="28" spans="1:24" ht="11.25" customHeight="1">
      <c r="A28" s="2068" t="s">
        <v>4659</v>
      </c>
      <c r="B28" s="2069" t="s">
        <v>5771</v>
      </c>
      <c r="C28" s="2070">
        <v>0</v>
      </c>
      <c r="D28" s="2070">
        <v>0</v>
      </c>
      <c r="E28" s="2070">
        <v>0</v>
      </c>
      <c r="F28" s="2070">
        <v>0</v>
      </c>
      <c r="G28" s="2070">
        <v>0</v>
      </c>
      <c r="H28" s="2070">
        <v>0</v>
      </c>
      <c r="I28" s="2070">
        <v>0</v>
      </c>
      <c r="J28" s="2070">
        <v>0</v>
      </c>
      <c r="K28" s="2070">
        <v>0</v>
      </c>
      <c r="L28" s="2070">
        <v>0</v>
      </c>
      <c r="M28" s="2070">
        <v>0</v>
      </c>
      <c r="N28" s="2070">
        <v>0</v>
      </c>
      <c r="O28" s="2070">
        <v>0</v>
      </c>
      <c r="P28" s="2070">
        <v>0</v>
      </c>
      <c r="Q28" s="2070">
        <v>0</v>
      </c>
      <c r="R28" s="2070">
        <v>0</v>
      </c>
      <c r="S28" s="2070">
        <v>0</v>
      </c>
      <c r="T28" s="2070">
        <v>0</v>
      </c>
      <c r="U28" s="2070">
        <v>0</v>
      </c>
      <c r="V28" s="2070">
        <v>0</v>
      </c>
      <c r="W28" s="2070">
        <v>0</v>
      </c>
      <c r="X28" s="2070">
        <v>0</v>
      </c>
    </row>
    <row r="29" spans="1:24" ht="11.25" customHeight="1">
      <c r="A29" s="2068" t="s">
        <v>4660</v>
      </c>
      <c r="B29" s="2069" t="s">
        <v>5772</v>
      </c>
      <c r="C29" s="2070">
        <v>0</v>
      </c>
      <c r="D29" s="2070">
        <v>0</v>
      </c>
      <c r="E29" s="2070">
        <v>0</v>
      </c>
      <c r="F29" s="2070">
        <v>0</v>
      </c>
      <c r="G29" s="2070">
        <v>0</v>
      </c>
      <c r="H29" s="2070">
        <v>0</v>
      </c>
      <c r="I29" s="2070">
        <v>0</v>
      </c>
      <c r="J29" s="2070">
        <v>0</v>
      </c>
      <c r="K29" s="2070">
        <v>0</v>
      </c>
      <c r="L29" s="2070">
        <v>0</v>
      </c>
      <c r="M29" s="2070">
        <v>0</v>
      </c>
      <c r="N29" s="2070">
        <v>0</v>
      </c>
      <c r="O29" s="2070">
        <v>0</v>
      </c>
      <c r="P29" s="2070">
        <v>0</v>
      </c>
      <c r="Q29" s="2070">
        <v>0</v>
      </c>
      <c r="R29" s="2070">
        <v>0</v>
      </c>
      <c r="S29" s="2070">
        <v>0</v>
      </c>
      <c r="T29" s="2070">
        <v>0</v>
      </c>
      <c r="U29" s="2070">
        <v>0</v>
      </c>
      <c r="V29" s="2070">
        <v>0</v>
      </c>
      <c r="W29" s="2070">
        <v>0</v>
      </c>
      <c r="X29" s="2070">
        <v>0</v>
      </c>
    </row>
    <row r="30" spans="1:24" ht="11.25" customHeight="1">
      <c r="A30" s="2068" t="s">
        <v>4661</v>
      </c>
      <c r="B30" s="2069" t="s">
        <v>5773</v>
      </c>
      <c r="C30" s="2070">
        <v>0</v>
      </c>
      <c r="D30" s="2070">
        <v>0</v>
      </c>
      <c r="E30" s="2070">
        <v>0</v>
      </c>
      <c r="F30" s="2070">
        <v>0</v>
      </c>
      <c r="G30" s="2070">
        <v>0</v>
      </c>
      <c r="H30" s="2070">
        <v>0</v>
      </c>
      <c r="I30" s="2070">
        <v>0</v>
      </c>
      <c r="J30" s="2070">
        <v>0</v>
      </c>
      <c r="K30" s="2070">
        <v>0</v>
      </c>
      <c r="L30" s="2070">
        <v>0</v>
      </c>
      <c r="M30" s="2070">
        <v>0</v>
      </c>
      <c r="N30" s="2070">
        <v>0</v>
      </c>
      <c r="O30" s="2070">
        <v>0</v>
      </c>
      <c r="P30" s="2070">
        <v>0</v>
      </c>
      <c r="Q30" s="2070">
        <v>0</v>
      </c>
      <c r="R30" s="2070">
        <v>0</v>
      </c>
      <c r="S30" s="2070">
        <v>0</v>
      </c>
      <c r="T30" s="2070">
        <v>0</v>
      </c>
      <c r="U30" s="2070">
        <v>0</v>
      </c>
      <c r="V30" s="2070">
        <v>0</v>
      </c>
      <c r="W30" s="2070">
        <v>0</v>
      </c>
      <c r="X30" s="2070">
        <v>0</v>
      </c>
    </row>
    <row r="31" spans="1:24" ht="11.25" customHeight="1">
      <c r="A31" s="2068" t="s">
        <v>5774</v>
      </c>
      <c r="B31" s="2069" t="s">
        <v>5775</v>
      </c>
      <c r="C31" s="2070">
        <v>0</v>
      </c>
      <c r="D31" s="2070">
        <v>0</v>
      </c>
      <c r="E31" s="2070">
        <v>0</v>
      </c>
      <c r="F31" s="2070">
        <v>0</v>
      </c>
      <c r="G31" s="2070">
        <v>0</v>
      </c>
      <c r="H31" s="2070">
        <v>0</v>
      </c>
      <c r="I31" s="2070">
        <v>0</v>
      </c>
      <c r="J31" s="2070">
        <v>0</v>
      </c>
      <c r="K31" s="2070">
        <v>0</v>
      </c>
      <c r="L31" s="2070">
        <v>0</v>
      </c>
      <c r="M31" s="2070">
        <v>0</v>
      </c>
      <c r="N31" s="2070">
        <v>0</v>
      </c>
      <c r="O31" s="2070">
        <v>0</v>
      </c>
      <c r="P31" s="2070">
        <v>0</v>
      </c>
      <c r="Q31" s="2070">
        <v>0</v>
      </c>
      <c r="R31" s="2070">
        <v>0</v>
      </c>
      <c r="S31" s="2070">
        <v>0</v>
      </c>
      <c r="T31" s="2070">
        <v>0</v>
      </c>
      <c r="U31" s="2070">
        <v>0</v>
      </c>
      <c r="V31" s="2070">
        <v>0</v>
      </c>
      <c r="W31" s="2070">
        <v>0</v>
      </c>
      <c r="X31" s="2070">
        <v>0</v>
      </c>
    </row>
    <row r="32" spans="1:24" ht="11.25" customHeight="1">
      <c r="A32" s="2068" t="s">
        <v>4662</v>
      </c>
      <c r="B32" s="2069" t="s">
        <v>5776</v>
      </c>
      <c r="C32" s="2070">
        <v>0</v>
      </c>
      <c r="D32" s="2070">
        <v>0</v>
      </c>
      <c r="E32" s="2070">
        <v>0</v>
      </c>
      <c r="F32" s="2070">
        <v>0</v>
      </c>
      <c r="G32" s="2070">
        <v>0</v>
      </c>
      <c r="H32" s="2070">
        <v>0</v>
      </c>
      <c r="I32" s="2070">
        <v>0</v>
      </c>
      <c r="J32" s="2070">
        <v>0</v>
      </c>
      <c r="K32" s="2070">
        <v>0</v>
      </c>
      <c r="L32" s="2070">
        <v>0</v>
      </c>
      <c r="M32" s="2070">
        <v>0</v>
      </c>
      <c r="N32" s="2070">
        <v>0</v>
      </c>
      <c r="O32" s="2070">
        <v>0</v>
      </c>
      <c r="P32" s="2070">
        <v>0</v>
      </c>
      <c r="Q32" s="2070">
        <v>0</v>
      </c>
      <c r="R32" s="2070">
        <v>0</v>
      </c>
      <c r="S32" s="2070">
        <v>0</v>
      </c>
      <c r="T32" s="2070">
        <v>0</v>
      </c>
      <c r="U32" s="2070">
        <v>0</v>
      </c>
      <c r="V32" s="2070">
        <v>0</v>
      </c>
      <c r="W32" s="2070">
        <v>0</v>
      </c>
      <c r="X32" s="2070">
        <v>0</v>
      </c>
    </row>
    <row r="33" spans="1:24" ht="11.25" customHeight="1">
      <c r="A33" s="2065" t="s">
        <v>5777</v>
      </c>
      <c r="B33" s="2066" t="s">
        <v>5778</v>
      </c>
      <c r="C33" s="2067">
        <v>1593.5513112639724</v>
      </c>
      <c r="D33" s="2067">
        <v>1309.0703353396389</v>
      </c>
      <c r="E33" s="2067">
        <v>1245.8503224419603</v>
      </c>
      <c r="F33" s="2067">
        <v>1294.9256878761823</v>
      </c>
      <c r="G33" s="2067">
        <v>1275.5190025795357</v>
      </c>
      <c r="H33" s="2067">
        <v>1195.2604901117797</v>
      </c>
      <c r="I33" s="2067">
        <v>1149.1360705073087</v>
      </c>
      <c r="J33" s="2067">
        <v>956.23574806534816</v>
      </c>
      <c r="K33" s="2067">
        <v>974.39032674118653</v>
      </c>
      <c r="L33" s="2067">
        <v>718.48239466895961</v>
      </c>
      <c r="M33" s="2067">
        <v>726.17736457437661</v>
      </c>
      <c r="N33" s="2067">
        <v>600.57050730868445</v>
      </c>
      <c r="O33" s="2067">
        <v>397.59765692175404</v>
      </c>
      <c r="P33" s="2067">
        <v>380.34189595872749</v>
      </c>
      <c r="Q33" s="2067">
        <v>306.46186586414439</v>
      </c>
      <c r="R33" s="2067">
        <v>283.54413155631988</v>
      </c>
      <c r="S33" s="2067">
        <v>313.34103611349957</v>
      </c>
      <c r="T33" s="2067">
        <v>309.34595872742904</v>
      </c>
      <c r="U33" s="2067">
        <v>311.24185296646601</v>
      </c>
      <c r="V33" s="2067">
        <v>301.40543852106617</v>
      </c>
      <c r="W33" s="2067">
        <v>301.76962596732591</v>
      </c>
      <c r="X33" s="2067">
        <v>294.9196904557179</v>
      </c>
    </row>
    <row r="34" spans="1:24" ht="11.25" customHeight="1">
      <c r="A34" s="2068" t="s">
        <v>4607</v>
      </c>
      <c r="B34" s="2069" t="s">
        <v>5779</v>
      </c>
      <c r="C34" s="2070">
        <v>0</v>
      </c>
      <c r="D34" s="2070">
        <v>0</v>
      </c>
      <c r="E34" s="2070">
        <v>0</v>
      </c>
      <c r="F34" s="2070">
        <v>0</v>
      </c>
      <c r="G34" s="2070">
        <v>0</v>
      </c>
      <c r="H34" s="2070">
        <v>0</v>
      </c>
      <c r="I34" s="2070">
        <v>0</v>
      </c>
      <c r="J34" s="2070">
        <v>0</v>
      </c>
      <c r="K34" s="2070">
        <v>0</v>
      </c>
      <c r="L34" s="2070">
        <v>0</v>
      </c>
      <c r="M34" s="2070">
        <v>0</v>
      </c>
      <c r="N34" s="2070">
        <v>0</v>
      </c>
      <c r="O34" s="2070">
        <v>0</v>
      </c>
      <c r="P34" s="2070">
        <v>0</v>
      </c>
      <c r="Q34" s="2070">
        <v>0</v>
      </c>
      <c r="R34" s="2070">
        <v>0</v>
      </c>
      <c r="S34" s="2070">
        <v>0</v>
      </c>
      <c r="T34" s="2070">
        <v>0</v>
      </c>
      <c r="U34" s="2070">
        <v>0</v>
      </c>
      <c r="V34" s="2070">
        <v>0</v>
      </c>
      <c r="W34" s="2070">
        <v>0</v>
      </c>
      <c r="X34" s="2070">
        <v>0</v>
      </c>
    </row>
    <row r="35" spans="1:24" ht="11.25" customHeight="1">
      <c r="A35" s="2068" t="s">
        <v>587</v>
      </c>
      <c r="B35" s="2069" t="s">
        <v>5780</v>
      </c>
      <c r="C35" s="2070">
        <v>0</v>
      </c>
      <c r="D35" s="2070">
        <v>0</v>
      </c>
      <c r="E35" s="2070">
        <v>0</v>
      </c>
      <c r="F35" s="2070">
        <v>0</v>
      </c>
      <c r="G35" s="2070">
        <v>0</v>
      </c>
      <c r="H35" s="2070">
        <v>0</v>
      </c>
      <c r="I35" s="2070">
        <v>0</v>
      </c>
      <c r="J35" s="2070">
        <v>0</v>
      </c>
      <c r="K35" s="2070">
        <v>0</v>
      </c>
      <c r="L35" s="2070">
        <v>0</v>
      </c>
      <c r="M35" s="2070">
        <v>0</v>
      </c>
      <c r="N35" s="2070">
        <v>0</v>
      </c>
      <c r="O35" s="2070">
        <v>0</v>
      </c>
      <c r="P35" s="2070">
        <v>0</v>
      </c>
      <c r="Q35" s="2070">
        <v>0</v>
      </c>
      <c r="R35" s="2070">
        <v>0</v>
      </c>
      <c r="S35" s="2070">
        <v>0</v>
      </c>
      <c r="T35" s="2070">
        <v>0</v>
      </c>
      <c r="U35" s="2070">
        <v>0</v>
      </c>
      <c r="V35" s="2070">
        <v>0</v>
      </c>
      <c r="W35" s="2070">
        <v>0</v>
      </c>
      <c r="X35" s="2070">
        <v>0</v>
      </c>
    </row>
    <row r="36" spans="1:24" ht="11.25" customHeight="1">
      <c r="A36" s="2068" t="s">
        <v>5781</v>
      </c>
      <c r="B36" s="2069" t="s">
        <v>5782</v>
      </c>
      <c r="C36" s="2070">
        <v>380.58288907996558</v>
      </c>
      <c r="D36" s="2070">
        <v>160.16895958727432</v>
      </c>
      <c r="E36" s="2070">
        <v>148.48538263112638</v>
      </c>
      <c r="F36" s="2070">
        <v>134.79750644883919</v>
      </c>
      <c r="G36" s="2070">
        <v>126.13172828890799</v>
      </c>
      <c r="H36" s="2070">
        <v>132.27360275150471</v>
      </c>
      <c r="I36" s="2070">
        <v>135.42863284608768</v>
      </c>
      <c r="J36" s="2070">
        <v>136.5609630266552</v>
      </c>
      <c r="K36" s="2070">
        <v>129.534630266552</v>
      </c>
      <c r="L36" s="2070">
        <v>108.87085124677557</v>
      </c>
      <c r="M36" s="2070">
        <v>119.71891659501289</v>
      </c>
      <c r="N36" s="2070">
        <v>105.9687876182287</v>
      </c>
      <c r="O36" s="2070">
        <v>88.204041272570933</v>
      </c>
      <c r="P36" s="2070">
        <v>77.580137575236449</v>
      </c>
      <c r="Q36" s="2070">
        <v>79.306190885640575</v>
      </c>
      <c r="R36" s="2070">
        <v>78.01960447119518</v>
      </c>
      <c r="S36" s="2070">
        <v>82.214187446259658</v>
      </c>
      <c r="T36" s="2070">
        <v>85.28426483233018</v>
      </c>
      <c r="U36" s="2070">
        <v>88.826160791057617</v>
      </c>
      <c r="V36" s="2070">
        <v>73.796388650042985</v>
      </c>
      <c r="W36" s="2070">
        <v>71.94868873602752</v>
      </c>
      <c r="X36" s="2070">
        <v>76.77130266552021</v>
      </c>
    </row>
    <row r="37" spans="1:24" ht="11.25" customHeight="1">
      <c r="A37" s="2068" t="s">
        <v>5783</v>
      </c>
      <c r="B37" s="2069" t="s">
        <v>5784</v>
      </c>
      <c r="C37" s="2070">
        <v>0.26668099742046431</v>
      </c>
      <c r="D37" s="2070">
        <v>1.031814273430782E-3</v>
      </c>
      <c r="E37" s="2070">
        <v>1.031814273430782E-3</v>
      </c>
      <c r="F37" s="2070">
        <v>1.031814273430782E-3</v>
      </c>
      <c r="G37" s="2070">
        <v>1.031814273430782E-3</v>
      </c>
      <c r="H37" s="2070">
        <v>1.031814273430782E-3</v>
      </c>
      <c r="I37" s="2070">
        <v>1.031814273430782E-3</v>
      </c>
      <c r="J37" s="2070">
        <v>0.26188736027515042</v>
      </c>
      <c r="K37" s="2070">
        <v>1.031814273430782E-3</v>
      </c>
      <c r="L37" s="2070">
        <v>1.031814273430782E-3</v>
      </c>
      <c r="M37" s="2070">
        <v>7.3946689595872734E-3</v>
      </c>
      <c r="N37" s="2070">
        <v>1.031814273430782E-3</v>
      </c>
      <c r="O37" s="2070">
        <v>1.031814273430782E-3</v>
      </c>
      <c r="P37" s="2070">
        <v>1.031814273430782E-3</v>
      </c>
      <c r="Q37" s="2070">
        <v>1.031814273430782E-3</v>
      </c>
      <c r="R37" s="2070">
        <v>1.031814273430782E-3</v>
      </c>
      <c r="S37" s="2070">
        <v>1.031814273430782E-3</v>
      </c>
      <c r="T37" s="2070">
        <v>2.1109200343938095E-2</v>
      </c>
      <c r="U37" s="2070">
        <v>1.2747205503009456E-2</v>
      </c>
      <c r="V37" s="2070">
        <v>1.8422184006878763E-2</v>
      </c>
      <c r="W37" s="2070">
        <v>8.5124677558039551E-3</v>
      </c>
      <c r="X37" s="2070">
        <v>2.280739466895958E-2</v>
      </c>
    </row>
    <row r="38" spans="1:24" ht="11.25" customHeight="1">
      <c r="A38" s="2068" t="s">
        <v>4663</v>
      </c>
      <c r="B38" s="2069" t="s">
        <v>5785</v>
      </c>
      <c r="C38" s="2070">
        <v>0</v>
      </c>
      <c r="D38" s="2070">
        <v>0</v>
      </c>
      <c r="E38" s="2070">
        <v>0</v>
      </c>
      <c r="F38" s="2070">
        <v>0</v>
      </c>
      <c r="G38" s="2070">
        <v>0</v>
      </c>
      <c r="H38" s="2070">
        <v>0</v>
      </c>
      <c r="I38" s="2070">
        <v>0</v>
      </c>
      <c r="J38" s="2070">
        <v>0</v>
      </c>
      <c r="K38" s="2070">
        <v>0</v>
      </c>
      <c r="L38" s="2070">
        <v>0</v>
      </c>
      <c r="M38" s="2070">
        <v>0</v>
      </c>
      <c r="N38" s="2070">
        <v>0</v>
      </c>
      <c r="O38" s="2070">
        <v>0</v>
      </c>
      <c r="P38" s="2070">
        <v>0</v>
      </c>
      <c r="Q38" s="2070">
        <v>0</v>
      </c>
      <c r="R38" s="2070">
        <v>0</v>
      </c>
      <c r="S38" s="2070">
        <v>0</v>
      </c>
      <c r="T38" s="2070">
        <v>0</v>
      </c>
      <c r="U38" s="2070">
        <v>0</v>
      </c>
      <c r="V38" s="2070">
        <v>0</v>
      </c>
      <c r="W38" s="2070">
        <v>0</v>
      </c>
      <c r="X38" s="2070">
        <v>0</v>
      </c>
    </row>
    <row r="39" spans="1:24" ht="11.25" customHeight="1">
      <c r="A39" s="2068" t="s">
        <v>5786</v>
      </c>
      <c r="B39" s="2069" t="s">
        <v>5787</v>
      </c>
      <c r="C39" s="2070">
        <v>0</v>
      </c>
      <c r="D39" s="2070">
        <v>0</v>
      </c>
      <c r="E39" s="2070">
        <v>0</v>
      </c>
      <c r="F39" s="2070">
        <v>0</v>
      </c>
      <c r="G39" s="2070">
        <v>0</v>
      </c>
      <c r="H39" s="2070">
        <v>0</v>
      </c>
      <c r="I39" s="2070">
        <v>0</v>
      </c>
      <c r="J39" s="2070">
        <v>0</v>
      </c>
      <c r="K39" s="2070">
        <v>0</v>
      </c>
      <c r="L39" s="2070">
        <v>0</v>
      </c>
      <c r="M39" s="2070">
        <v>0</v>
      </c>
      <c r="N39" s="2070">
        <v>0</v>
      </c>
      <c r="O39" s="2070">
        <v>0</v>
      </c>
      <c r="P39" s="2070">
        <v>0</v>
      </c>
      <c r="Q39" s="2070">
        <v>0</v>
      </c>
      <c r="R39" s="2070">
        <v>0</v>
      </c>
      <c r="S39" s="2070">
        <v>0</v>
      </c>
      <c r="T39" s="2070">
        <v>0</v>
      </c>
      <c r="U39" s="2070">
        <v>0</v>
      </c>
      <c r="V39" s="2070">
        <v>0</v>
      </c>
      <c r="W39" s="2070">
        <v>0</v>
      </c>
      <c r="X39" s="2070">
        <v>0</v>
      </c>
    </row>
    <row r="40" spans="1:24" ht="11.25" customHeight="1">
      <c r="A40" s="2068" t="s">
        <v>5788</v>
      </c>
      <c r="B40" s="2069" t="s">
        <v>5789</v>
      </c>
      <c r="C40" s="2070">
        <v>0</v>
      </c>
      <c r="D40" s="2070">
        <v>0</v>
      </c>
      <c r="E40" s="2070">
        <v>0</v>
      </c>
      <c r="F40" s="2070">
        <v>0</v>
      </c>
      <c r="G40" s="2070">
        <v>0</v>
      </c>
      <c r="H40" s="2070">
        <v>0</v>
      </c>
      <c r="I40" s="2070">
        <v>0</v>
      </c>
      <c r="J40" s="2070">
        <v>0</v>
      </c>
      <c r="K40" s="2070">
        <v>0</v>
      </c>
      <c r="L40" s="2070">
        <v>0</v>
      </c>
      <c r="M40" s="2070">
        <v>0</v>
      </c>
      <c r="N40" s="2070">
        <v>0</v>
      </c>
      <c r="O40" s="2070">
        <v>0</v>
      </c>
      <c r="P40" s="2070">
        <v>0</v>
      </c>
      <c r="Q40" s="2070">
        <v>0</v>
      </c>
      <c r="R40" s="2070">
        <v>0</v>
      </c>
      <c r="S40" s="2070">
        <v>0</v>
      </c>
      <c r="T40" s="2070">
        <v>0</v>
      </c>
      <c r="U40" s="2070">
        <v>0</v>
      </c>
      <c r="V40" s="2070">
        <v>0</v>
      </c>
      <c r="W40" s="2070">
        <v>0</v>
      </c>
      <c r="X40" s="2070">
        <v>0</v>
      </c>
    </row>
    <row r="41" spans="1:24" ht="11.25" customHeight="1">
      <c r="A41" s="2068" t="s">
        <v>4664</v>
      </c>
      <c r="B41" s="2069" t="s">
        <v>5790</v>
      </c>
      <c r="C41" s="2070">
        <v>28.315391229578672</v>
      </c>
      <c r="D41" s="2070">
        <v>29.7731728288908</v>
      </c>
      <c r="E41" s="2070">
        <v>29.39312123817712</v>
      </c>
      <c r="F41" s="2070">
        <v>28.850558899398113</v>
      </c>
      <c r="G41" s="2070">
        <v>27.197592433361994</v>
      </c>
      <c r="H41" s="2070">
        <v>1.0852966466036111</v>
      </c>
      <c r="I41" s="2070">
        <v>1.1319002579535682</v>
      </c>
      <c r="J41" s="2070">
        <v>7.1711092003439364E-2</v>
      </c>
      <c r="K41" s="2070">
        <v>9.3551160791057617E-2</v>
      </c>
      <c r="L41" s="2070">
        <v>0.62149613069647458</v>
      </c>
      <c r="M41" s="2070">
        <v>0.87067927773000853</v>
      </c>
      <c r="N41" s="2070">
        <v>0.3595872742906277</v>
      </c>
      <c r="O41" s="2070">
        <v>0.68288907996560611</v>
      </c>
      <c r="P41" s="2070">
        <v>0.48263112639724848</v>
      </c>
      <c r="Q41" s="2070">
        <v>1.9896818572656922</v>
      </c>
      <c r="R41" s="2070">
        <v>0.34307824591573521</v>
      </c>
      <c r="S41" s="2070">
        <v>0.3441100601891659</v>
      </c>
      <c r="T41" s="2070">
        <v>0.5171969045571797</v>
      </c>
      <c r="U41" s="2070">
        <v>0.39466895958727422</v>
      </c>
      <c r="V41" s="2070">
        <v>0.38830610490111783</v>
      </c>
      <c r="W41" s="2070">
        <v>0.44213241616509025</v>
      </c>
      <c r="X41" s="2070">
        <v>0.26491831470335336</v>
      </c>
    </row>
    <row r="42" spans="1:24" ht="11.25" customHeight="1">
      <c r="A42" s="2068" t="s">
        <v>4611</v>
      </c>
      <c r="B42" s="2069" t="s">
        <v>5791</v>
      </c>
      <c r="C42" s="2070">
        <v>0</v>
      </c>
      <c r="D42" s="2070">
        <v>0</v>
      </c>
      <c r="E42" s="2070">
        <v>0</v>
      </c>
      <c r="F42" s="2070">
        <v>0</v>
      </c>
      <c r="G42" s="2070">
        <v>0</v>
      </c>
      <c r="H42" s="2070">
        <v>0</v>
      </c>
      <c r="I42" s="2070">
        <v>0</v>
      </c>
      <c r="J42" s="2070">
        <v>0</v>
      </c>
      <c r="K42" s="2070">
        <v>0</v>
      </c>
      <c r="L42" s="2070">
        <v>0</v>
      </c>
      <c r="M42" s="2070">
        <v>0</v>
      </c>
      <c r="N42" s="2070">
        <v>0</v>
      </c>
      <c r="O42" s="2070">
        <v>0</v>
      </c>
      <c r="P42" s="2070">
        <v>0</v>
      </c>
      <c r="Q42" s="2070">
        <v>0</v>
      </c>
      <c r="R42" s="2070">
        <v>0</v>
      </c>
      <c r="S42" s="2070">
        <v>0</v>
      </c>
      <c r="T42" s="2070">
        <v>0</v>
      </c>
      <c r="U42" s="2070">
        <v>0</v>
      </c>
      <c r="V42" s="2070">
        <v>0</v>
      </c>
      <c r="W42" s="2070">
        <v>0</v>
      </c>
      <c r="X42" s="2070">
        <v>0</v>
      </c>
    </row>
    <row r="43" spans="1:24" ht="11.25" customHeight="1">
      <c r="A43" s="2068" t="s">
        <v>5792</v>
      </c>
      <c r="B43" s="2069" t="s">
        <v>5793</v>
      </c>
      <c r="C43" s="2070">
        <v>206.57203353396383</v>
      </c>
      <c r="D43" s="2070">
        <v>177.17654772141015</v>
      </c>
      <c r="E43" s="2070">
        <v>150.69847377472053</v>
      </c>
      <c r="F43" s="2070">
        <v>161.51706792777298</v>
      </c>
      <c r="G43" s="2070">
        <v>136.00337489251933</v>
      </c>
      <c r="H43" s="2070">
        <v>134.54535683576955</v>
      </c>
      <c r="I43" s="2070">
        <v>117.47123817712813</v>
      </c>
      <c r="J43" s="2070">
        <v>161.49116509028374</v>
      </c>
      <c r="K43" s="2070">
        <v>158.42330180567495</v>
      </c>
      <c r="L43" s="2070">
        <v>127.35640584694755</v>
      </c>
      <c r="M43" s="2070">
        <v>132.97102321582116</v>
      </c>
      <c r="N43" s="2070">
        <v>121.46081255374035</v>
      </c>
      <c r="O43" s="2070">
        <v>116.14402407566635</v>
      </c>
      <c r="P43" s="2070">
        <v>101.31502579535683</v>
      </c>
      <c r="Q43" s="2070">
        <v>61.895141874462595</v>
      </c>
      <c r="R43" s="2070">
        <v>61.564316423043827</v>
      </c>
      <c r="S43" s="2070">
        <v>70.752622527944965</v>
      </c>
      <c r="T43" s="2070">
        <v>74.70414875322443</v>
      </c>
      <c r="U43" s="2070">
        <v>76.295442820292351</v>
      </c>
      <c r="V43" s="2070">
        <v>76.704643164230447</v>
      </c>
      <c r="W43" s="2070">
        <v>77.757631126397243</v>
      </c>
      <c r="X43" s="2070">
        <v>85.752665520206364</v>
      </c>
    </row>
    <row r="44" spans="1:24" ht="11.25" customHeight="1">
      <c r="A44" s="2068" t="s">
        <v>4665</v>
      </c>
      <c r="B44" s="2069" t="s">
        <v>5794</v>
      </c>
      <c r="C44" s="2070">
        <v>977.81431642304369</v>
      </c>
      <c r="D44" s="2070">
        <v>941.95062338779019</v>
      </c>
      <c r="E44" s="2070">
        <v>917.27231298366291</v>
      </c>
      <c r="F44" s="2070">
        <v>860.71360705073084</v>
      </c>
      <c r="G44" s="2070">
        <v>879.41992691315568</v>
      </c>
      <c r="H44" s="2070">
        <v>813.90825451418732</v>
      </c>
      <c r="I44" s="2070">
        <v>876.13800515907133</v>
      </c>
      <c r="J44" s="2070">
        <v>638.48907996560615</v>
      </c>
      <c r="K44" s="2070">
        <v>597.81528374892525</v>
      </c>
      <c r="L44" s="2070">
        <v>416.13508168529671</v>
      </c>
      <c r="M44" s="2070">
        <v>431.66165090283744</v>
      </c>
      <c r="N44" s="2070">
        <v>333.9829750644883</v>
      </c>
      <c r="O44" s="2070">
        <v>178.77901977644024</v>
      </c>
      <c r="P44" s="2070">
        <v>188.98826311263974</v>
      </c>
      <c r="Q44" s="2070">
        <v>149.28185726569217</v>
      </c>
      <c r="R44" s="2070">
        <v>107.90094582975064</v>
      </c>
      <c r="S44" s="2070">
        <v>125.47833190025793</v>
      </c>
      <c r="T44" s="2070">
        <v>124.16775580395526</v>
      </c>
      <c r="U44" s="2070">
        <v>131.56990541702493</v>
      </c>
      <c r="V44" s="2070">
        <v>135.10713671539119</v>
      </c>
      <c r="W44" s="2070">
        <v>99.121754084264822</v>
      </c>
      <c r="X44" s="2070">
        <v>113.70928632846088</v>
      </c>
    </row>
    <row r="45" spans="1:24" ht="11.25" customHeight="1">
      <c r="A45" s="2068" t="s">
        <v>5795</v>
      </c>
      <c r="B45" s="2069" t="s">
        <v>5796</v>
      </c>
      <c r="C45" s="2070">
        <v>0</v>
      </c>
      <c r="D45" s="2070">
        <v>0</v>
      </c>
      <c r="E45" s="2070">
        <v>0</v>
      </c>
      <c r="F45" s="2070">
        <v>0</v>
      </c>
      <c r="G45" s="2070">
        <v>0</v>
      </c>
      <c r="H45" s="2070">
        <v>0</v>
      </c>
      <c r="I45" s="2070">
        <v>0</v>
      </c>
      <c r="J45" s="2070">
        <v>0</v>
      </c>
      <c r="K45" s="2070">
        <v>0</v>
      </c>
      <c r="L45" s="2070">
        <v>0</v>
      </c>
      <c r="M45" s="2070">
        <v>0</v>
      </c>
      <c r="N45" s="2070">
        <v>0</v>
      </c>
      <c r="O45" s="2070">
        <v>0</v>
      </c>
      <c r="P45" s="2070">
        <v>0</v>
      </c>
      <c r="Q45" s="2070">
        <v>0</v>
      </c>
      <c r="R45" s="2070">
        <v>0</v>
      </c>
      <c r="S45" s="2070">
        <v>0</v>
      </c>
      <c r="T45" s="2070">
        <v>0</v>
      </c>
      <c r="U45" s="2070">
        <v>0</v>
      </c>
      <c r="V45" s="2070">
        <v>0</v>
      </c>
      <c r="W45" s="2070">
        <v>0</v>
      </c>
      <c r="X45" s="2070">
        <v>0</v>
      </c>
    </row>
    <row r="46" spans="1:24" ht="11.25" customHeight="1">
      <c r="A46" s="2068" t="s">
        <v>595</v>
      </c>
      <c r="B46" s="2069" t="s">
        <v>5797</v>
      </c>
      <c r="C46" s="2070">
        <v>0</v>
      </c>
      <c r="D46" s="2070">
        <v>0</v>
      </c>
      <c r="E46" s="2070">
        <v>0</v>
      </c>
      <c r="F46" s="2070">
        <v>0</v>
      </c>
      <c r="G46" s="2070">
        <v>0</v>
      </c>
      <c r="H46" s="2070">
        <v>0</v>
      </c>
      <c r="I46" s="2070">
        <v>0</v>
      </c>
      <c r="J46" s="2070">
        <v>0</v>
      </c>
      <c r="K46" s="2070">
        <v>0</v>
      </c>
      <c r="L46" s="2070">
        <v>0</v>
      </c>
      <c r="M46" s="2070">
        <v>0</v>
      </c>
      <c r="N46" s="2070">
        <v>0</v>
      </c>
      <c r="O46" s="2070">
        <v>0</v>
      </c>
      <c r="P46" s="2070">
        <v>0</v>
      </c>
      <c r="Q46" s="2070">
        <v>0</v>
      </c>
      <c r="R46" s="2070">
        <v>0</v>
      </c>
      <c r="S46" s="2070">
        <v>0</v>
      </c>
      <c r="T46" s="2070">
        <v>0</v>
      </c>
      <c r="U46" s="2070">
        <v>0</v>
      </c>
      <c r="V46" s="2070">
        <v>0</v>
      </c>
      <c r="W46" s="2070">
        <v>0</v>
      </c>
      <c r="X46" s="2070">
        <v>0</v>
      </c>
    </row>
    <row r="47" spans="1:24" ht="11.25" customHeight="1">
      <c r="A47" s="2068" t="s">
        <v>4614</v>
      </c>
      <c r="B47" s="2069" t="s">
        <v>5798</v>
      </c>
      <c r="C47" s="2070">
        <v>0</v>
      </c>
      <c r="D47" s="2070">
        <v>0</v>
      </c>
      <c r="E47" s="2070">
        <v>0</v>
      </c>
      <c r="F47" s="2070">
        <v>0</v>
      </c>
      <c r="G47" s="2070">
        <v>0</v>
      </c>
      <c r="H47" s="2070">
        <v>0</v>
      </c>
      <c r="I47" s="2070">
        <v>0</v>
      </c>
      <c r="J47" s="2070">
        <v>0</v>
      </c>
      <c r="K47" s="2070">
        <v>0</v>
      </c>
      <c r="L47" s="2070">
        <v>0</v>
      </c>
      <c r="M47" s="2070">
        <v>0</v>
      </c>
      <c r="N47" s="2070">
        <v>0</v>
      </c>
      <c r="O47" s="2070">
        <v>0</v>
      </c>
      <c r="P47" s="2070">
        <v>0</v>
      </c>
      <c r="Q47" s="2070">
        <v>0</v>
      </c>
      <c r="R47" s="2070">
        <v>0</v>
      </c>
      <c r="S47" s="2070">
        <v>0</v>
      </c>
      <c r="T47" s="2070">
        <v>0</v>
      </c>
      <c r="U47" s="2070">
        <v>0</v>
      </c>
      <c r="V47" s="2070">
        <v>0</v>
      </c>
      <c r="W47" s="2070">
        <v>0</v>
      </c>
      <c r="X47" s="2070">
        <v>0</v>
      </c>
    </row>
    <row r="48" spans="1:24" ht="11.25" customHeight="1">
      <c r="A48" s="2068" t="s">
        <v>4667</v>
      </c>
      <c r="B48" s="2069" t="s">
        <v>5799</v>
      </c>
      <c r="C48" s="2070">
        <v>0</v>
      </c>
      <c r="D48" s="2070">
        <v>0</v>
      </c>
      <c r="E48" s="2070">
        <v>0</v>
      </c>
      <c r="F48" s="2070">
        <v>109.04591573516768</v>
      </c>
      <c r="G48" s="2070">
        <v>105.8051590713672</v>
      </c>
      <c r="H48" s="2070">
        <v>113.44694754944106</v>
      </c>
      <c r="I48" s="2070">
        <v>18.965262252794496</v>
      </c>
      <c r="J48" s="2070">
        <v>19.360941530524507</v>
      </c>
      <c r="K48" s="2070">
        <v>88.522527944969909</v>
      </c>
      <c r="L48" s="2070">
        <v>65.497527944969889</v>
      </c>
      <c r="M48" s="2070">
        <v>40.947699914015473</v>
      </c>
      <c r="N48" s="2070">
        <v>38.797312983662948</v>
      </c>
      <c r="O48" s="2070">
        <v>9.9535468615649165</v>
      </c>
      <c r="P48" s="2070">
        <v>10.131814273430781</v>
      </c>
      <c r="Q48" s="2070">
        <v>12.220464316423042</v>
      </c>
      <c r="R48" s="2070">
        <v>33.063993981083406</v>
      </c>
      <c r="S48" s="2070">
        <v>31.899591573516766</v>
      </c>
      <c r="T48" s="2070">
        <v>12.446152192605332</v>
      </c>
      <c r="U48" s="2070">
        <v>12.191165090283748</v>
      </c>
      <c r="V48" s="2070">
        <v>7.8194325021496143</v>
      </c>
      <c r="W48" s="2070">
        <v>48.851676698194332</v>
      </c>
      <c r="X48" s="2070">
        <v>10.811607910576097</v>
      </c>
    </row>
    <row r="49" spans="1:24" ht="11.25" customHeight="1">
      <c r="A49" s="2068" t="s">
        <v>4666</v>
      </c>
      <c r="B49" s="2069" t="s">
        <v>5800</v>
      </c>
      <c r="C49" s="2070">
        <v>0</v>
      </c>
      <c r="D49" s="2070">
        <v>0</v>
      </c>
      <c r="E49" s="2070">
        <v>0</v>
      </c>
      <c r="F49" s="2070">
        <v>0</v>
      </c>
      <c r="G49" s="2070">
        <v>0</v>
      </c>
      <c r="H49" s="2070">
        <v>0</v>
      </c>
      <c r="I49" s="2070">
        <v>0</v>
      </c>
      <c r="J49" s="2070">
        <v>0</v>
      </c>
      <c r="K49" s="2070">
        <v>0</v>
      </c>
      <c r="L49" s="2070">
        <v>0</v>
      </c>
      <c r="M49" s="2070">
        <v>0</v>
      </c>
      <c r="N49" s="2070">
        <v>0</v>
      </c>
      <c r="O49" s="2070">
        <v>0</v>
      </c>
      <c r="P49" s="2070">
        <v>0</v>
      </c>
      <c r="Q49" s="2070">
        <v>0</v>
      </c>
      <c r="R49" s="2070">
        <v>0</v>
      </c>
      <c r="S49" s="2070">
        <v>0</v>
      </c>
      <c r="T49" s="2070">
        <v>0</v>
      </c>
      <c r="U49" s="2070">
        <v>0</v>
      </c>
      <c r="V49" s="2070">
        <v>0</v>
      </c>
      <c r="W49" s="2070">
        <v>0</v>
      </c>
      <c r="X49" s="2070">
        <v>0</v>
      </c>
    </row>
    <row r="50" spans="1:24" ht="11.25" customHeight="1">
      <c r="A50" s="2068" t="s">
        <v>4668</v>
      </c>
      <c r="B50" s="2069" t="s">
        <v>5801</v>
      </c>
      <c r="C50" s="2070">
        <v>0</v>
      </c>
      <c r="D50" s="2070">
        <v>0</v>
      </c>
      <c r="E50" s="2070">
        <v>0</v>
      </c>
      <c r="F50" s="2070">
        <v>0</v>
      </c>
      <c r="G50" s="2070">
        <v>0.96018916595012893</v>
      </c>
      <c r="H50" s="2070">
        <v>0</v>
      </c>
      <c r="I50" s="2070">
        <v>0</v>
      </c>
      <c r="J50" s="2070">
        <v>0</v>
      </c>
      <c r="K50" s="2070">
        <v>0</v>
      </c>
      <c r="L50" s="2070">
        <v>0</v>
      </c>
      <c r="M50" s="2070">
        <v>0</v>
      </c>
      <c r="N50" s="2070">
        <v>0</v>
      </c>
      <c r="O50" s="2070">
        <v>3.8331040412725703</v>
      </c>
      <c r="P50" s="2070">
        <v>1.842992261392949</v>
      </c>
      <c r="Q50" s="2070">
        <v>1.7674978503869301</v>
      </c>
      <c r="R50" s="2070">
        <v>2.6511607910576092</v>
      </c>
      <c r="S50" s="2070">
        <v>2.6511607910576092</v>
      </c>
      <c r="T50" s="2070">
        <v>12.205331040412723</v>
      </c>
      <c r="U50" s="2070">
        <v>1.9517626827171113</v>
      </c>
      <c r="V50" s="2070">
        <v>7.5711092003439369</v>
      </c>
      <c r="W50" s="2070">
        <v>3.6392304385210661</v>
      </c>
      <c r="X50" s="2070">
        <v>7.5871023215821145</v>
      </c>
    </row>
    <row r="51" spans="1:24" ht="11.25" customHeight="1">
      <c r="A51" s="2071" t="s">
        <v>3875</v>
      </c>
      <c r="B51" s="2072" t="s">
        <v>5802</v>
      </c>
      <c r="C51" s="2073">
        <v>2576.582459157351</v>
      </c>
      <c r="D51" s="2073">
        <v>2682.845829750645</v>
      </c>
      <c r="E51" s="2073">
        <v>2810.5578675838351</v>
      </c>
      <c r="F51" s="2073">
        <v>2651.2133705932929</v>
      </c>
      <c r="G51" s="2073">
        <v>2854.949355116079</v>
      </c>
      <c r="H51" s="2073">
        <v>2614.9889939810837</v>
      </c>
      <c r="I51" s="2073">
        <v>2730.5172398968189</v>
      </c>
      <c r="J51" s="2073">
        <v>2749.6468185726562</v>
      </c>
      <c r="K51" s="2073">
        <v>2665.5166809974198</v>
      </c>
      <c r="L51" s="2073">
        <v>2566.1836199484087</v>
      </c>
      <c r="M51" s="2073">
        <v>2787.2448839208942</v>
      </c>
      <c r="N51" s="2073">
        <v>2931.6551160791055</v>
      </c>
      <c r="O51" s="2073">
        <v>2734.6116938950991</v>
      </c>
      <c r="P51" s="2073">
        <v>2917.6138865004305</v>
      </c>
      <c r="Q51" s="2073">
        <v>2896.7305245055891</v>
      </c>
      <c r="R51" s="2073">
        <v>3108.6350816852969</v>
      </c>
      <c r="S51" s="2073">
        <v>3238.6963456577814</v>
      </c>
      <c r="T51" s="2073">
        <v>3228.122799656061</v>
      </c>
      <c r="U51" s="2073">
        <v>3483.9397196904556</v>
      </c>
      <c r="V51" s="2073">
        <v>3502.3076302665518</v>
      </c>
      <c r="W51" s="2073">
        <v>3308.9535210662079</v>
      </c>
      <c r="X51" s="2073">
        <v>3712.0303361994847</v>
      </c>
    </row>
    <row r="52" spans="1:24" ht="11.25" customHeight="1">
      <c r="A52" s="2071" t="s">
        <v>5803</v>
      </c>
      <c r="B52" s="2072" t="s">
        <v>5804</v>
      </c>
      <c r="C52" s="2073">
        <v>5.5405266892188036</v>
      </c>
      <c r="D52" s="2073">
        <v>5.4069557571059725</v>
      </c>
      <c r="E52" s="2073">
        <v>5.4900545237952114</v>
      </c>
      <c r="F52" s="2073">
        <v>8.6601693591280853</v>
      </c>
      <c r="G52" s="2073">
        <v>8.6529291445225258</v>
      </c>
      <c r="H52" s="2073">
        <v>66.972852847366227</v>
      </c>
      <c r="I52" s="2073">
        <v>8.6183001668314159</v>
      </c>
      <c r="J52" s="2073">
        <v>9.8390340338946913</v>
      </c>
      <c r="K52" s="2073">
        <v>6.2265553532650086</v>
      </c>
      <c r="L52" s="2073">
        <v>6.7414966340279614</v>
      </c>
      <c r="M52" s="2073">
        <v>7.5637331935880443</v>
      </c>
      <c r="N52" s="2073">
        <v>8.3116015862812169</v>
      </c>
      <c r="O52" s="2073">
        <v>1.8445663585917371</v>
      </c>
      <c r="P52" s="2073">
        <v>14.887039832623692</v>
      </c>
      <c r="Q52" s="2073">
        <v>9.913081397621573</v>
      </c>
      <c r="R52" s="2073">
        <v>10.039676270377875</v>
      </c>
      <c r="S52" s="2073">
        <v>11.130151997301526</v>
      </c>
      <c r="T52" s="2073">
        <v>12.664077059528218</v>
      </c>
      <c r="U52" s="2073">
        <v>15.907146538433397</v>
      </c>
      <c r="V52" s="2073">
        <v>15.62917178395308</v>
      </c>
      <c r="W52" s="2073">
        <v>29.973029547734015</v>
      </c>
      <c r="X52" s="2073">
        <v>19.874415918552181</v>
      </c>
    </row>
    <row r="53" spans="1:24" ht="11.25" customHeight="1">
      <c r="A53" s="2074" t="s">
        <v>3973</v>
      </c>
      <c r="B53" s="2069" t="s">
        <v>5805</v>
      </c>
      <c r="C53" s="2070">
        <v>0</v>
      </c>
      <c r="D53" s="2070">
        <v>0</v>
      </c>
      <c r="E53" s="2070">
        <v>0</v>
      </c>
      <c r="F53" s="2070">
        <v>0</v>
      </c>
      <c r="G53" s="2070">
        <v>0</v>
      </c>
      <c r="H53" s="2070">
        <v>0</v>
      </c>
      <c r="I53" s="2070">
        <v>0</v>
      </c>
      <c r="J53" s="2070">
        <v>0</v>
      </c>
      <c r="K53" s="2070">
        <v>0</v>
      </c>
      <c r="L53" s="2070">
        <v>0</v>
      </c>
      <c r="M53" s="2070">
        <v>0</v>
      </c>
      <c r="N53" s="2070">
        <v>0</v>
      </c>
      <c r="O53" s="2070">
        <v>0</v>
      </c>
      <c r="P53" s="2070">
        <v>0</v>
      </c>
      <c r="Q53" s="2070">
        <v>0</v>
      </c>
      <c r="R53" s="2070">
        <v>0</v>
      </c>
      <c r="S53" s="2070">
        <v>0</v>
      </c>
      <c r="T53" s="2070">
        <v>0</v>
      </c>
      <c r="U53" s="2070">
        <v>0</v>
      </c>
      <c r="V53" s="2070">
        <v>0</v>
      </c>
      <c r="W53" s="2070">
        <v>0</v>
      </c>
      <c r="X53" s="2070">
        <v>0</v>
      </c>
    </row>
    <row r="54" spans="1:24" ht="11.25" customHeight="1">
      <c r="A54" s="2074" t="s">
        <v>5806</v>
      </c>
      <c r="B54" s="2069" t="s">
        <v>5807</v>
      </c>
      <c r="C54" s="2070">
        <v>0</v>
      </c>
      <c r="D54" s="2070">
        <v>0</v>
      </c>
      <c r="E54" s="2070">
        <v>0</v>
      </c>
      <c r="F54" s="2070">
        <v>0</v>
      </c>
      <c r="G54" s="2070">
        <v>0</v>
      </c>
      <c r="H54" s="2070">
        <v>0</v>
      </c>
      <c r="I54" s="2070">
        <v>0</v>
      </c>
      <c r="J54" s="2070">
        <v>0</v>
      </c>
      <c r="K54" s="2070">
        <v>0</v>
      </c>
      <c r="L54" s="2070">
        <v>0</v>
      </c>
      <c r="M54" s="2070">
        <v>0</v>
      </c>
      <c r="N54" s="2070">
        <v>0</v>
      </c>
      <c r="O54" s="2070">
        <v>0</v>
      </c>
      <c r="P54" s="2070">
        <v>0</v>
      </c>
      <c r="Q54" s="2070">
        <v>0</v>
      </c>
      <c r="R54" s="2070">
        <v>0</v>
      </c>
      <c r="S54" s="2070">
        <v>0</v>
      </c>
      <c r="T54" s="2070">
        <v>0</v>
      </c>
      <c r="U54" s="2070">
        <v>0</v>
      </c>
      <c r="V54" s="2070">
        <v>0</v>
      </c>
      <c r="W54" s="2070">
        <v>0</v>
      </c>
      <c r="X54" s="2070">
        <v>0</v>
      </c>
    </row>
    <row r="55" spans="1:24" ht="11.25" customHeight="1">
      <c r="A55" s="2074" t="s">
        <v>3965</v>
      </c>
      <c r="B55" s="2069" t="s">
        <v>5808</v>
      </c>
      <c r="C55" s="2070">
        <v>0</v>
      </c>
      <c r="D55" s="2070">
        <v>0</v>
      </c>
      <c r="E55" s="2070">
        <v>0</v>
      </c>
      <c r="F55" s="2070">
        <v>0</v>
      </c>
      <c r="G55" s="2070">
        <v>0</v>
      </c>
      <c r="H55" s="2070">
        <v>0</v>
      </c>
      <c r="I55" s="2070">
        <v>0</v>
      </c>
      <c r="J55" s="2070">
        <v>0</v>
      </c>
      <c r="K55" s="2070">
        <v>0</v>
      </c>
      <c r="L55" s="2070">
        <v>0</v>
      </c>
      <c r="M55" s="2070">
        <v>0</v>
      </c>
      <c r="N55" s="2070">
        <v>0</v>
      </c>
      <c r="O55" s="2070">
        <v>0</v>
      </c>
      <c r="P55" s="2070">
        <v>0</v>
      </c>
      <c r="Q55" s="2070">
        <v>0</v>
      </c>
      <c r="R55" s="2070">
        <v>0</v>
      </c>
      <c r="S55" s="2070">
        <v>0</v>
      </c>
      <c r="T55" s="2070">
        <v>0</v>
      </c>
      <c r="U55" s="2070">
        <v>0</v>
      </c>
      <c r="V55" s="2070">
        <v>0</v>
      </c>
      <c r="W55" s="2070">
        <v>0</v>
      </c>
      <c r="X55" s="2070">
        <v>0</v>
      </c>
    </row>
    <row r="56" spans="1:24" ht="11.25" customHeight="1">
      <c r="A56" s="2074" t="s">
        <v>5636</v>
      </c>
      <c r="B56" s="2069" t="s">
        <v>5809</v>
      </c>
      <c r="C56" s="2070">
        <v>0</v>
      </c>
      <c r="D56" s="2070">
        <v>0</v>
      </c>
      <c r="E56" s="2070">
        <v>0</v>
      </c>
      <c r="F56" s="2070">
        <v>0</v>
      </c>
      <c r="G56" s="2070">
        <v>0</v>
      </c>
      <c r="H56" s="2070">
        <v>0</v>
      </c>
      <c r="I56" s="2070">
        <v>0</v>
      </c>
      <c r="J56" s="2070">
        <v>0</v>
      </c>
      <c r="K56" s="2070">
        <v>0</v>
      </c>
      <c r="L56" s="2070">
        <v>0</v>
      </c>
      <c r="M56" s="2070">
        <v>0</v>
      </c>
      <c r="N56" s="2070">
        <v>0</v>
      </c>
      <c r="O56" s="2070">
        <v>0</v>
      </c>
      <c r="P56" s="2070">
        <v>0</v>
      </c>
      <c r="Q56" s="2070">
        <v>0</v>
      </c>
      <c r="R56" s="2070">
        <v>0</v>
      </c>
      <c r="S56" s="2070">
        <v>0</v>
      </c>
      <c r="T56" s="2070">
        <v>0</v>
      </c>
      <c r="U56" s="2070">
        <v>0</v>
      </c>
      <c r="V56" s="2070">
        <v>0</v>
      </c>
      <c r="W56" s="2070">
        <v>0</v>
      </c>
      <c r="X56" s="2070">
        <v>0</v>
      </c>
    </row>
    <row r="57" spans="1:24" ht="11.25" customHeight="1">
      <c r="A57" s="2074" t="s">
        <v>4617</v>
      </c>
      <c r="B57" s="2069" t="s">
        <v>5810</v>
      </c>
      <c r="C57" s="2070">
        <v>9.888220120378332E-3</v>
      </c>
      <c r="D57" s="2070">
        <v>1.255374032674119E-2</v>
      </c>
      <c r="E57" s="2070">
        <v>1.6079105760963032E-2</v>
      </c>
      <c r="F57" s="2070">
        <v>1.7884780739466893E-2</v>
      </c>
      <c r="G57" s="2070">
        <v>2.0808254514187441E-2</v>
      </c>
      <c r="H57" s="2070">
        <v>0.21315563198624249</v>
      </c>
      <c r="I57" s="2070">
        <v>0.2149613069647463</v>
      </c>
      <c r="J57" s="2070">
        <v>0.2149613069647463</v>
      </c>
      <c r="K57" s="2070">
        <v>0.226225279449699</v>
      </c>
      <c r="L57" s="2070">
        <v>0.23000859845227861</v>
      </c>
      <c r="M57" s="2070">
        <v>0.23465176268271709</v>
      </c>
      <c r="N57" s="2070">
        <v>0.23465176268271709</v>
      </c>
      <c r="O57" s="2070">
        <v>0.23465176268271709</v>
      </c>
      <c r="P57" s="2070">
        <v>0.23465176268271709</v>
      </c>
      <c r="Q57" s="2070">
        <v>0.23490971625107476</v>
      </c>
      <c r="R57" s="2070">
        <v>0.23490971625107487</v>
      </c>
      <c r="S57" s="2070">
        <v>0.23490971625107476</v>
      </c>
      <c r="T57" s="2070">
        <v>0.23490971625107479</v>
      </c>
      <c r="U57" s="2070">
        <v>0.37394668959587274</v>
      </c>
      <c r="V57" s="2070">
        <v>0.23121238177128117</v>
      </c>
      <c r="W57" s="2070">
        <v>0.2256233877901978</v>
      </c>
      <c r="X57" s="2070">
        <v>0.22553740326741195</v>
      </c>
    </row>
    <row r="58" spans="1:24" ht="11.25" customHeight="1">
      <c r="A58" s="2074" t="s">
        <v>3971</v>
      </c>
      <c r="B58" s="2069" t="s">
        <v>5811</v>
      </c>
      <c r="C58" s="2070">
        <v>0</v>
      </c>
      <c r="D58" s="2070">
        <v>0</v>
      </c>
      <c r="E58" s="2070">
        <v>0</v>
      </c>
      <c r="F58" s="2070">
        <v>0</v>
      </c>
      <c r="G58" s="2070">
        <v>0</v>
      </c>
      <c r="H58" s="2070">
        <v>0</v>
      </c>
      <c r="I58" s="2070">
        <v>0</v>
      </c>
      <c r="J58" s="2070">
        <v>0</v>
      </c>
      <c r="K58" s="2070">
        <v>0</v>
      </c>
      <c r="L58" s="2070">
        <v>0</v>
      </c>
      <c r="M58" s="2070">
        <v>0</v>
      </c>
      <c r="N58" s="2070">
        <v>0</v>
      </c>
      <c r="O58" s="2070">
        <v>0</v>
      </c>
      <c r="P58" s="2070">
        <v>0</v>
      </c>
      <c r="Q58" s="2070">
        <v>0</v>
      </c>
      <c r="R58" s="2070">
        <v>0</v>
      </c>
      <c r="S58" s="2070">
        <v>0</v>
      </c>
      <c r="T58" s="2070">
        <v>0</v>
      </c>
      <c r="U58" s="2070">
        <v>0</v>
      </c>
      <c r="V58" s="2070">
        <v>0</v>
      </c>
      <c r="W58" s="2070">
        <v>0</v>
      </c>
      <c r="X58" s="2070">
        <v>0</v>
      </c>
    </row>
    <row r="59" spans="1:24" ht="11.25" customHeight="1">
      <c r="A59" s="2074" t="s">
        <v>4669</v>
      </c>
      <c r="B59" s="2069" t="s">
        <v>5812</v>
      </c>
      <c r="C59" s="2070">
        <v>5.5293852106620802</v>
      </c>
      <c r="D59" s="2070">
        <v>5.392024935511607</v>
      </c>
      <c r="E59" s="2070">
        <v>5.4696259673258814</v>
      </c>
      <c r="F59" s="2070">
        <v>5.3859630266552028</v>
      </c>
      <c r="G59" s="2070">
        <v>5.5889939810834033</v>
      </c>
      <c r="H59" s="2070">
        <v>64.703353396388636</v>
      </c>
      <c r="I59" s="2070">
        <v>5.8576956147893364</v>
      </c>
      <c r="J59" s="2070">
        <v>7.1296431642304379</v>
      </c>
      <c r="K59" s="2070">
        <v>5.8755803955288037</v>
      </c>
      <c r="L59" s="2070">
        <v>6.257781599312124</v>
      </c>
      <c r="M59" s="2070">
        <v>6.7832330180567499</v>
      </c>
      <c r="N59" s="2070">
        <v>6.8668959587274294</v>
      </c>
      <c r="O59" s="2070">
        <v>0.27231298366294066</v>
      </c>
      <c r="P59" s="2070">
        <v>11.655503009458293</v>
      </c>
      <c r="Q59" s="2070">
        <v>0.86014617368873592</v>
      </c>
      <c r="R59" s="2070">
        <v>0.77996560619088551</v>
      </c>
      <c r="S59" s="2070">
        <v>0.81715391229578671</v>
      </c>
      <c r="T59" s="2070">
        <v>0.64789337919174539</v>
      </c>
      <c r="U59" s="2070">
        <v>1.6600386930352538</v>
      </c>
      <c r="V59" s="2070">
        <v>0.80722269991401552</v>
      </c>
      <c r="W59" s="2070">
        <v>14.563542562338778</v>
      </c>
      <c r="X59" s="2070">
        <v>2.8790412725709364</v>
      </c>
    </row>
    <row r="60" spans="1:24" ht="11.25" customHeight="1">
      <c r="A60" s="2074" t="s">
        <v>4618</v>
      </c>
      <c r="B60" s="2069" t="s">
        <v>5813</v>
      </c>
      <c r="C60" s="2070">
        <v>0</v>
      </c>
      <c r="D60" s="2070">
        <v>0</v>
      </c>
      <c r="E60" s="2070">
        <v>0</v>
      </c>
      <c r="F60" s="2070">
        <v>0</v>
      </c>
      <c r="G60" s="2070">
        <v>0</v>
      </c>
      <c r="H60" s="2070">
        <v>0</v>
      </c>
      <c r="I60" s="2070">
        <v>0</v>
      </c>
      <c r="J60" s="2070">
        <v>0</v>
      </c>
      <c r="K60" s="2070">
        <v>0</v>
      </c>
      <c r="L60" s="2070">
        <v>0</v>
      </c>
      <c r="M60" s="2070">
        <v>0</v>
      </c>
      <c r="N60" s="2070">
        <v>0</v>
      </c>
      <c r="O60" s="2070">
        <v>0</v>
      </c>
      <c r="P60" s="2070">
        <v>0.26285468615649182</v>
      </c>
      <c r="Q60" s="2070">
        <v>0.24935511607910565</v>
      </c>
      <c r="R60" s="2070">
        <v>0.23576956147893374</v>
      </c>
      <c r="S60" s="2070">
        <v>0.22639724849527082</v>
      </c>
      <c r="T60" s="2070">
        <v>0.22639724849527076</v>
      </c>
      <c r="U60" s="2070">
        <v>0.26440240756663802</v>
      </c>
      <c r="V60" s="2070">
        <v>0</v>
      </c>
      <c r="W60" s="2070">
        <v>0</v>
      </c>
      <c r="X60" s="2070">
        <v>0</v>
      </c>
    </row>
    <row r="61" spans="1:24" ht="11.25" customHeight="1">
      <c r="A61" s="2074" t="s">
        <v>4670</v>
      </c>
      <c r="B61" s="2069" t="s">
        <v>5814</v>
      </c>
      <c r="C61" s="2070">
        <v>0</v>
      </c>
      <c r="D61" s="2070">
        <v>0</v>
      </c>
      <c r="E61" s="2070">
        <v>0</v>
      </c>
      <c r="F61" s="2070">
        <v>0.45382631126397244</v>
      </c>
      <c r="G61" s="2070">
        <v>0.45382631126397238</v>
      </c>
      <c r="H61" s="2070">
        <v>9.5528804815133289E-2</v>
      </c>
      <c r="I61" s="2070">
        <v>0.47773000859845233</v>
      </c>
      <c r="J61" s="2070">
        <v>0.45382631126397233</v>
      </c>
      <c r="K61" s="2070">
        <v>7.7300085984522773E-2</v>
      </c>
      <c r="L61" s="2070">
        <v>0.17867583834909712</v>
      </c>
      <c r="M61" s="2070">
        <v>0.41891659501289769</v>
      </c>
      <c r="N61" s="2070">
        <v>1.0386070507308682</v>
      </c>
      <c r="O61" s="2070">
        <v>1.1311263972484951</v>
      </c>
      <c r="P61" s="2070">
        <v>2.4625107480653483</v>
      </c>
      <c r="Q61" s="2070">
        <v>1.9953568357695612</v>
      </c>
      <c r="R61" s="2070">
        <v>0.48529664660361127</v>
      </c>
      <c r="S61" s="2070">
        <v>0.38211521926053293</v>
      </c>
      <c r="T61" s="2070">
        <v>0.46423043852106616</v>
      </c>
      <c r="U61" s="2070">
        <v>0.47007738607050736</v>
      </c>
      <c r="V61" s="2070">
        <v>0.33301805674978502</v>
      </c>
      <c r="W61" s="2070">
        <v>0.14333619948409276</v>
      </c>
      <c r="X61" s="2070">
        <v>0.20808254514187435</v>
      </c>
    </row>
    <row r="62" spans="1:24" ht="11.25" customHeight="1">
      <c r="A62" s="2074" t="s">
        <v>5815</v>
      </c>
      <c r="B62" s="2069" t="s">
        <v>5816</v>
      </c>
      <c r="C62" s="2070">
        <v>0</v>
      </c>
      <c r="D62" s="2070">
        <v>0</v>
      </c>
      <c r="E62" s="2070">
        <v>0</v>
      </c>
      <c r="F62" s="2070">
        <v>2.7944969905417025</v>
      </c>
      <c r="G62" s="2070">
        <v>1.8152192605331039</v>
      </c>
      <c r="H62" s="2070">
        <v>1.8868443680137572</v>
      </c>
      <c r="I62" s="2070">
        <v>1.9824591573516772</v>
      </c>
      <c r="J62" s="2070">
        <v>1.958555460017197</v>
      </c>
      <c r="K62" s="2070">
        <v>0</v>
      </c>
      <c r="L62" s="2070">
        <v>0</v>
      </c>
      <c r="M62" s="2070">
        <v>0</v>
      </c>
      <c r="N62" s="2070">
        <v>0</v>
      </c>
      <c r="O62" s="2070">
        <v>0</v>
      </c>
      <c r="P62" s="2070">
        <v>0</v>
      </c>
      <c r="Q62" s="2070">
        <v>0</v>
      </c>
      <c r="R62" s="2070">
        <v>0</v>
      </c>
      <c r="S62" s="2070">
        <v>0</v>
      </c>
      <c r="T62" s="2070">
        <v>0</v>
      </c>
      <c r="U62" s="2070">
        <v>0</v>
      </c>
      <c r="V62" s="2070">
        <v>0</v>
      </c>
      <c r="W62" s="2070">
        <v>0</v>
      </c>
      <c r="X62" s="2070">
        <v>0</v>
      </c>
    </row>
    <row r="63" spans="1:24" ht="11.25" customHeight="1">
      <c r="A63" s="2074" t="s">
        <v>5817</v>
      </c>
      <c r="B63" s="2069" t="s">
        <v>5818</v>
      </c>
      <c r="C63" s="2070">
        <v>0</v>
      </c>
      <c r="D63" s="2070">
        <v>0</v>
      </c>
      <c r="E63" s="2070">
        <v>0</v>
      </c>
      <c r="F63" s="2070">
        <v>0</v>
      </c>
      <c r="G63" s="2070">
        <v>0</v>
      </c>
      <c r="H63" s="2070">
        <v>0</v>
      </c>
      <c r="I63" s="2070">
        <v>0</v>
      </c>
      <c r="J63" s="2070">
        <v>0</v>
      </c>
      <c r="K63" s="2070">
        <v>0</v>
      </c>
      <c r="L63" s="2070">
        <v>0</v>
      </c>
      <c r="M63" s="2070">
        <v>0</v>
      </c>
      <c r="N63" s="2070">
        <v>0</v>
      </c>
      <c r="O63" s="2070">
        <v>0</v>
      </c>
      <c r="P63" s="2070">
        <v>0</v>
      </c>
      <c r="Q63" s="2070">
        <v>0</v>
      </c>
      <c r="R63" s="2070">
        <v>0</v>
      </c>
      <c r="S63" s="2070">
        <v>0</v>
      </c>
      <c r="T63" s="2070">
        <v>0</v>
      </c>
      <c r="U63" s="2070">
        <v>0</v>
      </c>
      <c r="V63" s="2070">
        <v>0</v>
      </c>
      <c r="W63" s="2070">
        <v>0</v>
      </c>
      <c r="X63" s="2070">
        <v>0</v>
      </c>
    </row>
    <row r="64" spans="1:24" ht="11.25" customHeight="1">
      <c r="A64" s="2074" t="s">
        <v>5819</v>
      </c>
      <c r="B64" s="2069" t="s">
        <v>5820</v>
      </c>
      <c r="C64" s="2070">
        <v>0</v>
      </c>
      <c r="D64" s="2070">
        <v>0</v>
      </c>
      <c r="E64" s="2070">
        <v>0</v>
      </c>
      <c r="F64" s="2070">
        <v>0</v>
      </c>
      <c r="G64" s="2070">
        <v>0</v>
      </c>
      <c r="H64" s="2070">
        <v>0</v>
      </c>
      <c r="I64" s="2070">
        <v>0</v>
      </c>
      <c r="J64" s="2070">
        <v>0</v>
      </c>
      <c r="K64" s="2070">
        <v>0</v>
      </c>
      <c r="L64" s="2070">
        <v>0</v>
      </c>
      <c r="M64" s="2070">
        <v>6.0189165950128964E-4</v>
      </c>
      <c r="N64" s="2070">
        <v>0</v>
      </c>
      <c r="O64" s="2070">
        <v>0</v>
      </c>
      <c r="P64" s="2070">
        <v>0</v>
      </c>
      <c r="Q64" s="2070">
        <v>0</v>
      </c>
      <c r="R64" s="2070">
        <v>0</v>
      </c>
      <c r="S64" s="2070">
        <v>0</v>
      </c>
      <c r="T64" s="2070">
        <v>0</v>
      </c>
      <c r="U64" s="2070">
        <v>0</v>
      </c>
      <c r="V64" s="2070">
        <v>0</v>
      </c>
      <c r="W64" s="2070">
        <v>0</v>
      </c>
      <c r="X64" s="2070">
        <v>0</v>
      </c>
    </row>
    <row r="65" spans="1:24" ht="11.25" customHeight="1">
      <c r="A65" s="2074" t="s">
        <v>5821</v>
      </c>
      <c r="B65" s="2069" t="s">
        <v>5822</v>
      </c>
      <c r="C65" s="2070">
        <v>0</v>
      </c>
      <c r="D65" s="2070">
        <v>0</v>
      </c>
      <c r="E65" s="2070">
        <v>0</v>
      </c>
      <c r="F65" s="2070">
        <v>0</v>
      </c>
      <c r="G65" s="2070">
        <v>0</v>
      </c>
      <c r="H65" s="2070">
        <v>0</v>
      </c>
      <c r="I65" s="2070">
        <v>0</v>
      </c>
      <c r="J65" s="2070">
        <v>0</v>
      </c>
      <c r="K65" s="2070">
        <v>0</v>
      </c>
      <c r="L65" s="2070">
        <v>0</v>
      </c>
      <c r="M65" s="2070">
        <v>0</v>
      </c>
      <c r="N65" s="2070">
        <v>0</v>
      </c>
      <c r="O65" s="2070">
        <v>0</v>
      </c>
      <c r="P65" s="2070">
        <v>0</v>
      </c>
      <c r="Q65" s="2070">
        <v>0</v>
      </c>
      <c r="R65" s="2070">
        <v>0</v>
      </c>
      <c r="S65" s="2070">
        <v>0</v>
      </c>
      <c r="T65" s="2070">
        <v>0</v>
      </c>
      <c r="U65" s="2070">
        <v>0</v>
      </c>
      <c r="V65" s="2070">
        <v>0</v>
      </c>
      <c r="W65" s="2070">
        <v>0</v>
      </c>
      <c r="X65" s="2070">
        <v>0</v>
      </c>
    </row>
    <row r="66" spans="1:24" ht="11.25" customHeight="1">
      <c r="A66" s="2074" t="s">
        <v>5823</v>
      </c>
      <c r="B66" s="2069" t="s">
        <v>5824</v>
      </c>
      <c r="C66" s="2070">
        <v>0</v>
      </c>
      <c r="D66" s="2070">
        <v>0</v>
      </c>
      <c r="E66" s="2070">
        <v>0</v>
      </c>
      <c r="F66" s="2070">
        <v>0</v>
      </c>
      <c r="G66" s="2070">
        <v>0</v>
      </c>
      <c r="H66" s="2070">
        <v>8.598452278589854E-4</v>
      </c>
      <c r="I66" s="2070">
        <v>6.1049011177987961E-3</v>
      </c>
      <c r="J66" s="2070">
        <v>6.1049011177987953E-3</v>
      </c>
      <c r="K66" s="2070">
        <v>6.964746345657781E-3</v>
      </c>
      <c r="L66" s="2070">
        <v>1.1435941530524504E-2</v>
      </c>
      <c r="M66" s="2070">
        <v>1.2381771281169388E-2</v>
      </c>
      <c r="N66" s="2070">
        <v>9.630266552020636E-3</v>
      </c>
      <c r="O66" s="2070">
        <v>8.7704213241616494E-3</v>
      </c>
      <c r="P66" s="2070">
        <v>8.856405846947548E-3</v>
      </c>
      <c r="Q66" s="2070">
        <v>1.066208082545142E-2</v>
      </c>
      <c r="R66" s="2070">
        <v>6.2768701633705935E-3</v>
      </c>
      <c r="S66" s="2070">
        <v>0.21126397248495268</v>
      </c>
      <c r="T66" s="2070">
        <v>0.33310404127257098</v>
      </c>
      <c r="U66" s="2070">
        <v>0.43834909716251075</v>
      </c>
      <c r="V66" s="2070">
        <v>0.53215821152192588</v>
      </c>
      <c r="W66" s="2070">
        <v>0.48822012037833185</v>
      </c>
      <c r="X66" s="2070">
        <v>0.81453138435081684</v>
      </c>
    </row>
    <row r="67" spans="1:24" ht="11.25" customHeight="1">
      <c r="A67" s="2074" t="s">
        <v>5825</v>
      </c>
      <c r="B67" s="2069" t="s">
        <v>5826</v>
      </c>
      <c r="C67" s="2070">
        <v>0</v>
      </c>
      <c r="D67" s="2070">
        <v>0</v>
      </c>
      <c r="E67" s="2070">
        <v>0</v>
      </c>
      <c r="F67" s="2070">
        <v>0</v>
      </c>
      <c r="G67" s="2070">
        <v>0</v>
      </c>
      <c r="H67" s="2070">
        <v>0</v>
      </c>
      <c r="I67" s="2070">
        <v>0</v>
      </c>
      <c r="J67" s="2070">
        <v>0</v>
      </c>
      <c r="K67" s="2070">
        <v>0</v>
      </c>
      <c r="L67" s="2070">
        <v>0</v>
      </c>
      <c r="M67" s="2070">
        <v>0</v>
      </c>
      <c r="N67" s="2070">
        <v>0</v>
      </c>
      <c r="O67" s="2070">
        <v>0</v>
      </c>
      <c r="P67" s="2070">
        <v>0</v>
      </c>
      <c r="Q67" s="2070">
        <v>0</v>
      </c>
      <c r="R67" s="2070">
        <v>0</v>
      </c>
      <c r="S67" s="2070">
        <v>0</v>
      </c>
      <c r="T67" s="2070">
        <v>0</v>
      </c>
      <c r="U67" s="2070">
        <v>0</v>
      </c>
      <c r="V67" s="2070">
        <v>0</v>
      </c>
      <c r="W67" s="2070">
        <v>0</v>
      </c>
      <c r="X67" s="2070">
        <v>0</v>
      </c>
    </row>
    <row r="68" spans="1:24" ht="11.25" customHeight="1">
      <c r="A68" s="2074" t="s">
        <v>5827</v>
      </c>
      <c r="B68" s="2069" t="s">
        <v>5828</v>
      </c>
      <c r="C68" s="2070">
        <v>0</v>
      </c>
      <c r="D68" s="2070">
        <v>0</v>
      </c>
      <c r="E68" s="2070">
        <v>0</v>
      </c>
      <c r="F68" s="2070">
        <v>0</v>
      </c>
      <c r="G68" s="2070">
        <v>0</v>
      </c>
      <c r="H68" s="2070">
        <v>0</v>
      </c>
      <c r="I68" s="2070">
        <v>0</v>
      </c>
      <c r="J68" s="2070">
        <v>0</v>
      </c>
      <c r="K68" s="2070">
        <v>0</v>
      </c>
      <c r="L68" s="2070">
        <v>0</v>
      </c>
      <c r="M68" s="2070">
        <v>0</v>
      </c>
      <c r="N68" s="2070">
        <v>0</v>
      </c>
      <c r="O68" s="2070">
        <v>0</v>
      </c>
      <c r="P68" s="2070">
        <v>0</v>
      </c>
      <c r="Q68" s="2070">
        <v>0</v>
      </c>
      <c r="R68" s="2070">
        <v>0</v>
      </c>
      <c r="S68" s="2070">
        <v>0</v>
      </c>
      <c r="T68" s="2070">
        <v>0</v>
      </c>
      <c r="U68" s="2070">
        <v>0</v>
      </c>
      <c r="V68" s="2070">
        <v>0</v>
      </c>
      <c r="W68" s="2070">
        <v>0</v>
      </c>
      <c r="X68" s="2070">
        <v>0</v>
      </c>
    </row>
    <row r="69" spans="1:24" ht="11.25" customHeight="1">
      <c r="A69" s="2074" t="s">
        <v>4619</v>
      </c>
      <c r="B69" s="2069" t="s">
        <v>5829</v>
      </c>
      <c r="C69" s="2070">
        <v>0</v>
      </c>
      <c r="D69" s="2070">
        <v>0</v>
      </c>
      <c r="E69" s="2070">
        <v>0</v>
      </c>
      <c r="F69" s="2070">
        <v>0</v>
      </c>
      <c r="G69" s="2070">
        <v>0.76388650042992257</v>
      </c>
      <c r="H69" s="2070">
        <v>0</v>
      </c>
      <c r="I69" s="2070">
        <v>0</v>
      </c>
      <c r="J69" s="2070">
        <v>0</v>
      </c>
      <c r="K69" s="2070">
        <v>0</v>
      </c>
      <c r="L69" s="2070">
        <v>0</v>
      </c>
      <c r="M69" s="2070">
        <v>0</v>
      </c>
      <c r="N69" s="2070">
        <v>0</v>
      </c>
      <c r="O69" s="2070">
        <v>0</v>
      </c>
      <c r="P69" s="2070">
        <v>0</v>
      </c>
      <c r="Q69" s="2070">
        <v>0</v>
      </c>
      <c r="R69" s="2070">
        <v>0</v>
      </c>
      <c r="S69" s="2070">
        <v>0</v>
      </c>
      <c r="T69" s="2070">
        <v>0</v>
      </c>
      <c r="U69" s="2070">
        <v>0</v>
      </c>
      <c r="V69" s="2070">
        <v>0</v>
      </c>
      <c r="W69" s="2070">
        <v>0</v>
      </c>
      <c r="X69" s="2070">
        <v>0</v>
      </c>
    </row>
    <row r="70" spans="1:24" ht="11.25" customHeight="1">
      <c r="A70" s="2074" t="s">
        <v>5830</v>
      </c>
      <c r="B70" s="2069" t="s">
        <v>5831</v>
      </c>
      <c r="C70" s="2070">
        <v>1.2532584363458246E-3</v>
      </c>
      <c r="D70" s="2070">
        <v>2.3770812676243477E-3</v>
      </c>
      <c r="E70" s="2070">
        <v>4.3494507083674215E-3</v>
      </c>
      <c r="F70" s="2070">
        <v>7.9982499277393218E-3</v>
      </c>
      <c r="G70" s="2070">
        <v>1.01948366979363E-2</v>
      </c>
      <c r="H70" s="2070">
        <v>7.3110800934600817E-2</v>
      </c>
      <c r="I70" s="2070">
        <v>7.934917800940279E-2</v>
      </c>
      <c r="J70" s="2070">
        <v>7.5942890300538482E-2</v>
      </c>
      <c r="K70" s="2070">
        <v>4.0484845956324539E-2</v>
      </c>
      <c r="L70" s="2070">
        <v>6.3594656383937326E-2</v>
      </c>
      <c r="M70" s="2070">
        <v>0.11394815489500869</v>
      </c>
      <c r="N70" s="2070">
        <v>0.16181654758818076</v>
      </c>
      <c r="O70" s="2070">
        <v>0.19770479367342253</v>
      </c>
      <c r="P70" s="2070">
        <v>0.26266322041389423</v>
      </c>
      <c r="Q70" s="2070">
        <v>6.5626514750076446</v>
      </c>
      <c r="R70" s="2070">
        <v>8.2974578696899979</v>
      </c>
      <c r="S70" s="2070">
        <v>9.2583119285139084</v>
      </c>
      <c r="T70" s="2070">
        <v>10.757542235796489</v>
      </c>
      <c r="U70" s="2070">
        <v>12.700332265002615</v>
      </c>
      <c r="V70" s="2070">
        <v>13.725560433996073</v>
      </c>
      <c r="W70" s="2070">
        <v>14.552307277742617</v>
      </c>
      <c r="X70" s="2070">
        <v>15.747223313221141</v>
      </c>
    </row>
    <row r="71" spans="1:24" ht="11.25" customHeight="1">
      <c r="A71" s="2071" t="s">
        <v>5832</v>
      </c>
      <c r="B71" s="2072" t="s">
        <v>5833</v>
      </c>
      <c r="C71" s="2073">
        <v>1.7913370593293207</v>
      </c>
      <c r="D71" s="2073">
        <v>1.8689595872742908</v>
      </c>
      <c r="E71" s="2073">
        <v>1.7913370593293205</v>
      </c>
      <c r="F71" s="2073">
        <v>3.3557824591573517</v>
      </c>
      <c r="G71" s="2073">
        <v>3.9170679277730001</v>
      </c>
      <c r="H71" s="2073">
        <v>3.5050300945829749</v>
      </c>
      <c r="I71" s="2073">
        <v>3.3259673258813418</v>
      </c>
      <c r="J71" s="2073">
        <v>3.2005588993981084</v>
      </c>
      <c r="K71" s="2073">
        <v>11.345163370593292</v>
      </c>
      <c r="L71" s="2073">
        <v>7.7147463456577796</v>
      </c>
      <c r="M71" s="2073">
        <v>10.013650042992261</v>
      </c>
      <c r="N71" s="2073">
        <v>9.5538048151332742</v>
      </c>
      <c r="O71" s="2073">
        <v>8.7255803955288016</v>
      </c>
      <c r="P71" s="2073">
        <v>11.936865864144453</v>
      </c>
      <c r="Q71" s="2073">
        <v>12.233533963886501</v>
      </c>
      <c r="R71" s="2073">
        <v>10.676332760103181</v>
      </c>
      <c r="S71" s="2073">
        <v>11.078331900257952</v>
      </c>
      <c r="T71" s="2073">
        <v>11.194776440240755</v>
      </c>
      <c r="U71" s="2073">
        <v>7.8062768701633685</v>
      </c>
      <c r="V71" s="2073">
        <v>6.9331685296646608</v>
      </c>
      <c r="W71" s="2073">
        <v>7.742648323301804</v>
      </c>
      <c r="X71" s="2073">
        <v>5.9871453138435076</v>
      </c>
    </row>
    <row r="72" spans="1:24" ht="11.25" customHeight="1">
      <c r="A72" s="2074" t="s">
        <v>5834</v>
      </c>
      <c r="B72" s="2069" t="s">
        <v>5835</v>
      </c>
      <c r="C72" s="2070">
        <v>1.7913370593293207</v>
      </c>
      <c r="D72" s="2070">
        <v>1.8689595872742908</v>
      </c>
      <c r="E72" s="2070">
        <v>1.7913370593293205</v>
      </c>
      <c r="F72" s="2070">
        <v>0.5612854686156491</v>
      </c>
      <c r="G72" s="2070">
        <v>2.1018486672398962</v>
      </c>
      <c r="H72" s="2070">
        <v>1.6181857265692179</v>
      </c>
      <c r="I72" s="2070">
        <v>1.3435081685296648</v>
      </c>
      <c r="J72" s="2070">
        <v>1.2420034393809114</v>
      </c>
      <c r="K72" s="2070">
        <v>11.345163370593292</v>
      </c>
      <c r="L72" s="2070">
        <v>7.7147463456577796</v>
      </c>
      <c r="M72" s="2070">
        <v>10.013650042992261</v>
      </c>
      <c r="N72" s="2070">
        <v>9.5538048151332742</v>
      </c>
      <c r="O72" s="2070">
        <v>8.7255803955288016</v>
      </c>
      <c r="P72" s="2070">
        <v>11.936865864144453</v>
      </c>
      <c r="Q72" s="2070">
        <v>12.233533963886501</v>
      </c>
      <c r="R72" s="2070">
        <v>10.676332760103181</v>
      </c>
      <c r="S72" s="2070">
        <v>11.078331900257952</v>
      </c>
      <c r="T72" s="2070">
        <v>11.194776440240755</v>
      </c>
      <c r="U72" s="2070">
        <v>7.8062768701633685</v>
      </c>
      <c r="V72" s="2070">
        <v>6.9331685296646608</v>
      </c>
      <c r="W72" s="2070">
        <v>7.742648323301804</v>
      </c>
      <c r="X72" s="2070">
        <v>5.9871453138435076</v>
      </c>
    </row>
    <row r="73" spans="1:24" ht="11.25" customHeight="1">
      <c r="A73" s="2074" t="s">
        <v>5836</v>
      </c>
      <c r="B73" s="2069" t="s">
        <v>5837</v>
      </c>
      <c r="C73" s="2070">
        <v>0</v>
      </c>
      <c r="D73" s="2070">
        <v>0</v>
      </c>
      <c r="E73" s="2070">
        <v>0</v>
      </c>
      <c r="F73" s="2070">
        <v>2.7944969905417025</v>
      </c>
      <c r="G73" s="2070">
        <v>1.8152192605331039</v>
      </c>
      <c r="H73" s="2070">
        <v>1.8868443680137572</v>
      </c>
      <c r="I73" s="2070">
        <v>1.9824591573516772</v>
      </c>
      <c r="J73" s="2070">
        <v>1.958555460017197</v>
      </c>
      <c r="K73" s="2070">
        <v>0</v>
      </c>
      <c r="L73" s="2070">
        <v>0</v>
      </c>
      <c r="M73" s="2070">
        <v>0</v>
      </c>
      <c r="N73" s="2070">
        <v>0</v>
      </c>
      <c r="O73" s="2070">
        <v>0</v>
      </c>
      <c r="P73" s="2070">
        <v>0</v>
      </c>
      <c r="Q73" s="2070">
        <v>0</v>
      </c>
      <c r="R73" s="2070">
        <v>0</v>
      </c>
      <c r="S73" s="2070">
        <v>0</v>
      </c>
      <c r="T73" s="2070">
        <v>0</v>
      </c>
      <c r="U73" s="2070">
        <v>0</v>
      </c>
      <c r="V73" s="2070">
        <v>0</v>
      </c>
      <c r="W73" s="2070">
        <v>0</v>
      </c>
      <c r="X73" s="2070">
        <v>0</v>
      </c>
    </row>
    <row r="74" spans="1:24" ht="11.25" customHeight="1">
      <c r="A74" s="2071" t="s">
        <v>4616</v>
      </c>
      <c r="B74" s="2072" t="s">
        <v>5838</v>
      </c>
      <c r="C74" s="2073">
        <v>0</v>
      </c>
      <c r="D74" s="2073">
        <v>0</v>
      </c>
      <c r="E74" s="2073">
        <v>0</v>
      </c>
      <c r="F74" s="2073">
        <v>0</v>
      </c>
      <c r="G74" s="2073">
        <v>0</v>
      </c>
      <c r="H74" s="2073">
        <v>0</v>
      </c>
      <c r="I74" s="2073">
        <v>0</v>
      </c>
      <c r="J74" s="2073">
        <v>0</v>
      </c>
      <c r="K74" s="2073">
        <v>0</v>
      </c>
      <c r="L74" s="2073">
        <v>0</v>
      </c>
      <c r="M74" s="2073">
        <v>0</v>
      </c>
      <c r="N74" s="2073">
        <v>0</v>
      </c>
      <c r="O74" s="2073">
        <v>0</v>
      </c>
      <c r="P74" s="2073">
        <v>0</v>
      </c>
      <c r="Q74" s="2073">
        <v>0</v>
      </c>
      <c r="R74" s="2073">
        <v>0</v>
      </c>
      <c r="S74" s="2073">
        <v>0</v>
      </c>
      <c r="T74" s="2073">
        <v>0</v>
      </c>
      <c r="U74" s="2073">
        <v>0</v>
      </c>
      <c r="V74" s="2073">
        <v>0</v>
      </c>
      <c r="W74" s="2073">
        <v>0</v>
      </c>
      <c r="X74" s="2073">
        <v>0</v>
      </c>
    </row>
    <row r="75" spans="1:24" ht="11.25" customHeight="1">
      <c r="A75" s="2071" t="s">
        <v>4671</v>
      </c>
      <c r="B75" s="2072" t="s">
        <v>5839</v>
      </c>
      <c r="C75" s="2073">
        <v>88.474527085124677</v>
      </c>
      <c r="D75" s="2073">
        <v>97.556814273430774</v>
      </c>
      <c r="E75" s="2073">
        <v>90.021044711951845</v>
      </c>
      <c r="F75" s="2073">
        <v>101.47979363714531</v>
      </c>
      <c r="G75" s="2073">
        <v>111.05739466895959</v>
      </c>
      <c r="H75" s="2073">
        <v>127.16190885640584</v>
      </c>
      <c r="I75" s="2073">
        <v>120.36360705073089</v>
      </c>
      <c r="J75" s="2073">
        <v>177.21049011177985</v>
      </c>
      <c r="K75" s="2073">
        <v>158.10197764402409</v>
      </c>
      <c r="L75" s="2073">
        <v>170.55030094582975</v>
      </c>
      <c r="M75" s="2073">
        <v>223.32330180567499</v>
      </c>
      <c r="N75" s="2073">
        <v>195.98847807394668</v>
      </c>
      <c r="O75" s="2073">
        <v>197.6344582975064</v>
      </c>
      <c r="P75" s="2073">
        <v>168.58983233018057</v>
      </c>
      <c r="Q75" s="2073">
        <v>134.5987747205503</v>
      </c>
      <c r="R75" s="2073">
        <v>141.15892089423903</v>
      </c>
      <c r="S75" s="2073">
        <v>152.63847807394666</v>
      </c>
      <c r="T75" s="2073">
        <v>132.31893809114359</v>
      </c>
      <c r="U75" s="2073">
        <v>131.49537833190024</v>
      </c>
      <c r="V75" s="2073">
        <v>142.24967755803954</v>
      </c>
      <c r="W75" s="2073">
        <v>145.11966895958724</v>
      </c>
      <c r="X75" s="2073">
        <v>139.4652622527945</v>
      </c>
    </row>
    <row r="76" spans="1:24" ht="11.25" customHeight="1">
      <c r="A76" s="2075" t="s">
        <v>4282</v>
      </c>
      <c r="B76" s="2076" t="s">
        <v>5840</v>
      </c>
      <c r="C76" s="2077">
        <v>6204.2039249405698</v>
      </c>
      <c r="D76" s="2077">
        <v>6413.424419604472</v>
      </c>
      <c r="E76" s="2077">
        <v>6459.6805674978505</v>
      </c>
      <c r="F76" s="2077">
        <v>6473.8921754084258</v>
      </c>
      <c r="G76" s="2077">
        <v>6807.1551160791059</v>
      </c>
      <c r="H76" s="2077">
        <v>6671.5855546001712</v>
      </c>
      <c r="I76" s="2077">
        <v>6344.0939810834052</v>
      </c>
      <c r="J76" s="2077">
        <v>6492.8467755803949</v>
      </c>
      <c r="K76" s="2077">
        <v>6230.9848667239894</v>
      </c>
      <c r="L76" s="2077">
        <v>4889.1545141874458</v>
      </c>
      <c r="M76" s="2077">
        <v>5370.2816852966462</v>
      </c>
      <c r="N76" s="2077">
        <v>5704.2571797076525</v>
      </c>
      <c r="O76" s="2077">
        <v>5324.9265692175395</v>
      </c>
      <c r="P76" s="2077">
        <v>5035.4879621668097</v>
      </c>
      <c r="Q76" s="2077">
        <v>5060.5554600171963</v>
      </c>
      <c r="R76" s="2077">
        <v>5354.0855546001712</v>
      </c>
      <c r="S76" s="2077">
        <v>5338.9857265692171</v>
      </c>
      <c r="T76" s="2077">
        <v>5625.8359071367167</v>
      </c>
      <c r="U76" s="2077">
        <v>5529.5817196904554</v>
      </c>
      <c r="V76" s="2077">
        <v>5240.9824333619945</v>
      </c>
      <c r="W76" s="2077">
        <v>5041.8914789337914</v>
      </c>
      <c r="X76" s="2077">
        <v>5111.765270851246</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D3455-E1B7-44D2-838F-E974D806CFCE}">
  <sheetPr>
    <pageSetUpPr fitToPage="1"/>
  </sheetPr>
  <dimension ref="A1:X76"/>
  <sheetViews>
    <sheetView showGridLines="0" workbookViewId="0">
      <pane xSplit="2" ySplit="2" topLeftCell="I9" activePane="bottomRight" state="frozen"/>
      <selection activeCell="W2" sqref="W2"/>
      <selection pane="topRight" activeCell="W2" sqref="W2"/>
      <selection pane="bottomLeft" activeCell="W2" sqref="W2"/>
      <selection pane="bottomRight"/>
    </sheetView>
  </sheetViews>
  <sheetFormatPr baseColWidth="10" defaultColWidth="9.1640625" defaultRowHeight="11.25" customHeight="1"/>
  <cols>
    <col min="1" max="1" width="40.6640625" style="2059" bestFit="1" customWidth="1"/>
    <col min="2" max="2" width="16.1640625" style="2059" bestFit="1" customWidth="1"/>
    <col min="3" max="24" width="9.6640625" style="2059" customWidth="1"/>
    <col min="25" max="16384" width="9.1640625" style="2059"/>
  </cols>
  <sheetData>
    <row r="1" spans="1:24" ht="11.25" customHeight="1">
      <c r="A1" s="2057" t="s">
        <v>5843</v>
      </c>
      <c r="B1" s="2057" t="s">
        <v>5844</v>
      </c>
      <c r="C1" s="2058">
        <v>2000</v>
      </c>
      <c r="D1" s="2058">
        <v>2001</v>
      </c>
      <c r="E1" s="2058">
        <v>2002</v>
      </c>
      <c r="F1" s="2058">
        <v>2003</v>
      </c>
      <c r="G1" s="2058">
        <v>2004</v>
      </c>
      <c r="H1" s="2058">
        <v>2005</v>
      </c>
      <c r="I1" s="2058">
        <v>2006</v>
      </c>
      <c r="J1" s="2058">
        <v>2007</v>
      </c>
      <c r="K1" s="2058">
        <v>2008</v>
      </c>
      <c r="L1" s="2058">
        <v>2009</v>
      </c>
      <c r="M1" s="2058">
        <v>2010</v>
      </c>
      <c r="N1" s="2058">
        <v>2011</v>
      </c>
      <c r="O1" s="2058">
        <v>2012</v>
      </c>
      <c r="P1" s="2058">
        <v>2013</v>
      </c>
      <c r="Q1" s="2058">
        <v>2014</v>
      </c>
      <c r="R1" s="2058">
        <v>2015</v>
      </c>
      <c r="S1" s="2058">
        <v>2016</v>
      </c>
      <c r="T1" s="2058">
        <v>2017</v>
      </c>
      <c r="U1" s="2058">
        <v>2018</v>
      </c>
      <c r="V1" s="2058">
        <v>2019</v>
      </c>
      <c r="W1" s="2058">
        <v>2020</v>
      </c>
      <c r="X1" s="2058">
        <v>2021</v>
      </c>
    </row>
    <row r="2" spans="1:24" ht="11.25" customHeight="1">
      <c r="A2" s="2060" t="s">
        <v>1265</v>
      </c>
      <c r="B2" s="2060" t="s">
        <v>5738</v>
      </c>
      <c r="C2" s="2061">
        <v>50351.464982567515</v>
      </c>
      <c r="D2" s="2061">
        <v>50175.39794007648</v>
      </c>
      <c r="E2" s="2061">
        <v>50513.305068779431</v>
      </c>
      <c r="F2" s="2061">
        <v>53775.491537522401</v>
      </c>
      <c r="G2" s="2061">
        <v>51400.298225349958</v>
      </c>
      <c r="H2" s="2061">
        <v>52023.376103883304</v>
      </c>
      <c r="I2" s="2061">
        <v>50492.00775212334</v>
      </c>
      <c r="J2" s="2061">
        <v>52898.152313517348</v>
      </c>
      <c r="K2" s="2061">
        <v>51744.69791358427</v>
      </c>
      <c r="L2" s="2061">
        <v>47020.029020361944</v>
      </c>
      <c r="M2" s="2061">
        <v>49156.835011272618</v>
      </c>
      <c r="N2" s="2061">
        <v>52870.848457042332</v>
      </c>
      <c r="O2" s="2061">
        <v>53263.356728298342</v>
      </c>
      <c r="P2" s="2061">
        <v>53130.324112897513</v>
      </c>
      <c r="Q2" s="2061">
        <v>51856.082745756146</v>
      </c>
      <c r="R2" s="2061">
        <v>50567.914384924799</v>
      </c>
      <c r="S2" s="2061">
        <v>51336.52940284284</v>
      </c>
      <c r="T2" s="2061">
        <v>51677.178738680268</v>
      </c>
      <c r="U2" s="2061">
        <v>51144.796225824539</v>
      </c>
      <c r="V2" s="2061">
        <v>50527.488678706373</v>
      </c>
      <c r="W2" s="2061">
        <v>50318.822870054879</v>
      </c>
      <c r="X2" s="2061">
        <v>51763.233029601673</v>
      </c>
    </row>
    <row r="3" spans="1:24" ht="11.25" customHeight="1">
      <c r="A3" s="2062" t="s">
        <v>5739</v>
      </c>
      <c r="B3" s="2063" t="s">
        <v>5740</v>
      </c>
      <c r="C3" s="2064">
        <v>2932.6062768701627</v>
      </c>
      <c r="D3" s="2064">
        <v>3024.6072226999131</v>
      </c>
      <c r="E3" s="2064">
        <v>3199.7395528804818</v>
      </c>
      <c r="F3" s="2064">
        <v>3040.3288907996562</v>
      </c>
      <c r="G3" s="2064">
        <v>2882.3732588134135</v>
      </c>
      <c r="H3" s="2064">
        <v>2591.4602751504731</v>
      </c>
      <c r="I3" s="2064">
        <v>2492.7582115219261</v>
      </c>
      <c r="J3" s="2064">
        <v>2304.5963026655199</v>
      </c>
      <c r="K3" s="2064">
        <v>2886.2888220120367</v>
      </c>
      <c r="L3" s="2064">
        <v>2658.8299226139297</v>
      </c>
      <c r="M3" s="2064">
        <v>2589.3748065348236</v>
      </c>
      <c r="N3" s="2064">
        <v>2461.9997420464315</v>
      </c>
      <c r="O3" s="2064">
        <v>2494.8482373172828</v>
      </c>
      <c r="P3" s="2064">
        <v>2740.899914015477</v>
      </c>
      <c r="Q3" s="2064">
        <v>2750.8410146173687</v>
      </c>
      <c r="R3" s="2064">
        <v>3029.25399828031</v>
      </c>
      <c r="S3" s="2064">
        <v>2881.1350816852969</v>
      </c>
      <c r="T3" s="2064">
        <v>3056.9780739466896</v>
      </c>
      <c r="U3" s="2064">
        <v>2607.985210662081</v>
      </c>
      <c r="V3" s="2064">
        <v>2419.793981083405</v>
      </c>
      <c r="W3" s="2064">
        <v>2340.0848667239898</v>
      </c>
      <c r="X3" s="2064">
        <v>2107.9707652622533</v>
      </c>
    </row>
    <row r="4" spans="1:24" ht="11.25" customHeight="1">
      <c r="A4" s="2065" t="s">
        <v>5741</v>
      </c>
      <c r="B4" s="2066" t="s">
        <v>5742</v>
      </c>
      <c r="C4" s="2067">
        <v>1640.6986242476351</v>
      </c>
      <c r="D4" s="2067">
        <v>2014.9042992261386</v>
      </c>
      <c r="E4" s="2067">
        <v>2137.0918314703358</v>
      </c>
      <c r="F4" s="2067">
        <v>1613.5284608770423</v>
      </c>
      <c r="G4" s="2067">
        <v>1525.8942390369734</v>
      </c>
      <c r="H4" s="2067">
        <v>1384.2322441960448</v>
      </c>
      <c r="I4" s="2067">
        <v>1231.1300085984522</v>
      </c>
      <c r="J4" s="2067">
        <v>1415.2593293207221</v>
      </c>
      <c r="K4" s="2067">
        <v>1980.6762682717101</v>
      </c>
      <c r="L4" s="2067">
        <v>1587.3539982803095</v>
      </c>
      <c r="M4" s="2067">
        <v>1993.031728288908</v>
      </c>
      <c r="N4" s="2067">
        <v>1847.8638005159066</v>
      </c>
      <c r="O4" s="2067">
        <v>1848.0412725709375</v>
      </c>
      <c r="P4" s="2067">
        <v>2041.1160791057605</v>
      </c>
      <c r="Q4" s="2067">
        <v>2185.6764402407562</v>
      </c>
      <c r="R4" s="2067">
        <v>2465.0981943250222</v>
      </c>
      <c r="S4" s="2067">
        <v>2291.8697334479793</v>
      </c>
      <c r="T4" s="2067">
        <v>2519.986672398968</v>
      </c>
      <c r="U4" s="2067">
        <v>2084.7798796216684</v>
      </c>
      <c r="V4" s="2067">
        <v>1946.8855546001719</v>
      </c>
      <c r="W4" s="2067">
        <v>1891.0540842648325</v>
      </c>
      <c r="X4" s="2067">
        <v>1679.5653482373179</v>
      </c>
    </row>
    <row r="5" spans="1:24" ht="11.25" customHeight="1">
      <c r="A5" s="2068" t="s">
        <v>4613</v>
      </c>
      <c r="B5" s="2069" t="s">
        <v>5743</v>
      </c>
      <c r="C5" s="2070">
        <v>6.5950128976784192E-2</v>
      </c>
      <c r="D5" s="2070">
        <v>0</v>
      </c>
      <c r="E5" s="2070">
        <v>0</v>
      </c>
      <c r="F5" s="2070">
        <v>0</v>
      </c>
      <c r="G5" s="2070">
        <v>113.85021496130696</v>
      </c>
      <c r="H5" s="2070">
        <v>121.39785038693036</v>
      </c>
      <c r="I5" s="2070">
        <v>130.52966466036114</v>
      </c>
      <c r="J5" s="2070">
        <v>116.35571797076526</v>
      </c>
      <c r="K5" s="2070">
        <v>133.40412725709371</v>
      </c>
      <c r="L5" s="2070">
        <v>83.209888220120362</v>
      </c>
      <c r="M5" s="2070">
        <v>108.3268271711092</v>
      </c>
      <c r="N5" s="2070">
        <v>236.81074806534818</v>
      </c>
      <c r="O5" s="2070">
        <v>249.96904557179701</v>
      </c>
      <c r="P5" s="2070">
        <v>383.43920894239028</v>
      </c>
      <c r="Q5" s="2070">
        <v>266.6036973344797</v>
      </c>
      <c r="R5" s="2070">
        <v>218.23422184006887</v>
      </c>
      <c r="S5" s="2070">
        <v>146.40584694754941</v>
      </c>
      <c r="T5" s="2070">
        <v>227.04763542562341</v>
      </c>
      <c r="U5" s="2070">
        <v>251.63972484952711</v>
      </c>
      <c r="V5" s="2070">
        <v>230.61616509028374</v>
      </c>
      <c r="W5" s="2070">
        <v>125.36354256233876</v>
      </c>
      <c r="X5" s="2070">
        <v>170.05829750644884</v>
      </c>
    </row>
    <row r="6" spans="1:24" ht="11.25" customHeight="1">
      <c r="A6" s="2068" t="s">
        <v>4647</v>
      </c>
      <c r="B6" s="2069" t="s">
        <v>5744</v>
      </c>
      <c r="C6" s="2070">
        <v>0.67815993121238172</v>
      </c>
      <c r="D6" s="2070">
        <v>6.8102321582115204</v>
      </c>
      <c r="E6" s="2070">
        <v>0</v>
      </c>
      <c r="F6" s="2070">
        <v>0</v>
      </c>
      <c r="G6" s="2070">
        <v>0</v>
      </c>
      <c r="H6" s="2070">
        <v>0</v>
      </c>
      <c r="I6" s="2070">
        <v>0</v>
      </c>
      <c r="J6" s="2070">
        <v>0</v>
      </c>
      <c r="K6" s="2070">
        <v>0</v>
      </c>
      <c r="L6" s="2070">
        <v>0</v>
      </c>
      <c r="M6" s="2070">
        <v>0</v>
      </c>
      <c r="N6" s="2070">
        <v>0</v>
      </c>
      <c r="O6" s="2070">
        <v>1.3963026655202058</v>
      </c>
      <c r="P6" s="2070">
        <v>0</v>
      </c>
      <c r="Q6" s="2070">
        <v>0</v>
      </c>
      <c r="R6" s="2070">
        <v>0</v>
      </c>
      <c r="S6" s="2070">
        <v>0</v>
      </c>
      <c r="T6" s="2070">
        <v>0</v>
      </c>
      <c r="U6" s="2070">
        <v>0</v>
      </c>
      <c r="V6" s="2070">
        <v>0</v>
      </c>
      <c r="W6" s="2070">
        <v>0</v>
      </c>
      <c r="X6" s="2070">
        <v>0</v>
      </c>
    </row>
    <row r="7" spans="1:24" ht="11.25" customHeight="1">
      <c r="A7" s="2068" t="s">
        <v>4648</v>
      </c>
      <c r="B7" s="2069" t="s">
        <v>5745</v>
      </c>
      <c r="C7" s="2070">
        <v>1639.954514187446</v>
      </c>
      <c r="D7" s="2070">
        <v>2008.0940670679272</v>
      </c>
      <c r="E7" s="2070">
        <v>2137.0918314703358</v>
      </c>
      <c r="F7" s="2070">
        <v>1613.5284608770423</v>
      </c>
      <c r="G7" s="2070">
        <v>1412.0440240756664</v>
      </c>
      <c r="H7" s="2070">
        <v>1262.8343938091145</v>
      </c>
      <c r="I7" s="2070">
        <v>1100.6003439380911</v>
      </c>
      <c r="J7" s="2070">
        <v>1298.9036113499569</v>
      </c>
      <c r="K7" s="2070">
        <v>1847.2721410146164</v>
      </c>
      <c r="L7" s="2070">
        <v>1504.1441100601892</v>
      </c>
      <c r="M7" s="2070">
        <v>1884.7049011177987</v>
      </c>
      <c r="N7" s="2070">
        <v>1611.0530524505584</v>
      </c>
      <c r="O7" s="2070">
        <v>1596.6759243336203</v>
      </c>
      <c r="P7" s="2070">
        <v>1657.6768701633703</v>
      </c>
      <c r="Q7" s="2070">
        <v>1919.0727429062763</v>
      </c>
      <c r="R7" s="2070">
        <v>2246.8639724849531</v>
      </c>
      <c r="S7" s="2070">
        <v>2145.4638865004299</v>
      </c>
      <c r="T7" s="2070">
        <v>2292.9390369733446</v>
      </c>
      <c r="U7" s="2070">
        <v>1833.1401547721412</v>
      </c>
      <c r="V7" s="2070">
        <v>1716.269389509888</v>
      </c>
      <c r="W7" s="2070">
        <v>1765.6905417024936</v>
      </c>
      <c r="X7" s="2070">
        <v>1509.5070507308692</v>
      </c>
    </row>
    <row r="8" spans="1:24" ht="11.25" customHeight="1">
      <c r="A8" s="2065" t="s">
        <v>5746</v>
      </c>
      <c r="B8" s="2066" t="s">
        <v>5747</v>
      </c>
      <c r="C8" s="2067">
        <v>987.7245915735167</v>
      </c>
      <c r="D8" s="2067">
        <v>636.2534823731728</v>
      </c>
      <c r="E8" s="2067">
        <v>639.46801375752352</v>
      </c>
      <c r="F8" s="2067">
        <v>854.87257093723122</v>
      </c>
      <c r="G8" s="2067">
        <v>921.41994840928635</v>
      </c>
      <c r="H8" s="2067">
        <v>895.21986242476373</v>
      </c>
      <c r="I8" s="2067">
        <v>911.19828030954443</v>
      </c>
      <c r="J8" s="2067">
        <v>591.59054170249362</v>
      </c>
      <c r="K8" s="2067">
        <v>628.4253654342217</v>
      </c>
      <c r="L8" s="2067">
        <v>880.47523645743775</v>
      </c>
      <c r="M8" s="2067">
        <v>440.12553740326734</v>
      </c>
      <c r="N8" s="2067">
        <v>416.18753224419606</v>
      </c>
      <c r="O8" s="2067">
        <v>413.66921754084274</v>
      </c>
      <c r="P8" s="2067">
        <v>374.83121238177131</v>
      </c>
      <c r="Q8" s="2067">
        <v>334.20662080825457</v>
      </c>
      <c r="R8" s="2067">
        <v>306.84290627687017</v>
      </c>
      <c r="S8" s="2067">
        <v>282.16595012897682</v>
      </c>
      <c r="T8" s="2067">
        <v>372.59019776440238</v>
      </c>
      <c r="U8" s="2067">
        <v>362.81160791057607</v>
      </c>
      <c r="V8" s="2067">
        <v>340.7979363714532</v>
      </c>
      <c r="W8" s="2067">
        <v>335.15331040412718</v>
      </c>
      <c r="X8" s="2067">
        <v>327.88460877042132</v>
      </c>
    </row>
    <row r="9" spans="1:24" ht="11.25" customHeight="1">
      <c r="A9" s="2068" t="s">
        <v>4649</v>
      </c>
      <c r="B9" s="2069" t="s">
        <v>5748</v>
      </c>
      <c r="C9" s="2070">
        <v>0</v>
      </c>
      <c r="D9" s="2070">
        <v>0</v>
      </c>
      <c r="E9" s="2070">
        <v>0</v>
      </c>
      <c r="F9" s="2070">
        <v>0</v>
      </c>
      <c r="G9" s="2070">
        <v>0</v>
      </c>
      <c r="H9" s="2070">
        <v>0</v>
      </c>
      <c r="I9" s="2070">
        <v>0</v>
      </c>
      <c r="J9" s="2070">
        <v>0</v>
      </c>
      <c r="K9" s="2070">
        <v>0</v>
      </c>
      <c r="L9" s="2070">
        <v>0</v>
      </c>
      <c r="M9" s="2070">
        <v>16.396818572656919</v>
      </c>
      <c r="N9" s="2070">
        <v>0</v>
      </c>
      <c r="O9" s="2070">
        <v>0</v>
      </c>
      <c r="P9" s="2070">
        <v>0</v>
      </c>
      <c r="Q9" s="2070">
        <v>0</v>
      </c>
      <c r="R9" s="2070">
        <v>0</v>
      </c>
      <c r="S9" s="2070">
        <v>0</v>
      </c>
      <c r="T9" s="2070">
        <v>0</v>
      </c>
      <c r="U9" s="2070">
        <v>0</v>
      </c>
      <c r="V9" s="2070">
        <v>8.9423903697334467E-3</v>
      </c>
      <c r="W9" s="2070">
        <v>0</v>
      </c>
      <c r="X9" s="2070">
        <v>0</v>
      </c>
    </row>
    <row r="10" spans="1:24" ht="11.25" customHeight="1">
      <c r="A10" s="2068" t="s">
        <v>4290</v>
      </c>
      <c r="B10" s="2069" t="s">
        <v>5749</v>
      </c>
      <c r="C10" s="2070">
        <v>987.7245915735167</v>
      </c>
      <c r="D10" s="2070">
        <v>636.2534823731728</v>
      </c>
      <c r="E10" s="2070">
        <v>639.46801375752352</v>
      </c>
      <c r="F10" s="2070">
        <v>854.87257093723122</v>
      </c>
      <c r="G10" s="2070">
        <v>921.41994840928635</v>
      </c>
      <c r="H10" s="2070">
        <v>895.21986242476373</v>
      </c>
      <c r="I10" s="2070">
        <v>911.19828030954443</v>
      </c>
      <c r="J10" s="2070">
        <v>591.59054170249362</v>
      </c>
      <c r="K10" s="2070">
        <v>628.4253654342217</v>
      </c>
      <c r="L10" s="2070">
        <v>880.47523645743775</v>
      </c>
      <c r="M10" s="2070">
        <v>423.72871883061043</v>
      </c>
      <c r="N10" s="2070">
        <v>416.18753224419606</v>
      </c>
      <c r="O10" s="2070">
        <v>413.66921754084274</v>
      </c>
      <c r="P10" s="2070">
        <v>374.83121238177131</v>
      </c>
      <c r="Q10" s="2070">
        <v>334.20662080825457</v>
      </c>
      <c r="R10" s="2070">
        <v>306.84290627687017</v>
      </c>
      <c r="S10" s="2070">
        <v>282.16595012897682</v>
      </c>
      <c r="T10" s="2070">
        <v>372.59019776440238</v>
      </c>
      <c r="U10" s="2070">
        <v>362.81160791057607</v>
      </c>
      <c r="V10" s="2070">
        <v>340.78899398108348</v>
      </c>
      <c r="W10" s="2070">
        <v>335.15331040412718</v>
      </c>
      <c r="X10" s="2070">
        <v>327.88460877042132</v>
      </c>
    </row>
    <row r="11" spans="1:24" ht="11.25" customHeight="1">
      <c r="A11" s="2065" t="s">
        <v>5750</v>
      </c>
      <c r="B11" s="2066" t="s">
        <v>5751</v>
      </c>
      <c r="C11" s="2067">
        <v>304.1830610490112</v>
      </c>
      <c r="D11" s="2067">
        <v>373.4494411006018</v>
      </c>
      <c r="E11" s="2067">
        <v>423.17970765262248</v>
      </c>
      <c r="F11" s="2067">
        <v>571.9278589853825</v>
      </c>
      <c r="G11" s="2067">
        <v>435.05907136715382</v>
      </c>
      <c r="H11" s="2067">
        <v>312.00816852966466</v>
      </c>
      <c r="I11" s="2067">
        <v>350.42992261392953</v>
      </c>
      <c r="J11" s="2067">
        <v>297.7464316423044</v>
      </c>
      <c r="K11" s="2067">
        <v>277.18718830610487</v>
      </c>
      <c r="L11" s="2067">
        <v>191.00068787618227</v>
      </c>
      <c r="M11" s="2067">
        <v>156.21754084264833</v>
      </c>
      <c r="N11" s="2067">
        <v>197.9484092863284</v>
      </c>
      <c r="O11" s="2067">
        <v>233.13774720550299</v>
      </c>
      <c r="P11" s="2067">
        <v>324.95262252794498</v>
      </c>
      <c r="Q11" s="2067">
        <v>230.95795356835771</v>
      </c>
      <c r="R11" s="2067">
        <v>257.31289767841787</v>
      </c>
      <c r="S11" s="2067">
        <v>307.09939810834055</v>
      </c>
      <c r="T11" s="2067">
        <v>164.40120378331898</v>
      </c>
      <c r="U11" s="2067">
        <v>160.39372312983664</v>
      </c>
      <c r="V11" s="2067">
        <v>132.11049011177988</v>
      </c>
      <c r="W11" s="2067">
        <v>113.87747205503007</v>
      </c>
      <c r="X11" s="2067">
        <v>100.52080825451418</v>
      </c>
    </row>
    <row r="12" spans="1:24" ht="11.25" customHeight="1">
      <c r="A12" s="2068" t="s">
        <v>4650</v>
      </c>
      <c r="B12" s="2069" t="s">
        <v>5752</v>
      </c>
      <c r="C12" s="2070">
        <v>0</v>
      </c>
      <c r="D12" s="2070">
        <v>0</v>
      </c>
      <c r="E12" s="2070">
        <v>0</v>
      </c>
      <c r="F12" s="2070">
        <v>0</v>
      </c>
      <c r="G12" s="2070">
        <v>0</v>
      </c>
      <c r="H12" s="2070">
        <v>0</v>
      </c>
      <c r="I12" s="2070">
        <v>0</v>
      </c>
      <c r="J12" s="2070">
        <v>0</v>
      </c>
      <c r="K12" s="2070">
        <v>0</v>
      </c>
      <c r="L12" s="2070">
        <v>0</v>
      </c>
      <c r="M12" s="2070">
        <v>0</v>
      </c>
      <c r="N12" s="2070">
        <v>0</v>
      </c>
      <c r="O12" s="2070">
        <v>3.8214961306964748</v>
      </c>
      <c r="P12" s="2070">
        <v>2.2929492691315558</v>
      </c>
      <c r="Q12" s="2070">
        <v>0</v>
      </c>
      <c r="R12" s="2070">
        <v>0</v>
      </c>
      <c r="S12" s="2070">
        <v>0</v>
      </c>
      <c r="T12" s="2070">
        <v>0</v>
      </c>
      <c r="U12" s="2070">
        <v>0</v>
      </c>
      <c r="V12" s="2070">
        <v>0</v>
      </c>
      <c r="W12" s="2070">
        <v>0</v>
      </c>
      <c r="X12" s="2070">
        <v>6.7067927773000868E-3</v>
      </c>
    </row>
    <row r="13" spans="1:24" ht="11.25" customHeight="1">
      <c r="A13" s="2068" t="s">
        <v>4651</v>
      </c>
      <c r="B13" s="2069" t="s">
        <v>5753</v>
      </c>
      <c r="C13" s="2070">
        <v>211.53018056749784</v>
      </c>
      <c r="D13" s="2070">
        <v>278.6946689595872</v>
      </c>
      <c r="E13" s="2070">
        <v>348.14565778159925</v>
      </c>
      <c r="F13" s="2070">
        <v>407.66870163370589</v>
      </c>
      <c r="G13" s="2070">
        <v>291.11186586414442</v>
      </c>
      <c r="H13" s="2070">
        <v>161.17884780739467</v>
      </c>
      <c r="I13" s="2070">
        <v>173.61857265692174</v>
      </c>
      <c r="J13" s="2070">
        <v>160.74531384350817</v>
      </c>
      <c r="K13" s="2070">
        <v>138.58349097162511</v>
      </c>
      <c r="L13" s="2070">
        <v>64.813843508168532</v>
      </c>
      <c r="M13" s="2070">
        <v>43.94402407566637</v>
      </c>
      <c r="N13" s="2070">
        <v>50.279449699054155</v>
      </c>
      <c r="O13" s="2070">
        <v>93.576870163370572</v>
      </c>
      <c r="P13" s="2070">
        <v>140.01298366294068</v>
      </c>
      <c r="Q13" s="2070">
        <v>105.70025795356835</v>
      </c>
      <c r="R13" s="2070">
        <v>139.08443680137574</v>
      </c>
      <c r="S13" s="2070">
        <v>152.17076526225279</v>
      </c>
      <c r="T13" s="2070">
        <v>62.414273430782444</v>
      </c>
      <c r="U13" s="2070">
        <v>69.919174548581267</v>
      </c>
      <c r="V13" s="2070">
        <v>81.414187446259675</v>
      </c>
      <c r="W13" s="2070">
        <v>85.900773860705058</v>
      </c>
      <c r="X13" s="2070">
        <v>69.288650042992259</v>
      </c>
    </row>
    <row r="14" spans="1:24" ht="11.25" customHeight="1">
      <c r="A14" s="2068" t="s">
        <v>4652</v>
      </c>
      <c r="B14" s="2069" t="s">
        <v>5754</v>
      </c>
      <c r="C14" s="2070">
        <v>0</v>
      </c>
      <c r="D14" s="2070">
        <v>0</v>
      </c>
      <c r="E14" s="2070">
        <v>0</v>
      </c>
      <c r="F14" s="2070">
        <v>0</v>
      </c>
      <c r="G14" s="2070">
        <v>0</v>
      </c>
      <c r="H14" s="2070">
        <v>0</v>
      </c>
      <c r="I14" s="2070">
        <v>0</v>
      </c>
      <c r="J14" s="2070">
        <v>0</v>
      </c>
      <c r="K14" s="2070">
        <v>0</v>
      </c>
      <c r="L14" s="2070">
        <v>0</v>
      </c>
      <c r="M14" s="2070">
        <v>0</v>
      </c>
      <c r="N14" s="2070">
        <v>0</v>
      </c>
      <c r="O14" s="2070">
        <v>0</v>
      </c>
      <c r="P14" s="2070">
        <v>0</v>
      </c>
      <c r="Q14" s="2070">
        <v>0</v>
      </c>
      <c r="R14" s="2070">
        <v>0</v>
      </c>
      <c r="S14" s="2070">
        <v>0</v>
      </c>
      <c r="T14" s="2070">
        <v>0</v>
      </c>
      <c r="U14" s="2070">
        <v>0</v>
      </c>
      <c r="V14" s="2070">
        <v>0</v>
      </c>
      <c r="W14" s="2070">
        <v>0</v>
      </c>
      <c r="X14" s="2070">
        <v>0</v>
      </c>
    </row>
    <row r="15" spans="1:24" ht="11.25" customHeight="1">
      <c r="A15" s="2068" t="s">
        <v>4653</v>
      </c>
      <c r="B15" s="2069" t="s">
        <v>5755</v>
      </c>
      <c r="C15" s="2070">
        <v>0</v>
      </c>
      <c r="D15" s="2070">
        <v>0</v>
      </c>
      <c r="E15" s="2070">
        <v>31.054256233877901</v>
      </c>
      <c r="F15" s="2070">
        <v>32.648495270851249</v>
      </c>
      <c r="G15" s="2070">
        <v>25.410662080825453</v>
      </c>
      <c r="H15" s="2070">
        <v>23.185640584694749</v>
      </c>
      <c r="I15" s="2070">
        <v>11.612725709372311</v>
      </c>
      <c r="J15" s="2070">
        <v>12.396130696474634</v>
      </c>
      <c r="K15" s="2070">
        <v>14.163628546861567</v>
      </c>
      <c r="L15" s="2070">
        <v>12.426053310404129</v>
      </c>
      <c r="M15" s="2070">
        <v>0.90765262252794487</v>
      </c>
      <c r="N15" s="2070">
        <v>41.033791917454856</v>
      </c>
      <c r="O15" s="2070">
        <v>39.027429062768711</v>
      </c>
      <c r="P15" s="2070">
        <v>38.592089423903701</v>
      </c>
      <c r="Q15" s="2070">
        <v>35.193379191745493</v>
      </c>
      <c r="R15" s="2070">
        <v>36.954342218400683</v>
      </c>
      <c r="S15" s="2070">
        <v>3.5872742906276871</v>
      </c>
      <c r="T15" s="2070">
        <v>3.1112639724849518</v>
      </c>
      <c r="U15" s="2070">
        <v>2.870507308684437</v>
      </c>
      <c r="V15" s="2070">
        <v>0</v>
      </c>
      <c r="W15" s="2070">
        <v>0</v>
      </c>
      <c r="X15" s="2070">
        <v>0</v>
      </c>
    </row>
    <row r="16" spans="1:24" ht="11.25" customHeight="1">
      <c r="A16" s="2068" t="s">
        <v>5756</v>
      </c>
      <c r="B16" s="2069" t="s">
        <v>5757</v>
      </c>
      <c r="C16" s="2070">
        <v>92.65288048151335</v>
      </c>
      <c r="D16" s="2070">
        <v>94.754772141014612</v>
      </c>
      <c r="E16" s="2070">
        <v>43.97979363714532</v>
      </c>
      <c r="F16" s="2070">
        <v>131.61066208082542</v>
      </c>
      <c r="G16" s="2070">
        <v>118.53654342218398</v>
      </c>
      <c r="H16" s="2070">
        <v>127.64368013757526</v>
      </c>
      <c r="I16" s="2070">
        <v>165.19862424763545</v>
      </c>
      <c r="J16" s="2070">
        <v>124.6049871023216</v>
      </c>
      <c r="K16" s="2070">
        <v>124.44006878761819</v>
      </c>
      <c r="L16" s="2070">
        <v>113.76079105760962</v>
      </c>
      <c r="M16" s="2070">
        <v>111.36586414445401</v>
      </c>
      <c r="N16" s="2070">
        <v>106.6351676698194</v>
      </c>
      <c r="O16" s="2070">
        <v>96.711951848667226</v>
      </c>
      <c r="P16" s="2070">
        <v>144.05460017196901</v>
      </c>
      <c r="Q16" s="2070">
        <v>90.064316423043849</v>
      </c>
      <c r="R16" s="2070">
        <v>81.274118658641456</v>
      </c>
      <c r="S16" s="2070">
        <v>151.34135855546006</v>
      </c>
      <c r="T16" s="2070">
        <v>98.875666380051584</v>
      </c>
      <c r="U16" s="2070">
        <v>87.604041272570939</v>
      </c>
      <c r="V16" s="2070">
        <v>50.696302665520214</v>
      </c>
      <c r="W16" s="2070">
        <v>27.976698194325014</v>
      </c>
      <c r="X16" s="2070">
        <v>31.225451418744619</v>
      </c>
    </row>
    <row r="17" spans="1:24" ht="11.25" customHeight="1">
      <c r="A17" s="2071" t="s">
        <v>5758</v>
      </c>
      <c r="B17" s="2072" t="s">
        <v>5759</v>
      </c>
      <c r="C17" s="2073">
        <v>96.844883920894247</v>
      </c>
      <c r="D17" s="2073">
        <v>89.571969045571805</v>
      </c>
      <c r="E17" s="2073">
        <v>91.540068787618225</v>
      </c>
      <c r="F17" s="2073">
        <v>22.053826311263975</v>
      </c>
      <c r="G17" s="2073">
        <v>17.02734307824592</v>
      </c>
      <c r="H17" s="2073">
        <v>17.662682717110918</v>
      </c>
      <c r="I17" s="2073">
        <v>15.692175408426483</v>
      </c>
      <c r="J17" s="2073">
        <v>31.341358555460019</v>
      </c>
      <c r="K17" s="2073">
        <v>20.038349097162509</v>
      </c>
      <c r="L17" s="2073">
        <v>11.92269991401548</v>
      </c>
      <c r="M17" s="2073">
        <v>131.29355116079108</v>
      </c>
      <c r="N17" s="2073">
        <v>213.13895098882196</v>
      </c>
      <c r="O17" s="2073">
        <v>130.95038693035252</v>
      </c>
      <c r="P17" s="2073">
        <v>135.94634565778159</v>
      </c>
      <c r="Q17" s="2073">
        <v>111.38340498710231</v>
      </c>
      <c r="R17" s="2073">
        <v>105.78727429062768</v>
      </c>
      <c r="S17" s="2073">
        <v>92.270937231298362</v>
      </c>
      <c r="T17" s="2073">
        <v>74.252622527944979</v>
      </c>
      <c r="U17" s="2073">
        <v>100.78177128116937</v>
      </c>
      <c r="V17" s="2073">
        <v>82.481599312123805</v>
      </c>
      <c r="W17" s="2073">
        <v>68.962768701633706</v>
      </c>
      <c r="X17" s="2073">
        <v>84.534823731728295</v>
      </c>
    </row>
    <row r="18" spans="1:24" ht="11.25" customHeight="1">
      <c r="A18" s="2074" t="s">
        <v>4654</v>
      </c>
      <c r="B18" s="2069" t="s">
        <v>5760</v>
      </c>
      <c r="C18" s="2070">
        <v>3.2889079965606189</v>
      </c>
      <c r="D18" s="2070">
        <v>2.450558899398108</v>
      </c>
      <c r="E18" s="2070">
        <v>4.6001719690455722</v>
      </c>
      <c r="F18" s="2070">
        <v>6.158641444539982</v>
      </c>
      <c r="G18" s="2070">
        <v>1.3542562338779018</v>
      </c>
      <c r="H18" s="2070">
        <v>2.1926053310404132</v>
      </c>
      <c r="I18" s="2070">
        <v>2.0421324161650896</v>
      </c>
      <c r="J18" s="2070">
        <v>0.19346517626827167</v>
      </c>
      <c r="K18" s="2070">
        <v>3.4863284608770413</v>
      </c>
      <c r="L18" s="2070">
        <v>0.37927773000859838</v>
      </c>
      <c r="M18" s="2070">
        <v>0</v>
      </c>
      <c r="N18" s="2070">
        <v>0</v>
      </c>
      <c r="O18" s="2070">
        <v>0.17506448839208938</v>
      </c>
      <c r="P18" s="2070">
        <v>0</v>
      </c>
      <c r="Q18" s="2070">
        <v>0</v>
      </c>
      <c r="R18" s="2070">
        <v>0</v>
      </c>
      <c r="S18" s="2070">
        <v>0</v>
      </c>
      <c r="T18" s="2070">
        <v>0</v>
      </c>
      <c r="U18" s="2070">
        <v>0</v>
      </c>
      <c r="V18" s="2070">
        <v>0</v>
      </c>
      <c r="W18" s="2070">
        <v>0</v>
      </c>
      <c r="X18" s="2070">
        <v>0</v>
      </c>
    </row>
    <row r="19" spans="1:24" ht="11.25" customHeight="1">
      <c r="A19" s="2074" t="s">
        <v>4655</v>
      </c>
      <c r="B19" s="2069" t="s">
        <v>5761</v>
      </c>
      <c r="C19" s="2070">
        <v>93.29320722269992</v>
      </c>
      <c r="D19" s="2070">
        <v>86.930352536543438</v>
      </c>
      <c r="E19" s="2070">
        <v>86.844368013757517</v>
      </c>
      <c r="F19" s="2070">
        <v>15.584694754944111</v>
      </c>
      <c r="G19" s="2070">
        <v>15.219260533104043</v>
      </c>
      <c r="H19" s="2070">
        <v>15.326741186586412</v>
      </c>
      <c r="I19" s="2070">
        <v>13.650042992261394</v>
      </c>
      <c r="J19" s="2070">
        <v>31.147893379191746</v>
      </c>
      <c r="K19" s="2070">
        <v>16.552020636285469</v>
      </c>
      <c r="L19" s="2070">
        <v>11.543422184006882</v>
      </c>
      <c r="M19" s="2070">
        <v>99.527085124677569</v>
      </c>
      <c r="N19" s="2070">
        <v>175.68787618228714</v>
      </c>
      <c r="O19" s="2070">
        <v>97.527944969905406</v>
      </c>
      <c r="P19" s="2070">
        <v>103.43938091143593</v>
      </c>
      <c r="Q19" s="2070">
        <v>81.81427343078245</v>
      </c>
      <c r="R19" s="2070">
        <v>75.214961306964739</v>
      </c>
      <c r="S19" s="2070">
        <v>61.865864144454008</v>
      </c>
      <c r="T19" s="2070">
        <v>43.787618228718834</v>
      </c>
      <c r="U19" s="2070">
        <v>66.889337919174537</v>
      </c>
      <c r="V19" s="2070">
        <v>54.265176268271709</v>
      </c>
      <c r="W19" s="2070">
        <v>43.696302665520207</v>
      </c>
      <c r="X19" s="2070">
        <v>52.440412725709372</v>
      </c>
    </row>
    <row r="20" spans="1:24" ht="11.25" customHeight="1">
      <c r="A20" s="2074" t="s">
        <v>4656</v>
      </c>
      <c r="B20" s="2069" t="s">
        <v>5762</v>
      </c>
      <c r="C20" s="2070">
        <v>0.26276870163370591</v>
      </c>
      <c r="D20" s="2070">
        <v>0.19105760963026658</v>
      </c>
      <c r="E20" s="2070">
        <v>9.5528804815133248E-2</v>
      </c>
      <c r="F20" s="2070">
        <v>0.31049011177987956</v>
      </c>
      <c r="G20" s="2070">
        <v>0.45382631126397233</v>
      </c>
      <c r="H20" s="2070">
        <v>0.14333619948409279</v>
      </c>
      <c r="I20" s="2070">
        <v>0</v>
      </c>
      <c r="J20" s="2070">
        <v>0</v>
      </c>
      <c r="K20" s="2070">
        <v>0</v>
      </c>
      <c r="L20" s="2070">
        <v>0</v>
      </c>
      <c r="M20" s="2070">
        <v>0</v>
      </c>
      <c r="N20" s="2070">
        <v>0</v>
      </c>
      <c r="O20" s="2070">
        <v>0</v>
      </c>
      <c r="P20" s="2070">
        <v>0</v>
      </c>
      <c r="Q20" s="2070">
        <v>0</v>
      </c>
      <c r="R20" s="2070">
        <v>0</v>
      </c>
      <c r="S20" s="2070">
        <v>0</v>
      </c>
      <c r="T20" s="2070">
        <v>0</v>
      </c>
      <c r="U20" s="2070">
        <v>0</v>
      </c>
      <c r="V20" s="2070">
        <v>0</v>
      </c>
      <c r="W20" s="2070">
        <v>0</v>
      </c>
      <c r="X20" s="2070">
        <v>0</v>
      </c>
    </row>
    <row r="21" spans="1:24" ht="11.25" customHeight="1">
      <c r="A21" s="2074" t="s">
        <v>4615</v>
      </c>
      <c r="B21" s="2069" t="s">
        <v>5763</v>
      </c>
      <c r="C21" s="2070">
        <v>0</v>
      </c>
      <c r="D21" s="2070">
        <v>0</v>
      </c>
      <c r="E21" s="2070">
        <v>0</v>
      </c>
      <c r="F21" s="2070">
        <v>0</v>
      </c>
      <c r="G21" s="2070">
        <v>0</v>
      </c>
      <c r="H21" s="2070">
        <v>0</v>
      </c>
      <c r="I21" s="2070">
        <v>0</v>
      </c>
      <c r="J21" s="2070">
        <v>0</v>
      </c>
      <c r="K21" s="2070">
        <v>0</v>
      </c>
      <c r="L21" s="2070">
        <v>0</v>
      </c>
      <c r="M21" s="2070">
        <v>31.766466036113503</v>
      </c>
      <c r="N21" s="2070">
        <v>37.45107480653482</v>
      </c>
      <c r="O21" s="2070">
        <v>33.247377472055028</v>
      </c>
      <c r="P21" s="2070">
        <v>32.506964746345652</v>
      </c>
      <c r="Q21" s="2070">
        <v>29.56913155631986</v>
      </c>
      <c r="R21" s="2070">
        <v>30.572312983662943</v>
      </c>
      <c r="S21" s="2070">
        <v>30.405073086844357</v>
      </c>
      <c r="T21" s="2070">
        <v>30.465004299226145</v>
      </c>
      <c r="U21" s="2070">
        <v>33.892433361994833</v>
      </c>
      <c r="V21" s="2070">
        <v>28.2164230438521</v>
      </c>
      <c r="W21" s="2070">
        <v>25.266466036113503</v>
      </c>
      <c r="X21" s="2070">
        <v>32.094411006018923</v>
      </c>
    </row>
    <row r="22" spans="1:24" ht="11.25" customHeight="1">
      <c r="A22" s="2071" t="s">
        <v>4741</v>
      </c>
      <c r="B22" s="2072" t="s">
        <v>5764</v>
      </c>
      <c r="C22" s="2073">
        <v>22.035167669819437</v>
      </c>
      <c r="D22" s="2073">
        <v>33.969905417024933</v>
      </c>
      <c r="E22" s="2073">
        <v>42.010662080825441</v>
      </c>
      <c r="F22" s="2073">
        <v>57.307136715391231</v>
      </c>
      <c r="G22" s="2073">
        <v>44.744196044711956</v>
      </c>
      <c r="H22" s="2073">
        <v>47.358899398108335</v>
      </c>
      <c r="I22" s="2073">
        <v>32.73215821152192</v>
      </c>
      <c r="J22" s="2073">
        <v>26.471281169389506</v>
      </c>
      <c r="K22" s="2073">
        <v>29.710060189165947</v>
      </c>
      <c r="L22" s="2073">
        <v>7.4806534823731736</v>
      </c>
      <c r="M22" s="2073">
        <v>6.1908856405846953</v>
      </c>
      <c r="N22" s="2073">
        <v>13.406534823731731</v>
      </c>
      <c r="O22" s="2073">
        <v>4.901117798796216</v>
      </c>
      <c r="P22" s="2073">
        <v>6.4129836629406718</v>
      </c>
      <c r="Q22" s="2073">
        <v>4.3673258813413591</v>
      </c>
      <c r="R22" s="2073">
        <v>2.5795356835769563</v>
      </c>
      <c r="S22" s="2073">
        <v>2.3215821152192597</v>
      </c>
      <c r="T22" s="2073">
        <v>2.5795356835769554</v>
      </c>
      <c r="U22" s="2073">
        <v>2.5925193465176264</v>
      </c>
      <c r="V22" s="2073">
        <v>2.5795356835769554</v>
      </c>
      <c r="W22" s="2073">
        <v>2.837489251934652</v>
      </c>
      <c r="X22" s="2073">
        <v>1.0358555460017194</v>
      </c>
    </row>
    <row r="23" spans="1:24" ht="11.25" customHeight="1">
      <c r="A23" s="2074" t="s">
        <v>559</v>
      </c>
      <c r="B23" s="2069" t="s">
        <v>5765</v>
      </c>
      <c r="C23" s="2070">
        <v>22.035167669819437</v>
      </c>
      <c r="D23" s="2070">
        <v>33.969905417024933</v>
      </c>
      <c r="E23" s="2070">
        <v>42.010662080825441</v>
      </c>
      <c r="F23" s="2070">
        <v>57.307136715391231</v>
      </c>
      <c r="G23" s="2070">
        <v>44.744196044711956</v>
      </c>
      <c r="H23" s="2070">
        <v>47.358899398108335</v>
      </c>
      <c r="I23" s="2070">
        <v>32.73215821152192</v>
      </c>
      <c r="J23" s="2070">
        <v>26.471281169389506</v>
      </c>
      <c r="K23" s="2070">
        <v>29.710060189165947</v>
      </c>
      <c r="L23" s="2070">
        <v>7.4806534823731736</v>
      </c>
      <c r="M23" s="2070">
        <v>6.1908856405846953</v>
      </c>
      <c r="N23" s="2070">
        <v>13.406534823731731</v>
      </c>
      <c r="O23" s="2070">
        <v>4.901117798796216</v>
      </c>
      <c r="P23" s="2070">
        <v>6.4129836629406718</v>
      </c>
      <c r="Q23" s="2070">
        <v>4.3673258813413591</v>
      </c>
      <c r="R23" s="2070">
        <v>2.5795356835769563</v>
      </c>
      <c r="S23" s="2070">
        <v>2.3215821152192597</v>
      </c>
      <c r="T23" s="2070">
        <v>2.5795356835769554</v>
      </c>
      <c r="U23" s="2070">
        <v>2.5925193465176264</v>
      </c>
      <c r="V23" s="2070">
        <v>2.5795356835769554</v>
      </c>
      <c r="W23" s="2070">
        <v>2.837489251934652</v>
      </c>
      <c r="X23" s="2070">
        <v>1.0358555460017194</v>
      </c>
    </row>
    <row r="24" spans="1:24" ht="11.25" customHeight="1">
      <c r="A24" s="2074" t="s">
        <v>4657</v>
      </c>
      <c r="B24" s="2069" t="s">
        <v>5766</v>
      </c>
      <c r="C24" s="2070">
        <v>0</v>
      </c>
      <c r="D24" s="2070">
        <v>0</v>
      </c>
      <c r="E24" s="2070">
        <v>0</v>
      </c>
      <c r="F24" s="2070">
        <v>0</v>
      </c>
      <c r="G24" s="2070">
        <v>0</v>
      </c>
      <c r="H24" s="2070">
        <v>0</v>
      </c>
      <c r="I24" s="2070">
        <v>0</v>
      </c>
      <c r="J24" s="2070">
        <v>0</v>
      </c>
      <c r="K24" s="2070">
        <v>0</v>
      </c>
      <c r="L24" s="2070">
        <v>0</v>
      </c>
      <c r="M24" s="2070">
        <v>0</v>
      </c>
      <c r="N24" s="2070">
        <v>0</v>
      </c>
      <c r="O24" s="2070">
        <v>0</v>
      </c>
      <c r="P24" s="2070">
        <v>0</v>
      </c>
      <c r="Q24" s="2070">
        <v>0</v>
      </c>
      <c r="R24" s="2070">
        <v>0</v>
      </c>
      <c r="S24" s="2070">
        <v>0</v>
      </c>
      <c r="T24" s="2070">
        <v>0</v>
      </c>
      <c r="U24" s="2070">
        <v>0</v>
      </c>
      <c r="V24" s="2070">
        <v>0</v>
      </c>
      <c r="W24" s="2070">
        <v>0</v>
      </c>
      <c r="X24" s="2070">
        <v>0</v>
      </c>
    </row>
    <row r="25" spans="1:24" ht="11.25" customHeight="1">
      <c r="A25" s="2071" t="s">
        <v>4658</v>
      </c>
      <c r="B25" s="2072" t="s">
        <v>5767</v>
      </c>
      <c r="C25" s="2073">
        <v>0</v>
      </c>
      <c r="D25" s="2073">
        <v>0</v>
      </c>
      <c r="E25" s="2073">
        <v>0</v>
      </c>
      <c r="F25" s="2073">
        <v>0</v>
      </c>
      <c r="G25" s="2073">
        <v>0</v>
      </c>
      <c r="H25" s="2073">
        <v>0</v>
      </c>
      <c r="I25" s="2073">
        <v>0</v>
      </c>
      <c r="J25" s="2073">
        <v>0</v>
      </c>
      <c r="K25" s="2073">
        <v>0</v>
      </c>
      <c r="L25" s="2073">
        <v>0</v>
      </c>
      <c r="M25" s="2073">
        <v>0</v>
      </c>
      <c r="N25" s="2073">
        <v>0</v>
      </c>
      <c r="O25" s="2073">
        <v>0</v>
      </c>
      <c r="P25" s="2073">
        <v>0</v>
      </c>
      <c r="Q25" s="2073">
        <v>0</v>
      </c>
      <c r="R25" s="2073">
        <v>0</v>
      </c>
      <c r="S25" s="2073">
        <v>0</v>
      </c>
      <c r="T25" s="2073">
        <v>0</v>
      </c>
      <c r="U25" s="2073">
        <v>0</v>
      </c>
      <c r="V25" s="2073">
        <v>0</v>
      </c>
      <c r="W25" s="2073">
        <v>0</v>
      </c>
      <c r="X25" s="2073">
        <v>0</v>
      </c>
    </row>
    <row r="26" spans="1:24" ht="11.25" customHeight="1">
      <c r="A26" s="2071" t="s">
        <v>3872</v>
      </c>
      <c r="B26" s="2072" t="s">
        <v>5768</v>
      </c>
      <c r="C26" s="2073">
        <v>7797.7767841788482</v>
      </c>
      <c r="D26" s="2073">
        <v>7965.9766122097999</v>
      </c>
      <c r="E26" s="2073">
        <v>7858.7929492691301</v>
      </c>
      <c r="F26" s="2073">
        <v>9208.8267411865854</v>
      </c>
      <c r="G26" s="2073">
        <v>8235.5337059329322</v>
      </c>
      <c r="H26" s="2073">
        <v>7693.7789337919176</v>
      </c>
      <c r="I26" s="2073">
        <v>7862.7503009458269</v>
      </c>
      <c r="J26" s="2073">
        <v>8945.5705932932087</v>
      </c>
      <c r="K26" s="2073">
        <v>7821.342734307822</v>
      </c>
      <c r="L26" s="2073">
        <v>8041.0311263972499</v>
      </c>
      <c r="M26" s="2073">
        <v>8126.4656061908845</v>
      </c>
      <c r="N26" s="2073">
        <v>8248.9386070507317</v>
      </c>
      <c r="O26" s="2073">
        <v>8458.6534823731727</v>
      </c>
      <c r="P26" s="2073">
        <v>7910.0566638005157</v>
      </c>
      <c r="Q26" s="2073">
        <v>8010.5164230438522</v>
      </c>
      <c r="R26" s="2073">
        <v>7758.279621668099</v>
      </c>
      <c r="S26" s="2073">
        <v>7448.0211521926039</v>
      </c>
      <c r="T26" s="2073">
        <v>7077.70060189166</v>
      </c>
      <c r="U26" s="2073">
        <v>7510.7872742906284</v>
      </c>
      <c r="V26" s="2073">
        <v>7241.1279449699068</v>
      </c>
      <c r="W26" s="2073">
        <v>7336.1866723989679</v>
      </c>
      <c r="X26" s="2073">
        <v>7327.1811693895097</v>
      </c>
    </row>
    <row r="27" spans="1:24" ht="11.25" customHeight="1">
      <c r="A27" s="2065" t="s">
        <v>5769</v>
      </c>
      <c r="B27" s="2066" t="s">
        <v>5770</v>
      </c>
      <c r="C27" s="2067">
        <v>12.123817712811688</v>
      </c>
      <c r="D27" s="2067">
        <v>12.12381771281169</v>
      </c>
      <c r="E27" s="2067">
        <v>12.12381771281169</v>
      </c>
      <c r="F27" s="2067">
        <v>12.123817712811691</v>
      </c>
      <c r="G27" s="2067">
        <v>12.123817712811688</v>
      </c>
      <c r="H27" s="2067">
        <v>12.12381771281169</v>
      </c>
      <c r="I27" s="2067">
        <v>12.12381771281169</v>
      </c>
      <c r="J27" s="2067">
        <v>59.824247635425607</v>
      </c>
      <c r="K27" s="2067">
        <v>12.12381771281169</v>
      </c>
      <c r="L27" s="2067">
        <v>27.4804815133276</v>
      </c>
      <c r="M27" s="2067">
        <v>13.305073086844365</v>
      </c>
      <c r="N27" s="2067">
        <v>12.123817712811688</v>
      </c>
      <c r="O27" s="2067">
        <v>14.486414445399822</v>
      </c>
      <c r="P27" s="2067">
        <v>8.5954428202923481</v>
      </c>
      <c r="Q27" s="2067">
        <v>4.7251074806534827</v>
      </c>
      <c r="R27" s="2067">
        <v>7.0877042132416159</v>
      </c>
      <c r="S27" s="2067">
        <v>7.0877042132416168</v>
      </c>
      <c r="T27" s="2067">
        <v>6.7168529664660372</v>
      </c>
      <c r="U27" s="2067">
        <v>13.245829750644878</v>
      </c>
      <c r="V27" s="2067">
        <v>25.129664660361129</v>
      </c>
      <c r="W27" s="2067">
        <v>31.609114359415297</v>
      </c>
      <c r="X27" s="2067">
        <v>29.168013757523642</v>
      </c>
    </row>
    <row r="28" spans="1:24" ht="11.25" customHeight="1">
      <c r="A28" s="2068" t="s">
        <v>4659</v>
      </c>
      <c r="B28" s="2069" t="s">
        <v>5771</v>
      </c>
      <c r="C28" s="2070">
        <v>12.123817712811688</v>
      </c>
      <c r="D28" s="2070">
        <v>12.12381771281169</v>
      </c>
      <c r="E28" s="2070">
        <v>12.12381771281169</v>
      </c>
      <c r="F28" s="2070">
        <v>12.123817712811691</v>
      </c>
      <c r="G28" s="2070">
        <v>12.123817712811688</v>
      </c>
      <c r="H28" s="2070">
        <v>12.12381771281169</v>
      </c>
      <c r="I28" s="2070">
        <v>12.12381771281169</v>
      </c>
      <c r="J28" s="2070">
        <v>12.12381771281169</v>
      </c>
      <c r="K28" s="2070">
        <v>12.12381771281169</v>
      </c>
      <c r="L28" s="2070">
        <v>12.12381771281169</v>
      </c>
      <c r="M28" s="2070">
        <v>12.123817712811691</v>
      </c>
      <c r="N28" s="2070">
        <v>12.123817712811688</v>
      </c>
      <c r="O28" s="2070">
        <v>12.123817712811688</v>
      </c>
      <c r="P28" s="2070">
        <v>5.0515907136715388</v>
      </c>
      <c r="Q28" s="2070">
        <v>0</v>
      </c>
      <c r="R28" s="2070">
        <v>0</v>
      </c>
      <c r="S28" s="2070">
        <v>0</v>
      </c>
      <c r="T28" s="2070">
        <v>0</v>
      </c>
      <c r="U28" s="2070">
        <v>0</v>
      </c>
      <c r="V28" s="2070">
        <v>0</v>
      </c>
      <c r="W28" s="2070">
        <v>0</v>
      </c>
      <c r="X28" s="2070">
        <v>0</v>
      </c>
    </row>
    <row r="29" spans="1:24" ht="11.25" customHeight="1">
      <c r="A29" s="2068" t="s">
        <v>4660</v>
      </c>
      <c r="B29" s="2069" t="s">
        <v>5772</v>
      </c>
      <c r="C29" s="2070">
        <v>0</v>
      </c>
      <c r="D29" s="2070">
        <v>0</v>
      </c>
      <c r="E29" s="2070">
        <v>0</v>
      </c>
      <c r="F29" s="2070">
        <v>0</v>
      </c>
      <c r="G29" s="2070">
        <v>0</v>
      </c>
      <c r="H29" s="2070">
        <v>0</v>
      </c>
      <c r="I29" s="2070">
        <v>0</v>
      </c>
      <c r="J29" s="2070">
        <v>47.700429922613921</v>
      </c>
      <c r="K29" s="2070">
        <v>0</v>
      </c>
      <c r="L29" s="2070">
        <v>15.356663800515911</v>
      </c>
      <c r="M29" s="2070">
        <v>1.1812553740326741</v>
      </c>
      <c r="N29" s="2070">
        <v>0</v>
      </c>
      <c r="O29" s="2070">
        <v>2.3625967325881336</v>
      </c>
      <c r="P29" s="2070">
        <v>3.5438521066208084</v>
      </c>
      <c r="Q29" s="2070">
        <v>4.7251074806534827</v>
      </c>
      <c r="R29" s="2070">
        <v>7.0877042132416159</v>
      </c>
      <c r="S29" s="2070">
        <v>7.0877042132416168</v>
      </c>
      <c r="T29" s="2070">
        <v>6.7168529664660372</v>
      </c>
      <c r="U29" s="2070">
        <v>13.245829750644878</v>
      </c>
      <c r="V29" s="2070">
        <v>25.129664660361129</v>
      </c>
      <c r="W29" s="2070">
        <v>31.609114359415297</v>
      </c>
      <c r="X29" s="2070">
        <v>29.168013757523642</v>
      </c>
    </row>
    <row r="30" spans="1:24" ht="11.25" customHeight="1">
      <c r="A30" s="2068" t="s">
        <v>4661</v>
      </c>
      <c r="B30" s="2069" t="s">
        <v>5773</v>
      </c>
      <c r="C30" s="2070">
        <v>0</v>
      </c>
      <c r="D30" s="2070">
        <v>0</v>
      </c>
      <c r="E30" s="2070">
        <v>0</v>
      </c>
      <c r="F30" s="2070">
        <v>0</v>
      </c>
      <c r="G30" s="2070">
        <v>0</v>
      </c>
      <c r="H30" s="2070">
        <v>0</v>
      </c>
      <c r="I30" s="2070">
        <v>0</v>
      </c>
      <c r="J30" s="2070">
        <v>0</v>
      </c>
      <c r="K30" s="2070">
        <v>0</v>
      </c>
      <c r="L30" s="2070">
        <v>0</v>
      </c>
      <c r="M30" s="2070">
        <v>0</v>
      </c>
      <c r="N30" s="2070">
        <v>0</v>
      </c>
      <c r="O30" s="2070">
        <v>0</v>
      </c>
      <c r="P30" s="2070">
        <v>0</v>
      </c>
      <c r="Q30" s="2070">
        <v>0</v>
      </c>
      <c r="R30" s="2070">
        <v>0</v>
      </c>
      <c r="S30" s="2070">
        <v>0</v>
      </c>
      <c r="T30" s="2070">
        <v>0</v>
      </c>
      <c r="U30" s="2070">
        <v>0</v>
      </c>
      <c r="V30" s="2070">
        <v>0</v>
      </c>
      <c r="W30" s="2070">
        <v>0</v>
      </c>
      <c r="X30" s="2070">
        <v>0</v>
      </c>
    </row>
    <row r="31" spans="1:24" ht="11.25" customHeight="1">
      <c r="A31" s="2068" t="s">
        <v>5774</v>
      </c>
      <c r="B31" s="2069" t="s">
        <v>5775</v>
      </c>
      <c r="C31" s="2070">
        <v>0</v>
      </c>
      <c r="D31" s="2070">
        <v>0</v>
      </c>
      <c r="E31" s="2070">
        <v>0</v>
      </c>
      <c r="F31" s="2070">
        <v>0</v>
      </c>
      <c r="G31" s="2070">
        <v>0</v>
      </c>
      <c r="H31" s="2070">
        <v>0</v>
      </c>
      <c r="I31" s="2070">
        <v>0</v>
      </c>
      <c r="J31" s="2070">
        <v>0</v>
      </c>
      <c r="K31" s="2070">
        <v>0</v>
      </c>
      <c r="L31" s="2070">
        <v>0</v>
      </c>
      <c r="M31" s="2070">
        <v>0</v>
      </c>
      <c r="N31" s="2070">
        <v>0</v>
      </c>
      <c r="O31" s="2070">
        <v>0</v>
      </c>
      <c r="P31" s="2070">
        <v>0</v>
      </c>
      <c r="Q31" s="2070">
        <v>0</v>
      </c>
      <c r="R31" s="2070">
        <v>0</v>
      </c>
      <c r="S31" s="2070">
        <v>0</v>
      </c>
      <c r="T31" s="2070">
        <v>0</v>
      </c>
      <c r="U31" s="2070">
        <v>0</v>
      </c>
      <c r="V31" s="2070">
        <v>0</v>
      </c>
      <c r="W31" s="2070">
        <v>0</v>
      </c>
      <c r="X31" s="2070">
        <v>0</v>
      </c>
    </row>
    <row r="32" spans="1:24" ht="11.25" customHeight="1">
      <c r="A32" s="2068" t="s">
        <v>4662</v>
      </c>
      <c r="B32" s="2069" t="s">
        <v>5776</v>
      </c>
      <c r="C32" s="2070">
        <v>0</v>
      </c>
      <c r="D32" s="2070">
        <v>0</v>
      </c>
      <c r="E32" s="2070">
        <v>0</v>
      </c>
      <c r="F32" s="2070">
        <v>0</v>
      </c>
      <c r="G32" s="2070">
        <v>0</v>
      </c>
      <c r="H32" s="2070">
        <v>0</v>
      </c>
      <c r="I32" s="2070">
        <v>0</v>
      </c>
      <c r="J32" s="2070">
        <v>0</v>
      </c>
      <c r="K32" s="2070">
        <v>0</v>
      </c>
      <c r="L32" s="2070">
        <v>0</v>
      </c>
      <c r="M32" s="2070">
        <v>0</v>
      </c>
      <c r="N32" s="2070">
        <v>0</v>
      </c>
      <c r="O32" s="2070">
        <v>0</v>
      </c>
      <c r="P32" s="2070">
        <v>0</v>
      </c>
      <c r="Q32" s="2070">
        <v>0</v>
      </c>
      <c r="R32" s="2070">
        <v>0</v>
      </c>
      <c r="S32" s="2070">
        <v>0</v>
      </c>
      <c r="T32" s="2070">
        <v>0</v>
      </c>
      <c r="U32" s="2070">
        <v>0</v>
      </c>
      <c r="V32" s="2070">
        <v>0</v>
      </c>
      <c r="W32" s="2070">
        <v>0</v>
      </c>
      <c r="X32" s="2070">
        <v>0</v>
      </c>
    </row>
    <row r="33" spans="1:24" ht="11.25" customHeight="1">
      <c r="A33" s="2065" t="s">
        <v>5777</v>
      </c>
      <c r="B33" s="2066" t="s">
        <v>5778</v>
      </c>
      <c r="C33" s="2067">
        <v>7785.6529664660366</v>
      </c>
      <c r="D33" s="2067">
        <v>7953.8527944969883</v>
      </c>
      <c r="E33" s="2067">
        <v>7846.6691315563185</v>
      </c>
      <c r="F33" s="2067">
        <v>9196.7029234737729</v>
      </c>
      <c r="G33" s="2067">
        <v>8223.4098882201197</v>
      </c>
      <c r="H33" s="2067">
        <v>7681.6551160791059</v>
      </c>
      <c r="I33" s="2067">
        <v>7850.6264832330153</v>
      </c>
      <c r="J33" s="2067">
        <v>8885.7463456577825</v>
      </c>
      <c r="K33" s="2067">
        <v>7809.2189165950103</v>
      </c>
      <c r="L33" s="2067">
        <v>8013.5506448839224</v>
      </c>
      <c r="M33" s="2067">
        <v>8113.16053310404</v>
      </c>
      <c r="N33" s="2067">
        <v>8236.8147893379191</v>
      </c>
      <c r="O33" s="2067">
        <v>8444.1670679277722</v>
      </c>
      <c r="P33" s="2067">
        <v>7901.4612209802235</v>
      </c>
      <c r="Q33" s="2067">
        <v>8005.7913155631986</v>
      </c>
      <c r="R33" s="2067">
        <v>7751.1919174548575</v>
      </c>
      <c r="S33" s="2067">
        <v>7440.9334479793624</v>
      </c>
      <c r="T33" s="2067">
        <v>7070.983748925194</v>
      </c>
      <c r="U33" s="2067">
        <v>7497.5414445399838</v>
      </c>
      <c r="V33" s="2067">
        <v>7215.9982803095454</v>
      </c>
      <c r="W33" s="2067">
        <v>7304.577558039553</v>
      </c>
      <c r="X33" s="2067">
        <v>7298.0131556319857</v>
      </c>
    </row>
    <row r="34" spans="1:24" ht="11.25" customHeight="1">
      <c r="A34" s="2068" t="s">
        <v>4607</v>
      </c>
      <c r="B34" s="2069" t="s">
        <v>5779</v>
      </c>
      <c r="C34" s="2070">
        <v>2910.6894239036974</v>
      </c>
      <c r="D34" s="2070">
        <v>3195.0584694754943</v>
      </c>
      <c r="E34" s="2070">
        <v>3476.74600171969</v>
      </c>
      <c r="F34" s="2070">
        <v>4139.2477214101455</v>
      </c>
      <c r="G34" s="2070">
        <v>3692.1907136715386</v>
      </c>
      <c r="H34" s="2070">
        <v>3414.9207222699902</v>
      </c>
      <c r="I34" s="2070">
        <v>3878.544196044712</v>
      </c>
      <c r="J34" s="2070">
        <v>4629.3410146173692</v>
      </c>
      <c r="K34" s="2070">
        <v>4083.8803095442809</v>
      </c>
      <c r="L34" s="2070">
        <v>3646.4961306964751</v>
      </c>
      <c r="M34" s="2070">
        <v>3798.9859845227857</v>
      </c>
      <c r="N34" s="2070">
        <v>3338.1558899398115</v>
      </c>
      <c r="O34" s="2070">
        <v>3540.3228718830605</v>
      </c>
      <c r="P34" s="2070">
        <v>3246.4560619088561</v>
      </c>
      <c r="Q34" s="2070">
        <v>3302.2715391229576</v>
      </c>
      <c r="R34" s="2070">
        <v>3366.9864144454004</v>
      </c>
      <c r="S34" s="2070">
        <v>3698.2637145313838</v>
      </c>
      <c r="T34" s="2070">
        <v>3682.357179707652</v>
      </c>
      <c r="U34" s="2070">
        <v>3745.022184006878</v>
      </c>
      <c r="V34" s="2070">
        <v>3837.5458297506452</v>
      </c>
      <c r="W34" s="2070">
        <v>4064.030610490111</v>
      </c>
      <c r="X34" s="2070">
        <v>3895.8883920894232</v>
      </c>
    </row>
    <row r="35" spans="1:24" ht="11.25" customHeight="1">
      <c r="A35" s="2068" t="s">
        <v>587</v>
      </c>
      <c r="B35" s="2069" t="s">
        <v>5780</v>
      </c>
      <c r="C35" s="2070">
        <v>0</v>
      </c>
      <c r="D35" s="2070">
        <v>0</v>
      </c>
      <c r="E35" s="2070">
        <v>0</v>
      </c>
      <c r="F35" s="2070">
        <v>0</v>
      </c>
      <c r="G35" s="2070">
        <v>14.407222699914019</v>
      </c>
      <c r="H35" s="2070">
        <v>15.51539122957867</v>
      </c>
      <c r="I35" s="2070">
        <v>4.4330180567497841</v>
      </c>
      <c r="J35" s="2070">
        <v>7.9249355116079103</v>
      </c>
      <c r="K35" s="2070">
        <v>10.189165950128981</v>
      </c>
      <c r="L35" s="2070">
        <v>0</v>
      </c>
      <c r="M35" s="2070">
        <v>0</v>
      </c>
      <c r="N35" s="2070">
        <v>0</v>
      </c>
      <c r="O35" s="2070">
        <v>0</v>
      </c>
      <c r="P35" s="2070">
        <v>0</v>
      </c>
      <c r="Q35" s="2070">
        <v>0</v>
      </c>
      <c r="R35" s="2070">
        <v>0</v>
      </c>
      <c r="S35" s="2070">
        <v>0</v>
      </c>
      <c r="T35" s="2070">
        <v>0</v>
      </c>
      <c r="U35" s="2070">
        <v>0</v>
      </c>
      <c r="V35" s="2070">
        <v>0</v>
      </c>
      <c r="W35" s="2070">
        <v>3.7661220980223557E-2</v>
      </c>
      <c r="X35" s="2070">
        <v>3.3276010318142743E-2</v>
      </c>
    </row>
    <row r="36" spans="1:24" ht="11.25" customHeight="1">
      <c r="A36" s="2068" t="s">
        <v>5781</v>
      </c>
      <c r="B36" s="2069" t="s">
        <v>5782</v>
      </c>
      <c r="C36" s="2070">
        <v>853.89931212381759</v>
      </c>
      <c r="D36" s="2070">
        <v>1019.8969905417025</v>
      </c>
      <c r="E36" s="2070">
        <v>787.64832330180559</v>
      </c>
      <c r="F36" s="2070">
        <v>559.9758383490971</v>
      </c>
      <c r="G36" s="2070">
        <v>478.22665520206363</v>
      </c>
      <c r="H36" s="2070">
        <v>569.46758383490976</v>
      </c>
      <c r="I36" s="2070">
        <v>507.19286328460879</v>
      </c>
      <c r="J36" s="2070">
        <v>534.15348237317278</v>
      </c>
      <c r="K36" s="2070">
        <v>563.73714531384337</v>
      </c>
      <c r="L36" s="2070">
        <v>655.20756663800512</v>
      </c>
      <c r="M36" s="2070">
        <v>605.08013757523656</v>
      </c>
      <c r="N36" s="2070">
        <v>733.60318142734297</v>
      </c>
      <c r="O36" s="2070">
        <v>729.15305245055902</v>
      </c>
      <c r="P36" s="2070">
        <v>640.41719690455727</v>
      </c>
      <c r="Q36" s="2070">
        <v>743.31762682717113</v>
      </c>
      <c r="R36" s="2070">
        <v>608.27067927772987</v>
      </c>
      <c r="S36" s="2070">
        <v>555.47085124677551</v>
      </c>
      <c r="T36" s="2070">
        <v>535.48916595012895</v>
      </c>
      <c r="U36" s="2070">
        <v>642.72605331040404</v>
      </c>
      <c r="V36" s="2070">
        <v>660.22682717110911</v>
      </c>
      <c r="W36" s="2070">
        <v>616.97403267411869</v>
      </c>
      <c r="X36" s="2070">
        <v>630.05417024935514</v>
      </c>
    </row>
    <row r="37" spans="1:24" ht="11.25" customHeight="1">
      <c r="A37" s="2068" t="s">
        <v>5783</v>
      </c>
      <c r="B37" s="2069" t="s">
        <v>5784</v>
      </c>
      <c r="C37" s="2070">
        <v>1.058125537403267</v>
      </c>
      <c r="D37" s="2070">
        <v>3.1742906276870166</v>
      </c>
      <c r="E37" s="2070">
        <v>173.41642304385203</v>
      </c>
      <c r="F37" s="2070">
        <v>269.05030094582975</v>
      </c>
      <c r="G37" s="2070">
        <v>281.65425623387785</v>
      </c>
      <c r="H37" s="2070">
        <v>272.1659501289767</v>
      </c>
      <c r="I37" s="2070">
        <v>255.35124677558036</v>
      </c>
      <c r="J37" s="2070">
        <v>340.51564918314699</v>
      </c>
      <c r="K37" s="2070">
        <v>210.20128976784173</v>
      </c>
      <c r="L37" s="2070">
        <v>213.41006018916593</v>
      </c>
      <c r="M37" s="2070">
        <v>149.17979363714531</v>
      </c>
      <c r="N37" s="2070">
        <v>1.0748065348237319</v>
      </c>
      <c r="O37" s="2070">
        <v>462.43774720550294</v>
      </c>
      <c r="P37" s="2070">
        <v>299.54617368873608</v>
      </c>
      <c r="Q37" s="2070">
        <v>302.6697334479793</v>
      </c>
      <c r="R37" s="2070">
        <v>4.2036973344797932</v>
      </c>
      <c r="S37" s="2070">
        <v>136.64204643164231</v>
      </c>
      <c r="T37" s="2070">
        <v>126.89509888220124</v>
      </c>
      <c r="U37" s="2070">
        <v>130.98985382631122</v>
      </c>
      <c r="V37" s="2070">
        <v>122.73688736027506</v>
      </c>
      <c r="W37" s="2070">
        <v>50.394840928632846</v>
      </c>
      <c r="X37" s="2070">
        <v>9.4106620808254497</v>
      </c>
    </row>
    <row r="38" spans="1:24" ht="11.25" customHeight="1">
      <c r="A38" s="2068" t="s">
        <v>4663</v>
      </c>
      <c r="B38" s="2069" t="s">
        <v>5785</v>
      </c>
      <c r="C38" s="2070">
        <v>0</v>
      </c>
      <c r="D38" s="2070">
        <v>0</v>
      </c>
      <c r="E38" s="2070">
        <v>0</v>
      </c>
      <c r="F38" s="2070">
        <v>0</v>
      </c>
      <c r="G38" s="2070">
        <v>0</v>
      </c>
      <c r="H38" s="2070">
        <v>0</v>
      </c>
      <c r="I38" s="2070">
        <v>0</v>
      </c>
      <c r="J38" s="2070">
        <v>0</v>
      </c>
      <c r="K38" s="2070">
        <v>0</v>
      </c>
      <c r="L38" s="2070">
        <v>0</v>
      </c>
      <c r="M38" s="2070">
        <v>0</v>
      </c>
      <c r="N38" s="2070">
        <v>0</v>
      </c>
      <c r="O38" s="2070">
        <v>0</v>
      </c>
      <c r="P38" s="2070">
        <v>0</v>
      </c>
      <c r="Q38" s="2070">
        <v>0</v>
      </c>
      <c r="R38" s="2070">
        <v>0</v>
      </c>
      <c r="S38" s="2070">
        <v>0</v>
      </c>
      <c r="T38" s="2070">
        <v>0</v>
      </c>
      <c r="U38" s="2070">
        <v>0</v>
      </c>
      <c r="V38" s="2070">
        <v>0</v>
      </c>
      <c r="W38" s="2070">
        <v>0</v>
      </c>
      <c r="X38" s="2070">
        <v>0</v>
      </c>
    </row>
    <row r="39" spans="1:24" ht="11.25" customHeight="1">
      <c r="A39" s="2068" t="s">
        <v>5786</v>
      </c>
      <c r="B39" s="2069" t="s">
        <v>5787</v>
      </c>
      <c r="C39" s="2070">
        <v>0</v>
      </c>
      <c r="D39" s="2070">
        <v>0</v>
      </c>
      <c r="E39" s="2070">
        <v>0</v>
      </c>
      <c r="F39" s="2070">
        <v>0</v>
      </c>
      <c r="G39" s="2070">
        <v>0</v>
      </c>
      <c r="H39" s="2070">
        <v>0</v>
      </c>
      <c r="I39" s="2070">
        <v>0</v>
      </c>
      <c r="J39" s="2070">
        <v>0</v>
      </c>
      <c r="K39" s="2070">
        <v>0</v>
      </c>
      <c r="L39" s="2070">
        <v>0</v>
      </c>
      <c r="M39" s="2070">
        <v>0</v>
      </c>
      <c r="N39" s="2070">
        <v>0</v>
      </c>
      <c r="O39" s="2070">
        <v>0</v>
      </c>
      <c r="P39" s="2070">
        <v>0</v>
      </c>
      <c r="Q39" s="2070">
        <v>0</v>
      </c>
      <c r="R39" s="2070">
        <v>0</v>
      </c>
      <c r="S39" s="2070">
        <v>0</v>
      </c>
      <c r="T39" s="2070">
        <v>0</v>
      </c>
      <c r="U39" s="2070">
        <v>0</v>
      </c>
      <c r="V39" s="2070">
        <v>0</v>
      </c>
      <c r="W39" s="2070">
        <v>0</v>
      </c>
      <c r="X39" s="2070">
        <v>0</v>
      </c>
    </row>
    <row r="40" spans="1:24" ht="11.25" customHeight="1">
      <c r="A40" s="2068" t="s">
        <v>5788</v>
      </c>
      <c r="B40" s="2069" t="s">
        <v>5789</v>
      </c>
      <c r="C40" s="2070">
        <v>0</v>
      </c>
      <c r="D40" s="2070">
        <v>0</v>
      </c>
      <c r="E40" s="2070">
        <v>0</v>
      </c>
      <c r="F40" s="2070">
        <v>0</v>
      </c>
      <c r="G40" s="2070">
        <v>0</v>
      </c>
      <c r="H40" s="2070">
        <v>0</v>
      </c>
      <c r="I40" s="2070">
        <v>0</v>
      </c>
      <c r="J40" s="2070">
        <v>0</v>
      </c>
      <c r="K40" s="2070">
        <v>0</v>
      </c>
      <c r="L40" s="2070">
        <v>0</v>
      </c>
      <c r="M40" s="2070">
        <v>0</v>
      </c>
      <c r="N40" s="2070">
        <v>0</v>
      </c>
      <c r="O40" s="2070">
        <v>0</v>
      </c>
      <c r="P40" s="2070">
        <v>0</v>
      </c>
      <c r="Q40" s="2070">
        <v>0</v>
      </c>
      <c r="R40" s="2070">
        <v>0</v>
      </c>
      <c r="S40" s="2070">
        <v>0</v>
      </c>
      <c r="T40" s="2070">
        <v>0</v>
      </c>
      <c r="U40" s="2070">
        <v>0</v>
      </c>
      <c r="V40" s="2070">
        <v>0</v>
      </c>
      <c r="W40" s="2070">
        <v>0</v>
      </c>
      <c r="X40" s="2070">
        <v>0</v>
      </c>
    </row>
    <row r="41" spans="1:24" ht="11.25" customHeight="1">
      <c r="A41" s="2068" t="s">
        <v>4664</v>
      </c>
      <c r="B41" s="2069" t="s">
        <v>5790</v>
      </c>
      <c r="C41" s="2070">
        <v>5.4119518486672398</v>
      </c>
      <c r="D41" s="2070">
        <v>5.6748925193465167</v>
      </c>
      <c r="E41" s="2070">
        <v>14.443078245915732</v>
      </c>
      <c r="F41" s="2070">
        <v>3.5108340498710238</v>
      </c>
      <c r="G41" s="2070">
        <v>3.0094582975064492</v>
      </c>
      <c r="H41" s="2070">
        <v>5.3496990541702489</v>
      </c>
      <c r="I41" s="2070">
        <v>3.6290627687016324</v>
      </c>
      <c r="J41" s="2070">
        <v>2.9018916595012896</v>
      </c>
      <c r="K41" s="2070">
        <v>1.8092863284608769</v>
      </c>
      <c r="L41" s="2070">
        <v>0.71779879621668097</v>
      </c>
      <c r="M41" s="2070">
        <v>0.91840068787618212</v>
      </c>
      <c r="N41" s="2070">
        <v>1.141100601891659</v>
      </c>
      <c r="O41" s="2070">
        <v>0.50773860705073082</v>
      </c>
      <c r="P41" s="2070">
        <v>1.257265692175408</v>
      </c>
      <c r="Q41" s="2070">
        <v>1.6263112639724848</v>
      </c>
      <c r="R41" s="2070">
        <v>4.6730868443680125</v>
      </c>
      <c r="S41" s="2070">
        <v>4.6779879621668092</v>
      </c>
      <c r="T41" s="2070">
        <v>3.1373172828890787</v>
      </c>
      <c r="U41" s="2070">
        <v>3.3353396388650047</v>
      </c>
      <c r="V41" s="2070">
        <v>2.1496130696474642</v>
      </c>
      <c r="W41" s="2070">
        <v>1.8155631986242473</v>
      </c>
      <c r="X41" s="2070">
        <v>2.0840068787618233</v>
      </c>
    </row>
    <row r="42" spans="1:24" ht="11.25" customHeight="1">
      <c r="A42" s="2068" t="s">
        <v>4611</v>
      </c>
      <c r="B42" s="2069" t="s">
        <v>5791</v>
      </c>
      <c r="C42" s="2070">
        <v>591.69294926913153</v>
      </c>
      <c r="D42" s="2070">
        <v>0</v>
      </c>
      <c r="E42" s="2070">
        <v>0</v>
      </c>
      <c r="F42" s="2070">
        <v>1.062854686156492</v>
      </c>
      <c r="G42" s="2070">
        <v>0</v>
      </c>
      <c r="H42" s="2070">
        <v>0</v>
      </c>
      <c r="I42" s="2070">
        <v>0</v>
      </c>
      <c r="J42" s="2070">
        <v>0</v>
      </c>
      <c r="K42" s="2070">
        <v>0</v>
      </c>
      <c r="L42" s="2070">
        <v>937.42235597592423</v>
      </c>
      <c r="M42" s="2070">
        <v>1057.227515047291</v>
      </c>
      <c r="N42" s="2070">
        <v>1166.8577815993119</v>
      </c>
      <c r="O42" s="2070">
        <v>1201.9203783319001</v>
      </c>
      <c r="P42" s="2070">
        <v>1453.6829750644886</v>
      </c>
      <c r="Q42" s="2070">
        <v>1483.3739466895954</v>
      </c>
      <c r="R42" s="2070">
        <v>1507.4567497850389</v>
      </c>
      <c r="S42" s="2070">
        <v>1560.6883061049014</v>
      </c>
      <c r="T42" s="2070">
        <v>1279.5189165950128</v>
      </c>
      <c r="U42" s="2070">
        <v>1285.387360275151</v>
      </c>
      <c r="V42" s="2070">
        <v>1033.2688736027515</v>
      </c>
      <c r="W42" s="2070">
        <v>1152.3453998280313</v>
      </c>
      <c r="X42" s="2070">
        <v>1245.7616509028376</v>
      </c>
    </row>
    <row r="43" spans="1:24" ht="11.25" customHeight="1">
      <c r="A43" s="2068" t="s">
        <v>5792</v>
      </c>
      <c r="B43" s="2069" t="s">
        <v>5793</v>
      </c>
      <c r="C43" s="2070">
        <v>235.45210662080822</v>
      </c>
      <c r="D43" s="2070">
        <v>340.14462596732585</v>
      </c>
      <c r="E43" s="2070">
        <v>340.12072226999129</v>
      </c>
      <c r="F43" s="2070">
        <v>427.14557179707646</v>
      </c>
      <c r="G43" s="2070">
        <v>469.67687016337049</v>
      </c>
      <c r="H43" s="2070">
        <v>468.18125537403262</v>
      </c>
      <c r="I43" s="2070">
        <v>356.67179707652616</v>
      </c>
      <c r="J43" s="2070">
        <v>385.49174548581254</v>
      </c>
      <c r="K43" s="2070">
        <v>367.22459157351665</v>
      </c>
      <c r="L43" s="2070">
        <v>329.45778159931211</v>
      </c>
      <c r="M43" s="2070">
        <v>360.65700773860709</v>
      </c>
      <c r="N43" s="2070">
        <v>710.67110920034372</v>
      </c>
      <c r="O43" s="2070">
        <v>513.9185726569217</v>
      </c>
      <c r="P43" s="2070">
        <v>365.51926053310399</v>
      </c>
      <c r="Q43" s="2070">
        <v>342.05563198624247</v>
      </c>
      <c r="R43" s="2070">
        <v>315.04496990541708</v>
      </c>
      <c r="S43" s="2070">
        <v>292.19174548581259</v>
      </c>
      <c r="T43" s="2070">
        <v>271.66801375752368</v>
      </c>
      <c r="U43" s="2070">
        <v>346.92545141874467</v>
      </c>
      <c r="V43" s="2070">
        <v>323.89079965606197</v>
      </c>
      <c r="W43" s="2070">
        <v>358.11521926053308</v>
      </c>
      <c r="X43" s="2070">
        <v>341.83224419604466</v>
      </c>
    </row>
    <row r="44" spans="1:24" ht="11.25" customHeight="1">
      <c r="A44" s="2068" t="s">
        <v>4665</v>
      </c>
      <c r="B44" s="2069" t="s">
        <v>5794</v>
      </c>
      <c r="C44" s="2070">
        <v>2901.1296646603614</v>
      </c>
      <c r="D44" s="2070">
        <v>3066.1839208942379</v>
      </c>
      <c r="E44" s="2070">
        <v>2683.9583834909718</v>
      </c>
      <c r="F44" s="2070">
        <v>3305.8111779879619</v>
      </c>
      <c r="G44" s="2070">
        <v>2909.0428202923476</v>
      </c>
      <c r="H44" s="2070">
        <v>2570.7333619948417</v>
      </c>
      <c r="I44" s="2070">
        <v>2541.4241616509016</v>
      </c>
      <c r="J44" s="2070">
        <v>2683.5880481513327</v>
      </c>
      <c r="K44" s="2070">
        <v>2353.9569217540839</v>
      </c>
      <c r="L44" s="2070">
        <v>2078.2858985382645</v>
      </c>
      <c r="M44" s="2070">
        <v>1890.6802235597593</v>
      </c>
      <c r="N44" s="2070">
        <v>2038.5036973344795</v>
      </c>
      <c r="O44" s="2070">
        <v>1764.679449699054</v>
      </c>
      <c r="P44" s="2070">
        <v>1760.8447979363709</v>
      </c>
      <c r="Q44" s="2070">
        <v>1632.3155631986247</v>
      </c>
      <c r="R44" s="2070">
        <v>1805.2360275150461</v>
      </c>
      <c r="S44" s="2070">
        <v>1099.8223559759244</v>
      </c>
      <c r="T44" s="2070">
        <v>953.99819432502125</v>
      </c>
      <c r="U44" s="2070">
        <v>1013.9192605331042</v>
      </c>
      <c r="V44" s="2070">
        <v>846.81375752364556</v>
      </c>
      <c r="W44" s="2070">
        <v>729.78650042992263</v>
      </c>
      <c r="X44" s="2070">
        <v>779.41521926053304</v>
      </c>
    </row>
    <row r="45" spans="1:24" ht="11.25" customHeight="1">
      <c r="A45" s="2068" t="s">
        <v>5795</v>
      </c>
      <c r="B45" s="2069" t="s">
        <v>5796</v>
      </c>
      <c r="C45" s="2070">
        <v>0</v>
      </c>
      <c r="D45" s="2070">
        <v>0</v>
      </c>
      <c r="E45" s="2070">
        <v>0</v>
      </c>
      <c r="F45" s="2070">
        <v>0</v>
      </c>
      <c r="G45" s="2070">
        <v>0</v>
      </c>
      <c r="H45" s="2070">
        <v>0</v>
      </c>
      <c r="I45" s="2070">
        <v>0</v>
      </c>
      <c r="J45" s="2070">
        <v>0</v>
      </c>
      <c r="K45" s="2070">
        <v>0</v>
      </c>
      <c r="L45" s="2070">
        <v>0</v>
      </c>
      <c r="M45" s="2070">
        <v>0</v>
      </c>
      <c r="N45" s="2070">
        <v>0</v>
      </c>
      <c r="O45" s="2070">
        <v>0</v>
      </c>
      <c r="P45" s="2070">
        <v>0</v>
      </c>
      <c r="Q45" s="2070">
        <v>0</v>
      </c>
      <c r="R45" s="2070">
        <v>0</v>
      </c>
      <c r="S45" s="2070">
        <v>2.0837489251934644</v>
      </c>
      <c r="T45" s="2070">
        <v>0.42098022355975928</v>
      </c>
      <c r="U45" s="2070">
        <v>0.45657781599312125</v>
      </c>
      <c r="V45" s="2070">
        <v>5.2610490111779864</v>
      </c>
      <c r="W45" s="2070">
        <v>2.439466895958728</v>
      </c>
      <c r="X45" s="2070">
        <v>0.4073086844368014</v>
      </c>
    </row>
    <row r="46" spans="1:24" ht="11.25" customHeight="1">
      <c r="A46" s="2068" t="s">
        <v>595</v>
      </c>
      <c r="B46" s="2069" t="s">
        <v>5797</v>
      </c>
      <c r="C46" s="2070">
        <v>0</v>
      </c>
      <c r="D46" s="2070">
        <v>0</v>
      </c>
      <c r="E46" s="2070">
        <v>0</v>
      </c>
      <c r="F46" s="2070">
        <v>0</v>
      </c>
      <c r="G46" s="2070">
        <v>0</v>
      </c>
      <c r="H46" s="2070">
        <v>0</v>
      </c>
      <c r="I46" s="2070">
        <v>0</v>
      </c>
      <c r="J46" s="2070">
        <v>0</v>
      </c>
      <c r="K46" s="2070">
        <v>0</v>
      </c>
      <c r="L46" s="2070">
        <v>0</v>
      </c>
      <c r="M46" s="2070">
        <v>0</v>
      </c>
      <c r="N46" s="2070">
        <v>0</v>
      </c>
      <c r="O46" s="2070">
        <v>0</v>
      </c>
      <c r="P46" s="2070">
        <v>0</v>
      </c>
      <c r="Q46" s="2070">
        <v>0</v>
      </c>
      <c r="R46" s="2070">
        <v>0</v>
      </c>
      <c r="S46" s="2070">
        <v>0</v>
      </c>
      <c r="T46" s="2070">
        <v>0</v>
      </c>
      <c r="U46" s="2070">
        <v>0</v>
      </c>
      <c r="V46" s="2070">
        <v>0</v>
      </c>
      <c r="W46" s="2070">
        <v>0</v>
      </c>
      <c r="X46" s="2070">
        <v>0</v>
      </c>
    </row>
    <row r="47" spans="1:24" ht="11.25" customHeight="1">
      <c r="A47" s="2068" t="s">
        <v>4614</v>
      </c>
      <c r="B47" s="2069" t="s">
        <v>5798</v>
      </c>
      <c r="C47" s="2070">
        <v>0</v>
      </c>
      <c r="D47" s="2070">
        <v>0</v>
      </c>
      <c r="E47" s="2070">
        <v>0</v>
      </c>
      <c r="F47" s="2070">
        <v>0</v>
      </c>
      <c r="G47" s="2070">
        <v>0</v>
      </c>
      <c r="H47" s="2070">
        <v>0</v>
      </c>
      <c r="I47" s="2070">
        <v>0</v>
      </c>
      <c r="J47" s="2070">
        <v>0</v>
      </c>
      <c r="K47" s="2070">
        <v>0</v>
      </c>
      <c r="L47" s="2070">
        <v>0</v>
      </c>
      <c r="M47" s="2070">
        <v>0</v>
      </c>
      <c r="N47" s="2070">
        <v>0</v>
      </c>
      <c r="O47" s="2070">
        <v>0</v>
      </c>
      <c r="P47" s="2070">
        <v>0</v>
      </c>
      <c r="Q47" s="2070">
        <v>0</v>
      </c>
      <c r="R47" s="2070">
        <v>0</v>
      </c>
      <c r="S47" s="2070">
        <v>0</v>
      </c>
      <c r="T47" s="2070">
        <v>0</v>
      </c>
      <c r="U47" s="2070">
        <v>0</v>
      </c>
      <c r="V47" s="2070">
        <v>0</v>
      </c>
      <c r="W47" s="2070">
        <v>0</v>
      </c>
      <c r="X47" s="2070">
        <v>0</v>
      </c>
    </row>
    <row r="48" spans="1:24" ht="11.25" customHeight="1">
      <c r="A48" s="2068" t="s">
        <v>4667</v>
      </c>
      <c r="B48" s="2069" t="s">
        <v>5799</v>
      </c>
      <c r="C48" s="2070">
        <v>102.40507308684437</v>
      </c>
      <c r="D48" s="2070">
        <v>110.94385210662077</v>
      </c>
      <c r="E48" s="2070">
        <v>110.78865004299224</v>
      </c>
      <c r="F48" s="2070">
        <v>143.0089423903697</v>
      </c>
      <c r="G48" s="2070">
        <v>120.81908856405843</v>
      </c>
      <c r="H48" s="2070">
        <v>127.29914015477215</v>
      </c>
      <c r="I48" s="2070">
        <v>113.87515047291481</v>
      </c>
      <c r="J48" s="2070">
        <v>111.32407566638005</v>
      </c>
      <c r="K48" s="2070">
        <v>104.77506448839208</v>
      </c>
      <c r="L48" s="2070">
        <v>95.110232158211517</v>
      </c>
      <c r="M48" s="2070">
        <v>102.09114359415304</v>
      </c>
      <c r="N48" s="2070">
        <v>88.163714531384358</v>
      </c>
      <c r="O48" s="2070">
        <v>85.424075666380048</v>
      </c>
      <c r="P48" s="2070">
        <v>30.898624247635421</v>
      </c>
      <c r="Q48" s="2070">
        <v>26.784436801375755</v>
      </c>
      <c r="R48" s="2070">
        <v>33.975752364574383</v>
      </c>
      <c r="S48" s="2070">
        <v>37.948323301805679</v>
      </c>
      <c r="T48" s="2070">
        <v>162.0717970765262</v>
      </c>
      <c r="U48" s="2070">
        <v>262.97773000859848</v>
      </c>
      <c r="V48" s="2070">
        <v>253.9969045571797</v>
      </c>
      <c r="W48" s="2070">
        <v>189.12605331040413</v>
      </c>
      <c r="X48" s="2070">
        <v>205.10748065348241</v>
      </c>
    </row>
    <row r="49" spans="1:24" ht="11.25" customHeight="1">
      <c r="A49" s="2068" t="s">
        <v>4666</v>
      </c>
      <c r="B49" s="2069" t="s">
        <v>5800</v>
      </c>
      <c r="C49" s="2070">
        <v>0</v>
      </c>
      <c r="D49" s="2070">
        <v>0</v>
      </c>
      <c r="E49" s="2070">
        <v>0</v>
      </c>
      <c r="F49" s="2070">
        <v>0</v>
      </c>
      <c r="G49" s="2070">
        <v>0</v>
      </c>
      <c r="H49" s="2070">
        <v>0</v>
      </c>
      <c r="I49" s="2070">
        <v>0</v>
      </c>
      <c r="J49" s="2070">
        <v>0</v>
      </c>
      <c r="K49" s="2070">
        <v>0</v>
      </c>
      <c r="L49" s="2070">
        <v>0</v>
      </c>
      <c r="M49" s="2070">
        <v>0</v>
      </c>
      <c r="N49" s="2070">
        <v>0</v>
      </c>
      <c r="O49" s="2070">
        <v>0</v>
      </c>
      <c r="P49" s="2070">
        <v>0</v>
      </c>
      <c r="Q49" s="2070">
        <v>0</v>
      </c>
      <c r="R49" s="2070">
        <v>0</v>
      </c>
      <c r="S49" s="2070">
        <v>0</v>
      </c>
      <c r="T49" s="2070">
        <v>0</v>
      </c>
      <c r="U49" s="2070">
        <v>0</v>
      </c>
      <c r="V49" s="2070">
        <v>0</v>
      </c>
      <c r="W49" s="2070">
        <v>0</v>
      </c>
      <c r="X49" s="2070">
        <v>0</v>
      </c>
    </row>
    <row r="50" spans="1:24" ht="11.25" customHeight="1">
      <c r="A50" s="2068" t="s">
        <v>4668</v>
      </c>
      <c r="B50" s="2069" t="s">
        <v>5801</v>
      </c>
      <c r="C50" s="2070">
        <v>183.9143594153052</v>
      </c>
      <c r="D50" s="2070">
        <v>212.77575236457432</v>
      </c>
      <c r="E50" s="2070">
        <v>259.54754944110056</v>
      </c>
      <c r="F50" s="2070">
        <v>347.88968185726566</v>
      </c>
      <c r="G50" s="2070">
        <v>254.38280309544277</v>
      </c>
      <c r="H50" s="2070">
        <v>238.02201203783315</v>
      </c>
      <c r="I50" s="2070">
        <v>189.50498710232156</v>
      </c>
      <c r="J50" s="2070">
        <v>190.50550300945827</v>
      </c>
      <c r="K50" s="2070">
        <v>113.44514187446256</v>
      </c>
      <c r="L50" s="2070">
        <v>57.442820292347371</v>
      </c>
      <c r="M50" s="2070">
        <v>148.3403267411866</v>
      </c>
      <c r="N50" s="2070">
        <v>158.64350816852965</v>
      </c>
      <c r="O50" s="2070">
        <v>145.80318142734308</v>
      </c>
      <c r="P50" s="2070">
        <v>102.83886500429922</v>
      </c>
      <c r="Q50" s="2070">
        <v>171.37652622527946</v>
      </c>
      <c r="R50" s="2070">
        <v>105.3445399828031</v>
      </c>
      <c r="S50" s="2070">
        <v>53.144368013757521</v>
      </c>
      <c r="T50" s="2070">
        <v>55.427085124677554</v>
      </c>
      <c r="U50" s="2070">
        <v>65.801633705932929</v>
      </c>
      <c r="V50" s="2070">
        <v>130.10773860705075</v>
      </c>
      <c r="W50" s="2070">
        <v>139.51220980223556</v>
      </c>
      <c r="X50" s="2070">
        <v>188.01874462596737</v>
      </c>
    </row>
    <row r="51" spans="1:24" ht="11.25" customHeight="1">
      <c r="A51" s="2071" t="s">
        <v>3875</v>
      </c>
      <c r="B51" s="2072" t="s">
        <v>5802</v>
      </c>
      <c r="C51" s="2073">
        <v>19406.248409286327</v>
      </c>
      <c r="D51" s="2073">
        <v>19070.444196044711</v>
      </c>
      <c r="E51" s="2073">
        <v>19199.362338779018</v>
      </c>
      <c r="F51" s="2073">
        <v>19814.540326741182</v>
      </c>
      <c r="G51" s="2073">
        <v>17758.412639724847</v>
      </c>
      <c r="H51" s="2073">
        <v>18628.763542562338</v>
      </c>
      <c r="I51" s="2073">
        <v>16669.379879621665</v>
      </c>
      <c r="J51" s="2073">
        <v>17771.441788478078</v>
      </c>
      <c r="K51" s="2073">
        <v>17549.241530524505</v>
      </c>
      <c r="L51" s="2073">
        <v>15040.499226139296</v>
      </c>
      <c r="M51" s="2073">
        <v>15802.33895098882</v>
      </c>
      <c r="N51" s="2073">
        <v>19092.16930352537</v>
      </c>
      <c r="O51" s="2073">
        <v>19546.125623387787</v>
      </c>
      <c r="P51" s="2073">
        <v>19388.674892519346</v>
      </c>
      <c r="Q51" s="2073">
        <v>18470.482373172828</v>
      </c>
      <c r="R51" s="2073">
        <v>17335.055631986237</v>
      </c>
      <c r="S51" s="2073">
        <v>18005.944282029232</v>
      </c>
      <c r="T51" s="2073">
        <v>18629.980481513332</v>
      </c>
      <c r="U51" s="2073">
        <v>18152.744969905423</v>
      </c>
      <c r="V51" s="2073">
        <v>17985.090971625112</v>
      </c>
      <c r="W51" s="2073">
        <v>18418.056749785035</v>
      </c>
      <c r="X51" s="2073">
        <v>19826.902837489251</v>
      </c>
    </row>
    <row r="52" spans="1:24" ht="11.25" customHeight="1">
      <c r="A52" s="2071" t="s">
        <v>5803</v>
      </c>
      <c r="B52" s="2072" t="s">
        <v>5804</v>
      </c>
      <c r="C52" s="2073">
        <v>158.77091549959511</v>
      </c>
      <c r="D52" s="2073">
        <v>147.41126767752004</v>
      </c>
      <c r="E52" s="2073">
        <v>136.83060618270343</v>
      </c>
      <c r="F52" s="2073">
        <v>173.70615489127383</v>
      </c>
      <c r="G52" s="2073">
        <v>178.11353059501795</v>
      </c>
      <c r="H52" s="2073">
        <v>245.84772899078982</v>
      </c>
      <c r="I52" s="2073">
        <v>200.18531016289779</v>
      </c>
      <c r="J52" s="2073">
        <v>326.04440294125072</v>
      </c>
      <c r="K52" s="2073">
        <v>302.78561779751999</v>
      </c>
      <c r="L52" s="2073">
        <v>233.56410204724088</v>
      </c>
      <c r="M52" s="2073">
        <v>392.8399983749506</v>
      </c>
      <c r="N52" s="2073">
        <v>399.17941147052557</v>
      </c>
      <c r="O52" s="2073">
        <v>229.89937662165033</v>
      </c>
      <c r="P52" s="2073">
        <v>288.14337343061794</v>
      </c>
      <c r="Q52" s="2073">
        <v>320.38446544660985</v>
      </c>
      <c r="R52" s="2073">
        <v>354.05780710881487</v>
      </c>
      <c r="S52" s="2073">
        <v>443.02175022032009</v>
      </c>
      <c r="T52" s="2073">
        <v>383.90135260976189</v>
      </c>
      <c r="U52" s="2073">
        <v>353.28831524843935</v>
      </c>
      <c r="V52" s="2073">
        <v>401.89590140627718</v>
      </c>
      <c r="W52" s="2073">
        <v>458.57385887689952</v>
      </c>
      <c r="X52" s="2073">
        <v>478.50929787338981</v>
      </c>
    </row>
    <row r="53" spans="1:24" ht="11.25" customHeight="1">
      <c r="A53" s="2074" t="s">
        <v>3973</v>
      </c>
      <c r="B53" s="2069" t="s">
        <v>5805</v>
      </c>
      <c r="C53" s="2070">
        <v>0</v>
      </c>
      <c r="D53" s="2070">
        <v>0</v>
      </c>
      <c r="E53" s="2070">
        <v>0</v>
      </c>
      <c r="F53" s="2070">
        <v>0</v>
      </c>
      <c r="G53" s="2070">
        <v>0</v>
      </c>
      <c r="H53" s="2070">
        <v>0</v>
      </c>
      <c r="I53" s="2070">
        <v>0</v>
      </c>
      <c r="J53" s="2070">
        <v>0</v>
      </c>
      <c r="K53" s="2070">
        <v>0</v>
      </c>
      <c r="L53" s="2070">
        <v>0</v>
      </c>
      <c r="M53" s="2070">
        <v>0</v>
      </c>
      <c r="N53" s="2070">
        <v>0</v>
      </c>
      <c r="O53" s="2070">
        <v>0</v>
      </c>
      <c r="P53" s="2070">
        <v>0</v>
      </c>
      <c r="Q53" s="2070">
        <v>0</v>
      </c>
      <c r="R53" s="2070">
        <v>0</v>
      </c>
      <c r="S53" s="2070">
        <v>0</v>
      </c>
      <c r="T53" s="2070">
        <v>0</v>
      </c>
      <c r="U53" s="2070">
        <v>0</v>
      </c>
      <c r="V53" s="2070">
        <v>0</v>
      </c>
      <c r="W53" s="2070">
        <v>0</v>
      </c>
      <c r="X53" s="2070">
        <v>0</v>
      </c>
    </row>
    <row r="54" spans="1:24" ht="11.25" customHeight="1">
      <c r="A54" s="2074" t="s">
        <v>5806</v>
      </c>
      <c r="B54" s="2069" t="s">
        <v>5807</v>
      </c>
      <c r="C54" s="2070">
        <v>0</v>
      </c>
      <c r="D54" s="2070">
        <v>0</v>
      </c>
      <c r="E54" s="2070">
        <v>0</v>
      </c>
      <c r="F54" s="2070">
        <v>0</v>
      </c>
      <c r="G54" s="2070">
        <v>0</v>
      </c>
      <c r="H54" s="2070">
        <v>0</v>
      </c>
      <c r="I54" s="2070">
        <v>0</v>
      </c>
      <c r="J54" s="2070">
        <v>0</v>
      </c>
      <c r="K54" s="2070">
        <v>0</v>
      </c>
      <c r="L54" s="2070">
        <v>0</v>
      </c>
      <c r="M54" s="2070">
        <v>0</v>
      </c>
      <c r="N54" s="2070">
        <v>0</v>
      </c>
      <c r="O54" s="2070">
        <v>0</v>
      </c>
      <c r="P54" s="2070">
        <v>0</v>
      </c>
      <c r="Q54" s="2070">
        <v>0</v>
      </c>
      <c r="R54" s="2070">
        <v>0</v>
      </c>
      <c r="S54" s="2070">
        <v>0</v>
      </c>
      <c r="T54" s="2070">
        <v>0</v>
      </c>
      <c r="U54" s="2070">
        <v>0</v>
      </c>
      <c r="V54" s="2070">
        <v>0</v>
      </c>
      <c r="W54" s="2070">
        <v>0</v>
      </c>
      <c r="X54" s="2070">
        <v>0</v>
      </c>
    </row>
    <row r="55" spans="1:24" ht="11.25" customHeight="1">
      <c r="A55" s="2074" t="s">
        <v>3965</v>
      </c>
      <c r="B55" s="2069" t="s">
        <v>5808</v>
      </c>
      <c r="C55" s="2070">
        <v>0</v>
      </c>
      <c r="D55" s="2070">
        <v>0</v>
      </c>
      <c r="E55" s="2070">
        <v>0</v>
      </c>
      <c r="F55" s="2070">
        <v>0</v>
      </c>
      <c r="G55" s="2070">
        <v>0</v>
      </c>
      <c r="H55" s="2070">
        <v>0</v>
      </c>
      <c r="I55" s="2070">
        <v>0</v>
      </c>
      <c r="J55" s="2070">
        <v>0</v>
      </c>
      <c r="K55" s="2070">
        <v>0</v>
      </c>
      <c r="L55" s="2070">
        <v>0</v>
      </c>
      <c r="M55" s="2070">
        <v>0</v>
      </c>
      <c r="N55" s="2070">
        <v>0</v>
      </c>
      <c r="O55" s="2070">
        <v>0</v>
      </c>
      <c r="P55" s="2070">
        <v>0</v>
      </c>
      <c r="Q55" s="2070">
        <v>0</v>
      </c>
      <c r="R55" s="2070">
        <v>0</v>
      </c>
      <c r="S55" s="2070">
        <v>0</v>
      </c>
      <c r="T55" s="2070">
        <v>0</v>
      </c>
      <c r="U55" s="2070">
        <v>0</v>
      </c>
      <c r="V55" s="2070">
        <v>0</v>
      </c>
      <c r="W55" s="2070">
        <v>0</v>
      </c>
      <c r="X55" s="2070">
        <v>0</v>
      </c>
    </row>
    <row r="56" spans="1:24" ht="11.25" customHeight="1">
      <c r="A56" s="2074" t="s">
        <v>5636</v>
      </c>
      <c r="B56" s="2069" t="s">
        <v>5809</v>
      </c>
      <c r="C56" s="2070">
        <v>0</v>
      </c>
      <c r="D56" s="2070">
        <v>0</v>
      </c>
      <c r="E56" s="2070">
        <v>0</v>
      </c>
      <c r="F56" s="2070">
        <v>0</v>
      </c>
      <c r="G56" s="2070">
        <v>0</v>
      </c>
      <c r="H56" s="2070">
        <v>0</v>
      </c>
      <c r="I56" s="2070">
        <v>0</v>
      </c>
      <c r="J56" s="2070">
        <v>0</v>
      </c>
      <c r="K56" s="2070">
        <v>0</v>
      </c>
      <c r="L56" s="2070">
        <v>0</v>
      </c>
      <c r="M56" s="2070">
        <v>0</v>
      </c>
      <c r="N56" s="2070">
        <v>0</v>
      </c>
      <c r="O56" s="2070">
        <v>0</v>
      </c>
      <c r="P56" s="2070">
        <v>0</v>
      </c>
      <c r="Q56" s="2070">
        <v>0</v>
      </c>
      <c r="R56" s="2070">
        <v>0</v>
      </c>
      <c r="S56" s="2070">
        <v>0</v>
      </c>
      <c r="T56" s="2070">
        <v>0</v>
      </c>
      <c r="U56" s="2070">
        <v>0</v>
      </c>
      <c r="V56" s="2070">
        <v>0</v>
      </c>
      <c r="W56" s="2070">
        <v>0</v>
      </c>
      <c r="X56" s="2070">
        <v>0</v>
      </c>
    </row>
    <row r="57" spans="1:24" ht="11.25" customHeight="1">
      <c r="A57" s="2074" t="s">
        <v>4617</v>
      </c>
      <c r="B57" s="2069" t="s">
        <v>5810</v>
      </c>
      <c r="C57" s="2070">
        <v>2.407566638005159E-3</v>
      </c>
      <c r="D57" s="2070">
        <v>4.3852106620808247E-3</v>
      </c>
      <c r="E57" s="2070">
        <v>7.9965606190885632E-3</v>
      </c>
      <c r="F57" s="2070">
        <v>7.9965606190885632E-3</v>
      </c>
      <c r="G57" s="2070">
        <v>9.114359415305244E-3</v>
      </c>
      <c r="H57" s="2070">
        <v>9.37231298366294E-3</v>
      </c>
      <c r="I57" s="2070">
        <v>1.3069647463456577E-2</v>
      </c>
      <c r="J57" s="2070">
        <v>1.3069647463456581E-2</v>
      </c>
      <c r="K57" s="2070">
        <v>3.172828890799656E-2</v>
      </c>
      <c r="L57" s="2070">
        <v>4.4797936371453143E-2</v>
      </c>
      <c r="M57" s="2070">
        <v>0.18882201203783319</v>
      </c>
      <c r="N57" s="2070">
        <v>0.18882201203783319</v>
      </c>
      <c r="O57" s="2070">
        <v>0.1924333619948409</v>
      </c>
      <c r="P57" s="2070">
        <v>0.20060189165950129</v>
      </c>
      <c r="Q57" s="2070">
        <v>0.20060189165950126</v>
      </c>
      <c r="R57" s="2070">
        <v>0.21281169389509891</v>
      </c>
      <c r="S57" s="2070">
        <v>0.1784178847807395</v>
      </c>
      <c r="T57" s="2070">
        <v>0.1784178847807395</v>
      </c>
      <c r="U57" s="2070">
        <v>0.57738607050730861</v>
      </c>
      <c r="V57" s="2070">
        <v>0.60481513327601022</v>
      </c>
      <c r="W57" s="2070">
        <v>0.5843508168529663</v>
      </c>
      <c r="X57" s="2070">
        <v>0.5843508168529663</v>
      </c>
    </row>
    <row r="58" spans="1:24" ht="11.25" customHeight="1">
      <c r="A58" s="2074" t="s">
        <v>3971</v>
      </c>
      <c r="B58" s="2069" t="s">
        <v>5811</v>
      </c>
      <c r="C58" s="2070">
        <v>0</v>
      </c>
      <c r="D58" s="2070">
        <v>0</v>
      </c>
      <c r="E58" s="2070">
        <v>0</v>
      </c>
      <c r="F58" s="2070">
        <v>0</v>
      </c>
      <c r="G58" s="2070">
        <v>0</v>
      </c>
      <c r="H58" s="2070">
        <v>0</v>
      </c>
      <c r="I58" s="2070">
        <v>0</v>
      </c>
      <c r="J58" s="2070">
        <v>0</v>
      </c>
      <c r="K58" s="2070">
        <v>0</v>
      </c>
      <c r="L58" s="2070">
        <v>0</v>
      </c>
      <c r="M58" s="2070">
        <v>0</v>
      </c>
      <c r="N58" s="2070">
        <v>0</v>
      </c>
      <c r="O58" s="2070">
        <v>0</v>
      </c>
      <c r="P58" s="2070">
        <v>0</v>
      </c>
      <c r="Q58" s="2070">
        <v>0</v>
      </c>
      <c r="R58" s="2070">
        <v>0</v>
      </c>
      <c r="S58" s="2070">
        <v>0</v>
      </c>
      <c r="T58" s="2070">
        <v>0</v>
      </c>
      <c r="U58" s="2070">
        <v>0</v>
      </c>
      <c r="V58" s="2070">
        <v>0</v>
      </c>
      <c r="W58" s="2070">
        <v>0.3343938091143594</v>
      </c>
      <c r="X58" s="2070">
        <v>0</v>
      </c>
    </row>
    <row r="59" spans="1:24" ht="11.25" customHeight="1">
      <c r="A59" s="2074" t="s">
        <v>4669</v>
      </c>
      <c r="B59" s="2069" t="s">
        <v>5812</v>
      </c>
      <c r="C59" s="2070">
        <v>142.63877901977642</v>
      </c>
      <c r="D59" s="2070">
        <v>131.65193465176264</v>
      </c>
      <c r="E59" s="2070">
        <v>130.02777300085984</v>
      </c>
      <c r="F59" s="2070">
        <v>159.78787618228716</v>
      </c>
      <c r="G59" s="2070">
        <v>160.95812553740325</v>
      </c>
      <c r="H59" s="2070">
        <v>209.94213241616507</v>
      </c>
      <c r="I59" s="2070">
        <v>182.06414445399824</v>
      </c>
      <c r="J59" s="2070">
        <v>248.05004299226141</v>
      </c>
      <c r="K59" s="2070">
        <v>219.5609630266552</v>
      </c>
      <c r="L59" s="2070">
        <v>184.63611349957009</v>
      </c>
      <c r="M59" s="2070">
        <v>220.90343938091141</v>
      </c>
      <c r="N59" s="2070">
        <v>213.20171969045569</v>
      </c>
      <c r="O59" s="2070">
        <v>172.85795356835766</v>
      </c>
      <c r="P59" s="2070">
        <v>212.67497850386931</v>
      </c>
      <c r="Q59" s="2070">
        <v>205.44161650902839</v>
      </c>
      <c r="R59" s="2070">
        <v>235.72278589853823</v>
      </c>
      <c r="S59" s="2070">
        <v>323.84359415305244</v>
      </c>
      <c r="T59" s="2070">
        <v>267.25511607910579</v>
      </c>
      <c r="U59" s="2070">
        <v>236.3773000859845</v>
      </c>
      <c r="V59" s="2070">
        <v>270.33654342218392</v>
      </c>
      <c r="W59" s="2070">
        <v>309.38452278589858</v>
      </c>
      <c r="X59" s="2070">
        <v>330.08882201203784</v>
      </c>
    </row>
    <row r="60" spans="1:24" ht="11.25" customHeight="1">
      <c r="A60" s="2074" t="s">
        <v>4618</v>
      </c>
      <c r="B60" s="2069" t="s">
        <v>5813</v>
      </c>
      <c r="C60" s="2070">
        <v>5.1495270851246762</v>
      </c>
      <c r="D60" s="2070">
        <v>5.8851246775580393</v>
      </c>
      <c r="E60" s="2070">
        <v>0</v>
      </c>
      <c r="F60" s="2070">
        <v>0</v>
      </c>
      <c r="G60" s="2070">
        <v>0</v>
      </c>
      <c r="H60" s="2070">
        <v>0</v>
      </c>
      <c r="I60" s="2070">
        <v>0</v>
      </c>
      <c r="J60" s="2070">
        <v>0</v>
      </c>
      <c r="K60" s="2070">
        <v>5.8851246775580393</v>
      </c>
      <c r="L60" s="2070">
        <v>4.4138435081685294</v>
      </c>
      <c r="M60" s="2070">
        <v>0</v>
      </c>
      <c r="N60" s="2070">
        <v>0</v>
      </c>
      <c r="O60" s="2070">
        <v>0</v>
      </c>
      <c r="P60" s="2070">
        <v>0</v>
      </c>
      <c r="Q60" s="2070">
        <v>0</v>
      </c>
      <c r="R60" s="2070">
        <v>0</v>
      </c>
      <c r="S60" s="2070">
        <v>0</v>
      </c>
      <c r="T60" s="2070">
        <v>1.9002579535683579E-2</v>
      </c>
      <c r="U60" s="2070">
        <v>5.640584694754943E-2</v>
      </c>
      <c r="V60" s="2070">
        <v>5.6405846947549437E-2</v>
      </c>
      <c r="W60" s="2070">
        <v>5.5631986242476353E-2</v>
      </c>
      <c r="X60" s="2070">
        <v>5.563198624247636E-2</v>
      </c>
    </row>
    <row r="61" spans="1:24" ht="11.25" customHeight="1">
      <c r="A61" s="2074" t="s">
        <v>4670</v>
      </c>
      <c r="B61" s="2069" t="s">
        <v>5814</v>
      </c>
      <c r="C61" s="2070">
        <v>8.9327601031814261</v>
      </c>
      <c r="D61" s="2070">
        <v>7.6907996560619081</v>
      </c>
      <c r="E61" s="2070">
        <v>4.4902837489251928</v>
      </c>
      <c r="F61" s="2070">
        <v>9.9837489251934652</v>
      </c>
      <c r="G61" s="2070">
        <v>12.730438521066207</v>
      </c>
      <c r="H61" s="2070">
        <v>31.924419604471193</v>
      </c>
      <c r="I61" s="2070">
        <v>13.959157351676696</v>
      </c>
      <c r="J61" s="2070">
        <v>24.401547721410143</v>
      </c>
      <c r="K61" s="2070">
        <v>17.738091143594154</v>
      </c>
      <c r="L61" s="2070">
        <v>17.662854686156493</v>
      </c>
      <c r="M61" s="2070">
        <v>131.32132416165089</v>
      </c>
      <c r="N61" s="2070">
        <v>157.45399828030949</v>
      </c>
      <c r="O61" s="2070">
        <v>26.38847807394669</v>
      </c>
      <c r="P61" s="2070">
        <v>38.242132416165092</v>
      </c>
      <c r="Q61" s="2070">
        <v>38.309974204643161</v>
      </c>
      <c r="R61" s="2070">
        <v>46.025623387790191</v>
      </c>
      <c r="S61" s="2070">
        <v>40.548065348237309</v>
      </c>
      <c r="T61" s="2070">
        <v>44.222184006878756</v>
      </c>
      <c r="U61" s="2070">
        <v>32.856319862424762</v>
      </c>
      <c r="V61" s="2070">
        <v>43.603009458297507</v>
      </c>
      <c r="W61" s="2070">
        <v>56.515133276010317</v>
      </c>
      <c r="X61" s="2070">
        <v>48.407738607050732</v>
      </c>
    </row>
    <row r="62" spans="1:24" ht="11.25" customHeight="1">
      <c r="A62" s="2074" t="s">
        <v>5815</v>
      </c>
      <c r="B62" s="2069" t="s">
        <v>5816</v>
      </c>
      <c r="C62" s="2070">
        <v>4.7807394668959599E-2</v>
      </c>
      <c r="D62" s="2070">
        <v>4.7807394668959592E-2</v>
      </c>
      <c r="E62" s="2070">
        <v>2.3903697334479789E-2</v>
      </c>
      <c r="F62" s="2070">
        <v>1.6719690455717975</v>
      </c>
      <c r="G62" s="2070">
        <v>2.2212381771281167</v>
      </c>
      <c r="H62" s="2070">
        <v>1.1704213241616506</v>
      </c>
      <c r="I62" s="2070">
        <v>1.1226139294926913</v>
      </c>
      <c r="J62" s="2070">
        <v>45.070249355116076</v>
      </c>
      <c r="K62" s="2070">
        <v>0</v>
      </c>
      <c r="L62" s="2070">
        <v>0</v>
      </c>
      <c r="M62" s="2070">
        <v>21.114015477214103</v>
      </c>
      <c r="N62" s="2070">
        <v>20.588478073946693</v>
      </c>
      <c r="O62" s="2070">
        <v>18.295614789337922</v>
      </c>
      <c r="P62" s="2070">
        <v>19.059931212381777</v>
      </c>
      <c r="Q62" s="2070">
        <v>19.155460017196898</v>
      </c>
      <c r="R62" s="2070">
        <v>21.663284608770418</v>
      </c>
      <c r="S62" s="2070">
        <v>23.836801375752358</v>
      </c>
      <c r="T62" s="2070">
        <v>23.191917454858121</v>
      </c>
      <c r="U62" s="2070">
        <v>23.148667239896817</v>
      </c>
      <c r="V62" s="2070">
        <v>24.222785898538259</v>
      </c>
      <c r="W62" s="2070">
        <v>27.373774720550305</v>
      </c>
      <c r="X62" s="2070">
        <v>29.473602751504725</v>
      </c>
    </row>
    <row r="63" spans="1:24" ht="11.25" customHeight="1">
      <c r="A63" s="2074" t="s">
        <v>5817</v>
      </c>
      <c r="B63" s="2069" t="s">
        <v>5818</v>
      </c>
      <c r="C63" s="2070">
        <v>0</v>
      </c>
      <c r="D63" s="2070">
        <v>0</v>
      </c>
      <c r="E63" s="2070">
        <v>0</v>
      </c>
      <c r="F63" s="2070">
        <v>0</v>
      </c>
      <c r="G63" s="2070">
        <v>0</v>
      </c>
      <c r="H63" s="2070">
        <v>0</v>
      </c>
      <c r="I63" s="2070">
        <v>0</v>
      </c>
      <c r="J63" s="2070">
        <v>0</v>
      </c>
      <c r="K63" s="2070">
        <v>0</v>
      </c>
      <c r="L63" s="2070">
        <v>0</v>
      </c>
      <c r="M63" s="2070">
        <v>0</v>
      </c>
      <c r="N63" s="2070">
        <v>0</v>
      </c>
      <c r="O63" s="2070">
        <v>0.88744625967325874</v>
      </c>
      <c r="P63" s="2070">
        <v>1.1038693035253651</v>
      </c>
      <c r="Q63" s="2070">
        <v>1.2438521066208077</v>
      </c>
      <c r="R63" s="2070">
        <v>1.5104041272570941</v>
      </c>
      <c r="S63" s="2070">
        <v>0</v>
      </c>
      <c r="T63" s="2070">
        <v>0</v>
      </c>
      <c r="U63" s="2070">
        <v>0</v>
      </c>
      <c r="V63" s="2070">
        <v>0</v>
      </c>
      <c r="W63" s="2070">
        <v>0</v>
      </c>
      <c r="X63" s="2070">
        <v>0</v>
      </c>
    </row>
    <row r="64" spans="1:24" ht="11.25" customHeight="1">
      <c r="A64" s="2074" t="s">
        <v>5819</v>
      </c>
      <c r="B64" s="2069" t="s">
        <v>5820</v>
      </c>
      <c r="C64" s="2070">
        <v>0</v>
      </c>
      <c r="D64" s="2070">
        <v>0</v>
      </c>
      <c r="E64" s="2070">
        <v>0</v>
      </c>
      <c r="F64" s="2070">
        <v>0</v>
      </c>
      <c r="G64" s="2070">
        <v>0</v>
      </c>
      <c r="H64" s="2070">
        <v>0</v>
      </c>
      <c r="I64" s="2070">
        <v>0</v>
      </c>
      <c r="J64" s="2070">
        <v>1.2897678417884779E-3</v>
      </c>
      <c r="K64" s="2070">
        <v>1.2897678417884779E-3</v>
      </c>
      <c r="L64" s="2070">
        <v>1.9776440240756661E-3</v>
      </c>
      <c r="M64" s="2070">
        <v>6.0189165950128964E-4</v>
      </c>
      <c r="N64" s="2070">
        <v>0</v>
      </c>
      <c r="O64" s="2070">
        <v>0</v>
      </c>
      <c r="P64" s="2070">
        <v>6.0189165950128986E-4</v>
      </c>
      <c r="Q64" s="2070">
        <v>0</v>
      </c>
      <c r="R64" s="2070">
        <v>0</v>
      </c>
      <c r="S64" s="2070">
        <v>1.2897678417884777E-3</v>
      </c>
      <c r="T64" s="2070">
        <v>1.2897678417884782E-3</v>
      </c>
      <c r="U64" s="2070">
        <v>6.0189165950128975E-4</v>
      </c>
      <c r="V64" s="2070">
        <v>6.0189165950128975E-4</v>
      </c>
      <c r="W64" s="2070">
        <v>6.0189165950128975E-4</v>
      </c>
      <c r="X64" s="2070">
        <v>6.0189165950128964E-4</v>
      </c>
    </row>
    <row r="65" spans="1:24" ht="11.25" customHeight="1">
      <c r="A65" s="2074" t="s">
        <v>5821</v>
      </c>
      <c r="B65" s="2069" t="s">
        <v>5822</v>
      </c>
      <c r="C65" s="2070">
        <v>0</v>
      </c>
      <c r="D65" s="2070">
        <v>0</v>
      </c>
      <c r="E65" s="2070">
        <v>0</v>
      </c>
      <c r="F65" s="2070">
        <v>0</v>
      </c>
      <c r="G65" s="2070">
        <v>0</v>
      </c>
      <c r="H65" s="2070">
        <v>0</v>
      </c>
      <c r="I65" s="2070">
        <v>7.5494411006018891E-2</v>
      </c>
      <c r="J65" s="2070">
        <v>3.4651762682717108E-2</v>
      </c>
      <c r="K65" s="2070">
        <v>3.1986242476354253E-2</v>
      </c>
      <c r="L65" s="2070">
        <v>6.3026655202063631E-2</v>
      </c>
      <c r="M65" s="2070">
        <v>2.4849527085124667E-2</v>
      </c>
      <c r="N65" s="2070">
        <v>1.9518486672398964E-2</v>
      </c>
      <c r="O65" s="2070">
        <v>3.6113499570077381E-3</v>
      </c>
      <c r="P65" s="2070">
        <v>2.6655202063628554E-3</v>
      </c>
      <c r="Q65" s="2070">
        <v>1.5219260533104038E-2</v>
      </c>
      <c r="R65" s="2070">
        <v>8.0825451418744618E-3</v>
      </c>
      <c r="S65" s="2070">
        <v>4.4797936371453136E-2</v>
      </c>
      <c r="T65" s="2070">
        <v>0</v>
      </c>
      <c r="U65" s="2070">
        <v>0</v>
      </c>
      <c r="V65" s="2070">
        <v>0</v>
      </c>
      <c r="W65" s="2070">
        <v>0</v>
      </c>
      <c r="X65" s="2070">
        <v>0</v>
      </c>
    </row>
    <row r="66" spans="1:24" ht="11.25" customHeight="1">
      <c r="A66" s="2074" t="s">
        <v>5823</v>
      </c>
      <c r="B66" s="2069" t="s">
        <v>5824</v>
      </c>
      <c r="C66" s="2070">
        <v>0</v>
      </c>
      <c r="D66" s="2070">
        <v>0</v>
      </c>
      <c r="E66" s="2070">
        <v>0</v>
      </c>
      <c r="F66" s="2070">
        <v>0</v>
      </c>
      <c r="G66" s="2070">
        <v>0</v>
      </c>
      <c r="H66" s="2070">
        <v>0</v>
      </c>
      <c r="I66" s="2070">
        <v>8.5984522785898529E-4</v>
      </c>
      <c r="J66" s="2070">
        <v>0</v>
      </c>
      <c r="K66" s="2070">
        <v>3.5253654342218398E-3</v>
      </c>
      <c r="L66" s="2070">
        <v>2.0292347377472049E-2</v>
      </c>
      <c r="M66" s="2070">
        <v>7.1367153912295783E-3</v>
      </c>
      <c r="N66" s="2070">
        <v>8.9423903697334467E-3</v>
      </c>
      <c r="O66" s="2070">
        <v>2.7773000859845232E-2</v>
      </c>
      <c r="P66" s="2070">
        <v>2.063628546861565E-2</v>
      </c>
      <c r="Q66" s="2070">
        <v>5.6405846947549437E-2</v>
      </c>
      <c r="R66" s="2070">
        <v>3.9466895958727433E-2</v>
      </c>
      <c r="S66" s="2070">
        <v>0.24634565778159925</v>
      </c>
      <c r="T66" s="2070">
        <v>0.53018056749785047</v>
      </c>
      <c r="U66" s="2070">
        <v>0.68933791917454845</v>
      </c>
      <c r="V66" s="2070">
        <v>0.63155631986242466</v>
      </c>
      <c r="W66" s="2070">
        <v>0.70713671539122958</v>
      </c>
      <c r="X66" s="2070">
        <v>1.1246775580395529</v>
      </c>
    </row>
    <row r="67" spans="1:24" ht="11.25" customHeight="1">
      <c r="A67" s="2074" t="s">
        <v>5825</v>
      </c>
      <c r="B67" s="2069" t="s">
        <v>5826</v>
      </c>
      <c r="C67" s="2070">
        <v>0</v>
      </c>
      <c r="D67" s="2070">
        <v>0</v>
      </c>
      <c r="E67" s="2070">
        <v>0</v>
      </c>
      <c r="F67" s="2070">
        <v>0</v>
      </c>
      <c r="G67" s="2070">
        <v>0</v>
      </c>
      <c r="H67" s="2070">
        <v>0</v>
      </c>
      <c r="I67" s="2070">
        <v>0</v>
      </c>
      <c r="J67" s="2070">
        <v>0</v>
      </c>
      <c r="K67" s="2070">
        <v>0</v>
      </c>
      <c r="L67" s="2070">
        <v>0</v>
      </c>
      <c r="M67" s="2070">
        <v>0</v>
      </c>
      <c r="N67" s="2070">
        <v>0</v>
      </c>
      <c r="O67" s="2070">
        <v>0</v>
      </c>
      <c r="P67" s="2070">
        <v>0</v>
      </c>
      <c r="Q67" s="2070">
        <v>0</v>
      </c>
      <c r="R67" s="2070">
        <v>0</v>
      </c>
      <c r="S67" s="2070">
        <v>0</v>
      </c>
      <c r="T67" s="2070">
        <v>0</v>
      </c>
      <c r="U67" s="2070">
        <v>0</v>
      </c>
      <c r="V67" s="2070">
        <v>0</v>
      </c>
      <c r="W67" s="2070">
        <v>0</v>
      </c>
      <c r="X67" s="2070">
        <v>0</v>
      </c>
    </row>
    <row r="68" spans="1:24" ht="11.25" customHeight="1">
      <c r="A68" s="2074" t="s">
        <v>5827</v>
      </c>
      <c r="B68" s="2069" t="s">
        <v>5828</v>
      </c>
      <c r="C68" s="2070">
        <v>0</v>
      </c>
      <c r="D68" s="2070">
        <v>0</v>
      </c>
      <c r="E68" s="2070">
        <v>0</v>
      </c>
      <c r="F68" s="2070">
        <v>0</v>
      </c>
      <c r="G68" s="2070">
        <v>0</v>
      </c>
      <c r="H68" s="2070">
        <v>0</v>
      </c>
      <c r="I68" s="2070">
        <v>0</v>
      </c>
      <c r="J68" s="2070">
        <v>0</v>
      </c>
      <c r="K68" s="2070">
        <v>0</v>
      </c>
      <c r="L68" s="2070">
        <v>0</v>
      </c>
      <c r="M68" s="2070">
        <v>0</v>
      </c>
      <c r="N68" s="2070">
        <v>0</v>
      </c>
      <c r="O68" s="2070">
        <v>0</v>
      </c>
      <c r="P68" s="2070">
        <v>0</v>
      </c>
      <c r="Q68" s="2070">
        <v>0</v>
      </c>
      <c r="R68" s="2070">
        <v>0</v>
      </c>
      <c r="S68" s="2070">
        <v>0</v>
      </c>
      <c r="T68" s="2070">
        <v>0</v>
      </c>
      <c r="U68" s="2070">
        <v>0</v>
      </c>
      <c r="V68" s="2070">
        <v>0</v>
      </c>
      <c r="W68" s="2070">
        <v>0</v>
      </c>
      <c r="X68" s="2070">
        <v>0</v>
      </c>
    </row>
    <row r="69" spans="1:24" ht="11.25" customHeight="1">
      <c r="A69" s="2074" t="s">
        <v>4619</v>
      </c>
      <c r="B69" s="2069" t="s">
        <v>5829</v>
      </c>
      <c r="C69" s="2070">
        <v>0</v>
      </c>
      <c r="D69" s="2070">
        <v>0</v>
      </c>
      <c r="E69" s="2070">
        <v>0</v>
      </c>
      <c r="F69" s="2070">
        <v>0</v>
      </c>
      <c r="G69" s="2070">
        <v>0</v>
      </c>
      <c r="H69" s="2070">
        <v>0</v>
      </c>
      <c r="I69" s="2070">
        <v>0</v>
      </c>
      <c r="J69" s="2070">
        <v>5.8688736027515036</v>
      </c>
      <c r="K69" s="2070">
        <v>56.483404987102311</v>
      </c>
      <c r="L69" s="2070">
        <v>22.787102321582111</v>
      </c>
      <c r="M69" s="2070">
        <v>14.363198624247637</v>
      </c>
      <c r="N69" s="2070">
        <v>2.054858125537403</v>
      </c>
      <c r="O69" s="2070">
        <v>4.3742906276870155</v>
      </c>
      <c r="P69" s="2070">
        <v>9.1226139294926902</v>
      </c>
      <c r="Q69" s="2070">
        <v>22.404041272570936</v>
      </c>
      <c r="R69" s="2070">
        <v>14.804299226139293</v>
      </c>
      <c r="S69" s="2070">
        <v>16.85588993981083</v>
      </c>
      <c r="T69" s="2070">
        <v>7.0902837489251933</v>
      </c>
      <c r="U69" s="2070">
        <v>10.85717970765262</v>
      </c>
      <c r="V69" s="2070">
        <v>8.4207222699914013</v>
      </c>
      <c r="W69" s="2070">
        <v>1.9895958727429062</v>
      </c>
      <c r="X69" s="2070">
        <v>2.3162510748065346</v>
      </c>
    </row>
    <row r="70" spans="1:24" ht="11.25" customHeight="1">
      <c r="A70" s="2074" t="s">
        <v>5830</v>
      </c>
      <c r="B70" s="2069" t="s">
        <v>5831</v>
      </c>
      <c r="C70" s="2070">
        <v>1.9996343302056319</v>
      </c>
      <c r="D70" s="2070">
        <v>2.1312160868064254</v>
      </c>
      <c r="E70" s="2070">
        <v>2.2806491749648568</v>
      </c>
      <c r="F70" s="2070">
        <v>2.2545641776023437</v>
      </c>
      <c r="G70" s="2070">
        <v>2.1946140000050485</v>
      </c>
      <c r="H70" s="2070">
        <v>2.8013833330082587</v>
      </c>
      <c r="I70" s="2070">
        <v>2.949970524032806</v>
      </c>
      <c r="J70" s="2070">
        <v>2.6046780917236747</v>
      </c>
      <c r="K70" s="2070">
        <v>3.0495042979498805</v>
      </c>
      <c r="L70" s="2070">
        <v>3.9340934487886061</v>
      </c>
      <c r="M70" s="2070">
        <v>4.9166105847529034</v>
      </c>
      <c r="N70" s="2070">
        <v>5.6630744111963649</v>
      </c>
      <c r="O70" s="2070">
        <v>6.8717755898361519</v>
      </c>
      <c r="P70" s="2070">
        <v>7.7153424761897194</v>
      </c>
      <c r="Q70" s="2070">
        <v>33.557294337409523</v>
      </c>
      <c r="R70" s="2070">
        <v>34.071048725323934</v>
      </c>
      <c r="S70" s="2070">
        <v>37.466548156691573</v>
      </c>
      <c r="T70" s="2070">
        <v>41.412960520337954</v>
      </c>
      <c r="U70" s="2070">
        <v>48.725116624191685</v>
      </c>
      <c r="V70" s="2070">
        <v>54.01946116552061</v>
      </c>
      <c r="W70" s="2070">
        <v>61.628717002436787</v>
      </c>
      <c r="X70" s="2070">
        <v>66.457621175195513</v>
      </c>
    </row>
    <row r="71" spans="1:24" ht="11.25" customHeight="1">
      <c r="A71" s="2071" t="s">
        <v>5832</v>
      </c>
      <c r="B71" s="2072" t="s">
        <v>5833</v>
      </c>
      <c r="C71" s="2073">
        <v>81.040412725709359</v>
      </c>
      <c r="D71" s="2073">
        <v>138.10077386070506</v>
      </c>
      <c r="E71" s="2073">
        <v>180.4719690455718</v>
      </c>
      <c r="F71" s="2073">
        <v>218.16199484092863</v>
      </c>
      <c r="G71" s="2073">
        <v>258.8133276010318</v>
      </c>
      <c r="H71" s="2073">
        <v>164.24823731728293</v>
      </c>
      <c r="I71" s="2073">
        <v>147.23594153052449</v>
      </c>
      <c r="J71" s="2073">
        <v>175.76061908856403</v>
      </c>
      <c r="K71" s="2073">
        <v>214.26981943250212</v>
      </c>
      <c r="L71" s="2073">
        <v>180.83791917454857</v>
      </c>
      <c r="M71" s="2073">
        <v>364.63817712811687</v>
      </c>
      <c r="N71" s="2073">
        <v>389.86199484092867</v>
      </c>
      <c r="O71" s="2073">
        <v>417.00601891659494</v>
      </c>
      <c r="P71" s="2073">
        <v>390.83671539122952</v>
      </c>
      <c r="Q71" s="2073">
        <v>404.60223559759243</v>
      </c>
      <c r="R71" s="2073">
        <v>476.19914015477218</v>
      </c>
      <c r="S71" s="2073">
        <v>571.99449699054162</v>
      </c>
      <c r="T71" s="2073">
        <v>495.09492691315563</v>
      </c>
      <c r="U71" s="2073">
        <v>446.77162510748059</v>
      </c>
      <c r="V71" s="2073">
        <v>411.07850386930357</v>
      </c>
      <c r="W71" s="2073">
        <v>406.12725709372307</v>
      </c>
      <c r="X71" s="2073">
        <v>409.24436801375754</v>
      </c>
    </row>
    <row r="72" spans="1:24" ht="11.25" customHeight="1">
      <c r="A72" s="2074" t="s">
        <v>5834</v>
      </c>
      <c r="B72" s="2069" t="s">
        <v>5835</v>
      </c>
      <c r="C72" s="2070">
        <v>80.992605331040394</v>
      </c>
      <c r="D72" s="2070">
        <v>138.07687016337059</v>
      </c>
      <c r="E72" s="2070">
        <v>180.44806534823732</v>
      </c>
      <c r="F72" s="2070">
        <v>216.53783319002579</v>
      </c>
      <c r="G72" s="2070">
        <v>256.66371453138436</v>
      </c>
      <c r="H72" s="2070">
        <v>163.10171969045575</v>
      </c>
      <c r="I72" s="2070">
        <v>146.13723129836626</v>
      </c>
      <c r="J72" s="2070">
        <v>130.71427343078244</v>
      </c>
      <c r="K72" s="2070">
        <v>214.26981943250212</v>
      </c>
      <c r="L72" s="2070">
        <v>180.83791917454857</v>
      </c>
      <c r="M72" s="2070">
        <v>343.52416165090278</v>
      </c>
      <c r="N72" s="2070">
        <v>369.27351676698197</v>
      </c>
      <c r="O72" s="2070">
        <v>398.71040412725699</v>
      </c>
      <c r="P72" s="2070">
        <v>371.82450558899393</v>
      </c>
      <c r="Q72" s="2070">
        <v>385.44677558039552</v>
      </c>
      <c r="R72" s="2070">
        <v>454.53585554600176</v>
      </c>
      <c r="S72" s="2070">
        <v>548.1576956147893</v>
      </c>
      <c r="T72" s="2070">
        <v>471.9030094582975</v>
      </c>
      <c r="U72" s="2070">
        <v>423.62295786758375</v>
      </c>
      <c r="V72" s="2070">
        <v>386.85571797076534</v>
      </c>
      <c r="W72" s="2070">
        <v>378.75348237317274</v>
      </c>
      <c r="X72" s="2070">
        <v>379.77076526225284</v>
      </c>
    </row>
    <row r="73" spans="1:24" ht="11.25" customHeight="1">
      <c r="A73" s="2074" t="s">
        <v>5836</v>
      </c>
      <c r="B73" s="2069" t="s">
        <v>5837</v>
      </c>
      <c r="C73" s="2070">
        <v>4.7807394668959599E-2</v>
      </c>
      <c r="D73" s="2070">
        <v>2.3903697334479789E-2</v>
      </c>
      <c r="E73" s="2070">
        <v>2.3903697334479789E-2</v>
      </c>
      <c r="F73" s="2070">
        <v>1.6241616509028378</v>
      </c>
      <c r="G73" s="2070">
        <v>2.1496130696474633</v>
      </c>
      <c r="H73" s="2070">
        <v>1.1465176268271708</v>
      </c>
      <c r="I73" s="2070">
        <v>1.0987102321582116</v>
      </c>
      <c r="J73" s="2070">
        <v>45.046345657781593</v>
      </c>
      <c r="K73" s="2070">
        <v>0</v>
      </c>
      <c r="L73" s="2070">
        <v>0</v>
      </c>
      <c r="M73" s="2070">
        <v>21.114015477214103</v>
      </c>
      <c r="N73" s="2070">
        <v>20.588478073946693</v>
      </c>
      <c r="O73" s="2070">
        <v>18.295614789337922</v>
      </c>
      <c r="P73" s="2070">
        <v>19.012209802235603</v>
      </c>
      <c r="Q73" s="2070">
        <v>19.155460017196898</v>
      </c>
      <c r="R73" s="2070">
        <v>21.663284608770418</v>
      </c>
      <c r="S73" s="2070">
        <v>23.836801375752358</v>
      </c>
      <c r="T73" s="2070">
        <v>23.191917454858121</v>
      </c>
      <c r="U73" s="2070">
        <v>23.148667239896817</v>
      </c>
      <c r="V73" s="2070">
        <v>24.222785898538259</v>
      </c>
      <c r="W73" s="2070">
        <v>27.373774720550305</v>
      </c>
      <c r="X73" s="2070">
        <v>29.473602751504725</v>
      </c>
    </row>
    <row r="74" spans="1:24" ht="11.25" customHeight="1">
      <c r="A74" s="2071" t="s">
        <v>4616</v>
      </c>
      <c r="B74" s="2072" t="s">
        <v>5838</v>
      </c>
      <c r="C74" s="2073">
        <v>0</v>
      </c>
      <c r="D74" s="2073">
        <v>0</v>
      </c>
      <c r="E74" s="2073">
        <v>0</v>
      </c>
      <c r="F74" s="2073">
        <v>0</v>
      </c>
      <c r="G74" s="2073">
        <v>0</v>
      </c>
      <c r="H74" s="2073">
        <v>0</v>
      </c>
      <c r="I74" s="2073">
        <v>0</v>
      </c>
      <c r="J74" s="2073">
        <v>0</v>
      </c>
      <c r="K74" s="2073">
        <v>0</v>
      </c>
      <c r="L74" s="2073">
        <v>0</v>
      </c>
      <c r="M74" s="2073">
        <v>0</v>
      </c>
      <c r="N74" s="2073">
        <v>0</v>
      </c>
      <c r="O74" s="2073">
        <v>0</v>
      </c>
      <c r="P74" s="2073">
        <v>0</v>
      </c>
      <c r="Q74" s="2073">
        <v>0</v>
      </c>
      <c r="R74" s="2073">
        <v>0</v>
      </c>
      <c r="S74" s="2073">
        <v>0</v>
      </c>
      <c r="T74" s="2073">
        <v>0</v>
      </c>
      <c r="U74" s="2073">
        <v>0</v>
      </c>
      <c r="V74" s="2073">
        <v>0</v>
      </c>
      <c r="W74" s="2073">
        <v>0</v>
      </c>
      <c r="X74" s="2073">
        <v>0</v>
      </c>
    </row>
    <row r="75" spans="1:24" ht="11.25" customHeight="1">
      <c r="A75" s="2071" t="s">
        <v>4671</v>
      </c>
      <c r="B75" s="2072" t="s">
        <v>5839</v>
      </c>
      <c r="C75" s="2073">
        <v>4750.2201203783316</v>
      </c>
      <c r="D75" s="2073">
        <v>4633.1614789337918</v>
      </c>
      <c r="E75" s="2073">
        <v>4759.652192605331</v>
      </c>
      <c r="F75" s="2073">
        <v>6050.98727429063</v>
      </c>
      <c r="G75" s="2073">
        <v>6811.3219260533087</v>
      </c>
      <c r="H75" s="2073">
        <v>7146.0545141874472</v>
      </c>
      <c r="I75" s="2073">
        <v>7475.7909716251088</v>
      </c>
      <c r="J75" s="2073">
        <v>7775.0728288907994</v>
      </c>
      <c r="K75" s="2073">
        <v>7406.3893379191741</v>
      </c>
      <c r="L75" s="2073">
        <v>7212.9428202923455</v>
      </c>
      <c r="M75" s="2073">
        <v>6975.3766981943245</v>
      </c>
      <c r="N75" s="2073">
        <v>8069.5211521926067</v>
      </c>
      <c r="O75" s="2073">
        <v>8041.2233877901981</v>
      </c>
      <c r="P75" s="2073">
        <v>8397.7791917454852</v>
      </c>
      <c r="Q75" s="2073">
        <v>7707.0371453138432</v>
      </c>
      <c r="R75" s="2073">
        <v>7351.234565778158</v>
      </c>
      <c r="S75" s="2073">
        <v>7616.2259673258814</v>
      </c>
      <c r="T75" s="2073">
        <v>7430.594754944108</v>
      </c>
      <c r="U75" s="2073">
        <v>7572.657007738605</v>
      </c>
      <c r="V75" s="2073">
        <v>7735.798452278591</v>
      </c>
      <c r="W75" s="2073">
        <v>7240.0324161650897</v>
      </c>
      <c r="X75" s="2073">
        <v>7232.430266552019</v>
      </c>
    </row>
    <row r="76" spans="1:24" ht="11.25" customHeight="1">
      <c r="A76" s="2075" t="s">
        <v>4282</v>
      </c>
      <c r="B76" s="2076" t="s">
        <v>5840</v>
      </c>
      <c r="C76" s="2077">
        <v>15105.922012037832</v>
      </c>
      <c r="D76" s="2077">
        <v>15072.154514187445</v>
      </c>
      <c r="E76" s="2077">
        <v>15044.90472914875</v>
      </c>
      <c r="F76" s="2077">
        <v>15189.579191745484</v>
      </c>
      <c r="G76" s="2077">
        <v>15213.95829750645</v>
      </c>
      <c r="H76" s="2077">
        <v>15488.20128976784</v>
      </c>
      <c r="I76" s="2077">
        <v>15595.482803095443</v>
      </c>
      <c r="J76" s="2077">
        <v>15541.853138435081</v>
      </c>
      <c r="K76" s="2077">
        <v>15514.631642304386</v>
      </c>
      <c r="L76" s="2077">
        <v>13632.920550300945</v>
      </c>
      <c r="M76" s="2077">
        <v>14768.316337059328</v>
      </c>
      <c r="N76" s="2077">
        <v>13982.632760103181</v>
      </c>
      <c r="O76" s="2077">
        <v>13939.74909716251</v>
      </c>
      <c r="P76" s="2077">
        <v>13871.574032674116</v>
      </c>
      <c r="Q76" s="2077">
        <v>14076.46835769561</v>
      </c>
      <c r="R76" s="2077">
        <v>14155.466809974203</v>
      </c>
      <c r="S76" s="2077">
        <v>14275.594153052452</v>
      </c>
      <c r="T76" s="2077">
        <v>14526.096388650039</v>
      </c>
      <c r="U76" s="2077">
        <v>14397.187532244196</v>
      </c>
      <c r="V76" s="2077">
        <v>14247.641788478079</v>
      </c>
      <c r="W76" s="2077">
        <v>14047.960791057609</v>
      </c>
      <c r="X76" s="2077">
        <v>14295.423645743764</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3F906-967E-4C9E-94DD-0043B9A71DBA}">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baseColWidth="10" defaultColWidth="9.1640625" defaultRowHeight="11.25" customHeight="1"/>
  <cols>
    <col min="1" max="1" width="40.6640625" style="2059" bestFit="1" customWidth="1"/>
    <col min="2" max="2" width="16.1640625" style="2059" bestFit="1" customWidth="1"/>
    <col min="3" max="24" width="9.6640625" style="2059" customWidth="1"/>
    <col min="25" max="16384" width="9.1640625" style="2059"/>
  </cols>
  <sheetData>
    <row r="1" spans="1:24" ht="11.25" customHeight="1">
      <c r="A1" s="2057" t="s">
        <v>5845</v>
      </c>
      <c r="B1" s="2057" t="s">
        <v>5846</v>
      </c>
      <c r="C1" s="2058">
        <v>2000</v>
      </c>
      <c r="D1" s="2058">
        <v>2001</v>
      </c>
      <c r="E1" s="2058">
        <v>2002</v>
      </c>
      <c r="F1" s="2058">
        <v>2003</v>
      </c>
      <c r="G1" s="2058">
        <v>2004</v>
      </c>
      <c r="H1" s="2058">
        <v>2005</v>
      </c>
      <c r="I1" s="2058">
        <v>2006</v>
      </c>
      <c r="J1" s="2058">
        <v>2007</v>
      </c>
      <c r="K1" s="2058">
        <v>2008</v>
      </c>
      <c r="L1" s="2058">
        <v>2009</v>
      </c>
      <c r="M1" s="2058">
        <v>2010</v>
      </c>
      <c r="N1" s="2058">
        <v>2011</v>
      </c>
      <c r="O1" s="2058">
        <v>2012</v>
      </c>
      <c r="P1" s="2058">
        <v>2013</v>
      </c>
      <c r="Q1" s="2058">
        <v>2014</v>
      </c>
      <c r="R1" s="2058">
        <v>2015</v>
      </c>
      <c r="S1" s="2058">
        <v>2016</v>
      </c>
      <c r="T1" s="2058">
        <v>2017</v>
      </c>
      <c r="U1" s="2058">
        <v>2018</v>
      </c>
      <c r="V1" s="2058">
        <v>2019</v>
      </c>
      <c r="W1" s="2058">
        <v>2020</v>
      </c>
      <c r="X1" s="2058">
        <v>2021</v>
      </c>
    </row>
    <row r="2" spans="1:24" ht="11.25" customHeight="1">
      <c r="A2" s="2060" t="s">
        <v>1265</v>
      </c>
      <c r="B2" s="2060" t="s">
        <v>5738</v>
      </c>
      <c r="C2" s="2061">
        <v>41959.502474002024</v>
      </c>
      <c r="D2" s="2061">
        <v>42111.030462118506</v>
      </c>
      <c r="E2" s="2061">
        <v>41155.706408796133</v>
      </c>
      <c r="F2" s="2061">
        <v>42493.504591744488</v>
      </c>
      <c r="G2" s="2061">
        <v>43194.17677882142</v>
      </c>
      <c r="H2" s="2061">
        <v>43838.53020478932</v>
      </c>
      <c r="I2" s="2061">
        <v>42620.655301879531</v>
      </c>
      <c r="J2" s="2061">
        <v>43766.501933284591</v>
      </c>
      <c r="K2" s="2061">
        <v>41996.346892353504</v>
      </c>
      <c r="L2" s="2061">
        <v>34058.263878764526</v>
      </c>
      <c r="M2" s="2061">
        <v>34876.794389534974</v>
      </c>
      <c r="N2" s="2061">
        <v>35615.234520916492</v>
      </c>
      <c r="O2" s="2061">
        <v>32962.389674786878</v>
      </c>
      <c r="P2" s="2061">
        <v>31836.45604138021</v>
      </c>
      <c r="Q2" s="2061">
        <v>31742.600594679985</v>
      </c>
      <c r="R2" s="2061">
        <v>32393.32842394719</v>
      </c>
      <c r="S2" s="2061">
        <v>33011.531422778069</v>
      </c>
      <c r="T2" s="2061">
        <v>32904.709170734102</v>
      </c>
      <c r="U2" s="2061">
        <v>33886.727212036429</v>
      </c>
      <c r="V2" s="2061">
        <v>33547.032616802004</v>
      </c>
      <c r="W2" s="2061">
        <v>33047.626405184696</v>
      </c>
      <c r="X2" s="2061">
        <v>34360.789600544609</v>
      </c>
    </row>
    <row r="3" spans="1:24" ht="11.25" customHeight="1">
      <c r="A3" s="2062" t="s">
        <v>5739</v>
      </c>
      <c r="B3" s="2063" t="s">
        <v>5740</v>
      </c>
      <c r="C3" s="2064">
        <v>6973.7933791917449</v>
      </c>
      <c r="D3" s="2064">
        <v>6143.1600171969039</v>
      </c>
      <c r="E3" s="2064">
        <v>5403.3386070507304</v>
      </c>
      <c r="F3" s="2064">
        <v>5504.1552020636282</v>
      </c>
      <c r="G3" s="2064">
        <v>5410.5110920034394</v>
      </c>
      <c r="H3" s="2064">
        <v>4892.1581255374022</v>
      </c>
      <c r="I3" s="2064">
        <v>4912.3183147033533</v>
      </c>
      <c r="J3" s="2064">
        <v>6587.5347377472044</v>
      </c>
      <c r="K3" s="2064">
        <v>6106.0025795356851</v>
      </c>
      <c r="L3" s="2064">
        <v>4117.5516766981937</v>
      </c>
      <c r="M3" s="2064">
        <v>4435.4155631986241</v>
      </c>
      <c r="N3" s="2064">
        <v>5091.5141014617366</v>
      </c>
      <c r="O3" s="2064">
        <v>4700.1556319862411</v>
      </c>
      <c r="P3" s="2064">
        <v>4038.4478073946684</v>
      </c>
      <c r="Q3" s="2064">
        <v>4161.8687016337053</v>
      </c>
      <c r="R3" s="2064">
        <v>3836.8477214101467</v>
      </c>
      <c r="S3" s="2064">
        <v>3755.3312983662936</v>
      </c>
      <c r="T3" s="2064">
        <v>3774.2709372312984</v>
      </c>
      <c r="U3" s="2064">
        <v>3916.4059329320717</v>
      </c>
      <c r="V3" s="2064">
        <v>3736.1895098882201</v>
      </c>
      <c r="W3" s="2064">
        <v>3839.2883920894228</v>
      </c>
      <c r="X3" s="2064">
        <v>3711.6868443680132</v>
      </c>
    </row>
    <row r="4" spans="1:24" ht="11.25" customHeight="1">
      <c r="A4" s="2065" t="s">
        <v>5741</v>
      </c>
      <c r="B4" s="2066" t="s">
        <v>5742</v>
      </c>
      <c r="C4" s="2067">
        <v>5134.483147033533</v>
      </c>
      <c r="D4" s="2067">
        <v>4470.947635425623</v>
      </c>
      <c r="E4" s="2067">
        <v>3887.6173688736026</v>
      </c>
      <c r="F4" s="2067">
        <v>3694.7596732588136</v>
      </c>
      <c r="G4" s="2067">
        <v>3527.6431642304383</v>
      </c>
      <c r="H4" s="2067">
        <v>3211.1962166809967</v>
      </c>
      <c r="I4" s="2067">
        <v>3196.3689595872738</v>
      </c>
      <c r="J4" s="2067">
        <v>4678.237145313843</v>
      </c>
      <c r="K4" s="2067">
        <v>4187.8939810834054</v>
      </c>
      <c r="L4" s="2067">
        <v>2600.1866723989679</v>
      </c>
      <c r="M4" s="2067">
        <v>2826.2487532244195</v>
      </c>
      <c r="N4" s="2067">
        <v>3342.515047291487</v>
      </c>
      <c r="O4" s="2067">
        <v>2902.2295786758377</v>
      </c>
      <c r="P4" s="2067">
        <v>2334.0767841788474</v>
      </c>
      <c r="Q4" s="2067">
        <v>2458.6582975064484</v>
      </c>
      <c r="R4" s="2067">
        <v>2126.07437661221</v>
      </c>
      <c r="S4" s="2067">
        <v>2067.4597592433361</v>
      </c>
      <c r="T4" s="2067">
        <v>2044.8760103181426</v>
      </c>
      <c r="U4" s="2067">
        <v>2221.6690455717967</v>
      </c>
      <c r="V4" s="2067">
        <v>2118.5169389509888</v>
      </c>
      <c r="W4" s="2067">
        <v>1893.0004299226136</v>
      </c>
      <c r="X4" s="2067">
        <v>1993.7403267411862</v>
      </c>
    </row>
    <row r="5" spans="1:24" ht="11.25" customHeight="1">
      <c r="A5" s="2068" t="s">
        <v>4613</v>
      </c>
      <c r="B5" s="2069" t="s">
        <v>5743</v>
      </c>
      <c r="C5" s="2070">
        <v>12.503353396388649</v>
      </c>
      <c r="D5" s="2070">
        <v>9.7506448839208932</v>
      </c>
      <c r="E5" s="2070">
        <v>57.656319862424759</v>
      </c>
      <c r="F5" s="2070">
        <v>88.702321582115218</v>
      </c>
      <c r="G5" s="2070">
        <v>133.12579535683574</v>
      </c>
      <c r="H5" s="2070">
        <v>144.20163370593292</v>
      </c>
      <c r="I5" s="2070">
        <v>138.11332760103181</v>
      </c>
      <c r="J5" s="2070">
        <v>169.85468615649185</v>
      </c>
      <c r="K5" s="2070">
        <v>182.28374892519346</v>
      </c>
      <c r="L5" s="2070">
        <v>153.68254514187444</v>
      </c>
      <c r="M5" s="2070">
        <v>243.34445399828024</v>
      </c>
      <c r="N5" s="2070">
        <v>387.62837489251928</v>
      </c>
      <c r="O5" s="2070">
        <v>350.37540842648315</v>
      </c>
      <c r="P5" s="2070">
        <v>207.68228718830608</v>
      </c>
      <c r="Q5" s="2070">
        <v>121.98478073946687</v>
      </c>
      <c r="R5" s="2070">
        <v>107.99346517626827</v>
      </c>
      <c r="S5" s="2070">
        <v>124.28151332760105</v>
      </c>
      <c r="T5" s="2070">
        <v>121.33680137575236</v>
      </c>
      <c r="U5" s="2070">
        <v>153.61736887360274</v>
      </c>
      <c r="V5" s="2070">
        <v>124.92794496990543</v>
      </c>
      <c r="W5" s="2070">
        <v>99.349269131556298</v>
      </c>
      <c r="X5" s="2070">
        <v>158.39415305245052</v>
      </c>
    </row>
    <row r="6" spans="1:24" ht="11.25" customHeight="1">
      <c r="A6" s="2068" t="s">
        <v>4647</v>
      </c>
      <c r="B6" s="2069" t="s">
        <v>5744</v>
      </c>
      <c r="C6" s="2070">
        <v>2.6993981083404979</v>
      </c>
      <c r="D6" s="2070">
        <v>1.361049011177988</v>
      </c>
      <c r="E6" s="2070">
        <v>0.67489251934651762</v>
      </c>
      <c r="F6" s="2070">
        <v>0</v>
      </c>
      <c r="G6" s="2070">
        <v>0</v>
      </c>
      <c r="H6" s="2070">
        <v>0</v>
      </c>
      <c r="I6" s="2070">
        <v>0</v>
      </c>
      <c r="J6" s="2070">
        <v>7.0000859845227854</v>
      </c>
      <c r="K6" s="2070">
        <v>7.0280309544282016</v>
      </c>
      <c r="L6" s="2070">
        <v>0</v>
      </c>
      <c r="M6" s="2070">
        <v>0</v>
      </c>
      <c r="N6" s="2070">
        <v>0</v>
      </c>
      <c r="O6" s="2070">
        <v>39.821582115219265</v>
      </c>
      <c r="P6" s="2070">
        <v>0</v>
      </c>
      <c r="Q6" s="2070">
        <v>1.1999999999999997</v>
      </c>
      <c r="R6" s="2070">
        <v>0.20240756663800522</v>
      </c>
      <c r="S6" s="2070">
        <v>0.30980223559759251</v>
      </c>
      <c r="T6" s="2070">
        <v>0.24342218400687871</v>
      </c>
      <c r="U6" s="2070">
        <v>0.39458297506448836</v>
      </c>
      <c r="V6" s="2070">
        <v>0.25098882201203782</v>
      </c>
      <c r="W6" s="2070">
        <v>0.30154772141014624</v>
      </c>
      <c r="X6" s="2070">
        <v>0.33628546861564912</v>
      </c>
    </row>
    <row r="7" spans="1:24" ht="11.25" customHeight="1">
      <c r="A7" s="2068" t="s">
        <v>4648</v>
      </c>
      <c r="B7" s="2069" t="s">
        <v>5745</v>
      </c>
      <c r="C7" s="2070">
        <v>5119.2803955288036</v>
      </c>
      <c r="D7" s="2070">
        <v>4459.835941530524</v>
      </c>
      <c r="E7" s="2070">
        <v>3829.2861564918312</v>
      </c>
      <c r="F7" s="2070">
        <v>3606.0573516766985</v>
      </c>
      <c r="G7" s="2070">
        <v>3394.5173688736027</v>
      </c>
      <c r="H7" s="2070">
        <v>3066.9945829750636</v>
      </c>
      <c r="I7" s="2070">
        <v>3058.255631986242</v>
      </c>
      <c r="J7" s="2070">
        <v>4501.382373172828</v>
      </c>
      <c r="K7" s="2070">
        <v>3998.5822012037834</v>
      </c>
      <c r="L7" s="2070">
        <v>2446.5041272570934</v>
      </c>
      <c r="M7" s="2070">
        <v>2582.9042992261393</v>
      </c>
      <c r="N7" s="2070">
        <v>2954.8866723989677</v>
      </c>
      <c r="O7" s="2070">
        <v>2512.0325881341355</v>
      </c>
      <c r="P7" s="2070">
        <v>2126.3944969905415</v>
      </c>
      <c r="Q7" s="2070">
        <v>2335.4735167669814</v>
      </c>
      <c r="R7" s="2070">
        <v>2017.8785038693036</v>
      </c>
      <c r="S7" s="2070">
        <v>1942.8684436801375</v>
      </c>
      <c r="T7" s="2070">
        <v>1923.2957867583834</v>
      </c>
      <c r="U7" s="2070">
        <v>2067.6570937231295</v>
      </c>
      <c r="V7" s="2070">
        <v>1993.3380051590711</v>
      </c>
      <c r="W7" s="2070">
        <v>1793.3496130696471</v>
      </c>
      <c r="X7" s="2070">
        <v>1835.00988822012</v>
      </c>
    </row>
    <row r="8" spans="1:24" ht="11.25" customHeight="1">
      <c r="A8" s="2065" t="s">
        <v>5746</v>
      </c>
      <c r="B8" s="2066" t="s">
        <v>5747</v>
      </c>
      <c r="C8" s="2067">
        <v>210.85210662080823</v>
      </c>
      <c r="D8" s="2067">
        <v>181.07609630266549</v>
      </c>
      <c r="E8" s="2067">
        <v>160.93508168529664</v>
      </c>
      <c r="F8" s="2067">
        <v>169.0334479793637</v>
      </c>
      <c r="G8" s="2067">
        <v>205.58933791917457</v>
      </c>
      <c r="H8" s="2067">
        <v>187.57145313843506</v>
      </c>
      <c r="I8" s="2067">
        <v>218.88469475494409</v>
      </c>
      <c r="J8" s="2067">
        <v>241.67291487532242</v>
      </c>
      <c r="K8" s="2067">
        <v>285.65004299226138</v>
      </c>
      <c r="L8" s="2067">
        <v>181.88865004299225</v>
      </c>
      <c r="M8" s="2067">
        <v>157.52373172828891</v>
      </c>
      <c r="N8" s="2067">
        <v>119.09802235597591</v>
      </c>
      <c r="O8" s="2067">
        <v>263.35907136715389</v>
      </c>
      <c r="P8" s="2067">
        <v>218.7595872742906</v>
      </c>
      <c r="Q8" s="2067">
        <v>208.77033533963885</v>
      </c>
      <c r="R8" s="2067">
        <v>201.29965606190882</v>
      </c>
      <c r="S8" s="2067">
        <v>196.38675838349096</v>
      </c>
      <c r="T8" s="2067">
        <v>167.8062768701634</v>
      </c>
      <c r="U8" s="2067">
        <v>178.71496130696471</v>
      </c>
      <c r="V8" s="2067">
        <v>179.86001719690455</v>
      </c>
      <c r="W8" s="2067">
        <v>170.53525365434217</v>
      </c>
      <c r="X8" s="2067">
        <v>220.34600171969046</v>
      </c>
    </row>
    <row r="9" spans="1:24" ht="11.25" customHeight="1">
      <c r="A9" s="2068" t="s">
        <v>4649</v>
      </c>
      <c r="B9" s="2069" t="s">
        <v>5748</v>
      </c>
      <c r="C9" s="2070">
        <v>116.94453998280306</v>
      </c>
      <c r="D9" s="2070">
        <v>106.15993121238175</v>
      </c>
      <c r="E9" s="2070">
        <v>83.690369733447966</v>
      </c>
      <c r="F9" s="2070">
        <v>83.185296646603604</v>
      </c>
      <c r="G9" s="2070">
        <v>108.30679277730009</v>
      </c>
      <c r="H9" s="2070">
        <v>111.83344797936371</v>
      </c>
      <c r="I9" s="2070">
        <v>151.5974204643164</v>
      </c>
      <c r="J9" s="2070">
        <v>158.66302665520203</v>
      </c>
      <c r="K9" s="2070">
        <v>137.26947549441101</v>
      </c>
      <c r="L9" s="2070">
        <v>73.85081685296646</v>
      </c>
      <c r="M9" s="2070">
        <v>62.367755803955284</v>
      </c>
      <c r="N9" s="2070">
        <v>46.951504729148738</v>
      </c>
      <c r="O9" s="2070">
        <v>155.10885640584689</v>
      </c>
      <c r="P9" s="2070">
        <v>134.63619948409286</v>
      </c>
      <c r="Q9" s="2070">
        <v>114.06371453138433</v>
      </c>
      <c r="R9" s="2070">
        <v>109.98624247635425</v>
      </c>
      <c r="S9" s="2070">
        <v>115.51203783319002</v>
      </c>
      <c r="T9" s="2070">
        <v>94.599140154772158</v>
      </c>
      <c r="U9" s="2070">
        <v>97.456491831470331</v>
      </c>
      <c r="V9" s="2070">
        <v>111.37704213241616</v>
      </c>
      <c r="W9" s="2070">
        <v>106.25012897678415</v>
      </c>
      <c r="X9" s="2070">
        <v>128.85855546001721</v>
      </c>
    </row>
    <row r="10" spans="1:24" ht="11.25" customHeight="1">
      <c r="A10" s="2068" t="s">
        <v>4290</v>
      </c>
      <c r="B10" s="2069" t="s">
        <v>5749</v>
      </c>
      <c r="C10" s="2070">
        <v>93.907566638005164</v>
      </c>
      <c r="D10" s="2070">
        <v>74.916165090283741</v>
      </c>
      <c r="E10" s="2070">
        <v>77.244711951848672</v>
      </c>
      <c r="F10" s="2070">
        <v>85.848151332760111</v>
      </c>
      <c r="G10" s="2070">
        <v>97.282545141874465</v>
      </c>
      <c r="H10" s="2070">
        <v>75.738005159071363</v>
      </c>
      <c r="I10" s="2070">
        <v>67.287274290627693</v>
      </c>
      <c r="J10" s="2070">
        <v>83.009888220120388</v>
      </c>
      <c r="K10" s="2070">
        <v>148.38056749785036</v>
      </c>
      <c r="L10" s="2070">
        <v>108.03783319002579</v>
      </c>
      <c r="M10" s="2070">
        <v>95.155975924333617</v>
      </c>
      <c r="N10" s="2070">
        <v>72.146517626827176</v>
      </c>
      <c r="O10" s="2070">
        <v>108.25021496130697</v>
      </c>
      <c r="P10" s="2070">
        <v>84.123387790197754</v>
      </c>
      <c r="Q10" s="2070">
        <v>94.706620808254499</v>
      </c>
      <c r="R10" s="2070">
        <v>91.313413585554585</v>
      </c>
      <c r="S10" s="2070">
        <v>80.874720550300935</v>
      </c>
      <c r="T10" s="2070">
        <v>73.207136715391229</v>
      </c>
      <c r="U10" s="2070">
        <v>81.258469475494394</v>
      </c>
      <c r="V10" s="2070">
        <v>68.4829750644884</v>
      </c>
      <c r="W10" s="2070">
        <v>64.285124677558031</v>
      </c>
      <c r="X10" s="2070">
        <v>91.487446259673249</v>
      </c>
    </row>
    <row r="11" spans="1:24" ht="11.25" customHeight="1">
      <c r="A11" s="2065" t="s">
        <v>5750</v>
      </c>
      <c r="B11" s="2066" t="s">
        <v>5751</v>
      </c>
      <c r="C11" s="2067">
        <v>1628.4581255374032</v>
      </c>
      <c r="D11" s="2067">
        <v>1491.1362854686158</v>
      </c>
      <c r="E11" s="2067">
        <v>1354.7861564918312</v>
      </c>
      <c r="F11" s="2067">
        <v>1640.3620808254514</v>
      </c>
      <c r="G11" s="2067">
        <v>1677.2785898538268</v>
      </c>
      <c r="H11" s="2067">
        <v>1493.3904557179706</v>
      </c>
      <c r="I11" s="2067">
        <v>1497.0646603611351</v>
      </c>
      <c r="J11" s="2067">
        <v>1667.6246775580398</v>
      </c>
      <c r="K11" s="2067">
        <v>1632.4585554600176</v>
      </c>
      <c r="L11" s="2067">
        <v>1335.4763542562337</v>
      </c>
      <c r="M11" s="2067">
        <v>1451.6430782459156</v>
      </c>
      <c r="N11" s="2067">
        <v>1629.9010318142741</v>
      </c>
      <c r="O11" s="2067">
        <v>1534.5669819432501</v>
      </c>
      <c r="P11" s="2067">
        <v>1485.6114359415305</v>
      </c>
      <c r="Q11" s="2067">
        <v>1494.4400687876182</v>
      </c>
      <c r="R11" s="2067">
        <v>1509.4736887360275</v>
      </c>
      <c r="S11" s="2067">
        <v>1491.4847807394667</v>
      </c>
      <c r="T11" s="2067">
        <v>1561.5886500429924</v>
      </c>
      <c r="U11" s="2067">
        <v>1516.0219260533104</v>
      </c>
      <c r="V11" s="2067">
        <v>1437.8125537403266</v>
      </c>
      <c r="W11" s="2067">
        <v>1775.7527085124671</v>
      </c>
      <c r="X11" s="2067">
        <v>1497.6005159071365</v>
      </c>
    </row>
    <row r="12" spans="1:24" ht="11.25" customHeight="1">
      <c r="A12" s="2068" t="s">
        <v>4650</v>
      </c>
      <c r="B12" s="2069" t="s">
        <v>5752</v>
      </c>
      <c r="C12" s="2070">
        <v>0.55021496130696479</v>
      </c>
      <c r="D12" s="2070">
        <v>0</v>
      </c>
      <c r="E12" s="2070">
        <v>0</v>
      </c>
      <c r="F12" s="2070">
        <v>0</v>
      </c>
      <c r="G12" s="2070">
        <v>1.4999140154772141</v>
      </c>
      <c r="H12" s="2070">
        <v>0.74995700773860685</v>
      </c>
      <c r="I12" s="2070">
        <v>0.74995700773860685</v>
      </c>
      <c r="J12" s="2070">
        <v>0</v>
      </c>
      <c r="K12" s="2070">
        <v>0.74995700773860696</v>
      </c>
      <c r="L12" s="2070">
        <v>0</v>
      </c>
      <c r="M12" s="2070">
        <v>0</v>
      </c>
      <c r="N12" s="2070">
        <v>0.76431642304385194</v>
      </c>
      <c r="O12" s="2070">
        <v>7.643078245915734</v>
      </c>
      <c r="P12" s="2070">
        <v>4.5858125537403263</v>
      </c>
      <c r="Q12" s="2070">
        <v>0</v>
      </c>
      <c r="R12" s="2070">
        <v>0</v>
      </c>
      <c r="S12" s="2070">
        <v>0</v>
      </c>
      <c r="T12" s="2070">
        <v>2.7343078245915732E-2</v>
      </c>
      <c r="U12" s="2070">
        <v>3.1470335339638861E-2</v>
      </c>
      <c r="V12" s="2070">
        <v>2.4161650902837485E-2</v>
      </c>
      <c r="W12" s="2070">
        <v>2.2871883061049009E-2</v>
      </c>
      <c r="X12" s="2070">
        <v>5.1676698194325001E-2</v>
      </c>
    </row>
    <row r="13" spans="1:24" ht="11.25" customHeight="1">
      <c r="A13" s="2068" t="s">
        <v>4651</v>
      </c>
      <c r="B13" s="2069" t="s">
        <v>5753</v>
      </c>
      <c r="C13" s="2070">
        <v>611.25941530524506</v>
      </c>
      <c r="D13" s="2070">
        <v>551.86784178847813</v>
      </c>
      <c r="E13" s="2070">
        <v>498.24075666380037</v>
      </c>
      <c r="F13" s="2070">
        <v>555.17669819432501</v>
      </c>
      <c r="G13" s="2070">
        <v>501.69673258813418</v>
      </c>
      <c r="H13" s="2070">
        <v>383.72725709372304</v>
      </c>
      <c r="I13" s="2070">
        <v>402.00859845227853</v>
      </c>
      <c r="J13" s="2070">
        <v>474.58839208942391</v>
      </c>
      <c r="K13" s="2070">
        <v>439.79853826311273</v>
      </c>
      <c r="L13" s="2070">
        <v>366.98693035253655</v>
      </c>
      <c r="M13" s="2070">
        <v>360.40765262252791</v>
      </c>
      <c r="N13" s="2070">
        <v>356.18804815133279</v>
      </c>
      <c r="O13" s="2070">
        <v>328.98847807394668</v>
      </c>
      <c r="P13" s="2070">
        <v>280.62149613069647</v>
      </c>
      <c r="Q13" s="2070">
        <v>289.00636285468613</v>
      </c>
      <c r="R13" s="2070">
        <v>319.48675838349095</v>
      </c>
      <c r="S13" s="2070">
        <v>309.85563198624249</v>
      </c>
      <c r="T13" s="2070">
        <v>303.36345657781601</v>
      </c>
      <c r="U13" s="2070">
        <v>317.73731728288908</v>
      </c>
      <c r="V13" s="2070">
        <v>297.61676698194321</v>
      </c>
      <c r="W13" s="2070">
        <v>290.27815993121237</v>
      </c>
      <c r="X13" s="2070">
        <v>318.7740326741187</v>
      </c>
    </row>
    <row r="14" spans="1:24" ht="11.25" customHeight="1">
      <c r="A14" s="2068" t="s">
        <v>4652</v>
      </c>
      <c r="B14" s="2069" t="s">
        <v>5754</v>
      </c>
      <c r="C14" s="2070">
        <v>0</v>
      </c>
      <c r="D14" s="2070">
        <v>0</v>
      </c>
      <c r="E14" s="2070">
        <v>0</v>
      </c>
      <c r="F14" s="2070">
        <v>0</v>
      </c>
      <c r="G14" s="2070">
        <v>0</v>
      </c>
      <c r="H14" s="2070">
        <v>0</v>
      </c>
      <c r="I14" s="2070">
        <v>0</v>
      </c>
      <c r="J14" s="2070">
        <v>0</v>
      </c>
      <c r="K14" s="2070">
        <v>0</v>
      </c>
      <c r="L14" s="2070">
        <v>0</v>
      </c>
      <c r="M14" s="2070">
        <v>0</v>
      </c>
      <c r="N14" s="2070">
        <v>0</v>
      </c>
      <c r="O14" s="2070">
        <v>0</v>
      </c>
      <c r="P14" s="2070">
        <v>0</v>
      </c>
      <c r="Q14" s="2070">
        <v>0</v>
      </c>
      <c r="R14" s="2070">
        <v>0</v>
      </c>
      <c r="S14" s="2070">
        <v>0</v>
      </c>
      <c r="T14" s="2070">
        <v>0</v>
      </c>
      <c r="U14" s="2070">
        <v>0</v>
      </c>
      <c r="V14" s="2070">
        <v>0</v>
      </c>
      <c r="W14" s="2070">
        <v>0</v>
      </c>
      <c r="X14" s="2070">
        <v>0</v>
      </c>
    </row>
    <row r="15" spans="1:24" ht="11.25" customHeight="1">
      <c r="A15" s="2068" t="s">
        <v>4653</v>
      </c>
      <c r="B15" s="2069" t="s">
        <v>5755</v>
      </c>
      <c r="C15" s="2070">
        <v>0</v>
      </c>
      <c r="D15" s="2070">
        <v>0</v>
      </c>
      <c r="E15" s="2070">
        <v>0</v>
      </c>
      <c r="F15" s="2070">
        <v>0</v>
      </c>
      <c r="G15" s="2070">
        <v>0</v>
      </c>
      <c r="H15" s="2070">
        <v>0</v>
      </c>
      <c r="I15" s="2070">
        <v>0.89329320722269978</v>
      </c>
      <c r="J15" s="2070">
        <v>15.907136715391232</v>
      </c>
      <c r="K15" s="2070">
        <v>15.023387790197759</v>
      </c>
      <c r="L15" s="2070">
        <v>17.751504729148749</v>
      </c>
      <c r="M15" s="2070">
        <v>3.5288048151332756</v>
      </c>
      <c r="N15" s="2070">
        <v>18.555803955288049</v>
      </c>
      <c r="O15" s="2070">
        <v>18.70928632846088</v>
      </c>
      <c r="P15" s="2070">
        <v>18.042390369733454</v>
      </c>
      <c r="Q15" s="2070">
        <v>18.42691315563199</v>
      </c>
      <c r="R15" s="2070">
        <v>17.57953568357695</v>
      </c>
      <c r="S15" s="2070">
        <v>15.245915735167671</v>
      </c>
      <c r="T15" s="2070">
        <v>11.7457437661221</v>
      </c>
      <c r="U15" s="2070">
        <v>18.06190885640585</v>
      </c>
      <c r="V15" s="2070">
        <v>14.642562338779021</v>
      </c>
      <c r="W15" s="2070">
        <v>4.0249355116079109</v>
      </c>
      <c r="X15" s="2070">
        <v>1.348667239896818</v>
      </c>
    </row>
    <row r="16" spans="1:24" ht="11.25" customHeight="1">
      <c r="A16" s="2068" t="s">
        <v>5756</v>
      </c>
      <c r="B16" s="2069" t="s">
        <v>5757</v>
      </c>
      <c r="C16" s="2070">
        <v>1016.6484952708513</v>
      </c>
      <c r="D16" s="2070">
        <v>939.26844368013769</v>
      </c>
      <c r="E16" s="2070">
        <v>856.5453998280309</v>
      </c>
      <c r="F16" s="2070">
        <v>1085.1853826311262</v>
      </c>
      <c r="G16" s="2070">
        <v>1174.0819432502153</v>
      </c>
      <c r="H16" s="2070">
        <v>1108.9132416165089</v>
      </c>
      <c r="I16" s="2070">
        <v>1093.4128116938953</v>
      </c>
      <c r="J16" s="2070">
        <v>1177.1291487532246</v>
      </c>
      <c r="K16" s="2070">
        <v>1176.8866723989684</v>
      </c>
      <c r="L16" s="2070">
        <v>950.73791917454844</v>
      </c>
      <c r="M16" s="2070">
        <v>1087.7066208082545</v>
      </c>
      <c r="N16" s="2070">
        <v>1254.3928632846093</v>
      </c>
      <c r="O16" s="2070">
        <v>1179.2261392949267</v>
      </c>
      <c r="P16" s="2070">
        <v>1182.3617368873602</v>
      </c>
      <c r="Q16" s="2070">
        <v>1187.0067927773</v>
      </c>
      <c r="R16" s="2070">
        <v>1172.4073946689596</v>
      </c>
      <c r="S16" s="2070">
        <v>1166.3832330180567</v>
      </c>
      <c r="T16" s="2070">
        <v>1246.4521066208083</v>
      </c>
      <c r="U16" s="2070">
        <v>1180.1912295786758</v>
      </c>
      <c r="V16" s="2070">
        <v>1125.5290627687016</v>
      </c>
      <c r="W16" s="2070">
        <v>1481.4267411865858</v>
      </c>
      <c r="X16" s="2070">
        <v>1177.4261392949265</v>
      </c>
    </row>
    <row r="17" spans="1:24" ht="11.25" customHeight="1">
      <c r="A17" s="2071" t="s">
        <v>5758</v>
      </c>
      <c r="B17" s="2072" t="s">
        <v>5759</v>
      </c>
      <c r="C17" s="2073">
        <v>68.491487532244179</v>
      </c>
      <c r="D17" s="2073">
        <v>84.728202923473773</v>
      </c>
      <c r="E17" s="2073">
        <v>81.403439380911436</v>
      </c>
      <c r="F17" s="2073">
        <v>45.703181427343075</v>
      </c>
      <c r="G17" s="2073">
        <v>63.411177987962155</v>
      </c>
      <c r="H17" s="2073">
        <v>60.081685296646604</v>
      </c>
      <c r="I17" s="2073">
        <v>63.456577815993107</v>
      </c>
      <c r="J17" s="2073">
        <v>66.308426483232992</v>
      </c>
      <c r="K17" s="2073">
        <v>61.034651762682714</v>
      </c>
      <c r="L17" s="2073">
        <v>47.776354256233873</v>
      </c>
      <c r="M17" s="2073">
        <v>60.597592433361974</v>
      </c>
      <c r="N17" s="2073">
        <v>67.094239036973349</v>
      </c>
      <c r="O17" s="2073">
        <v>62.21461736887359</v>
      </c>
      <c r="P17" s="2073">
        <v>56.515735167669817</v>
      </c>
      <c r="Q17" s="2073">
        <v>67.237489251934647</v>
      </c>
      <c r="R17" s="2073">
        <v>74.7945829750645</v>
      </c>
      <c r="S17" s="2073">
        <v>82.376526225279449</v>
      </c>
      <c r="T17" s="2073">
        <v>81.01392949269129</v>
      </c>
      <c r="U17" s="2073">
        <v>67.159673258813413</v>
      </c>
      <c r="V17" s="2073">
        <v>65.678761822871891</v>
      </c>
      <c r="W17" s="2073">
        <v>65.979019776440239</v>
      </c>
      <c r="X17" s="2073">
        <v>75.960361134995694</v>
      </c>
    </row>
    <row r="18" spans="1:24" ht="11.25" customHeight="1">
      <c r="A18" s="2074" t="s">
        <v>4654</v>
      </c>
      <c r="B18" s="2069" t="s">
        <v>5760</v>
      </c>
      <c r="C18" s="2070">
        <v>2.773000859845228</v>
      </c>
      <c r="D18" s="2070">
        <v>2.0421324161650896</v>
      </c>
      <c r="E18" s="2070">
        <v>2.407566638005159</v>
      </c>
      <c r="F18" s="2070">
        <v>0.34393809114359414</v>
      </c>
      <c r="G18" s="2070">
        <v>0.40842648323301817</v>
      </c>
      <c r="H18" s="2070">
        <v>0.55889939810834033</v>
      </c>
      <c r="I18" s="2070">
        <v>0.64488392089423885</v>
      </c>
      <c r="J18" s="2070">
        <v>0.64488392089423896</v>
      </c>
      <c r="K18" s="2070">
        <v>0.45141874462596737</v>
      </c>
      <c r="L18" s="2070">
        <v>0</v>
      </c>
      <c r="M18" s="2070">
        <v>0</v>
      </c>
      <c r="N18" s="2070">
        <v>0</v>
      </c>
      <c r="O18" s="2070">
        <v>0</v>
      </c>
      <c r="P18" s="2070">
        <v>0</v>
      </c>
      <c r="Q18" s="2070">
        <v>0</v>
      </c>
      <c r="R18" s="2070">
        <v>0</v>
      </c>
      <c r="S18" s="2070">
        <v>0</v>
      </c>
      <c r="T18" s="2070">
        <v>0</v>
      </c>
      <c r="U18" s="2070">
        <v>0</v>
      </c>
      <c r="V18" s="2070">
        <v>0</v>
      </c>
      <c r="W18" s="2070">
        <v>0</v>
      </c>
      <c r="X18" s="2070">
        <v>0</v>
      </c>
    </row>
    <row r="19" spans="1:24" ht="11.25" customHeight="1">
      <c r="A19" s="2074" t="s">
        <v>4655</v>
      </c>
      <c r="B19" s="2069" t="s">
        <v>5761</v>
      </c>
      <c r="C19" s="2070">
        <v>65.455717970765249</v>
      </c>
      <c r="D19" s="2070">
        <v>73.538263112639726</v>
      </c>
      <c r="E19" s="2070">
        <v>69.131556319862426</v>
      </c>
      <c r="F19" s="2070">
        <v>41.895958727429061</v>
      </c>
      <c r="G19" s="2070">
        <v>59.587274290627676</v>
      </c>
      <c r="H19" s="2070">
        <v>56.083404987102327</v>
      </c>
      <c r="I19" s="2070">
        <v>59.157351676698184</v>
      </c>
      <c r="J19" s="2070">
        <v>62.510748065348224</v>
      </c>
      <c r="K19" s="2070">
        <v>57.502149613069641</v>
      </c>
      <c r="L19" s="2070">
        <v>46.58211521926053</v>
      </c>
      <c r="M19" s="2070">
        <v>59.3078245915735</v>
      </c>
      <c r="N19" s="2070">
        <v>65.756663800515909</v>
      </c>
      <c r="O19" s="2070">
        <v>60.87704213241615</v>
      </c>
      <c r="P19" s="2070">
        <v>54.987102321582114</v>
      </c>
      <c r="Q19" s="2070">
        <v>65.111779879621665</v>
      </c>
      <c r="R19" s="2070">
        <v>60.511607910576103</v>
      </c>
      <c r="S19" s="2070">
        <v>64.845227858985382</v>
      </c>
      <c r="T19" s="2070">
        <v>63.578245915735152</v>
      </c>
      <c r="U19" s="2070">
        <v>57.391659501289766</v>
      </c>
      <c r="V19" s="2070">
        <v>53.734479793637156</v>
      </c>
      <c r="W19" s="2070">
        <v>54.518228718830606</v>
      </c>
      <c r="X19" s="2070">
        <v>63.811263972484952</v>
      </c>
    </row>
    <row r="20" spans="1:24" ht="11.25" customHeight="1">
      <c r="A20" s="2074" t="s">
        <v>4656</v>
      </c>
      <c r="B20" s="2069" t="s">
        <v>5762</v>
      </c>
      <c r="C20" s="2070">
        <v>0.26276870163370591</v>
      </c>
      <c r="D20" s="2070">
        <v>9.1478073946689591</v>
      </c>
      <c r="E20" s="2070">
        <v>9.8643164230438529</v>
      </c>
      <c r="F20" s="2070">
        <v>3.463284608770421</v>
      </c>
      <c r="G20" s="2070">
        <v>3.415477214101462</v>
      </c>
      <c r="H20" s="2070">
        <v>3.4393809114359408</v>
      </c>
      <c r="I20" s="2070">
        <v>3.654342218400688</v>
      </c>
      <c r="J20" s="2070">
        <v>1.6002579535683583</v>
      </c>
      <c r="K20" s="2070">
        <v>1.361392949269131</v>
      </c>
      <c r="L20" s="2070">
        <v>0.16723989681857268</v>
      </c>
      <c r="M20" s="2070">
        <v>9.5528804815133261E-2</v>
      </c>
      <c r="N20" s="2070">
        <v>2.3903697334479789E-2</v>
      </c>
      <c r="O20" s="2070">
        <v>2.3903697334479789E-2</v>
      </c>
      <c r="P20" s="2070">
        <v>2.3903697334479786E-2</v>
      </c>
      <c r="Q20" s="2070">
        <v>2.3903697334479793E-2</v>
      </c>
      <c r="R20" s="2070">
        <v>2.3903697334479793E-2</v>
      </c>
      <c r="S20" s="2070">
        <v>4.7807394668959592E-2</v>
      </c>
      <c r="T20" s="2070">
        <v>2.4935511607910585E-3</v>
      </c>
      <c r="U20" s="2070">
        <v>3.5253654342218398E-3</v>
      </c>
      <c r="V20" s="2070">
        <v>4.9871023215821153E-3</v>
      </c>
      <c r="W20" s="2070">
        <v>5.5030094582975064E-3</v>
      </c>
      <c r="X20" s="2070">
        <v>5.5889939810834051E-3</v>
      </c>
    </row>
    <row r="21" spans="1:24" ht="11.25" customHeight="1">
      <c r="A21" s="2074" t="s">
        <v>4615</v>
      </c>
      <c r="B21" s="2069" t="s">
        <v>5763</v>
      </c>
      <c r="C21" s="2070">
        <v>0</v>
      </c>
      <c r="D21" s="2070">
        <v>0</v>
      </c>
      <c r="E21" s="2070">
        <v>0</v>
      </c>
      <c r="F21" s="2070">
        <v>0</v>
      </c>
      <c r="G21" s="2070">
        <v>0</v>
      </c>
      <c r="H21" s="2070">
        <v>0</v>
      </c>
      <c r="I21" s="2070">
        <v>0</v>
      </c>
      <c r="J21" s="2070">
        <v>1.5525365434221838</v>
      </c>
      <c r="K21" s="2070">
        <v>1.7196904557179713</v>
      </c>
      <c r="L21" s="2070">
        <v>1.026999140154772</v>
      </c>
      <c r="M21" s="2070">
        <v>1.1942390369733449</v>
      </c>
      <c r="N21" s="2070">
        <v>1.3136715391229581</v>
      </c>
      <c r="O21" s="2070">
        <v>1.3136715391229581</v>
      </c>
      <c r="P21" s="2070">
        <v>1.5047291487532242</v>
      </c>
      <c r="Q21" s="2070">
        <v>2.1018056749785035</v>
      </c>
      <c r="R21" s="2070">
        <v>14.259071367153911</v>
      </c>
      <c r="S21" s="2070">
        <v>17.483490971625102</v>
      </c>
      <c r="T21" s="2070">
        <v>17.433190025795355</v>
      </c>
      <c r="U21" s="2070">
        <v>9.7644883920894241</v>
      </c>
      <c r="V21" s="2070">
        <v>11.939294926913151</v>
      </c>
      <c r="W21" s="2070">
        <v>11.455288048151335</v>
      </c>
      <c r="X21" s="2070">
        <v>12.143508168529662</v>
      </c>
    </row>
    <row r="22" spans="1:24" ht="11.25" customHeight="1">
      <c r="A22" s="2071" t="s">
        <v>4741</v>
      </c>
      <c r="B22" s="2072" t="s">
        <v>5764</v>
      </c>
      <c r="C22" s="2073">
        <v>2.0273430782459156</v>
      </c>
      <c r="D22" s="2073">
        <v>10.470077386070505</v>
      </c>
      <c r="E22" s="2073">
        <v>2.9788478073946694</v>
      </c>
      <c r="F22" s="2073">
        <v>2.0251074806534826</v>
      </c>
      <c r="G22" s="2073">
        <v>5.6716251074806525</v>
      </c>
      <c r="H22" s="2073">
        <v>3.3175408426483237</v>
      </c>
      <c r="I22" s="2073">
        <v>2.8276870163370593</v>
      </c>
      <c r="J22" s="2073">
        <v>2.9963026655202061</v>
      </c>
      <c r="K22" s="2073">
        <v>3.2554600171969028</v>
      </c>
      <c r="L22" s="2073">
        <v>0.23628546861564917</v>
      </c>
      <c r="M22" s="2073">
        <v>0.52132416165090278</v>
      </c>
      <c r="N22" s="2073">
        <v>1.3184006878761818</v>
      </c>
      <c r="O22" s="2073">
        <v>1.2981083404987099</v>
      </c>
      <c r="P22" s="2073">
        <v>0.839810834049871</v>
      </c>
      <c r="Q22" s="2073">
        <v>0.83981083404987089</v>
      </c>
      <c r="R22" s="2073">
        <v>0.83981083404987089</v>
      </c>
      <c r="S22" s="2073">
        <v>1.0774720550300945</v>
      </c>
      <c r="T22" s="2073">
        <v>1.1047291487532245</v>
      </c>
      <c r="U22" s="2073">
        <v>1.1106620808254517</v>
      </c>
      <c r="V22" s="2073">
        <v>0.75322441960447106</v>
      </c>
      <c r="W22" s="2073">
        <v>0.28039552880481505</v>
      </c>
      <c r="X22" s="2073">
        <v>0.24935511607910571</v>
      </c>
    </row>
    <row r="23" spans="1:24" ht="11.25" customHeight="1">
      <c r="A23" s="2074" t="s">
        <v>559</v>
      </c>
      <c r="B23" s="2069" t="s">
        <v>5765</v>
      </c>
      <c r="C23" s="2070">
        <v>2.0273430782459156</v>
      </c>
      <c r="D23" s="2070">
        <v>10.470077386070505</v>
      </c>
      <c r="E23" s="2070">
        <v>2.9788478073946694</v>
      </c>
      <c r="F23" s="2070">
        <v>2.0251074806534826</v>
      </c>
      <c r="G23" s="2070">
        <v>5.6716251074806525</v>
      </c>
      <c r="H23" s="2070">
        <v>3.3175408426483237</v>
      </c>
      <c r="I23" s="2070">
        <v>2.8276870163370593</v>
      </c>
      <c r="J23" s="2070">
        <v>2.9963026655202061</v>
      </c>
      <c r="K23" s="2070">
        <v>3.2554600171969028</v>
      </c>
      <c r="L23" s="2070">
        <v>0.23628546861564917</v>
      </c>
      <c r="M23" s="2070">
        <v>0.52132416165090278</v>
      </c>
      <c r="N23" s="2070">
        <v>1.3184006878761818</v>
      </c>
      <c r="O23" s="2070">
        <v>1.2981083404987099</v>
      </c>
      <c r="P23" s="2070">
        <v>0.839810834049871</v>
      </c>
      <c r="Q23" s="2070">
        <v>0.83981083404987089</v>
      </c>
      <c r="R23" s="2070">
        <v>0.83981083404987089</v>
      </c>
      <c r="S23" s="2070">
        <v>1.0774720550300945</v>
      </c>
      <c r="T23" s="2070">
        <v>1.1047291487532245</v>
      </c>
      <c r="U23" s="2070">
        <v>1.1106620808254517</v>
      </c>
      <c r="V23" s="2070">
        <v>0.75322441960447106</v>
      </c>
      <c r="W23" s="2070">
        <v>0.24866723989681852</v>
      </c>
      <c r="X23" s="2070">
        <v>0.24935511607910571</v>
      </c>
    </row>
    <row r="24" spans="1:24" ht="11.25" customHeight="1">
      <c r="A24" s="2074" t="s">
        <v>4657</v>
      </c>
      <c r="B24" s="2069" t="s">
        <v>5766</v>
      </c>
      <c r="C24" s="2070">
        <v>0</v>
      </c>
      <c r="D24" s="2070">
        <v>0</v>
      </c>
      <c r="E24" s="2070">
        <v>0</v>
      </c>
      <c r="F24" s="2070">
        <v>0</v>
      </c>
      <c r="G24" s="2070">
        <v>0</v>
      </c>
      <c r="H24" s="2070">
        <v>0</v>
      </c>
      <c r="I24" s="2070">
        <v>0</v>
      </c>
      <c r="J24" s="2070">
        <v>0</v>
      </c>
      <c r="K24" s="2070">
        <v>0</v>
      </c>
      <c r="L24" s="2070">
        <v>0</v>
      </c>
      <c r="M24" s="2070">
        <v>0</v>
      </c>
      <c r="N24" s="2070">
        <v>0</v>
      </c>
      <c r="O24" s="2070">
        <v>0</v>
      </c>
      <c r="P24" s="2070">
        <v>0</v>
      </c>
      <c r="Q24" s="2070">
        <v>0</v>
      </c>
      <c r="R24" s="2070">
        <v>0</v>
      </c>
      <c r="S24" s="2070">
        <v>0</v>
      </c>
      <c r="T24" s="2070">
        <v>0</v>
      </c>
      <c r="U24" s="2070">
        <v>0</v>
      </c>
      <c r="V24" s="2070">
        <v>0</v>
      </c>
      <c r="W24" s="2070">
        <v>3.1728288907996553E-2</v>
      </c>
      <c r="X24" s="2070">
        <v>0</v>
      </c>
    </row>
    <row r="25" spans="1:24" ht="11.25" customHeight="1">
      <c r="A25" s="2071" t="s">
        <v>4658</v>
      </c>
      <c r="B25" s="2072" t="s">
        <v>5767</v>
      </c>
      <c r="C25" s="2073">
        <v>60.30911435941529</v>
      </c>
      <c r="D25" s="2073">
        <v>59.030868443680113</v>
      </c>
      <c r="E25" s="2073">
        <v>50.598194325021517</v>
      </c>
      <c r="F25" s="2073">
        <v>43.72760103181426</v>
      </c>
      <c r="G25" s="2073">
        <v>47.030610490111776</v>
      </c>
      <c r="H25" s="2073">
        <v>67.215391229578685</v>
      </c>
      <c r="I25" s="2073">
        <v>52.05141874462597</v>
      </c>
      <c r="J25" s="2073">
        <v>74.462596732588111</v>
      </c>
      <c r="K25" s="2073">
        <v>70.110404127257084</v>
      </c>
      <c r="L25" s="2073">
        <v>32.443336199484087</v>
      </c>
      <c r="M25" s="2073">
        <v>44.063198624247626</v>
      </c>
      <c r="N25" s="2073">
        <v>52.219088564058467</v>
      </c>
      <c r="O25" s="2073">
        <v>41.520636285468612</v>
      </c>
      <c r="P25" s="2073">
        <v>36.2737747205503</v>
      </c>
      <c r="Q25" s="2073">
        <v>33.910834049871021</v>
      </c>
      <c r="R25" s="2073">
        <v>14.961392949269129</v>
      </c>
      <c r="S25" s="2073">
        <v>9.7381771281169378</v>
      </c>
      <c r="T25" s="2073">
        <v>19.980739466895958</v>
      </c>
      <c r="U25" s="2073">
        <v>22.422613929492691</v>
      </c>
      <c r="V25" s="2073">
        <v>19.881169389509889</v>
      </c>
      <c r="W25" s="2073">
        <v>1.3795356835769561</v>
      </c>
      <c r="X25" s="2073">
        <v>0</v>
      </c>
    </row>
    <row r="26" spans="1:24" ht="11.25" customHeight="1">
      <c r="A26" s="2071" t="s">
        <v>3872</v>
      </c>
      <c r="B26" s="2072" t="s">
        <v>5768</v>
      </c>
      <c r="C26" s="2073">
        <v>11299.735683576953</v>
      </c>
      <c r="D26" s="2073">
        <v>11460.915391229577</v>
      </c>
      <c r="E26" s="2073">
        <v>11857.774892519343</v>
      </c>
      <c r="F26" s="2073">
        <v>11827.698968185727</v>
      </c>
      <c r="G26" s="2073">
        <v>12618.424419604469</v>
      </c>
      <c r="H26" s="2073">
        <v>12634.417540842647</v>
      </c>
      <c r="I26" s="2073">
        <v>12231.111865864143</v>
      </c>
      <c r="J26" s="2073">
        <v>11842.691573516768</v>
      </c>
      <c r="K26" s="2073">
        <v>11498.725365434222</v>
      </c>
      <c r="L26" s="2073">
        <v>9469.6231298366274</v>
      </c>
      <c r="M26" s="2073">
        <v>8918.6888220120363</v>
      </c>
      <c r="N26" s="2073">
        <v>8354.3969045571775</v>
      </c>
      <c r="O26" s="2073">
        <v>7256.8889079965611</v>
      </c>
      <c r="P26" s="2073">
        <v>6464.2774720550306</v>
      </c>
      <c r="Q26" s="2073">
        <v>5945.4784178847813</v>
      </c>
      <c r="R26" s="2073">
        <v>6667.8953568357701</v>
      </c>
      <c r="S26" s="2073">
        <v>6504.9256233877895</v>
      </c>
      <c r="T26" s="2073">
        <v>5701.2943250214967</v>
      </c>
      <c r="U26" s="2073">
        <v>5635.2523645743759</v>
      </c>
      <c r="V26" s="2073">
        <v>5505.8335339638861</v>
      </c>
      <c r="W26" s="2073">
        <v>5365.7079105760968</v>
      </c>
      <c r="X26" s="2073">
        <v>5085.2503869303528</v>
      </c>
    </row>
    <row r="27" spans="1:24" ht="11.25" customHeight="1">
      <c r="A27" s="2065" t="s">
        <v>5769</v>
      </c>
      <c r="B27" s="2066" t="s">
        <v>5770</v>
      </c>
      <c r="C27" s="2067">
        <v>0</v>
      </c>
      <c r="D27" s="2067">
        <v>0</v>
      </c>
      <c r="E27" s="2067">
        <v>0</v>
      </c>
      <c r="F27" s="2067">
        <v>0</v>
      </c>
      <c r="G27" s="2067">
        <v>0</v>
      </c>
      <c r="H27" s="2067">
        <v>0</v>
      </c>
      <c r="I27" s="2067">
        <v>0</v>
      </c>
      <c r="J27" s="2067">
        <v>0</v>
      </c>
      <c r="K27" s="2067">
        <v>0</v>
      </c>
      <c r="L27" s="2067">
        <v>0</v>
      </c>
      <c r="M27" s="2067">
        <v>0</v>
      </c>
      <c r="N27" s="2067">
        <v>0</v>
      </c>
      <c r="O27" s="2067">
        <v>0</v>
      </c>
      <c r="P27" s="2067">
        <v>7.0722269991401543</v>
      </c>
      <c r="Q27" s="2067">
        <v>7.0722269991401534</v>
      </c>
      <c r="R27" s="2067">
        <v>0</v>
      </c>
      <c r="S27" s="2067">
        <v>0</v>
      </c>
      <c r="T27" s="2067">
        <v>0</v>
      </c>
      <c r="U27" s="2067">
        <v>0</v>
      </c>
      <c r="V27" s="2067">
        <v>0</v>
      </c>
      <c r="W27" s="2067">
        <v>0</v>
      </c>
      <c r="X27" s="2067">
        <v>0</v>
      </c>
    </row>
    <row r="28" spans="1:24" ht="11.25" customHeight="1">
      <c r="A28" s="2068" t="s">
        <v>4659</v>
      </c>
      <c r="B28" s="2069" t="s">
        <v>5771</v>
      </c>
      <c r="C28" s="2070">
        <v>0</v>
      </c>
      <c r="D28" s="2070">
        <v>0</v>
      </c>
      <c r="E28" s="2070">
        <v>0</v>
      </c>
      <c r="F28" s="2070">
        <v>0</v>
      </c>
      <c r="G28" s="2070">
        <v>0</v>
      </c>
      <c r="H28" s="2070">
        <v>0</v>
      </c>
      <c r="I28" s="2070">
        <v>0</v>
      </c>
      <c r="J28" s="2070">
        <v>0</v>
      </c>
      <c r="K28" s="2070">
        <v>0</v>
      </c>
      <c r="L28" s="2070">
        <v>0</v>
      </c>
      <c r="M28" s="2070">
        <v>0</v>
      </c>
      <c r="N28" s="2070">
        <v>0</v>
      </c>
      <c r="O28" s="2070">
        <v>0</v>
      </c>
      <c r="P28" s="2070">
        <v>7.0722269991401543</v>
      </c>
      <c r="Q28" s="2070">
        <v>7.0722269991401534</v>
      </c>
      <c r="R28" s="2070">
        <v>0</v>
      </c>
      <c r="S28" s="2070">
        <v>0</v>
      </c>
      <c r="T28" s="2070">
        <v>0</v>
      </c>
      <c r="U28" s="2070">
        <v>0</v>
      </c>
      <c r="V28" s="2070">
        <v>0</v>
      </c>
      <c r="W28" s="2070">
        <v>0</v>
      </c>
      <c r="X28" s="2070">
        <v>0</v>
      </c>
    </row>
    <row r="29" spans="1:24" ht="11.25" customHeight="1">
      <c r="A29" s="2068" t="s">
        <v>4660</v>
      </c>
      <c r="B29" s="2069" t="s">
        <v>5772</v>
      </c>
      <c r="C29" s="2070">
        <v>0</v>
      </c>
      <c r="D29" s="2070">
        <v>0</v>
      </c>
      <c r="E29" s="2070">
        <v>0</v>
      </c>
      <c r="F29" s="2070">
        <v>0</v>
      </c>
      <c r="G29" s="2070">
        <v>0</v>
      </c>
      <c r="H29" s="2070">
        <v>0</v>
      </c>
      <c r="I29" s="2070">
        <v>0</v>
      </c>
      <c r="J29" s="2070">
        <v>0</v>
      </c>
      <c r="K29" s="2070">
        <v>0</v>
      </c>
      <c r="L29" s="2070">
        <v>0</v>
      </c>
      <c r="M29" s="2070">
        <v>0</v>
      </c>
      <c r="N29" s="2070">
        <v>0</v>
      </c>
      <c r="O29" s="2070">
        <v>0</v>
      </c>
      <c r="P29" s="2070">
        <v>0</v>
      </c>
      <c r="Q29" s="2070">
        <v>0</v>
      </c>
      <c r="R29" s="2070">
        <v>0</v>
      </c>
      <c r="S29" s="2070">
        <v>0</v>
      </c>
      <c r="T29" s="2070">
        <v>0</v>
      </c>
      <c r="U29" s="2070">
        <v>0</v>
      </c>
      <c r="V29" s="2070">
        <v>0</v>
      </c>
      <c r="W29" s="2070">
        <v>0</v>
      </c>
      <c r="X29" s="2070">
        <v>0</v>
      </c>
    </row>
    <row r="30" spans="1:24" ht="11.25" customHeight="1">
      <c r="A30" s="2068" t="s">
        <v>4661</v>
      </c>
      <c r="B30" s="2069" t="s">
        <v>5773</v>
      </c>
      <c r="C30" s="2070">
        <v>0</v>
      </c>
      <c r="D30" s="2070">
        <v>0</v>
      </c>
      <c r="E30" s="2070">
        <v>0</v>
      </c>
      <c r="F30" s="2070">
        <v>0</v>
      </c>
      <c r="G30" s="2070">
        <v>0</v>
      </c>
      <c r="H30" s="2070">
        <v>0</v>
      </c>
      <c r="I30" s="2070">
        <v>0</v>
      </c>
      <c r="J30" s="2070">
        <v>0</v>
      </c>
      <c r="K30" s="2070">
        <v>0</v>
      </c>
      <c r="L30" s="2070">
        <v>0</v>
      </c>
      <c r="M30" s="2070">
        <v>0</v>
      </c>
      <c r="N30" s="2070">
        <v>0</v>
      </c>
      <c r="O30" s="2070">
        <v>0</v>
      </c>
      <c r="P30" s="2070">
        <v>0</v>
      </c>
      <c r="Q30" s="2070">
        <v>0</v>
      </c>
      <c r="R30" s="2070">
        <v>0</v>
      </c>
      <c r="S30" s="2070">
        <v>0</v>
      </c>
      <c r="T30" s="2070">
        <v>0</v>
      </c>
      <c r="U30" s="2070">
        <v>0</v>
      </c>
      <c r="V30" s="2070">
        <v>0</v>
      </c>
      <c r="W30" s="2070">
        <v>0</v>
      </c>
      <c r="X30" s="2070">
        <v>0</v>
      </c>
    </row>
    <row r="31" spans="1:24" ht="11.25" customHeight="1">
      <c r="A31" s="2068" t="s">
        <v>5774</v>
      </c>
      <c r="B31" s="2069" t="s">
        <v>5775</v>
      </c>
      <c r="C31" s="2070">
        <v>0</v>
      </c>
      <c r="D31" s="2070">
        <v>0</v>
      </c>
      <c r="E31" s="2070">
        <v>0</v>
      </c>
      <c r="F31" s="2070">
        <v>0</v>
      </c>
      <c r="G31" s="2070">
        <v>0</v>
      </c>
      <c r="H31" s="2070">
        <v>0</v>
      </c>
      <c r="I31" s="2070">
        <v>0</v>
      </c>
      <c r="J31" s="2070">
        <v>0</v>
      </c>
      <c r="K31" s="2070">
        <v>0</v>
      </c>
      <c r="L31" s="2070">
        <v>0</v>
      </c>
      <c r="M31" s="2070">
        <v>0</v>
      </c>
      <c r="N31" s="2070">
        <v>0</v>
      </c>
      <c r="O31" s="2070">
        <v>0</v>
      </c>
      <c r="P31" s="2070">
        <v>0</v>
      </c>
      <c r="Q31" s="2070">
        <v>0</v>
      </c>
      <c r="R31" s="2070">
        <v>0</v>
      </c>
      <c r="S31" s="2070">
        <v>0</v>
      </c>
      <c r="T31" s="2070">
        <v>0</v>
      </c>
      <c r="U31" s="2070">
        <v>0</v>
      </c>
      <c r="V31" s="2070">
        <v>0</v>
      </c>
      <c r="W31" s="2070">
        <v>0</v>
      </c>
      <c r="X31" s="2070">
        <v>0</v>
      </c>
    </row>
    <row r="32" spans="1:24" ht="11.25" customHeight="1">
      <c r="A32" s="2068" t="s">
        <v>4662</v>
      </c>
      <c r="B32" s="2069" t="s">
        <v>5776</v>
      </c>
      <c r="C32" s="2070">
        <v>0</v>
      </c>
      <c r="D32" s="2070">
        <v>0</v>
      </c>
      <c r="E32" s="2070">
        <v>0</v>
      </c>
      <c r="F32" s="2070">
        <v>0</v>
      </c>
      <c r="G32" s="2070">
        <v>0</v>
      </c>
      <c r="H32" s="2070">
        <v>0</v>
      </c>
      <c r="I32" s="2070">
        <v>0</v>
      </c>
      <c r="J32" s="2070">
        <v>0</v>
      </c>
      <c r="K32" s="2070">
        <v>0</v>
      </c>
      <c r="L32" s="2070">
        <v>0</v>
      </c>
      <c r="M32" s="2070">
        <v>0</v>
      </c>
      <c r="N32" s="2070">
        <v>0</v>
      </c>
      <c r="O32" s="2070">
        <v>0</v>
      </c>
      <c r="P32" s="2070">
        <v>0</v>
      </c>
      <c r="Q32" s="2070">
        <v>0</v>
      </c>
      <c r="R32" s="2070">
        <v>0</v>
      </c>
      <c r="S32" s="2070">
        <v>0</v>
      </c>
      <c r="T32" s="2070">
        <v>0</v>
      </c>
      <c r="U32" s="2070">
        <v>0</v>
      </c>
      <c r="V32" s="2070">
        <v>0</v>
      </c>
      <c r="W32" s="2070">
        <v>0</v>
      </c>
      <c r="X32" s="2070">
        <v>0</v>
      </c>
    </row>
    <row r="33" spans="1:24" ht="11.25" customHeight="1">
      <c r="A33" s="2065" t="s">
        <v>5777</v>
      </c>
      <c r="B33" s="2066" t="s">
        <v>5778</v>
      </c>
      <c r="C33" s="2067">
        <v>11299.735683576953</v>
      </c>
      <c r="D33" s="2067">
        <v>11460.915391229577</v>
      </c>
      <c r="E33" s="2067">
        <v>11857.774892519343</v>
      </c>
      <c r="F33" s="2067">
        <v>11827.698968185727</v>
      </c>
      <c r="G33" s="2067">
        <v>12618.424419604469</v>
      </c>
      <c r="H33" s="2067">
        <v>12634.417540842647</v>
      </c>
      <c r="I33" s="2067">
        <v>12231.111865864143</v>
      </c>
      <c r="J33" s="2067">
        <v>11842.691573516768</v>
      </c>
      <c r="K33" s="2067">
        <v>11498.725365434222</v>
      </c>
      <c r="L33" s="2067">
        <v>9469.6231298366274</v>
      </c>
      <c r="M33" s="2067">
        <v>8918.6888220120363</v>
      </c>
      <c r="N33" s="2067">
        <v>8354.3969045571775</v>
      </c>
      <c r="O33" s="2067">
        <v>7256.8889079965611</v>
      </c>
      <c r="P33" s="2067">
        <v>6457.2052450558904</v>
      </c>
      <c r="Q33" s="2067">
        <v>5938.4061908856411</v>
      </c>
      <c r="R33" s="2067">
        <v>6667.8953568357701</v>
      </c>
      <c r="S33" s="2067">
        <v>6504.9256233877895</v>
      </c>
      <c r="T33" s="2067">
        <v>5701.2943250214967</v>
      </c>
      <c r="U33" s="2067">
        <v>5635.2523645743759</v>
      </c>
      <c r="V33" s="2067">
        <v>5505.8335339638861</v>
      </c>
      <c r="W33" s="2067">
        <v>5365.7079105760968</v>
      </c>
      <c r="X33" s="2067">
        <v>5085.2503869303528</v>
      </c>
    </row>
    <row r="34" spans="1:24" ht="11.25" customHeight="1">
      <c r="A34" s="2068" t="s">
        <v>4607</v>
      </c>
      <c r="B34" s="2069" t="s">
        <v>5779</v>
      </c>
      <c r="C34" s="2070">
        <v>0</v>
      </c>
      <c r="D34" s="2070">
        <v>0</v>
      </c>
      <c r="E34" s="2070">
        <v>0</v>
      </c>
      <c r="F34" s="2070">
        <v>0</v>
      </c>
      <c r="G34" s="2070">
        <v>0</v>
      </c>
      <c r="H34" s="2070">
        <v>0</v>
      </c>
      <c r="I34" s="2070">
        <v>0</v>
      </c>
      <c r="J34" s="2070">
        <v>0</v>
      </c>
      <c r="K34" s="2070">
        <v>0</v>
      </c>
      <c r="L34" s="2070">
        <v>0</v>
      </c>
      <c r="M34" s="2070">
        <v>0</v>
      </c>
      <c r="N34" s="2070">
        <v>0</v>
      </c>
      <c r="O34" s="2070">
        <v>0</v>
      </c>
      <c r="P34" s="2070">
        <v>0</v>
      </c>
      <c r="Q34" s="2070">
        <v>0</v>
      </c>
      <c r="R34" s="2070">
        <v>0</v>
      </c>
      <c r="S34" s="2070">
        <v>0</v>
      </c>
      <c r="T34" s="2070">
        <v>0</v>
      </c>
      <c r="U34" s="2070">
        <v>0</v>
      </c>
      <c r="V34" s="2070">
        <v>0</v>
      </c>
      <c r="W34" s="2070">
        <v>0</v>
      </c>
      <c r="X34" s="2070">
        <v>0</v>
      </c>
    </row>
    <row r="35" spans="1:24" ht="11.25" customHeight="1">
      <c r="A35" s="2068" t="s">
        <v>587</v>
      </c>
      <c r="B35" s="2069" t="s">
        <v>5780</v>
      </c>
      <c r="C35" s="2070">
        <v>0</v>
      </c>
      <c r="D35" s="2070">
        <v>0</v>
      </c>
      <c r="E35" s="2070">
        <v>0</v>
      </c>
      <c r="F35" s="2070">
        <v>0</v>
      </c>
      <c r="G35" s="2070">
        <v>0</v>
      </c>
      <c r="H35" s="2070">
        <v>0</v>
      </c>
      <c r="I35" s="2070">
        <v>0</v>
      </c>
      <c r="J35" s="2070">
        <v>0</v>
      </c>
      <c r="K35" s="2070">
        <v>0</v>
      </c>
      <c r="L35" s="2070">
        <v>0</v>
      </c>
      <c r="M35" s="2070">
        <v>0</v>
      </c>
      <c r="N35" s="2070">
        <v>0</v>
      </c>
      <c r="O35" s="2070">
        <v>0</v>
      </c>
      <c r="P35" s="2070">
        <v>0</v>
      </c>
      <c r="Q35" s="2070">
        <v>0</v>
      </c>
      <c r="R35" s="2070">
        <v>0</v>
      </c>
      <c r="S35" s="2070">
        <v>0</v>
      </c>
      <c r="T35" s="2070">
        <v>0</v>
      </c>
      <c r="U35" s="2070">
        <v>0</v>
      </c>
      <c r="V35" s="2070">
        <v>0</v>
      </c>
      <c r="W35" s="2070">
        <v>0</v>
      </c>
      <c r="X35" s="2070">
        <v>0</v>
      </c>
    </row>
    <row r="36" spans="1:24" ht="11.25" customHeight="1">
      <c r="A36" s="2068" t="s">
        <v>5781</v>
      </c>
      <c r="B36" s="2069" t="s">
        <v>5782</v>
      </c>
      <c r="C36" s="2070">
        <v>778.82235597592444</v>
      </c>
      <c r="D36" s="2070">
        <v>758.1692175408424</v>
      </c>
      <c r="E36" s="2070">
        <v>720.97858985382618</v>
      </c>
      <c r="F36" s="2070">
        <v>646.1817712811694</v>
      </c>
      <c r="G36" s="2070">
        <v>500.74213241616508</v>
      </c>
      <c r="H36" s="2070">
        <v>451.32218400687862</v>
      </c>
      <c r="I36" s="2070">
        <v>465.60894239036975</v>
      </c>
      <c r="J36" s="2070">
        <v>409.16913155631988</v>
      </c>
      <c r="K36" s="2070">
        <v>347.26655202063631</v>
      </c>
      <c r="L36" s="2070">
        <v>304.0324161650903</v>
      </c>
      <c r="M36" s="2070">
        <v>314.18916595012894</v>
      </c>
      <c r="N36" s="2070">
        <v>272.23361994840923</v>
      </c>
      <c r="O36" s="2070">
        <v>253.3701633705933</v>
      </c>
      <c r="P36" s="2070">
        <v>214.71057609630265</v>
      </c>
      <c r="Q36" s="2070">
        <v>187.31771281169387</v>
      </c>
      <c r="R36" s="2070">
        <v>250.41306964746343</v>
      </c>
      <c r="S36" s="2070">
        <v>266.76302665520205</v>
      </c>
      <c r="T36" s="2070">
        <v>207.43112639724853</v>
      </c>
      <c r="U36" s="2070">
        <v>202.07815993121238</v>
      </c>
      <c r="V36" s="2070">
        <v>208.8169389509888</v>
      </c>
      <c r="W36" s="2070">
        <v>198.25262252794494</v>
      </c>
      <c r="X36" s="2070">
        <v>212.94565778159929</v>
      </c>
    </row>
    <row r="37" spans="1:24" ht="11.25" customHeight="1">
      <c r="A37" s="2068" t="s">
        <v>5783</v>
      </c>
      <c r="B37" s="2069" t="s">
        <v>5784</v>
      </c>
      <c r="C37" s="2070">
        <v>1.1462596732588128</v>
      </c>
      <c r="D37" s="2070">
        <v>1.1430782459157347</v>
      </c>
      <c r="E37" s="2070">
        <v>9.690455717970764E-2</v>
      </c>
      <c r="F37" s="2070">
        <v>9.690455717970764E-2</v>
      </c>
      <c r="G37" s="2070">
        <v>9.2691315563198623E-2</v>
      </c>
      <c r="H37" s="2070">
        <v>1.1374032674118655</v>
      </c>
      <c r="I37" s="2070">
        <v>2.1759243336199474</v>
      </c>
      <c r="J37" s="2070">
        <v>0.13714531384350817</v>
      </c>
      <c r="K37" s="2070">
        <v>1.146689595872743</v>
      </c>
      <c r="L37" s="2070">
        <v>2.2064488392089427</v>
      </c>
      <c r="M37" s="2070">
        <v>1.1371453138435084</v>
      </c>
      <c r="N37" s="2070">
        <v>8.521066208082545E-2</v>
      </c>
      <c r="O37" s="2070">
        <v>7.5580395528804814E-2</v>
      </c>
      <c r="P37" s="2070">
        <v>7.454858125537403E-2</v>
      </c>
      <c r="Q37" s="2070">
        <v>6.921754084264832E-2</v>
      </c>
      <c r="R37" s="2070">
        <v>1.097248495270851</v>
      </c>
      <c r="S37" s="2070">
        <v>1.1349957007738605</v>
      </c>
      <c r="T37" s="2070">
        <v>0.92218400687876168</v>
      </c>
      <c r="U37" s="2070">
        <v>0.75451418744625953</v>
      </c>
      <c r="V37" s="2070">
        <v>0.97962166809974205</v>
      </c>
      <c r="W37" s="2070">
        <v>0.35554600171969047</v>
      </c>
      <c r="X37" s="2070">
        <v>0.63061049011177983</v>
      </c>
    </row>
    <row r="38" spans="1:24" ht="11.25" customHeight="1">
      <c r="A38" s="2068" t="s">
        <v>4663</v>
      </c>
      <c r="B38" s="2069" t="s">
        <v>5785</v>
      </c>
      <c r="C38" s="2070">
        <v>0</v>
      </c>
      <c r="D38" s="2070">
        <v>0</v>
      </c>
      <c r="E38" s="2070">
        <v>0</v>
      </c>
      <c r="F38" s="2070">
        <v>0</v>
      </c>
      <c r="G38" s="2070">
        <v>0</v>
      </c>
      <c r="H38" s="2070">
        <v>0</v>
      </c>
      <c r="I38" s="2070">
        <v>0</v>
      </c>
      <c r="J38" s="2070">
        <v>0</v>
      </c>
      <c r="K38" s="2070">
        <v>0</v>
      </c>
      <c r="L38" s="2070">
        <v>0</v>
      </c>
      <c r="M38" s="2070">
        <v>0</v>
      </c>
      <c r="N38" s="2070">
        <v>0</v>
      </c>
      <c r="O38" s="2070">
        <v>0</v>
      </c>
      <c r="P38" s="2070">
        <v>0</v>
      </c>
      <c r="Q38" s="2070">
        <v>0</v>
      </c>
      <c r="R38" s="2070">
        <v>0</v>
      </c>
      <c r="S38" s="2070">
        <v>0</v>
      </c>
      <c r="T38" s="2070">
        <v>0</v>
      </c>
      <c r="U38" s="2070">
        <v>0</v>
      </c>
      <c r="V38" s="2070">
        <v>0</v>
      </c>
      <c r="W38" s="2070">
        <v>0</v>
      </c>
      <c r="X38" s="2070">
        <v>0</v>
      </c>
    </row>
    <row r="39" spans="1:24" ht="11.25" customHeight="1">
      <c r="A39" s="2068" t="s">
        <v>5786</v>
      </c>
      <c r="B39" s="2069" t="s">
        <v>5787</v>
      </c>
      <c r="C39" s="2070">
        <v>0</v>
      </c>
      <c r="D39" s="2070">
        <v>0</v>
      </c>
      <c r="E39" s="2070">
        <v>0</v>
      </c>
      <c r="F39" s="2070">
        <v>0</v>
      </c>
      <c r="G39" s="2070">
        <v>0</v>
      </c>
      <c r="H39" s="2070">
        <v>0</v>
      </c>
      <c r="I39" s="2070">
        <v>0</v>
      </c>
      <c r="J39" s="2070">
        <v>0</v>
      </c>
      <c r="K39" s="2070">
        <v>0</v>
      </c>
      <c r="L39" s="2070">
        <v>0</v>
      </c>
      <c r="M39" s="2070">
        <v>0</v>
      </c>
      <c r="N39" s="2070">
        <v>0</v>
      </c>
      <c r="O39" s="2070">
        <v>0</v>
      </c>
      <c r="P39" s="2070">
        <v>0</v>
      </c>
      <c r="Q39" s="2070">
        <v>0</v>
      </c>
      <c r="R39" s="2070">
        <v>0</v>
      </c>
      <c r="S39" s="2070">
        <v>0</v>
      </c>
      <c r="T39" s="2070">
        <v>0</v>
      </c>
      <c r="U39" s="2070">
        <v>0</v>
      </c>
      <c r="V39" s="2070">
        <v>0</v>
      </c>
      <c r="W39" s="2070">
        <v>0</v>
      </c>
      <c r="X39" s="2070">
        <v>0</v>
      </c>
    </row>
    <row r="40" spans="1:24" ht="11.25" customHeight="1">
      <c r="A40" s="2068" t="s">
        <v>5788</v>
      </c>
      <c r="B40" s="2069" t="s">
        <v>5789</v>
      </c>
      <c r="C40" s="2070">
        <v>0</v>
      </c>
      <c r="D40" s="2070">
        <v>0</v>
      </c>
      <c r="E40" s="2070">
        <v>0</v>
      </c>
      <c r="F40" s="2070">
        <v>0</v>
      </c>
      <c r="G40" s="2070">
        <v>0</v>
      </c>
      <c r="H40" s="2070">
        <v>0</v>
      </c>
      <c r="I40" s="2070">
        <v>0</v>
      </c>
      <c r="J40" s="2070">
        <v>0</v>
      </c>
      <c r="K40" s="2070">
        <v>0</v>
      </c>
      <c r="L40" s="2070">
        <v>0</v>
      </c>
      <c r="M40" s="2070">
        <v>0</v>
      </c>
      <c r="N40" s="2070">
        <v>0</v>
      </c>
      <c r="O40" s="2070">
        <v>0</v>
      </c>
      <c r="P40" s="2070">
        <v>0</v>
      </c>
      <c r="Q40" s="2070">
        <v>0</v>
      </c>
      <c r="R40" s="2070">
        <v>0</v>
      </c>
      <c r="S40" s="2070">
        <v>0</v>
      </c>
      <c r="T40" s="2070">
        <v>0</v>
      </c>
      <c r="U40" s="2070">
        <v>0</v>
      </c>
      <c r="V40" s="2070">
        <v>0</v>
      </c>
      <c r="W40" s="2070">
        <v>0</v>
      </c>
      <c r="X40" s="2070">
        <v>2.0636285468615644E-3</v>
      </c>
    </row>
    <row r="41" spans="1:24" ht="11.25" customHeight="1">
      <c r="A41" s="2068" t="s">
        <v>4664</v>
      </c>
      <c r="B41" s="2069" t="s">
        <v>5790</v>
      </c>
      <c r="C41" s="2070">
        <v>2.6960447119518478</v>
      </c>
      <c r="D41" s="2070">
        <v>1.819862424763542</v>
      </c>
      <c r="E41" s="2070">
        <v>1.4335339638864999</v>
      </c>
      <c r="F41" s="2070">
        <v>1.1421324161650901</v>
      </c>
      <c r="G41" s="2070">
        <v>0.84763542562338778</v>
      </c>
      <c r="H41" s="2070">
        <v>3.9349957007738596</v>
      </c>
      <c r="I41" s="2070">
        <v>1.5687876182287188</v>
      </c>
      <c r="J41" s="2070">
        <v>2.378761822871883</v>
      </c>
      <c r="K41" s="2070">
        <v>1.0572656921754082</v>
      </c>
      <c r="L41" s="2070">
        <v>1.2590713671539127</v>
      </c>
      <c r="M41" s="2070">
        <v>1.158555460017197</v>
      </c>
      <c r="N41" s="2070">
        <v>0.97919174548581256</v>
      </c>
      <c r="O41" s="2070">
        <v>0.8377472055030093</v>
      </c>
      <c r="P41" s="2070">
        <v>1.1511607910576098</v>
      </c>
      <c r="Q41" s="2070">
        <v>1.0425623387790195</v>
      </c>
      <c r="R41" s="2070">
        <v>1.112639724849527</v>
      </c>
      <c r="S41" s="2070">
        <v>1.2709372312983667</v>
      </c>
      <c r="T41" s="2070">
        <v>1.0348237317282889</v>
      </c>
      <c r="U41" s="2070">
        <v>1.2153052450558894</v>
      </c>
      <c r="V41" s="2070">
        <v>0.96423043852106616</v>
      </c>
      <c r="W41" s="2070">
        <v>1.3885640584694749</v>
      </c>
      <c r="X41" s="2070">
        <v>1.4657781599312125</v>
      </c>
    </row>
    <row r="42" spans="1:24" ht="11.25" customHeight="1">
      <c r="A42" s="2068" t="s">
        <v>4611</v>
      </c>
      <c r="B42" s="2069" t="s">
        <v>5791</v>
      </c>
      <c r="C42" s="2070">
        <v>0</v>
      </c>
      <c r="D42" s="2070">
        <v>0</v>
      </c>
      <c r="E42" s="2070">
        <v>0</v>
      </c>
      <c r="F42" s="2070">
        <v>0</v>
      </c>
      <c r="G42" s="2070">
        <v>0</v>
      </c>
      <c r="H42" s="2070">
        <v>0</v>
      </c>
      <c r="I42" s="2070">
        <v>0</v>
      </c>
      <c r="J42" s="2070">
        <v>0</v>
      </c>
      <c r="K42" s="2070">
        <v>0</v>
      </c>
      <c r="L42" s="2070">
        <v>0</v>
      </c>
      <c r="M42" s="2070">
        <v>0</v>
      </c>
      <c r="N42" s="2070">
        <v>0</v>
      </c>
      <c r="O42" s="2070">
        <v>0</v>
      </c>
      <c r="P42" s="2070">
        <v>0</v>
      </c>
      <c r="Q42" s="2070">
        <v>0</v>
      </c>
      <c r="R42" s="2070">
        <v>0</v>
      </c>
      <c r="S42" s="2070">
        <v>0</v>
      </c>
      <c r="T42" s="2070">
        <v>0</v>
      </c>
      <c r="U42" s="2070">
        <v>0</v>
      </c>
      <c r="V42" s="2070">
        <v>0</v>
      </c>
      <c r="W42" s="2070">
        <v>0</v>
      </c>
      <c r="X42" s="2070">
        <v>0</v>
      </c>
    </row>
    <row r="43" spans="1:24" ht="11.25" customHeight="1">
      <c r="A43" s="2068" t="s">
        <v>5792</v>
      </c>
      <c r="B43" s="2069" t="s">
        <v>5793</v>
      </c>
      <c r="C43" s="2070">
        <v>703.96388650042991</v>
      </c>
      <c r="D43" s="2070">
        <v>766.38890799656053</v>
      </c>
      <c r="E43" s="2070">
        <v>690.77867583834905</v>
      </c>
      <c r="F43" s="2070">
        <v>666.46569217540844</v>
      </c>
      <c r="G43" s="2070">
        <v>669.09441100601885</v>
      </c>
      <c r="H43" s="2070">
        <v>687.5068787618228</v>
      </c>
      <c r="I43" s="2070">
        <v>558.30257953568344</v>
      </c>
      <c r="J43" s="2070">
        <v>738.6773000859846</v>
      </c>
      <c r="K43" s="2070">
        <v>788.53740326741161</v>
      </c>
      <c r="L43" s="2070">
        <v>762.0838349097163</v>
      </c>
      <c r="M43" s="2070">
        <v>731.27420464316413</v>
      </c>
      <c r="N43" s="2070">
        <v>613.05382631126406</v>
      </c>
      <c r="O43" s="2070">
        <v>556.13740326741186</v>
      </c>
      <c r="P43" s="2070">
        <v>537.54754944110061</v>
      </c>
      <c r="Q43" s="2070">
        <v>470.45313843508166</v>
      </c>
      <c r="R43" s="2070">
        <v>510.95614789337912</v>
      </c>
      <c r="S43" s="2070">
        <v>479.96328460877049</v>
      </c>
      <c r="T43" s="2070">
        <v>473.87575236457428</v>
      </c>
      <c r="U43" s="2070">
        <v>478.9988822012038</v>
      </c>
      <c r="V43" s="2070">
        <v>481.43568357695614</v>
      </c>
      <c r="W43" s="2070">
        <v>479.67162510748074</v>
      </c>
      <c r="X43" s="2070">
        <v>541.79552880481515</v>
      </c>
    </row>
    <row r="44" spans="1:24" ht="11.25" customHeight="1">
      <c r="A44" s="2068" t="s">
        <v>4665</v>
      </c>
      <c r="B44" s="2069" t="s">
        <v>5794</v>
      </c>
      <c r="C44" s="2070">
        <v>3676.6586414445396</v>
      </c>
      <c r="D44" s="2070">
        <v>3025.9683576956145</v>
      </c>
      <c r="E44" s="2070">
        <v>3088.287790197764</v>
      </c>
      <c r="F44" s="2070">
        <v>2472.4133276010311</v>
      </c>
      <c r="G44" s="2070">
        <v>2306.7296646603609</v>
      </c>
      <c r="H44" s="2070">
        <v>2094.8047291487524</v>
      </c>
      <c r="I44" s="2070">
        <v>2249.8569217540839</v>
      </c>
      <c r="J44" s="2070">
        <v>2048.1631126397247</v>
      </c>
      <c r="K44" s="2070">
        <v>1941.2687016337054</v>
      </c>
      <c r="L44" s="2070">
        <v>1582.1212381771279</v>
      </c>
      <c r="M44" s="2070">
        <v>1207.0740326741186</v>
      </c>
      <c r="N44" s="2070">
        <v>1031.360533104041</v>
      </c>
      <c r="O44" s="2070">
        <v>686.4764402407568</v>
      </c>
      <c r="P44" s="2070">
        <v>528.02785898538252</v>
      </c>
      <c r="Q44" s="2070">
        <v>399.67540842648322</v>
      </c>
      <c r="R44" s="2070">
        <v>519.20292347377472</v>
      </c>
      <c r="S44" s="2070">
        <v>629.81642304385207</v>
      </c>
      <c r="T44" s="2070">
        <v>470.44806534823738</v>
      </c>
      <c r="U44" s="2070">
        <v>407.13439380911439</v>
      </c>
      <c r="V44" s="2070">
        <v>341.88099742046427</v>
      </c>
      <c r="W44" s="2070">
        <v>503.0274290627687</v>
      </c>
      <c r="X44" s="2070">
        <v>279.91693895098888</v>
      </c>
    </row>
    <row r="45" spans="1:24" ht="11.25" customHeight="1">
      <c r="A45" s="2068" t="s">
        <v>5795</v>
      </c>
      <c r="B45" s="2069" t="s">
        <v>5796</v>
      </c>
      <c r="C45" s="2070">
        <v>0</v>
      </c>
      <c r="D45" s="2070">
        <v>0</v>
      </c>
      <c r="E45" s="2070">
        <v>0</v>
      </c>
      <c r="F45" s="2070">
        <v>0</v>
      </c>
      <c r="G45" s="2070">
        <v>0</v>
      </c>
      <c r="H45" s="2070">
        <v>0</v>
      </c>
      <c r="I45" s="2070">
        <v>0</v>
      </c>
      <c r="J45" s="2070">
        <v>0</v>
      </c>
      <c r="K45" s="2070">
        <v>0</v>
      </c>
      <c r="L45" s="2070">
        <v>0</v>
      </c>
      <c r="M45" s="2070">
        <v>0</v>
      </c>
      <c r="N45" s="2070">
        <v>0</v>
      </c>
      <c r="O45" s="2070">
        <v>0</v>
      </c>
      <c r="P45" s="2070">
        <v>0</v>
      </c>
      <c r="Q45" s="2070">
        <v>0</v>
      </c>
      <c r="R45" s="2070">
        <v>0</v>
      </c>
      <c r="S45" s="2070">
        <v>0</v>
      </c>
      <c r="T45" s="2070">
        <v>1.031814273430782E-3</v>
      </c>
      <c r="U45" s="2070">
        <v>1.031814273430782E-3</v>
      </c>
      <c r="V45" s="2070">
        <v>0</v>
      </c>
      <c r="W45" s="2070">
        <v>0</v>
      </c>
      <c r="X45" s="2070">
        <v>0</v>
      </c>
    </row>
    <row r="46" spans="1:24" ht="11.25" customHeight="1">
      <c r="A46" s="2068" t="s">
        <v>595</v>
      </c>
      <c r="B46" s="2069" t="s">
        <v>5797</v>
      </c>
      <c r="C46" s="2070">
        <v>0</v>
      </c>
      <c r="D46" s="2070">
        <v>0</v>
      </c>
      <c r="E46" s="2070">
        <v>0</v>
      </c>
      <c r="F46" s="2070">
        <v>0</v>
      </c>
      <c r="G46" s="2070">
        <v>0</v>
      </c>
      <c r="H46" s="2070">
        <v>0</v>
      </c>
      <c r="I46" s="2070">
        <v>0</v>
      </c>
      <c r="J46" s="2070">
        <v>0</v>
      </c>
      <c r="K46" s="2070">
        <v>0</v>
      </c>
      <c r="L46" s="2070">
        <v>0</v>
      </c>
      <c r="M46" s="2070">
        <v>0</v>
      </c>
      <c r="N46" s="2070">
        <v>0</v>
      </c>
      <c r="O46" s="2070">
        <v>0</v>
      </c>
      <c r="P46" s="2070">
        <v>0</v>
      </c>
      <c r="Q46" s="2070">
        <v>0</v>
      </c>
      <c r="R46" s="2070">
        <v>0</v>
      </c>
      <c r="S46" s="2070">
        <v>0</v>
      </c>
      <c r="T46" s="2070">
        <v>0</v>
      </c>
      <c r="U46" s="2070">
        <v>0</v>
      </c>
      <c r="V46" s="2070">
        <v>0</v>
      </c>
      <c r="W46" s="2070">
        <v>0</v>
      </c>
      <c r="X46" s="2070">
        <v>0</v>
      </c>
    </row>
    <row r="47" spans="1:24" ht="11.25" customHeight="1">
      <c r="A47" s="2068" t="s">
        <v>4614</v>
      </c>
      <c r="B47" s="2069" t="s">
        <v>5798</v>
      </c>
      <c r="C47" s="2070">
        <v>0</v>
      </c>
      <c r="D47" s="2070">
        <v>0</v>
      </c>
      <c r="E47" s="2070">
        <v>0</v>
      </c>
      <c r="F47" s="2070">
        <v>0</v>
      </c>
      <c r="G47" s="2070">
        <v>0</v>
      </c>
      <c r="H47" s="2070">
        <v>0</v>
      </c>
      <c r="I47" s="2070">
        <v>0</v>
      </c>
      <c r="J47" s="2070">
        <v>0</v>
      </c>
      <c r="K47" s="2070">
        <v>0</v>
      </c>
      <c r="L47" s="2070">
        <v>0</v>
      </c>
      <c r="M47" s="2070">
        <v>0</v>
      </c>
      <c r="N47" s="2070">
        <v>0</v>
      </c>
      <c r="O47" s="2070">
        <v>0</v>
      </c>
      <c r="P47" s="2070">
        <v>0</v>
      </c>
      <c r="Q47" s="2070">
        <v>0</v>
      </c>
      <c r="R47" s="2070">
        <v>0</v>
      </c>
      <c r="S47" s="2070">
        <v>0</v>
      </c>
      <c r="T47" s="2070">
        <v>0</v>
      </c>
      <c r="U47" s="2070">
        <v>0</v>
      </c>
      <c r="V47" s="2070">
        <v>0.1000859845227859</v>
      </c>
      <c r="W47" s="2070">
        <v>6.4058469475494401E-2</v>
      </c>
      <c r="X47" s="2070">
        <v>0</v>
      </c>
    </row>
    <row r="48" spans="1:24" ht="11.25" customHeight="1">
      <c r="A48" s="2068" t="s">
        <v>4667</v>
      </c>
      <c r="B48" s="2069" t="s">
        <v>5799</v>
      </c>
      <c r="C48" s="2070">
        <v>6101.3642304385194</v>
      </c>
      <c r="D48" s="2070">
        <v>6878.7702493551151</v>
      </c>
      <c r="E48" s="2070">
        <v>7073.6871883061031</v>
      </c>
      <c r="F48" s="2070">
        <v>7675.5428202923476</v>
      </c>
      <c r="G48" s="2070">
        <v>8279.2986242476345</v>
      </c>
      <c r="H48" s="2070">
        <v>8746.3630266552027</v>
      </c>
      <c r="I48" s="2070">
        <v>8431.6730868443665</v>
      </c>
      <c r="J48" s="2070">
        <v>8119.0338779019776</v>
      </c>
      <c r="K48" s="2070">
        <v>7869.6708512467758</v>
      </c>
      <c r="L48" s="2070">
        <v>6714.9471195184842</v>
      </c>
      <c r="M48" s="2070">
        <v>6526.6236457437644</v>
      </c>
      <c r="N48" s="2070">
        <v>6286.7975924333605</v>
      </c>
      <c r="O48" s="2070">
        <v>5600.120550300946</v>
      </c>
      <c r="P48" s="2070">
        <v>5030.0257093723139</v>
      </c>
      <c r="Q48" s="2070">
        <v>4722.3810834049873</v>
      </c>
      <c r="R48" s="2070">
        <v>5207.5282889079972</v>
      </c>
      <c r="S48" s="2070">
        <v>4928.668443680137</v>
      </c>
      <c r="T48" s="2070">
        <v>4437.076096302666</v>
      </c>
      <c r="U48" s="2070">
        <v>4336.0838349097157</v>
      </c>
      <c r="V48" s="2070">
        <v>4269.2817712811693</v>
      </c>
      <c r="W48" s="2070">
        <v>4002.5534823731732</v>
      </c>
      <c r="X48" s="2070">
        <v>3848.8748925193463</v>
      </c>
    </row>
    <row r="49" spans="1:24" ht="11.25" customHeight="1">
      <c r="A49" s="2068" t="s">
        <v>4666</v>
      </c>
      <c r="B49" s="2069" t="s">
        <v>5800</v>
      </c>
      <c r="C49" s="2070">
        <v>0</v>
      </c>
      <c r="D49" s="2070">
        <v>0</v>
      </c>
      <c r="E49" s="2070">
        <v>0</v>
      </c>
      <c r="F49" s="2070">
        <v>0</v>
      </c>
      <c r="G49" s="2070">
        <v>0</v>
      </c>
      <c r="H49" s="2070">
        <v>0</v>
      </c>
      <c r="I49" s="2070">
        <v>0</v>
      </c>
      <c r="J49" s="2070">
        <v>0</v>
      </c>
      <c r="K49" s="2070">
        <v>0</v>
      </c>
      <c r="L49" s="2070">
        <v>0</v>
      </c>
      <c r="M49" s="2070">
        <v>0</v>
      </c>
      <c r="N49" s="2070">
        <v>0</v>
      </c>
      <c r="O49" s="2070">
        <v>0</v>
      </c>
      <c r="P49" s="2070">
        <v>0</v>
      </c>
      <c r="Q49" s="2070">
        <v>0</v>
      </c>
      <c r="R49" s="2070">
        <v>0</v>
      </c>
      <c r="S49" s="2070">
        <v>0</v>
      </c>
      <c r="T49" s="2070">
        <v>0</v>
      </c>
      <c r="U49" s="2070">
        <v>0</v>
      </c>
      <c r="V49" s="2070">
        <v>0</v>
      </c>
      <c r="W49" s="2070">
        <v>0</v>
      </c>
      <c r="X49" s="2070">
        <v>0</v>
      </c>
    </row>
    <row r="50" spans="1:24" ht="11.25" customHeight="1">
      <c r="A50" s="2068" t="s">
        <v>4668</v>
      </c>
      <c r="B50" s="2069" t="s">
        <v>5801</v>
      </c>
      <c r="C50" s="2070">
        <v>35.084264832330192</v>
      </c>
      <c r="D50" s="2070">
        <v>28.655717970765252</v>
      </c>
      <c r="E50" s="2070">
        <v>282.51220980223559</v>
      </c>
      <c r="F50" s="2070">
        <v>365.85631986242475</v>
      </c>
      <c r="G50" s="2070">
        <v>861.61926053310412</v>
      </c>
      <c r="H50" s="2070">
        <v>649.34832330180552</v>
      </c>
      <c r="I50" s="2070">
        <v>521.9256233877901</v>
      </c>
      <c r="J50" s="2070">
        <v>525.13224419604467</v>
      </c>
      <c r="K50" s="2070">
        <v>549.77790197764398</v>
      </c>
      <c r="L50" s="2070">
        <v>102.9730008598452</v>
      </c>
      <c r="M50" s="2070">
        <v>137.23207222699915</v>
      </c>
      <c r="N50" s="2070">
        <v>149.88693035253655</v>
      </c>
      <c r="O50" s="2070">
        <v>159.87102321582114</v>
      </c>
      <c r="P50" s="2070">
        <v>145.66784178847809</v>
      </c>
      <c r="Q50" s="2070">
        <v>157.46706792777303</v>
      </c>
      <c r="R50" s="2070">
        <v>177.58503869303527</v>
      </c>
      <c r="S50" s="2070">
        <v>197.3085124677558</v>
      </c>
      <c r="T50" s="2070">
        <v>110.50524505588993</v>
      </c>
      <c r="U50" s="2070">
        <v>208.98624247635428</v>
      </c>
      <c r="V50" s="2070">
        <v>202.37420464316421</v>
      </c>
      <c r="W50" s="2070">
        <v>180.39458297506445</v>
      </c>
      <c r="X50" s="2070">
        <v>199.61891659501293</v>
      </c>
    </row>
    <row r="51" spans="1:24" ht="11.25" customHeight="1">
      <c r="A51" s="2071" t="s">
        <v>3875</v>
      </c>
      <c r="B51" s="2072" t="s">
        <v>5802</v>
      </c>
      <c r="C51" s="2073">
        <v>16145.034737747203</v>
      </c>
      <c r="D51" s="2073">
        <v>16784.594840928632</v>
      </c>
      <c r="E51" s="2073">
        <v>16180.392261392948</v>
      </c>
      <c r="F51" s="2073">
        <v>17089.085382631129</v>
      </c>
      <c r="G51" s="2073">
        <v>16605.762252794502</v>
      </c>
      <c r="H51" s="2073">
        <v>17111.098968185725</v>
      </c>
      <c r="I51" s="2073">
        <v>16080.599398108341</v>
      </c>
      <c r="J51" s="2073">
        <v>15514.043508168528</v>
      </c>
      <c r="K51" s="2073">
        <v>14775.897334479792</v>
      </c>
      <c r="L51" s="2073">
        <v>11655.398624247635</v>
      </c>
      <c r="M51" s="2073">
        <v>12257.178331900257</v>
      </c>
      <c r="N51" s="2073">
        <v>12177.807050730869</v>
      </c>
      <c r="O51" s="2073">
        <v>11660.821496130693</v>
      </c>
      <c r="P51" s="2073">
        <v>11796.974892519347</v>
      </c>
      <c r="Q51" s="2073">
        <v>11819.263456577817</v>
      </c>
      <c r="R51" s="2073">
        <v>11825.236543422187</v>
      </c>
      <c r="S51" s="2073">
        <v>12368.533877901978</v>
      </c>
      <c r="T51" s="2073">
        <v>12739.959501289766</v>
      </c>
      <c r="U51" s="2073">
        <v>12997.832932072226</v>
      </c>
      <c r="V51" s="2073">
        <v>12888.046173688739</v>
      </c>
      <c r="W51" s="2073">
        <v>12472.967239896816</v>
      </c>
      <c r="X51" s="2073">
        <v>13594.158469475495</v>
      </c>
    </row>
    <row r="52" spans="1:24" ht="11.25" customHeight="1">
      <c r="A52" s="2071" t="s">
        <v>5803</v>
      </c>
      <c r="B52" s="2072" t="s">
        <v>5804</v>
      </c>
      <c r="C52" s="2073">
        <v>607.09525130211478</v>
      </c>
      <c r="D52" s="2073">
        <v>662.97663580724281</v>
      </c>
      <c r="E52" s="2073">
        <v>685.15894533955702</v>
      </c>
      <c r="F52" s="2073">
        <v>1052.4124163360589</v>
      </c>
      <c r="G52" s="2073">
        <v>1148.0783265428231</v>
      </c>
      <c r="H52" s="2073">
        <v>1583.5092245657647</v>
      </c>
      <c r="I52" s="2073">
        <v>1614.4970903576195</v>
      </c>
      <c r="J52" s="2073">
        <v>1664.5369289853672</v>
      </c>
      <c r="K52" s="2073">
        <v>1335.4107788539354</v>
      </c>
      <c r="L52" s="2073">
        <v>1361.1952631153461</v>
      </c>
      <c r="M52" s="2073">
        <v>1341.8737532495113</v>
      </c>
      <c r="N52" s="2073">
        <v>1567.4770832552747</v>
      </c>
      <c r="O52" s="2073">
        <v>1294.8903626630695</v>
      </c>
      <c r="P52" s="2073">
        <v>1414.1915529881242</v>
      </c>
      <c r="Q52" s="2073">
        <v>1438.7501217651061</v>
      </c>
      <c r="R52" s="2073">
        <v>1564.3585185301649</v>
      </c>
      <c r="S52" s="2073">
        <v>1491.6386454779897</v>
      </c>
      <c r="T52" s="2073">
        <v>1627.2743470023745</v>
      </c>
      <c r="U52" s="2073">
        <v>1654.0965155618003</v>
      </c>
      <c r="V52" s="2073">
        <v>1733.5434508518695</v>
      </c>
      <c r="W52" s="2073">
        <v>1860.4228798192673</v>
      </c>
      <c r="X52" s="2073">
        <v>1985.8683623674788</v>
      </c>
    </row>
    <row r="53" spans="1:24" ht="11.25" customHeight="1">
      <c r="A53" s="2074" t="s">
        <v>3973</v>
      </c>
      <c r="B53" s="2069" t="s">
        <v>5805</v>
      </c>
      <c r="C53" s="2070">
        <v>0</v>
      </c>
      <c r="D53" s="2070">
        <v>0</v>
      </c>
      <c r="E53" s="2070">
        <v>0</v>
      </c>
      <c r="F53" s="2070">
        <v>0</v>
      </c>
      <c r="G53" s="2070">
        <v>0</v>
      </c>
      <c r="H53" s="2070">
        <v>0</v>
      </c>
      <c r="I53" s="2070">
        <v>0</v>
      </c>
      <c r="J53" s="2070">
        <v>0</v>
      </c>
      <c r="K53" s="2070">
        <v>0</v>
      </c>
      <c r="L53" s="2070">
        <v>0</v>
      </c>
      <c r="M53" s="2070">
        <v>0</v>
      </c>
      <c r="N53" s="2070">
        <v>0</v>
      </c>
      <c r="O53" s="2070">
        <v>0</v>
      </c>
      <c r="P53" s="2070">
        <v>0</v>
      </c>
      <c r="Q53" s="2070">
        <v>0</v>
      </c>
      <c r="R53" s="2070">
        <v>0</v>
      </c>
      <c r="S53" s="2070">
        <v>0</v>
      </c>
      <c r="T53" s="2070">
        <v>0</v>
      </c>
      <c r="U53" s="2070">
        <v>0</v>
      </c>
      <c r="V53" s="2070">
        <v>0</v>
      </c>
      <c r="W53" s="2070">
        <v>0</v>
      </c>
      <c r="X53" s="2070">
        <v>0</v>
      </c>
    </row>
    <row r="54" spans="1:24" ht="11.25" customHeight="1">
      <c r="A54" s="2074" t="s">
        <v>5806</v>
      </c>
      <c r="B54" s="2069" t="s">
        <v>5807</v>
      </c>
      <c r="C54" s="2070">
        <v>0</v>
      </c>
      <c r="D54" s="2070">
        <v>0</v>
      </c>
      <c r="E54" s="2070">
        <v>0</v>
      </c>
      <c r="F54" s="2070">
        <v>0</v>
      </c>
      <c r="G54" s="2070">
        <v>0</v>
      </c>
      <c r="H54" s="2070">
        <v>0</v>
      </c>
      <c r="I54" s="2070">
        <v>0</v>
      </c>
      <c r="J54" s="2070">
        <v>0</v>
      </c>
      <c r="K54" s="2070">
        <v>0</v>
      </c>
      <c r="L54" s="2070">
        <v>0</v>
      </c>
      <c r="M54" s="2070">
        <v>0</v>
      </c>
      <c r="N54" s="2070">
        <v>0</v>
      </c>
      <c r="O54" s="2070">
        <v>0</v>
      </c>
      <c r="P54" s="2070">
        <v>0</v>
      </c>
      <c r="Q54" s="2070">
        <v>0</v>
      </c>
      <c r="R54" s="2070">
        <v>0</v>
      </c>
      <c r="S54" s="2070">
        <v>0</v>
      </c>
      <c r="T54" s="2070">
        <v>0</v>
      </c>
      <c r="U54" s="2070">
        <v>0</v>
      </c>
      <c r="V54" s="2070">
        <v>0</v>
      </c>
      <c r="W54" s="2070">
        <v>0</v>
      </c>
      <c r="X54" s="2070">
        <v>0</v>
      </c>
    </row>
    <row r="55" spans="1:24" ht="11.25" customHeight="1">
      <c r="A55" s="2074" t="s">
        <v>3965</v>
      </c>
      <c r="B55" s="2069" t="s">
        <v>5808</v>
      </c>
      <c r="C55" s="2070">
        <v>0</v>
      </c>
      <c r="D55" s="2070">
        <v>0</v>
      </c>
      <c r="E55" s="2070">
        <v>0</v>
      </c>
      <c r="F55" s="2070">
        <v>0</v>
      </c>
      <c r="G55" s="2070">
        <v>0</v>
      </c>
      <c r="H55" s="2070">
        <v>0</v>
      </c>
      <c r="I55" s="2070">
        <v>0</v>
      </c>
      <c r="J55" s="2070">
        <v>0</v>
      </c>
      <c r="K55" s="2070">
        <v>0</v>
      </c>
      <c r="L55" s="2070">
        <v>0</v>
      </c>
      <c r="M55" s="2070">
        <v>0</v>
      </c>
      <c r="N55" s="2070">
        <v>0</v>
      </c>
      <c r="O55" s="2070">
        <v>0</v>
      </c>
      <c r="P55" s="2070">
        <v>0</v>
      </c>
      <c r="Q55" s="2070">
        <v>0</v>
      </c>
      <c r="R55" s="2070">
        <v>0</v>
      </c>
      <c r="S55" s="2070">
        <v>0</v>
      </c>
      <c r="T55" s="2070">
        <v>0</v>
      </c>
      <c r="U55" s="2070">
        <v>0</v>
      </c>
      <c r="V55" s="2070">
        <v>0</v>
      </c>
      <c r="W55" s="2070">
        <v>0</v>
      </c>
      <c r="X55" s="2070">
        <v>0</v>
      </c>
    </row>
    <row r="56" spans="1:24" ht="11.25" customHeight="1">
      <c r="A56" s="2074" t="s">
        <v>5636</v>
      </c>
      <c r="B56" s="2069" t="s">
        <v>5809</v>
      </c>
      <c r="C56" s="2070">
        <v>0</v>
      </c>
      <c r="D56" s="2070">
        <v>0</v>
      </c>
      <c r="E56" s="2070">
        <v>0</v>
      </c>
      <c r="F56" s="2070">
        <v>0</v>
      </c>
      <c r="G56" s="2070">
        <v>0</v>
      </c>
      <c r="H56" s="2070">
        <v>0</v>
      </c>
      <c r="I56" s="2070">
        <v>0</v>
      </c>
      <c r="J56" s="2070">
        <v>0</v>
      </c>
      <c r="K56" s="2070">
        <v>0</v>
      </c>
      <c r="L56" s="2070">
        <v>0</v>
      </c>
      <c r="M56" s="2070">
        <v>0</v>
      </c>
      <c r="N56" s="2070">
        <v>0</v>
      </c>
      <c r="O56" s="2070">
        <v>0</v>
      </c>
      <c r="P56" s="2070">
        <v>0</v>
      </c>
      <c r="Q56" s="2070">
        <v>0</v>
      </c>
      <c r="R56" s="2070">
        <v>0</v>
      </c>
      <c r="S56" s="2070">
        <v>0</v>
      </c>
      <c r="T56" s="2070">
        <v>0</v>
      </c>
      <c r="U56" s="2070">
        <v>0</v>
      </c>
      <c r="V56" s="2070">
        <v>0</v>
      </c>
      <c r="W56" s="2070">
        <v>0</v>
      </c>
      <c r="X56" s="2070">
        <v>0</v>
      </c>
    </row>
    <row r="57" spans="1:24" ht="11.25" customHeight="1">
      <c r="A57" s="2074" t="s">
        <v>4617</v>
      </c>
      <c r="B57" s="2069" t="s">
        <v>5810</v>
      </c>
      <c r="C57" s="2070">
        <v>1.1177987962166811E-3</v>
      </c>
      <c r="D57" s="2070">
        <v>1.1177987962166811E-3</v>
      </c>
      <c r="E57" s="2070">
        <v>1.1177987962166811E-3</v>
      </c>
      <c r="F57" s="2070">
        <v>6.0189165950128957E-3</v>
      </c>
      <c r="G57" s="2070">
        <v>1.917454858125537E-2</v>
      </c>
      <c r="H57" s="2070">
        <v>1.917454858125537E-2</v>
      </c>
      <c r="I57" s="2070">
        <v>2.8976784178847807E-2</v>
      </c>
      <c r="J57" s="2070">
        <v>3.0438521066208077E-2</v>
      </c>
      <c r="K57" s="2070">
        <v>3.6371453138435081E-2</v>
      </c>
      <c r="L57" s="2070">
        <v>4.1186586414445399E-2</v>
      </c>
      <c r="M57" s="2070">
        <v>4.4883920894239038E-2</v>
      </c>
      <c r="N57" s="2070">
        <v>4.4883920894239038E-2</v>
      </c>
      <c r="O57" s="2070">
        <v>4.4883920894239038E-2</v>
      </c>
      <c r="P57" s="2070">
        <v>4.4883920894239038E-2</v>
      </c>
      <c r="Q57" s="2070">
        <v>4.4883920894239045E-2</v>
      </c>
      <c r="R57" s="2070">
        <v>4.4883920894239038E-2</v>
      </c>
      <c r="S57" s="2070">
        <v>4.4539982803095443E-2</v>
      </c>
      <c r="T57" s="2070">
        <v>4.4539982803095443E-2</v>
      </c>
      <c r="U57" s="2070">
        <v>4.4539982803095443E-2</v>
      </c>
      <c r="V57" s="2070">
        <v>4.4539982803095443E-2</v>
      </c>
      <c r="W57" s="2070">
        <v>4.453998280309545E-2</v>
      </c>
      <c r="X57" s="2070">
        <v>4.3766122098022352E-2</v>
      </c>
    </row>
    <row r="58" spans="1:24" ht="11.25" customHeight="1">
      <c r="A58" s="2074" t="s">
        <v>3971</v>
      </c>
      <c r="B58" s="2069" t="s">
        <v>5811</v>
      </c>
      <c r="C58" s="2070">
        <v>0</v>
      </c>
      <c r="D58" s="2070">
        <v>0</v>
      </c>
      <c r="E58" s="2070">
        <v>0</v>
      </c>
      <c r="F58" s="2070">
        <v>0.26276870163370591</v>
      </c>
      <c r="G58" s="2070">
        <v>0.2149613069647463</v>
      </c>
      <c r="H58" s="2070">
        <v>0.28658641444539978</v>
      </c>
      <c r="I58" s="2070">
        <v>0.2149613069647463</v>
      </c>
      <c r="J58" s="2070">
        <v>0.28658641444539978</v>
      </c>
      <c r="K58" s="2070">
        <v>0.31049011177987962</v>
      </c>
      <c r="L58" s="2070">
        <v>0.35829750644883918</v>
      </c>
      <c r="M58" s="2070">
        <v>0.38211521926053305</v>
      </c>
      <c r="N58" s="2070">
        <v>0.40601891659501288</v>
      </c>
      <c r="O58" s="2070">
        <v>0.14333619948409279</v>
      </c>
      <c r="P58" s="2070">
        <v>0</v>
      </c>
      <c r="Q58" s="2070">
        <v>0</v>
      </c>
      <c r="R58" s="2070">
        <v>0</v>
      </c>
      <c r="S58" s="2070">
        <v>0</v>
      </c>
      <c r="T58" s="2070">
        <v>0</v>
      </c>
      <c r="U58" s="2070">
        <v>0.19105760963026666</v>
      </c>
      <c r="V58" s="2070">
        <v>0.26276870163370591</v>
      </c>
      <c r="W58" s="2070">
        <v>0</v>
      </c>
      <c r="X58" s="2070">
        <v>0</v>
      </c>
    </row>
    <row r="59" spans="1:24" ht="11.25" customHeight="1">
      <c r="A59" s="2074" t="s">
        <v>4669</v>
      </c>
      <c r="B59" s="2069" t="s">
        <v>5812</v>
      </c>
      <c r="C59" s="2070">
        <v>602.60842648323307</v>
      </c>
      <c r="D59" s="2070">
        <v>652.12089423903672</v>
      </c>
      <c r="E59" s="2070">
        <v>675.16431642304383</v>
      </c>
      <c r="F59" s="2070">
        <v>892.24969905417038</v>
      </c>
      <c r="G59" s="2070">
        <v>961.60335339638846</v>
      </c>
      <c r="H59" s="2070">
        <v>1347.6865864144456</v>
      </c>
      <c r="I59" s="2070">
        <v>1372.8507308684436</v>
      </c>
      <c r="J59" s="2070">
        <v>1268.8899398108338</v>
      </c>
      <c r="K59" s="2070">
        <v>1254.7368013757521</v>
      </c>
      <c r="L59" s="2070">
        <v>1270.5305245055888</v>
      </c>
      <c r="M59" s="2070">
        <v>1218.057781599312</v>
      </c>
      <c r="N59" s="2070">
        <v>1310.6465176268275</v>
      </c>
      <c r="O59" s="2070">
        <v>1006.8927773000858</v>
      </c>
      <c r="P59" s="2070">
        <v>1002.7432502149613</v>
      </c>
      <c r="Q59" s="2070">
        <v>990.21891659501284</v>
      </c>
      <c r="R59" s="2070">
        <v>1065.928116938951</v>
      </c>
      <c r="S59" s="2070">
        <v>978.66603611349956</v>
      </c>
      <c r="T59" s="2070">
        <v>989.51177987962183</v>
      </c>
      <c r="U59" s="2070">
        <v>938.17454858125529</v>
      </c>
      <c r="V59" s="2070">
        <v>1017.9460877042134</v>
      </c>
      <c r="W59" s="2070">
        <v>1124.1816852966467</v>
      </c>
      <c r="X59" s="2070">
        <v>1286.8939810834045</v>
      </c>
    </row>
    <row r="60" spans="1:24" ht="11.25" customHeight="1">
      <c r="A60" s="2074" t="s">
        <v>4618</v>
      </c>
      <c r="B60" s="2069" t="s">
        <v>5813</v>
      </c>
      <c r="C60" s="2070">
        <v>0</v>
      </c>
      <c r="D60" s="2070">
        <v>0</v>
      </c>
      <c r="E60" s="2070">
        <v>0</v>
      </c>
      <c r="F60" s="2070">
        <v>0</v>
      </c>
      <c r="G60" s="2070">
        <v>0</v>
      </c>
      <c r="H60" s="2070">
        <v>0</v>
      </c>
      <c r="I60" s="2070">
        <v>0</v>
      </c>
      <c r="J60" s="2070">
        <v>0</v>
      </c>
      <c r="K60" s="2070">
        <v>0</v>
      </c>
      <c r="L60" s="2070">
        <v>0</v>
      </c>
      <c r="M60" s="2070">
        <v>0</v>
      </c>
      <c r="N60" s="2070">
        <v>0</v>
      </c>
      <c r="O60" s="2070">
        <v>0</v>
      </c>
      <c r="P60" s="2070">
        <v>0</v>
      </c>
      <c r="Q60" s="2070">
        <v>0</v>
      </c>
      <c r="R60" s="2070">
        <v>0</v>
      </c>
      <c r="S60" s="2070">
        <v>0</v>
      </c>
      <c r="T60" s="2070">
        <v>0</v>
      </c>
      <c r="U60" s="2070">
        <v>0</v>
      </c>
      <c r="V60" s="2070">
        <v>0</v>
      </c>
      <c r="W60" s="2070">
        <v>0</v>
      </c>
      <c r="X60" s="2070">
        <v>0</v>
      </c>
    </row>
    <row r="61" spans="1:24" ht="11.25" customHeight="1">
      <c r="A61" s="2074" t="s">
        <v>4670</v>
      </c>
      <c r="B61" s="2069" t="s">
        <v>5814</v>
      </c>
      <c r="C61" s="2070">
        <v>0</v>
      </c>
      <c r="D61" s="2070">
        <v>0</v>
      </c>
      <c r="E61" s="2070">
        <v>0</v>
      </c>
      <c r="F61" s="2070">
        <v>0.74041272570937233</v>
      </c>
      <c r="G61" s="2070">
        <v>0.35829750644883918</v>
      </c>
      <c r="H61" s="2070">
        <v>0.64488392089423896</v>
      </c>
      <c r="I61" s="2070">
        <v>0.66878761822871879</v>
      </c>
      <c r="J61" s="2070">
        <v>2.5795356835769558</v>
      </c>
      <c r="K61" s="2070">
        <v>1.8161650902837492</v>
      </c>
      <c r="L61" s="2070">
        <v>4.3936371453138436</v>
      </c>
      <c r="M61" s="2070">
        <v>4.2838349097162514</v>
      </c>
      <c r="N61" s="2070">
        <v>5.1094582975064489</v>
      </c>
      <c r="O61" s="2070">
        <v>5.3912295786758389</v>
      </c>
      <c r="P61" s="2070">
        <v>6.0544282029234742</v>
      </c>
      <c r="Q61" s="2070">
        <v>10.794496990541703</v>
      </c>
      <c r="R61" s="2070">
        <v>9.761220980223559</v>
      </c>
      <c r="S61" s="2070">
        <v>11.842820292347378</v>
      </c>
      <c r="T61" s="2070">
        <v>12.054428202923473</v>
      </c>
      <c r="U61" s="2070">
        <v>12.159157351676697</v>
      </c>
      <c r="V61" s="2070">
        <v>11.516251074806535</v>
      </c>
      <c r="W61" s="2070">
        <v>12.481255374032674</v>
      </c>
      <c r="X61" s="2070">
        <v>10.104557179707653</v>
      </c>
    </row>
    <row r="62" spans="1:24" ht="11.25" customHeight="1">
      <c r="A62" s="2074" t="s">
        <v>5815</v>
      </c>
      <c r="B62" s="2069" t="s">
        <v>5816</v>
      </c>
      <c r="C62" s="2070">
        <v>0</v>
      </c>
      <c r="D62" s="2070">
        <v>6.4249355116079094</v>
      </c>
      <c r="E62" s="2070">
        <v>5.3979363714531381</v>
      </c>
      <c r="F62" s="2070">
        <v>144.47790197764402</v>
      </c>
      <c r="G62" s="2070">
        <v>179.23000859845229</v>
      </c>
      <c r="H62" s="2070">
        <v>227.42906276870161</v>
      </c>
      <c r="I62" s="2070">
        <v>232.20601891659493</v>
      </c>
      <c r="J62" s="2070">
        <v>380.24273430782455</v>
      </c>
      <c r="K62" s="2070">
        <v>69.336973344797926</v>
      </c>
      <c r="L62" s="2070">
        <v>75.780395528804831</v>
      </c>
      <c r="M62" s="2070">
        <v>84.278073946689588</v>
      </c>
      <c r="N62" s="2070">
        <v>215.54092863284609</v>
      </c>
      <c r="O62" s="2070">
        <v>267.73129836629408</v>
      </c>
      <c r="P62" s="2070">
        <v>389.13224419604467</v>
      </c>
      <c r="Q62" s="2070">
        <v>399.04514187446256</v>
      </c>
      <c r="R62" s="2070">
        <v>442.81650902837475</v>
      </c>
      <c r="S62" s="2070">
        <v>445.69828030954432</v>
      </c>
      <c r="T62" s="2070">
        <v>565.03000859845213</v>
      </c>
      <c r="U62" s="2070">
        <v>634.9663800515907</v>
      </c>
      <c r="V62" s="2070">
        <v>627.8973344797937</v>
      </c>
      <c r="W62" s="2070">
        <v>644.68022355975916</v>
      </c>
      <c r="X62" s="2070">
        <v>603.63207222699907</v>
      </c>
    </row>
    <row r="63" spans="1:24" ht="11.25" customHeight="1">
      <c r="A63" s="2074" t="s">
        <v>5817</v>
      </c>
      <c r="B63" s="2069" t="s">
        <v>5818</v>
      </c>
      <c r="C63" s="2070">
        <v>0</v>
      </c>
      <c r="D63" s="2070">
        <v>0</v>
      </c>
      <c r="E63" s="2070">
        <v>0</v>
      </c>
      <c r="F63" s="2070">
        <v>0</v>
      </c>
      <c r="G63" s="2070">
        <v>0</v>
      </c>
      <c r="H63" s="2070">
        <v>0</v>
      </c>
      <c r="I63" s="2070">
        <v>0</v>
      </c>
      <c r="J63" s="2070">
        <v>0</v>
      </c>
      <c r="K63" s="2070">
        <v>0</v>
      </c>
      <c r="L63" s="2070">
        <v>0</v>
      </c>
      <c r="M63" s="2070">
        <v>0</v>
      </c>
      <c r="N63" s="2070">
        <v>0</v>
      </c>
      <c r="O63" s="2070">
        <v>0</v>
      </c>
      <c r="P63" s="2070">
        <v>0</v>
      </c>
      <c r="Q63" s="2070">
        <v>0</v>
      </c>
      <c r="R63" s="2070">
        <v>0</v>
      </c>
      <c r="S63" s="2070">
        <v>0</v>
      </c>
      <c r="T63" s="2070">
        <v>0</v>
      </c>
      <c r="U63" s="2070">
        <v>0</v>
      </c>
      <c r="V63" s="2070">
        <v>0</v>
      </c>
      <c r="W63" s="2070">
        <v>0</v>
      </c>
      <c r="X63" s="2070">
        <v>0</v>
      </c>
    </row>
    <row r="64" spans="1:24" ht="11.25" customHeight="1">
      <c r="A64" s="2074" t="s">
        <v>5819</v>
      </c>
      <c r="B64" s="2069" t="s">
        <v>5820</v>
      </c>
      <c r="C64" s="2070">
        <v>0</v>
      </c>
      <c r="D64" s="2070">
        <v>0</v>
      </c>
      <c r="E64" s="2070">
        <v>0</v>
      </c>
      <c r="F64" s="2070">
        <v>0</v>
      </c>
      <c r="G64" s="2070">
        <v>0</v>
      </c>
      <c r="H64" s="2070">
        <v>0</v>
      </c>
      <c r="I64" s="2070">
        <v>0</v>
      </c>
      <c r="J64" s="2070">
        <v>1.9776440240756666E-3</v>
      </c>
      <c r="K64" s="2070">
        <v>6.878761822871883E-4</v>
      </c>
      <c r="L64" s="2070">
        <v>6.8787618228718841E-4</v>
      </c>
      <c r="M64" s="2070">
        <v>6.0189165950128975E-4</v>
      </c>
      <c r="N64" s="2070">
        <v>0</v>
      </c>
      <c r="O64" s="2070">
        <v>0</v>
      </c>
      <c r="P64" s="2070">
        <v>0</v>
      </c>
      <c r="Q64" s="2070">
        <v>0</v>
      </c>
      <c r="R64" s="2070">
        <v>0</v>
      </c>
      <c r="S64" s="2070">
        <v>0</v>
      </c>
      <c r="T64" s="2070">
        <v>0</v>
      </c>
      <c r="U64" s="2070">
        <v>0</v>
      </c>
      <c r="V64" s="2070">
        <v>6.8787618228718819E-4</v>
      </c>
      <c r="W64" s="2070">
        <v>1.2897678417884777E-3</v>
      </c>
      <c r="X64" s="2070">
        <v>2.5795356835769559E-3</v>
      </c>
    </row>
    <row r="65" spans="1:24" ht="11.25" customHeight="1">
      <c r="A65" s="2074" t="s">
        <v>5821</v>
      </c>
      <c r="B65" s="2069" t="s">
        <v>5822</v>
      </c>
      <c r="C65" s="2070">
        <v>0</v>
      </c>
      <c r="D65" s="2070">
        <v>0</v>
      </c>
      <c r="E65" s="2070">
        <v>0</v>
      </c>
      <c r="F65" s="2070">
        <v>0</v>
      </c>
      <c r="G65" s="2070">
        <v>0</v>
      </c>
      <c r="H65" s="2070">
        <v>0</v>
      </c>
      <c r="I65" s="2070">
        <v>0</v>
      </c>
      <c r="J65" s="2070">
        <v>0</v>
      </c>
      <c r="K65" s="2070">
        <v>0</v>
      </c>
      <c r="L65" s="2070">
        <v>1.8056749785038692E-3</v>
      </c>
      <c r="M65" s="2070">
        <v>8.5984522785898529E-4</v>
      </c>
      <c r="N65" s="2070">
        <v>4.4711951848667242E-3</v>
      </c>
      <c r="O65" s="2070">
        <v>4.4711951848667233E-3</v>
      </c>
      <c r="P65" s="2070">
        <v>4.4711951848667225E-3</v>
      </c>
      <c r="Q65" s="2070">
        <v>3.1384350816852973E-2</v>
      </c>
      <c r="R65" s="2070">
        <v>6.4488392089423918E-2</v>
      </c>
      <c r="S65" s="2070">
        <v>0.234737747205503</v>
      </c>
      <c r="T65" s="2070">
        <v>1.004385210662081</v>
      </c>
      <c r="U65" s="2070">
        <v>1.004385210662081</v>
      </c>
      <c r="V65" s="2070">
        <v>1.004385210662081</v>
      </c>
      <c r="W65" s="2070">
        <v>0</v>
      </c>
      <c r="X65" s="2070">
        <v>0</v>
      </c>
    </row>
    <row r="66" spans="1:24" ht="11.25" customHeight="1">
      <c r="A66" s="2074" t="s">
        <v>5823</v>
      </c>
      <c r="B66" s="2069" t="s">
        <v>5824</v>
      </c>
      <c r="C66" s="2070">
        <v>0</v>
      </c>
      <c r="D66" s="2070">
        <v>0</v>
      </c>
      <c r="E66" s="2070">
        <v>0</v>
      </c>
      <c r="F66" s="2070">
        <v>0</v>
      </c>
      <c r="G66" s="2070">
        <v>0</v>
      </c>
      <c r="H66" s="2070">
        <v>6.1049011177987961E-3</v>
      </c>
      <c r="I66" s="2070">
        <v>2.9750644883920895E-2</v>
      </c>
      <c r="J66" s="2070">
        <v>0.92674118658641436</v>
      </c>
      <c r="K66" s="2070">
        <v>0.9293207222699913</v>
      </c>
      <c r="L66" s="2070">
        <v>0.94686156491831464</v>
      </c>
      <c r="M66" s="2070">
        <v>1.8378331900257954</v>
      </c>
      <c r="N66" s="2070">
        <v>1.8619088564058466</v>
      </c>
      <c r="O66" s="2070">
        <v>1.8654342218400686</v>
      </c>
      <c r="P66" s="2070">
        <v>1.8386070507308681</v>
      </c>
      <c r="Q66" s="2070">
        <v>1.9065348237317281</v>
      </c>
      <c r="R66" s="2070">
        <v>3.1418744625967321</v>
      </c>
      <c r="S66" s="2070">
        <v>3.4018056749785037</v>
      </c>
      <c r="T66" s="2070">
        <v>3.3426483233018063</v>
      </c>
      <c r="U66" s="2070">
        <v>4.3856405846947561</v>
      </c>
      <c r="V66" s="2070">
        <v>5.1437661220980226</v>
      </c>
      <c r="W66" s="2070">
        <v>5.1054170249355106</v>
      </c>
      <c r="X66" s="2070">
        <v>6.4155631986242465</v>
      </c>
    </row>
    <row r="67" spans="1:24" ht="11.25" customHeight="1">
      <c r="A67" s="2074" t="s">
        <v>5825</v>
      </c>
      <c r="B67" s="2069" t="s">
        <v>5826</v>
      </c>
      <c r="C67" s="2070">
        <v>0</v>
      </c>
      <c r="D67" s="2070">
        <v>0</v>
      </c>
      <c r="E67" s="2070">
        <v>0</v>
      </c>
      <c r="F67" s="2070">
        <v>0</v>
      </c>
      <c r="G67" s="2070">
        <v>0</v>
      </c>
      <c r="H67" s="2070">
        <v>0</v>
      </c>
      <c r="I67" s="2070">
        <v>0</v>
      </c>
      <c r="J67" s="2070">
        <v>0</v>
      </c>
      <c r="K67" s="2070">
        <v>0</v>
      </c>
      <c r="L67" s="2070">
        <v>0</v>
      </c>
      <c r="M67" s="2070">
        <v>0</v>
      </c>
      <c r="N67" s="2070">
        <v>0</v>
      </c>
      <c r="O67" s="2070">
        <v>0</v>
      </c>
      <c r="P67" s="2070">
        <v>0</v>
      </c>
      <c r="Q67" s="2070">
        <v>0</v>
      </c>
      <c r="R67" s="2070">
        <v>0</v>
      </c>
      <c r="S67" s="2070">
        <v>0</v>
      </c>
      <c r="T67" s="2070">
        <v>0</v>
      </c>
      <c r="U67" s="2070">
        <v>0</v>
      </c>
      <c r="V67" s="2070">
        <v>0</v>
      </c>
      <c r="W67" s="2070">
        <v>0</v>
      </c>
      <c r="X67" s="2070">
        <v>0</v>
      </c>
    </row>
    <row r="68" spans="1:24" ht="11.25" customHeight="1">
      <c r="A68" s="2074" t="s">
        <v>5827</v>
      </c>
      <c r="B68" s="2069" t="s">
        <v>5828</v>
      </c>
      <c r="C68" s="2070">
        <v>0</v>
      </c>
      <c r="D68" s="2070">
        <v>0</v>
      </c>
      <c r="E68" s="2070">
        <v>0</v>
      </c>
      <c r="F68" s="2070">
        <v>0</v>
      </c>
      <c r="G68" s="2070">
        <v>0</v>
      </c>
      <c r="H68" s="2070">
        <v>0</v>
      </c>
      <c r="I68" s="2070">
        <v>0</v>
      </c>
      <c r="J68" s="2070">
        <v>0</v>
      </c>
      <c r="K68" s="2070">
        <v>0</v>
      </c>
      <c r="L68" s="2070">
        <v>0</v>
      </c>
      <c r="M68" s="2070">
        <v>0</v>
      </c>
      <c r="N68" s="2070">
        <v>0</v>
      </c>
      <c r="O68" s="2070">
        <v>0</v>
      </c>
      <c r="P68" s="2070">
        <v>0</v>
      </c>
      <c r="Q68" s="2070">
        <v>0</v>
      </c>
      <c r="R68" s="2070">
        <v>0</v>
      </c>
      <c r="S68" s="2070">
        <v>0</v>
      </c>
      <c r="T68" s="2070">
        <v>0</v>
      </c>
      <c r="U68" s="2070">
        <v>0</v>
      </c>
      <c r="V68" s="2070">
        <v>0</v>
      </c>
      <c r="W68" s="2070">
        <v>0</v>
      </c>
      <c r="X68" s="2070">
        <v>0</v>
      </c>
    </row>
    <row r="69" spans="1:24" ht="11.25" customHeight="1">
      <c r="A69" s="2074" t="s">
        <v>4619</v>
      </c>
      <c r="B69" s="2069" t="s">
        <v>5829</v>
      </c>
      <c r="C69" s="2070">
        <v>0</v>
      </c>
      <c r="D69" s="2070">
        <v>0</v>
      </c>
      <c r="E69" s="2070">
        <v>0</v>
      </c>
      <c r="F69" s="2070">
        <v>9.8065348237317274</v>
      </c>
      <c r="G69" s="2070">
        <v>1.5276870163370591</v>
      </c>
      <c r="H69" s="2070">
        <v>1.660705073086844</v>
      </c>
      <c r="I69" s="2070">
        <v>1.7372312983662939</v>
      </c>
      <c r="J69" s="2070">
        <v>4.3118658641444538</v>
      </c>
      <c r="K69" s="2070">
        <v>2.1802235597592432</v>
      </c>
      <c r="L69" s="2070">
        <v>3.0951848667239901</v>
      </c>
      <c r="M69" s="2070">
        <v>26.555717970765262</v>
      </c>
      <c r="N69" s="2070">
        <v>25.852966466036111</v>
      </c>
      <c r="O69" s="2070">
        <v>3.5123817712811687</v>
      </c>
      <c r="P69" s="2070">
        <v>4.3811693895098882</v>
      </c>
      <c r="Q69" s="2070">
        <v>4.1380051590713656</v>
      </c>
      <c r="R69" s="2070">
        <v>3.6444539982803095</v>
      </c>
      <c r="S69" s="2070">
        <v>6.4064488392089425</v>
      </c>
      <c r="T69" s="2070">
        <v>5.8372312983662935</v>
      </c>
      <c r="U69" s="2070">
        <v>4.7146173688736015</v>
      </c>
      <c r="V69" s="2070">
        <v>5.7880481513327613</v>
      </c>
      <c r="W69" s="2070">
        <v>3.5779019776440237</v>
      </c>
      <c r="X69" s="2070">
        <v>2.7319002579535678</v>
      </c>
    </row>
    <row r="70" spans="1:24" ht="11.25" customHeight="1">
      <c r="A70" s="2074" t="s">
        <v>5830</v>
      </c>
      <c r="B70" s="2069" t="s">
        <v>5831</v>
      </c>
      <c r="C70" s="2070">
        <v>4.4857070200854121</v>
      </c>
      <c r="D70" s="2070">
        <v>4.4296882578019359</v>
      </c>
      <c r="E70" s="2070">
        <v>4.5955747462637904</v>
      </c>
      <c r="F70" s="2070">
        <v>4.8690801365747536</v>
      </c>
      <c r="G70" s="2070">
        <v>5.1248441696505918</v>
      </c>
      <c r="H70" s="2070">
        <v>5.7761205244919198</v>
      </c>
      <c r="I70" s="2070">
        <v>6.7606329199583151</v>
      </c>
      <c r="J70" s="2070">
        <v>7.2671095528653948</v>
      </c>
      <c r="K70" s="2070">
        <v>6.0637453199717593</v>
      </c>
      <c r="L70" s="2070">
        <v>6.0466818599726251</v>
      </c>
      <c r="M70" s="2070">
        <v>6.4320507559605042</v>
      </c>
      <c r="N70" s="2070">
        <v>8.0099293429787899</v>
      </c>
      <c r="O70" s="2070">
        <v>9.3045501093294689</v>
      </c>
      <c r="P70" s="2070">
        <v>9.9924988178749903</v>
      </c>
      <c r="Q70" s="2070">
        <v>32.570758050574895</v>
      </c>
      <c r="R70" s="2070">
        <v>38.956970808754768</v>
      </c>
      <c r="S70" s="2070">
        <v>45.343976518402258</v>
      </c>
      <c r="T70" s="2070">
        <v>50.449325506243909</v>
      </c>
      <c r="U70" s="2070">
        <v>58.45618882061369</v>
      </c>
      <c r="V70" s="2070">
        <v>63.93958154834381</v>
      </c>
      <c r="W70" s="2070">
        <v>70.350566835604155</v>
      </c>
      <c r="X70" s="2070">
        <v>76.043942763008133</v>
      </c>
    </row>
    <row r="71" spans="1:24" ht="11.25" customHeight="1">
      <c r="A71" s="2071" t="s">
        <v>5832</v>
      </c>
      <c r="B71" s="2072" t="s">
        <v>5833</v>
      </c>
      <c r="C71" s="2073">
        <v>486.92192605331036</v>
      </c>
      <c r="D71" s="2073">
        <v>369.55950128976781</v>
      </c>
      <c r="E71" s="2073">
        <v>346.91530524505589</v>
      </c>
      <c r="F71" s="2073">
        <v>519.5241616509029</v>
      </c>
      <c r="G71" s="2073">
        <v>619.93387790197767</v>
      </c>
      <c r="H71" s="2073">
        <v>699.05442820292342</v>
      </c>
      <c r="I71" s="2073">
        <v>827.11771281169388</v>
      </c>
      <c r="J71" s="2073">
        <v>970.39570077386043</v>
      </c>
      <c r="K71" s="2073">
        <v>1413.5576956147893</v>
      </c>
      <c r="L71" s="2073">
        <v>1694.2312123817708</v>
      </c>
      <c r="M71" s="2073">
        <v>1982.3110060189163</v>
      </c>
      <c r="N71" s="2073">
        <v>2496.373258813413</v>
      </c>
      <c r="O71" s="2073">
        <v>2413.3547721410146</v>
      </c>
      <c r="P71" s="2073">
        <v>2682.8780739466888</v>
      </c>
      <c r="Q71" s="2073">
        <v>2849.3553740326738</v>
      </c>
      <c r="R71" s="2073">
        <v>2864.3715391229571</v>
      </c>
      <c r="S71" s="2073">
        <v>3185.4025795356833</v>
      </c>
      <c r="T71" s="2073">
        <v>3245.144711951848</v>
      </c>
      <c r="U71" s="2073">
        <v>3691.6235597592431</v>
      </c>
      <c r="V71" s="2073">
        <v>3801.0699054170254</v>
      </c>
      <c r="W71" s="2073">
        <v>3870.536285468615</v>
      </c>
      <c r="X71" s="2073">
        <v>3952.8728288907987</v>
      </c>
    </row>
    <row r="72" spans="1:24" ht="11.25" customHeight="1">
      <c r="A72" s="2074" t="s">
        <v>5834</v>
      </c>
      <c r="B72" s="2069" t="s">
        <v>5835</v>
      </c>
      <c r="C72" s="2070">
        <v>486.92192605331036</v>
      </c>
      <c r="D72" s="2070">
        <v>364.30490111779875</v>
      </c>
      <c r="E72" s="2070">
        <v>342.49664660361134</v>
      </c>
      <c r="F72" s="2070">
        <v>376.78985382631129</v>
      </c>
      <c r="G72" s="2070">
        <v>442.75795356835766</v>
      </c>
      <c r="H72" s="2070">
        <v>456.88856405846946</v>
      </c>
      <c r="I72" s="2070">
        <v>557.65176268271716</v>
      </c>
      <c r="J72" s="2070">
        <v>549.71650902837473</v>
      </c>
      <c r="K72" s="2070">
        <v>1333.3532244196044</v>
      </c>
      <c r="L72" s="2070">
        <v>1508.0838349097157</v>
      </c>
      <c r="M72" s="2070">
        <v>1768.374978503869</v>
      </c>
      <c r="N72" s="2070">
        <v>2158.8886500429917</v>
      </c>
      <c r="O72" s="2070">
        <v>2046.5731728288906</v>
      </c>
      <c r="P72" s="2070">
        <v>2145.9705932932065</v>
      </c>
      <c r="Q72" s="2070">
        <v>2317.0226139294923</v>
      </c>
      <c r="R72" s="2070">
        <v>2320.0703353396384</v>
      </c>
      <c r="S72" s="2070">
        <v>2583.8023215821149</v>
      </c>
      <c r="T72" s="2070">
        <v>2551.0392949269126</v>
      </c>
      <c r="U72" s="2070">
        <v>2985.0458297506448</v>
      </c>
      <c r="V72" s="2070">
        <v>3078.3170249355117</v>
      </c>
      <c r="W72" s="2070">
        <v>3141.639552880481</v>
      </c>
      <c r="X72" s="2070">
        <v>3229.3901977644018</v>
      </c>
    </row>
    <row r="73" spans="1:24" ht="11.25" customHeight="1">
      <c r="A73" s="2074" t="s">
        <v>5836</v>
      </c>
      <c r="B73" s="2069" t="s">
        <v>5837</v>
      </c>
      <c r="C73" s="2070">
        <v>0</v>
      </c>
      <c r="D73" s="2070">
        <v>5.2546001719690452</v>
      </c>
      <c r="E73" s="2070">
        <v>4.4186586414445399</v>
      </c>
      <c r="F73" s="2070">
        <v>142.73430782459158</v>
      </c>
      <c r="G73" s="2070">
        <v>177.17592433361995</v>
      </c>
      <c r="H73" s="2070">
        <v>242.16586414445399</v>
      </c>
      <c r="I73" s="2070">
        <v>269.46595012897671</v>
      </c>
      <c r="J73" s="2070">
        <v>420.67919174548575</v>
      </c>
      <c r="K73" s="2070">
        <v>80.204471195184851</v>
      </c>
      <c r="L73" s="2070">
        <v>186.14737747205507</v>
      </c>
      <c r="M73" s="2070">
        <v>213.93602751504733</v>
      </c>
      <c r="N73" s="2070">
        <v>337.48460877042129</v>
      </c>
      <c r="O73" s="2070">
        <v>366.78159931212383</v>
      </c>
      <c r="P73" s="2070">
        <v>536.90748065348237</v>
      </c>
      <c r="Q73" s="2070">
        <v>532.33276010318139</v>
      </c>
      <c r="R73" s="2070">
        <v>544.3012037833189</v>
      </c>
      <c r="S73" s="2070">
        <v>601.60025795356842</v>
      </c>
      <c r="T73" s="2070">
        <v>694.10541702493538</v>
      </c>
      <c r="U73" s="2070">
        <v>706.57773000859834</v>
      </c>
      <c r="V73" s="2070">
        <v>722.75288048151356</v>
      </c>
      <c r="W73" s="2070">
        <v>728.89673258813411</v>
      </c>
      <c r="X73" s="2070">
        <v>723.48263112639711</v>
      </c>
    </row>
    <row r="74" spans="1:24" ht="11.25" customHeight="1">
      <c r="A74" s="2071" t="s">
        <v>4616</v>
      </c>
      <c r="B74" s="2072" t="s">
        <v>5838</v>
      </c>
      <c r="C74" s="2073">
        <v>0</v>
      </c>
      <c r="D74" s="2073">
        <v>0</v>
      </c>
      <c r="E74" s="2073">
        <v>0</v>
      </c>
      <c r="F74" s="2073">
        <v>0</v>
      </c>
      <c r="G74" s="2073">
        <v>0</v>
      </c>
      <c r="H74" s="2073">
        <v>0</v>
      </c>
      <c r="I74" s="2073">
        <v>0</v>
      </c>
      <c r="J74" s="2073">
        <v>0</v>
      </c>
      <c r="K74" s="2073">
        <v>0</v>
      </c>
      <c r="L74" s="2073">
        <v>0</v>
      </c>
      <c r="M74" s="2073">
        <v>0</v>
      </c>
      <c r="N74" s="2073">
        <v>0</v>
      </c>
      <c r="O74" s="2073">
        <v>0</v>
      </c>
      <c r="P74" s="2073">
        <v>0</v>
      </c>
      <c r="Q74" s="2073">
        <v>0</v>
      </c>
      <c r="R74" s="2073">
        <v>0</v>
      </c>
      <c r="S74" s="2073">
        <v>0</v>
      </c>
      <c r="T74" s="2073">
        <v>0</v>
      </c>
      <c r="U74" s="2073">
        <v>0</v>
      </c>
      <c r="V74" s="2073">
        <v>0</v>
      </c>
      <c r="W74" s="2073">
        <v>0</v>
      </c>
      <c r="X74" s="2073">
        <v>0</v>
      </c>
    </row>
    <row r="75" spans="1:24" ht="11.25" customHeight="1">
      <c r="A75" s="2071" t="s">
        <v>4671</v>
      </c>
      <c r="B75" s="2072" t="s">
        <v>5839</v>
      </c>
      <c r="C75" s="2073">
        <v>152.5674978503869</v>
      </c>
      <c r="D75" s="2073">
        <v>165.85993121238175</v>
      </c>
      <c r="E75" s="2073">
        <v>138.7845227858985</v>
      </c>
      <c r="F75" s="2073">
        <v>140.53800515907136</v>
      </c>
      <c r="G75" s="2073">
        <v>235.4091143594153</v>
      </c>
      <c r="H75" s="2073">
        <v>229.50687876182286</v>
      </c>
      <c r="I75" s="2073">
        <v>241.88779019776433</v>
      </c>
      <c r="J75" s="2073">
        <v>232.0147893379191</v>
      </c>
      <c r="K75" s="2073">
        <v>211.44634565778154</v>
      </c>
      <c r="L75" s="2073">
        <v>167.35503009458296</v>
      </c>
      <c r="M75" s="2073">
        <v>194.41642304385209</v>
      </c>
      <c r="N75" s="2073">
        <v>214.95554600171965</v>
      </c>
      <c r="O75" s="2073">
        <v>217.67687016337061</v>
      </c>
      <c r="P75" s="2073">
        <v>209.09836629406703</v>
      </c>
      <c r="Q75" s="2073">
        <v>229.72871883061049</v>
      </c>
      <c r="R75" s="2073">
        <v>278.71478933791917</v>
      </c>
      <c r="S75" s="2073">
        <v>254.15984522785899</v>
      </c>
      <c r="T75" s="2073">
        <v>240.9143594153052</v>
      </c>
      <c r="U75" s="2073">
        <v>356.90429922613907</v>
      </c>
      <c r="V75" s="2073">
        <v>278.77214101461732</v>
      </c>
      <c r="W75" s="2073">
        <v>276.68039552880481</v>
      </c>
      <c r="X75" s="2073">
        <v>246.85451418744617</v>
      </c>
    </row>
    <row r="76" spans="1:24" ht="11.25" customHeight="1">
      <c r="A76" s="2075" t="s">
        <v>4282</v>
      </c>
      <c r="B76" s="2076" t="s">
        <v>5840</v>
      </c>
      <c r="C76" s="2077">
        <v>6163.5260533104038</v>
      </c>
      <c r="D76" s="2077">
        <v>6369.7349957007737</v>
      </c>
      <c r="E76" s="2077">
        <v>6408.3613929492703</v>
      </c>
      <c r="F76" s="2077">
        <v>6268.6345657781585</v>
      </c>
      <c r="G76" s="2077">
        <v>6439.9442820292352</v>
      </c>
      <c r="H76" s="2077">
        <v>6558.1704213241637</v>
      </c>
      <c r="I76" s="2077">
        <v>6594.7874462596719</v>
      </c>
      <c r="J76" s="2077">
        <v>6811.5173688736013</v>
      </c>
      <c r="K76" s="2077">
        <v>6520.9062768701642</v>
      </c>
      <c r="L76" s="2077">
        <v>5512.4529664660358</v>
      </c>
      <c r="M76" s="2077">
        <v>5641.7283748925202</v>
      </c>
      <c r="N76" s="2077">
        <v>5592.0788478073955</v>
      </c>
      <c r="O76" s="2077">
        <v>5313.5682717110922</v>
      </c>
      <c r="P76" s="2077">
        <v>5136.9585554600171</v>
      </c>
      <c r="Q76" s="2077">
        <v>5196.1676698194333</v>
      </c>
      <c r="R76" s="2077">
        <v>5265.3081685296647</v>
      </c>
      <c r="S76" s="2077">
        <v>5358.3473774720533</v>
      </c>
      <c r="T76" s="2077">
        <v>5473.7515907136703</v>
      </c>
      <c r="U76" s="2077">
        <v>5543.9186586414435</v>
      </c>
      <c r="V76" s="2077">
        <v>5517.2647463456578</v>
      </c>
      <c r="W76" s="2077">
        <v>5294.384350816852</v>
      </c>
      <c r="X76" s="2077">
        <v>5707.8884780739454</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D83BB-6232-4D84-B032-5952E54C690D}">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baseColWidth="10" defaultColWidth="9.1640625" defaultRowHeight="11.25" customHeight="1"/>
  <cols>
    <col min="1" max="1" width="40.6640625" style="2059" bestFit="1" customWidth="1"/>
    <col min="2" max="2" width="16.1640625" style="2059" bestFit="1" customWidth="1"/>
    <col min="3" max="24" width="9.6640625" style="2059" customWidth="1"/>
    <col min="25" max="16384" width="9.1640625" style="2059"/>
  </cols>
  <sheetData>
    <row r="1" spans="1:24" ht="11.25" customHeight="1">
      <c r="A1" s="2057" t="s">
        <v>5847</v>
      </c>
      <c r="B1" s="2057" t="s">
        <v>5848</v>
      </c>
      <c r="C1" s="2058">
        <v>2000</v>
      </c>
      <c r="D1" s="2058">
        <v>2001</v>
      </c>
      <c r="E1" s="2058">
        <v>2002</v>
      </c>
      <c r="F1" s="2058">
        <v>2003</v>
      </c>
      <c r="G1" s="2058">
        <v>2004</v>
      </c>
      <c r="H1" s="2058">
        <v>2005</v>
      </c>
      <c r="I1" s="2058">
        <v>2006</v>
      </c>
      <c r="J1" s="2058">
        <v>2007</v>
      </c>
      <c r="K1" s="2058">
        <v>2008</v>
      </c>
      <c r="L1" s="2058">
        <v>2009</v>
      </c>
      <c r="M1" s="2058">
        <v>2010</v>
      </c>
      <c r="N1" s="2058">
        <v>2011</v>
      </c>
      <c r="O1" s="2058">
        <v>2012</v>
      </c>
      <c r="P1" s="2058">
        <v>2013</v>
      </c>
      <c r="Q1" s="2058">
        <v>2014</v>
      </c>
      <c r="R1" s="2058">
        <v>2015</v>
      </c>
      <c r="S1" s="2058">
        <v>2016</v>
      </c>
      <c r="T1" s="2058">
        <v>2017</v>
      </c>
      <c r="U1" s="2058">
        <v>2018</v>
      </c>
      <c r="V1" s="2058">
        <v>2019</v>
      </c>
      <c r="W1" s="2058">
        <v>2020</v>
      </c>
      <c r="X1" s="2058">
        <v>2021</v>
      </c>
    </row>
    <row r="2" spans="1:24" ht="11.25" customHeight="1">
      <c r="A2" s="2060" t="s">
        <v>1265</v>
      </c>
      <c r="B2" s="2060" t="s">
        <v>5738</v>
      </c>
      <c r="C2" s="2061">
        <v>32882.449742489604</v>
      </c>
      <c r="D2" s="2061">
        <v>32066.054632213112</v>
      </c>
      <c r="E2" s="2061">
        <v>32526.408978914107</v>
      </c>
      <c r="F2" s="2061">
        <v>33594.82045066588</v>
      </c>
      <c r="G2" s="2061">
        <v>33703.983448336716</v>
      </c>
      <c r="H2" s="2061">
        <v>34234.452109585</v>
      </c>
      <c r="I2" s="2061">
        <v>35078.519405896848</v>
      </c>
      <c r="J2" s="2061">
        <v>36049.972855656706</v>
      </c>
      <c r="K2" s="2061">
        <v>33835.767764447344</v>
      </c>
      <c r="L2" s="2061">
        <v>31301.28072822763</v>
      </c>
      <c r="M2" s="2061">
        <v>32964.446548669308</v>
      </c>
      <c r="N2" s="2061">
        <v>32476.649304123624</v>
      </c>
      <c r="O2" s="2061">
        <v>32231.274169951103</v>
      </c>
      <c r="P2" s="2061">
        <v>32278.291351086282</v>
      </c>
      <c r="Q2" s="2061">
        <v>31932.811617104693</v>
      </c>
      <c r="R2" s="2061">
        <v>31947.26078303036</v>
      </c>
      <c r="S2" s="2061">
        <v>32180.212145171514</v>
      </c>
      <c r="T2" s="2061">
        <v>32506.097948250965</v>
      </c>
      <c r="U2" s="2061">
        <v>32307.222146041917</v>
      </c>
      <c r="V2" s="2061">
        <v>32514.902793954137</v>
      </c>
      <c r="W2" s="2061">
        <v>31397.222693106552</v>
      </c>
      <c r="X2" s="2061">
        <v>32932.051682794765</v>
      </c>
    </row>
    <row r="3" spans="1:24" ht="11.25" customHeight="1">
      <c r="A3" s="2062" t="s">
        <v>5739</v>
      </c>
      <c r="B3" s="2063" t="s">
        <v>5740</v>
      </c>
      <c r="C3" s="2064">
        <v>1226.3443680137575</v>
      </c>
      <c r="D3" s="2064">
        <v>1066.973086844368</v>
      </c>
      <c r="E3" s="2064">
        <v>1112.1408426483233</v>
      </c>
      <c r="F3" s="2064">
        <v>1201.9824591573517</v>
      </c>
      <c r="G3" s="2064">
        <v>1130.0347377472056</v>
      </c>
      <c r="H3" s="2064">
        <v>1176.8237317282887</v>
      </c>
      <c r="I3" s="2064">
        <v>1071.8541702493551</v>
      </c>
      <c r="J3" s="2064">
        <v>909.58254514187433</v>
      </c>
      <c r="K3" s="2064">
        <v>873.0316423043854</v>
      </c>
      <c r="L3" s="2064">
        <v>903.96388650042991</v>
      </c>
      <c r="M3" s="2064">
        <v>847.45296646603617</v>
      </c>
      <c r="N3" s="2064">
        <v>823.28632846087714</v>
      </c>
      <c r="O3" s="2064">
        <v>822.69819432502129</v>
      </c>
      <c r="P3" s="2064">
        <v>850.62055030094587</v>
      </c>
      <c r="Q3" s="2064">
        <v>828.27807394668969</v>
      </c>
      <c r="R3" s="2064">
        <v>852.53972484952715</v>
      </c>
      <c r="S3" s="2064">
        <v>857.56225279449677</v>
      </c>
      <c r="T3" s="2064">
        <v>801.7103181427342</v>
      </c>
      <c r="U3" s="2064">
        <v>751.4112639724849</v>
      </c>
      <c r="V3" s="2064">
        <v>677.59045571797083</v>
      </c>
      <c r="W3" s="2064">
        <v>581.54746345657782</v>
      </c>
      <c r="X3" s="2064">
        <v>585.55846947549446</v>
      </c>
    </row>
    <row r="4" spans="1:24" ht="11.25" customHeight="1">
      <c r="A4" s="2065" t="s">
        <v>5741</v>
      </c>
      <c r="B4" s="2066" t="s">
        <v>5742</v>
      </c>
      <c r="C4" s="2067">
        <v>974.79303525365424</v>
      </c>
      <c r="D4" s="2067">
        <v>849.44548581255367</v>
      </c>
      <c r="E4" s="2067">
        <v>894.25907136715409</v>
      </c>
      <c r="F4" s="2067">
        <v>912.68383490971632</v>
      </c>
      <c r="G4" s="2067">
        <v>903.44651762682724</v>
      </c>
      <c r="H4" s="2067">
        <v>935.5981943250215</v>
      </c>
      <c r="I4" s="2067">
        <v>879.87970765262253</v>
      </c>
      <c r="J4" s="2067">
        <v>732.82820292347367</v>
      </c>
      <c r="K4" s="2067">
        <v>668.16938950988833</v>
      </c>
      <c r="L4" s="2067">
        <v>671.34135855546003</v>
      </c>
      <c r="M4" s="2067">
        <v>670.796818572657</v>
      </c>
      <c r="N4" s="2067">
        <v>630.24875322441972</v>
      </c>
      <c r="O4" s="2067">
        <v>604.12321582115203</v>
      </c>
      <c r="P4" s="2067">
        <v>615.49656061908854</v>
      </c>
      <c r="Q4" s="2067">
        <v>601.174720550301</v>
      </c>
      <c r="R4" s="2067">
        <v>634.57730008598458</v>
      </c>
      <c r="S4" s="2067">
        <v>635.69458297506435</v>
      </c>
      <c r="T4" s="2067">
        <v>604.05924333619942</v>
      </c>
      <c r="U4" s="2067">
        <v>535.87996560619092</v>
      </c>
      <c r="V4" s="2067">
        <v>484.46809974204643</v>
      </c>
      <c r="W4" s="2067">
        <v>411.64660361134997</v>
      </c>
      <c r="X4" s="2067">
        <v>435.32355975924344</v>
      </c>
    </row>
    <row r="5" spans="1:24" ht="11.25" customHeight="1">
      <c r="A5" s="2068" t="s">
        <v>4613</v>
      </c>
      <c r="B5" s="2069" t="s">
        <v>5743</v>
      </c>
      <c r="C5" s="2070">
        <v>0</v>
      </c>
      <c r="D5" s="2070">
        <v>0</v>
      </c>
      <c r="E5" s="2070">
        <v>0</v>
      </c>
      <c r="F5" s="2070">
        <v>0</v>
      </c>
      <c r="G5" s="2070">
        <v>2.126655202063628</v>
      </c>
      <c r="H5" s="2070">
        <v>0.70963026655202055</v>
      </c>
      <c r="I5" s="2070">
        <v>0</v>
      </c>
      <c r="J5" s="2070">
        <v>44.855202063628553</v>
      </c>
      <c r="K5" s="2070">
        <v>1.4535683576956147</v>
      </c>
      <c r="L5" s="2070">
        <v>2.3619088564058468</v>
      </c>
      <c r="M5" s="2070">
        <v>1.5865864144454001</v>
      </c>
      <c r="N5" s="2070">
        <v>13.534221840068788</v>
      </c>
      <c r="O5" s="2070">
        <v>16.450558899398114</v>
      </c>
      <c r="P5" s="2070">
        <v>12.143680137575242</v>
      </c>
      <c r="Q5" s="2070">
        <v>8.7427343078245912</v>
      </c>
      <c r="R5" s="2070">
        <v>7.2743766122098021</v>
      </c>
      <c r="S5" s="2070">
        <v>45.758985382631124</v>
      </c>
      <c r="T5" s="2070">
        <v>51.112553740326732</v>
      </c>
      <c r="U5" s="2070">
        <v>42.685382631126387</v>
      </c>
      <c r="V5" s="2070">
        <v>14.568959587274293</v>
      </c>
      <c r="W5" s="2070">
        <v>14.956749785038689</v>
      </c>
      <c r="X5" s="2070">
        <v>17.957179707652625</v>
      </c>
    </row>
    <row r="6" spans="1:24" ht="11.25" customHeight="1">
      <c r="A6" s="2068" t="s">
        <v>4647</v>
      </c>
      <c r="B6" s="2069" t="s">
        <v>5744</v>
      </c>
      <c r="C6" s="2070">
        <v>0</v>
      </c>
      <c r="D6" s="2070">
        <v>0</v>
      </c>
      <c r="E6" s="2070">
        <v>0</v>
      </c>
      <c r="F6" s="2070">
        <v>0</v>
      </c>
      <c r="G6" s="2070">
        <v>0</v>
      </c>
      <c r="H6" s="2070">
        <v>0</v>
      </c>
      <c r="I6" s="2070">
        <v>0</v>
      </c>
      <c r="J6" s="2070">
        <v>0</v>
      </c>
      <c r="K6" s="2070">
        <v>0</v>
      </c>
      <c r="L6" s="2070">
        <v>0</v>
      </c>
      <c r="M6" s="2070">
        <v>0</v>
      </c>
      <c r="N6" s="2070">
        <v>0</v>
      </c>
      <c r="O6" s="2070">
        <v>0</v>
      </c>
      <c r="P6" s="2070">
        <v>0</v>
      </c>
      <c r="Q6" s="2070">
        <v>0</v>
      </c>
      <c r="R6" s="2070">
        <v>0</v>
      </c>
      <c r="S6" s="2070">
        <v>0</v>
      </c>
      <c r="T6" s="2070">
        <v>0</v>
      </c>
      <c r="U6" s="2070">
        <v>0</v>
      </c>
      <c r="V6" s="2070">
        <v>0</v>
      </c>
      <c r="W6" s="2070">
        <v>0</v>
      </c>
      <c r="X6" s="2070">
        <v>0</v>
      </c>
    </row>
    <row r="7" spans="1:24" ht="11.25" customHeight="1">
      <c r="A7" s="2068" t="s">
        <v>4648</v>
      </c>
      <c r="B7" s="2069" t="s">
        <v>5745</v>
      </c>
      <c r="C7" s="2070">
        <v>974.79303525365424</v>
      </c>
      <c r="D7" s="2070">
        <v>849.44548581255367</v>
      </c>
      <c r="E7" s="2070">
        <v>894.25907136715409</v>
      </c>
      <c r="F7" s="2070">
        <v>912.68383490971632</v>
      </c>
      <c r="G7" s="2070">
        <v>901.31986242476364</v>
      </c>
      <c r="H7" s="2070">
        <v>934.88856405846946</v>
      </c>
      <c r="I7" s="2070">
        <v>879.87970765262253</v>
      </c>
      <c r="J7" s="2070">
        <v>687.97300085984511</v>
      </c>
      <c r="K7" s="2070">
        <v>666.71582115219269</v>
      </c>
      <c r="L7" s="2070">
        <v>668.97944969905416</v>
      </c>
      <c r="M7" s="2070">
        <v>669.21023215821162</v>
      </c>
      <c r="N7" s="2070">
        <v>616.71453138435095</v>
      </c>
      <c r="O7" s="2070">
        <v>587.67265692175397</v>
      </c>
      <c r="P7" s="2070">
        <v>603.35288048151335</v>
      </c>
      <c r="Q7" s="2070">
        <v>592.43198624247646</v>
      </c>
      <c r="R7" s="2070">
        <v>627.30292347377474</v>
      </c>
      <c r="S7" s="2070">
        <v>589.93559759243328</v>
      </c>
      <c r="T7" s="2070">
        <v>552.94668959587273</v>
      </c>
      <c r="U7" s="2070">
        <v>493.19458297506452</v>
      </c>
      <c r="V7" s="2070">
        <v>469.89914015477211</v>
      </c>
      <c r="W7" s="2070">
        <v>396.68985382631126</v>
      </c>
      <c r="X7" s="2070">
        <v>417.3663800515908</v>
      </c>
    </row>
    <row r="8" spans="1:24" ht="11.25" customHeight="1">
      <c r="A8" s="2065" t="s">
        <v>5746</v>
      </c>
      <c r="B8" s="2066" t="s">
        <v>5747</v>
      </c>
      <c r="C8" s="2067">
        <v>162.81306964746344</v>
      </c>
      <c r="D8" s="2067">
        <v>165.00765262252793</v>
      </c>
      <c r="E8" s="2067">
        <v>167.7535683576956</v>
      </c>
      <c r="F8" s="2067">
        <v>164.0035253654342</v>
      </c>
      <c r="G8" s="2067">
        <v>107.564660361135</v>
      </c>
      <c r="H8" s="2067">
        <v>148.76809974204642</v>
      </c>
      <c r="I8" s="2067">
        <v>130.30257953568358</v>
      </c>
      <c r="J8" s="2067">
        <v>127.38684436801374</v>
      </c>
      <c r="K8" s="2067">
        <v>121.57549441100602</v>
      </c>
      <c r="L8" s="2067">
        <v>132.78443680137573</v>
      </c>
      <c r="M8" s="2067">
        <v>72.664832330180559</v>
      </c>
      <c r="N8" s="2067">
        <v>68.629922613929494</v>
      </c>
      <c r="O8" s="2067">
        <v>61.257437661220969</v>
      </c>
      <c r="P8" s="2067">
        <v>60.176956147893378</v>
      </c>
      <c r="Q8" s="2067">
        <v>59.409286328460873</v>
      </c>
      <c r="R8" s="2067">
        <v>54.97411865864143</v>
      </c>
      <c r="S8" s="2067">
        <v>54.869045571797074</v>
      </c>
      <c r="T8" s="2067">
        <v>50.982631126397244</v>
      </c>
      <c r="U8" s="2067">
        <v>55.639036973344801</v>
      </c>
      <c r="V8" s="2067">
        <v>60.342906276870153</v>
      </c>
      <c r="W8" s="2067">
        <v>50.237833190025796</v>
      </c>
      <c r="X8" s="2067">
        <v>42.091573516766985</v>
      </c>
    </row>
    <row r="9" spans="1:24" ht="11.25" customHeight="1">
      <c r="A9" s="2068" t="s">
        <v>4649</v>
      </c>
      <c r="B9" s="2069" t="s">
        <v>5748</v>
      </c>
      <c r="C9" s="2070">
        <v>27.507394668959584</v>
      </c>
      <c r="D9" s="2070">
        <v>32.187962166809967</v>
      </c>
      <c r="E9" s="2070">
        <v>34.608770421324152</v>
      </c>
      <c r="F9" s="2070">
        <v>32.554342218400691</v>
      </c>
      <c r="G9" s="2070">
        <v>34.083748925193461</v>
      </c>
      <c r="H9" s="2070">
        <v>35.535769561478936</v>
      </c>
      <c r="I9" s="2070">
        <v>31.708942390369735</v>
      </c>
      <c r="J9" s="2070">
        <v>26.782717110920029</v>
      </c>
      <c r="K9" s="2070">
        <v>21.328718830610491</v>
      </c>
      <c r="L9" s="2070">
        <v>20.174892519346511</v>
      </c>
      <c r="M9" s="2070">
        <v>15.2067067927773</v>
      </c>
      <c r="N9" s="2070">
        <v>16.167669819432501</v>
      </c>
      <c r="O9" s="2070">
        <v>15.755374032674117</v>
      </c>
      <c r="P9" s="2070">
        <v>16.529664660361139</v>
      </c>
      <c r="Q9" s="2070">
        <v>16.608770421324159</v>
      </c>
      <c r="R9" s="2070">
        <v>15.791315563198621</v>
      </c>
      <c r="S9" s="2070">
        <v>17.42889079965606</v>
      </c>
      <c r="T9" s="2070">
        <v>19.201633705932927</v>
      </c>
      <c r="U9" s="2070">
        <v>21.966723989681864</v>
      </c>
      <c r="V9" s="2070">
        <v>20.796388650042989</v>
      </c>
      <c r="W9" s="2070">
        <v>9.4955288048151338</v>
      </c>
      <c r="X9" s="2070">
        <v>3.1334479793637136</v>
      </c>
    </row>
    <row r="10" spans="1:24" ht="11.25" customHeight="1">
      <c r="A10" s="2068" t="s">
        <v>4290</v>
      </c>
      <c r="B10" s="2069" t="s">
        <v>5749</v>
      </c>
      <c r="C10" s="2070">
        <v>135.30567497850384</v>
      </c>
      <c r="D10" s="2070">
        <v>132.81969045571796</v>
      </c>
      <c r="E10" s="2070">
        <v>133.14479793637145</v>
      </c>
      <c r="F10" s="2070">
        <v>131.44918314703352</v>
      </c>
      <c r="G10" s="2070">
        <v>73.480911435941536</v>
      </c>
      <c r="H10" s="2070">
        <v>113.23233018056747</v>
      </c>
      <c r="I10" s="2070">
        <v>98.593637145313835</v>
      </c>
      <c r="J10" s="2070">
        <v>100.60412725709371</v>
      </c>
      <c r="K10" s="2070">
        <v>100.24677558039552</v>
      </c>
      <c r="L10" s="2070">
        <v>112.60954428202923</v>
      </c>
      <c r="M10" s="2070">
        <v>57.458125537403262</v>
      </c>
      <c r="N10" s="2070">
        <v>52.46225279449699</v>
      </c>
      <c r="O10" s="2070">
        <v>45.50206362854685</v>
      </c>
      <c r="P10" s="2070">
        <v>43.647291487532236</v>
      </c>
      <c r="Q10" s="2070">
        <v>42.800515907136713</v>
      </c>
      <c r="R10" s="2070">
        <v>39.182803095442807</v>
      </c>
      <c r="S10" s="2070">
        <v>37.440154772141014</v>
      </c>
      <c r="T10" s="2070">
        <v>31.780997420464317</v>
      </c>
      <c r="U10" s="2070">
        <v>33.672312983662934</v>
      </c>
      <c r="V10" s="2070">
        <v>39.546517626827168</v>
      </c>
      <c r="W10" s="2070">
        <v>40.742304385210666</v>
      </c>
      <c r="X10" s="2070">
        <v>38.958125537403269</v>
      </c>
    </row>
    <row r="11" spans="1:24" ht="11.25" customHeight="1">
      <c r="A11" s="2065" t="s">
        <v>5750</v>
      </c>
      <c r="B11" s="2066" t="s">
        <v>5751</v>
      </c>
      <c r="C11" s="2067">
        <v>88.738263112639714</v>
      </c>
      <c r="D11" s="2067">
        <v>52.519948409286307</v>
      </c>
      <c r="E11" s="2067">
        <v>50.128202923473765</v>
      </c>
      <c r="F11" s="2067">
        <v>125.29509888220117</v>
      </c>
      <c r="G11" s="2067">
        <v>119.02355975924334</v>
      </c>
      <c r="H11" s="2067">
        <v>92.457437661220965</v>
      </c>
      <c r="I11" s="2067">
        <v>61.671883061049002</v>
      </c>
      <c r="J11" s="2067">
        <v>49.367497850386926</v>
      </c>
      <c r="K11" s="2067">
        <v>83.286758383490991</v>
      </c>
      <c r="L11" s="2067">
        <v>99.838091143594156</v>
      </c>
      <c r="M11" s="2067">
        <v>103.99131556319858</v>
      </c>
      <c r="N11" s="2067">
        <v>124.40765262252792</v>
      </c>
      <c r="O11" s="2067">
        <v>157.3175408426483</v>
      </c>
      <c r="P11" s="2067">
        <v>174.94703353396392</v>
      </c>
      <c r="Q11" s="2067">
        <v>167.69406706792779</v>
      </c>
      <c r="R11" s="2067">
        <v>162.98830610490108</v>
      </c>
      <c r="S11" s="2067">
        <v>166.99862424763541</v>
      </c>
      <c r="T11" s="2067">
        <v>146.66844368013756</v>
      </c>
      <c r="U11" s="2067">
        <v>159.89226139294922</v>
      </c>
      <c r="V11" s="2067">
        <v>132.7794496990542</v>
      </c>
      <c r="W11" s="2067">
        <v>119.66302665520203</v>
      </c>
      <c r="X11" s="2067">
        <v>108.14333619948407</v>
      </c>
    </row>
    <row r="12" spans="1:24" ht="11.25" customHeight="1">
      <c r="A12" s="2068" t="s">
        <v>4650</v>
      </c>
      <c r="B12" s="2069" t="s">
        <v>5752</v>
      </c>
      <c r="C12" s="2070">
        <v>0</v>
      </c>
      <c r="D12" s="2070">
        <v>0</v>
      </c>
      <c r="E12" s="2070">
        <v>0</v>
      </c>
      <c r="F12" s="2070">
        <v>25.499226139294919</v>
      </c>
      <c r="G12" s="2070">
        <v>26.249183147033531</v>
      </c>
      <c r="H12" s="2070">
        <v>0</v>
      </c>
      <c r="I12" s="2070">
        <v>0</v>
      </c>
      <c r="J12" s="2070">
        <v>0</v>
      </c>
      <c r="K12" s="2070">
        <v>0</v>
      </c>
      <c r="L12" s="2070">
        <v>2.1672398968185722</v>
      </c>
      <c r="M12" s="2070">
        <v>0</v>
      </c>
      <c r="N12" s="2070">
        <v>0</v>
      </c>
      <c r="O12" s="2070">
        <v>0</v>
      </c>
      <c r="P12" s="2070">
        <v>2.8639724849527082</v>
      </c>
      <c r="Q12" s="2070">
        <v>0</v>
      </c>
      <c r="R12" s="2070">
        <v>0</v>
      </c>
      <c r="S12" s="2070">
        <v>0</v>
      </c>
      <c r="T12" s="2070">
        <v>0</v>
      </c>
      <c r="U12" s="2070">
        <v>19.585640584694751</v>
      </c>
      <c r="V12" s="2070">
        <v>0.42940670679277726</v>
      </c>
      <c r="W12" s="2070">
        <v>0.61977644024075662</v>
      </c>
      <c r="X12" s="2070">
        <v>0</v>
      </c>
    </row>
    <row r="13" spans="1:24" ht="11.25" customHeight="1">
      <c r="A13" s="2068" t="s">
        <v>4651</v>
      </c>
      <c r="B13" s="2069" t="s">
        <v>5753</v>
      </c>
      <c r="C13" s="2070">
        <v>21.168185726569213</v>
      </c>
      <c r="D13" s="2070">
        <v>14.312381771281167</v>
      </c>
      <c r="E13" s="2070">
        <v>10.23955288048151</v>
      </c>
      <c r="F13" s="2070">
        <v>3.4195184866723984</v>
      </c>
      <c r="G13" s="2070">
        <v>0.65889939810834042</v>
      </c>
      <c r="H13" s="2070">
        <v>0.64006878761822872</v>
      </c>
      <c r="I13" s="2070">
        <v>0.66981943250214948</v>
      </c>
      <c r="J13" s="2070">
        <v>0.67730008598452274</v>
      </c>
      <c r="K13" s="2070">
        <v>0.67523645743766114</v>
      </c>
      <c r="L13" s="2070">
        <v>0</v>
      </c>
      <c r="M13" s="2070">
        <v>0.65184866723989665</v>
      </c>
      <c r="N13" s="2070">
        <v>0</v>
      </c>
      <c r="O13" s="2070">
        <v>0</v>
      </c>
      <c r="P13" s="2070">
        <v>0</v>
      </c>
      <c r="Q13" s="2070">
        <v>0</v>
      </c>
      <c r="R13" s="2070">
        <v>0</v>
      </c>
      <c r="S13" s="2070">
        <v>0</v>
      </c>
      <c r="T13" s="2070">
        <v>0</v>
      </c>
      <c r="U13" s="2070">
        <v>0</v>
      </c>
      <c r="V13" s="2070">
        <v>0</v>
      </c>
      <c r="W13" s="2070">
        <v>0</v>
      </c>
      <c r="X13" s="2070">
        <v>9.37231298366294E-3</v>
      </c>
    </row>
    <row r="14" spans="1:24" ht="11.25" customHeight="1">
      <c r="A14" s="2068" t="s">
        <v>4652</v>
      </c>
      <c r="B14" s="2069" t="s">
        <v>5754</v>
      </c>
      <c r="C14" s="2070">
        <v>0</v>
      </c>
      <c r="D14" s="2070">
        <v>0</v>
      </c>
      <c r="E14" s="2070">
        <v>0</v>
      </c>
      <c r="F14" s="2070">
        <v>0</v>
      </c>
      <c r="G14" s="2070">
        <v>0</v>
      </c>
      <c r="H14" s="2070">
        <v>0</v>
      </c>
      <c r="I14" s="2070">
        <v>0</v>
      </c>
      <c r="J14" s="2070">
        <v>0</v>
      </c>
      <c r="K14" s="2070">
        <v>0</v>
      </c>
      <c r="L14" s="2070">
        <v>0</v>
      </c>
      <c r="M14" s="2070">
        <v>0</v>
      </c>
      <c r="N14" s="2070">
        <v>0</v>
      </c>
      <c r="O14" s="2070">
        <v>0</v>
      </c>
      <c r="P14" s="2070">
        <v>0</v>
      </c>
      <c r="Q14" s="2070">
        <v>0</v>
      </c>
      <c r="R14" s="2070">
        <v>0</v>
      </c>
      <c r="S14" s="2070">
        <v>0</v>
      </c>
      <c r="T14" s="2070">
        <v>0</v>
      </c>
      <c r="U14" s="2070">
        <v>0</v>
      </c>
      <c r="V14" s="2070">
        <v>0</v>
      </c>
      <c r="W14" s="2070">
        <v>0</v>
      </c>
      <c r="X14" s="2070">
        <v>0</v>
      </c>
    </row>
    <row r="15" spans="1:24" ht="11.25" customHeight="1">
      <c r="A15" s="2068" t="s">
        <v>4653</v>
      </c>
      <c r="B15" s="2069" t="s">
        <v>5755</v>
      </c>
      <c r="C15" s="2070">
        <v>0</v>
      </c>
      <c r="D15" s="2070">
        <v>0</v>
      </c>
      <c r="E15" s="2070">
        <v>0</v>
      </c>
      <c r="F15" s="2070">
        <v>0</v>
      </c>
      <c r="G15" s="2070">
        <v>0</v>
      </c>
      <c r="H15" s="2070">
        <v>0</v>
      </c>
      <c r="I15" s="2070">
        <v>0</v>
      </c>
      <c r="J15" s="2070">
        <v>0</v>
      </c>
      <c r="K15" s="2070">
        <v>0</v>
      </c>
      <c r="L15" s="2070">
        <v>0</v>
      </c>
      <c r="M15" s="2070">
        <v>0</v>
      </c>
      <c r="N15" s="2070">
        <v>0</v>
      </c>
      <c r="O15" s="2070">
        <v>0</v>
      </c>
      <c r="P15" s="2070">
        <v>0</v>
      </c>
      <c r="Q15" s="2070">
        <v>0</v>
      </c>
      <c r="R15" s="2070">
        <v>0</v>
      </c>
      <c r="S15" s="2070">
        <v>0</v>
      </c>
      <c r="T15" s="2070">
        <v>0</v>
      </c>
      <c r="U15" s="2070">
        <v>0</v>
      </c>
      <c r="V15" s="2070">
        <v>0</v>
      </c>
      <c r="W15" s="2070">
        <v>0</v>
      </c>
      <c r="X15" s="2070">
        <v>0</v>
      </c>
    </row>
    <row r="16" spans="1:24" ht="11.25" customHeight="1">
      <c r="A16" s="2068" t="s">
        <v>5756</v>
      </c>
      <c r="B16" s="2069" t="s">
        <v>5757</v>
      </c>
      <c r="C16" s="2070">
        <v>67.570077386070508</v>
      </c>
      <c r="D16" s="2070">
        <v>38.20756663800514</v>
      </c>
      <c r="E16" s="2070">
        <v>39.888650042992253</v>
      </c>
      <c r="F16" s="2070">
        <v>96.376354256233853</v>
      </c>
      <c r="G16" s="2070">
        <v>92.115477214101475</v>
      </c>
      <c r="H16" s="2070">
        <v>91.817368873602732</v>
      </c>
      <c r="I16" s="2070">
        <v>61.00206362854685</v>
      </c>
      <c r="J16" s="2070">
        <v>48.690197764402406</v>
      </c>
      <c r="K16" s="2070">
        <v>82.611521926053328</v>
      </c>
      <c r="L16" s="2070">
        <v>97.670851246775584</v>
      </c>
      <c r="M16" s="2070">
        <v>103.33946689595868</v>
      </c>
      <c r="N16" s="2070">
        <v>124.40765262252792</v>
      </c>
      <c r="O16" s="2070">
        <v>157.3175408426483</v>
      </c>
      <c r="P16" s="2070">
        <v>172.08306104901121</v>
      </c>
      <c r="Q16" s="2070">
        <v>167.69406706792779</v>
      </c>
      <c r="R16" s="2070">
        <v>162.98830610490108</v>
      </c>
      <c r="S16" s="2070">
        <v>166.99862424763541</v>
      </c>
      <c r="T16" s="2070">
        <v>146.66844368013756</v>
      </c>
      <c r="U16" s="2070">
        <v>140.30662080825448</v>
      </c>
      <c r="V16" s="2070">
        <v>132.35004299226142</v>
      </c>
      <c r="W16" s="2070">
        <v>119.04325021496128</v>
      </c>
      <c r="X16" s="2070">
        <v>108.13396388650041</v>
      </c>
    </row>
    <row r="17" spans="1:24" ht="11.25" customHeight="1">
      <c r="A17" s="2071" t="s">
        <v>5758</v>
      </c>
      <c r="B17" s="2072" t="s">
        <v>5759</v>
      </c>
      <c r="C17" s="2073">
        <v>24.204643164230433</v>
      </c>
      <c r="D17" s="2073">
        <v>21.560619088564057</v>
      </c>
      <c r="E17" s="2073">
        <v>20.550300945829751</v>
      </c>
      <c r="F17" s="2073">
        <v>0</v>
      </c>
      <c r="G17" s="2073">
        <v>0</v>
      </c>
      <c r="H17" s="2073">
        <v>2.149613069647463E-2</v>
      </c>
      <c r="I17" s="2073">
        <v>2.149613069647463E-2</v>
      </c>
      <c r="J17" s="2073">
        <v>2.149613069647463E-2</v>
      </c>
      <c r="K17" s="2073">
        <v>0</v>
      </c>
      <c r="L17" s="2073">
        <v>0</v>
      </c>
      <c r="M17" s="2073">
        <v>0</v>
      </c>
      <c r="N17" s="2073">
        <v>0</v>
      </c>
      <c r="O17" s="2073">
        <v>0</v>
      </c>
      <c r="P17" s="2073">
        <v>0</v>
      </c>
      <c r="Q17" s="2073">
        <v>0</v>
      </c>
      <c r="R17" s="2073">
        <v>0</v>
      </c>
      <c r="S17" s="2073">
        <v>0</v>
      </c>
      <c r="T17" s="2073">
        <v>0</v>
      </c>
      <c r="U17" s="2073">
        <v>0</v>
      </c>
      <c r="V17" s="2073">
        <v>0</v>
      </c>
      <c r="W17" s="2073">
        <v>0</v>
      </c>
      <c r="X17" s="2073">
        <v>0</v>
      </c>
    </row>
    <row r="18" spans="1:24" ht="11.25" customHeight="1">
      <c r="A18" s="2074" t="s">
        <v>4654</v>
      </c>
      <c r="B18" s="2069" t="s">
        <v>5760</v>
      </c>
      <c r="C18" s="2070">
        <v>0.98882201203783315</v>
      </c>
      <c r="D18" s="2070">
        <v>0.7953568357695614</v>
      </c>
      <c r="E18" s="2070">
        <v>0.60189165950128976</v>
      </c>
      <c r="F18" s="2070">
        <v>0</v>
      </c>
      <c r="G18" s="2070">
        <v>0</v>
      </c>
      <c r="H18" s="2070">
        <v>2.149613069647463E-2</v>
      </c>
      <c r="I18" s="2070">
        <v>2.149613069647463E-2</v>
      </c>
      <c r="J18" s="2070">
        <v>2.149613069647463E-2</v>
      </c>
      <c r="K18" s="2070">
        <v>0</v>
      </c>
      <c r="L18" s="2070">
        <v>0</v>
      </c>
      <c r="M18" s="2070">
        <v>0</v>
      </c>
      <c r="N18" s="2070">
        <v>0</v>
      </c>
      <c r="O18" s="2070">
        <v>0</v>
      </c>
      <c r="P18" s="2070">
        <v>0</v>
      </c>
      <c r="Q18" s="2070">
        <v>0</v>
      </c>
      <c r="R18" s="2070">
        <v>0</v>
      </c>
      <c r="S18" s="2070">
        <v>0</v>
      </c>
      <c r="T18" s="2070">
        <v>0</v>
      </c>
      <c r="U18" s="2070">
        <v>0</v>
      </c>
      <c r="V18" s="2070">
        <v>0</v>
      </c>
      <c r="W18" s="2070">
        <v>0</v>
      </c>
      <c r="X18" s="2070">
        <v>0</v>
      </c>
    </row>
    <row r="19" spans="1:24" ht="11.25" customHeight="1">
      <c r="A19" s="2074" t="s">
        <v>4655</v>
      </c>
      <c r="B19" s="2069" t="s">
        <v>5761</v>
      </c>
      <c r="C19" s="2070">
        <v>23.2158211521926</v>
      </c>
      <c r="D19" s="2070">
        <v>20.765262252794496</v>
      </c>
      <c r="E19" s="2070">
        <v>19.948409286328459</v>
      </c>
      <c r="F19" s="2070">
        <v>0</v>
      </c>
      <c r="G19" s="2070">
        <v>0</v>
      </c>
      <c r="H19" s="2070">
        <v>0</v>
      </c>
      <c r="I19" s="2070">
        <v>0</v>
      </c>
      <c r="J19" s="2070">
        <v>0</v>
      </c>
      <c r="K19" s="2070">
        <v>0</v>
      </c>
      <c r="L19" s="2070">
        <v>0</v>
      </c>
      <c r="M19" s="2070">
        <v>0</v>
      </c>
      <c r="N19" s="2070">
        <v>0</v>
      </c>
      <c r="O19" s="2070">
        <v>0</v>
      </c>
      <c r="P19" s="2070">
        <v>0</v>
      </c>
      <c r="Q19" s="2070">
        <v>0</v>
      </c>
      <c r="R19" s="2070">
        <v>0</v>
      </c>
      <c r="S19" s="2070">
        <v>0</v>
      </c>
      <c r="T19" s="2070">
        <v>0</v>
      </c>
      <c r="U19" s="2070">
        <v>0</v>
      </c>
      <c r="V19" s="2070">
        <v>0</v>
      </c>
      <c r="W19" s="2070">
        <v>0</v>
      </c>
      <c r="X19" s="2070">
        <v>0</v>
      </c>
    </row>
    <row r="20" spans="1:24" ht="11.25" customHeight="1">
      <c r="A20" s="2074" t="s">
        <v>4656</v>
      </c>
      <c r="B20" s="2069" t="s">
        <v>5762</v>
      </c>
      <c r="C20" s="2070">
        <v>0</v>
      </c>
      <c r="D20" s="2070">
        <v>0</v>
      </c>
      <c r="E20" s="2070">
        <v>0</v>
      </c>
      <c r="F20" s="2070">
        <v>0</v>
      </c>
      <c r="G20" s="2070">
        <v>0</v>
      </c>
      <c r="H20" s="2070">
        <v>0</v>
      </c>
      <c r="I20" s="2070">
        <v>0</v>
      </c>
      <c r="J20" s="2070">
        <v>0</v>
      </c>
      <c r="K20" s="2070">
        <v>0</v>
      </c>
      <c r="L20" s="2070">
        <v>0</v>
      </c>
      <c r="M20" s="2070">
        <v>0</v>
      </c>
      <c r="N20" s="2070">
        <v>0</v>
      </c>
      <c r="O20" s="2070">
        <v>0</v>
      </c>
      <c r="P20" s="2070">
        <v>0</v>
      </c>
      <c r="Q20" s="2070">
        <v>0</v>
      </c>
      <c r="R20" s="2070">
        <v>0</v>
      </c>
      <c r="S20" s="2070">
        <v>0</v>
      </c>
      <c r="T20" s="2070">
        <v>0</v>
      </c>
      <c r="U20" s="2070">
        <v>0</v>
      </c>
      <c r="V20" s="2070">
        <v>0</v>
      </c>
      <c r="W20" s="2070">
        <v>0</v>
      </c>
      <c r="X20" s="2070">
        <v>0</v>
      </c>
    </row>
    <row r="21" spans="1:24" ht="11.25" customHeight="1">
      <c r="A21" s="2074" t="s">
        <v>4615</v>
      </c>
      <c r="B21" s="2069" t="s">
        <v>5763</v>
      </c>
      <c r="C21" s="2070">
        <v>0</v>
      </c>
      <c r="D21" s="2070">
        <v>0</v>
      </c>
      <c r="E21" s="2070">
        <v>0</v>
      </c>
      <c r="F21" s="2070">
        <v>0</v>
      </c>
      <c r="G21" s="2070">
        <v>0</v>
      </c>
      <c r="H21" s="2070">
        <v>0</v>
      </c>
      <c r="I21" s="2070">
        <v>0</v>
      </c>
      <c r="J21" s="2070">
        <v>0</v>
      </c>
      <c r="K21" s="2070">
        <v>0</v>
      </c>
      <c r="L21" s="2070">
        <v>0</v>
      </c>
      <c r="M21" s="2070">
        <v>0</v>
      </c>
      <c r="N21" s="2070">
        <v>0</v>
      </c>
      <c r="O21" s="2070">
        <v>0</v>
      </c>
      <c r="P21" s="2070">
        <v>0</v>
      </c>
      <c r="Q21" s="2070">
        <v>0</v>
      </c>
      <c r="R21" s="2070">
        <v>0</v>
      </c>
      <c r="S21" s="2070">
        <v>0</v>
      </c>
      <c r="T21" s="2070">
        <v>0</v>
      </c>
      <c r="U21" s="2070">
        <v>0</v>
      </c>
      <c r="V21" s="2070">
        <v>0</v>
      </c>
      <c r="W21" s="2070">
        <v>0</v>
      </c>
      <c r="X21" s="2070">
        <v>0</v>
      </c>
    </row>
    <row r="22" spans="1:24" ht="11.25" customHeight="1">
      <c r="A22" s="2071" t="s">
        <v>4741</v>
      </c>
      <c r="B22" s="2072" t="s">
        <v>5764</v>
      </c>
      <c r="C22" s="2073">
        <v>256.33250214961311</v>
      </c>
      <c r="D22" s="2073">
        <v>256.59105760963024</v>
      </c>
      <c r="E22" s="2073">
        <v>230.3515907136715</v>
      </c>
      <c r="F22" s="2073">
        <v>223.41779879621669</v>
      </c>
      <c r="G22" s="2073">
        <v>179.1494411006019</v>
      </c>
      <c r="H22" s="2073">
        <v>172.9593293207223</v>
      </c>
      <c r="I22" s="2073">
        <v>244.59303525365428</v>
      </c>
      <c r="J22" s="2073">
        <v>253.84067067927774</v>
      </c>
      <c r="K22" s="2073">
        <v>228.31908856405846</v>
      </c>
      <c r="L22" s="2073">
        <v>193.61057609630265</v>
      </c>
      <c r="M22" s="2073">
        <v>222.33662940670681</v>
      </c>
      <c r="N22" s="2073">
        <v>205.38469475494406</v>
      </c>
      <c r="O22" s="2073">
        <v>181.11392949269128</v>
      </c>
      <c r="P22" s="2073">
        <v>161.85812553740328</v>
      </c>
      <c r="Q22" s="2073">
        <v>177.80773860705077</v>
      </c>
      <c r="R22" s="2073">
        <v>171.20232158211519</v>
      </c>
      <c r="S22" s="2073">
        <v>155.5054170249355</v>
      </c>
      <c r="T22" s="2073">
        <v>147.67360275150469</v>
      </c>
      <c r="U22" s="2073">
        <v>157.9789337919174</v>
      </c>
      <c r="V22" s="2073">
        <v>153.70326741186585</v>
      </c>
      <c r="W22" s="2073">
        <v>117.19097162510748</v>
      </c>
      <c r="X22" s="2073">
        <v>103.07300085984527</v>
      </c>
    </row>
    <row r="23" spans="1:24" ht="11.25" customHeight="1">
      <c r="A23" s="2074" t="s">
        <v>559</v>
      </c>
      <c r="B23" s="2069" t="s">
        <v>5765</v>
      </c>
      <c r="C23" s="2070">
        <v>256.33250214961311</v>
      </c>
      <c r="D23" s="2070">
        <v>256.59105760963024</v>
      </c>
      <c r="E23" s="2070">
        <v>230.3515907136715</v>
      </c>
      <c r="F23" s="2070">
        <v>223.41779879621669</v>
      </c>
      <c r="G23" s="2070">
        <v>179.1494411006019</v>
      </c>
      <c r="H23" s="2070">
        <v>172.9593293207223</v>
      </c>
      <c r="I23" s="2070">
        <v>244.59303525365428</v>
      </c>
      <c r="J23" s="2070">
        <v>253.84067067927774</v>
      </c>
      <c r="K23" s="2070">
        <v>228.31908856405846</v>
      </c>
      <c r="L23" s="2070">
        <v>193.61057609630265</v>
      </c>
      <c r="M23" s="2070">
        <v>222.33662940670681</v>
      </c>
      <c r="N23" s="2070">
        <v>205.38469475494406</v>
      </c>
      <c r="O23" s="2070">
        <v>181.11392949269128</v>
      </c>
      <c r="P23" s="2070">
        <v>161.85812553740328</v>
      </c>
      <c r="Q23" s="2070">
        <v>177.80773860705077</v>
      </c>
      <c r="R23" s="2070">
        <v>171.20232158211519</v>
      </c>
      <c r="S23" s="2070">
        <v>155.5054170249355</v>
      </c>
      <c r="T23" s="2070">
        <v>147.67360275150469</v>
      </c>
      <c r="U23" s="2070">
        <v>157.9472055030094</v>
      </c>
      <c r="V23" s="2070">
        <v>153.67153912295785</v>
      </c>
      <c r="W23" s="2070">
        <v>117.1274290627687</v>
      </c>
      <c r="X23" s="2070">
        <v>103.00945829750648</v>
      </c>
    </row>
    <row r="24" spans="1:24" ht="11.25" customHeight="1">
      <c r="A24" s="2074" t="s">
        <v>4657</v>
      </c>
      <c r="B24" s="2069" t="s">
        <v>5766</v>
      </c>
      <c r="C24" s="2070">
        <v>0</v>
      </c>
      <c r="D24" s="2070">
        <v>0</v>
      </c>
      <c r="E24" s="2070">
        <v>0</v>
      </c>
      <c r="F24" s="2070">
        <v>0</v>
      </c>
      <c r="G24" s="2070">
        <v>0</v>
      </c>
      <c r="H24" s="2070">
        <v>0</v>
      </c>
      <c r="I24" s="2070">
        <v>0</v>
      </c>
      <c r="J24" s="2070">
        <v>0</v>
      </c>
      <c r="K24" s="2070">
        <v>0</v>
      </c>
      <c r="L24" s="2070">
        <v>0</v>
      </c>
      <c r="M24" s="2070">
        <v>0</v>
      </c>
      <c r="N24" s="2070">
        <v>0</v>
      </c>
      <c r="O24" s="2070">
        <v>0</v>
      </c>
      <c r="P24" s="2070">
        <v>0</v>
      </c>
      <c r="Q24" s="2070">
        <v>0</v>
      </c>
      <c r="R24" s="2070">
        <v>0</v>
      </c>
      <c r="S24" s="2070">
        <v>0</v>
      </c>
      <c r="T24" s="2070">
        <v>0</v>
      </c>
      <c r="U24" s="2070">
        <v>3.172828890799656E-2</v>
      </c>
      <c r="V24" s="2070">
        <v>3.172828890799656E-2</v>
      </c>
      <c r="W24" s="2070">
        <v>6.3542562338779016E-2</v>
      </c>
      <c r="X24" s="2070">
        <v>6.3542562338779016E-2</v>
      </c>
    </row>
    <row r="25" spans="1:24" ht="11.25" customHeight="1">
      <c r="A25" s="2071" t="s">
        <v>4658</v>
      </c>
      <c r="B25" s="2072" t="s">
        <v>5767</v>
      </c>
      <c r="C25" s="2073">
        <v>0</v>
      </c>
      <c r="D25" s="2073">
        <v>0</v>
      </c>
      <c r="E25" s="2073">
        <v>0</v>
      </c>
      <c r="F25" s="2073">
        <v>0</v>
      </c>
      <c r="G25" s="2073">
        <v>0</v>
      </c>
      <c r="H25" s="2073">
        <v>0</v>
      </c>
      <c r="I25" s="2073">
        <v>0</v>
      </c>
      <c r="J25" s="2073">
        <v>0</v>
      </c>
      <c r="K25" s="2073">
        <v>0</v>
      </c>
      <c r="L25" s="2073">
        <v>0</v>
      </c>
      <c r="M25" s="2073">
        <v>0</v>
      </c>
      <c r="N25" s="2073">
        <v>0</v>
      </c>
      <c r="O25" s="2073">
        <v>0</v>
      </c>
      <c r="P25" s="2073">
        <v>0</v>
      </c>
      <c r="Q25" s="2073">
        <v>0</v>
      </c>
      <c r="R25" s="2073">
        <v>0</v>
      </c>
      <c r="S25" s="2073">
        <v>0</v>
      </c>
      <c r="T25" s="2073">
        <v>0</v>
      </c>
      <c r="U25" s="2073">
        <v>0</v>
      </c>
      <c r="V25" s="2073">
        <v>0</v>
      </c>
      <c r="W25" s="2073">
        <v>0</v>
      </c>
      <c r="X25" s="2073">
        <v>0</v>
      </c>
    </row>
    <row r="26" spans="1:24" ht="11.25" customHeight="1">
      <c r="A26" s="2071" t="s">
        <v>3872</v>
      </c>
      <c r="B26" s="2072" t="s">
        <v>5768</v>
      </c>
      <c r="C26" s="2073">
        <v>2369.4643164230438</v>
      </c>
      <c r="D26" s="2073">
        <v>2279.3210662080828</v>
      </c>
      <c r="E26" s="2073">
        <v>2197.9486672398962</v>
      </c>
      <c r="F26" s="2073">
        <v>2274.7277730008591</v>
      </c>
      <c r="G26" s="2073">
        <v>1986.8850386930351</v>
      </c>
      <c r="H26" s="2073">
        <v>1807.4949269131553</v>
      </c>
      <c r="I26" s="2073">
        <v>1821.2095442820291</v>
      </c>
      <c r="J26" s="2073">
        <v>1693.8716251074807</v>
      </c>
      <c r="K26" s="2073">
        <v>1629.3871883061051</v>
      </c>
      <c r="L26" s="2073">
        <v>1250.7631986242475</v>
      </c>
      <c r="M26" s="2073">
        <v>1131.8196904557178</v>
      </c>
      <c r="N26" s="2073">
        <v>1030.4379191745484</v>
      </c>
      <c r="O26" s="2073">
        <v>907.84720550300938</v>
      </c>
      <c r="P26" s="2073">
        <v>787.69699054170235</v>
      </c>
      <c r="Q26" s="2073">
        <v>667.45270851246767</v>
      </c>
      <c r="R26" s="2073">
        <v>698.90825451418743</v>
      </c>
      <c r="S26" s="2073">
        <v>713.78572656921756</v>
      </c>
      <c r="T26" s="2073">
        <v>668.98349097162509</v>
      </c>
      <c r="U26" s="2073">
        <v>680.21504729148751</v>
      </c>
      <c r="V26" s="2073">
        <v>627.26595012897667</v>
      </c>
      <c r="W26" s="2073">
        <v>604.94058469475488</v>
      </c>
      <c r="X26" s="2073">
        <v>713.36818572656932</v>
      </c>
    </row>
    <row r="27" spans="1:24" ht="11.25" customHeight="1">
      <c r="A27" s="2065" t="s">
        <v>5769</v>
      </c>
      <c r="B27" s="2066" t="s">
        <v>5770</v>
      </c>
      <c r="C27" s="2067">
        <v>0</v>
      </c>
      <c r="D27" s="2067">
        <v>0</v>
      </c>
      <c r="E27" s="2067">
        <v>0</v>
      </c>
      <c r="F27" s="2067">
        <v>0</v>
      </c>
      <c r="G27" s="2067">
        <v>0</v>
      </c>
      <c r="H27" s="2067">
        <v>0</v>
      </c>
      <c r="I27" s="2067">
        <v>0</v>
      </c>
      <c r="J27" s="2067">
        <v>0</v>
      </c>
      <c r="K27" s="2067">
        <v>0</v>
      </c>
      <c r="L27" s="2067">
        <v>0</v>
      </c>
      <c r="M27" s="2067">
        <v>0</v>
      </c>
      <c r="N27" s="2067">
        <v>0</v>
      </c>
      <c r="O27" s="2067">
        <v>0</v>
      </c>
      <c r="P27" s="2067">
        <v>0</v>
      </c>
      <c r="Q27" s="2067">
        <v>0</v>
      </c>
      <c r="R27" s="2067">
        <v>0</v>
      </c>
      <c r="S27" s="2067">
        <v>0</v>
      </c>
      <c r="T27" s="2067">
        <v>0</v>
      </c>
      <c r="U27" s="2067">
        <v>0</v>
      </c>
      <c r="V27" s="2067">
        <v>0</v>
      </c>
      <c r="W27" s="2067">
        <v>0</v>
      </c>
      <c r="X27" s="2067">
        <v>0</v>
      </c>
    </row>
    <row r="28" spans="1:24" ht="11.25" customHeight="1">
      <c r="A28" s="2068" t="s">
        <v>4659</v>
      </c>
      <c r="B28" s="2069" t="s">
        <v>5771</v>
      </c>
      <c r="C28" s="2070">
        <v>0</v>
      </c>
      <c r="D28" s="2070">
        <v>0</v>
      </c>
      <c r="E28" s="2070">
        <v>0</v>
      </c>
      <c r="F28" s="2070">
        <v>0</v>
      </c>
      <c r="G28" s="2070">
        <v>0</v>
      </c>
      <c r="H28" s="2070">
        <v>0</v>
      </c>
      <c r="I28" s="2070">
        <v>0</v>
      </c>
      <c r="J28" s="2070">
        <v>0</v>
      </c>
      <c r="K28" s="2070">
        <v>0</v>
      </c>
      <c r="L28" s="2070">
        <v>0</v>
      </c>
      <c r="M28" s="2070">
        <v>0</v>
      </c>
      <c r="N28" s="2070">
        <v>0</v>
      </c>
      <c r="O28" s="2070">
        <v>0</v>
      </c>
      <c r="P28" s="2070">
        <v>0</v>
      </c>
      <c r="Q28" s="2070">
        <v>0</v>
      </c>
      <c r="R28" s="2070">
        <v>0</v>
      </c>
      <c r="S28" s="2070">
        <v>0</v>
      </c>
      <c r="T28" s="2070">
        <v>0</v>
      </c>
      <c r="U28" s="2070">
        <v>0</v>
      </c>
      <c r="V28" s="2070">
        <v>0</v>
      </c>
      <c r="W28" s="2070">
        <v>0</v>
      </c>
      <c r="X28" s="2070">
        <v>0</v>
      </c>
    </row>
    <row r="29" spans="1:24" ht="11.25" customHeight="1">
      <c r="A29" s="2068" t="s">
        <v>4660</v>
      </c>
      <c r="B29" s="2069" t="s">
        <v>5772</v>
      </c>
      <c r="C29" s="2070">
        <v>0</v>
      </c>
      <c r="D29" s="2070">
        <v>0</v>
      </c>
      <c r="E29" s="2070">
        <v>0</v>
      </c>
      <c r="F29" s="2070">
        <v>0</v>
      </c>
      <c r="G29" s="2070">
        <v>0</v>
      </c>
      <c r="H29" s="2070">
        <v>0</v>
      </c>
      <c r="I29" s="2070">
        <v>0</v>
      </c>
      <c r="J29" s="2070">
        <v>0</v>
      </c>
      <c r="K29" s="2070">
        <v>0</v>
      </c>
      <c r="L29" s="2070">
        <v>0</v>
      </c>
      <c r="M29" s="2070">
        <v>0</v>
      </c>
      <c r="N29" s="2070">
        <v>0</v>
      </c>
      <c r="O29" s="2070">
        <v>0</v>
      </c>
      <c r="P29" s="2070">
        <v>0</v>
      </c>
      <c r="Q29" s="2070">
        <v>0</v>
      </c>
      <c r="R29" s="2070">
        <v>0</v>
      </c>
      <c r="S29" s="2070">
        <v>0</v>
      </c>
      <c r="T29" s="2070">
        <v>0</v>
      </c>
      <c r="U29" s="2070">
        <v>0</v>
      </c>
      <c r="V29" s="2070">
        <v>0</v>
      </c>
      <c r="W29" s="2070">
        <v>0</v>
      </c>
      <c r="X29" s="2070">
        <v>0</v>
      </c>
    </row>
    <row r="30" spans="1:24" ht="11.25" customHeight="1">
      <c r="A30" s="2068" t="s">
        <v>4661</v>
      </c>
      <c r="B30" s="2069" t="s">
        <v>5773</v>
      </c>
      <c r="C30" s="2070">
        <v>0</v>
      </c>
      <c r="D30" s="2070">
        <v>0</v>
      </c>
      <c r="E30" s="2070">
        <v>0</v>
      </c>
      <c r="F30" s="2070">
        <v>0</v>
      </c>
      <c r="G30" s="2070">
        <v>0</v>
      </c>
      <c r="H30" s="2070">
        <v>0</v>
      </c>
      <c r="I30" s="2070">
        <v>0</v>
      </c>
      <c r="J30" s="2070">
        <v>0</v>
      </c>
      <c r="K30" s="2070">
        <v>0</v>
      </c>
      <c r="L30" s="2070">
        <v>0</v>
      </c>
      <c r="M30" s="2070">
        <v>0</v>
      </c>
      <c r="N30" s="2070">
        <v>0</v>
      </c>
      <c r="O30" s="2070">
        <v>0</v>
      </c>
      <c r="P30" s="2070">
        <v>0</v>
      </c>
      <c r="Q30" s="2070">
        <v>0</v>
      </c>
      <c r="R30" s="2070">
        <v>0</v>
      </c>
      <c r="S30" s="2070">
        <v>0</v>
      </c>
      <c r="T30" s="2070">
        <v>0</v>
      </c>
      <c r="U30" s="2070">
        <v>0</v>
      </c>
      <c r="V30" s="2070">
        <v>0</v>
      </c>
      <c r="W30" s="2070">
        <v>0</v>
      </c>
      <c r="X30" s="2070">
        <v>0</v>
      </c>
    </row>
    <row r="31" spans="1:24" ht="11.25" customHeight="1">
      <c r="A31" s="2068" t="s">
        <v>5774</v>
      </c>
      <c r="B31" s="2069" t="s">
        <v>5775</v>
      </c>
      <c r="C31" s="2070">
        <v>0</v>
      </c>
      <c r="D31" s="2070">
        <v>0</v>
      </c>
      <c r="E31" s="2070">
        <v>0</v>
      </c>
      <c r="F31" s="2070">
        <v>0</v>
      </c>
      <c r="G31" s="2070">
        <v>0</v>
      </c>
      <c r="H31" s="2070">
        <v>0</v>
      </c>
      <c r="I31" s="2070">
        <v>0</v>
      </c>
      <c r="J31" s="2070">
        <v>0</v>
      </c>
      <c r="K31" s="2070">
        <v>0</v>
      </c>
      <c r="L31" s="2070">
        <v>0</v>
      </c>
      <c r="M31" s="2070">
        <v>0</v>
      </c>
      <c r="N31" s="2070">
        <v>0</v>
      </c>
      <c r="O31" s="2070">
        <v>0</v>
      </c>
      <c r="P31" s="2070">
        <v>0</v>
      </c>
      <c r="Q31" s="2070">
        <v>0</v>
      </c>
      <c r="R31" s="2070">
        <v>0</v>
      </c>
      <c r="S31" s="2070">
        <v>0</v>
      </c>
      <c r="T31" s="2070">
        <v>0</v>
      </c>
      <c r="U31" s="2070">
        <v>0</v>
      </c>
      <c r="V31" s="2070">
        <v>0</v>
      </c>
      <c r="W31" s="2070">
        <v>0</v>
      </c>
      <c r="X31" s="2070">
        <v>0</v>
      </c>
    </row>
    <row r="32" spans="1:24" ht="11.25" customHeight="1">
      <c r="A32" s="2068" t="s">
        <v>4662</v>
      </c>
      <c r="B32" s="2069" t="s">
        <v>5776</v>
      </c>
      <c r="C32" s="2070">
        <v>0</v>
      </c>
      <c r="D32" s="2070">
        <v>0</v>
      </c>
      <c r="E32" s="2070">
        <v>0</v>
      </c>
      <c r="F32" s="2070">
        <v>0</v>
      </c>
      <c r="G32" s="2070">
        <v>0</v>
      </c>
      <c r="H32" s="2070">
        <v>0</v>
      </c>
      <c r="I32" s="2070">
        <v>0</v>
      </c>
      <c r="J32" s="2070">
        <v>0</v>
      </c>
      <c r="K32" s="2070">
        <v>0</v>
      </c>
      <c r="L32" s="2070">
        <v>0</v>
      </c>
      <c r="M32" s="2070">
        <v>0</v>
      </c>
      <c r="N32" s="2070">
        <v>0</v>
      </c>
      <c r="O32" s="2070">
        <v>0</v>
      </c>
      <c r="P32" s="2070">
        <v>0</v>
      </c>
      <c r="Q32" s="2070">
        <v>0</v>
      </c>
      <c r="R32" s="2070">
        <v>0</v>
      </c>
      <c r="S32" s="2070">
        <v>0</v>
      </c>
      <c r="T32" s="2070">
        <v>0</v>
      </c>
      <c r="U32" s="2070">
        <v>0</v>
      </c>
      <c r="V32" s="2070">
        <v>0</v>
      </c>
      <c r="W32" s="2070">
        <v>0</v>
      </c>
      <c r="X32" s="2070">
        <v>0</v>
      </c>
    </row>
    <row r="33" spans="1:24" ht="11.25" customHeight="1">
      <c r="A33" s="2065" t="s">
        <v>5777</v>
      </c>
      <c r="B33" s="2066" t="s">
        <v>5778</v>
      </c>
      <c r="C33" s="2067">
        <v>2369.4643164230438</v>
      </c>
      <c r="D33" s="2067">
        <v>2279.3210662080828</v>
      </c>
      <c r="E33" s="2067">
        <v>2197.9486672398962</v>
      </c>
      <c r="F33" s="2067">
        <v>2274.7277730008591</v>
      </c>
      <c r="G33" s="2067">
        <v>1986.8850386930351</v>
      </c>
      <c r="H33" s="2067">
        <v>1807.4949269131553</v>
      </c>
      <c r="I33" s="2067">
        <v>1821.2095442820291</v>
      </c>
      <c r="J33" s="2067">
        <v>1693.8716251074807</v>
      </c>
      <c r="K33" s="2067">
        <v>1629.3871883061051</v>
      </c>
      <c r="L33" s="2067">
        <v>1250.7631986242475</v>
      </c>
      <c r="M33" s="2067">
        <v>1131.8196904557178</v>
      </c>
      <c r="N33" s="2067">
        <v>1030.4379191745484</v>
      </c>
      <c r="O33" s="2067">
        <v>907.84720550300938</v>
      </c>
      <c r="P33" s="2067">
        <v>787.69699054170235</v>
      </c>
      <c r="Q33" s="2067">
        <v>667.45270851246767</v>
      </c>
      <c r="R33" s="2067">
        <v>698.90825451418743</v>
      </c>
      <c r="S33" s="2067">
        <v>713.78572656921756</v>
      </c>
      <c r="T33" s="2067">
        <v>668.98349097162509</v>
      </c>
      <c r="U33" s="2067">
        <v>680.21504729148751</v>
      </c>
      <c r="V33" s="2067">
        <v>627.26595012897667</v>
      </c>
      <c r="W33" s="2067">
        <v>604.94058469475488</v>
      </c>
      <c r="X33" s="2067">
        <v>713.36818572656932</v>
      </c>
    </row>
    <row r="34" spans="1:24" ht="11.25" customHeight="1">
      <c r="A34" s="2068" t="s">
        <v>4607</v>
      </c>
      <c r="B34" s="2069" t="s">
        <v>5779</v>
      </c>
      <c r="C34" s="2070">
        <v>0</v>
      </c>
      <c r="D34" s="2070">
        <v>0</v>
      </c>
      <c r="E34" s="2070">
        <v>0</v>
      </c>
      <c r="F34" s="2070">
        <v>0</v>
      </c>
      <c r="G34" s="2070">
        <v>0</v>
      </c>
      <c r="H34" s="2070">
        <v>0</v>
      </c>
      <c r="I34" s="2070">
        <v>0</v>
      </c>
      <c r="J34" s="2070">
        <v>0</v>
      </c>
      <c r="K34" s="2070">
        <v>0</v>
      </c>
      <c r="L34" s="2070">
        <v>0</v>
      </c>
      <c r="M34" s="2070">
        <v>0</v>
      </c>
      <c r="N34" s="2070">
        <v>0</v>
      </c>
      <c r="O34" s="2070">
        <v>0</v>
      </c>
      <c r="P34" s="2070">
        <v>0</v>
      </c>
      <c r="Q34" s="2070">
        <v>0</v>
      </c>
      <c r="R34" s="2070">
        <v>0</v>
      </c>
      <c r="S34" s="2070">
        <v>0</v>
      </c>
      <c r="T34" s="2070">
        <v>0</v>
      </c>
      <c r="U34" s="2070">
        <v>0</v>
      </c>
      <c r="V34" s="2070">
        <v>0</v>
      </c>
      <c r="W34" s="2070">
        <v>0</v>
      </c>
      <c r="X34" s="2070">
        <v>0</v>
      </c>
    </row>
    <row r="35" spans="1:24" ht="11.25" customHeight="1">
      <c r="A35" s="2068" t="s">
        <v>587</v>
      </c>
      <c r="B35" s="2069" t="s">
        <v>5780</v>
      </c>
      <c r="C35" s="2070">
        <v>0</v>
      </c>
      <c r="D35" s="2070">
        <v>0</v>
      </c>
      <c r="E35" s="2070">
        <v>0</v>
      </c>
      <c r="F35" s="2070">
        <v>0</v>
      </c>
      <c r="G35" s="2070">
        <v>0</v>
      </c>
      <c r="H35" s="2070">
        <v>0</v>
      </c>
      <c r="I35" s="2070">
        <v>0</v>
      </c>
      <c r="J35" s="2070">
        <v>0</v>
      </c>
      <c r="K35" s="2070">
        <v>0</v>
      </c>
      <c r="L35" s="2070">
        <v>0</v>
      </c>
      <c r="M35" s="2070">
        <v>0</v>
      </c>
      <c r="N35" s="2070">
        <v>0</v>
      </c>
      <c r="O35" s="2070">
        <v>0</v>
      </c>
      <c r="P35" s="2070">
        <v>0</v>
      </c>
      <c r="Q35" s="2070">
        <v>0</v>
      </c>
      <c r="R35" s="2070">
        <v>0</v>
      </c>
      <c r="S35" s="2070">
        <v>0</v>
      </c>
      <c r="T35" s="2070">
        <v>0</v>
      </c>
      <c r="U35" s="2070">
        <v>0</v>
      </c>
      <c r="V35" s="2070">
        <v>0</v>
      </c>
      <c r="W35" s="2070">
        <v>0</v>
      </c>
      <c r="X35" s="2070">
        <v>0</v>
      </c>
    </row>
    <row r="36" spans="1:24" ht="11.25" customHeight="1">
      <c r="A36" s="2068" t="s">
        <v>5781</v>
      </c>
      <c r="B36" s="2069" t="s">
        <v>5782</v>
      </c>
      <c r="C36" s="2070">
        <v>210.14651762682715</v>
      </c>
      <c r="D36" s="2070">
        <v>233.82338779019776</v>
      </c>
      <c r="E36" s="2070">
        <v>236.13671539122956</v>
      </c>
      <c r="F36" s="2070">
        <v>258.96620808254505</v>
      </c>
      <c r="G36" s="2070">
        <v>226.39664660361137</v>
      </c>
      <c r="H36" s="2070">
        <v>205.57128116938947</v>
      </c>
      <c r="I36" s="2070">
        <v>219.89871023215818</v>
      </c>
      <c r="J36" s="2070">
        <v>215.83353396388642</v>
      </c>
      <c r="K36" s="2070">
        <v>212.93404987102321</v>
      </c>
      <c r="L36" s="2070">
        <v>180.78366294067064</v>
      </c>
      <c r="M36" s="2070">
        <v>193.24522785898537</v>
      </c>
      <c r="N36" s="2070">
        <v>183.98856405846945</v>
      </c>
      <c r="O36" s="2070">
        <v>163.60025795356836</v>
      </c>
      <c r="P36" s="2070">
        <v>156.32691315563196</v>
      </c>
      <c r="Q36" s="2070">
        <v>152.36113499570075</v>
      </c>
      <c r="R36" s="2070">
        <v>159.82648323301805</v>
      </c>
      <c r="S36" s="2070">
        <v>139.85588993981082</v>
      </c>
      <c r="T36" s="2070">
        <v>136.41848667239893</v>
      </c>
      <c r="U36" s="2070">
        <v>137.04883920894238</v>
      </c>
      <c r="V36" s="2070">
        <v>135.54196044711949</v>
      </c>
      <c r="W36" s="2070">
        <v>127.75563198624248</v>
      </c>
      <c r="X36" s="2070">
        <v>141.80240756663801</v>
      </c>
    </row>
    <row r="37" spans="1:24" ht="11.25" customHeight="1">
      <c r="A37" s="2068" t="s">
        <v>5783</v>
      </c>
      <c r="B37" s="2069" t="s">
        <v>5784</v>
      </c>
      <c r="C37" s="2070">
        <v>1.031814273430782E-3</v>
      </c>
      <c r="D37" s="2070">
        <v>1.0591573516766977</v>
      </c>
      <c r="E37" s="2070">
        <v>1.0318142734307822E-3</v>
      </c>
      <c r="F37" s="2070">
        <v>7.3861564918314713</v>
      </c>
      <c r="G37" s="2070">
        <v>1.0591573516766977</v>
      </c>
      <c r="H37" s="2070">
        <v>9.0971625107480664E-2</v>
      </c>
      <c r="I37" s="2070">
        <v>4.1887360275150476</v>
      </c>
      <c r="J37" s="2070">
        <v>7.3388650042992243</v>
      </c>
      <c r="K37" s="2070">
        <v>3.0696474634565769E-2</v>
      </c>
      <c r="L37" s="2070">
        <v>4.6517626827171102E-2</v>
      </c>
      <c r="M37" s="2070">
        <v>3.5941530524505577E-2</v>
      </c>
      <c r="N37" s="2070">
        <v>6.3628546861564921E-3</v>
      </c>
      <c r="O37" s="2070">
        <v>6.3628546861564913E-3</v>
      </c>
      <c r="P37" s="2070">
        <v>3.1814273430782448E-3</v>
      </c>
      <c r="Q37" s="2070">
        <v>3.1814273430782448E-3</v>
      </c>
      <c r="R37" s="2070">
        <v>8.3404987102321578E-3</v>
      </c>
      <c r="S37" s="2070">
        <v>1.9948409286328454E-2</v>
      </c>
      <c r="T37" s="2070">
        <v>0.33645743766122083</v>
      </c>
      <c r="U37" s="2070">
        <v>0.60094582975064481</v>
      </c>
      <c r="V37" s="2070">
        <v>0.72699914015477218</v>
      </c>
      <c r="W37" s="2070">
        <v>0.25786758383490965</v>
      </c>
      <c r="X37" s="2070">
        <v>0.21186586414445399</v>
      </c>
    </row>
    <row r="38" spans="1:24" ht="11.25" customHeight="1">
      <c r="A38" s="2068" t="s">
        <v>4663</v>
      </c>
      <c r="B38" s="2069" t="s">
        <v>5785</v>
      </c>
      <c r="C38" s="2070">
        <v>0</v>
      </c>
      <c r="D38" s="2070">
        <v>0</v>
      </c>
      <c r="E38" s="2070">
        <v>0</v>
      </c>
      <c r="F38" s="2070">
        <v>0</v>
      </c>
      <c r="G38" s="2070">
        <v>0</v>
      </c>
      <c r="H38" s="2070">
        <v>0</v>
      </c>
      <c r="I38" s="2070">
        <v>0</v>
      </c>
      <c r="J38" s="2070">
        <v>0</v>
      </c>
      <c r="K38" s="2070">
        <v>0</v>
      </c>
      <c r="L38" s="2070">
        <v>0</v>
      </c>
      <c r="M38" s="2070">
        <v>0</v>
      </c>
      <c r="N38" s="2070">
        <v>0</v>
      </c>
      <c r="O38" s="2070">
        <v>0</v>
      </c>
      <c r="P38" s="2070">
        <v>0</v>
      </c>
      <c r="Q38" s="2070">
        <v>0</v>
      </c>
      <c r="R38" s="2070">
        <v>0</v>
      </c>
      <c r="S38" s="2070">
        <v>0</v>
      </c>
      <c r="T38" s="2070">
        <v>0</v>
      </c>
      <c r="U38" s="2070">
        <v>0</v>
      </c>
      <c r="V38" s="2070">
        <v>0</v>
      </c>
      <c r="W38" s="2070">
        <v>0</v>
      </c>
      <c r="X38" s="2070">
        <v>0</v>
      </c>
    </row>
    <row r="39" spans="1:24" ht="11.25" customHeight="1">
      <c r="A39" s="2068" t="s">
        <v>5786</v>
      </c>
      <c r="B39" s="2069" t="s">
        <v>5787</v>
      </c>
      <c r="C39" s="2070">
        <v>0</v>
      </c>
      <c r="D39" s="2070">
        <v>0</v>
      </c>
      <c r="E39" s="2070">
        <v>0</v>
      </c>
      <c r="F39" s="2070">
        <v>0</v>
      </c>
      <c r="G39" s="2070">
        <v>0</v>
      </c>
      <c r="H39" s="2070">
        <v>0</v>
      </c>
      <c r="I39" s="2070">
        <v>0</v>
      </c>
      <c r="J39" s="2070">
        <v>0</v>
      </c>
      <c r="K39" s="2070">
        <v>0</v>
      </c>
      <c r="L39" s="2070">
        <v>0</v>
      </c>
      <c r="M39" s="2070">
        <v>0</v>
      </c>
      <c r="N39" s="2070">
        <v>0</v>
      </c>
      <c r="O39" s="2070">
        <v>0</v>
      </c>
      <c r="P39" s="2070">
        <v>0</v>
      </c>
      <c r="Q39" s="2070">
        <v>0</v>
      </c>
      <c r="R39" s="2070">
        <v>0</v>
      </c>
      <c r="S39" s="2070">
        <v>0</v>
      </c>
      <c r="T39" s="2070">
        <v>0</v>
      </c>
      <c r="U39" s="2070">
        <v>0</v>
      </c>
      <c r="V39" s="2070">
        <v>0</v>
      </c>
      <c r="W39" s="2070">
        <v>0</v>
      </c>
      <c r="X39" s="2070">
        <v>0</v>
      </c>
    </row>
    <row r="40" spans="1:24" ht="11.25" customHeight="1">
      <c r="A40" s="2068" t="s">
        <v>5788</v>
      </c>
      <c r="B40" s="2069" t="s">
        <v>5789</v>
      </c>
      <c r="C40" s="2070">
        <v>0</v>
      </c>
      <c r="D40" s="2070">
        <v>0</v>
      </c>
      <c r="E40" s="2070">
        <v>0</v>
      </c>
      <c r="F40" s="2070">
        <v>0</v>
      </c>
      <c r="G40" s="2070">
        <v>0</v>
      </c>
      <c r="H40" s="2070">
        <v>0</v>
      </c>
      <c r="I40" s="2070">
        <v>0</v>
      </c>
      <c r="J40" s="2070">
        <v>0</v>
      </c>
      <c r="K40" s="2070">
        <v>0</v>
      </c>
      <c r="L40" s="2070">
        <v>0</v>
      </c>
      <c r="M40" s="2070">
        <v>0</v>
      </c>
      <c r="N40" s="2070">
        <v>0</v>
      </c>
      <c r="O40" s="2070">
        <v>0</v>
      </c>
      <c r="P40" s="2070">
        <v>0</v>
      </c>
      <c r="Q40" s="2070">
        <v>0</v>
      </c>
      <c r="R40" s="2070">
        <v>0</v>
      </c>
      <c r="S40" s="2070">
        <v>0</v>
      </c>
      <c r="T40" s="2070">
        <v>0</v>
      </c>
      <c r="U40" s="2070">
        <v>0</v>
      </c>
      <c r="V40" s="2070">
        <v>0</v>
      </c>
      <c r="W40" s="2070">
        <v>0</v>
      </c>
      <c r="X40" s="2070">
        <v>0</v>
      </c>
    </row>
    <row r="41" spans="1:24" ht="11.25" customHeight="1">
      <c r="A41" s="2068" t="s">
        <v>4664</v>
      </c>
      <c r="B41" s="2069" t="s">
        <v>5790</v>
      </c>
      <c r="C41" s="2070">
        <v>2.2706792777300082</v>
      </c>
      <c r="D41" s="2070">
        <v>0.19208942390369729</v>
      </c>
      <c r="E41" s="2070">
        <v>0.2036973344797936</v>
      </c>
      <c r="F41" s="2070">
        <v>0.21960447119518481</v>
      </c>
      <c r="G41" s="2070">
        <v>0.22484952708512471</v>
      </c>
      <c r="H41" s="2070">
        <v>0.43705932932072222</v>
      </c>
      <c r="I41" s="2070">
        <v>0.33920894239036981</v>
      </c>
      <c r="J41" s="2070">
        <v>0.10275150472914876</v>
      </c>
      <c r="K41" s="2070">
        <v>0.14565778159931209</v>
      </c>
      <c r="L41" s="2070">
        <v>0.13619948409286331</v>
      </c>
      <c r="M41" s="2070">
        <v>0.20163370593293206</v>
      </c>
      <c r="N41" s="2070">
        <v>0.111865864144454</v>
      </c>
      <c r="O41" s="2070">
        <v>0.12983662940670679</v>
      </c>
      <c r="P41" s="2070">
        <v>0.27867583834909709</v>
      </c>
      <c r="Q41" s="2070">
        <v>0.40644883920894243</v>
      </c>
      <c r="R41" s="2070">
        <v>7.2828890799656057E-2</v>
      </c>
      <c r="S41" s="2070">
        <v>5.8039552880481522E-2</v>
      </c>
      <c r="T41" s="2070">
        <v>0.11797076526225284</v>
      </c>
      <c r="U41" s="2070">
        <v>0.10756663800515905</v>
      </c>
      <c r="V41" s="2070">
        <v>4.3078245915735162E-2</v>
      </c>
      <c r="W41" s="2070">
        <v>0.15073086844368014</v>
      </c>
      <c r="X41" s="2070">
        <v>3.5683576956147892E-2</v>
      </c>
    </row>
    <row r="42" spans="1:24" ht="11.25" customHeight="1">
      <c r="A42" s="2068" t="s">
        <v>4611</v>
      </c>
      <c r="B42" s="2069" t="s">
        <v>5791</v>
      </c>
      <c r="C42" s="2070">
        <v>0</v>
      </c>
      <c r="D42" s="2070">
        <v>0</v>
      </c>
      <c r="E42" s="2070">
        <v>0</v>
      </c>
      <c r="F42" s="2070">
        <v>0</v>
      </c>
      <c r="G42" s="2070">
        <v>0</v>
      </c>
      <c r="H42" s="2070">
        <v>0</v>
      </c>
      <c r="I42" s="2070">
        <v>0</v>
      </c>
      <c r="J42" s="2070">
        <v>0</v>
      </c>
      <c r="K42" s="2070">
        <v>0</v>
      </c>
      <c r="L42" s="2070">
        <v>0</v>
      </c>
      <c r="M42" s="2070">
        <v>0</v>
      </c>
      <c r="N42" s="2070">
        <v>0</v>
      </c>
      <c r="O42" s="2070">
        <v>0</v>
      </c>
      <c r="P42" s="2070">
        <v>0</v>
      </c>
      <c r="Q42" s="2070">
        <v>0</v>
      </c>
      <c r="R42" s="2070">
        <v>0</v>
      </c>
      <c r="S42" s="2070">
        <v>0</v>
      </c>
      <c r="T42" s="2070">
        <v>0</v>
      </c>
      <c r="U42" s="2070">
        <v>0</v>
      </c>
      <c r="V42" s="2070">
        <v>0</v>
      </c>
      <c r="W42" s="2070">
        <v>0</v>
      </c>
      <c r="X42" s="2070">
        <v>0</v>
      </c>
    </row>
    <row r="43" spans="1:24" ht="11.25" customHeight="1">
      <c r="A43" s="2068" t="s">
        <v>5792</v>
      </c>
      <c r="B43" s="2069" t="s">
        <v>5793</v>
      </c>
      <c r="C43" s="2070">
        <v>264.8397248495271</v>
      </c>
      <c r="D43" s="2070">
        <v>240.66921754084265</v>
      </c>
      <c r="E43" s="2070">
        <v>216.43490971625104</v>
      </c>
      <c r="F43" s="2070">
        <v>319.44505588993979</v>
      </c>
      <c r="G43" s="2070">
        <v>261.08512467755804</v>
      </c>
      <c r="H43" s="2070">
        <v>248.76758383490974</v>
      </c>
      <c r="I43" s="2070">
        <v>205.95812553740328</v>
      </c>
      <c r="J43" s="2070">
        <v>223.78185726569217</v>
      </c>
      <c r="K43" s="2070">
        <v>203.05193465176265</v>
      </c>
      <c r="L43" s="2070">
        <v>199.31014617368874</v>
      </c>
      <c r="M43" s="2070">
        <v>210.45425623387789</v>
      </c>
      <c r="N43" s="2070">
        <v>171.68865004299226</v>
      </c>
      <c r="O43" s="2070">
        <v>137.11599312123815</v>
      </c>
      <c r="P43" s="2070">
        <v>122.21797076526224</v>
      </c>
      <c r="Q43" s="2070">
        <v>118.18211521926054</v>
      </c>
      <c r="R43" s="2070">
        <v>139.55322441960448</v>
      </c>
      <c r="S43" s="2070">
        <v>137.11375752364575</v>
      </c>
      <c r="T43" s="2070">
        <v>140.65141874462597</v>
      </c>
      <c r="U43" s="2070">
        <v>156.15184866723988</v>
      </c>
      <c r="V43" s="2070">
        <v>151.05778159931211</v>
      </c>
      <c r="W43" s="2070">
        <v>152.70214961306962</v>
      </c>
      <c r="X43" s="2070">
        <v>184.40928632846087</v>
      </c>
    </row>
    <row r="44" spans="1:24" ht="11.25" customHeight="1">
      <c r="A44" s="2068" t="s">
        <v>4665</v>
      </c>
      <c r="B44" s="2069" t="s">
        <v>5794</v>
      </c>
      <c r="C44" s="2070">
        <v>1892.2063628546862</v>
      </c>
      <c r="D44" s="2070">
        <v>1803.5772141014618</v>
      </c>
      <c r="E44" s="2070">
        <v>1745.1723129836623</v>
      </c>
      <c r="F44" s="2070">
        <v>1688.7107480653478</v>
      </c>
      <c r="G44" s="2070">
        <v>1498.1192605331039</v>
      </c>
      <c r="H44" s="2070">
        <v>1351.6678417884777</v>
      </c>
      <c r="I44" s="2070">
        <v>1387.9460877042131</v>
      </c>
      <c r="J44" s="2070">
        <v>1246.8146173688735</v>
      </c>
      <c r="K44" s="2070">
        <v>1212.2656061908858</v>
      </c>
      <c r="L44" s="2070">
        <v>869.52742906276853</v>
      </c>
      <c r="M44" s="2070">
        <v>726.92338779019769</v>
      </c>
      <c r="N44" s="2070">
        <v>673.68323301805663</v>
      </c>
      <c r="O44" s="2070">
        <v>606.03551160791051</v>
      </c>
      <c r="P44" s="2070">
        <v>507.91100601891651</v>
      </c>
      <c r="Q44" s="2070">
        <v>395.55631986242474</v>
      </c>
      <c r="R44" s="2070">
        <v>398.53129836629398</v>
      </c>
      <c r="S44" s="2070">
        <v>435.79458297506449</v>
      </c>
      <c r="T44" s="2070">
        <v>389.63482373172826</v>
      </c>
      <c r="U44" s="2070">
        <v>362.90515907136717</v>
      </c>
      <c r="V44" s="2070">
        <v>318.01324161650899</v>
      </c>
      <c r="W44" s="2070">
        <v>322.13404987102325</v>
      </c>
      <c r="X44" s="2070">
        <v>385.94462596732592</v>
      </c>
    </row>
    <row r="45" spans="1:24" ht="11.25" customHeight="1">
      <c r="A45" s="2068" t="s">
        <v>5795</v>
      </c>
      <c r="B45" s="2069" t="s">
        <v>5796</v>
      </c>
      <c r="C45" s="2070">
        <v>0</v>
      </c>
      <c r="D45" s="2070">
        <v>0</v>
      </c>
      <c r="E45" s="2070">
        <v>0</v>
      </c>
      <c r="F45" s="2070">
        <v>0</v>
      </c>
      <c r="G45" s="2070">
        <v>0</v>
      </c>
      <c r="H45" s="2070">
        <v>0</v>
      </c>
      <c r="I45" s="2070">
        <v>0</v>
      </c>
      <c r="J45" s="2070">
        <v>0</v>
      </c>
      <c r="K45" s="2070">
        <v>0</v>
      </c>
      <c r="L45" s="2070">
        <v>0</v>
      </c>
      <c r="M45" s="2070">
        <v>0</v>
      </c>
      <c r="N45" s="2070">
        <v>0</v>
      </c>
      <c r="O45" s="2070">
        <v>0</v>
      </c>
      <c r="P45" s="2070">
        <v>0</v>
      </c>
      <c r="Q45" s="2070">
        <v>0</v>
      </c>
      <c r="R45" s="2070">
        <v>0</v>
      </c>
      <c r="S45" s="2070">
        <v>0</v>
      </c>
      <c r="T45" s="2070">
        <v>0</v>
      </c>
      <c r="U45" s="2070">
        <v>0</v>
      </c>
      <c r="V45" s="2070">
        <v>0</v>
      </c>
      <c r="W45" s="2070">
        <v>0</v>
      </c>
      <c r="X45" s="2070">
        <v>0</v>
      </c>
    </row>
    <row r="46" spans="1:24" ht="11.25" customHeight="1">
      <c r="A46" s="2068" t="s">
        <v>595</v>
      </c>
      <c r="B46" s="2069" t="s">
        <v>5797</v>
      </c>
      <c r="C46" s="2070">
        <v>0</v>
      </c>
      <c r="D46" s="2070">
        <v>0</v>
      </c>
      <c r="E46" s="2070">
        <v>0</v>
      </c>
      <c r="F46" s="2070">
        <v>0</v>
      </c>
      <c r="G46" s="2070">
        <v>0</v>
      </c>
      <c r="H46" s="2070">
        <v>0</v>
      </c>
      <c r="I46" s="2070">
        <v>0</v>
      </c>
      <c r="J46" s="2070">
        <v>0</v>
      </c>
      <c r="K46" s="2070">
        <v>0</v>
      </c>
      <c r="L46" s="2070">
        <v>0</v>
      </c>
      <c r="M46" s="2070">
        <v>0</v>
      </c>
      <c r="N46" s="2070">
        <v>0</v>
      </c>
      <c r="O46" s="2070">
        <v>0</v>
      </c>
      <c r="P46" s="2070">
        <v>0</v>
      </c>
      <c r="Q46" s="2070">
        <v>0</v>
      </c>
      <c r="R46" s="2070">
        <v>0</v>
      </c>
      <c r="S46" s="2070">
        <v>0</v>
      </c>
      <c r="T46" s="2070">
        <v>0</v>
      </c>
      <c r="U46" s="2070">
        <v>0</v>
      </c>
      <c r="V46" s="2070">
        <v>0</v>
      </c>
      <c r="W46" s="2070">
        <v>0</v>
      </c>
      <c r="X46" s="2070">
        <v>0</v>
      </c>
    </row>
    <row r="47" spans="1:24" ht="11.25" customHeight="1">
      <c r="A47" s="2068" t="s">
        <v>4614</v>
      </c>
      <c r="B47" s="2069" t="s">
        <v>5798</v>
      </c>
      <c r="C47" s="2070">
        <v>0</v>
      </c>
      <c r="D47" s="2070">
        <v>0</v>
      </c>
      <c r="E47" s="2070">
        <v>0</v>
      </c>
      <c r="F47" s="2070">
        <v>0</v>
      </c>
      <c r="G47" s="2070">
        <v>0</v>
      </c>
      <c r="H47" s="2070">
        <v>0</v>
      </c>
      <c r="I47" s="2070">
        <v>0</v>
      </c>
      <c r="J47" s="2070">
        <v>0</v>
      </c>
      <c r="K47" s="2070">
        <v>0</v>
      </c>
      <c r="L47" s="2070">
        <v>0</v>
      </c>
      <c r="M47" s="2070">
        <v>0</v>
      </c>
      <c r="N47" s="2070">
        <v>0</v>
      </c>
      <c r="O47" s="2070">
        <v>0</v>
      </c>
      <c r="P47" s="2070">
        <v>0</v>
      </c>
      <c r="Q47" s="2070">
        <v>0</v>
      </c>
      <c r="R47" s="2070">
        <v>0</v>
      </c>
      <c r="S47" s="2070">
        <v>0</v>
      </c>
      <c r="T47" s="2070">
        <v>0</v>
      </c>
      <c r="U47" s="2070">
        <v>0</v>
      </c>
      <c r="V47" s="2070">
        <v>0</v>
      </c>
      <c r="W47" s="2070">
        <v>0</v>
      </c>
      <c r="X47" s="2070">
        <v>0</v>
      </c>
    </row>
    <row r="48" spans="1:24" ht="11.25" customHeight="1">
      <c r="A48" s="2068" t="s">
        <v>4667</v>
      </c>
      <c r="B48" s="2069" t="s">
        <v>5799</v>
      </c>
      <c r="C48" s="2070">
        <v>0</v>
      </c>
      <c r="D48" s="2070">
        <v>0</v>
      </c>
      <c r="E48" s="2070">
        <v>0</v>
      </c>
      <c r="F48" s="2070">
        <v>0</v>
      </c>
      <c r="G48" s="2070">
        <v>0</v>
      </c>
      <c r="H48" s="2070">
        <v>0</v>
      </c>
      <c r="I48" s="2070">
        <v>0</v>
      </c>
      <c r="J48" s="2070">
        <v>0</v>
      </c>
      <c r="K48" s="2070">
        <v>0</v>
      </c>
      <c r="L48" s="2070">
        <v>0</v>
      </c>
      <c r="M48" s="2070">
        <v>0</v>
      </c>
      <c r="N48" s="2070">
        <v>0</v>
      </c>
      <c r="O48" s="2070">
        <v>0</v>
      </c>
      <c r="P48" s="2070">
        <v>0</v>
      </c>
      <c r="Q48" s="2070">
        <v>0</v>
      </c>
      <c r="R48" s="2070">
        <v>0</v>
      </c>
      <c r="S48" s="2070">
        <v>0</v>
      </c>
      <c r="T48" s="2070">
        <v>0</v>
      </c>
      <c r="U48" s="2070">
        <v>0</v>
      </c>
      <c r="V48" s="2070">
        <v>0</v>
      </c>
      <c r="W48" s="2070">
        <v>0</v>
      </c>
      <c r="X48" s="2070">
        <v>0</v>
      </c>
    </row>
    <row r="49" spans="1:24" ht="11.25" customHeight="1">
      <c r="A49" s="2068" t="s">
        <v>4666</v>
      </c>
      <c r="B49" s="2069" t="s">
        <v>5800</v>
      </c>
      <c r="C49" s="2070">
        <v>0</v>
      </c>
      <c r="D49" s="2070">
        <v>0</v>
      </c>
      <c r="E49" s="2070">
        <v>0</v>
      </c>
      <c r="F49" s="2070">
        <v>0</v>
      </c>
      <c r="G49" s="2070">
        <v>0</v>
      </c>
      <c r="H49" s="2070">
        <v>0</v>
      </c>
      <c r="I49" s="2070">
        <v>0</v>
      </c>
      <c r="J49" s="2070">
        <v>0</v>
      </c>
      <c r="K49" s="2070">
        <v>0</v>
      </c>
      <c r="L49" s="2070">
        <v>0</v>
      </c>
      <c r="M49" s="2070">
        <v>0</v>
      </c>
      <c r="N49" s="2070">
        <v>0</v>
      </c>
      <c r="O49" s="2070">
        <v>0</v>
      </c>
      <c r="P49" s="2070">
        <v>0</v>
      </c>
      <c r="Q49" s="2070">
        <v>0</v>
      </c>
      <c r="R49" s="2070">
        <v>0</v>
      </c>
      <c r="S49" s="2070">
        <v>0</v>
      </c>
      <c r="T49" s="2070">
        <v>0</v>
      </c>
      <c r="U49" s="2070">
        <v>0</v>
      </c>
      <c r="V49" s="2070">
        <v>0</v>
      </c>
      <c r="W49" s="2070">
        <v>0</v>
      </c>
      <c r="X49" s="2070">
        <v>0</v>
      </c>
    </row>
    <row r="50" spans="1:24" ht="11.25" customHeight="1">
      <c r="A50" s="2068" t="s">
        <v>4668</v>
      </c>
      <c r="B50" s="2069" t="s">
        <v>5801</v>
      </c>
      <c r="C50" s="2070">
        <v>0</v>
      </c>
      <c r="D50" s="2070">
        <v>0</v>
      </c>
      <c r="E50" s="2070">
        <v>0</v>
      </c>
      <c r="F50" s="2070">
        <v>0</v>
      </c>
      <c r="G50" s="2070">
        <v>0</v>
      </c>
      <c r="H50" s="2070">
        <v>0.96018916595012893</v>
      </c>
      <c r="I50" s="2070">
        <v>2.8786758383490971</v>
      </c>
      <c r="J50" s="2070">
        <v>0</v>
      </c>
      <c r="K50" s="2070">
        <v>0.9592433361994841</v>
      </c>
      <c r="L50" s="2070">
        <v>0.9592433361994841</v>
      </c>
      <c r="M50" s="2070">
        <v>0.95924333619948421</v>
      </c>
      <c r="N50" s="2070">
        <v>0.95924333619948399</v>
      </c>
      <c r="O50" s="2070">
        <v>0.9592433361994841</v>
      </c>
      <c r="P50" s="2070">
        <v>0.9592433361994841</v>
      </c>
      <c r="Q50" s="2070">
        <v>0.94350816852966457</v>
      </c>
      <c r="R50" s="2070">
        <v>0.91607910576096296</v>
      </c>
      <c r="S50" s="2070">
        <v>0.94350816852966468</v>
      </c>
      <c r="T50" s="2070">
        <v>1.8243336199484088</v>
      </c>
      <c r="U50" s="2070">
        <v>23.400687876182282</v>
      </c>
      <c r="V50" s="2070">
        <v>21.882889079965608</v>
      </c>
      <c r="W50" s="2070">
        <v>1.9401547721410148</v>
      </c>
      <c r="X50" s="2070">
        <v>0.96431642304385212</v>
      </c>
    </row>
    <row r="51" spans="1:24" ht="11.25" customHeight="1">
      <c r="A51" s="2071" t="s">
        <v>3875</v>
      </c>
      <c r="B51" s="2072" t="s">
        <v>5802</v>
      </c>
      <c r="C51" s="2073">
        <v>8507.1754944110053</v>
      </c>
      <c r="D51" s="2073">
        <v>8119.7536543422157</v>
      </c>
      <c r="E51" s="2073">
        <v>8286.2462596732603</v>
      </c>
      <c r="F51" s="2073">
        <v>8499.952536543422</v>
      </c>
      <c r="G51" s="2073">
        <v>7460.9395528804835</v>
      </c>
      <c r="H51" s="2073">
        <v>7729.1186586414442</v>
      </c>
      <c r="I51" s="2073">
        <v>7392.4924333619956</v>
      </c>
      <c r="J51" s="2073">
        <v>7524.5351676698192</v>
      </c>
      <c r="K51" s="2073">
        <v>7056.8107480653507</v>
      </c>
      <c r="L51" s="2073">
        <v>6581.2370593293208</v>
      </c>
      <c r="M51" s="2073">
        <v>7118.5073946689618</v>
      </c>
      <c r="N51" s="2073">
        <v>6517.8748925193468</v>
      </c>
      <c r="O51" s="2073">
        <v>6573.340412725709</v>
      </c>
      <c r="P51" s="2073">
        <v>6756.7092003439366</v>
      </c>
      <c r="Q51" s="2073">
        <v>6667.3269991401557</v>
      </c>
      <c r="R51" s="2073">
        <v>6351.6587274290632</v>
      </c>
      <c r="S51" s="2073">
        <v>6318.8134995700775</v>
      </c>
      <c r="T51" s="2073">
        <v>6477.9651762682734</v>
      </c>
      <c r="U51" s="2073">
        <v>6232.2093723129847</v>
      </c>
      <c r="V51" s="2073">
        <v>6286.2363714531357</v>
      </c>
      <c r="W51" s="2073">
        <v>6104.0739466895957</v>
      </c>
      <c r="X51" s="2073">
        <v>7550.4635425623374</v>
      </c>
    </row>
    <row r="52" spans="1:24" ht="11.25" customHeight="1">
      <c r="A52" s="2071" t="s">
        <v>5803</v>
      </c>
      <c r="B52" s="2072" t="s">
        <v>5804</v>
      </c>
      <c r="C52" s="2073">
        <v>9687.0482807527114</v>
      </c>
      <c r="D52" s="2073">
        <v>9293.0423364263588</v>
      </c>
      <c r="E52" s="2073">
        <v>9538.5358920697417</v>
      </c>
      <c r="F52" s="2073">
        <v>9876.8233741396616</v>
      </c>
      <c r="G52" s="2073">
        <v>10074.816810331562</v>
      </c>
      <c r="H52" s="2073">
        <v>10484.649100126704</v>
      </c>
      <c r="I52" s="2073">
        <v>11375.10134914706</v>
      </c>
      <c r="J52" s="2073">
        <v>11742.192374143378</v>
      </c>
      <c r="K52" s="2073">
        <v>11028.665786803322</v>
      </c>
      <c r="L52" s="2073">
        <v>10750.940573455488</v>
      </c>
      <c r="M52" s="2073">
        <v>11637.450503957352</v>
      </c>
      <c r="N52" s="2073">
        <v>11415.376303263783</v>
      </c>
      <c r="O52" s="2073">
        <v>11183.194548283</v>
      </c>
      <c r="P52" s="2073">
        <v>11459.250250484396</v>
      </c>
      <c r="Q52" s="2073">
        <v>11544.425167509848</v>
      </c>
      <c r="R52" s="2073">
        <v>11948.373852677829</v>
      </c>
      <c r="S52" s="2073">
        <v>12321.691336917</v>
      </c>
      <c r="T52" s="2073">
        <v>12636.828558741079</v>
      </c>
      <c r="U52" s="2073">
        <v>12948.694029102968</v>
      </c>
      <c r="V52" s="2073">
        <v>13424.537101778733</v>
      </c>
      <c r="W52" s="2073">
        <v>13214.264309615583</v>
      </c>
      <c r="X52" s="2073">
        <v>12832.948157429331</v>
      </c>
    </row>
    <row r="53" spans="1:24" ht="11.25" customHeight="1">
      <c r="A53" s="2074" t="s">
        <v>3973</v>
      </c>
      <c r="B53" s="2069" t="s">
        <v>5805</v>
      </c>
      <c r="C53" s="2070">
        <v>0</v>
      </c>
      <c r="D53" s="2070">
        <v>0</v>
      </c>
      <c r="E53" s="2070">
        <v>0</v>
      </c>
      <c r="F53" s="2070">
        <v>0</v>
      </c>
      <c r="G53" s="2070">
        <v>0</v>
      </c>
      <c r="H53" s="2070">
        <v>0</v>
      </c>
      <c r="I53" s="2070">
        <v>0</v>
      </c>
      <c r="J53" s="2070">
        <v>0</v>
      </c>
      <c r="K53" s="2070">
        <v>0</v>
      </c>
      <c r="L53" s="2070">
        <v>0</v>
      </c>
      <c r="M53" s="2070">
        <v>0</v>
      </c>
      <c r="N53" s="2070">
        <v>0</v>
      </c>
      <c r="O53" s="2070">
        <v>0</v>
      </c>
      <c r="P53" s="2070">
        <v>0</v>
      </c>
      <c r="Q53" s="2070">
        <v>0</v>
      </c>
      <c r="R53" s="2070">
        <v>0</v>
      </c>
      <c r="S53" s="2070">
        <v>0</v>
      </c>
      <c r="T53" s="2070">
        <v>0</v>
      </c>
      <c r="U53" s="2070">
        <v>0</v>
      </c>
      <c r="V53" s="2070">
        <v>0</v>
      </c>
      <c r="W53" s="2070">
        <v>0</v>
      </c>
      <c r="X53" s="2070">
        <v>0</v>
      </c>
    </row>
    <row r="54" spans="1:24" ht="11.25" customHeight="1">
      <c r="A54" s="2074" t="s">
        <v>5806</v>
      </c>
      <c r="B54" s="2069" t="s">
        <v>5807</v>
      </c>
      <c r="C54" s="2070">
        <v>0</v>
      </c>
      <c r="D54" s="2070">
        <v>0</v>
      </c>
      <c r="E54" s="2070">
        <v>0</v>
      </c>
      <c r="F54" s="2070">
        <v>0</v>
      </c>
      <c r="G54" s="2070">
        <v>0</v>
      </c>
      <c r="H54" s="2070">
        <v>0</v>
      </c>
      <c r="I54" s="2070">
        <v>0</v>
      </c>
      <c r="J54" s="2070">
        <v>0</v>
      </c>
      <c r="K54" s="2070">
        <v>0</v>
      </c>
      <c r="L54" s="2070">
        <v>0</v>
      </c>
      <c r="M54" s="2070">
        <v>0</v>
      </c>
      <c r="N54" s="2070">
        <v>0</v>
      </c>
      <c r="O54" s="2070">
        <v>0</v>
      </c>
      <c r="P54" s="2070">
        <v>0</v>
      </c>
      <c r="Q54" s="2070">
        <v>0</v>
      </c>
      <c r="R54" s="2070">
        <v>0</v>
      </c>
      <c r="S54" s="2070">
        <v>0</v>
      </c>
      <c r="T54" s="2070">
        <v>0</v>
      </c>
      <c r="U54" s="2070">
        <v>0</v>
      </c>
      <c r="V54" s="2070">
        <v>0</v>
      </c>
      <c r="W54" s="2070">
        <v>0</v>
      </c>
      <c r="X54" s="2070">
        <v>0</v>
      </c>
    </row>
    <row r="55" spans="1:24" ht="11.25" customHeight="1">
      <c r="A55" s="2074" t="s">
        <v>3965</v>
      </c>
      <c r="B55" s="2069" t="s">
        <v>5808</v>
      </c>
      <c r="C55" s="2070">
        <v>0</v>
      </c>
      <c r="D55" s="2070">
        <v>0</v>
      </c>
      <c r="E55" s="2070">
        <v>0</v>
      </c>
      <c r="F55" s="2070">
        <v>0</v>
      </c>
      <c r="G55" s="2070">
        <v>0</v>
      </c>
      <c r="H55" s="2070">
        <v>0</v>
      </c>
      <c r="I55" s="2070">
        <v>0</v>
      </c>
      <c r="J55" s="2070">
        <v>0</v>
      </c>
      <c r="K55" s="2070">
        <v>0</v>
      </c>
      <c r="L55" s="2070">
        <v>0</v>
      </c>
      <c r="M55" s="2070">
        <v>0</v>
      </c>
      <c r="N55" s="2070">
        <v>0</v>
      </c>
      <c r="O55" s="2070">
        <v>0</v>
      </c>
      <c r="P55" s="2070">
        <v>0</v>
      </c>
      <c r="Q55" s="2070">
        <v>0</v>
      </c>
      <c r="R55" s="2070">
        <v>0</v>
      </c>
      <c r="S55" s="2070">
        <v>0</v>
      </c>
      <c r="T55" s="2070">
        <v>0</v>
      </c>
      <c r="U55" s="2070">
        <v>0</v>
      </c>
      <c r="V55" s="2070">
        <v>0</v>
      </c>
      <c r="W55" s="2070">
        <v>0</v>
      </c>
      <c r="X55" s="2070">
        <v>0</v>
      </c>
    </row>
    <row r="56" spans="1:24" ht="11.25" customHeight="1">
      <c r="A56" s="2074" t="s">
        <v>5636</v>
      </c>
      <c r="B56" s="2069" t="s">
        <v>5809</v>
      </c>
      <c r="C56" s="2070">
        <v>0</v>
      </c>
      <c r="D56" s="2070">
        <v>0</v>
      </c>
      <c r="E56" s="2070">
        <v>0</v>
      </c>
      <c r="F56" s="2070">
        <v>0</v>
      </c>
      <c r="G56" s="2070">
        <v>0</v>
      </c>
      <c r="H56" s="2070">
        <v>0</v>
      </c>
      <c r="I56" s="2070">
        <v>0</v>
      </c>
      <c r="J56" s="2070">
        <v>0</v>
      </c>
      <c r="K56" s="2070">
        <v>0</v>
      </c>
      <c r="L56" s="2070">
        <v>0</v>
      </c>
      <c r="M56" s="2070">
        <v>0</v>
      </c>
      <c r="N56" s="2070">
        <v>0</v>
      </c>
      <c r="O56" s="2070">
        <v>0</v>
      </c>
      <c r="P56" s="2070">
        <v>0</v>
      </c>
      <c r="Q56" s="2070">
        <v>0</v>
      </c>
      <c r="R56" s="2070">
        <v>0</v>
      </c>
      <c r="S56" s="2070">
        <v>0</v>
      </c>
      <c r="T56" s="2070">
        <v>0</v>
      </c>
      <c r="U56" s="2070">
        <v>0</v>
      </c>
      <c r="V56" s="2070">
        <v>0</v>
      </c>
      <c r="W56" s="2070">
        <v>0</v>
      </c>
      <c r="X56" s="2070">
        <v>0</v>
      </c>
    </row>
    <row r="57" spans="1:24" ht="11.25" customHeight="1">
      <c r="A57" s="2074" t="s">
        <v>4617</v>
      </c>
      <c r="B57" s="2069" t="s">
        <v>5810</v>
      </c>
      <c r="C57" s="2070">
        <v>1.031814273430782E-3</v>
      </c>
      <c r="D57" s="2070">
        <v>1.0318142734307817E-3</v>
      </c>
      <c r="E57" s="2070">
        <v>7.3086844368013756E-3</v>
      </c>
      <c r="F57" s="2070">
        <v>7.3086844368013756E-3</v>
      </c>
      <c r="G57" s="2070">
        <v>1.1607910576096302E-2</v>
      </c>
      <c r="H57" s="2070">
        <v>1.16079105760963E-2</v>
      </c>
      <c r="I57" s="2070">
        <v>1.1607910576096302E-2</v>
      </c>
      <c r="J57" s="2070">
        <v>1.917454858125537E-2</v>
      </c>
      <c r="K57" s="2070">
        <v>1.917454858125537E-2</v>
      </c>
      <c r="L57" s="2070">
        <v>2.91487532244196E-2</v>
      </c>
      <c r="M57" s="2070">
        <v>2.91487532244196E-2</v>
      </c>
      <c r="N57" s="2070">
        <v>2.91487532244196E-2</v>
      </c>
      <c r="O57" s="2070">
        <v>2.91487532244196E-2</v>
      </c>
      <c r="P57" s="2070">
        <v>2.91487532244196E-2</v>
      </c>
      <c r="Q57" s="2070">
        <v>2.91487532244196E-2</v>
      </c>
      <c r="R57" s="2070">
        <v>2.91487532244196E-2</v>
      </c>
      <c r="S57" s="2070">
        <v>2.91487532244196E-2</v>
      </c>
      <c r="T57" s="2070">
        <v>2.91487532244196E-2</v>
      </c>
      <c r="U57" s="2070">
        <v>2.91487532244196E-2</v>
      </c>
      <c r="V57" s="2070">
        <v>2.9148753224419597E-2</v>
      </c>
      <c r="W57" s="2070">
        <v>2.91487532244196E-2</v>
      </c>
      <c r="X57" s="2070">
        <v>2.8202923473774719E-2</v>
      </c>
    </row>
    <row r="58" spans="1:24" ht="11.25" customHeight="1">
      <c r="A58" s="2074" t="s">
        <v>3971</v>
      </c>
      <c r="B58" s="2069" t="s">
        <v>5811</v>
      </c>
      <c r="C58" s="2070">
        <v>0</v>
      </c>
      <c r="D58" s="2070">
        <v>0</v>
      </c>
      <c r="E58" s="2070">
        <v>0</v>
      </c>
      <c r="F58" s="2070">
        <v>0</v>
      </c>
      <c r="G58" s="2070">
        <v>0</v>
      </c>
      <c r="H58" s="2070">
        <v>0</v>
      </c>
      <c r="I58" s="2070">
        <v>0</v>
      </c>
      <c r="J58" s="2070">
        <v>0</v>
      </c>
      <c r="K58" s="2070">
        <v>0</v>
      </c>
      <c r="L58" s="2070">
        <v>0</v>
      </c>
      <c r="M58" s="2070">
        <v>0</v>
      </c>
      <c r="N58" s="2070">
        <v>0</v>
      </c>
      <c r="O58" s="2070">
        <v>0</v>
      </c>
      <c r="P58" s="2070">
        <v>0</v>
      </c>
      <c r="Q58" s="2070">
        <v>0</v>
      </c>
      <c r="R58" s="2070">
        <v>0</v>
      </c>
      <c r="S58" s="2070">
        <v>0</v>
      </c>
      <c r="T58" s="2070">
        <v>0</v>
      </c>
      <c r="U58" s="2070">
        <v>0</v>
      </c>
      <c r="V58" s="2070">
        <v>0</v>
      </c>
      <c r="W58" s="2070">
        <v>0</v>
      </c>
      <c r="X58" s="2070">
        <v>0</v>
      </c>
    </row>
    <row r="59" spans="1:24" ht="11.25" customHeight="1">
      <c r="A59" s="2074" t="s">
        <v>4669</v>
      </c>
      <c r="B59" s="2069" t="s">
        <v>5812</v>
      </c>
      <c r="C59" s="2070">
        <v>9654.6527944969894</v>
      </c>
      <c r="D59" s="2070">
        <v>9253.8932072226999</v>
      </c>
      <c r="E59" s="2070">
        <v>9502.2213241616519</v>
      </c>
      <c r="F59" s="2070">
        <v>9777.9925193465169</v>
      </c>
      <c r="G59" s="2070">
        <v>9981.5373172828877</v>
      </c>
      <c r="H59" s="2070">
        <v>10409.877987962165</v>
      </c>
      <c r="I59" s="2070">
        <v>11286.558383490972</v>
      </c>
      <c r="J59" s="2070">
        <v>11630.017540842646</v>
      </c>
      <c r="K59" s="2070">
        <v>10969.230180567498</v>
      </c>
      <c r="L59" s="2070">
        <v>10673.311177987962</v>
      </c>
      <c r="M59" s="2070">
        <v>11547.654514187447</v>
      </c>
      <c r="N59" s="2070">
        <v>11324.70034393809</v>
      </c>
      <c r="O59" s="2070">
        <v>11083.910576096303</v>
      </c>
      <c r="P59" s="2070">
        <v>11289.193465176268</v>
      </c>
      <c r="Q59" s="2070">
        <v>11352.604643164232</v>
      </c>
      <c r="R59" s="2070">
        <v>11744.941960447119</v>
      </c>
      <c r="S59" s="2070">
        <v>12111.104471195185</v>
      </c>
      <c r="T59" s="2070">
        <v>12369.42871883061</v>
      </c>
      <c r="U59" s="2070">
        <v>12604.480223559756</v>
      </c>
      <c r="V59" s="2070">
        <v>13029.431470335339</v>
      </c>
      <c r="W59" s="2070">
        <v>12748.556577815993</v>
      </c>
      <c r="X59" s="2070">
        <v>12348.972141014618</v>
      </c>
    </row>
    <row r="60" spans="1:24" ht="11.25" customHeight="1">
      <c r="A60" s="2074" t="s">
        <v>4618</v>
      </c>
      <c r="B60" s="2069" t="s">
        <v>5813</v>
      </c>
      <c r="C60" s="2070">
        <v>0</v>
      </c>
      <c r="D60" s="2070">
        <v>0</v>
      </c>
      <c r="E60" s="2070">
        <v>0</v>
      </c>
      <c r="F60" s="2070">
        <v>0</v>
      </c>
      <c r="G60" s="2070">
        <v>0</v>
      </c>
      <c r="H60" s="2070">
        <v>0</v>
      </c>
      <c r="I60" s="2070">
        <v>0</v>
      </c>
      <c r="J60" s="2070">
        <v>0</v>
      </c>
      <c r="K60" s="2070">
        <v>0</v>
      </c>
      <c r="L60" s="2070">
        <v>0</v>
      </c>
      <c r="M60" s="2070">
        <v>0</v>
      </c>
      <c r="N60" s="2070">
        <v>0</v>
      </c>
      <c r="O60" s="2070">
        <v>0</v>
      </c>
      <c r="P60" s="2070">
        <v>0</v>
      </c>
      <c r="Q60" s="2070">
        <v>0</v>
      </c>
      <c r="R60" s="2070">
        <v>0</v>
      </c>
      <c r="S60" s="2070">
        <v>0</v>
      </c>
      <c r="T60" s="2070">
        <v>0</v>
      </c>
      <c r="U60" s="2070">
        <v>0</v>
      </c>
      <c r="V60" s="2070">
        <v>0</v>
      </c>
      <c r="W60" s="2070">
        <v>0</v>
      </c>
      <c r="X60" s="2070">
        <v>0</v>
      </c>
    </row>
    <row r="61" spans="1:24" ht="11.25" customHeight="1">
      <c r="A61" s="2074" t="s">
        <v>4670</v>
      </c>
      <c r="B61" s="2069" t="s">
        <v>5814</v>
      </c>
      <c r="C61" s="2070">
        <v>11.560103181427342</v>
      </c>
      <c r="D61" s="2070">
        <v>13.566466036113498</v>
      </c>
      <c r="E61" s="2070">
        <v>15.262252794496991</v>
      </c>
      <c r="F61" s="2070">
        <v>12.945485812553738</v>
      </c>
      <c r="G61" s="2070">
        <v>19.537575236457439</v>
      </c>
      <c r="H61" s="2070">
        <v>25.932072226999136</v>
      </c>
      <c r="I61" s="2070">
        <v>20.891831470335337</v>
      </c>
      <c r="J61" s="2070">
        <v>38.510576096302671</v>
      </c>
      <c r="K61" s="2070">
        <v>32.588907996560629</v>
      </c>
      <c r="L61" s="2070">
        <v>51.751762682717107</v>
      </c>
      <c r="M61" s="2070">
        <v>55.011951848667245</v>
      </c>
      <c r="N61" s="2070">
        <v>54.479793637145335</v>
      </c>
      <c r="O61" s="2070">
        <v>56.831986242476354</v>
      </c>
      <c r="P61" s="2070">
        <v>70.451848667239901</v>
      </c>
      <c r="Q61" s="2070">
        <v>89.940068787618216</v>
      </c>
      <c r="R61" s="2070">
        <v>100.41014617368874</v>
      </c>
      <c r="S61" s="2070">
        <v>92.853138435081675</v>
      </c>
      <c r="T61" s="2070">
        <v>146.46388650042991</v>
      </c>
      <c r="U61" s="2070">
        <v>158.06612209802236</v>
      </c>
      <c r="V61" s="2070">
        <v>187.13826311263972</v>
      </c>
      <c r="W61" s="2070">
        <v>198.6877042132416</v>
      </c>
      <c r="X61" s="2070">
        <v>199.47695614789336</v>
      </c>
    </row>
    <row r="62" spans="1:24" ht="11.25" customHeight="1">
      <c r="A62" s="2074" t="s">
        <v>5815</v>
      </c>
      <c r="B62" s="2069" t="s">
        <v>5816</v>
      </c>
      <c r="C62" s="2070">
        <v>19.89578675838349</v>
      </c>
      <c r="D62" s="2070">
        <v>24.577214101461738</v>
      </c>
      <c r="E62" s="2070">
        <v>19.967497850386927</v>
      </c>
      <c r="F62" s="2070">
        <v>84.742562338779024</v>
      </c>
      <c r="G62" s="2070">
        <v>72.585296646603609</v>
      </c>
      <c r="H62" s="2070">
        <v>47.02871883061048</v>
      </c>
      <c r="I62" s="2070">
        <v>65.658813413585548</v>
      </c>
      <c r="J62" s="2070">
        <v>71.725451418744598</v>
      </c>
      <c r="K62" s="2070">
        <v>24.839982803095442</v>
      </c>
      <c r="L62" s="2070">
        <v>23.263542562338781</v>
      </c>
      <c r="M62" s="2070">
        <v>31.830868443680139</v>
      </c>
      <c r="N62" s="2070">
        <v>32.837145313843507</v>
      </c>
      <c r="O62" s="2070">
        <v>39.343594153052443</v>
      </c>
      <c r="P62" s="2070">
        <v>92.815477214101463</v>
      </c>
      <c r="Q62" s="2070">
        <v>82.611177987962165</v>
      </c>
      <c r="R62" s="2070">
        <v>82.802235597592443</v>
      </c>
      <c r="S62" s="2070">
        <v>95.279965606190871</v>
      </c>
      <c r="T62" s="2070">
        <v>92.401117798796207</v>
      </c>
      <c r="U62" s="2070">
        <v>149.16122098022353</v>
      </c>
      <c r="V62" s="2070">
        <v>171.62123817712811</v>
      </c>
      <c r="W62" s="2070">
        <v>181.02820292347374</v>
      </c>
      <c r="X62" s="2070">
        <v>183.5452278589853</v>
      </c>
    </row>
    <row r="63" spans="1:24" ht="11.25" customHeight="1">
      <c r="A63" s="2074" t="s">
        <v>5817</v>
      </c>
      <c r="B63" s="2069" t="s">
        <v>5818</v>
      </c>
      <c r="C63" s="2070">
        <v>0</v>
      </c>
      <c r="D63" s="2070">
        <v>0</v>
      </c>
      <c r="E63" s="2070">
        <v>0</v>
      </c>
      <c r="F63" s="2070">
        <v>0</v>
      </c>
      <c r="G63" s="2070">
        <v>0</v>
      </c>
      <c r="H63" s="2070">
        <v>0</v>
      </c>
      <c r="I63" s="2070">
        <v>0</v>
      </c>
      <c r="J63" s="2070">
        <v>0</v>
      </c>
      <c r="K63" s="2070">
        <v>0</v>
      </c>
      <c r="L63" s="2070">
        <v>0</v>
      </c>
      <c r="M63" s="2070">
        <v>0</v>
      </c>
      <c r="N63" s="2070">
        <v>0</v>
      </c>
      <c r="O63" s="2070">
        <v>6.0189165950128975E-4</v>
      </c>
      <c r="P63" s="2070">
        <v>0</v>
      </c>
      <c r="Q63" s="2070">
        <v>0</v>
      </c>
      <c r="R63" s="2070">
        <v>0</v>
      </c>
      <c r="S63" s="2070">
        <v>0</v>
      </c>
      <c r="T63" s="2070">
        <v>0</v>
      </c>
      <c r="U63" s="2070">
        <v>0</v>
      </c>
      <c r="V63" s="2070">
        <v>0</v>
      </c>
      <c r="W63" s="2070">
        <v>0</v>
      </c>
      <c r="X63" s="2070">
        <v>0</v>
      </c>
    </row>
    <row r="64" spans="1:24" ht="11.25" customHeight="1">
      <c r="A64" s="2074" t="s">
        <v>5819</v>
      </c>
      <c r="B64" s="2069" t="s">
        <v>5820</v>
      </c>
      <c r="C64" s="2070">
        <v>0</v>
      </c>
      <c r="D64" s="2070">
        <v>0</v>
      </c>
      <c r="E64" s="2070">
        <v>0</v>
      </c>
      <c r="F64" s="2070">
        <v>0</v>
      </c>
      <c r="G64" s="2070">
        <v>0</v>
      </c>
      <c r="H64" s="2070">
        <v>3.2674118658641439E-3</v>
      </c>
      <c r="I64" s="2070">
        <v>1.2897678417884777E-3</v>
      </c>
      <c r="J64" s="2070">
        <v>1.2897678417884777E-3</v>
      </c>
      <c r="K64" s="2070">
        <v>1.9776440240756661E-3</v>
      </c>
      <c r="L64" s="2070">
        <v>2.5795356835769554E-3</v>
      </c>
      <c r="M64" s="2070">
        <v>1.8916595012897677E-3</v>
      </c>
      <c r="N64" s="2070">
        <v>6.0189165950128975E-4</v>
      </c>
      <c r="O64" s="2070">
        <v>6.0189165950128975E-4</v>
      </c>
      <c r="P64" s="2070">
        <v>0</v>
      </c>
      <c r="Q64" s="2070">
        <v>0</v>
      </c>
      <c r="R64" s="2070">
        <v>0</v>
      </c>
      <c r="S64" s="2070">
        <v>0</v>
      </c>
      <c r="T64" s="2070">
        <v>1.2897678417884782E-3</v>
      </c>
      <c r="U64" s="2070">
        <v>6.0189165950128975E-4</v>
      </c>
      <c r="V64" s="2070">
        <v>0</v>
      </c>
      <c r="W64" s="2070">
        <v>0</v>
      </c>
      <c r="X64" s="2070">
        <v>0</v>
      </c>
    </row>
    <row r="65" spans="1:24" ht="11.25" customHeight="1">
      <c r="A65" s="2074" t="s">
        <v>5821</v>
      </c>
      <c r="B65" s="2069" t="s">
        <v>5822</v>
      </c>
      <c r="C65" s="2070">
        <v>0</v>
      </c>
      <c r="D65" s="2070">
        <v>0</v>
      </c>
      <c r="E65" s="2070">
        <v>0</v>
      </c>
      <c r="F65" s="2070">
        <v>0</v>
      </c>
      <c r="G65" s="2070">
        <v>0</v>
      </c>
      <c r="H65" s="2070">
        <v>0</v>
      </c>
      <c r="I65" s="2070">
        <v>0</v>
      </c>
      <c r="J65" s="2070">
        <v>0</v>
      </c>
      <c r="K65" s="2070">
        <v>0</v>
      </c>
      <c r="L65" s="2070">
        <v>1.805674978503869E-3</v>
      </c>
      <c r="M65" s="2070">
        <v>8.5984522785898518E-4</v>
      </c>
      <c r="N65" s="2070">
        <v>8.598452278589854E-4</v>
      </c>
      <c r="O65" s="2070">
        <v>3.6113499570077385E-3</v>
      </c>
      <c r="P65" s="2070">
        <v>6.2768701633705926E-3</v>
      </c>
      <c r="Q65" s="2070">
        <v>1.9690455717970765E-2</v>
      </c>
      <c r="R65" s="2070">
        <v>3.0438521066208084E-2</v>
      </c>
      <c r="S65" s="2070">
        <v>0.16577815993121239</v>
      </c>
      <c r="T65" s="2070">
        <v>1.004385210662081</v>
      </c>
      <c r="U65" s="2070">
        <v>6.2920894239036951</v>
      </c>
      <c r="V65" s="2070">
        <v>5.3512467755803943</v>
      </c>
      <c r="W65" s="2070">
        <v>5.5044711951848662</v>
      </c>
      <c r="X65" s="2070">
        <v>4.05116079105761</v>
      </c>
    </row>
    <row r="66" spans="1:24" ht="11.25" customHeight="1">
      <c r="A66" s="2074" t="s">
        <v>5823</v>
      </c>
      <c r="B66" s="2069" t="s">
        <v>5824</v>
      </c>
      <c r="C66" s="2070">
        <v>0</v>
      </c>
      <c r="D66" s="2070">
        <v>0</v>
      </c>
      <c r="E66" s="2070">
        <v>0</v>
      </c>
      <c r="F66" s="2070">
        <v>0</v>
      </c>
      <c r="G66" s="2070">
        <v>0</v>
      </c>
      <c r="H66" s="2070">
        <v>6.1049011177987961E-3</v>
      </c>
      <c r="I66" s="2070">
        <v>2.4505588993981087E-2</v>
      </c>
      <c r="J66" s="2070">
        <v>2.5365434221840063E-2</v>
      </c>
      <c r="K66" s="2070">
        <v>2.3645743766122097E-2</v>
      </c>
      <c r="L66" s="2070">
        <v>5.5374032674118667E-2</v>
      </c>
      <c r="M66" s="2070">
        <v>4.4883920894239031E-2</v>
      </c>
      <c r="N66" s="2070">
        <v>4.1272570937231294E-2</v>
      </c>
      <c r="O66" s="2070">
        <v>5.5631986242476346E-2</v>
      </c>
      <c r="P66" s="2070">
        <v>6.98194325021496E-2</v>
      </c>
      <c r="Q66" s="2070">
        <v>8.6758383490971619E-2</v>
      </c>
      <c r="R66" s="2070">
        <v>0.1218400687876182</v>
      </c>
      <c r="S66" s="2070">
        <v>0.72562338779019786</v>
      </c>
      <c r="T66" s="2070">
        <v>0.83086844368013757</v>
      </c>
      <c r="U66" s="2070">
        <v>1.0155631986242477</v>
      </c>
      <c r="V66" s="2070">
        <v>1.0399828030954428</v>
      </c>
      <c r="W66" s="2070">
        <v>1.1082545141874462</v>
      </c>
      <c r="X66" s="2070">
        <v>1.0217540842648325</v>
      </c>
    </row>
    <row r="67" spans="1:24" ht="11.25" customHeight="1">
      <c r="A67" s="2074" t="s">
        <v>5825</v>
      </c>
      <c r="B67" s="2069" t="s">
        <v>5826</v>
      </c>
      <c r="C67" s="2070">
        <v>0</v>
      </c>
      <c r="D67" s="2070">
        <v>0</v>
      </c>
      <c r="E67" s="2070">
        <v>0</v>
      </c>
      <c r="F67" s="2070">
        <v>0</v>
      </c>
      <c r="G67" s="2070">
        <v>0</v>
      </c>
      <c r="H67" s="2070">
        <v>0</v>
      </c>
      <c r="I67" s="2070">
        <v>0</v>
      </c>
      <c r="J67" s="2070">
        <v>0</v>
      </c>
      <c r="K67" s="2070">
        <v>0</v>
      </c>
      <c r="L67" s="2070">
        <v>0</v>
      </c>
      <c r="M67" s="2070">
        <v>0</v>
      </c>
      <c r="N67" s="2070">
        <v>0</v>
      </c>
      <c r="O67" s="2070">
        <v>0</v>
      </c>
      <c r="P67" s="2070">
        <v>0</v>
      </c>
      <c r="Q67" s="2070">
        <v>0</v>
      </c>
      <c r="R67" s="2070">
        <v>0</v>
      </c>
      <c r="S67" s="2070">
        <v>0</v>
      </c>
      <c r="T67" s="2070">
        <v>0</v>
      </c>
      <c r="U67" s="2070">
        <v>0</v>
      </c>
      <c r="V67" s="2070">
        <v>0</v>
      </c>
      <c r="W67" s="2070">
        <v>0</v>
      </c>
      <c r="X67" s="2070">
        <v>0</v>
      </c>
    </row>
    <row r="68" spans="1:24" ht="11.25" customHeight="1">
      <c r="A68" s="2074" t="s">
        <v>5827</v>
      </c>
      <c r="B68" s="2069" t="s">
        <v>5828</v>
      </c>
      <c r="C68" s="2070">
        <v>0</v>
      </c>
      <c r="D68" s="2070">
        <v>0</v>
      </c>
      <c r="E68" s="2070">
        <v>0</v>
      </c>
      <c r="F68" s="2070">
        <v>0</v>
      </c>
      <c r="G68" s="2070">
        <v>0</v>
      </c>
      <c r="H68" s="2070">
        <v>0</v>
      </c>
      <c r="I68" s="2070">
        <v>0</v>
      </c>
      <c r="J68" s="2070">
        <v>0</v>
      </c>
      <c r="K68" s="2070">
        <v>0</v>
      </c>
      <c r="L68" s="2070">
        <v>0</v>
      </c>
      <c r="M68" s="2070">
        <v>0</v>
      </c>
      <c r="N68" s="2070">
        <v>0</v>
      </c>
      <c r="O68" s="2070">
        <v>0</v>
      </c>
      <c r="P68" s="2070">
        <v>0</v>
      </c>
      <c r="Q68" s="2070">
        <v>0</v>
      </c>
      <c r="R68" s="2070">
        <v>0</v>
      </c>
      <c r="S68" s="2070">
        <v>0</v>
      </c>
      <c r="T68" s="2070">
        <v>0</v>
      </c>
      <c r="U68" s="2070">
        <v>0</v>
      </c>
      <c r="V68" s="2070">
        <v>0</v>
      </c>
      <c r="W68" s="2070">
        <v>0</v>
      </c>
      <c r="X68" s="2070">
        <v>0</v>
      </c>
    </row>
    <row r="69" spans="1:24" ht="11.25" customHeight="1">
      <c r="A69" s="2074" t="s">
        <v>4619</v>
      </c>
      <c r="B69" s="2069" t="s">
        <v>5829</v>
      </c>
      <c r="C69" s="2070">
        <v>0</v>
      </c>
      <c r="D69" s="2070">
        <v>0</v>
      </c>
      <c r="E69" s="2070">
        <v>0</v>
      </c>
      <c r="F69" s="2070">
        <v>0</v>
      </c>
      <c r="G69" s="2070">
        <v>0</v>
      </c>
      <c r="H69" s="2070">
        <v>0</v>
      </c>
      <c r="I69" s="2070">
        <v>0</v>
      </c>
      <c r="J69" s="2070">
        <v>0</v>
      </c>
      <c r="K69" s="2070">
        <v>0</v>
      </c>
      <c r="L69" s="2070">
        <v>0</v>
      </c>
      <c r="M69" s="2070">
        <v>0</v>
      </c>
      <c r="N69" s="2070">
        <v>0</v>
      </c>
      <c r="O69" s="2070">
        <v>0</v>
      </c>
      <c r="P69" s="2070">
        <v>3.2858985382631132</v>
      </c>
      <c r="Q69" s="2070">
        <v>4.1380051590713656</v>
      </c>
      <c r="R69" s="2070">
        <v>3.7417024935511605</v>
      </c>
      <c r="S69" s="2070">
        <v>4.2153912295786755</v>
      </c>
      <c r="T69" s="2070">
        <v>7.4536543422184014</v>
      </c>
      <c r="U69" s="2070">
        <v>7.3355975924333627</v>
      </c>
      <c r="V69" s="2070">
        <v>3.9263112639724853</v>
      </c>
      <c r="W69" s="2070">
        <v>52.003525365434221</v>
      </c>
      <c r="X69" s="2070">
        <v>65.617626827171108</v>
      </c>
    </row>
    <row r="70" spans="1:24" ht="11.25" customHeight="1">
      <c r="A70" s="2074" t="s">
        <v>5830</v>
      </c>
      <c r="B70" s="2069" t="s">
        <v>5831</v>
      </c>
      <c r="C70" s="2070">
        <v>0.93856450163652694</v>
      </c>
      <c r="D70" s="2070">
        <v>1.0044172518104464</v>
      </c>
      <c r="E70" s="2070">
        <v>1.0775085787703724</v>
      </c>
      <c r="F70" s="2070">
        <v>1.1354979573748276</v>
      </c>
      <c r="G70" s="2070">
        <v>1.1450132550381737</v>
      </c>
      <c r="H70" s="2070">
        <v>1.7893408833694975</v>
      </c>
      <c r="I70" s="2070">
        <v>1.9549175047552936</v>
      </c>
      <c r="J70" s="2070">
        <v>1.8929760350398566</v>
      </c>
      <c r="K70" s="2070">
        <v>1.9619174997967119</v>
      </c>
      <c r="L70" s="2070">
        <v>2.5251822259094703</v>
      </c>
      <c r="M70" s="2070">
        <v>2.8763852987078051</v>
      </c>
      <c r="N70" s="2070">
        <v>3.2871373136552595</v>
      </c>
      <c r="O70" s="2070">
        <v>3.0187959184246935</v>
      </c>
      <c r="P70" s="2070">
        <v>3.3983158326347018</v>
      </c>
      <c r="Q70" s="2070">
        <v>14.995674818528219</v>
      </c>
      <c r="R70" s="2070">
        <v>16.296380622800264</v>
      </c>
      <c r="S70" s="2070">
        <v>17.317820150016949</v>
      </c>
      <c r="T70" s="2070">
        <v>19.215489093615197</v>
      </c>
      <c r="U70" s="2070">
        <v>22.313461605121294</v>
      </c>
      <c r="V70" s="2070">
        <v>25.999440557752116</v>
      </c>
      <c r="W70" s="2070">
        <v>27.34642483484361</v>
      </c>
      <c r="X70" s="2070">
        <v>30.23508778186774</v>
      </c>
    </row>
    <row r="71" spans="1:24" ht="11.25" customHeight="1">
      <c r="A71" s="2071" t="s">
        <v>5832</v>
      </c>
      <c r="B71" s="2072" t="s">
        <v>5833</v>
      </c>
      <c r="C71" s="2073">
        <v>20.516852966466033</v>
      </c>
      <c r="D71" s="2073">
        <v>22.642562338779022</v>
      </c>
      <c r="E71" s="2073">
        <v>29.187016337059326</v>
      </c>
      <c r="F71" s="2073">
        <v>118.51539122957867</v>
      </c>
      <c r="G71" s="2073">
        <v>111.42175408426483</v>
      </c>
      <c r="H71" s="2073">
        <v>99.890885640584685</v>
      </c>
      <c r="I71" s="2073">
        <v>112.96061908856406</v>
      </c>
      <c r="J71" s="2073">
        <v>124.80412725709371</v>
      </c>
      <c r="K71" s="2073">
        <v>51.989079965606194</v>
      </c>
      <c r="L71" s="2073">
        <v>118.09398108340498</v>
      </c>
      <c r="M71" s="2073">
        <v>86.636801375752356</v>
      </c>
      <c r="N71" s="2073">
        <v>56.005846947549443</v>
      </c>
      <c r="O71" s="2073">
        <v>59.099312123817704</v>
      </c>
      <c r="P71" s="2073">
        <v>125.89071367153912</v>
      </c>
      <c r="Q71" s="2073">
        <v>120.00515907136715</v>
      </c>
      <c r="R71" s="2073">
        <v>122.64539982803095</v>
      </c>
      <c r="S71" s="2073">
        <v>130.32914875322439</v>
      </c>
      <c r="T71" s="2073">
        <v>147.3785038693035</v>
      </c>
      <c r="U71" s="2073">
        <v>204.56182287188301</v>
      </c>
      <c r="V71" s="2073">
        <v>241.11564918314701</v>
      </c>
      <c r="W71" s="2073">
        <v>256.74084264832328</v>
      </c>
      <c r="X71" s="2073">
        <v>251.36079105760956</v>
      </c>
    </row>
    <row r="72" spans="1:24" ht="11.25" customHeight="1">
      <c r="A72" s="2074" t="s">
        <v>5834</v>
      </c>
      <c r="B72" s="2069" t="s">
        <v>5835</v>
      </c>
      <c r="C72" s="2070">
        <v>13.781427343078242</v>
      </c>
      <c r="D72" s="2070">
        <v>12.969303525365435</v>
      </c>
      <c r="E72" s="2070">
        <v>21.997764402407562</v>
      </c>
      <c r="F72" s="2070">
        <v>47.004901117798781</v>
      </c>
      <c r="G72" s="2070">
        <v>50.874290627687017</v>
      </c>
      <c r="H72" s="2070">
        <v>64.565606190885646</v>
      </c>
      <c r="I72" s="2070">
        <v>58.312639724849525</v>
      </c>
      <c r="J72" s="2070">
        <v>65.522613929492692</v>
      </c>
      <c r="K72" s="2070">
        <v>40.190111779879622</v>
      </c>
      <c r="L72" s="2070">
        <v>96.024677558039556</v>
      </c>
      <c r="M72" s="2070">
        <v>64.025365434221825</v>
      </c>
      <c r="N72" s="2070">
        <v>34.681083404987099</v>
      </c>
      <c r="O72" s="2070">
        <v>35.400085984522775</v>
      </c>
      <c r="P72" s="2070">
        <v>47.835855546001731</v>
      </c>
      <c r="Q72" s="2070">
        <v>50.548667239896815</v>
      </c>
      <c r="R72" s="2070">
        <v>53.729922613929489</v>
      </c>
      <c r="S72" s="2070">
        <v>49.139724849527084</v>
      </c>
      <c r="T72" s="2070">
        <v>68.874548581255354</v>
      </c>
      <c r="U72" s="2070">
        <v>69.390799656061901</v>
      </c>
      <c r="V72" s="2070">
        <v>82.285984522785881</v>
      </c>
      <c r="W72" s="2070">
        <v>87.233877901977635</v>
      </c>
      <c r="X72" s="2070">
        <v>107.08804815133276</v>
      </c>
    </row>
    <row r="73" spans="1:24" ht="11.25" customHeight="1">
      <c r="A73" s="2074" t="s">
        <v>5836</v>
      </c>
      <c r="B73" s="2069" t="s">
        <v>5837</v>
      </c>
      <c r="C73" s="2070">
        <v>6.7354256233877887</v>
      </c>
      <c r="D73" s="2070">
        <v>9.673258813413586</v>
      </c>
      <c r="E73" s="2070">
        <v>7.1892519346517627</v>
      </c>
      <c r="F73" s="2070">
        <v>71.510490111779887</v>
      </c>
      <c r="G73" s="2070">
        <v>60.547463456577816</v>
      </c>
      <c r="H73" s="2070">
        <v>35.325279449699046</v>
      </c>
      <c r="I73" s="2070">
        <v>54.647979363714533</v>
      </c>
      <c r="J73" s="2070">
        <v>59.281513327601019</v>
      </c>
      <c r="K73" s="2070">
        <v>11.798968185726569</v>
      </c>
      <c r="L73" s="2070">
        <v>22.069303525365427</v>
      </c>
      <c r="M73" s="2070">
        <v>22.611435941530523</v>
      </c>
      <c r="N73" s="2070">
        <v>21.324763542562344</v>
      </c>
      <c r="O73" s="2070">
        <v>23.699226139294929</v>
      </c>
      <c r="P73" s="2070">
        <v>78.054858125537393</v>
      </c>
      <c r="Q73" s="2070">
        <v>69.456491831470331</v>
      </c>
      <c r="R73" s="2070">
        <v>68.915477214101458</v>
      </c>
      <c r="S73" s="2070">
        <v>81.189423903697318</v>
      </c>
      <c r="T73" s="2070">
        <v>78.503955288048147</v>
      </c>
      <c r="U73" s="2070">
        <v>135.17102321582112</v>
      </c>
      <c r="V73" s="2070">
        <v>158.82966466036112</v>
      </c>
      <c r="W73" s="2070">
        <v>169.50696474634563</v>
      </c>
      <c r="X73" s="2070">
        <v>144.27274290627679</v>
      </c>
    </row>
    <row r="74" spans="1:24" ht="11.25" customHeight="1">
      <c r="A74" s="2071" t="s">
        <v>4616</v>
      </c>
      <c r="B74" s="2072" t="s">
        <v>5838</v>
      </c>
      <c r="C74" s="2073">
        <v>0</v>
      </c>
      <c r="D74" s="2073">
        <v>0</v>
      </c>
      <c r="E74" s="2073">
        <v>0</v>
      </c>
      <c r="F74" s="2073">
        <v>0</v>
      </c>
      <c r="G74" s="2073">
        <v>0</v>
      </c>
      <c r="H74" s="2073">
        <v>0</v>
      </c>
      <c r="I74" s="2073">
        <v>0</v>
      </c>
      <c r="J74" s="2073">
        <v>0</v>
      </c>
      <c r="K74" s="2073">
        <v>0</v>
      </c>
      <c r="L74" s="2073">
        <v>0</v>
      </c>
      <c r="M74" s="2073">
        <v>0</v>
      </c>
      <c r="N74" s="2073">
        <v>0</v>
      </c>
      <c r="O74" s="2073">
        <v>0</v>
      </c>
      <c r="P74" s="2073">
        <v>0</v>
      </c>
      <c r="Q74" s="2073">
        <v>0</v>
      </c>
      <c r="R74" s="2073">
        <v>0</v>
      </c>
      <c r="S74" s="2073">
        <v>0</v>
      </c>
      <c r="T74" s="2073">
        <v>0</v>
      </c>
      <c r="U74" s="2073">
        <v>0</v>
      </c>
      <c r="V74" s="2073">
        <v>0</v>
      </c>
      <c r="W74" s="2073">
        <v>0</v>
      </c>
      <c r="X74" s="2073">
        <v>0</v>
      </c>
    </row>
    <row r="75" spans="1:24" ht="11.25" customHeight="1">
      <c r="A75" s="2071" t="s">
        <v>4671</v>
      </c>
      <c r="B75" s="2072" t="s">
        <v>5839</v>
      </c>
      <c r="C75" s="2073">
        <v>444.49217540842653</v>
      </c>
      <c r="D75" s="2073">
        <v>471.29071367153915</v>
      </c>
      <c r="E75" s="2073">
        <v>473.74591573516761</v>
      </c>
      <c r="F75" s="2073">
        <v>721.4641444539983</v>
      </c>
      <c r="G75" s="2073">
        <v>1516.6691315563198</v>
      </c>
      <c r="H75" s="2073">
        <v>1542.6376612209801</v>
      </c>
      <c r="I75" s="2073">
        <v>1630.1036113499563</v>
      </c>
      <c r="J75" s="2073">
        <v>2275.6640584694751</v>
      </c>
      <c r="K75" s="2073">
        <v>2194.1018056749786</v>
      </c>
      <c r="L75" s="2073">
        <v>1801.0122098022355</v>
      </c>
      <c r="M75" s="2073">
        <v>1999.9160791057607</v>
      </c>
      <c r="N75" s="2073">
        <v>2553.1182287188303</v>
      </c>
      <c r="O75" s="2073">
        <v>2780.8823731728289</v>
      </c>
      <c r="P75" s="2073">
        <v>2579.7224419604477</v>
      </c>
      <c r="Q75" s="2073">
        <v>2554.9379191745484</v>
      </c>
      <c r="R75" s="2073">
        <v>2625.2369733447977</v>
      </c>
      <c r="S75" s="2073">
        <v>2555.3314703353399</v>
      </c>
      <c r="T75" s="2073">
        <v>2458.2123817712813</v>
      </c>
      <c r="U75" s="2073">
        <v>2280.3451418744621</v>
      </c>
      <c r="V75" s="2073">
        <v>2197.6358555460019</v>
      </c>
      <c r="W75" s="2073">
        <v>2101.6478933791914</v>
      </c>
      <c r="X75" s="2073">
        <v>2287.8486672398967</v>
      </c>
    </row>
    <row r="76" spans="1:24" ht="11.25" customHeight="1">
      <c r="A76" s="2075" t="s">
        <v>4282</v>
      </c>
      <c r="B76" s="2076" t="s">
        <v>5840</v>
      </c>
      <c r="C76" s="2077">
        <v>10346.871109200345</v>
      </c>
      <c r="D76" s="2077">
        <v>10534.879535683574</v>
      </c>
      <c r="E76" s="2077">
        <v>10637.70249355116</v>
      </c>
      <c r="F76" s="2077">
        <v>10677.936973344797</v>
      </c>
      <c r="G76" s="2077">
        <v>11244.066981943248</v>
      </c>
      <c r="H76" s="2077">
        <v>11220.856319862423</v>
      </c>
      <c r="I76" s="2077">
        <v>11430.183147033533</v>
      </c>
      <c r="J76" s="2077">
        <v>11525.460791057611</v>
      </c>
      <c r="K76" s="2077">
        <v>10773.46242476354</v>
      </c>
      <c r="L76" s="2077">
        <v>9701.6592433361984</v>
      </c>
      <c r="M76" s="2077">
        <v>9920.3264832330187</v>
      </c>
      <c r="N76" s="2077">
        <v>9875.1650902837482</v>
      </c>
      <c r="O76" s="2077">
        <v>9723.0981943250208</v>
      </c>
      <c r="P76" s="2077">
        <v>9556.5430782459152</v>
      </c>
      <c r="Q76" s="2077">
        <v>9372.5778511425669</v>
      </c>
      <c r="R76" s="2077">
        <v>9176.6955288048121</v>
      </c>
      <c r="S76" s="2077">
        <v>9127.1932932072232</v>
      </c>
      <c r="T76" s="2077">
        <v>9167.3459157351663</v>
      </c>
      <c r="U76" s="2077">
        <v>9051.8065348237324</v>
      </c>
      <c r="V76" s="2077">
        <v>8906.8181427343079</v>
      </c>
      <c r="W76" s="2077">
        <v>8416.8166809974173</v>
      </c>
      <c r="X76" s="2077">
        <v>8607.4308684436801</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3050D-BC97-4D8D-8354-A7D1AD8FFA16}">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baseColWidth="10" defaultColWidth="9.1640625" defaultRowHeight="11.25" customHeight="1"/>
  <cols>
    <col min="1" max="1" width="40.6640625" style="2059" bestFit="1" customWidth="1"/>
    <col min="2" max="2" width="16.1640625" style="2059" bestFit="1" customWidth="1"/>
    <col min="3" max="24" width="9.6640625" style="2059" customWidth="1"/>
    <col min="25" max="16384" width="9.1640625" style="2059"/>
  </cols>
  <sheetData>
    <row r="1" spans="1:24" ht="11.25" customHeight="1">
      <c r="A1" s="2057" t="s">
        <v>5849</v>
      </c>
      <c r="B1" s="2057" t="s">
        <v>5850</v>
      </c>
      <c r="C1" s="2058">
        <v>2000</v>
      </c>
      <c r="D1" s="2058">
        <v>2001</v>
      </c>
      <c r="E1" s="2058">
        <v>2002</v>
      </c>
      <c r="F1" s="2058">
        <v>2003</v>
      </c>
      <c r="G1" s="2058">
        <v>2004</v>
      </c>
      <c r="H1" s="2058">
        <v>2005</v>
      </c>
      <c r="I1" s="2058">
        <v>2006</v>
      </c>
      <c r="J1" s="2058">
        <v>2007</v>
      </c>
      <c r="K1" s="2058">
        <v>2008</v>
      </c>
      <c r="L1" s="2058">
        <v>2009</v>
      </c>
      <c r="M1" s="2058">
        <v>2010</v>
      </c>
      <c r="N1" s="2058">
        <v>2011</v>
      </c>
      <c r="O1" s="2058">
        <v>2012</v>
      </c>
      <c r="P1" s="2058">
        <v>2013</v>
      </c>
      <c r="Q1" s="2058">
        <v>2014</v>
      </c>
      <c r="R1" s="2058">
        <v>2015</v>
      </c>
      <c r="S1" s="2058">
        <v>2016</v>
      </c>
      <c r="T1" s="2058">
        <v>2017</v>
      </c>
      <c r="U1" s="2058">
        <v>2018</v>
      </c>
      <c r="V1" s="2058">
        <v>2019</v>
      </c>
      <c r="W1" s="2058">
        <v>2020</v>
      </c>
      <c r="X1" s="2058">
        <v>2021</v>
      </c>
    </row>
    <row r="2" spans="1:24" ht="11.25" customHeight="1">
      <c r="A2" s="2060" t="s">
        <v>1265</v>
      </c>
      <c r="B2" s="2060" t="s">
        <v>5738</v>
      </c>
      <c r="C2" s="2061">
        <v>27523.258169299803</v>
      </c>
      <c r="D2" s="2061">
        <v>28034.955352477238</v>
      </c>
      <c r="E2" s="2061">
        <v>29053.043923497724</v>
      </c>
      <c r="F2" s="2061">
        <v>29365.400563834621</v>
      </c>
      <c r="G2" s="2061">
        <v>29139.458361590685</v>
      </c>
      <c r="H2" s="2061">
        <v>27792.686394242239</v>
      </c>
      <c r="I2" s="2061">
        <v>26413.492767191179</v>
      </c>
      <c r="J2" s="2061">
        <v>26711.057493967448</v>
      </c>
      <c r="K2" s="2061">
        <v>26302.938714967459</v>
      </c>
      <c r="L2" s="2061">
        <v>25165.32891267577</v>
      </c>
      <c r="M2" s="2061">
        <v>25924.703475934453</v>
      </c>
      <c r="N2" s="2061">
        <v>26021.623806725227</v>
      </c>
      <c r="O2" s="2061">
        <v>26285.649636682072</v>
      </c>
      <c r="P2" s="2061">
        <v>25946.134722190316</v>
      </c>
      <c r="Q2" s="2061">
        <v>26314.230365099051</v>
      </c>
      <c r="R2" s="2061">
        <v>26517.303641992257</v>
      </c>
      <c r="S2" s="2061">
        <v>27419.808264109084</v>
      </c>
      <c r="T2" s="2061">
        <v>27542.163707114749</v>
      </c>
      <c r="U2" s="2061">
        <v>28005.022091253813</v>
      </c>
      <c r="V2" s="2061">
        <v>27554.679901158666</v>
      </c>
      <c r="W2" s="2061">
        <v>27240.013923044324</v>
      </c>
      <c r="X2" s="2061">
        <v>28856.389928361197</v>
      </c>
    </row>
    <row r="3" spans="1:24" ht="11.25" customHeight="1">
      <c r="A3" s="2062" t="s">
        <v>5739</v>
      </c>
      <c r="B3" s="2063" t="s">
        <v>5740</v>
      </c>
      <c r="C3" s="2064">
        <v>2131.8891659501287</v>
      </c>
      <c r="D3" s="2064">
        <v>1946.3717110920034</v>
      </c>
      <c r="E3" s="2064">
        <v>1948.4947549441099</v>
      </c>
      <c r="F3" s="2064">
        <v>1849.1674118658643</v>
      </c>
      <c r="G3" s="2064">
        <v>1895.203525365434</v>
      </c>
      <c r="H3" s="2064">
        <v>1890.4584694754942</v>
      </c>
      <c r="I3" s="2064">
        <v>1756.6404987102319</v>
      </c>
      <c r="J3" s="2064">
        <v>1786.7138435081686</v>
      </c>
      <c r="K3" s="2064">
        <v>1522.9967325881339</v>
      </c>
      <c r="L3" s="2064">
        <v>1452.1287188306101</v>
      </c>
      <c r="M3" s="2064">
        <v>1444.5214961306965</v>
      </c>
      <c r="N3" s="2064">
        <v>1398.3276010318141</v>
      </c>
      <c r="O3" s="2064">
        <v>1487.1575236457438</v>
      </c>
      <c r="P3" s="2064">
        <v>1229.0769561478933</v>
      </c>
      <c r="Q3" s="2064">
        <v>1200.0780739466895</v>
      </c>
      <c r="R3" s="2064">
        <v>1257.6586414445401</v>
      </c>
      <c r="S3" s="2064">
        <v>1226.5282029234738</v>
      </c>
      <c r="T3" s="2064">
        <v>1304.2111779879622</v>
      </c>
      <c r="U3" s="2064">
        <v>1382.7733447979365</v>
      </c>
      <c r="V3" s="2064">
        <v>1135.2599312123816</v>
      </c>
      <c r="W3" s="2064">
        <v>1080.4552020636283</v>
      </c>
      <c r="X3" s="2064">
        <v>1079.1555460017198</v>
      </c>
    </row>
    <row r="4" spans="1:24" ht="11.25" customHeight="1">
      <c r="A4" s="2065" t="s">
        <v>5741</v>
      </c>
      <c r="B4" s="2066" t="s">
        <v>5742</v>
      </c>
      <c r="C4" s="2067">
        <v>1651.767411865864</v>
      </c>
      <c r="D4" s="2067">
        <v>1475.9460017196905</v>
      </c>
      <c r="E4" s="2067">
        <v>1537.3172828890797</v>
      </c>
      <c r="F4" s="2067">
        <v>1465.8180567497852</v>
      </c>
      <c r="G4" s="2067">
        <v>1483.457351676698</v>
      </c>
      <c r="H4" s="2067">
        <v>1554.5518486672399</v>
      </c>
      <c r="I4" s="2067">
        <v>1427.9411006018913</v>
      </c>
      <c r="J4" s="2067">
        <v>1509.1521066208081</v>
      </c>
      <c r="K4" s="2067">
        <v>1267.1367153912295</v>
      </c>
      <c r="L4" s="2067">
        <v>1215.4254514187444</v>
      </c>
      <c r="M4" s="2067">
        <v>1193.5766122098021</v>
      </c>
      <c r="N4" s="2067">
        <v>1093.7872742906277</v>
      </c>
      <c r="O4" s="2067">
        <v>1109.5473774720551</v>
      </c>
      <c r="P4" s="2067">
        <v>928.68297506448823</v>
      </c>
      <c r="Q4" s="2067">
        <v>886.54574376612197</v>
      </c>
      <c r="R4" s="2067">
        <v>920.38469475494412</v>
      </c>
      <c r="S4" s="2067">
        <v>910.49380911435946</v>
      </c>
      <c r="T4" s="2067">
        <v>1007.1758383490971</v>
      </c>
      <c r="U4" s="2067">
        <v>1077.9291487532246</v>
      </c>
      <c r="V4" s="2067">
        <v>871.2530524505587</v>
      </c>
      <c r="W4" s="2067">
        <v>832.29681857265678</v>
      </c>
      <c r="X4" s="2067">
        <v>850.20868443680149</v>
      </c>
    </row>
    <row r="5" spans="1:24" ht="11.25" customHeight="1">
      <c r="A5" s="2068" t="s">
        <v>4613</v>
      </c>
      <c r="B5" s="2069" t="s">
        <v>5743</v>
      </c>
      <c r="C5" s="2070">
        <v>25.193465176268269</v>
      </c>
      <c r="D5" s="2070">
        <v>25.193465176268269</v>
      </c>
      <c r="E5" s="2070">
        <v>27.292949269131551</v>
      </c>
      <c r="F5" s="2070">
        <v>19.594926913155629</v>
      </c>
      <c r="G5" s="2070">
        <v>15.135167669819426</v>
      </c>
      <c r="H5" s="2070">
        <v>14.432416165090281</v>
      </c>
      <c r="I5" s="2070">
        <v>23.888993981083406</v>
      </c>
      <c r="J5" s="2070">
        <v>44.457523645743763</v>
      </c>
      <c r="K5" s="2070">
        <v>30.602751504729145</v>
      </c>
      <c r="L5" s="2070">
        <v>27.591831470335336</v>
      </c>
      <c r="M5" s="2070">
        <v>27.984522785898534</v>
      </c>
      <c r="N5" s="2070">
        <v>93.943938091143579</v>
      </c>
      <c r="O5" s="2070">
        <v>140.92278589853825</v>
      </c>
      <c r="P5" s="2070">
        <v>105.89914015477214</v>
      </c>
      <c r="Q5" s="2070">
        <v>46.587188306104899</v>
      </c>
      <c r="R5" s="2070">
        <v>38.962252794496983</v>
      </c>
      <c r="S5" s="2070">
        <v>25.896216680997416</v>
      </c>
      <c r="T5" s="2070">
        <v>30.001289767841783</v>
      </c>
      <c r="U5" s="2070">
        <v>52.397936371453142</v>
      </c>
      <c r="V5" s="2070">
        <v>24.370679277730005</v>
      </c>
      <c r="W5" s="2070">
        <v>22.041788478073943</v>
      </c>
      <c r="X5" s="2070">
        <v>32.335597592433359</v>
      </c>
    </row>
    <row r="6" spans="1:24" ht="11.25" customHeight="1">
      <c r="A6" s="2068" t="s">
        <v>4647</v>
      </c>
      <c r="B6" s="2069" t="s">
        <v>5744</v>
      </c>
      <c r="C6" s="2070">
        <v>0.67489251934651762</v>
      </c>
      <c r="D6" s="2070">
        <v>0</v>
      </c>
      <c r="E6" s="2070">
        <v>0</v>
      </c>
      <c r="F6" s="2070">
        <v>0.67016337059329312</v>
      </c>
      <c r="G6" s="2070">
        <v>0</v>
      </c>
      <c r="H6" s="2070">
        <v>0</v>
      </c>
      <c r="I6" s="2070">
        <v>0</v>
      </c>
      <c r="J6" s="2070">
        <v>12.9335339638865</v>
      </c>
      <c r="K6" s="2070">
        <v>4.2168529664660364</v>
      </c>
      <c r="L6" s="2070">
        <v>2.1189165950128981</v>
      </c>
      <c r="M6" s="2070">
        <v>4.9826311263972478</v>
      </c>
      <c r="N6" s="2070">
        <v>3.5079105760963021</v>
      </c>
      <c r="O6" s="2070">
        <v>2.0944969905417019</v>
      </c>
      <c r="P6" s="2070">
        <v>2.1073086844368012</v>
      </c>
      <c r="Q6" s="2070">
        <v>1.394496990541702</v>
      </c>
      <c r="R6" s="2070">
        <v>0.70687876182287179</v>
      </c>
      <c r="S6" s="2070">
        <v>2.1177987962166811</v>
      </c>
      <c r="T6" s="2070">
        <v>1.9897678417884781</v>
      </c>
      <c r="U6" s="2070">
        <v>1.882717110920034</v>
      </c>
      <c r="V6" s="2070">
        <v>2.34591573516767</v>
      </c>
      <c r="W6" s="2070">
        <v>2.4023215821152188</v>
      </c>
      <c r="X6" s="2070">
        <v>1.055717970765262</v>
      </c>
    </row>
    <row r="7" spans="1:24" ht="11.25" customHeight="1">
      <c r="A7" s="2068" t="s">
        <v>4648</v>
      </c>
      <c r="B7" s="2069" t="s">
        <v>5745</v>
      </c>
      <c r="C7" s="2070">
        <v>1625.8990541702492</v>
      </c>
      <c r="D7" s="2070">
        <v>1450.7525365434221</v>
      </c>
      <c r="E7" s="2070">
        <v>1510.0243336199483</v>
      </c>
      <c r="F7" s="2070">
        <v>1445.5529664660362</v>
      </c>
      <c r="G7" s="2070">
        <v>1468.3221840068786</v>
      </c>
      <c r="H7" s="2070">
        <v>1540.1194325021497</v>
      </c>
      <c r="I7" s="2070">
        <v>1404.052106620808</v>
      </c>
      <c r="J7" s="2070">
        <v>1451.7610490111779</v>
      </c>
      <c r="K7" s="2070">
        <v>1232.3171109200343</v>
      </c>
      <c r="L7" s="2070">
        <v>1185.7147033533961</v>
      </c>
      <c r="M7" s="2070">
        <v>1160.6094582975063</v>
      </c>
      <c r="N7" s="2070">
        <v>996.33542562338778</v>
      </c>
      <c r="O7" s="2070">
        <v>966.53009458297515</v>
      </c>
      <c r="P7" s="2070">
        <v>820.6765262252793</v>
      </c>
      <c r="Q7" s="2070">
        <v>838.56405846947541</v>
      </c>
      <c r="R7" s="2070">
        <v>880.7155631986243</v>
      </c>
      <c r="S7" s="2070">
        <v>882.47979363714535</v>
      </c>
      <c r="T7" s="2070">
        <v>975.18478073946687</v>
      </c>
      <c r="U7" s="2070">
        <v>1023.6484952708513</v>
      </c>
      <c r="V7" s="2070">
        <v>844.53645743766106</v>
      </c>
      <c r="W7" s="2070">
        <v>807.85270851246764</v>
      </c>
      <c r="X7" s="2070">
        <v>816.81736887360285</v>
      </c>
    </row>
    <row r="8" spans="1:24" ht="11.25" customHeight="1">
      <c r="A8" s="2065" t="s">
        <v>5746</v>
      </c>
      <c r="B8" s="2066" t="s">
        <v>5747</v>
      </c>
      <c r="C8" s="2067">
        <v>139.91736887360275</v>
      </c>
      <c r="D8" s="2067">
        <v>132.15993121238174</v>
      </c>
      <c r="E8" s="2067">
        <v>127.9834909716251</v>
      </c>
      <c r="F8" s="2067">
        <v>112.3503869303525</v>
      </c>
      <c r="G8" s="2067">
        <v>67.854170249355107</v>
      </c>
      <c r="H8" s="2067">
        <v>130.88770421324156</v>
      </c>
      <c r="I8" s="2067">
        <v>156.05528804815134</v>
      </c>
      <c r="J8" s="2067">
        <v>82.062940670679282</v>
      </c>
      <c r="K8" s="2067">
        <v>68.522012037833164</v>
      </c>
      <c r="L8" s="2067">
        <v>67.282373172828869</v>
      </c>
      <c r="M8" s="2067">
        <v>70.070249355116076</v>
      </c>
      <c r="N8" s="2067">
        <v>101.05021496130698</v>
      </c>
      <c r="O8" s="2067">
        <v>139.6535683576956</v>
      </c>
      <c r="P8" s="2067">
        <v>117.18374892519347</v>
      </c>
      <c r="Q8" s="2067">
        <v>118.33353396388648</v>
      </c>
      <c r="R8" s="2067">
        <v>133.11926053310404</v>
      </c>
      <c r="S8" s="2067">
        <v>133.01719690455718</v>
      </c>
      <c r="T8" s="2067">
        <v>114.68331900257954</v>
      </c>
      <c r="U8" s="2067">
        <v>119.95331040412724</v>
      </c>
      <c r="V8" s="2067">
        <v>90.874032674118638</v>
      </c>
      <c r="W8" s="2067">
        <v>87.441874462596729</v>
      </c>
      <c r="X8" s="2067">
        <v>69.374634565778152</v>
      </c>
    </row>
    <row r="9" spans="1:24" ht="11.25" customHeight="1">
      <c r="A9" s="2068" t="s">
        <v>4649</v>
      </c>
      <c r="B9" s="2069" t="s">
        <v>5748</v>
      </c>
      <c r="C9" s="2070">
        <v>0</v>
      </c>
      <c r="D9" s="2070">
        <v>1.0846087704213241</v>
      </c>
      <c r="E9" s="2070">
        <v>1.626913155631986</v>
      </c>
      <c r="F9" s="2070">
        <v>1.0846087704213241</v>
      </c>
      <c r="G9" s="2070">
        <v>0.54230438521066204</v>
      </c>
      <c r="H9" s="2070">
        <v>1.0846087704213241</v>
      </c>
      <c r="I9" s="2070">
        <v>1.0846087704213241</v>
      </c>
      <c r="J9" s="2070">
        <v>1.0846087704213241</v>
      </c>
      <c r="K9" s="2070">
        <v>0.54230438521066204</v>
      </c>
      <c r="L9" s="2070">
        <v>0</v>
      </c>
      <c r="M9" s="2070">
        <v>0</v>
      </c>
      <c r="N9" s="2070">
        <v>0</v>
      </c>
      <c r="O9" s="2070">
        <v>8.7858125537403264</v>
      </c>
      <c r="P9" s="2070">
        <v>6.998022355975924</v>
      </c>
      <c r="Q9" s="2070">
        <v>7.5703353396388646</v>
      </c>
      <c r="R9" s="2070">
        <v>8.2221840068787611</v>
      </c>
      <c r="S9" s="2070">
        <v>9.4021496130696463</v>
      </c>
      <c r="T9" s="2070">
        <v>7.75554600171969</v>
      </c>
      <c r="U9" s="2070">
        <v>0</v>
      </c>
      <c r="V9" s="2070">
        <v>0</v>
      </c>
      <c r="W9" s="2070">
        <v>0</v>
      </c>
      <c r="X9" s="2070">
        <v>0</v>
      </c>
    </row>
    <row r="10" spans="1:24" ht="11.25" customHeight="1">
      <c r="A10" s="2068" t="s">
        <v>4290</v>
      </c>
      <c r="B10" s="2069" t="s">
        <v>5749</v>
      </c>
      <c r="C10" s="2070">
        <v>139.91736887360275</v>
      </c>
      <c r="D10" s="2070">
        <v>131.07532244196042</v>
      </c>
      <c r="E10" s="2070">
        <v>126.35657781599312</v>
      </c>
      <c r="F10" s="2070">
        <v>111.26577815993117</v>
      </c>
      <c r="G10" s="2070">
        <v>67.311865864144451</v>
      </c>
      <c r="H10" s="2070">
        <v>129.80309544282025</v>
      </c>
      <c r="I10" s="2070">
        <v>154.97067927773003</v>
      </c>
      <c r="J10" s="2070">
        <v>80.978331900257956</v>
      </c>
      <c r="K10" s="2070">
        <v>67.979707652622508</v>
      </c>
      <c r="L10" s="2070">
        <v>67.282373172828869</v>
      </c>
      <c r="M10" s="2070">
        <v>70.070249355116076</v>
      </c>
      <c r="N10" s="2070">
        <v>101.05021496130698</v>
      </c>
      <c r="O10" s="2070">
        <v>130.86775580395528</v>
      </c>
      <c r="P10" s="2070">
        <v>110.18572656921755</v>
      </c>
      <c r="Q10" s="2070">
        <v>110.76319862424762</v>
      </c>
      <c r="R10" s="2070">
        <v>124.89707652622529</v>
      </c>
      <c r="S10" s="2070">
        <v>123.61504729148753</v>
      </c>
      <c r="T10" s="2070">
        <v>106.92777300085984</v>
      </c>
      <c r="U10" s="2070">
        <v>119.95331040412724</v>
      </c>
      <c r="V10" s="2070">
        <v>90.874032674118638</v>
      </c>
      <c r="W10" s="2070">
        <v>87.441874462596729</v>
      </c>
      <c r="X10" s="2070">
        <v>69.374634565778152</v>
      </c>
    </row>
    <row r="11" spans="1:24" ht="11.25" customHeight="1">
      <c r="A11" s="2065" t="s">
        <v>5750</v>
      </c>
      <c r="B11" s="2066" t="s">
        <v>5751</v>
      </c>
      <c r="C11" s="2067">
        <v>340.20438521066205</v>
      </c>
      <c r="D11" s="2067">
        <v>338.26577815993119</v>
      </c>
      <c r="E11" s="2067">
        <v>283.19398108340499</v>
      </c>
      <c r="F11" s="2067">
        <v>270.9989681857266</v>
      </c>
      <c r="G11" s="2067">
        <v>343.89200343938091</v>
      </c>
      <c r="H11" s="2067">
        <v>205.01891659501288</v>
      </c>
      <c r="I11" s="2067">
        <v>172.64411006018915</v>
      </c>
      <c r="J11" s="2067">
        <v>195.498796216681</v>
      </c>
      <c r="K11" s="2067">
        <v>187.33800515907134</v>
      </c>
      <c r="L11" s="2067">
        <v>169.42089423903695</v>
      </c>
      <c r="M11" s="2067">
        <v>180.87463456577814</v>
      </c>
      <c r="N11" s="2067">
        <v>203.49011177987961</v>
      </c>
      <c r="O11" s="2067">
        <v>237.95657781599306</v>
      </c>
      <c r="P11" s="2067">
        <v>183.21023215821148</v>
      </c>
      <c r="Q11" s="2067">
        <v>195.19879621668099</v>
      </c>
      <c r="R11" s="2067">
        <v>204.15468615649183</v>
      </c>
      <c r="S11" s="2067">
        <v>183.01719690455715</v>
      </c>
      <c r="T11" s="2067">
        <v>182.35202063628546</v>
      </c>
      <c r="U11" s="2067">
        <v>184.89088564058471</v>
      </c>
      <c r="V11" s="2067">
        <v>173.13284608770419</v>
      </c>
      <c r="W11" s="2067">
        <v>160.71650902837484</v>
      </c>
      <c r="X11" s="2067">
        <v>159.57222699914016</v>
      </c>
    </row>
    <row r="12" spans="1:24" ht="11.25" customHeight="1">
      <c r="A12" s="2068" t="s">
        <v>4650</v>
      </c>
      <c r="B12" s="2069" t="s">
        <v>5752</v>
      </c>
      <c r="C12" s="2070">
        <v>0</v>
      </c>
      <c r="D12" s="2070">
        <v>0</v>
      </c>
      <c r="E12" s="2070">
        <v>0</v>
      </c>
      <c r="F12" s="2070">
        <v>0</v>
      </c>
      <c r="G12" s="2070">
        <v>0</v>
      </c>
      <c r="H12" s="2070">
        <v>0.74995700773860696</v>
      </c>
      <c r="I12" s="2070">
        <v>0.74995700773860696</v>
      </c>
      <c r="J12" s="2070">
        <v>0</v>
      </c>
      <c r="K12" s="2070">
        <v>0</v>
      </c>
      <c r="L12" s="2070">
        <v>0</v>
      </c>
      <c r="M12" s="2070">
        <v>0</v>
      </c>
      <c r="N12" s="2070">
        <v>3.8214961306964752</v>
      </c>
      <c r="O12" s="2070">
        <v>29.807996560619081</v>
      </c>
      <c r="P12" s="2070">
        <v>7.643078245915734</v>
      </c>
      <c r="Q12" s="2070">
        <v>0</v>
      </c>
      <c r="R12" s="2070">
        <v>0</v>
      </c>
      <c r="S12" s="2070">
        <v>0</v>
      </c>
      <c r="T12" s="2070">
        <v>0</v>
      </c>
      <c r="U12" s="2070">
        <v>0.17893379191745479</v>
      </c>
      <c r="V12" s="2070">
        <v>1.384350816852966E-2</v>
      </c>
      <c r="W12" s="2070">
        <v>1.3757523645743759E-2</v>
      </c>
      <c r="X12" s="2070">
        <v>2.7515047291487529E-2</v>
      </c>
    </row>
    <row r="13" spans="1:24" ht="11.25" customHeight="1">
      <c r="A13" s="2068" t="s">
        <v>4651</v>
      </c>
      <c r="B13" s="2069" t="s">
        <v>5753</v>
      </c>
      <c r="C13" s="2070">
        <v>248.3186586414445</v>
      </c>
      <c r="D13" s="2070">
        <v>251.32226999140153</v>
      </c>
      <c r="E13" s="2070">
        <v>183.62209802235597</v>
      </c>
      <c r="F13" s="2070">
        <v>147.76663800515905</v>
      </c>
      <c r="G13" s="2070">
        <v>169.34307824591573</v>
      </c>
      <c r="H13" s="2070">
        <v>125.52932072226997</v>
      </c>
      <c r="I13" s="2070">
        <v>103.0359415305245</v>
      </c>
      <c r="J13" s="2070">
        <v>120.10756663800515</v>
      </c>
      <c r="K13" s="2070">
        <v>107.34075666380049</v>
      </c>
      <c r="L13" s="2070">
        <v>92.498796216680987</v>
      </c>
      <c r="M13" s="2070">
        <v>96.697506448839192</v>
      </c>
      <c r="N13" s="2070">
        <v>90.940670679277716</v>
      </c>
      <c r="O13" s="2070">
        <v>81.776440240756671</v>
      </c>
      <c r="P13" s="2070">
        <v>76.060017196904539</v>
      </c>
      <c r="Q13" s="2070">
        <v>81.548151332760085</v>
      </c>
      <c r="R13" s="2070">
        <v>105.09922613929493</v>
      </c>
      <c r="S13" s="2070">
        <v>92.010146173688725</v>
      </c>
      <c r="T13" s="2070">
        <v>89.158297506448832</v>
      </c>
      <c r="U13" s="2070">
        <v>92.516509028374898</v>
      </c>
      <c r="V13" s="2070">
        <v>89.941530524505566</v>
      </c>
      <c r="W13" s="2070">
        <v>84.894926913155601</v>
      </c>
      <c r="X13" s="2070">
        <v>91.951332760103185</v>
      </c>
    </row>
    <row r="14" spans="1:24" ht="11.25" customHeight="1">
      <c r="A14" s="2068" t="s">
        <v>4652</v>
      </c>
      <c r="B14" s="2069" t="s">
        <v>5754</v>
      </c>
      <c r="C14" s="2070">
        <v>0</v>
      </c>
      <c r="D14" s="2070">
        <v>0</v>
      </c>
      <c r="E14" s="2070">
        <v>0</v>
      </c>
      <c r="F14" s="2070">
        <v>0</v>
      </c>
      <c r="G14" s="2070">
        <v>0</v>
      </c>
      <c r="H14" s="2070">
        <v>0</v>
      </c>
      <c r="I14" s="2070">
        <v>0</v>
      </c>
      <c r="J14" s="2070">
        <v>0</v>
      </c>
      <c r="K14" s="2070">
        <v>0</v>
      </c>
      <c r="L14" s="2070">
        <v>0</v>
      </c>
      <c r="M14" s="2070">
        <v>0</v>
      </c>
      <c r="N14" s="2070">
        <v>0</v>
      </c>
      <c r="O14" s="2070">
        <v>0</v>
      </c>
      <c r="P14" s="2070">
        <v>0</v>
      </c>
      <c r="Q14" s="2070">
        <v>0</v>
      </c>
      <c r="R14" s="2070">
        <v>0</v>
      </c>
      <c r="S14" s="2070">
        <v>0</v>
      </c>
      <c r="T14" s="2070">
        <v>0</v>
      </c>
      <c r="U14" s="2070">
        <v>0</v>
      </c>
      <c r="V14" s="2070">
        <v>0</v>
      </c>
      <c r="W14" s="2070">
        <v>0</v>
      </c>
      <c r="X14" s="2070">
        <v>0</v>
      </c>
    </row>
    <row r="15" spans="1:24" ht="11.25" customHeight="1">
      <c r="A15" s="2068" t="s">
        <v>4653</v>
      </c>
      <c r="B15" s="2069" t="s">
        <v>5755</v>
      </c>
      <c r="C15" s="2070">
        <v>0</v>
      </c>
      <c r="D15" s="2070">
        <v>0</v>
      </c>
      <c r="E15" s="2070">
        <v>0</v>
      </c>
      <c r="F15" s="2070">
        <v>0</v>
      </c>
      <c r="G15" s="2070">
        <v>0</v>
      </c>
      <c r="H15" s="2070">
        <v>0</v>
      </c>
      <c r="I15" s="2070">
        <v>0</v>
      </c>
      <c r="J15" s="2070">
        <v>0</v>
      </c>
      <c r="K15" s="2070">
        <v>0</v>
      </c>
      <c r="L15" s="2070">
        <v>0</v>
      </c>
      <c r="M15" s="2070">
        <v>0</v>
      </c>
      <c r="N15" s="2070">
        <v>0</v>
      </c>
      <c r="O15" s="2070">
        <v>0</v>
      </c>
      <c r="P15" s="2070">
        <v>0</v>
      </c>
      <c r="Q15" s="2070">
        <v>0</v>
      </c>
      <c r="R15" s="2070">
        <v>0</v>
      </c>
      <c r="S15" s="2070">
        <v>0</v>
      </c>
      <c r="T15" s="2070">
        <v>0</v>
      </c>
      <c r="U15" s="2070">
        <v>0</v>
      </c>
      <c r="V15" s="2070">
        <v>0</v>
      </c>
      <c r="W15" s="2070">
        <v>0</v>
      </c>
      <c r="X15" s="2070">
        <v>0</v>
      </c>
    </row>
    <row r="16" spans="1:24" ht="11.25" customHeight="1">
      <c r="A16" s="2068" t="s">
        <v>5756</v>
      </c>
      <c r="B16" s="2069" t="s">
        <v>5757</v>
      </c>
      <c r="C16" s="2070">
        <v>91.885726569217539</v>
      </c>
      <c r="D16" s="2070">
        <v>86.943508168529661</v>
      </c>
      <c r="E16" s="2070">
        <v>99.571883061049007</v>
      </c>
      <c r="F16" s="2070">
        <v>123.23233018056754</v>
      </c>
      <c r="G16" s="2070">
        <v>174.54892519346521</v>
      </c>
      <c r="H16" s="2070">
        <v>78.739638865004309</v>
      </c>
      <c r="I16" s="2070">
        <v>68.858211521926052</v>
      </c>
      <c r="J16" s="2070">
        <v>75.391229578675834</v>
      </c>
      <c r="K16" s="2070">
        <v>79.997248495270853</v>
      </c>
      <c r="L16" s="2070">
        <v>76.922098022355968</v>
      </c>
      <c r="M16" s="2070">
        <v>84.177128116938945</v>
      </c>
      <c r="N16" s="2070">
        <v>108.72794496990542</v>
      </c>
      <c r="O16" s="2070">
        <v>126.37214101461733</v>
      </c>
      <c r="P16" s="2070">
        <v>99.507136715391212</v>
      </c>
      <c r="Q16" s="2070">
        <v>113.65064488392089</v>
      </c>
      <c r="R16" s="2070">
        <v>99.055460017196907</v>
      </c>
      <c r="S16" s="2070">
        <v>91.007050730868428</v>
      </c>
      <c r="T16" s="2070">
        <v>93.193723129836627</v>
      </c>
      <c r="U16" s="2070">
        <v>92.195442820292357</v>
      </c>
      <c r="V16" s="2070">
        <v>83.177472055030094</v>
      </c>
      <c r="W16" s="2070">
        <v>75.807824591573507</v>
      </c>
      <c r="X16" s="2070">
        <v>67.593379191745484</v>
      </c>
    </row>
    <row r="17" spans="1:24" ht="11.25" customHeight="1">
      <c r="A17" s="2071" t="s">
        <v>5758</v>
      </c>
      <c r="B17" s="2072" t="s">
        <v>5759</v>
      </c>
      <c r="C17" s="2073">
        <v>51.827171109200343</v>
      </c>
      <c r="D17" s="2073">
        <v>46.711092003439376</v>
      </c>
      <c r="E17" s="2073">
        <v>45.550300945829754</v>
      </c>
      <c r="F17" s="2073">
        <v>4.5356835769561474</v>
      </c>
      <c r="G17" s="2073">
        <v>6.1478933791917445</v>
      </c>
      <c r="H17" s="2073">
        <v>0.73086844368013759</v>
      </c>
      <c r="I17" s="2073">
        <v>0.23645743766122101</v>
      </c>
      <c r="J17" s="2073">
        <v>2.149613069647463E-2</v>
      </c>
      <c r="K17" s="2073">
        <v>0.30094582975064488</v>
      </c>
      <c r="L17" s="2073">
        <v>2.149613069647463E-2</v>
      </c>
      <c r="M17" s="2073">
        <v>0</v>
      </c>
      <c r="N17" s="2073">
        <v>0</v>
      </c>
      <c r="O17" s="2073">
        <v>0</v>
      </c>
      <c r="P17" s="2073">
        <v>0</v>
      </c>
      <c r="Q17" s="2073">
        <v>0</v>
      </c>
      <c r="R17" s="2073">
        <v>0</v>
      </c>
      <c r="S17" s="2073">
        <v>0</v>
      </c>
      <c r="T17" s="2073">
        <v>0</v>
      </c>
      <c r="U17" s="2073">
        <v>0</v>
      </c>
      <c r="V17" s="2073">
        <v>0</v>
      </c>
      <c r="W17" s="2073">
        <v>0</v>
      </c>
      <c r="X17" s="2073">
        <v>0</v>
      </c>
    </row>
    <row r="18" spans="1:24" ht="11.25" customHeight="1">
      <c r="A18" s="2074" t="s">
        <v>4654</v>
      </c>
      <c r="B18" s="2069" t="s">
        <v>5760</v>
      </c>
      <c r="C18" s="2070">
        <v>4.6216680997420463</v>
      </c>
      <c r="D18" s="2070">
        <v>4.5141874462596725</v>
      </c>
      <c r="E18" s="2070">
        <v>5.0085984522785898</v>
      </c>
      <c r="F18" s="2070">
        <v>3.9767841788478067</v>
      </c>
      <c r="G18" s="2070">
        <v>5.8469475494410998</v>
      </c>
      <c r="H18" s="2070">
        <v>0.73086844368013759</v>
      </c>
      <c r="I18" s="2070">
        <v>0.23645743766122101</v>
      </c>
      <c r="J18" s="2070">
        <v>2.149613069647463E-2</v>
      </c>
      <c r="K18" s="2070">
        <v>0.30094582975064488</v>
      </c>
      <c r="L18" s="2070">
        <v>2.149613069647463E-2</v>
      </c>
      <c r="M18" s="2070">
        <v>0</v>
      </c>
      <c r="N18" s="2070">
        <v>0</v>
      </c>
      <c r="O18" s="2070">
        <v>0</v>
      </c>
      <c r="P18" s="2070">
        <v>0</v>
      </c>
      <c r="Q18" s="2070">
        <v>0</v>
      </c>
      <c r="R18" s="2070">
        <v>0</v>
      </c>
      <c r="S18" s="2070">
        <v>0</v>
      </c>
      <c r="T18" s="2070">
        <v>0</v>
      </c>
      <c r="U18" s="2070">
        <v>0</v>
      </c>
      <c r="V18" s="2070">
        <v>0</v>
      </c>
      <c r="W18" s="2070">
        <v>0</v>
      </c>
      <c r="X18" s="2070">
        <v>0</v>
      </c>
    </row>
    <row r="19" spans="1:24" ht="11.25" customHeight="1">
      <c r="A19" s="2074" t="s">
        <v>4655</v>
      </c>
      <c r="B19" s="2069" t="s">
        <v>5761</v>
      </c>
      <c r="C19" s="2070">
        <v>47.205503009458297</v>
      </c>
      <c r="D19" s="2070">
        <v>42.196904557179707</v>
      </c>
      <c r="E19" s="2070">
        <v>40.541702493551163</v>
      </c>
      <c r="F19" s="2070">
        <v>0.55889939810834044</v>
      </c>
      <c r="G19" s="2070">
        <v>0.30094582975064488</v>
      </c>
      <c r="H19" s="2070">
        <v>0</v>
      </c>
      <c r="I19" s="2070">
        <v>0</v>
      </c>
      <c r="J19" s="2070">
        <v>0</v>
      </c>
      <c r="K19" s="2070">
        <v>0</v>
      </c>
      <c r="L19" s="2070">
        <v>0</v>
      </c>
      <c r="M19" s="2070">
        <v>0</v>
      </c>
      <c r="N19" s="2070">
        <v>0</v>
      </c>
      <c r="O19" s="2070">
        <v>0</v>
      </c>
      <c r="P19" s="2070">
        <v>0</v>
      </c>
      <c r="Q19" s="2070">
        <v>0</v>
      </c>
      <c r="R19" s="2070">
        <v>0</v>
      </c>
      <c r="S19" s="2070">
        <v>0</v>
      </c>
      <c r="T19" s="2070">
        <v>0</v>
      </c>
      <c r="U19" s="2070">
        <v>0</v>
      </c>
      <c r="V19" s="2070">
        <v>0</v>
      </c>
      <c r="W19" s="2070">
        <v>0</v>
      </c>
      <c r="X19" s="2070">
        <v>0</v>
      </c>
    </row>
    <row r="20" spans="1:24" ht="11.25" customHeight="1">
      <c r="A20" s="2074" t="s">
        <v>4656</v>
      </c>
      <c r="B20" s="2069" t="s">
        <v>5762</v>
      </c>
      <c r="C20" s="2070">
        <v>0</v>
      </c>
      <c r="D20" s="2070">
        <v>0</v>
      </c>
      <c r="E20" s="2070">
        <v>0</v>
      </c>
      <c r="F20" s="2070">
        <v>0</v>
      </c>
      <c r="G20" s="2070">
        <v>0</v>
      </c>
      <c r="H20" s="2070">
        <v>0</v>
      </c>
      <c r="I20" s="2070">
        <v>0</v>
      </c>
      <c r="J20" s="2070">
        <v>0</v>
      </c>
      <c r="K20" s="2070">
        <v>0</v>
      </c>
      <c r="L20" s="2070">
        <v>0</v>
      </c>
      <c r="M20" s="2070">
        <v>0</v>
      </c>
      <c r="N20" s="2070">
        <v>0</v>
      </c>
      <c r="O20" s="2070">
        <v>0</v>
      </c>
      <c r="P20" s="2070">
        <v>0</v>
      </c>
      <c r="Q20" s="2070">
        <v>0</v>
      </c>
      <c r="R20" s="2070">
        <v>0</v>
      </c>
      <c r="S20" s="2070">
        <v>0</v>
      </c>
      <c r="T20" s="2070">
        <v>0</v>
      </c>
      <c r="U20" s="2070">
        <v>0</v>
      </c>
      <c r="V20" s="2070">
        <v>0</v>
      </c>
      <c r="W20" s="2070">
        <v>0</v>
      </c>
      <c r="X20" s="2070">
        <v>0</v>
      </c>
    </row>
    <row r="21" spans="1:24" ht="11.25" customHeight="1">
      <c r="A21" s="2074" t="s">
        <v>4615</v>
      </c>
      <c r="B21" s="2069" t="s">
        <v>5763</v>
      </c>
      <c r="C21" s="2070">
        <v>0</v>
      </c>
      <c r="D21" s="2070">
        <v>0</v>
      </c>
      <c r="E21" s="2070">
        <v>0</v>
      </c>
      <c r="F21" s="2070">
        <v>0</v>
      </c>
      <c r="G21" s="2070">
        <v>0</v>
      </c>
      <c r="H21" s="2070">
        <v>0</v>
      </c>
      <c r="I21" s="2070">
        <v>0</v>
      </c>
      <c r="J21" s="2070">
        <v>0</v>
      </c>
      <c r="K21" s="2070">
        <v>0</v>
      </c>
      <c r="L21" s="2070">
        <v>0</v>
      </c>
      <c r="M21" s="2070">
        <v>0</v>
      </c>
      <c r="N21" s="2070">
        <v>0</v>
      </c>
      <c r="O21" s="2070">
        <v>0</v>
      </c>
      <c r="P21" s="2070">
        <v>0</v>
      </c>
      <c r="Q21" s="2070">
        <v>0</v>
      </c>
      <c r="R21" s="2070">
        <v>0</v>
      </c>
      <c r="S21" s="2070">
        <v>0</v>
      </c>
      <c r="T21" s="2070">
        <v>0</v>
      </c>
      <c r="U21" s="2070">
        <v>0</v>
      </c>
      <c r="V21" s="2070">
        <v>0</v>
      </c>
      <c r="W21" s="2070">
        <v>0</v>
      </c>
      <c r="X21" s="2070">
        <v>0</v>
      </c>
    </row>
    <row r="22" spans="1:24" ht="11.25" customHeight="1">
      <c r="A22" s="2071" t="s">
        <v>4741</v>
      </c>
      <c r="B22" s="2072" t="s">
        <v>5764</v>
      </c>
      <c r="C22" s="2073">
        <v>22.054256233877904</v>
      </c>
      <c r="D22" s="2073">
        <v>21.761134995700772</v>
      </c>
      <c r="E22" s="2073">
        <v>16.940412725709372</v>
      </c>
      <c r="F22" s="2073">
        <v>13.417282889079967</v>
      </c>
      <c r="G22" s="2073">
        <v>11.969561478933795</v>
      </c>
      <c r="H22" s="2073">
        <v>12.364746345657782</v>
      </c>
      <c r="I22" s="2073">
        <v>11.307996560619086</v>
      </c>
      <c r="J22" s="2073">
        <v>11.267497850386931</v>
      </c>
      <c r="K22" s="2073">
        <v>10.530954428202918</v>
      </c>
      <c r="L22" s="2073">
        <v>9.9820292347377464</v>
      </c>
      <c r="M22" s="2073">
        <v>17.434737747205503</v>
      </c>
      <c r="N22" s="2073">
        <v>16.803955288048151</v>
      </c>
      <c r="O22" s="2073">
        <v>15.585640584694749</v>
      </c>
      <c r="P22" s="2073">
        <v>8.6147033533963882</v>
      </c>
      <c r="Q22" s="2073">
        <v>10.19011177987962</v>
      </c>
      <c r="R22" s="2073">
        <v>0.72046431642304376</v>
      </c>
      <c r="S22" s="2073">
        <v>0.73619948409286329</v>
      </c>
      <c r="T22" s="2073">
        <v>0.56612209802235602</v>
      </c>
      <c r="U22" s="2073">
        <v>0.66130696474634565</v>
      </c>
      <c r="V22" s="2073">
        <v>0.40447119518486663</v>
      </c>
      <c r="W22" s="2073">
        <v>0</v>
      </c>
      <c r="X22" s="2073">
        <v>0</v>
      </c>
    </row>
    <row r="23" spans="1:24" ht="11.25" customHeight="1">
      <c r="A23" s="2074" t="s">
        <v>559</v>
      </c>
      <c r="B23" s="2069" t="s">
        <v>5765</v>
      </c>
      <c r="C23" s="2070">
        <v>21.67214101461737</v>
      </c>
      <c r="D23" s="2070">
        <v>21.379019776440238</v>
      </c>
      <c r="E23" s="2070">
        <v>16.940412725709372</v>
      </c>
      <c r="F23" s="2070">
        <v>13.035167669819433</v>
      </c>
      <c r="G23" s="2070">
        <v>11.969561478933795</v>
      </c>
      <c r="H23" s="2070">
        <v>12.364746345657782</v>
      </c>
      <c r="I23" s="2070">
        <v>11.307996560619086</v>
      </c>
      <c r="J23" s="2070">
        <v>11.267497850386931</v>
      </c>
      <c r="K23" s="2070">
        <v>10.530954428202918</v>
      </c>
      <c r="L23" s="2070">
        <v>9.9820292347377464</v>
      </c>
      <c r="M23" s="2070">
        <v>17.117110920034392</v>
      </c>
      <c r="N23" s="2070">
        <v>16.48632846087704</v>
      </c>
      <c r="O23" s="2070">
        <v>15.26801375752364</v>
      </c>
      <c r="P23" s="2070">
        <v>8.297076526225279</v>
      </c>
      <c r="Q23" s="2070">
        <v>9.8724849527085112</v>
      </c>
      <c r="R23" s="2070">
        <v>0.40283748925193458</v>
      </c>
      <c r="S23" s="2070">
        <v>0.4185726569217541</v>
      </c>
      <c r="T23" s="2070">
        <v>0.37549441100601888</v>
      </c>
      <c r="U23" s="2070">
        <v>0.50214961306964745</v>
      </c>
      <c r="V23" s="2070">
        <v>0.27738607050730862</v>
      </c>
      <c r="W23" s="2070">
        <v>0</v>
      </c>
      <c r="X23" s="2070">
        <v>0</v>
      </c>
    </row>
    <row r="24" spans="1:24" ht="11.25" customHeight="1">
      <c r="A24" s="2074" t="s">
        <v>4657</v>
      </c>
      <c r="B24" s="2069" t="s">
        <v>5766</v>
      </c>
      <c r="C24" s="2070">
        <v>0.3821152192605331</v>
      </c>
      <c r="D24" s="2070">
        <v>0.3821152192605331</v>
      </c>
      <c r="E24" s="2070">
        <v>0</v>
      </c>
      <c r="F24" s="2070">
        <v>0.3821152192605331</v>
      </c>
      <c r="G24" s="2070">
        <v>0</v>
      </c>
      <c r="H24" s="2070">
        <v>0</v>
      </c>
      <c r="I24" s="2070">
        <v>0</v>
      </c>
      <c r="J24" s="2070">
        <v>0</v>
      </c>
      <c r="K24" s="2070">
        <v>0</v>
      </c>
      <c r="L24" s="2070">
        <v>0</v>
      </c>
      <c r="M24" s="2070">
        <v>0.31762682717110918</v>
      </c>
      <c r="N24" s="2070">
        <v>0.31762682717110918</v>
      </c>
      <c r="O24" s="2070">
        <v>0.31762682717110918</v>
      </c>
      <c r="P24" s="2070">
        <v>0.31762682717110918</v>
      </c>
      <c r="Q24" s="2070">
        <v>0.31762682717110918</v>
      </c>
      <c r="R24" s="2070">
        <v>0.31762682717110918</v>
      </c>
      <c r="S24" s="2070">
        <v>0.31762682717110918</v>
      </c>
      <c r="T24" s="2070">
        <v>0.19062768701633709</v>
      </c>
      <c r="U24" s="2070">
        <v>0.15915735167669817</v>
      </c>
      <c r="V24" s="2070">
        <v>0.127085124677558</v>
      </c>
      <c r="W24" s="2070">
        <v>0</v>
      </c>
      <c r="X24" s="2070">
        <v>0</v>
      </c>
    </row>
    <row r="25" spans="1:24" ht="11.25" customHeight="1">
      <c r="A25" s="2071" t="s">
        <v>4658</v>
      </c>
      <c r="B25" s="2072" t="s">
        <v>5767</v>
      </c>
      <c r="C25" s="2073">
        <v>0</v>
      </c>
      <c r="D25" s="2073">
        <v>0</v>
      </c>
      <c r="E25" s="2073">
        <v>0</v>
      </c>
      <c r="F25" s="2073">
        <v>0</v>
      </c>
      <c r="G25" s="2073">
        <v>0</v>
      </c>
      <c r="H25" s="2073">
        <v>0</v>
      </c>
      <c r="I25" s="2073">
        <v>0</v>
      </c>
      <c r="J25" s="2073">
        <v>0</v>
      </c>
      <c r="K25" s="2073">
        <v>0</v>
      </c>
      <c r="L25" s="2073">
        <v>0</v>
      </c>
      <c r="M25" s="2073">
        <v>0</v>
      </c>
      <c r="N25" s="2073">
        <v>0</v>
      </c>
      <c r="O25" s="2073">
        <v>0</v>
      </c>
      <c r="P25" s="2073">
        <v>0</v>
      </c>
      <c r="Q25" s="2073">
        <v>0</v>
      </c>
      <c r="R25" s="2073">
        <v>0</v>
      </c>
      <c r="S25" s="2073">
        <v>0</v>
      </c>
      <c r="T25" s="2073">
        <v>0</v>
      </c>
      <c r="U25" s="2073">
        <v>0</v>
      </c>
      <c r="V25" s="2073">
        <v>0</v>
      </c>
      <c r="W25" s="2073">
        <v>0</v>
      </c>
      <c r="X25" s="2073">
        <v>0</v>
      </c>
    </row>
    <row r="26" spans="1:24" ht="11.25" customHeight="1">
      <c r="A26" s="2071" t="s">
        <v>3872</v>
      </c>
      <c r="B26" s="2072" t="s">
        <v>5768</v>
      </c>
      <c r="C26" s="2073">
        <v>4938.4416245094599</v>
      </c>
      <c r="D26" s="2073">
        <v>5116.8768518866373</v>
      </c>
      <c r="E26" s="2073">
        <v>5132.9263121113709</v>
      </c>
      <c r="F26" s="2073">
        <v>4824.949074400979</v>
      </c>
      <c r="G26" s="2073">
        <v>4527.9911582292116</v>
      </c>
      <c r="H26" s="2073">
        <v>4015.5444824209972</v>
      </c>
      <c r="I26" s="2073">
        <v>3792.2950012555725</v>
      </c>
      <c r="J26" s="2073">
        <v>3602.2028133576437</v>
      </c>
      <c r="K26" s="2073">
        <v>3345.0441326750274</v>
      </c>
      <c r="L26" s="2073">
        <v>2634.1208600632726</v>
      </c>
      <c r="M26" s="2073">
        <v>2419.7550333047243</v>
      </c>
      <c r="N26" s="2073">
        <v>2077.0556804011371</v>
      </c>
      <c r="O26" s="2073">
        <v>1899.685640584695</v>
      </c>
      <c r="P26" s="2073">
        <v>1764.7116938950985</v>
      </c>
      <c r="Q26" s="2073">
        <v>1645.392777300086</v>
      </c>
      <c r="R26" s="2073">
        <v>1683.7177128116941</v>
      </c>
      <c r="S26" s="2073">
        <v>1767.1906276870161</v>
      </c>
      <c r="T26" s="2073">
        <v>1628.9766981943246</v>
      </c>
      <c r="U26" s="2073">
        <v>1527.6522785898544</v>
      </c>
      <c r="V26" s="2073">
        <v>1453.5391229578677</v>
      </c>
      <c r="W26" s="2073">
        <v>1408.38426483233</v>
      </c>
      <c r="X26" s="2073">
        <v>1424.4704213241614</v>
      </c>
    </row>
    <row r="27" spans="1:24" ht="11.25" customHeight="1">
      <c r="A27" s="2065" t="s">
        <v>5769</v>
      </c>
      <c r="B27" s="2066" t="s">
        <v>5770</v>
      </c>
      <c r="C27" s="2067">
        <v>1.010318142734308</v>
      </c>
      <c r="D27" s="2067">
        <v>2.096044711951849</v>
      </c>
      <c r="E27" s="2067">
        <v>3.1004299226139289</v>
      </c>
      <c r="F27" s="2067">
        <v>1.010318142734308</v>
      </c>
      <c r="G27" s="2067">
        <v>1.015993121238177</v>
      </c>
      <c r="H27" s="2067">
        <v>1.015993121238177</v>
      </c>
      <c r="I27" s="2067">
        <v>1.015993121238177</v>
      </c>
      <c r="J27" s="2067">
        <v>1.015993121238177</v>
      </c>
      <c r="K27" s="2067">
        <v>0</v>
      </c>
      <c r="L27" s="2067">
        <v>0</v>
      </c>
      <c r="M27" s="2067">
        <v>0</v>
      </c>
      <c r="N27" s="2067">
        <v>0</v>
      </c>
      <c r="O27" s="2067">
        <v>0</v>
      </c>
      <c r="P27" s="2067">
        <v>0</v>
      </c>
      <c r="Q27" s="2067">
        <v>0</v>
      </c>
      <c r="R27" s="2067">
        <v>0</v>
      </c>
      <c r="S27" s="2067">
        <v>0</v>
      </c>
      <c r="T27" s="2067">
        <v>0</v>
      </c>
      <c r="U27" s="2067">
        <v>0</v>
      </c>
      <c r="V27" s="2067">
        <v>0</v>
      </c>
      <c r="W27" s="2067">
        <v>0</v>
      </c>
      <c r="X27" s="2067">
        <v>0</v>
      </c>
    </row>
    <row r="28" spans="1:24" ht="11.25" customHeight="1">
      <c r="A28" s="2068" t="s">
        <v>4659</v>
      </c>
      <c r="B28" s="2069" t="s">
        <v>5771</v>
      </c>
      <c r="C28" s="2070">
        <v>1.010318142734308</v>
      </c>
      <c r="D28" s="2070">
        <v>2.096044711951849</v>
      </c>
      <c r="E28" s="2070">
        <v>3.1004299226139289</v>
      </c>
      <c r="F28" s="2070">
        <v>1.010318142734308</v>
      </c>
      <c r="G28" s="2070">
        <v>1.015993121238177</v>
      </c>
      <c r="H28" s="2070">
        <v>1.015993121238177</v>
      </c>
      <c r="I28" s="2070">
        <v>1.015993121238177</v>
      </c>
      <c r="J28" s="2070">
        <v>1.015993121238177</v>
      </c>
      <c r="K28" s="2070">
        <v>0</v>
      </c>
      <c r="L28" s="2070">
        <v>0</v>
      </c>
      <c r="M28" s="2070">
        <v>0</v>
      </c>
      <c r="N28" s="2070">
        <v>0</v>
      </c>
      <c r="O28" s="2070">
        <v>0</v>
      </c>
      <c r="P28" s="2070">
        <v>0</v>
      </c>
      <c r="Q28" s="2070">
        <v>0</v>
      </c>
      <c r="R28" s="2070">
        <v>0</v>
      </c>
      <c r="S28" s="2070">
        <v>0</v>
      </c>
      <c r="T28" s="2070">
        <v>0</v>
      </c>
      <c r="U28" s="2070">
        <v>0</v>
      </c>
      <c r="V28" s="2070">
        <v>0</v>
      </c>
      <c r="W28" s="2070">
        <v>0</v>
      </c>
      <c r="X28" s="2070">
        <v>0</v>
      </c>
    </row>
    <row r="29" spans="1:24" ht="11.25" customHeight="1">
      <c r="A29" s="2068" t="s">
        <v>4660</v>
      </c>
      <c r="B29" s="2069" t="s">
        <v>5772</v>
      </c>
      <c r="C29" s="2070">
        <v>0</v>
      </c>
      <c r="D29" s="2070">
        <v>0</v>
      </c>
      <c r="E29" s="2070">
        <v>0</v>
      </c>
      <c r="F29" s="2070">
        <v>0</v>
      </c>
      <c r="G29" s="2070">
        <v>0</v>
      </c>
      <c r="H29" s="2070">
        <v>0</v>
      </c>
      <c r="I29" s="2070">
        <v>0</v>
      </c>
      <c r="J29" s="2070">
        <v>0</v>
      </c>
      <c r="K29" s="2070">
        <v>0</v>
      </c>
      <c r="L29" s="2070">
        <v>0</v>
      </c>
      <c r="M29" s="2070">
        <v>0</v>
      </c>
      <c r="N29" s="2070">
        <v>0</v>
      </c>
      <c r="O29" s="2070">
        <v>0</v>
      </c>
      <c r="P29" s="2070">
        <v>0</v>
      </c>
      <c r="Q29" s="2070">
        <v>0</v>
      </c>
      <c r="R29" s="2070">
        <v>0</v>
      </c>
      <c r="S29" s="2070">
        <v>0</v>
      </c>
      <c r="T29" s="2070">
        <v>0</v>
      </c>
      <c r="U29" s="2070">
        <v>0</v>
      </c>
      <c r="V29" s="2070">
        <v>0</v>
      </c>
      <c r="W29" s="2070">
        <v>0</v>
      </c>
      <c r="X29" s="2070">
        <v>0</v>
      </c>
    </row>
    <row r="30" spans="1:24" ht="11.25" customHeight="1">
      <c r="A30" s="2068" t="s">
        <v>4661</v>
      </c>
      <c r="B30" s="2069" t="s">
        <v>5773</v>
      </c>
      <c r="C30" s="2070">
        <v>0</v>
      </c>
      <c r="D30" s="2070">
        <v>0</v>
      </c>
      <c r="E30" s="2070">
        <v>0</v>
      </c>
      <c r="F30" s="2070">
        <v>0</v>
      </c>
      <c r="G30" s="2070">
        <v>0</v>
      </c>
      <c r="H30" s="2070">
        <v>0</v>
      </c>
      <c r="I30" s="2070">
        <v>0</v>
      </c>
      <c r="J30" s="2070">
        <v>0</v>
      </c>
      <c r="K30" s="2070">
        <v>0</v>
      </c>
      <c r="L30" s="2070">
        <v>0</v>
      </c>
      <c r="M30" s="2070">
        <v>0</v>
      </c>
      <c r="N30" s="2070">
        <v>0</v>
      </c>
      <c r="O30" s="2070">
        <v>0</v>
      </c>
      <c r="P30" s="2070">
        <v>0</v>
      </c>
      <c r="Q30" s="2070">
        <v>0</v>
      </c>
      <c r="R30" s="2070">
        <v>0</v>
      </c>
      <c r="S30" s="2070">
        <v>0</v>
      </c>
      <c r="T30" s="2070">
        <v>0</v>
      </c>
      <c r="U30" s="2070">
        <v>0</v>
      </c>
      <c r="V30" s="2070">
        <v>0</v>
      </c>
      <c r="W30" s="2070">
        <v>0</v>
      </c>
      <c r="X30" s="2070">
        <v>0</v>
      </c>
    </row>
    <row r="31" spans="1:24" ht="11.25" customHeight="1">
      <c r="A31" s="2068" t="s">
        <v>5774</v>
      </c>
      <c r="B31" s="2069" t="s">
        <v>5775</v>
      </c>
      <c r="C31" s="2070">
        <v>0</v>
      </c>
      <c r="D31" s="2070">
        <v>0</v>
      </c>
      <c r="E31" s="2070">
        <v>0</v>
      </c>
      <c r="F31" s="2070">
        <v>0</v>
      </c>
      <c r="G31" s="2070">
        <v>0</v>
      </c>
      <c r="H31" s="2070">
        <v>0</v>
      </c>
      <c r="I31" s="2070">
        <v>0</v>
      </c>
      <c r="J31" s="2070">
        <v>0</v>
      </c>
      <c r="K31" s="2070">
        <v>0</v>
      </c>
      <c r="L31" s="2070">
        <v>0</v>
      </c>
      <c r="M31" s="2070">
        <v>0</v>
      </c>
      <c r="N31" s="2070">
        <v>0</v>
      </c>
      <c r="O31" s="2070">
        <v>0</v>
      </c>
      <c r="P31" s="2070">
        <v>0</v>
      </c>
      <c r="Q31" s="2070">
        <v>0</v>
      </c>
      <c r="R31" s="2070">
        <v>0</v>
      </c>
      <c r="S31" s="2070">
        <v>0</v>
      </c>
      <c r="T31" s="2070">
        <v>0</v>
      </c>
      <c r="U31" s="2070">
        <v>0</v>
      </c>
      <c r="V31" s="2070">
        <v>0</v>
      </c>
      <c r="W31" s="2070">
        <v>0</v>
      </c>
      <c r="X31" s="2070">
        <v>0</v>
      </c>
    </row>
    <row r="32" spans="1:24" ht="11.25" customHeight="1">
      <c r="A32" s="2068" t="s">
        <v>4662</v>
      </c>
      <c r="B32" s="2069" t="s">
        <v>5776</v>
      </c>
      <c r="C32" s="2070">
        <v>0</v>
      </c>
      <c r="D32" s="2070">
        <v>0</v>
      </c>
      <c r="E32" s="2070">
        <v>0</v>
      </c>
      <c r="F32" s="2070">
        <v>0</v>
      </c>
      <c r="G32" s="2070">
        <v>0</v>
      </c>
      <c r="H32" s="2070">
        <v>0</v>
      </c>
      <c r="I32" s="2070">
        <v>0</v>
      </c>
      <c r="J32" s="2070">
        <v>0</v>
      </c>
      <c r="K32" s="2070">
        <v>0</v>
      </c>
      <c r="L32" s="2070">
        <v>0</v>
      </c>
      <c r="M32" s="2070">
        <v>0</v>
      </c>
      <c r="N32" s="2070">
        <v>0</v>
      </c>
      <c r="O32" s="2070">
        <v>0</v>
      </c>
      <c r="P32" s="2070">
        <v>0</v>
      </c>
      <c r="Q32" s="2070">
        <v>0</v>
      </c>
      <c r="R32" s="2070">
        <v>0</v>
      </c>
      <c r="S32" s="2070">
        <v>0</v>
      </c>
      <c r="T32" s="2070">
        <v>0</v>
      </c>
      <c r="U32" s="2070">
        <v>0</v>
      </c>
      <c r="V32" s="2070">
        <v>0</v>
      </c>
      <c r="W32" s="2070">
        <v>0</v>
      </c>
      <c r="X32" s="2070">
        <v>0</v>
      </c>
    </row>
    <row r="33" spans="1:24" ht="11.25" customHeight="1">
      <c r="A33" s="2065" t="s">
        <v>5777</v>
      </c>
      <c r="B33" s="2066" t="s">
        <v>5778</v>
      </c>
      <c r="C33" s="2067">
        <v>4937.4313063667259</v>
      </c>
      <c r="D33" s="2067">
        <v>5114.7808071746858</v>
      </c>
      <c r="E33" s="2067">
        <v>5129.8258821887566</v>
      </c>
      <c r="F33" s="2067">
        <v>4823.9387562582451</v>
      </c>
      <c r="G33" s="2067">
        <v>4526.9751651079732</v>
      </c>
      <c r="H33" s="2067">
        <v>4014.5284892997588</v>
      </c>
      <c r="I33" s="2067">
        <v>3791.2790081343342</v>
      </c>
      <c r="J33" s="2067">
        <v>3601.1868202364053</v>
      </c>
      <c r="K33" s="2067">
        <v>3345.0441326750274</v>
      </c>
      <c r="L33" s="2067">
        <v>2634.1208600632726</v>
      </c>
      <c r="M33" s="2067">
        <v>2419.7550333047243</v>
      </c>
      <c r="N33" s="2067">
        <v>2077.0556804011371</v>
      </c>
      <c r="O33" s="2067">
        <v>1899.685640584695</v>
      </c>
      <c r="P33" s="2067">
        <v>1764.7116938950985</v>
      </c>
      <c r="Q33" s="2067">
        <v>1645.392777300086</v>
      </c>
      <c r="R33" s="2067">
        <v>1683.7177128116941</v>
      </c>
      <c r="S33" s="2067">
        <v>1767.1906276870161</v>
      </c>
      <c r="T33" s="2067">
        <v>1628.9766981943246</v>
      </c>
      <c r="U33" s="2067">
        <v>1527.6522785898544</v>
      </c>
      <c r="V33" s="2067">
        <v>1453.5391229578677</v>
      </c>
      <c r="W33" s="2067">
        <v>1408.38426483233</v>
      </c>
      <c r="X33" s="2067">
        <v>1424.4704213241614</v>
      </c>
    </row>
    <row r="34" spans="1:24" ht="11.25" customHeight="1">
      <c r="A34" s="2068" t="s">
        <v>4607</v>
      </c>
      <c r="B34" s="2069" t="s">
        <v>5779</v>
      </c>
      <c r="C34" s="2070">
        <v>0</v>
      </c>
      <c r="D34" s="2070">
        <v>0</v>
      </c>
      <c r="E34" s="2070">
        <v>0</v>
      </c>
      <c r="F34" s="2070">
        <v>0</v>
      </c>
      <c r="G34" s="2070">
        <v>0</v>
      </c>
      <c r="H34" s="2070">
        <v>0</v>
      </c>
      <c r="I34" s="2070">
        <v>0</v>
      </c>
      <c r="J34" s="2070">
        <v>0</v>
      </c>
      <c r="K34" s="2070">
        <v>0</v>
      </c>
      <c r="L34" s="2070">
        <v>0</v>
      </c>
      <c r="M34" s="2070">
        <v>0</v>
      </c>
      <c r="N34" s="2070">
        <v>0</v>
      </c>
      <c r="O34" s="2070">
        <v>0</v>
      </c>
      <c r="P34" s="2070">
        <v>0</v>
      </c>
      <c r="Q34" s="2070">
        <v>0</v>
      </c>
      <c r="R34" s="2070">
        <v>0</v>
      </c>
      <c r="S34" s="2070">
        <v>0</v>
      </c>
      <c r="T34" s="2070">
        <v>0</v>
      </c>
      <c r="U34" s="2070">
        <v>0</v>
      </c>
      <c r="V34" s="2070">
        <v>0</v>
      </c>
      <c r="W34" s="2070">
        <v>0</v>
      </c>
      <c r="X34" s="2070">
        <v>0</v>
      </c>
    </row>
    <row r="35" spans="1:24" ht="11.25" customHeight="1">
      <c r="A35" s="2068" t="s">
        <v>587</v>
      </c>
      <c r="B35" s="2069" t="s">
        <v>5780</v>
      </c>
      <c r="C35" s="2070">
        <v>0</v>
      </c>
      <c r="D35" s="2070">
        <v>0</v>
      </c>
      <c r="E35" s="2070">
        <v>0</v>
      </c>
      <c r="F35" s="2070">
        <v>0</v>
      </c>
      <c r="G35" s="2070">
        <v>0</v>
      </c>
      <c r="H35" s="2070">
        <v>0</v>
      </c>
      <c r="I35" s="2070">
        <v>0</v>
      </c>
      <c r="J35" s="2070">
        <v>0</v>
      </c>
      <c r="K35" s="2070">
        <v>0</v>
      </c>
      <c r="L35" s="2070">
        <v>0</v>
      </c>
      <c r="M35" s="2070">
        <v>0</v>
      </c>
      <c r="N35" s="2070">
        <v>0</v>
      </c>
      <c r="O35" s="2070">
        <v>0</v>
      </c>
      <c r="P35" s="2070">
        <v>0</v>
      </c>
      <c r="Q35" s="2070">
        <v>0</v>
      </c>
      <c r="R35" s="2070">
        <v>0</v>
      </c>
      <c r="S35" s="2070">
        <v>0</v>
      </c>
      <c r="T35" s="2070">
        <v>0</v>
      </c>
      <c r="U35" s="2070">
        <v>0</v>
      </c>
      <c r="V35" s="2070">
        <v>0</v>
      </c>
      <c r="W35" s="2070">
        <v>0</v>
      </c>
      <c r="X35" s="2070">
        <v>0</v>
      </c>
    </row>
    <row r="36" spans="1:24" ht="11.25" customHeight="1">
      <c r="A36" s="2068" t="s">
        <v>5781</v>
      </c>
      <c r="B36" s="2069" t="s">
        <v>5782</v>
      </c>
      <c r="C36" s="2070">
        <v>499.63800515907138</v>
      </c>
      <c r="D36" s="2070">
        <v>518.15331040412718</v>
      </c>
      <c r="E36" s="2070">
        <v>521.46534823731724</v>
      </c>
      <c r="F36" s="2070">
        <v>453.52106620808257</v>
      </c>
      <c r="G36" s="2070">
        <v>427.22484952708521</v>
      </c>
      <c r="H36" s="2070">
        <v>377.84823731728289</v>
      </c>
      <c r="I36" s="2070">
        <v>390.22880481513317</v>
      </c>
      <c r="J36" s="2070">
        <v>434.22209802235591</v>
      </c>
      <c r="K36" s="2070">
        <v>348.31169389509876</v>
      </c>
      <c r="L36" s="2070">
        <v>312.66852966466035</v>
      </c>
      <c r="M36" s="2070">
        <v>357.4760103181427</v>
      </c>
      <c r="N36" s="2070">
        <v>322.75356835769566</v>
      </c>
      <c r="O36" s="2070">
        <v>321.73559759243341</v>
      </c>
      <c r="P36" s="2070">
        <v>358.91625107480661</v>
      </c>
      <c r="Q36" s="2070">
        <v>373.73637145313847</v>
      </c>
      <c r="R36" s="2070">
        <v>365.53791917454862</v>
      </c>
      <c r="S36" s="2070">
        <v>432.15374032674123</v>
      </c>
      <c r="T36" s="2070">
        <v>432.81375752364573</v>
      </c>
      <c r="U36" s="2070">
        <v>452.19122957867597</v>
      </c>
      <c r="V36" s="2070">
        <v>458.5010318142734</v>
      </c>
      <c r="W36" s="2070">
        <v>449.29767841788481</v>
      </c>
      <c r="X36" s="2070">
        <v>461.30550300945822</v>
      </c>
    </row>
    <row r="37" spans="1:24" ht="11.25" customHeight="1">
      <c r="A37" s="2068" t="s">
        <v>5783</v>
      </c>
      <c r="B37" s="2069" t="s">
        <v>5784</v>
      </c>
      <c r="C37" s="2070">
        <v>9.5144453998280305</v>
      </c>
      <c r="D37" s="2070">
        <v>7.4066208082545133</v>
      </c>
      <c r="E37" s="2070">
        <v>6.348495270851247</v>
      </c>
      <c r="F37" s="2070">
        <v>10.580825451418745</v>
      </c>
      <c r="G37" s="2070">
        <v>5.2904557179707652</v>
      </c>
      <c r="H37" s="2070">
        <v>3.1509028374892507</v>
      </c>
      <c r="I37" s="2070">
        <v>4.1829750644883914</v>
      </c>
      <c r="J37" s="2070">
        <v>5.236027515047291</v>
      </c>
      <c r="K37" s="2070">
        <v>3.1674118658641444</v>
      </c>
      <c r="L37" s="2070">
        <v>5.2491831470335342</v>
      </c>
      <c r="M37" s="2070">
        <v>4.211521926053309</v>
      </c>
      <c r="N37" s="2070">
        <v>1.0519346517626826</v>
      </c>
      <c r="O37" s="2070">
        <v>1.0413585554600175</v>
      </c>
      <c r="P37" s="2070">
        <v>1.0413585554600175</v>
      </c>
      <c r="Q37" s="2070">
        <v>1.0576096302665519E-2</v>
      </c>
      <c r="R37" s="2070">
        <v>1.5821152192605329E-2</v>
      </c>
      <c r="S37" s="2070">
        <v>3.1222699914015473</v>
      </c>
      <c r="T37" s="2070">
        <v>4.1266552020636276</v>
      </c>
      <c r="U37" s="2070">
        <v>1.867755803955288</v>
      </c>
      <c r="V37" s="2070">
        <v>3.0813413585554605</v>
      </c>
      <c r="W37" s="2070">
        <v>1.2343938091143591</v>
      </c>
      <c r="X37" s="2070">
        <v>0.88650042992261391</v>
      </c>
    </row>
    <row r="38" spans="1:24" ht="11.25" customHeight="1">
      <c r="A38" s="2068" t="s">
        <v>4663</v>
      </c>
      <c r="B38" s="2069" t="s">
        <v>5785</v>
      </c>
      <c r="C38" s="2070">
        <v>0</v>
      </c>
      <c r="D38" s="2070">
        <v>0</v>
      </c>
      <c r="E38" s="2070">
        <v>0</v>
      </c>
      <c r="F38" s="2070">
        <v>0</v>
      </c>
      <c r="G38" s="2070">
        <v>0</v>
      </c>
      <c r="H38" s="2070">
        <v>0</v>
      </c>
      <c r="I38" s="2070">
        <v>0</v>
      </c>
      <c r="J38" s="2070">
        <v>0</v>
      </c>
      <c r="K38" s="2070">
        <v>0</v>
      </c>
      <c r="L38" s="2070">
        <v>0</v>
      </c>
      <c r="M38" s="2070">
        <v>0</v>
      </c>
      <c r="N38" s="2070">
        <v>0</v>
      </c>
      <c r="O38" s="2070">
        <v>0</v>
      </c>
      <c r="P38" s="2070">
        <v>0</v>
      </c>
      <c r="Q38" s="2070">
        <v>0</v>
      </c>
      <c r="R38" s="2070">
        <v>0</v>
      </c>
      <c r="S38" s="2070">
        <v>0</v>
      </c>
      <c r="T38" s="2070">
        <v>0</v>
      </c>
      <c r="U38" s="2070">
        <v>0</v>
      </c>
      <c r="V38" s="2070">
        <v>0</v>
      </c>
      <c r="W38" s="2070">
        <v>0</v>
      </c>
      <c r="X38" s="2070">
        <v>0</v>
      </c>
    </row>
    <row r="39" spans="1:24" ht="11.25" customHeight="1">
      <c r="A39" s="2068" t="s">
        <v>5786</v>
      </c>
      <c r="B39" s="2069" t="s">
        <v>5787</v>
      </c>
      <c r="C39" s="2070">
        <v>0</v>
      </c>
      <c r="D39" s="2070">
        <v>0</v>
      </c>
      <c r="E39" s="2070">
        <v>0</v>
      </c>
      <c r="F39" s="2070">
        <v>0</v>
      </c>
      <c r="G39" s="2070">
        <v>0</v>
      </c>
      <c r="H39" s="2070">
        <v>0</v>
      </c>
      <c r="I39" s="2070">
        <v>0</v>
      </c>
      <c r="J39" s="2070">
        <v>0</v>
      </c>
      <c r="K39" s="2070">
        <v>0</v>
      </c>
      <c r="L39" s="2070">
        <v>0</v>
      </c>
      <c r="M39" s="2070">
        <v>0</v>
      </c>
      <c r="N39" s="2070">
        <v>0</v>
      </c>
      <c r="O39" s="2070">
        <v>0</v>
      </c>
      <c r="P39" s="2070">
        <v>0</v>
      </c>
      <c r="Q39" s="2070">
        <v>0</v>
      </c>
      <c r="R39" s="2070">
        <v>0</v>
      </c>
      <c r="S39" s="2070">
        <v>0</v>
      </c>
      <c r="T39" s="2070">
        <v>0</v>
      </c>
      <c r="U39" s="2070">
        <v>0</v>
      </c>
      <c r="V39" s="2070">
        <v>0</v>
      </c>
      <c r="W39" s="2070">
        <v>0</v>
      </c>
      <c r="X39" s="2070">
        <v>0</v>
      </c>
    </row>
    <row r="40" spans="1:24" ht="11.25" customHeight="1">
      <c r="A40" s="2068" t="s">
        <v>5788</v>
      </c>
      <c r="B40" s="2069" t="s">
        <v>5789</v>
      </c>
      <c r="C40" s="2070">
        <v>0</v>
      </c>
      <c r="D40" s="2070">
        <v>0</v>
      </c>
      <c r="E40" s="2070">
        <v>0</v>
      </c>
      <c r="F40" s="2070">
        <v>0</v>
      </c>
      <c r="G40" s="2070">
        <v>0</v>
      </c>
      <c r="H40" s="2070">
        <v>0</v>
      </c>
      <c r="I40" s="2070">
        <v>0</v>
      </c>
      <c r="J40" s="2070">
        <v>0</v>
      </c>
      <c r="K40" s="2070">
        <v>0</v>
      </c>
      <c r="L40" s="2070">
        <v>0</v>
      </c>
      <c r="M40" s="2070">
        <v>0</v>
      </c>
      <c r="N40" s="2070">
        <v>0</v>
      </c>
      <c r="O40" s="2070">
        <v>0</v>
      </c>
      <c r="P40" s="2070">
        <v>0</v>
      </c>
      <c r="Q40" s="2070">
        <v>0</v>
      </c>
      <c r="R40" s="2070">
        <v>0</v>
      </c>
      <c r="S40" s="2070">
        <v>0</v>
      </c>
      <c r="T40" s="2070">
        <v>0</v>
      </c>
      <c r="U40" s="2070">
        <v>0</v>
      </c>
      <c r="V40" s="2070">
        <v>0</v>
      </c>
      <c r="W40" s="2070">
        <v>0</v>
      </c>
      <c r="X40" s="2070">
        <v>2.0550300945829748E-2</v>
      </c>
    </row>
    <row r="41" spans="1:24" ht="11.25" customHeight="1">
      <c r="A41" s="2068" t="s">
        <v>4664</v>
      </c>
      <c r="B41" s="2069" t="s">
        <v>5790</v>
      </c>
      <c r="C41" s="2070">
        <v>13.511092003439384</v>
      </c>
      <c r="D41" s="2070">
        <v>12.977472055030089</v>
      </c>
      <c r="E41" s="2070">
        <v>10.596044711951848</v>
      </c>
      <c r="F41" s="2070">
        <v>7.7659501289767832</v>
      </c>
      <c r="G41" s="2070">
        <v>4.9254514187446254</v>
      </c>
      <c r="H41" s="2070">
        <v>12.973000859845227</v>
      </c>
      <c r="I41" s="2070">
        <v>14.05116079105761</v>
      </c>
      <c r="J41" s="2070">
        <v>10.746001719690449</v>
      </c>
      <c r="K41" s="2070">
        <v>8.3403267411865869</v>
      </c>
      <c r="L41" s="2070">
        <v>2.585382631126397</v>
      </c>
      <c r="M41" s="2070">
        <v>1.913843508168529</v>
      </c>
      <c r="N41" s="2070">
        <v>1.4873602751504731</v>
      </c>
      <c r="O41" s="2070">
        <v>1.8114359415305239</v>
      </c>
      <c r="P41" s="2070">
        <v>0.84763542562338778</v>
      </c>
      <c r="Q41" s="2070">
        <v>1.604557179707653</v>
      </c>
      <c r="R41" s="2070">
        <v>1.680481513327601</v>
      </c>
      <c r="S41" s="2070">
        <v>1.3005159071367149</v>
      </c>
      <c r="T41" s="2070">
        <v>1.5693895098882196</v>
      </c>
      <c r="U41" s="2070">
        <v>1.6512467755803955</v>
      </c>
      <c r="V41" s="2070">
        <v>1.6270851246775577</v>
      </c>
      <c r="W41" s="2070">
        <v>1.238950988822012</v>
      </c>
      <c r="X41" s="2070">
        <v>1.1283748925193464</v>
      </c>
    </row>
    <row r="42" spans="1:24" ht="11.25" customHeight="1">
      <c r="A42" s="2068" t="s">
        <v>4611</v>
      </c>
      <c r="B42" s="2069" t="s">
        <v>5791</v>
      </c>
      <c r="C42" s="2070">
        <v>3.188564058469475</v>
      </c>
      <c r="D42" s="2070">
        <v>2.1257093723129841</v>
      </c>
      <c r="E42" s="2070">
        <v>3.188564058469475</v>
      </c>
      <c r="F42" s="2070">
        <v>0</v>
      </c>
      <c r="G42" s="2070">
        <v>0</v>
      </c>
      <c r="H42" s="2070">
        <v>1.0496990541702489</v>
      </c>
      <c r="I42" s="2070">
        <v>2.099484092863285</v>
      </c>
      <c r="J42" s="2070">
        <v>0</v>
      </c>
      <c r="K42" s="2070">
        <v>0</v>
      </c>
      <c r="L42" s="2070">
        <v>0</v>
      </c>
      <c r="M42" s="2070">
        <v>1.0496990541702489</v>
      </c>
      <c r="N42" s="2070">
        <v>0</v>
      </c>
      <c r="O42" s="2070">
        <v>0</v>
      </c>
      <c r="P42" s="2070">
        <v>0</v>
      </c>
      <c r="Q42" s="2070">
        <v>0</v>
      </c>
      <c r="R42" s="2070">
        <v>0</v>
      </c>
      <c r="S42" s="2070">
        <v>0</v>
      </c>
      <c r="T42" s="2070">
        <v>0</v>
      </c>
      <c r="U42" s="2070">
        <v>0</v>
      </c>
      <c r="V42" s="2070">
        <v>0</v>
      </c>
      <c r="W42" s="2070">
        <v>0</v>
      </c>
      <c r="X42" s="2070">
        <v>0</v>
      </c>
    </row>
    <row r="43" spans="1:24" ht="11.25" customHeight="1">
      <c r="A43" s="2068" t="s">
        <v>5792</v>
      </c>
      <c r="B43" s="2069" t="s">
        <v>5793</v>
      </c>
      <c r="C43" s="2070">
        <v>1609.9804895137593</v>
      </c>
      <c r="D43" s="2070">
        <v>1672.1909533483754</v>
      </c>
      <c r="E43" s="2070">
        <v>1616.6139303400892</v>
      </c>
      <c r="F43" s="2070">
        <v>1478.6055662324507</v>
      </c>
      <c r="G43" s="2070">
        <v>1489.8088710409043</v>
      </c>
      <c r="H43" s="2070">
        <v>1419.6617653100775</v>
      </c>
      <c r="I43" s="2070">
        <v>1151.2743649701042</v>
      </c>
      <c r="J43" s="2070">
        <v>1244.5737505889415</v>
      </c>
      <c r="K43" s="2070">
        <v>1168.3426709381397</v>
      </c>
      <c r="L43" s="2070">
        <v>949.1853484553618</v>
      </c>
      <c r="M43" s="2070">
        <v>961.64067388941976</v>
      </c>
      <c r="N43" s="2070">
        <v>835.05817395229815</v>
      </c>
      <c r="O43" s="2070">
        <v>784.53766122098011</v>
      </c>
      <c r="P43" s="2070">
        <v>747.07050730868423</v>
      </c>
      <c r="Q43" s="2070">
        <v>695.9135855546001</v>
      </c>
      <c r="R43" s="2070">
        <v>711.6602751504729</v>
      </c>
      <c r="S43" s="2070">
        <v>701.5957007738607</v>
      </c>
      <c r="T43" s="2070">
        <v>664.00963026655188</v>
      </c>
      <c r="U43" s="2070">
        <v>631.22175408426506</v>
      </c>
      <c r="V43" s="2070">
        <v>598.06113499570085</v>
      </c>
      <c r="W43" s="2070">
        <v>607.98478073946683</v>
      </c>
      <c r="X43" s="2070">
        <v>601.44428202923461</v>
      </c>
    </row>
    <row r="44" spans="1:24" ht="11.25" customHeight="1">
      <c r="A44" s="2068" t="s">
        <v>4665</v>
      </c>
      <c r="B44" s="2069" t="s">
        <v>5794</v>
      </c>
      <c r="C44" s="2070">
        <v>2795.7814273430781</v>
      </c>
      <c r="D44" s="2070">
        <v>2890.2877042132413</v>
      </c>
      <c r="E44" s="2070">
        <v>2950.3219260533101</v>
      </c>
      <c r="F44" s="2070">
        <v>2868.280137575236</v>
      </c>
      <c r="G44" s="2070">
        <v>2593.7756663800515</v>
      </c>
      <c r="H44" s="2070">
        <v>2194.5036113499564</v>
      </c>
      <c r="I44" s="2070">
        <v>2223.9022355975922</v>
      </c>
      <c r="J44" s="2070">
        <v>1899.8716251074809</v>
      </c>
      <c r="K44" s="2070">
        <v>1813.2611349957008</v>
      </c>
      <c r="L44" s="2070">
        <v>1363.4901977644024</v>
      </c>
      <c r="M44" s="2070">
        <v>1090.5815133276005</v>
      </c>
      <c r="N44" s="2070">
        <v>912.56534823731727</v>
      </c>
      <c r="O44" s="2070">
        <v>788.0383490971625</v>
      </c>
      <c r="P44" s="2070">
        <v>654.17833190025783</v>
      </c>
      <c r="Q44" s="2070">
        <v>571.47343078245922</v>
      </c>
      <c r="R44" s="2070">
        <v>602.09062768701642</v>
      </c>
      <c r="S44" s="2070">
        <v>628.23955288048148</v>
      </c>
      <c r="T44" s="2070">
        <v>525.7987102321581</v>
      </c>
      <c r="U44" s="2070">
        <v>439.80197764402413</v>
      </c>
      <c r="V44" s="2070">
        <v>391.75262252794499</v>
      </c>
      <c r="W44" s="2070">
        <v>348.19819432502135</v>
      </c>
      <c r="X44" s="2070">
        <v>359.39329320722271</v>
      </c>
    </row>
    <row r="45" spans="1:24" ht="11.25" customHeight="1">
      <c r="A45" s="2068" t="s">
        <v>5795</v>
      </c>
      <c r="B45" s="2069" t="s">
        <v>5796</v>
      </c>
      <c r="C45" s="2070">
        <v>0</v>
      </c>
      <c r="D45" s="2070">
        <v>0</v>
      </c>
      <c r="E45" s="2070">
        <v>0</v>
      </c>
      <c r="F45" s="2070">
        <v>0</v>
      </c>
      <c r="G45" s="2070">
        <v>0</v>
      </c>
      <c r="H45" s="2070">
        <v>0</v>
      </c>
      <c r="I45" s="2070">
        <v>0</v>
      </c>
      <c r="J45" s="2070">
        <v>0</v>
      </c>
      <c r="K45" s="2070">
        <v>0</v>
      </c>
      <c r="L45" s="2070">
        <v>0</v>
      </c>
      <c r="M45" s="2070">
        <v>0</v>
      </c>
      <c r="N45" s="2070">
        <v>0</v>
      </c>
      <c r="O45" s="2070">
        <v>0</v>
      </c>
      <c r="P45" s="2070">
        <v>0</v>
      </c>
      <c r="Q45" s="2070">
        <v>0</v>
      </c>
      <c r="R45" s="2070">
        <v>0</v>
      </c>
      <c r="S45" s="2070">
        <v>7.3946689595872734E-3</v>
      </c>
      <c r="T45" s="2070">
        <v>2.106620808254514E-2</v>
      </c>
      <c r="U45" s="2070">
        <v>7.3946689595872734E-3</v>
      </c>
      <c r="V45" s="2070">
        <v>7.3946689595872734E-3</v>
      </c>
      <c r="W45" s="2070">
        <v>5.2450558899398104E-3</v>
      </c>
      <c r="X45" s="2070">
        <v>6.3628546861564913E-3</v>
      </c>
    </row>
    <row r="46" spans="1:24" ht="11.25" customHeight="1">
      <c r="A46" s="2068" t="s">
        <v>595</v>
      </c>
      <c r="B46" s="2069" t="s">
        <v>5797</v>
      </c>
      <c r="C46" s="2070">
        <v>0</v>
      </c>
      <c r="D46" s="2070">
        <v>0</v>
      </c>
      <c r="E46" s="2070">
        <v>0</v>
      </c>
      <c r="F46" s="2070">
        <v>0</v>
      </c>
      <c r="G46" s="2070">
        <v>0</v>
      </c>
      <c r="H46" s="2070">
        <v>0</v>
      </c>
      <c r="I46" s="2070">
        <v>0</v>
      </c>
      <c r="J46" s="2070">
        <v>0</v>
      </c>
      <c r="K46" s="2070">
        <v>0</v>
      </c>
      <c r="L46" s="2070">
        <v>0</v>
      </c>
      <c r="M46" s="2070">
        <v>0</v>
      </c>
      <c r="N46" s="2070">
        <v>0</v>
      </c>
      <c r="O46" s="2070">
        <v>0</v>
      </c>
      <c r="P46" s="2070">
        <v>0</v>
      </c>
      <c r="Q46" s="2070">
        <v>0</v>
      </c>
      <c r="R46" s="2070">
        <v>0</v>
      </c>
      <c r="S46" s="2070">
        <v>0</v>
      </c>
      <c r="T46" s="2070">
        <v>0</v>
      </c>
      <c r="U46" s="2070">
        <v>0</v>
      </c>
      <c r="V46" s="2070">
        <v>0</v>
      </c>
      <c r="W46" s="2070">
        <v>0</v>
      </c>
      <c r="X46" s="2070">
        <v>0</v>
      </c>
    </row>
    <row r="47" spans="1:24" ht="11.25" customHeight="1">
      <c r="A47" s="2068" t="s">
        <v>4614</v>
      </c>
      <c r="B47" s="2069" t="s">
        <v>5798</v>
      </c>
      <c r="C47" s="2070">
        <v>0</v>
      </c>
      <c r="D47" s="2070">
        <v>0</v>
      </c>
      <c r="E47" s="2070">
        <v>0</v>
      </c>
      <c r="F47" s="2070">
        <v>0</v>
      </c>
      <c r="G47" s="2070">
        <v>0</v>
      </c>
      <c r="H47" s="2070">
        <v>0</v>
      </c>
      <c r="I47" s="2070">
        <v>0</v>
      </c>
      <c r="J47" s="2070">
        <v>0</v>
      </c>
      <c r="K47" s="2070">
        <v>0</v>
      </c>
      <c r="L47" s="2070">
        <v>0</v>
      </c>
      <c r="M47" s="2070">
        <v>0</v>
      </c>
      <c r="N47" s="2070">
        <v>0</v>
      </c>
      <c r="O47" s="2070">
        <v>0</v>
      </c>
      <c r="P47" s="2070">
        <v>0</v>
      </c>
      <c r="Q47" s="2070">
        <v>0</v>
      </c>
      <c r="R47" s="2070">
        <v>0</v>
      </c>
      <c r="S47" s="2070">
        <v>0</v>
      </c>
      <c r="T47" s="2070">
        <v>0</v>
      </c>
      <c r="U47" s="2070">
        <v>0</v>
      </c>
      <c r="V47" s="2070">
        <v>0</v>
      </c>
      <c r="W47" s="2070">
        <v>0</v>
      </c>
      <c r="X47" s="2070">
        <v>0</v>
      </c>
    </row>
    <row r="48" spans="1:24" ht="11.25" customHeight="1">
      <c r="A48" s="2068" t="s">
        <v>4667</v>
      </c>
      <c r="B48" s="2069" t="s">
        <v>5799</v>
      </c>
      <c r="C48" s="2070">
        <v>0</v>
      </c>
      <c r="D48" s="2070">
        <v>3.8812553740326741</v>
      </c>
      <c r="E48" s="2070">
        <v>3.8812553740326741</v>
      </c>
      <c r="F48" s="2070">
        <v>1.5286328460877039</v>
      </c>
      <c r="G48" s="2070">
        <v>1.5286328460877039</v>
      </c>
      <c r="H48" s="2070">
        <v>0</v>
      </c>
      <c r="I48" s="2070">
        <v>0</v>
      </c>
      <c r="J48" s="2070">
        <v>0</v>
      </c>
      <c r="K48" s="2070">
        <v>0</v>
      </c>
      <c r="L48" s="2070">
        <v>0</v>
      </c>
      <c r="M48" s="2070">
        <v>0</v>
      </c>
      <c r="N48" s="2070">
        <v>0</v>
      </c>
      <c r="O48" s="2070">
        <v>0</v>
      </c>
      <c r="P48" s="2070">
        <v>0</v>
      </c>
      <c r="Q48" s="2070">
        <v>3.095442820292347E-3</v>
      </c>
      <c r="R48" s="2070">
        <v>0.15055889939810829</v>
      </c>
      <c r="S48" s="2070">
        <v>7.3344797936371442E-2</v>
      </c>
      <c r="T48" s="2070">
        <v>4.5055889939810842E-2</v>
      </c>
      <c r="U48" s="2070">
        <v>1.6079105760963028E-2</v>
      </c>
      <c r="V48" s="2070">
        <v>1.5305245055889941E-2</v>
      </c>
      <c r="W48" s="2070">
        <v>2.5193465176268269E-2</v>
      </c>
      <c r="X48" s="2070">
        <v>0</v>
      </c>
    </row>
    <row r="49" spans="1:24" ht="11.25" customHeight="1">
      <c r="A49" s="2068" t="s">
        <v>4666</v>
      </c>
      <c r="B49" s="2069" t="s">
        <v>5800</v>
      </c>
      <c r="C49" s="2070">
        <v>0</v>
      </c>
      <c r="D49" s="2070">
        <v>0</v>
      </c>
      <c r="E49" s="2070">
        <v>0</v>
      </c>
      <c r="F49" s="2070">
        <v>0</v>
      </c>
      <c r="G49" s="2070">
        <v>0</v>
      </c>
      <c r="H49" s="2070">
        <v>0</v>
      </c>
      <c r="I49" s="2070">
        <v>0</v>
      </c>
      <c r="J49" s="2070">
        <v>0</v>
      </c>
      <c r="K49" s="2070">
        <v>0</v>
      </c>
      <c r="L49" s="2070">
        <v>0</v>
      </c>
      <c r="M49" s="2070">
        <v>0</v>
      </c>
      <c r="N49" s="2070">
        <v>0</v>
      </c>
      <c r="O49" s="2070">
        <v>0</v>
      </c>
      <c r="P49" s="2070">
        <v>0</v>
      </c>
      <c r="Q49" s="2070">
        <v>0</v>
      </c>
      <c r="R49" s="2070">
        <v>0</v>
      </c>
      <c r="S49" s="2070">
        <v>0</v>
      </c>
      <c r="T49" s="2070">
        <v>0</v>
      </c>
      <c r="U49" s="2070">
        <v>0</v>
      </c>
      <c r="V49" s="2070">
        <v>0</v>
      </c>
      <c r="W49" s="2070">
        <v>0</v>
      </c>
      <c r="X49" s="2070">
        <v>0</v>
      </c>
    </row>
    <row r="50" spans="1:24" ht="11.25" customHeight="1">
      <c r="A50" s="2068" t="s">
        <v>4668</v>
      </c>
      <c r="B50" s="2069" t="s">
        <v>5801</v>
      </c>
      <c r="C50" s="2070">
        <v>5.8172828890799657</v>
      </c>
      <c r="D50" s="2070">
        <v>7.7577815993121231</v>
      </c>
      <c r="E50" s="2070">
        <v>17.410318142734305</v>
      </c>
      <c r="F50" s="2070">
        <v>3.656577815993121</v>
      </c>
      <c r="G50" s="2070">
        <v>4.4212381771281164</v>
      </c>
      <c r="H50" s="2070">
        <v>5.3412725709372308</v>
      </c>
      <c r="I50" s="2070">
        <v>5.5399828030954428</v>
      </c>
      <c r="J50" s="2070">
        <v>6.53731728288908</v>
      </c>
      <c r="K50" s="2070">
        <v>3.6208942390369732</v>
      </c>
      <c r="L50" s="2070">
        <v>0.9422184006878761</v>
      </c>
      <c r="M50" s="2070">
        <v>2.8817712811693896</v>
      </c>
      <c r="N50" s="2070">
        <v>4.1392949269131556</v>
      </c>
      <c r="O50" s="2070">
        <v>2.5212381771281165</v>
      </c>
      <c r="P50" s="2070">
        <v>2.6576096302665513</v>
      </c>
      <c r="Q50" s="2070">
        <v>2.6511607910576092</v>
      </c>
      <c r="R50" s="2070">
        <v>2.5820292347377474</v>
      </c>
      <c r="S50" s="2070">
        <v>0.69810834049871018</v>
      </c>
      <c r="T50" s="2070">
        <v>0.59243336199484087</v>
      </c>
      <c r="U50" s="2070">
        <v>0.89484092863284603</v>
      </c>
      <c r="V50" s="2070">
        <v>0.49320722269991402</v>
      </c>
      <c r="W50" s="2070">
        <v>0.3998280309544282</v>
      </c>
      <c r="X50" s="2070">
        <v>0.28555460017196904</v>
      </c>
    </row>
    <row r="51" spans="1:24" ht="11.25" customHeight="1">
      <c r="A51" s="2071" t="s">
        <v>3875</v>
      </c>
      <c r="B51" s="2072" t="s">
        <v>5802</v>
      </c>
      <c r="C51" s="2073">
        <v>11424.288650042992</v>
      </c>
      <c r="D51" s="2073">
        <v>11784.755803955286</v>
      </c>
      <c r="E51" s="2073">
        <v>12458.154342218399</v>
      </c>
      <c r="F51" s="2073">
        <v>12850.122441960448</v>
      </c>
      <c r="G51" s="2073">
        <v>12425.805331040414</v>
      </c>
      <c r="H51" s="2073">
        <v>11535.477472055027</v>
      </c>
      <c r="I51" s="2073">
        <v>10647.873172828889</v>
      </c>
      <c r="J51" s="2073">
        <v>10781.696732588134</v>
      </c>
      <c r="K51" s="2073">
        <v>10758.981083404988</v>
      </c>
      <c r="L51" s="2073">
        <v>10701.419432502147</v>
      </c>
      <c r="M51" s="2073">
        <v>11527.233361994839</v>
      </c>
      <c r="N51" s="2073">
        <v>11657.748237317281</v>
      </c>
      <c r="O51" s="2073">
        <v>11804.893035253654</v>
      </c>
      <c r="P51" s="2073">
        <v>12018.993723129837</v>
      </c>
      <c r="Q51" s="2073">
        <v>12077.985296646604</v>
      </c>
      <c r="R51" s="2073">
        <v>12103.828546861565</v>
      </c>
      <c r="S51" s="2073">
        <v>12487.761908856406</v>
      </c>
      <c r="T51" s="2073">
        <v>12640.762166809975</v>
      </c>
      <c r="U51" s="2073">
        <v>12828.569475494411</v>
      </c>
      <c r="V51" s="2073">
        <v>12585.117626827168</v>
      </c>
      <c r="W51" s="2073">
        <v>12361.133190025796</v>
      </c>
      <c r="X51" s="2073">
        <v>13687.47042132416</v>
      </c>
    </row>
    <row r="52" spans="1:24" ht="11.25" customHeight="1">
      <c r="A52" s="2071" t="s">
        <v>5803</v>
      </c>
      <c r="B52" s="2072" t="s">
        <v>5804</v>
      </c>
      <c r="C52" s="2073">
        <v>747.78799792877987</v>
      </c>
      <c r="D52" s="2073">
        <v>735.51452810564774</v>
      </c>
      <c r="E52" s="2073">
        <v>790.4047996924611</v>
      </c>
      <c r="F52" s="2073">
        <v>828.44486862538668</v>
      </c>
      <c r="G52" s="2073">
        <v>857.8377966546808</v>
      </c>
      <c r="H52" s="2073">
        <v>841.11964182984275</v>
      </c>
      <c r="I52" s="2073">
        <v>899.72347530791876</v>
      </c>
      <c r="J52" s="2073">
        <v>913.3431586837504</v>
      </c>
      <c r="K52" s="2073">
        <v>987.53946621332409</v>
      </c>
      <c r="L52" s="2073">
        <v>938.45818158928307</v>
      </c>
      <c r="M52" s="2073">
        <v>988.7505062582793</v>
      </c>
      <c r="N52" s="2073">
        <v>961.52702572219937</v>
      </c>
      <c r="O52" s="2073">
        <v>949.35599953675728</v>
      </c>
      <c r="P52" s="2073">
        <v>896.01528968816535</v>
      </c>
      <c r="Q52" s="2073">
        <v>1010.6686282116908</v>
      </c>
      <c r="R52" s="2073">
        <v>1039.0131002897594</v>
      </c>
      <c r="S52" s="2073">
        <v>1279.6551256740047</v>
      </c>
      <c r="T52" s="2073">
        <v>1272.1760029015059</v>
      </c>
      <c r="U52" s="2073">
        <v>1394.8376544524378</v>
      </c>
      <c r="V52" s="2073">
        <v>1409.5569432910843</v>
      </c>
      <c r="W52" s="2073">
        <v>1491.1333555464771</v>
      </c>
      <c r="X52" s="2073">
        <v>1374.7080710955042</v>
      </c>
    </row>
    <row r="53" spans="1:24" ht="11.25" customHeight="1">
      <c r="A53" s="2074" t="s">
        <v>3973</v>
      </c>
      <c r="B53" s="2069" t="s">
        <v>5805</v>
      </c>
      <c r="C53" s="2070">
        <v>0</v>
      </c>
      <c r="D53" s="2070">
        <v>0</v>
      </c>
      <c r="E53" s="2070">
        <v>0</v>
      </c>
      <c r="F53" s="2070">
        <v>0</v>
      </c>
      <c r="G53" s="2070">
        <v>0</v>
      </c>
      <c r="H53" s="2070">
        <v>0</v>
      </c>
      <c r="I53" s="2070">
        <v>0</v>
      </c>
      <c r="J53" s="2070">
        <v>0</v>
      </c>
      <c r="K53" s="2070">
        <v>0</v>
      </c>
      <c r="L53" s="2070">
        <v>0</v>
      </c>
      <c r="M53" s="2070">
        <v>0</v>
      </c>
      <c r="N53" s="2070">
        <v>0</v>
      </c>
      <c r="O53" s="2070">
        <v>0</v>
      </c>
      <c r="P53" s="2070">
        <v>0</v>
      </c>
      <c r="Q53" s="2070">
        <v>0</v>
      </c>
      <c r="R53" s="2070">
        <v>0</v>
      </c>
      <c r="S53" s="2070">
        <v>0</v>
      </c>
      <c r="T53" s="2070">
        <v>0</v>
      </c>
      <c r="U53" s="2070">
        <v>0</v>
      </c>
      <c r="V53" s="2070">
        <v>0</v>
      </c>
      <c r="W53" s="2070">
        <v>0</v>
      </c>
      <c r="X53" s="2070">
        <v>0</v>
      </c>
    </row>
    <row r="54" spans="1:24" ht="11.25" customHeight="1">
      <c r="A54" s="2074" t="s">
        <v>5806</v>
      </c>
      <c r="B54" s="2069" t="s">
        <v>5807</v>
      </c>
      <c r="C54" s="2070">
        <v>0</v>
      </c>
      <c r="D54" s="2070">
        <v>0</v>
      </c>
      <c r="E54" s="2070">
        <v>0</v>
      </c>
      <c r="F54" s="2070">
        <v>0</v>
      </c>
      <c r="G54" s="2070">
        <v>0</v>
      </c>
      <c r="H54" s="2070">
        <v>0</v>
      </c>
      <c r="I54" s="2070">
        <v>0</v>
      </c>
      <c r="J54" s="2070">
        <v>0</v>
      </c>
      <c r="K54" s="2070">
        <v>0</v>
      </c>
      <c r="L54" s="2070">
        <v>0</v>
      </c>
      <c r="M54" s="2070">
        <v>0</v>
      </c>
      <c r="N54" s="2070">
        <v>0</v>
      </c>
      <c r="O54" s="2070">
        <v>0</v>
      </c>
      <c r="P54" s="2070">
        <v>0</v>
      </c>
      <c r="Q54" s="2070">
        <v>0</v>
      </c>
      <c r="R54" s="2070">
        <v>0</v>
      </c>
      <c r="S54" s="2070">
        <v>0</v>
      </c>
      <c r="T54" s="2070">
        <v>0</v>
      </c>
      <c r="U54" s="2070">
        <v>0</v>
      </c>
      <c r="V54" s="2070">
        <v>0</v>
      </c>
      <c r="W54" s="2070">
        <v>0</v>
      </c>
      <c r="X54" s="2070">
        <v>0</v>
      </c>
    </row>
    <row r="55" spans="1:24" ht="11.25" customHeight="1">
      <c r="A55" s="2074" t="s">
        <v>3965</v>
      </c>
      <c r="B55" s="2069" t="s">
        <v>5808</v>
      </c>
      <c r="C55" s="2070">
        <v>0</v>
      </c>
      <c r="D55" s="2070">
        <v>0</v>
      </c>
      <c r="E55" s="2070">
        <v>0</v>
      </c>
      <c r="F55" s="2070">
        <v>0</v>
      </c>
      <c r="G55" s="2070">
        <v>0</v>
      </c>
      <c r="H55" s="2070">
        <v>0</v>
      </c>
      <c r="I55" s="2070">
        <v>0</v>
      </c>
      <c r="J55" s="2070">
        <v>0</v>
      </c>
      <c r="K55" s="2070">
        <v>0</v>
      </c>
      <c r="L55" s="2070">
        <v>0</v>
      </c>
      <c r="M55" s="2070">
        <v>0</v>
      </c>
      <c r="N55" s="2070">
        <v>0</v>
      </c>
      <c r="O55" s="2070">
        <v>0</v>
      </c>
      <c r="P55" s="2070">
        <v>0</v>
      </c>
      <c r="Q55" s="2070">
        <v>0</v>
      </c>
      <c r="R55" s="2070">
        <v>0</v>
      </c>
      <c r="S55" s="2070">
        <v>0</v>
      </c>
      <c r="T55" s="2070">
        <v>0</v>
      </c>
      <c r="U55" s="2070">
        <v>0</v>
      </c>
      <c r="V55" s="2070">
        <v>0</v>
      </c>
      <c r="W55" s="2070">
        <v>0</v>
      </c>
      <c r="X55" s="2070">
        <v>0</v>
      </c>
    </row>
    <row r="56" spans="1:24" ht="11.25" customHeight="1">
      <c r="A56" s="2074" t="s">
        <v>5636</v>
      </c>
      <c r="B56" s="2069" t="s">
        <v>5809</v>
      </c>
      <c r="C56" s="2070">
        <v>0</v>
      </c>
      <c r="D56" s="2070">
        <v>0</v>
      </c>
      <c r="E56" s="2070">
        <v>0</v>
      </c>
      <c r="F56" s="2070">
        <v>0</v>
      </c>
      <c r="G56" s="2070">
        <v>0</v>
      </c>
      <c r="H56" s="2070">
        <v>0</v>
      </c>
      <c r="I56" s="2070">
        <v>0</v>
      </c>
      <c r="J56" s="2070">
        <v>0</v>
      </c>
      <c r="K56" s="2070">
        <v>0</v>
      </c>
      <c r="L56" s="2070">
        <v>0</v>
      </c>
      <c r="M56" s="2070">
        <v>0</v>
      </c>
      <c r="N56" s="2070">
        <v>0</v>
      </c>
      <c r="O56" s="2070">
        <v>0</v>
      </c>
      <c r="P56" s="2070">
        <v>0</v>
      </c>
      <c r="Q56" s="2070">
        <v>0</v>
      </c>
      <c r="R56" s="2070">
        <v>0</v>
      </c>
      <c r="S56" s="2070">
        <v>0</v>
      </c>
      <c r="T56" s="2070">
        <v>0</v>
      </c>
      <c r="U56" s="2070">
        <v>0</v>
      </c>
      <c r="V56" s="2070">
        <v>0</v>
      </c>
      <c r="W56" s="2070">
        <v>0</v>
      </c>
      <c r="X56" s="2070">
        <v>0</v>
      </c>
    </row>
    <row r="57" spans="1:24" ht="11.25" customHeight="1">
      <c r="A57" s="2074" t="s">
        <v>4617</v>
      </c>
      <c r="B57" s="2069" t="s">
        <v>5810</v>
      </c>
      <c r="C57" s="2070">
        <v>4.2390369733447973E-2</v>
      </c>
      <c r="D57" s="2070">
        <v>0.11246775580395529</v>
      </c>
      <c r="E57" s="2070">
        <v>0.13310404127257089</v>
      </c>
      <c r="F57" s="2070">
        <v>0.21427343078245911</v>
      </c>
      <c r="G57" s="2070">
        <v>0.30361134995700773</v>
      </c>
      <c r="H57" s="2070">
        <v>0.40988822012037829</v>
      </c>
      <c r="I57" s="2070">
        <v>0.41865864144454001</v>
      </c>
      <c r="J57" s="2070">
        <v>0.47196904557179697</v>
      </c>
      <c r="K57" s="2070">
        <v>0.57841788478073941</v>
      </c>
      <c r="L57" s="2070">
        <v>0.63404987102321575</v>
      </c>
      <c r="M57" s="2070">
        <v>0.72063628546861558</v>
      </c>
      <c r="N57" s="2070">
        <v>0.80705073086844359</v>
      </c>
      <c r="O57" s="2070">
        <v>1.0703353396388651</v>
      </c>
      <c r="P57" s="2070">
        <v>1.0848667239896821</v>
      </c>
      <c r="Q57" s="2070">
        <v>1.4044711951848665</v>
      </c>
      <c r="R57" s="2070">
        <v>1.4173688736027517</v>
      </c>
      <c r="S57" s="2070">
        <v>1.4328460877042135</v>
      </c>
      <c r="T57" s="2070">
        <v>1.4760963026655203</v>
      </c>
      <c r="U57" s="2070">
        <v>1.2562338779019775</v>
      </c>
      <c r="V57" s="2070">
        <v>1.256663800515907</v>
      </c>
      <c r="W57" s="2070">
        <v>1.3159071367153912</v>
      </c>
      <c r="X57" s="2070">
        <v>1.3422184006878761</v>
      </c>
    </row>
    <row r="58" spans="1:24" ht="11.25" customHeight="1">
      <c r="A58" s="2074" t="s">
        <v>3971</v>
      </c>
      <c r="B58" s="2069" t="s">
        <v>5811</v>
      </c>
      <c r="C58" s="2070">
        <v>0</v>
      </c>
      <c r="D58" s="2070">
        <v>0</v>
      </c>
      <c r="E58" s="2070">
        <v>0</v>
      </c>
      <c r="F58" s="2070">
        <v>0</v>
      </c>
      <c r="G58" s="2070">
        <v>0</v>
      </c>
      <c r="H58" s="2070">
        <v>0</v>
      </c>
      <c r="I58" s="2070">
        <v>0</v>
      </c>
      <c r="J58" s="2070">
        <v>0</v>
      </c>
      <c r="K58" s="2070">
        <v>0</v>
      </c>
      <c r="L58" s="2070">
        <v>0</v>
      </c>
      <c r="M58" s="2070">
        <v>0</v>
      </c>
      <c r="N58" s="2070">
        <v>0</v>
      </c>
      <c r="O58" s="2070">
        <v>0</v>
      </c>
      <c r="P58" s="2070">
        <v>0.3821152192605331</v>
      </c>
      <c r="Q58" s="2070">
        <v>0.50154772141014614</v>
      </c>
      <c r="R58" s="2070">
        <v>0.50154772141014614</v>
      </c>
      <c r="S58" s="2070">
        <v>0.50154772141014614</v>
      </c>
      <c r="T58" s="2070">
        <v>1.146431642304385</v>
      </c>
      <c r="U58" s="2070">
        <v>0.45382631126397238</v>
      </c>
      <c r="V58" s="2070">
        <v>0.40601891659501288</v>
      </c>
      <c r="W58" s="2070">
        <v>0.42992261392949271</v>
      </c>
      <c r="X58" s="2070">
        <v>0.47773000859845233</v>
      </c>
    </row>
    <row r="59" spans="1:24" ht="11.25" customHeight="1">
      <c r="A59" s="2074" t="s">
        <v>4669</v>
      </c>
      <c r="B59" s="2069" t="s">
        <v>5812</v>
      </c>
      <c r="C59" s="2070">
        <v>675.00249355116068</v>
      </c>
      <c r="D59" s="2070">
        <v>658.21134995700754</v>
      </c>
      <c r="E59" s="2070">
        <v>706.84032674118669</v>
      </c>
      <c r="F59" s="2070">
        <v>730.05631986242497</v>
      </c>
      <c r="G59" s="2070">
        <v>761.22588134135833</v>
      </c>
      <c r="H59" s="2070">
        <v>746.94092863284595</v>
      </c>
      <c r="I59" s="2070">
        <v>786.95563198624245</v>
      </c>
      <c r="J59" s="2070">
        <v>801.00008598452268</v>
      </c>
      <c r="K59" s="2070">
        <v>858.47953568357696</v>
      </c>
      <c r="L59" s="2070">
        <v>809.16466036113468</v>
      </c>
      <c r="M59" s="2070">
        <v>850.78151332760103</v>
      </c>
      <c r="N59" s="2070">
        <v>836.26466036113504</v>
      </c>
      <c r="O59" s="2070">
        <v>805.91771281169417</v>
      </c>
      <c r="P59" s="2070">
        <v>717.22553740326748</v>
      </c>
      <c r="Q59" s="2070">
        <v>811.78297506448803</v>
      </c>
      <c r="R59" s="2070">
        <v>867.11573516766964</v>
      </c>
      <c r="S59" s="2070">
        <v>1071.1467755803953</v>
      </c>
      <c r="T59" s="2070">
        <v>1062.4577815993118</v>
      </c>
      <c r="U59" s="2070">
        <v>1124.3453998280311</v>
      </c>
      <c r="V59" s="2070">
        <v>1106.316595012898</v>
      </c>
      <c r="W59" s="2070">
        <v>1164.4896818572659</v>
      </c>
      <c r="X59" s="2070">
        <v>1078.5920034393805</v>
      </c>
    </row>
    <row r="60" spans="1:24" ht="11.25" customHeight="1">
      <c r="A60" s="2074" t="s">
        <v>4618</v>
      </c>
      <c r="B60" s="2069" t="s">
        <v>5813</v>
      </c>
      <c r="C60" s="2070">
        <v>15.44858125537403</v>
      </c>
      <c r="D60" s="2070">
        <v>17.655460017196901</v>
      </c>
      <c r="E60" s="2070">
        <v>22.069389509888222</v>
      </c>
      <c r="F60" s="2070">
        <v>17.655460017196901</v>
      </c>
      <c r="G60" s="2070">
        <v>16.91986242476354</v>
      </c>
      <c r="H60" s="2070">
        <v>14.71289767841788</v>
      </c>
      <c r="I60" s="2070">
        <v>15.44858125537403</v>
      </c>
      <c r="J60" s="2070">
        <v>14.71289767841788</v>
      </c>
      <c r="K60" s="2070">
        <v>31.632760103181429</v>
      </c>
      <c r="L60" s="2070">
        <v>14.71289767841788</v>
      </c>
      <c r="M60" s="2070">
        <v>7.3564918314703336</v>
      </c>
      <c r="N60" s="2070">
        <v>7.3564918314703336</v>
      </c>
      <c r="O60" s="2070">
        <v>7.3564918314703336</v>
      </c>
      <c r="P60" s="2070">
        <v>7.3564918314703336</v>
      </c>
      <c r="Q60" s="2070">
        <v>7.3564918314703336</v>
      </c>
      <c r="R60" s="2070">
        <v>7.3564918314703336</v>
      </c>
      <c r="S60" s="2070">
        <v>7.3564918314703336</v>
      </c>
      <c r="T60" s="2070">
        <v>7.3607050730868426</v>
      </c>
      <c r="U60" s="2070">
        <v>7.3783319002579519</v>
      </c>
      <c r="V60" s="2070">
        <v>7.3613929492691295</v>
      </c>
      <c r="W60" s="2070">
        <v>7.3613929492691295</v>
      </c>
      <c r="X60" s="2070">
        <v>7.3613929492691295</v>
      </c>
    </row>
    <row r="61" spans="1:24" ht="11.25" customHeight="1">
      <c r="A61" s="2074" t="s">
        <v>4670</v>
      </c>
      <c r="B61" s="2069" t="s">
        <v>5814</v>
      </c>
      <c r="C61" s="2070">
        <v>51.065176268271706</v>
      </c>
      <c r="D61" s="2070">
        <v>53.334307824591562</v>
      </c>
      <c r="E61" s="2070">
        <v>55.006276870163369</v>
      </c>
      <c r="F61" s="2070">
        <v>67.9993981083405</v>
      </c>
      <c r="G61" s="2070">
        <v>70.650558899398106</v>
      </c>
      <c r="H61" s="2070">
        <v>65.221496130696465</v>
      </c>
      <c r="I61" s="2070">
        <v>74.910404127257067</v>
      </c>
      <c r="J61" s="2070">
        <v>79.452966466036131</v>
      </c>
      <c r="K61" s="2070">
        <v>73.448409286328456</v>
      </c>
      <c r="L61" s="2070">
        <v>80.324419604471203</v>
      </c>
      <c r="M61" s="2070">
        <v>107.4853826311264</v>
      </c>
      <c r="N61" s="2070">
        <v>99.40352536543422</v>
      </c>
      <c r="O61" s="2070">
        <v>120.80765262252795</v>
      </c>
      <c r="P61" s="2070">
        <v>153.3996560619089</v>
      </c>
      <c r="Q61" s="2070">
        <v>153.96147893379185</v>
      </c>
      <c r="R61" s="2070">
        <v>125.74127257093724</v>
      </c>
      <c r="S61" s="2070">
        <v>155.11109200343935</v>
      </c>
      <c r="T61" s="2070">
        <v>156.06887360275152</v>
      </c>
      <c r="U61" s="2070">
        <v>171.29277730008596</v>
      </c>
      <c r="V61" s="2070">
        <v>192.39200343938089</v>
      </c>
      <c r="W61" s="2070">
        <v>206.67721410146177</v>
      </c>
      <c r="X61" s="2070">
        <v>205.18916595012894</v>
      </c>
    </row>
    <row r="62" spans="1:24" ht="11.25" customHeight="1">
      <c r="A62" s="2074" t="s">
        <v>5815</v>
      </c>
      <c r="B62" s="2069" t="s">
        <v>5816</v>
      </c>
      <c r="C62" s="2070">
        <v>0.90765262252794487</v>
      </c>
      <c r="D62" s="2070">
        <v>0.66878761822871879</v>
      </c>
      <c r="E62" s="2070">
        <v>0.57325881341358553</v>
      </c>
      <c r="F62" s="2070">
        <v>1.0987102321582114</v>
      </c>
      <c r="G62" s="2070">
        <v>0.85984522785898532</v>
      </c>
      <c r="H62" s="2070">
        <v>0.74041272570937222</v>
      </c>
      <c r="I62" s="2070">
        <v>0.76431642304385217</v>
      </c>
      <c r="J62" s="2070">
        <v>0.97927773000859841</v>
      </c>
      <c r="K62" s="2070">
        <v>1.886844368013757</v>
      </c>
      <c r="L62" s="2070">
        <v>9.6493551160791053</v>
      </c>
      <c r="M62" s="2070">
        <v>5.4218400687876178</v>
      </c>
      <c r="N62" s="2070">
        <v>5.5417024935511607</v>
      </c>
      <c r="O62" s="2070">
        <v>0.78822012037833189</v>
      </c>
      <c r="P62" s="2070">
        <v>0.50154772141014614</v>
      </c>
      <c r="Q62" s="2070">
        <v>0.56216680997420465</v>
      </c>
      <c r="R62" s="2070">
        <v>0.76466036113499569</v>
      </c>
      <c r="S62" s="2070">
        <v>0.18177128116938951</v>
      </c>
      <c r="T62" s="2070">
        <v>0.53293207222699912</v>
      </c>
      <c r="U62" s="2070">
        <v>0.46766981943250202</v>
      </c>
      <c r="V62" s="2070">
        <v>0.97979363714531376</v>
      </c>
      <c r="W62" s="2070">
        <v>1.4999999999999998</v>
      </c>
      <c r="X62" s="2070">
        <v>1.4911435941530524</v>
      </c>
    </row>
    <row r="63" spans="1:24" ht="11.25" customHeight="1">
      <c r="A63" s="2074" t="s">
        <v>5817</v>
      </c>
      <c r="B63" s="2069" t="s">
        <v>5818</v>
      </c>
      <c r="C63" s="2070">
        <v>0</v>
      </c>
      <c r="D63" s="2070">
        <v>0</v>
      </c>
      <c r="E63" s="2070">
        <v>0</v>
      </c>
      <c r="F63" s="2070">
        <v>0</v>
      </c>
      <c r="G63" s="2070">
        <v>0</v>
      </c>
      <c r="H63" s="2070">
        <v>0</v>
      </c>
      <c r="I63" s="2070">
        <v>0</v>
      </c>
      <c r="J63" s="2070">
        <v>0</v>
      </c>
      <c r="K63" s="2070">
        <v>0</v>
      </c>
      <c r="L63" s="2070">
        <v>0</v>
      </c>
      <c r="M63" s="2070">
        <v>0</v>
      </c>
      <c r="N63" s="2070">
        <v>0</v>
      </c>
      <c r="O63" s="2070">
        <v>0</v>
      </c>
      <c r="P63" s="2070">
        <v>0</v>
      </c>
      <c r="Q63" s="2070">
        <v>0</v>
      </c>
      <c r="R63" s="2070">
        <v>0</v>
      </c>
      <c r="S63" s="2070">
        <v>0</v>
      </c>
      <c r="T63" s="2070">
        <v>0</v>
      </c>
      <c r="U63" s="2070">
        <v>0</v>
      </c>
      <c r="V63" s="2070">
        <v>0</v>
      </c>
      <c r="W63" s="2070">
        <v>0</v>
      </c>
      <c r="X63" s="2070">
        <v>0</v>
      </c>
    </row>
    <row r="64" spans="1:24" ht="11.25" customHeight="1">
      <c r="A64" s="2074" t="s">
        <v>5819</v>
      </c>
      <c r="B64" s="2069" t="s">
        <v>5820</v>
      </c>
      <c r="C64" s="2070">
        <v>0</v>
      </c>
      <c r="D64" s="2070">
        <v>0</v>
      </c>
      <c r="E64" s="2070">
        <v>0</v>
      </c>
      <c r="F64" s="2070">
        <v>0</v>
      </c>
      <c r="G64" s="2070">
        <v>0</v>
      </c>
      <c r="H64" s="2070">
        <v>6.878761822871883E-4</v>
      </c>
      <c r="I64" s="2070">
        <v>0</v>
      </c>
      <c r="J64" s="2070">
        <v>0</v>
      </c>
      <c r="K64" s="2070">
        <v>1.2897678417884779E-3</v>
      </c>
      <c r="L64" s="2070">
        <v>6.878761822871883E-4</v>
      </c>
      <c r="M64" s="2070">
        <v>0</v>
      </c>
      <c r="N64" s="2070">
        <v>0</v>
      </c>
      <c r="O64" s="2070">
        <v>0</v>
      </c>
      <c r="P64" s="2070">
        <v>0</v>
      </c>
      <c r="Q64" s="2070">
        <v>0</v>
      </c>
      <c r="R64" s="2070">
        <v>0</v>
      </c>
      <c r="S64" s="2070">
        <v>6.0189165950128975E-4</v>
      </c>
      <c r="T64" s="2070">
        <v>6.0189165950128975E-4</v>
      </c>
      <c r="U64" s="2070">
        <v>0</v>
      </c>
      <c r="V64" s="2070">
        <v>1.2897678417884782E-3</v>
      </c>
      <c r="W64" s="2070">
        <v>3.1814273430782456E-3</v>
      </c>
      <c r="X64" s="2070">
        <v>6.878761822871883E-4</v>
      </c>
    </row>
    <row r="65" spans="1:24" ht="11.25" customHeight="1">
      <c r="A65" s="2074" t="s">
        <v>5821</v>
      </c>
      <c r="B65" s="2069" t="s">
        <v>5822</v>
      </c>
      <c r="C65" s="2070">
        <v>0</v>
      </c>
      <c r="D65" s="2070">
        <v>0</v>
      </c>
      <c r="E65" s="2070">
        <v>0</v>
      </c>
      <c r="F65" s="2070">
        <v>0</v>
      </c>
      <c r="G65" s="2070">
        <v>0</v>
      </c>
      <c r="H65" s="2070">
        <v>3.5253654342218398E-3</v>
      </c>
      <c r="I65" s="2070">
        <v>0</v>
      </c>
      <c r="J65" s="2070">
        <v>0</v>
      </c>
      <c r="K65" s="2070">
        <v>0</v>
      </c>
      <c r="L65" s="2070">
        <v>0.12880481513327599</v>
      </c>
      <c r="M65" s="2070">
        <v>0.15374032674118659</v>
      </c>
      <c r="N65" s="2070">
        <v>6.1908856405846948E-3</v>
      </c>
      <c r="O65" s="2070">
        <v>8.5984522785898529E-4</v>
      </c>
      <c r="P65" s="2070">
        <v>8.5984522785898529E-4</v>
      </c>
      <c r="Q65" s="2070">
        <v>3.1384350816852973E-2</v>
      </c>
      <c r="R65" s="2070">
        <v>4.9269131556319852E-2</v>
      </c>
      <c r="S65" s="2070">
        <v>8.5124677558039541E-2</v>
      </c>
      <c r="T65" s="2070">
        <v>0</v>
      </c>
      <c r="U65" s="2070">
        <v>0</v>
      </c>
      <c r="V65" s="2070">
        <v>0</v>
      </c>
      <c r="W65" s="2070">
        <v>0</v>
      </c>
      <c r="X65" s="2070">
        <v>0</v>
      </c>
    </row>
    <row r="66" spans="1:24" ht="11.25" customHeight="1">
      <c r="A66" s="2074" t="s">
        <v>5823</v>
      </c>
      <c r="B66" s="2069" t="s">
        <v>5824</v>
      </c>
      <c r="C66" s="2070">
        <v>0</v>
      </c>
      <c r="D66" s="2070">
        <v>0</v>
      </c>
      <c r="E66" s="2070">
        <v>0</v>
      </c>
      <c r="F66" s="2070">
        <v>0</v>
      </c>
      <c r="G66" s="2070">
        <v>0</v>
      </c>
      <c r="H66" s="2070">
        <v>1.719690455717971E-3</v>
      </c>
      <c r="I66" s="2070">
        <v>7.8245915735167659E-3</v>
      </c>
      <c r="J66" s="2070">
        <v>0.89518486672398967</v>
      </c>
      <c r="K66" s="2070">
        <v>0.89957007738607053</v>
      </c>
      <c r="L66" s="2070">
        <v>0.90395528804815128</v>
      </c>
      <c r="M66" s="2070">
        <v>0.89690455717970763</v>
      </c>
      <c r="N66" s="2070">
        <v>0.9041272570937231</v>
      </c>
      <c r="O66" s="2070">
        <v>1.7904557179707652</v>
      </c>
      <c r="P66" s="2070">
        <v>3.591917454858125</v>
      </c>
      <c r="Q66" s="2070">
        <v>4.5356835769561474</v>
      </c>
      <c r="R66" s="2070">
        <v>4.5375752364574371</v>
      </c>
      <c r="S66" s="2070">
        <v>4.2546861564918306</v>
      </c>
      <c r="T66" s="2070">
        <v>3.4136715391229573</v>
      </c>
      <c r="U66" s="2070">
        <v>5.2819432502149608</v>
      </c>
      <c r="V66" s="2070">
        <v>5.0385210662080819</v>
      </c>
      <c r="W66" s="2070">
        <v>1.9653482373172826</v>
      </c>
      <c r="X66" s="2070">
        <v>2.421152192605331</v>
      </c>
    </row>
    <row r="67" spans="1:24" ht="11.25" customHeight="1">
      <c r="A67" s="2074" t="s">
        <v>5825</v>
      </c>
      <c r="B67" s="2069" t="s">
        <v>5826</v>
      </c>
      <c r="C67" s="2070">
        <v>0</v>
      </c>
      <c r="D67" s="2070">
        <v>0</v>
      </c>
      <c r="E67" s="2070">
        <v>0</v>
      </c>
      <c r="F67" s="2070">
        <v>0</v>
      </c>
      <c r="G67" s="2070">
        <v>0</v>
      </c>
      <c r="H67" s="2070">
        <v>0</v>
      </c>
      <c r="I67" s="2070">
        <v>0</v>
      </c>
      <c r="J67" s="2070">
        <v>0</v>
      </c>
      <c r="K67" s="2070">
        <v>0</v>
      </c>
      <c r="L67" s="2070">
        <v>0</v>
      </c>
      <c r="M67" s="2070">
        <v>0</v>
      </c>
      <c r="N67" s="2070">
        <v>0</v>
      </c>
      <c r="O67" s="2070">
        <v>0</v>
      </c>
      <c r="P67" s="2070">
        <v>0</v>
      </c>
      <c r="Q67" s="2070">
        <v>0</v>
      </c>
      <c r="R67" s="2070">
        <v>0</v>
      </c>
      <c r="S67" s="2070">
        <v>0</v>
      </c>
      <c r="T67" s="2070">
        <v>0</v>
      </c>
      <c r="U67" s="2070">
        <v>0</v>
      </c>
      <c r="V67" s="2070">
        <v>0</v>
      </c>
      <c r="W67" s="2070">
        <v>0</v>
      </c>
      <c r="X67" s="2070">
        <v>0</v>
      </c>
    </row>
    <row r="68" spans="1:24" ht="11.25" customHeight="1">
      <c r="A68" s="2074" t="s">
        <v>5827</v>
      </c>
      <c r="B68" s="2069" t="s">
        <v>5828</v>
      </c>
      <c r="C68" s="2070">
        <v>0</v>
      </c>
      <c r="D68" s="2070">
        <v>0</v>
      </c>
      <c r="E68" s="2070">
        <v>0</v>
      </c>
      <c r="F68" s="2070">
        <v>0</v>
      </c>
      <c r="G68" s="2070">
        <v>0</v>
      </c>
      <c r="H68" s="2070">
        <v>0</v>
      </c>
      <c r="I68" s="2070">
        <v>0</v>
      </c>
      <c r="J68" s="2070">
        <v>0</v>
      </c>
      <c r="K68" s="2070">
        <v>0</v>
      </c>
      <c r="L68" s="2070">
        <v>0</v>
      </c>
      <c r="M68" s="2070">
        <v>0</v>
      </c>
      <c r="N68" s="2070">
        <v>0</v>
      </c>
      <c r="O68" s="2070">
        <v>0</v>
      </c>
      <c r="P68" s="2070">
        <v>0</v>
      </c>
      <c r="Q68" s="2070">
        <v>0</v>
      </c>
      <c r="R68" s="2070">
        <v>0</v>
      </c>
      <c r="S68" s="2070">
        <v>0</v>
      </c>
      <c r="T68" s="2070">
        <v>0</v>
      </c>
      <c r="U68" s="2070">
        <v>0</v>
      </c>
      <c r="V68" s="2070">
        <v>0</v>
      </c>
      <c r="W68" s="2070">
        <v>0</v>
      </c>
      <c r="X68" s="2070">
        <v>0</v>
      </c>
    </row>
    <row r="69" spans="1:24" ht="11.25" customHeight="1">
      <c r="A69" s="2074" t="s">
        <v>4619</v>
      </c>
      <c r="B69" s="2069" t="s">
        <v>5829</v>
      </c>
      <c r="C69" s="2070">
        <v>0</v>
      </c>
      <c r="D69" s="2070">
        <v>0</v>
      </c>
      <c r="E69" s="2070">
        <v>0</v>
      </c>
      <c r="F69" s="2070">
        <v>5.8839208942390373</v>
      </c>
      <c r="G69" s="2070">
        <v>2.2915735167669822</v>
      </c>
      <c r="H69" s="2070">
        <v>6.6429922613929486</v>
      </c>
      <c r="I69" s="2070">
        <v>13.922871883061045</v>
      </c>
      <c r="J69" s="2070">
        <v>8.7191745485812557</v>
      </c>
      <c r="K69" s="2070">
        <v>12.369561478933791</v>
      </c>
      <c r="L69" s="2070">
        <v>13.956147893379185</v>
      </c>
      <c r="M69" s="2070">
        <v>5.7214101461736879</v>
      </c>
      <c r="N69" s="2070">
        <v>0.7181427343078246</v>
      </c>
      <c r="O69" s="2070">
        <v>0.50180567497850381</v>
      </c>
      <c r="P69" s="2070">
        <v>0.54763542562338774</v>
      </c>
      <c r="Q69" s="2070">
        <v>3.1176268271711094</v>
      </c>
      <c r="R69" s="2070">
        <v>1.0818572656921754</v>
      </c>
      <c r="S69" s="2070">
        <v>4.236285468615649</v>
      </c>
      <c r="T69" s="2070">
        <v>1.7539122957867588</v>
      </c>
      <c r="U69" s="2070">
        <v>42.512639724849528</v>
      </c>
      <c r="V69" s="2070">
        <v>48.765520206362851</v>
      </c>
      <c r="W69" s="2070">
        <v>54.733018056749792</v>
      </c>
      <c r="X69" s="2070">
        <v>20.347119518486668</v>
      </c>
    </row>
    <row r="70" spans="1:24" ht="11.25" customHeight="1">
      <c r="A70" s="2074" t="s">
        <v>5830</v>
      </c>
      <c r="B70" s="2069" t="s">
        <v>5831</v>
      </c>
      <c r="C70" s="2070">
        <v>5.3217038617120522</v>
      </c>
      <c r="D70" s="2070">
        <v>5.5321549328190791</v>
      </c>
      <c r="E70" s="2070">
        <v>5.7824437165367693</v>
      </c>
      <c r="F70" s="2070">
        <v>5.5367860802446023</v>
      </c>
      <c r="G70" s="2070">
        <v>5.5864638945777836</v>
      </c>
      <c r="H70" s="2070">
        <v>6.4450932485876127</v>
      </c>
      <c r="I70" s="2070">
        <v>7.2951863999223789</v>
      </c>
      <c r="J70" s="2070">
        <v>7.1116023638880481</v>
      </c>
      <c r="K70" s="2070">
        <v>8.2430775632812061</v>
      </c>
      <c r="L70" s="2070">
        <v>8.9832030854140505</v>
      </c>
      <c r="M70" s="2070">
        <v>10.212587083730844</v>
      </c>
      <c r="N70" s="2070">
        <v>10.525134062698147</v>
      </c>
      <c r="O70" s="2070">
        <v>11.122465572870496</v>
      </c>
      <c r="P70" s="2070">
        <v>11.924662001148933</v>
      </c>
      <c r="Q70" s="2070">
        <v>27.414801900427438</v>
      </c>
      <c r="R70" s="2070">
        <v>30.447322129828496</v>
      </c>
      <c r="S70" s="2070">
        <v>35.347902974090751</v>
      </c>
      <c r="T70" s="2070">
        <v>37.964996882589794</v>
      </c>
      <c r="U70" s="2070">
        <v>41.848832440399718</v>
      </c>
      <c r="V70" s="2070">
        <v>47.039144494867159</v>
      </c>
      <c r="W70" s="2070">
        <v>52.657689166425236</v>
      </c>
      <c r="X70" s="2070">
        <v>57.48545716601182</v>
      </c>
    </row>
    <row r="71" spans="1:24" ht="11.25" customHeight="1">
      <c r="A71" s="2071" t="s">
        <v>5832</v>
      </c>
      <c r="B71" s="2072" t="s">
        <v>5833</v>
      </c>
      <c r="C71" s="2073">
        <v>3.2961306964746346</v>
      </c>
      <c r="D71" s="2073">
        <v>3.702149613069647</v>
      </c>
      <c r="E71" s="2073">
        <v>0.5493551160791057</v>
      </c>
      <c r="F71" s="2073">
        <v>1.1226139294926911</v>
      </c>
      <c r="G71" s="2073">
        <v>0.7165090283748925</v>
      </c>
      <c r="H71" s="2073">
        <v>1.6719690455717968</v>
      </c>
      <c r="I71" s="2073">
        <v>0.64488392089423896</v>
      </c>
      <c r="J71" s="2073">
        <v>0.90765262252794487</v>
      </c>
      <c r="K71" s="2073">
        <v>4.4425623387790196</v>
      </c>
      <c r="L71" s="2073">
        <v>11.805760963026655</v>
      </c>
      <c r="M71" s="2073">
        <v>17.554342218400688</v>
      </c>
      <c r="N71" s="2073">
        <v>12.608512467755801</v>
      </c>
      <c r="O71" s="2073">
        <v>20.332416165090283</v>
      </c>
      <c r="P71" s="2073">
        <v>15.333877901977646</v>
      </c>
      <c r="Q71" s="2073">
        <v>10.615735167669818</v>
      </c>
      <c r="R71" s="2073">
        <v>7.2947549441100596</v>
      </c>
      <c r="S71" s="2073">
        <v>4.6559759243336201</v>
      </c>
      <c r="T71" s="2073">
        <v>6.7377472055030081</v>
      </c>
      <c r="U71" s="2073">
        <v>6.1408426483233018</v>
      </c>
      <c r="V71" s="2073">
        <v>7.2984522785898527</v>
      </c>
      <c r="W71" s="2073">
        <v>8.4528804815133274</v>
      </c>
      <c r="X71" s="2073">
        <v>7.9341358555460006</v>
      </c>
    </row>
    <row r="72" spans="1:24" ht="11.25" customHeight="1">
      <c r="A72" s="2074" t="s">
        <v>5834</v>
      </c>
      <c r="B72" s="2069" t="s">
        <v>5835</v>
      </c>
      <c r="C72" s="2070">
        <v>2.5557179707652624</v>
      </c>
      <c r="D72" s="2070">
        <v>3.1527944969905413</v>
      </c>
      <c r="E72" s="2070">
        <v>9.5528804815133261E-2</v>
      </c>
      <c r="F72" s="2070">
        <v>0.14333619948409279</v>
      </c>
      <c r="G72" s="2070">
        <v>0</v>
      </c>
      <c r="H72" s="2070">
        <v>1.0031814273430779</v>
      </c>
      <c r="I72" s="2070">
        <v>0</v>
      </c>
      <c r="J72" s="2070">
        <v>4.7807394668959592E-2</v>
      </c>
      <c r="K72" s="2070">
        <v>2.8900257953568351</v>
      </c>
      <c r="L72" s="2070">
        <v>2.4668959587274295</v>
      </c>
      <c r="M72" s="2070">
        <v>12.514703353396389</v>
      </c>
      <c r="N72" s="2070">
        <v>7.3056749785038679</v>
      </c>
      <c r="O72" s="2070">
        <v>19.615821152192606</v>
      </c>
      <c r="P72" s="2070">
        <v>14.927858985382633</v>
      </c>
      <c r="Q72" s="2070">
        <v>10.090283748925193</v>
      </c>
      <c r="R72" s="2070">
        <v>6.7668099742046426</v>
      </c>
      <c r="S72" s="2070">
        <v>4.5962166809974203</v>
      </c>
      <c r="T72" s="2070">
        <v>6.676182287188305</v>
      </c>
      <c r="U72" s="2070">
        <v>6.129492691315563</v>
      </c>
      <c r="V72" s="2070">
        <v>6.8921754084264819</v>
      </c>
      <c r="W72" s="2070">
        <v>7.6159931212381764</v>
      </c>
      <c r="X72" s="2070">
        <v>7.2512467755803947</v>
      </c>
    </row>
    <row r="73" spans="1:24" ht="11.25" customHeight="1">
      <c r="A73" s="2074" t="s">
        <v>5836</v>
      </c>
      <c r="B73" s="2069" t="s">
        <v>5837</v>
      </c>
      <c r="C73" s="2070">
        <v>0.74041272570937233</v>
      </c>
      <c r="D73" s="2070">
        <v>0.5493551160791057</v>
      </c>
      <c r="E73" s="2070">
        <v>0.45382631126397238</v>
      </c>
      <c r="F73" s="2070">
        <v>0.97927773000859841</v>
      </c>
      <c r="G73" s="2070">
        <v>0.7165090283748925</v>
      </c>
      <c r="H73" s="2070">
        <v>0.66878761822871879</v>
      </c>
      <c r="I73" s="2070">
        <v>0.64488392089423896</v>
      </c>
      <c r="J73" s="2070">
        <v>0.85984522785898532</v>
      </c>
      <c r="K73" s="2070">
        <v>1.5525365434221841</v>
      </c>
      <c r="L73" s="2070">
        <v>9.3388650042992261</v>
      </c>
      <c r="M73" s="2070">
        <v>5.0396388650042994</v>
      </c>
      <c r="N73" s="2070">
        <v>5.3028374892519343</v>
      </c>
      <c r="O73" s="2070">
        <v>0.71659501289767835</v>
      </c>
      <c r="P73" s="2070">
        <v>0.40601891659501288</v>
      </c>
      <c r="Q73" s="2070">
        <v>0.52545141874462586</v>
      </c>
      <c r="R73" s="2070">
        <v>0.52794496990541695</v>
      </c>
      <c r="S73" s="2070">
        <v>5.9759243336199475E-2</v>
      </c>
      <c r="T73" s="2070">
        <v>6.156491831470335E-2</v>
      </c>
      <c r="U73" s="2070">
        <v>1.1349957007738609E-2</v>
      </c>
      <c r="V73" s="2070">
        <v>0.40627687016337055</v>
      </c>
      <c r="W73" s="2070">
        <v>0.83688736027515032</v>
      </c>
      <c r="X73" s="2070">
        <v>0.68288907996560611</v>
      </c>
    </row>
    <row r="74" spans="1:24" ht="11.25" customHeight="1">
      <c r="A74" s="2071" t="s">
        <v>4616</v>
      </c>
      <c r="B74" s="2072" t="s">
        <v>5838</v>
      </c>
      <c r="C74" s="2073">
        <v>0</v>
      </c>
      <c r="D74" s="2073">
        <v>0</v>
      </c>
      <c r="E74" s="2073">
        <v>0</v>
      </c>
      <c r="F74" s="2073">
        <v>0</v>
      </c>
      <c r="G74" s="2073">
        <v>0</v>
      </c>
      <c r="H74" s="2073">
        <v>0</v>
      </c>
      <c r="I74" s="2073">
        <v>0</v>
      </c>
      <c r="J74" s="2073">
        <v>0</v>
      </c>
      <c r="K74" s="2073">
        <v>0</v>
      </c>
      <c r="L74" s="2073">
        <v>0</v>
      </c>
      <c r="M74" s="2073">
        <v>0</v>
      </c>
      <c r="N74" s="2073">
        <v>0</v>
      </c>
      <c r="O74" s="2073">
        <v>0</v>
      </c>
      <c r="P74" s="2073">
        <v>0</v>
      </c>
      <c r="Q74" s="2073">
        <v>0</v>
      </c>
      <c r="R74" s="2073">
        <v>0</v>
      </c>
      <c r="S74" s="2073">
        <v>0</v>
      </c>
      <c r="T74" s="2073">
        <v>0</v>
      </c>
      <c r="U74" s="2073">
        <v>0</v>
      </c>
      <c r="V74" s="2073">
        <v>0</v>
      </c>
      <c r="W74" s="2073">
        <v>0</v>
      </c>
      <c r="X74" s="2073">
        <v>0</v>
      </c>
    </row>
    <row r="75" spans="1:24" ht="11.25" customHeight="1">
      <c r="A75" s="2071" t="s">
        <v>4671</v>
      </c>
      <c r="B75" s="2072" t="s">
        <v>5839</v>
      </c>
      <c r="C75" s="2073">
        <v>693.85477214101456</v>
      </c>
      <c r="D75" s="2073">
        <v>672.70541702493529</v>
      </c>
      <c r="E75" s="2073">
        <v>736.30601891659512</v>
      </c>
      <c r="F75" s="2073">
        <v>727.37489251934642</v>
      </c>
      <c r="G75" s="2073">
        <v>1008.9749785038695</v>
      </c>
      <c r="H75" s="2073">
        <v>925.12244196044719</v>
      </c>
      <c r="I75" s="2073">
        <v>874.02957867583837</v>
      </c>
      <c r="J75" s="2073">
        <v>1047.2208082545142</v>
      </c>
      <c r="K75" s="2073">
        <v>1025.6102321582114</v>
      </c>
      <c r="L75" s="2073">
        <v>942.87257093723122</v>
      </c>
      <c r="M75" s="2073">
        <v>914.4184006878761</v>
      </c>
      <c r="N75" s="2073">
        <v>1147.9576096302665</v>
      </c>
      <c r="O75" s="2073">
        <v>1249.26543422184</v>
      </c>
      <c r="P75" s="2073">
        <v>1227.3887360275151</v>
      </c>
      <c r="Q75" s="2073">
        <v>1342.6341358555462</v>
      </c>
      <c r="R75" s="2073">
        <v>1342.2971625107482</v>
      </c>
      <c r="S75" s="2073">
        <v>1438.4073086844369</v>
      </c>
      <c r="T75" s="2073">
        <v>1495.2837489251935</v>
      </c>
      <c r="U75" s="2073">
        <v>1473.1440240756665</v>
      </c>
      <c r="V75" s="2073">
        <v>1414.2411006018917</v>
      </c>
      <c r="W75" s="2073">
        <v>1514.9386070507308</v>
      </c>
      <c r="X75" s="2073">
        <v>1578.0651762682714</v>
      </c>
    </row>
    <row r="76" spans="1:24" ht="11.25" customHeight="1">
      <c r="A76" s="2075" t="s">
        <v>4282</v>
      </c>
      <c r="B76" s="2076" t="s">
        <v>5840</v>
      </c>
      <c r="C76" s="2077">
        <v>7509.8184006878764</v>
      </c>
      <c r="D76" s="2077">
        <v>7706.5566638005175</v>
      </c>
      <c r="E76" s="2077">
        <v>7923.7176268271705</v>
      </c>
      <c r="F76" s="2077">
        <v>8266.2662940670689</v>
      </c>
      <c r="G76" s="2077">
        <v>8404.8116079105785</v>
      </c>
      <c r="H76" s="2077">
        <v>8570.1963026655212</v>
      </c>
      <c r="I76" s="2077">
        <v>8430.7417024935512</v>
      </c>
      <c r="J76" s="2077">
        <v>8567.6834909716254</v>
      </c>
      <c r="K76" s="2077">
        <v>8647.4926053310428</v>
      </c>
      <c r="L76" s="2077">
        <v>8474.5198624247641</v>
      </c>
      <c r="M76" s="2077">
        <v>8595.0355975924303</v>
      </c>
      <c r="N76" s="2077">
        <v>8749.5951848667246</v>
      </c>
      <c r="O76" s="2077">
        <v>8859.373946689595</v>
      </c>
      <c r="P76" s="2077">
        <v>8785.9997420464315</v>
      </c>
      <c r="Q76" s="2077">
        <v>9016.6656061908852</v>
      </c>
      <c r="R76" s="2077">
        <v>9082.7732588134149</v>
      </c>
      <c r="S76" s="2077">
        <v>9214.8729148753227</v>
      </c>
      <c r="T76" s="2077">
        <v>9193.4500429922628</v>
      </c>
      <c r="U76" s="2077">
        <v>9391.2431642304364</v>
      </c>
      <c r="V76" s="2077">
        <v>9549.2622527944986</v>
      </c>
      <c r="W76" s="2077">
        <v>9375.5164230438513</v>
      </c>
      <c r="X76" s="2077">
        <v>9704.5861564918341</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30407-6194-435A-98A3-757DAC6791B7}">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baseColWidth="10" defaultColWidth="9.1640625" defaultRowHeight="11.25" customHeight="1"/>
  <cols>
    <col min="1" max="1" width="40.6640625" style="2059" bestFit="1" customWidth="1"/>
    <col min="2" max="2" width="16.1640625" style="2059" bestFit="1" customWidth="1"/>
    <col min="3" max="24" width="9.6640625" style="2059" customWidth="1"/>
    <col min="25" max="16384" width="9.1640625" style="2059"/>
  </cols>
  <sheetData>
    <row r="1" spans="1:24" ht="11.25" customHeight="1">
      <c r="A1" s="2057" t="s">
        <v>5851</v>
      </c>
      <c r="B1" s="2057" t="s">
        <v>5852</v>
      </c>
      <c r="C1" s="2058">
        <v>2000</v>
      </c>
      <c r="D1" s="2058">
        <v>2001</v>
      </c>
      <c r="E1" s="2058">
        <v>2002</v>
      </c>
      <c r="F1" s="2058">
        <v>2003</v>
      </c>
      <c r="G1" s="2058">
        <v>2004</v>
      </c>
      <c r="H1" s="2058">
        <v>2005</v>
      </c>
      <c r="I1" s="2058">
        <v>2006</v>
      </c>
      <c r="J1" s="2058">
        <v>2007</v>
      </c>
      <c r="K1" s="2058">
        <v>2008</v>
      </c>
      <c r="L1" s="2058">
        <v>2009</v>
      </c>
      <c r="M1" s="2058">
        <v>2010</v>
      </c>
      <c r="N1" s="2058">
        <v>2011</v>
      </c>
      <c r="O1" s="2058">
        <v>2012</v>
      </c>
      <c r="P1" s="2058">
        <v>2013</v>
      </c>
      <c r="Q1" s="2058">
        <v>2014</v>
      </c>
      <c r="R1" s="2058">
        <v>2015</v>
      </c>
      <c r="S1" s="2058">
        <v>2016</v>
      </c>
      <c r="T1" s="2058">
        <v>2017</v>
      </c>
      <c r="U1" s="2058">
        <v>2018</v>
      </c>
      <c r="V1" s="2058">
        <v>2019</v>
      </c>
      <c r="W1" s="2058">
        <v>2020</v>
      </c>
      <c r="X1" s="2058">
        <v>2021</v>
      </c>
    </row>
    <row r="2" spans="1:24" ht="11.25" customHeight="1">
      <c r="A2" s="2060" t="s">
        <v>1265</v>
      </c>
      <c r="B2" s="2060" t="s">
        <v>5738</v>
      </c>
      <c r="C2" s="2061">
        <v>7903.114265648991</v>
      </c>
      <c r="D2" s="2061">
        <v>8116.6777554290147</v>
      </c>
      <c r="E2" s="2061">
        <v>7786.955549445137</v>
      </c>
      <c r="F2" s="2061">
        <v>8372.7357654130192</v>
      </c>
      <c r="G2" s="2061">
        <v>8534.5876614076114</v>
      </c>
      <c r="H2" s="2061">
        <v>8168.2974040075924</v>
      </c>
      <c r="I2" s="2061">
        <v>7960.6090500287291</v>
      </c>
      <c r="J2" s="2061">
        <v>8048.9764396013661</v>
      </c>
      <c r="K2" s="2061">
        <v>7620.316686491853</v>
      </c>
      <c r="L2" s="2061">
        <v>6609.572050763205</v>
      </c>
      <c r="M2" s="2061">
        <v>7209.1986953616888</v>
      </c>
      <c r="N2" s="2061">
        <v>6970.2776744777766</v>
      </c>
      <c r="O2" s="2061">
        <v>6990.5928031038948</v>
      </c>
      <c r="P2" s="2061">
        <v>7157.1658580446401</v>
      </c>
      <c r="Q2" s="2061">
        <v>6819.5574207925956</v>
      </c>
      <c r="R2" s="2061">
        <v>6848.1310827617863</v>
      </c>
      <c r="S2" s="2061">
        <v>7312.2467199409093</v>
      </c>
      <c r="T2" s="2061">
        <v>7407.4817893164336</v>
      </c>
      <c r="U2" s="2061">
        <v>7541.5283091164929</v>
      </c>
      <c r="V2" s="2061">
        <v>7418.4927259860069</v>
      </c>
      <c r="W2" s="2061">
        <v>6740.0749777418823</v>
      </c>
      <c r="X2" s="2061">
        <v>7101.3573241381127</v>
      </c>
    </row>
    <row r="3" spans="1:24" ht="11.25" customHeight="1">
      <c r="A3" s="2062" t="s">
        <v>5739</v>
      </c>
      <c r="B3" s="2063" t="s">
        <v>5740</v>
      </c>
      <c r="C3" s="2064">
        <v>297.80283748925189</v>
      </c>
      <c r="D3" s="2064">
        <v>248.21212381771281</v>
      </c>
      <c r="E3" s="2064">
        <v>211.87936371453134</v>
      </c>
      <c r="F3" s="2064">
        <v>192.61685296646601</v>
      </c>
      <c r="G3" s="2064">
        <v>118.2517626827171</v>
      </c>
      <c r="H3" s="2064">
        <v>102.29896818572655</v>
      </c>
      <c r="I3" s="2064">
        <v>104.31805674978503</v>
      </c>
      <c r="J3" s="2064">
        <v>99.089509888220107</v>
      </c>
      <c r="K3" s="2064">
        <v>81.11556319862423</v>
      </c>
      <c r="L3" s="2064">
        <v>55.169217540842638</v>
      </c>
      <c r="M3" s="2064">
        <v>65.282631126397249</v>
      </c>
      <c r="N3" s="2064">
        <v>60.124763542562334</v>
      </c>
      <c r="O3" s="2064">
        <v>54.682201203783329</v>
      </c>
      <c r="P3" s="2064">
        <v>49.796560619088552</v>
      </c>
      <c r="Q3" s="2064">
        <v>36.261736887360271</v>
      </c>
      <c r="R3" s="2064">
        <v>29.356577815993113</v>
      </c>
      <c r="S3" s="2064">
        <v>199.88168529664659</v>
      </c>
      <c r="T3" s="2064">
        <v>206.91797076526217</v>
      </c>
      <c r="U3" s="2064">
        <v>156.1709372312983</v>
      </c>
      <c r="V3" s="2064">
        <v>200.96328460877044</v>
      </c>
      <c r="W3" s="2064">
        <v>169.48099742046426</v>
      </c>
      <c r="X3" s="2064">
        <v>174.98108340498712</v>
      </c>
    </row>
    <row r="4" spans="1:24" ht="11.25" customHeight="1">
      <c r="A4" s="2065" t="s">
        <v>5741</v>
      </c>
      <c r="B4" s="2066" t="s">
        <v>5742</v>
      </c>
      <c r="C4" s="2067">
        <v>214.9772141014617</v>
      </c>
      <c r="D4" s="2067">
        <v>176.11453138435081</v>
      </c>
      <c r="E4" s="2067">
        <v>145.69931212381766</v>
      </c>
      <c r="F4" s="2067">
        <v>129.57153912295786</v>
      </c>
      <c r="G4" s="2067">
        <v>46.694239036973336</v>
      </c>
      <c r="H4" s="2067">
        <v>42.384178847807398</v>
      </c>
      <c r="I4" s="2067">
        <v>44.080653482373172</v>
      </c>
      <c r="J4" s="2067">
        <v>32.162252794496993</v>
      </c>
      <c r="K4" s="2067">
        <v>26.087704213241611</v>
      </c>
      <c r="L4" s="2067">
        <v>21.247635425623386</v>
      </c>
      <c r="M4" s="2067">
        <v>24.562596732588137</v>
      </c>
      <c r="N4" s="2067">
        <v>21.233619948409281</v>
      </c>
      <c r="O4" s="2067">
        <v>20.115563198624248</v>
      </c>
      <c r="P4" s="2067">
        <v>18.323817712811689</v>
      </c>
      <c r="Q4" s="2067">
        <v>15.132932072227</v>
      </c>
      <c r="R4" s="2067">
        <v>15.609286328460872</v>
      </c>
      <c r="S4" s="2067">
        <v>186.55812553740324</v>
      </c>
      <c r="T4" s="2067">
        <v>186.59398108340491</v>
      </c>
      <c r="U4" s="2067">
        <v>134.56259673258808</v>
      </c>
      <c r="V4" s="2067">
        <v>185.66268271711093</v>
      </c>
      <c r="W4" s="2067">
        <v>163.15907136715387</v>
      </c>
      <c r="X4" s="2067">
        <v>164.83447979363714</v>
      </c>
    </row>
    <row r="5" spans="1:24" ht="11.25" customHeight="1">
      <c r="A5" s="2068" t="s">
        <v>4613</v>
      </c>
      <c r="B5" s="2069" t="s">
        <v>5743</v>
      </c>
      <c r="C5" s="2070">
        <v>0</v>
      </c>
      <c r="D5" s="2070">
        <v>0</v>
      </c>
      <c r="E5" s="2070">
        <v>0</v>
      </c>
      <c r="F5" s="2070">
        <v>0</v>
      </c>
      <c r="G5" s="2070">
        <v>0</v>
      </c>
      <c r="H5" s="2070">
        <v>0</v>
      </c>
      <c r="I5" s="2070">
        <v>0</v>
      </c>
      <c r="J5" s="2070">
        <v>0</v>
      </c>
      <c r="K5" s="2070">
        <v>0</v>
      </c>
      <c r="L5" s="2070">
        <v>0</v>
      </c>
      <c r="M5" s="2070">
        <v>0</v>
      </c>
      <c r="N5" s="2070">
        <v>0</v>
      </c>
      <c r="O5" s="2070">
        <v>0</v>
      </c>
      <c r="P5" s="2070">
        <v>0</v>
      </c>
      <c r="Q5" s="2070">
        <v>0</v>
      </c>
      <c r="R5" s="2070">
        <v>0</v>
      </c>
      <c r="S5" s="2070">
        <v>0</v>
      </c>
      <c r="T5" s="2070">
        <v>1.375752364574377E-3</v>
      </c>
      <c r="U5" s="2070">
        <v>0</v>
      </c>
      <c r="V5" s="2070">
        <v>0</v>
      </c>
      <c r="W5" s="2070">
        <v>0</v>
      </c>
      <c r="X5" s="2070">
        <v>0</v>
      </c>
    </row>
    <row r="6" spans="1:24" ht="11.25" customHeight="1">
      <c r="A6" s="2068" t="s">
        <v>4647</v>
      </c>
      <c r="B6" s="2069" t="s">
        <v>5744</v>
      </c>
      <c r="C6" s="2070">
        <v>0</v>
      </c>
      <c r="D6" s="2070">
        <v>0.68048151332760098</v>
      </c>
      <c r="E6" s="2070">
        <v>1.349785038693035</v>
      </c>
      <c r="F6" s="2070">
        <v>0</v>
      </c>
      <c r="G6" s="2070">
        <v>0</v>
      </c>
      <c r="H6" s="2070">
        <v>0</v>
      </c>
      <c r="I6" s="2070">
        <v>0</v>
      </c>
      <c r="J6" s="2070">
        <v>0</v>
      </c>
      <c r="K6" s="2070">
        <v>0</v>
      </c>
      <c r="L6" s="2070">
        <v>0</v>
      </c>
      <c r="M6" s="2070">
        <v>0</v>
      </c>
      <c r="N6" s="2070">
        <v>0</v>
      </c>
      <c r="O6" s="2070">
        <v>0</v>
      </c>
      <c r="P6" s="2070">
        <v>0</v>
      </c>
      <c r="Q6" s="2070">
        <v>0</v>
      </c>
      <c r="R6" s="2070">
        <v>0</v>
      </c>
      <c r="S6" s="2070">
        <v>0</v>
      </c>
      <c r="T6" s="2070">
        <v>0</v>
      </c>
      <c r="U6" s="2070">
        <v>0</v>
      </c>
      <c r="V6" s="2070">
        <v>0</v>
      </c>
      <c r="W6" s="2070">
        <v>0</v>
      </c>
      <c r="X6" s="2070">
        <v>0</v>
      </c>
    </row>
    <row r="7" spans="1:24" ht="11.25" customHeight="1">
      <c r="A7" s="2068" t="s">
        <v>4648</v>
      </c>
      <c r="B7" s="2069" t="s">
        <v>5745</v>
      </c>
      <c r="C7" s="2070">
        <v>214.9772141014617</v>
      </c>
      <c r="D7" s="2070">
        <v>175.43404987102321</v>
      </c>
      <c r="E7" s="2070">
        <v>144.34952708512463</v>
      </c>
      <c r="F7" s="2070">
        <v>129.57153912295786</v>
      </c>
      <c r="G7" s="2070">
        <v>46.694239036973336</v>
      </c>
      <c r="H7" s="2070">
        <v>42.384178847807398</v>
      </c>
      <c r="I7" s="2070">
        <v>44.080653482373172</v>
      </c>
      <c r="J7" s="2070">
        <v>32.162252794496993</v>
      </c>
      <c r="K7" s="2070">
        <v>26.087704213241611</v>
      </c>
      <c r="L7" s="2070">
        <v>21.247635425623386</v>
      </c>
      <c r="M7" s="2070">
        <v>24.562596732588137</v>
      </c>
      <c r="N7" s="2070">
        <v>21.233619948409281</v>
      </c>
      <c r="O7" s="2070">
        <v>20.115563198624248</v>
      </c>
      <c r="P7" s="2070">
        <v>18.323817712811689</v>
      </c>
      <c r="Q7" s="2070">
        <v>15.132932072227</v>
      </c>
      <c r="R7" s="2070">
        <v>15.609286328460872</v>
      </c>
      <c r="S7" s="2070">
        <v>186.55812553740324</v>
      </c>
      <c r="T7" s="2070">
        <v>186.59260533104035</v>
      </c>
      <c r="U7" s="2070">
        <v>134.56259673258808</v>
      </c>
      <c r="V7" s="2070">
        <v>185.66268271711093</v>
      </c>
      <c r="W7" s="2070">
        <v>163.15907136715387</v>
      </c>
      <c r="X7" s="2070">
        <v>164.83447979363714</v>
      </c>
    </row>
    <row r="8" spans="1:24" ht="11.25" customHeight="1">
      <c r="A8" s="2065" t="s">
        <v>5746</v>
      </c>
      <c r="B8" s="2066" t="s">
        <v>5747</v>
      </c>
      <c r="C8" s="2067">
        <v>30.604471195184864</v>
      </c>
      <c r="D8" s="2067">
        <v>19.342218400687869</v>
      </c>
      <c r="E8" s="2067">
        <v>19.57884780739467</v>
      </c>
      <c r="F8" s="2067">
        <v>22.898710232158209</v>
      </c>
      <c r="G8" s="2067">
        <v>16.733791917454852</v>
      </c>
      <c r="H8" s="2067">
        <v>13.233619948409284</v>
      </c>
      <c r="I8" s="2067">
        <v>9.3516766981943249</v>
      </c>
      <c r="J8" s="2067">
        <v>11.952192605331041</v>
      </c>
      <c r="K8" s="2067">
        <v>8.2385210662080812</v>
      </c>
      <c r="L8" s="2067">
        <v>7.5045571797076516</v>
      </c>
      <c r="M8" s="2067">
        <v>11.56749785038693</v>
      </c>
      <c r="N8" s="2067">
        <v>11.762252794496989</v>
      </c>
      <c r="O8" s="2067">
        <v>11.545485812553745</v>
      </c>
      <c r="P8" s="2067">
        <v>11.252794496990541</v>
      </c>
      <c r="Q8" s="2067">
        <v>8.4126397248495266</v>
      </c>
      <c r="R8" s="2067">
        <v>7.7283748925193461</v>
      </c>
      <c r="S8" s="2067">
        <v>7.3046431642304377</v>
      </c>
      <c r="T8" s="2067">
        <v>7.8258813413585546</v>
      </c>
      <c r="U8" s="2067">
        <v>7.1660361134995707</v>
      </c>
      <c r="V8" s="2067">
        <v>3.9676698194325013</v>
      </c>
      <c r="W8" s="2067">
        <v>4.9606190885640569</v>
      </c>
      <c r="X8" s="2067">
        <v>4.7601031814273425</v>
      </c>
    </row>
    <row r="9" spans="1:24" ht="11.25" customHeight="1">
      <c r="A9" s="2068" t="s">
        <v>4649</v>
      </c>
      <c r="B9" s="2069" t="s">
        <v>5748</v>
      </c>
      <c r="C9" s="2070">
        <v>0</v>
      </c>
      <c r="D9" s="2070">
        <v>0</v>
      </c>
      <c r="E9" s="2070">
        <v>0.41324161650902841</v>
      </c>
      <c r="F9" s="2070">
        <v>0</v>
      </c>
      <c r="G9" s="2070">
        <v>0</v>
      </c>
      <c r="H9" s="2070">
        <v>0</v>
      </c>
      <c r="I9" s="2070">
        <v>0</v>
      </c>
      <c r="J9" s="2070">
        <v>0.48693035253654338</v>
      </c>
      <c r="K9" s="2070">
        <v>0</v>
      </c>
      <c r="L9" s="2070">
        <v>0</v>
      </c>
      <c r="M9" s="2070">
        <v>0</v>
      </c>
      <c r="N9" s="2070">
        <v>0</v>
      </c>
      <c r="O9" s="2070">
        <v>0</v>
      </c>
      <c r="P9" s="2070">
        <v>0</v>
      </c>
      <c r="Q9" s="2070">
        <v>0</v>
      </c>
      <c r="R9" s="2070">
        <v>0</v>
      </c>
      <c r="S9" s="2070">
        <v>0</v>
      </c>
      <c r="T9" s="2070">
        <v>0</v>
      </c>
      <c r="U9" s="2070">
        <v>0</v>
      </c>
      <c r="V9" s="2070">
        <v>0</v>
      </c>
      <c r="W9" s="2070">
        <v>0</v>
      </c>
      <c r="X9" s="2070">
        <v>0</v>
      </c>
    </row>
    <row r="10" spans="1:24" ht="11.25" customHeight="1">
      <c r="A10" s="2068" t="s">
        <v>4290</v>
      </c>
      <c r="B10" s="2069" t="s">
        <v>5749</v>
      </c>
      <c r="C10" s="2070">
        <v>30.604471195184864</v>
      </c>
      <c r="D10" s="2070">
        <v>19.342218400687869</v>
      </c>
      <c r="E10" s="2070">
        <v>19.16560619088564</v>
      </c>
      <c r="F10" s="2070">
        <v>22.898710232158209</v>
      </c>
      <c r="G10" s="2070">
        <v>16.733791917454852</v>
      </c>
      <c r="H10" s="2070">
        <v>13.233619948409284</v>
      </c>
      <c r="I10" s="2070">
        <v>9.3516766981943249</v>
      </c>
      <c r="J10" s="2070">
        <v>11.465262252794497</v>
      </c>
      <c r="K10" s="2070">
        <v>8.2385210662080812</v>
      </c>
      <c r="L10" s="2070">
        <v>7.5045571797076516</v>
      </c>
      <c r="M10" s="2070">
        <v>11.56749785038693</v>
      </c>
      <c r="N10" s="2070">
        <v>11.762252794496989</v>
      </c>
      <c r="O10" s="2070">
        <v>11.545485812553745</v>
      </c>
      <c r="P10" s="2070">
        <v>11.252794496990541</v>
      </c>
      <c r="Q10" s="2070">
        <v>8.4126397248495266</v>
      </c>
      <c r="R10" s="2070">
        <v>7.7283748925193461</v>
      </c>
      <c r="S10" s="2070">
        <v>7.3046431642304377</v>
      </c>
      <c r="T10" s="2070">
        <v>7.8258813413585546</v>
      </c>
      <c r="U10" s="2070">
        <v>7.1660361134995707</v>
      </c>
      <c r="V10" s="2070">
        <v>3.9676698194325013</v>
      </c>
      <c r="W10" s="2070">
        <v>4.9606190885640569</v>
      </c>
      <c r="X10" s="2070">
        <v>4.7601031814273425</v>
      </c>
    </row>
    <row r="11" spans="1:24" ht="11.25" customHeight="1">
      <c r="A11" s="2065" t="s">
        <v>5750</v>
      </c>
      <c r="B11" s="2066" t="s">
        <v>5751</v>
      </c>
      <c r="C11" s="2067">
        <v>52.221152192605309</v>
      </c>
      <c r="D11" s="2067">
        <v>52.755374032674119</v>
      </c>
      <c r="E11" s="2067">
        <v>46.601203783319001</v>
      </c>
      <c r="F11" s="2067">
        <v>40.14660361134996</v>
      </c>
      <c r="G11" s="2067">
        <v>54.823731728288905</v>
      </c>
      <c r="H11" s="2067">
        <v>46.681169389509876</v>
      </c>
      <c r="I11" s="2067">
        <v>50.885726569217525</v>
      </c>
      <c r="J11" s="2067">
        <v>54.975064488392064</v>
      </c>
      <c r="K11" s="2067">
        <v>46.789337919174535</v>
      </c>
      <c r="L11" s="2067">
        <v>26.417024935511602</v>
      </c>
      <c r="M11" s="2067">
        <v>29.152536543422183</v>
      </c>
      <c r="N11" s="2067">
        <v>27.128890799656059</v>
      </c>
      <c r="O11" s="2067">
        <v>23.021152192605335</v>
      </c>
      <c r="P11" s="2067">
        <v>20.219948409286328</v>
      </c>
      <c r="Q11" s="2067">
        <v>12.716165090283749</v>
      </c>
      <c r="R11" s="2067">
        <v>6.0189165950128984</v>
      </c>
      <c r="S11" s="2067">
        <v>6.0189165950128984</v>
      </c>
      <c r="T11" s="2067">
        <v>12.498108340498709</v>
      </c>
      <c r="U11" s="2067">
        <v>14.442304385210662</v>
      </c>
      <c r="V11" s="2067">
        <v>11.332932072226999</v>
      </c>
      <c r="W11" s="2067">
        <v>1.3613069647463454</v>
      </c>
      <c r="X11" s="2067">
        <v>5.3865004299226138</v>
      </c>
    </row>
    <row r="12" spans="1:24" ht="11.25" customHeight="1">
      <c r="A12" s="2068" t="s">
        <v>4650</v>
      </c>
      <c r="B12" s="2069" t="s">
        <v>5752</v>
      </c>
      <c r="C12" s="2070">
        <v>0</v>
      </c>
      <c r="D12" s="2070">
        <v>0</v>
      </c>
      <c r="E12" s="2070">
        <v>0</v>
      </c>
      <c r="F12" s="2070">
        <v>0</v>
      </c>
      <c r="G12" s="2070">
        <v>0</v>
      </c>
      <c r="H12" s="2070">
        <v>0</v>
      </c>
      <c r="I12" s="2070">
        <v>0</v>
      </c>
      <c r="J12" s="2070">
        <v>0</v>
      </c>
      <c r="K12" s="2070">
        <v>0</v>
      </c>
      <c r="L12" s="2070">
        <v>0</v>
      </c>
      <c r="M12" s="2070">
        <v>0</v>
      </c>
      <c r="N12" s="2070">
        <v>0</v>
      </c>
      <c r="O12" s="2070">
        <v>0</v>
      </c>
      <c r="P12" s="2070">
        <v>0</v>
      </c>
      <c r="Q12" s="2070">
        <v>0</v>
      </c>
      <c r="R12" s="2070">
        <v>0</v>
      </c>
      <c r="S12" s="2070">
        <v>0</v>
      </c>
      <c r="T12" s="2070">
        <v>0</v>
      </c>
      <c r="U12" s="2070">
        <v>0</v>
      </c>
      <c r="V12" s="2070">
        <v>0</v>
      </c>
      <c r="W12" s="2070">
        <v>0</v>
      </c>
      <c r="X12" s="2070">
        <v>0</v>
      </c>
    </row>
    <row r="13" spans="1:24" ht="11.25" customHeight="1">
      <c r="A13" s="2068" t="s">
        <v>4651</v>
      </c>
      <c r="B13" s="2069" t="s">
        <v>5753</v>
      </c>
      <c r="C13" s="2070">
        <v>52.221152192605309</v>
      </c>
      <c r="D13" s="2070">
        <v>52.755374032674119</v>
      </c>
      <c r="E13" s="2070">
        <v>46.601203783319001</v>
      </c>
      <c r="F13" s="2070">
        <v>40.14660361134996</v>
      </c>
      <c r="G13" s="2070">
        <v>54.823731728288905</v>
      </c>
      <c r="H13" s="2070">
        <v>46.681169389509876</v>
      </c>
      <c r="I13" s="2070">
        <v>50.885726569217525</v>
      </c>
      <c r="J13" s="2070">
        <v>54.975064488392064</v>
      </c>
      <c r="K13" s="2070">
        <v>46.789337919174535</v>
      </c>
      <c r="L13" s="2070">
        <v>26.417024935511602</v>
      </c>
      <c r="M13" s="2070">
        <v>29.152536543422183</v>
      </c>
      <c r="N13" s="2070">
        <v>27.128890799656059</v>
      </c>
      <c r="O13" s="2070">
        <v>23.021152192605335</v>
      </c>
      <c r="P13" s="2070">
        <v>20.219948409286328</v>
      </c>
      <c r="Q13" s="2070">
        <v>12.716165090283749</v>
      </c>
      <c r="R13" s="2070">
        <v>6.0189165950128984</v>
      </c>
      <c r="S13" s="2070">
        <v>6.0189165950128984</v>
      </c>
      <c r="T13" s="2070">
        <v>12.467411865864143</v>
      </c>
      <c r="U13" s="2070">
        <v>14.442304385210662</v>
      </c>
      <c r="V13" s="2070">
        <v>11.332932072226999</v>
      </c>
      <c r="W13" s="2070">
        <v>1.3613069647463454</v>
      </c>
      <c r="X13" s="2070">
        <v>5.3865004299226138</v>
      </c>
    </row>
    <row r="14" spans="1:24" ht="11.25" customHeight="1">
      <c r="A14" s="2068" t="s">
        <v>4652</v>
      </c>
      <c r="B14" s="2069" t="s">
        <v>5754</v>
      </c>
      <c r="C14" s="2070">
        <v>0</v>
      </c>
      <c r="D14" s="2070">
        <v>0</v>
      </c>
      <c r="E14" s="2070">
        <v>0</v>
      </c>
      <c r="F14" s="2070">
        <v>0</v>
      </c>
      <c r="G14" s="2070">
        <v>0</v>
      </c>
      <c r="H14" s="2070">
        <v>0</v>
      </c>
      <c r="I14" s="2070">
        <v>0</v>
      </c>
      <c r="J14" s="2070">
        <v>0</v>
      </c>
      <c r="K14" s="2070">
        <v>0</v>
      </c>
      <c r="L14" s="2070">
        <v>0</v>
      </c>
      <c r="M14" s="2070">
        <v>0</v>
      </c>
      <c r="N14" s="2070">
        <v>0</v>
      </c>
      <c r="O14" s="2070">
        <v>0</v>
      </c>
      <c r="P14" s="2070">
        <v>0</v>
      </c>
      <c r="Q14" s="2070">
        <v>0</v>
      </c>
      <c r="R14" s="2070">
        <v>0</v>
      </c>
      <c r="S14" s="2070">
        <v>0</v>
      </c>
      <c r="T14" s="2070">
        <v>0</v>
      </c>
      <c r="U14" s="2070">
        <v>0</v>
      </c>
      <c r="V14" s="2070">
        <v>0</v>
      </c>
      <c r="W14" s="2070">
        <v>0</v>
      </c>
      <c r="X14" s="2070">
        <v>0</v>
      </c>
    </row>
    <row r="15" spans="1:24" ht="11.25" customHeight="1">
      <c r="A15" s="2068" t="s">
        <v>4653</v>
      </c>
      <c r="B15" s="2069" t="s">
        <v>5755</v>
      </c>
      <c r="C15" s="2070">
        <v>0</v>
      </c>
      <c r="D15" s="2070">
        <v>0</v>
      </c>
      <c r="E15" s="2070">
        <v>0</v>
      </c>
      <c r="F15" s="2070">
        <v>0</v>
      </c>
      <c r="G15" s="2070">
        <v>0</v>
      </c>
      <c r="H15" s="2070">
        <v>0</v>
      </c>
      <c r="I15" s="2070">
        <v>0</v>
      </c>
      <c r="J15" s="2070">
        <v>0</v>
      </c>
      <c r="K15" s="2070">
        <v>0</v>
      </c>
      <c r="L15" s="2070">
        <v>0</v>
      </c>
      <c r="M15" s="2070">
        <v>0</v>
      </c>
      <c r="N15" s="2070">
        <v>0</v>
      </c>
      <c r="O15" s="2070">
        <v>0</v>
      </c>
      <c r="P15" s="2070">
        <v>0</v>
      </c>
      <c r="Q15" s="2070">
        <v>0</v>
      </c>
      <c r="R15" s="2070">
        <v>0</v>
      </c>
      <c r="S15" s="2070">
        <v>0</v>
      </c>
      <c r="T15" s="2070">
        <v>0</v>
      </c>
      <c r="U15" s="2070">
        <v>0</v>
      </c>
      <c r="V15" s="2070">
        <v>0</v>
      </c>
      <c r="W15" s="2070">
        <v>0</v>
      </c>
      <c r="X15" s="2070">
        <v>0</v>
      </c>
    </row>
    <row r="16" spans="1:24" ht="11.25" customHeight="1">
      <c r="A16" s="2068" t="s">
        <v>5756</v>
      </c>
      <c r="B16" s="2069" t="s">
        <v>5757</v>
      </c>
      <c r="C16" s="2070">
        <v>0</v>
      </c>
      <c r="D16" s="2070">
        <v>0</v>
      </c>
      <c r="E16" s="2070">
        <v>0</v>
      </c>
      <c r="F16" s="2070">
        <v>0</v>
      </c>
      <c r="G16" s="2070">
        <v>0</v>
      </c>
      <c r="H16" s="2070">
        <v>0</v>
      </c>
      <c r="I16" s="2070">
        <v>0</v>
      </c>
      <c r="J16" s="2070">
        <v>0</v>
      </c>
      <c r="K16" s="2070">
        <v>0</v>
      </c>
      <c r="L16" s="2070">
        <v>0</v>
      </c>
      <c r="M16" s="2070">
        <v>0</v>
      </c>
      <c r="N16" s="2070">
        <v>0</v>
      </c>
      <c r="O16" s="2070">
        <v>0</v>
      </c>
      <c r="P16" s="2070">
        <v>0</v>
      </c>
      <c r="Q16" s="2070">
        <v>0</v>
      </c>
      <c r="R16" s="2070">
        <v>0</v>
      </c>
      <c r="S16" s="2070">
        <v>0</v>
      </c>
      <c r="T16" s="2070">
        <v>3.0696474634565776E-2</v>
      </c>
      <c r="U16" s="2070">
        <v>0</v>
      </c>
      <c r="V16" s="2070">
        <v>0</v>
      </c>
      <c r="W16" s="2070">
        <v>0</v>
      </c>
      <c r="X16" s="2070">
        <v>0</v>
      </c>
    </row>
    <row r="17" spans="1:24" ht="11.25" customHeight="1">
      <c r="A17" s="2071" t="s">
        <v>5758</v>
      </c>
      <c r="B17" s="2072" t="s">
        <v>5759</v>
      </c>
      <c r="C17" s="2073">
        <v>12.59673258813414</v>
      </c>
      <c r="D17" s="2073">
        <v>11.306964746345654</v>
      </c>
      <c r="E17" s="2073">
        <v>10.576096302665521</v>
      </c>
      <c r="F17" s="2073">
        <v>0</v>
      </c>
      <c r="G17" s="2073">
        <v>6.4488392089423904E-2</v>
      </c>
      <c r="H17" s="2073">
        <v>0</v>
      </c>
      <c r="I17" s="2073">
        <v>10.361134995700773</v>
      </c>
      <c r="J17" s="2073">
        <v>9.0498710232158217</v>
      </c>
      <c r="K17" s="2073">
        <v>9.114359415305243</v>
      </c>
      <c r="L17" s="2073">
        <v>7.9320722269991393</v>
      </c>
      <c r="M17" s="2073">
        <v>8.3619948409286327</v>
      </c>
      <c r="N17" s="2073">
        <v>37.231298366294062</v>
      </c>
      <c r="O17" s="2073">
        <v>36.758383490971617</v>
      </c>
      <c r="P17" s="2073">
        <v>31.384350816852962</v>
      </c>
      <c r="Q17" s="2073">
        <v>35.877042132416157</v>
      </c>
      <c r="R17" s="2073">
        <v>39.746345657781603</v>
      </c>
      <c r="S17" s="2073">
        <v>39.853826311263973</v>
      </c>
      <c r="T17" s="2073">
        <v>37.274290627687023</v>
      </c>
      <c r="U17" s="2073">
        <v>32.437661220980218</v>
      </c>
      <c r="V17" s="2073">
        <v>27.214101461736881</v>
      </c>
      <c r="W17" s="2073">
        <v>20.031556319862421</v>
      </c>
      <c r="X17" s="2073">
        <v>14.28873602751505</v>
      </c>
    </row>
    <row r="18" spans="1:24" ht="11.25" customHeight="1">
      <c r="A18" s="2074" t="s">
        <v>4654</v>
      </c>
      <c r="B18" s="2069" t="s">
        <v>5760</v>
      </c>
      <c r="C18" s="2070">
        <v>0.3869303525365434</v>
      </c>
      <c r="D18" s="2070">
        <v>0.32244196044711948</v>
      </c>
      <c r="E18" s="2070">
        <v>0.27944969905417022</v>
      </c>
      <c r="F18" s="2070">
        <v>0</v>
      </c>
      <c r="G18" s="2070">
        <v>6.4488392089423904E-2</v>
      </c>
      <c r="H18" s="2070">
        <v>0</v>
      </c>
      <c r="I18" s="2070">
        <v>0.96732588134135844</v>
      </c>
      <c r="J18" s="2070">
        <v>0.68787618228718828</v>
      </c>
      <c r="K18" s="2070">
        <v>6.4488392089423904E-2</v>
      </c>
      <c r="L18" s="2070">
        <v>4.2992261392949267E-2</v>
      </c>
      <c r="M18" s="2070">
        <v>0</v>
      </c>
      <c r="N18" s="2070">
        <v>0</v>
      </c>
      <c r="O18" s="2070">
        <v>0</v>
      </c>
      <c r="P18" s="2070">
        <v>2.149613069647463E-2</v>
      </c>
      <c r="Q18" s="2070">
        <v>0</v>
      </c>
      <c r="R18" s="2070">
        <v>0</v>
      </c>
      <c r="S18" s="2070">
        <v>0</v>
      </c>
      <c r="T18" s="2070">
        <v>0</v>
      </c>
      <c r="U18" s="2070">
        <v>0</v>
      </c>
      <c r="V18" s="2070">
        <v>0</v>
      </c>
      <c r="W18" s="2070">
        <v>0</v>
      </c>
      <c r="X18" s="2070">
        <v>0</v>
      </c>
    </row>
    <row r="19" spans="1:24" ht="11.25" customHeight="1">
      <c r="A19" s="2074" t="s">
        <v>4655</v>
      </c>
      <c r="B19" s="2069" t="s">
        <v>5761</v>
      </c>
      <c r="C19" s="2070">
        <v>12.209802235597596</v>
      </c>
      <c r="D19" s="2070">
        <v>10.984522785898536</v>
      </c>
      <c r="E19" s="2070">
        <v>10.29664660361135</v>
      </c>
      <c r="F19" s="2070">
        <v>0</v>
      </c>
      <c r="G19" s="2070">
        <v>0</v>
      </c>
      <c r="H19" s="2070">
        <v>0</v>
      </c>
      <c r="I19" s="2070">
        <v>9.3938091143594153</v>
      </c>
      <c r="J19" s="2070">
        <v>8.3619948409286327</v>
      </c>
      <c r="K19" s="2070">
        <v>9.0498710232158199</v>
      </c>
      <c r="L19" s="2070">
        <v>7.8890799656061903</v>
      </c>
      <c r="M19" s="2070">
        <v>8.3619948409286327</v>
      </c>
      <c r="N19" s="2070">
        <v>37.231298366294062</v>
      </c>
      <c r="O19" s="2070">
        <v>36.758383490971617</v>
      </c>
      <c r="P19" s="2070">
        <v>31.362854686156489</v>
      </c>
      <c r="Q19" s="2070">
        <v>35.877042132416157</v>
      </c>
      <c r="R19" s="2070">
        <v>39.746345657781603</v>
      </c>
      <c r="S19" s="2070">
        <v>39.853826311263973</v>
      </c>
      <c r="T19" s="2070">
        <v>37.274290627687023</v>
      </c>
      <c r="U19" s="2070">
        <v>32.437661220980218</v>
      </c>
      <c r="V19" s="2070">
        <v>27.214101461736881</v>
      </c>
      <c r="W19" s="2070">
        <v>20.031556319862421</v>
      </c>
      <c r="X19" s="2070">
        <v>14.28873602751505</v>
      </c>
    </row>
    <row r="20" spans="1:24" ht="11.25" customHeight="1">
      <c r="A20" s="2074" t="s">
        <v>4656</v>
      </c>
      <c r="B20" s="2069" t="s">
        <v>5762</v>
      </c>
      <c r="C20" s="2070">
        <v>0</v>
      </c>
      <c r="D20" s="2070">
        <v>0</v>
      </c>
      <c r="E20" s="2070">
        <v>0</v>
      </c>
      <c r="F20" s="2070">
        <v>0</v>
      </c>
      <c r="G20" s="2070">
        <v>0</v>
      </c>
      <c r="H20" s="2070">
        <v>0</v>
      </c>
      <c r="I20" s="2070">
        <v>0</v>
      </c>
      <c r="J20" s="2070">
        <v>0</v>
      </c>
      <c r="K20" s="2070">
        <v>0</v>
      </c>
      <c r="L20" s="2070">
        <v>0</v>
      </c>
      <c r="M20" s="2070">
        <v>0</v>
      </c>
      <c r="N20" s="2070">
        <v>0</v>
      </c>
      <c r="O20" s="2070">
        <v>0</v>
      </c>
      <c r="P20" s="2070">
        <v>0</v>
      </c>
      <c r="Q20" s="2070">
        <v>0</v>
      </c>
      <c r="R20" s="2070">
        <v>0</v>
      </c>
      <c r="S20" s="2070">
        <v>0</v>
      </c>
      <c r="T20" s="2070">
        <v>0</v>
      </c>
      <c r="U20" s="2070">
        <v>0</v>
      </c>
      <c r="V20" s="2070">
        <v>0</v>
      </c>
      <c r="W20" s="2070">
        <v>0</v>
      </c>
      <c r="X20" s="2070">
        <v>0</v>
      </c>
    </row>
    <row r="21" spans="1:24" ht="11.25" customHeight="1">
      <c r="A21" s="2074" t="s">
        <v>4615</v>
      </c>
      <c r="B21" s="2069" t="s">
        <v>5763</v>
      </c>
      <c r="C21" s="2070">
        <v>0</v>
      </c>
      <c r="D21" s="2070">
        <v>0</v>
      </c>
      <c r="E21" s="2070">
        <v>0</v>
      </c>
      <c r="F21" s="2070">
        <v>0</v>
      </c>
      <c r="G21" s="2070">
        <v>0</v>
      </c>
      <c r="H21" s="2070">
        <v>0</v>
      </c>
      <c r="I21" s="2070">
        <v>0</v>
      </c>
      <c r="J21" s="2070">
        <v>0</v>
      </c>
      <c r="K21" s="2070">
        <v>0</v>
      </c>
      <c r="L21" s="2070">
        <v>0</v>
      </c>
      <c r="M21" s="2070">
        <v>0</v>
      </c>
      <c r="N21" s="2070">
        <v>0</v>
      </c>
      <c r="O21" s="2070">
        <v>0</v>
      </c>
      <c r="P21" s="2070">
        <v>0</v>
      </c>
      <c r="Q21" s="2070">
        <v>0</v>
      </c>
      <c r="R21" s="2070">
        <v>0</v>
      </c>
      <c r="S21" s="2070">
        <v>0</v>
      </c>
      <c r="T21" s="2070">
        <v>0</v>
      </c>
      <c r="U21" s="2070">
        <v>0</v>
      </c>
      <c r="V21" s="2070">
        <v>0</v>
      </c>
      <c r="W21" s="2070">
        <v>0</v>
      </c>
      <c r="X21" s="2070">
        <v>0</v>
      </c>
    </row>
    <row r="22" spans="1:24" ht="11.25" customHeight="1">
      <c r="A22" s="2071" t="s">
        <v>4741</v>
      </c>
      <c r="B22" s="2072" t="s">
        <v>5764</v>
      </c>
      <c r="C22" s="2073">
        <v>0</v>
      </c>
      <c r="D22" s="2073">
        <v>0</v>
      </c>
      <c r="E22" s="2073">
        <v>0</v>
      </c>
      <c r="F22" s="2073">
        <v>0</v>
      </c>
      <c r="G22" s="2073">
        <v>0</v>
      </c>
      <c r="H22" s="2073">
        <v>0</v>
      </c>
      <c r="I22" s="2073">
        <v>0</v>
      </c>
      <c r="J22" s="2073">
        <v>0</v>
      </c>
      <c r="K22" s="2073">
        <v>0</v>
      </c>
      <c r="L22" s="2073">
        <v>0</v>
      </c>
      <c r="M22" s="2073">
        <v>0</v>
      </c>
      <c r="N22" s="2073">
        <v>0</v>
      </c>
      <c r="O22" s="2073">
        <v>0</v>
      </c>
      <c r="P22" s="2073">
        <v>0</v>
      </c>
      <c r="Q22" s="2073">
        <v>0</v>
      </c>
      <c r="R22" s="2073">
        <v>0</v>
      </c>
      <c r="S22" s="2073">
        <v>0</v>
      </c>
      <c r="T22" s="2073">
        <v>0</v>
      </c>
      <c r="U22" s="2073">
        <v>0</v>
      </c>
      <c r="V22" s="2073">
        <v>0</v>
      </c>
      <c r="W22" s="2073">
        <v>0</v>
      </c>
      <c r="X22" s="2073">
        <v>0</v>
      </c>
    </row>
    <row r="23" spans="1:24" ht="11.25" customHeight="1">
      <c r="A23" s="2074" t="s">
        <v>559</v>
      </c>
      <c r="B23" s="2069" t="s">
        <v>5765</v>
      </c>
      <c r="C23" s="2070">
        <v>0</v>
      </c>
      <c r="D23" s="2070">
        <v>0</v>
      </c>
      <c r="E23" s="2070">
        <v>0</v>
      </c>
      <c r="F23" s="2070">
        <v>0</v>
      </c>
      <c r="G23" s="2070">
        <v>0</v>
      </c>
      <c r="H23" s="2070">
        <v>0</v>
      </c>
      <c r="I23" s="2070">
        <v>0</v>
      </c>
      <c r="J23" s="2070">
        <v>0</v>
      </c>
      <c r="K23" s="2070">
        <v>0</v>
      </c>
      <c r="L23" s="2070">
        <v>0</v>
      </c>
      <c r="M23" s="2070">
        <v>0</v>
      </c>
      <c r="N23" s="2070">
        <v>0</v>
      </c>
      <c r="O23" s="2070">
        <v>0</v>
      </c>
      <c r="P23" s="2070">
        <v>0</v>
      </c>
      <c r="Q23" s="2070">
        <v>0</v>
      </c>
      <c r="R23" s="2070">
        <v>0</v>
      </c>
      <c r="S23" s="2070">
        <v>0</v>
      </c>
      <c r="T23" s="2070">
        <v>0</v>
      </c>
      <c r="U23" s="2070">
        <v>0</v>
      </c>
      <c r="V23" s="2070">
        <v>0</v>
      </c>
      <c r="W23" s="2070">
        <v>0</v>
      </c>
      <c r="X23" s="2070">
        <v>0</v>
      </c>
    </row>
    <row r="24" spans="1:24" ht="11.25" customHeight="1">
      <c r="A24" s="2074" t="s">
        <v>4657</v>
      </c>
      <c r="B24" s="2069" t="s">
        <v>5766</v>
      </c>
      <c r="C24" s="2070">
        <v>0</v>
      </c>
      <c r="D24" s="2070">
        <v>0</v>
      </c>
      <c r="E24" s="2070">
        <v>0</v>
      </c>
      <c r="F24" s="2070">
        <v>0</v>
      </c>
      <c r="G24" s="2070">
        <v>0</v>
      </c>
      <c r="H24" s="2070">
        <v>0</v>
      </c>
      <c r="I24" s="2070">
        <v>0</v>
      </c>
      <c r="J24" s="2070">
        <v>0</v>
      </c>
      <c r="K24" s="2070">
        <v>0</v>
      </c>
      <c r="L24" s="2070">
        <v>0</v>
      </c>
      <c r="M24" s="2070">
        <v>0</v>
      </c>
      <c r="N24" s="2070">
        <v>0</v>
      </c>
      <c r="O24" s="2070">
        <v>0</v>
      </c>
      <c r="P24" s="2070">
        <v>0</v>
      </c>
      <c r="Q24" s="2070">
        <v>0</v>
      </c>
      <c r="R24" s="2070">
        <v>0</v>
      </c>
      <c r="S24" s="2070">
        <v>0</v>
      </c>
      <c r="T24" s="2070">
        <v>0</v>
      </c>
      <c r="U24" s="2070">
        <v>0</v>
      </c>
      <c r="V24" s="2070">
        <v>0</v>
      </c>
      <c r="W24" s="2070">
        <v>0</v>
      </c>
      <c r="X24" s="2070">
        <v>0</v>
      </c>
    </row>
    <row r="25" spans="1:24" ht="11.25" customHeight="1">
      <c r="A25" s="2071" t="s">
        <v>4658</v>
      </c>
      <c r="B25" s="2072" t="s">
        <v>5767</v>
      </c>
      <c r="C25" s="2073">
        <v>0</v>
      </c>
      <c r="D25" s="2073">
        <v>0</v>
      </c>
      <c r="E25" s="2073">
        <v>0</v>
      </c>
      <c r="F25" s="2073">
        <v>0</v>
      </c>
      <c r="G25" s="2073">
        <v>0</v>
      </c>
      <c r="H25" s="2073">
        <v>0</v>
      </c>
      <c r="I25" s="2073">
        <v>0</v>
      </c>
      <c r="J25" s="2073">
        <v>0</v>
      </c>
      <c r="K25" s="2073">
        <v>0</v>
      </c>
      <c r="L25" s="2073">
        <v>0</v>
      </c>
      <c r="M25" s="2073">
        <v>0</v>
      </c>
      <c r="N25" s="2073">
        <v>0</v>
      </c>
      <c r="O25" s="2073">
        <v>0</v>
      </c>
      <c r="P25" s="2073">
        <v>0</v>
      </c>
      <c r="Q25" s="2073">
        <v>0</v>
      </c>
      <c r="R25" s="2073">
        <v>0</v>
      </c>
      <c r="S25" s="2073">
        <v>0</v>
      </c>
      <c r="T25" s="2073">
        <v>0</v>
      </c>
      <c r="U25" s="2073">
        <v>0</v>
      </c>
      <c r="V25" s="2073">
        <v>0</v>
      </c>
      <c r="W25" s="2073">
        <v>0</v>
      </c>
      <c r="X25" s="2073">
        <v>0</v>
      </c>
    </row>
    <row r="26" spans="1:24" ht="11.25" customHeight="1">
      <c r="A26" s="2071" t="s">
        <v>3872</v>
      </c>
      <c r="B26" s="2072" t="s">
        <v>5768</v>
      </c>
      <c r="C26" s="2073">
        <v>684.18340498710234</v>
      </c>
      <c r="D26" s="2073">
        <v>721.17678417884781</v>
      </c>
      <c r="E26" s="2073">
        <v>623.6840928632846</v>
      </c>
      <c r="F26" s="2073">
        <v>566.1268271711092</v>
      </c>
      <c r="G26" s="2073">
        <v>524.98650042992267</v>
      </c>
      <c r="H26" s="2073">
        <v>492.87368873602747</v>
      </c>
      <c r="I26" s="2073">
        <v>514.63568357695613</v>
      </c>
      <c r="J26" s="2073">
        <v>470.88039552880474</v>
      </c>
      <c r="K26" s="2073">
        <v>394.02080825451412</v>
      </c>
      <c r="L26" s="2073">
        <v>349.19802235597587</v>
      </c>
      <c r="M26" s="2073">
        <v>373.52106620808246</v>
      </c>
      <c r="N26" s="2073">
        <v>283.16784178847809</v>
      </c>
      <c r="O26" s="2073">
        <v>263.20601891659493</v>
      </c>
      <c r="P26" s="2073">
        <v>214.36397248495268</v>
      </c>
      <c r="Q26" s="2073">
        <v>193.03740326741183</v>
      </c>
      <c r="R26" s="2073">
        <v>194.64772141014615</v>
      </c>
      <c r="S26" s="2073">
        <v>198.96371453138434</v>
      </c>
      <c r="T26" s="2073">
        <v>183.12029234737741</v>
      </c>
      <c r="U26" s="2073">
        <v>208.13877901977639</v>
      </c>
      <c r="V26" s="2073">
        <v>174.02141014617371</v>
      </c>
      <c r="W26" s="2073">
        <v>163.9030954428203</v>
      </c>
      <c r="X26" s="2073">
        <v>154.65528804815131</v>
      </c>
    </row>
    <row r="27" spans="1:24" ht="11.25" customHeight="1">
      <c r="A27" s="2065" t="s">
        <v>5769</v>
      </c>
      <c r="B27" s="2066" t="s">
        <v>5770</v>
      </c>
      <c r="C27" s="2067">
        <v>0</v>
      </c>
      <c r="D27" s="2067">
        <v>0</v>
      </c>
      <c r="E27" s="2067">
        <v>0</v>
      </c>
      <c r="F27" s="2067">
        <v>0</v>
      </c>
      <c r="G27" s="2067">
        <v>0</v>
      </c>
      <c r="H27" s="2067">
        <v>0</v>
      </c>
      <c r="I27" s="2067">
        <v>0</v>
      </c>
      <c r="J27" s="2067">
        <v>0</v>
      </c>
      <c r="K27" s="2067">
        <v>0</v>
      </c>
      <c r="L27" s="2067">
        <v>0</v>
      </c>
      <c r="M27" s="2067">
        <v>0</v>
      </c>
      <c r="N27" s="2067">
        <v>0</v>
      </c>
      <c r="O27" s="2067">
        <v>0</v>
      </c>
      <c r="P27" s="2067">
        <v>0</v>
      </c>
      <c r="Q27" s="2067">
        <v>0</v>
      </c>
      <c r="R27" s="2067">
        <v>0</v>
      </c>
      <c r="S27" s="2067">
        <v>0</v>
      </c>
      <c r="T27" s="2067">
        <v>0</v>
      </c>
      <c r="U27" s="2067">
        <v>0</v>
      </c>
      <c r="V27" s="2067">
        <v>0</v>
      </c>
      <c r="W27" s="2067">
        <v>0</v>
      </c>
      <c r="X27" s="2067">
        <v>0</v>
      </c>
    </row>
    <row r="28" spans="1:24" ht="11.25" customHeight="1">
      <c r="A28" s="2068" t="s">
        <v>4659</v>
      </c>
      <c r="B28" s="2069" t="s">
        <v>5771</v>
      </c>
      <c r="C28" s="2070">
        <v>0</v>
      </c>
      <c r="D28" s="2070">
        <v>0</v>
      </c>
      <c r="E28" s="2070">
        <v>0</v>
      </c>
      <c r="F28" s="2070">
        <v>0</v>
      </c>
      <c r="G28" s="2070">
        <v>0</v>
      </c>
      <c r="H28" s="2070">
        <v>0</v>
      </c>
      <c r="I28" s="2070">
        <v>0</v>
      </c>
      <c r="J28" s="2070">
        <v>0</v>
      </c>
      <c r="K28" s="2070">
        <v>0</v>
      </c>
      <c r="L28" s="2070">
        <v>0</v>
      </c>
      <c r="M28" s="2070">
        <v>0</v>
      </c>
      <c r="N28" s="2070">
        <v>0</v>
      </c>
      <c r="O28" s="2070">
        <v>0</v>
      </c>
      <c r="P28" s="2070">
        <v>0</v>
      </c>
      <c r="Q28" s="2070">
        <v>0</v>
      </c>
      <c r="R28" s="2070">
        <v>0</v>
      </c>
      <c r="S28" s="2070">
        <v>0</v>
      </c>
      <c r="T28" s="2070">
        <v>0</v>
      </c>
      <c r="U28" s="2070">
        <v>0</v>
      </c>
      <c r="V28" s="2070">
        <v>0</v>
      </c>
      <c r="W28" s="2070">
        <v>0</v>
      </c>
      <c r="X28" s="2070">
        <v>0</v>
      </c>
    </row>
    <row r="29" spans="1:24" ht="11.25" customHeight="1">
      <c r="A29" s="2068" t="s">
        <v>4660</v>
      </c>
      <c r="B29" s="2069" t="s">
        <v>5772</v>
      </c>
      <c r="C29" s="2070">
        <v>0</v>
      </c>
      <c r="D29" s="2070">
        <v>0</v>
      </c>
      <c r="E29" s="2070">
        <v>0</v>
      </c>
      <c r="F29" s="2070">
        <v>0</v>
      </c>
      <c r="G29" s="2070">
        <v>0</v>
      </c>
      <c r="H29" s="2070">
        <v>0</v>
      </c>
      <c r="I29" s="2070">
        <v>0</v>
      </c>
      <c r="J29" s="2070">
        <v>0</v>
      </c>
      <c r="K29" s="2070">
        <v>0</v>
      </c>
      <c r="L29" s="2070">
        <v>0</v>
      </c>
      <c r="M29" s="2070">
        <v>0</v>
      </c>
      <c r="N29" s="2070">
        <v>0</v>
      </c>
      <c r="O29" s="2070">
        <v>0</v>
      </c>
      <c r="P29" s="2070">
        <v>0</v>
      </c>
      <c r="Q29" s="2070">
        <v>0</v>
      </c>
      <c r="R29" s="2070">
        <v>0</v>
      </c>
      <c r="S29" s="2070">
        <v>0</v>
      </c>
      <c r="T29" s="2070">
        <v>0</v>
      </c>
      <c r="U29" s="2070">
        <v>0</v>
      </c>
      <c r="V29" s="2070">
        <v>0</v>
      </c>
      <c r="W29" s="2070">
        <v>0</v>
      </c>
      <c r="X29" s="2070">
        <v>0</v>
      </c>
    </row>
    <row r="30" spans="1:24" ht="11.25" customHeight="1">
      <c r="A30" s="2068" t="s">
        <v>4661</v>
      </c>
      <c r="B30" s="2069" t="s">
        <v>5773</v>
      </c>
      <c r="C30" s="2070">
        <v>0</v>
      </c>
      <c r="D30" s="2070">
        <v>0</v>
      </c>
      <c r="E30" s="2070">
        <v>0</v>
      </c>
      <c r="F30" s="2070">
        <v>0</v>
      </c>
      <c r="G30" s="2070">
        <v>0</v>
      </c>
      <c r="H30" s="2070">
        <v>0</v>
      </c>
      <c r="I30" s="2070">
        <v>0</v>
      </c>
      <c r="J30" s="2070">
        <v>0</v>
      </c>
      <c r="K30" s="2070">
        <v>0</v>
      </c>
      <c r="L30" s="2070">
        <v>0</v>
      </c>
      <c r="M30" s="2070">
        <v>0</v>
      </c>
      <c r="N30" s="2070">
        <v>0</v>
      </c>
      <c r="O30" s="2070">
        <v>0</v>
      </c>
      <c r="P30" s="2070">
        <v>0</v>
      </c>
      <c r="Q30" s="2070">
        <v>0</v>
      </c>
      <c r="R30" s="2070">
        <v>0</v>
      </c>
      <c r="S30" s="2070">
        <v>0</v>
      </c>
      <c r="T30" s="2070">
        <v>0</v>
      </c>
      <c r="U30" s="2070">
        <v>0</v>
      </c>
      <c r="V30" s="2070">
        <v>0</v>
      </c>
      <c r="W30" s="2070">
        <v>0</v>
      </c>
      <c r="X30" s="2070">
        <v>0</v>
      </c>
    </row>
    <row r="31" spans="1:24" ht="11.25" customHeight="1">
      <c r="A31" s="2068" t="s">
        <v>5774</v>
      </c>
      <c r="B31" s="2069" t="s">
        <v>5775</v>
      </c>
      <c r="C31" s="2070">
        <v>0</v>
      </c>
      <c r="D31" s="2070">
        <v>0</v>
      </c>
      <c r="E31" s="2070">
        <v>0</v>
      </c>
      <c r="F31" s="2070">
        <v>0</v>
      </c>
      <c r="G31" s="2070">
        <v>0</v>
      </c>
      <c r="H31" s="2070">
        <v>0</v>
      </c>
      <c r="I31" s="2070">
        <v>0</v>
      </c>
      <c r="J31" s="2070">
        <v>0</v>
      </c>
      <c r="K31" s="2070">
        <v>0</v>
      </c>
      <c r="L31" s="2070">
        <v>0</v>
      </c>
      <c r="M31" s="2070">
        <v>0</v>
      </c>
      <c r="N31" s="2070">
        <v>0</v>
      </c>
      <c r="O31" s="2070">
        <v>0</v>
      </c>
      <c r="P31" s="2070">
        <v>0</v>
      </c>
      <c r="Q31" s="2070">
        <v>0</v>
      </c>
      <c r="R31" s="2070">
        <v>0</v>
      </c>
      <c r="S31" s="2070">
        <v>0</v>
      </c>
      <c r="T31" s="2070">
        <v>0</v>
      </c>
      <c r="U31" s="2070">
        <v>0</v>
      </c>
      <c r="V31" s="2070">
        <v>0</v>
      </c>
      <c r="W31" s="2070">
        <v>0</v>
      </c>
      <c r="X31" s="2070">
        <v>0</v>
      </c>
    </row>
    <row r="32" spans="1:24" ht="11.25" customHeight="1">
      <c r="A32" s="2068" t="s">
        <v>4662</v>
      </c>
      <c r="B32" s="2069" t="s">
        <v>5776</v>
      </c>
      <c r="C32" s="2070">
        <v>0</v>
      </c>
      <c r="D32" s="2070">
        <v>0</v>
      </c>
      <c r="E32" s="2070">
        <v>0</v>
      </c>
      <c r="F32" s="2070">
        <v>0</v>
      </c>
      <c r="G32" s="2070">
        <v>0</v>
      </c>
      <c r="H32" s="2070">
        <v>0</v>
      </c>
      <c r="I32" s="2070">
        <v>0</v>
      </c>
      <c r="J32" s="2070">
        <v>0</v>
      </c>
      <c r="K32" s="2070">
        <v>0</v>
      </c>
      <c r="L32" s="2070">
        <v>0</v>
      </c>
      <c r="M32" s="2070">
        <v>0</v>
      </c>
      <c r="N32" s="2070">
        <v>0</v>
      </c>
      <c r="O32" s="2070">
        <v>0</v>
      </c>
      <c r="P32" s="2070">
        <v>0</v>
      </c>
      <c r="Q32" s="2070">
        <v>0</v>
      </c>
      <c r="R32" s="2070">
        <v>0</v>
      </c>
      <c r="S32" s="2070">
        <v>0</v>
      </c>
      <c r="T32" s="2070">
        <v>0</v>
      </c>
      <c r="U32" s="2070">
        <v>0</v>
      </c>
      <c r="V32" s="2070">
        <v>0</v>
      </c>
      <c r="W32" s="2070">
        <v>0</v>
      </c>
      <c r="X32" s="2070">
        <v>0</v>
      </c>
    </row>
    <row r="33" spans="1:24" ht="11.25" customHeight="1">
      <c r="A33" s="2065" t="s">
        <v>5777</v>
      </c>
      <c r="B33" s="2066" t="s">
        <v>5778</v>
      </c>
      <c r="C33" s="2067">
        <v>684.18340498710234</v>
      </c>
      <c r="D33" s="2067">
        <v>721.17678417884781</v>
      </c>
      <c r="E33" s="2067">
        <v>623.6840928632846</v>
      </c>
      <c r="F33" s="2067">
        <v>566.1268271711092</v>
      </c>
      <c r="G33" s="2067">
        <v>524.98650042992267</v>
      </c>
      <c r="H33" s="2067">
        <v>492.87368873602747</v>
      </c>
      <c r="I33" s="2067">
        <v>514.63568357695613</v>
      </c>
      <c r="J33" s="2067">
        <v>470.88039552880474</v>
      </c>
      <c r="K33" s="2067">
        <v>394.02080825451412</v>
      </c>
      <c r="L33" s="2067">
        <v>349.19802235597587</v>
      </c>
      <c r="M33" s="2067">
        <v>373.52106620808246</v>
      </c>
      <c r="N33" s="2067">
        <v>283.16784178847809</v>
      </c>
      <c r="O33" s="2067">
        <v>263.20601891659493</v>
      </c>
      <c r="P33" s="2067">
        <v>214.36397248495268</v>
      </c>
      <c r="Q33" s="2067">
        <v>193.03740326741183</v>
      </c>
      <c r="R33" s="2067">
        <v>194.64772141014615</v>
      </c>
      <c r="S33" s="2067">
        <v>198.96371453138434</v>
      </c>
      <c r="T33" s="2067">
        <v>183.12029234737741</v>
      </c>
      <c r="U33" s="2067">
        <v>208.13877901977639</v>
      </c>
      <c r="V33" s="2067">
        <v>174.02141014617371</v>
      </c>
      <c r="W33" s="2067">
        <v>163.9030954428203</v>
      </c>
      <c r="X33" s="2067">
        <v>154.65528804815131</v>
      </c>
    </row>
    <row r="34" spans="1:24" ht="11.25" customHeight="1">
      <c r="A34" s="2068" t="s">
        <v>4607</v>
      </c>
      <c r="B34" s="2069" t="s">
        <v>5779</v>
      </c>
      <c r="C34" s="2070">
        <v>0</v>
      </c>
      <c r="D34" s="2070">
        <v>0</v>
      </c>
      <c r="E34" s="2070">
        <v>0</v>
      </c>
      <c r="F34" s="2070">
        <v>0</v>
      </c>
      <c r="G34" s="2070">
        <v>0</v>
      </c>
      <c r="H34" s="2070">
        <v>0</v>
      </c>
      <c r="I34" s="2070">
        <v>0</v>
      </c>
      <c r="J34" s="2070">
        <v>0</v>
      </c>
      <c r="K34" s="2070">
        <v>0</v>
      </c>
      <c r="L34" s="2070">
        <v>0</v>
      </c>
      <c r="M34" s="2070">
        <v>0</v>
      </c>
      <c r="N34" s="2070">
        <v>0</v>
      </c>
      <c r="O34" s="2070">
        <v>0</v>
      </c>
      <c r="P34" s="2070">
        <v>0</v>
      </c>
      <c r="Q34" s="2070">
        <v>0</v>
      </c>
      <c r="R34" s="2070">
        <v>0</v>
      </c>
      <c r="S34" s="2070">
        <v>0</v>
      </c>
      <c r="T34" s="2070">
        <v>0</v>
      </c>
      <c r="U34" s="2070">
        <v>0</v>
      </c>
      <c r="V34" s="2070">
        <v>0</v>
      </c>
      <c r="W34" s="2070">
        <v>0</v>
      </c>
      <c r="X34" s="2070">
        <v>0</v>
      </c>
    </row>
    <row r="35" spans="1:24" ht="11.25" customHeight="1">
      <c r="A35" s="2068" t="s">
        <v>587</v>
      </c>
      <c r="B35" s="2069" t="s">
        <v>5780</v>
      </c>
      <c r="C35" s="2070">
        <v>0</v>
      </c>
      <c r="D35" s="2070">
        <v>0</v>
      </c>
      <c r="E35" s="2070">
        <v>0</v>
      </c>
      <c r="F35" s="2070">
        <v>0</v>
      </c>
      <c r="G35" s="2070">
        <v>0</v>
      </c>
      <c r="H35" s="2070">
        <v>0</v>
      </c>
      <c r="I35" s="2070">
        <v>0</v>
      </c>
      <c r="J35" s="2070">
        <v>0</v>
      </c>
      <c r="K35" s="2070">
        <v>0</v>
      </c>
      <c r="L35" s="2070">
        <v>0</v>
      </c>
      <c r="M35" s="2070">
        <v>0</v>
      </c>
      <c r="N35" s="2070">
        <v>0</v>
      </c>
      <c r="O35" s="2070">
        <v>0</v>
      </c>
      <c r="P35" s="2070">
        <v>0</v>
      </c>
      <c r="Q35" s="2070">
        <v>0</v>
      </c>
      <c r="R35" s="2070">
        <v>0</v>
      </c>
      <c r="S35" s="2070">
        <v>0</v>
      </c>
      <c r="T35" s="2070">
        <v>0</v>
      </c>
      <c r="U35" s="2070">
        <v>0</v>
      </c>
      <c r="V35" s="2070">
        <v>0</v>
      </c>
      <c r="W35" s="2070">
        <v>0</v>
      </c>
      <c r="X35" s="2070">
        <v>0</v>
      </c>
    </row>
    <row r="36" spans="1:24" ht="11.25" customHeight="1">
      <c r="A36" s="2068" t="s">
        <v>5781</v>
      </c>
      <c r="B36" s="2069" t="s">
        <v>5782</v>
      </c>
      <c r="C36" s="2070">
        <v>156.60180567497849</v>
      </c>
      <c r="D36" s="2070">
        <v>181.39759243336201</v>
      </c>
      <c r="E36" s="2070">
        <v>149.93938091143593</v>
      </c>
      <c r="F36" s="2070">
        <v>71.779535683576967</v>
      </c>
      <c r="G36" s="2070">
        <v>75.401203783319005</v>
      </c>
      <c r="H36" s="2070">
        <v>70.961478933791909</v>
      </c>
      <c r="I36" s="2070">
        <v>74.304213241616495</v>
      </c>
      <c r="J36" s="2070">
        <v>77.851074806534825</v>
      </c>
      <c r="K36" s="2070">
        <v>70.004901117798781</v>
      </c>
      <c r="L36" s="2070">
        <v>55.639122957867578</v>
      </c>
      <c r="M36" s="2070">
        <v>76.154170249355104</v>
      </c>
      <c r="N36" s="2070">
        <v>57.404557179707652</v>
      </c>
      <c r="O36" s="2070">
        <v>57.20868443680137</v>
      </c>
      <c r="P36" s="2070">
        <v>59.976440240756659</v>
      </c>
      <c r="Q36" s="2070">
        <v>51.871797076526228</v>
      </c>
      <c r="R36" s="2070">
        <v>51.741788478073936</v>
      </c>
      <c r="S36" s="2070">
        <v>57.257781599312118</v>
      </c>
      <c r="T36" s="2070">
        <v>57.097764402407556</v>
      </c>
      <c r="U36" s="2070">
        <v>62.129578675838324</v>
      </c>
      <c r="V36" s="2070">
        <v>56.97687016337057</v>
      </c>
      <c r="W36" s="2070">
        <v>52.287704213241618</v>
      </c>
      <c r="X36" s="2070">
        <v>51.06380051590714</v>
      </c>
    </row>
    <row r="37" spans="1:24" ht="11.25" customHeight="1">
      <c r="A37" s="2068" t="s">
        <v>5783</v>
      </c>
      <c r="B37" s="2069" t="s">
        <v>5784</v>
      </c>
      <c r="C37" s="2070">
        <v>3.1742906276870162</v>
      </c>
      <c r="D37" s="2070">
        <v>0.98400687876182291</v>
      </c>
      <c r="E37" s="2070">
        <v>0</v>
      </c>
      <c r="F37" s="2070">
        <v>1.058125537403267</v>
      </c>
      <c r="G37" s="2070">
        <v>1.058125537403267</v>
      </c>
      <c r="H37" s="2070">
        <v>1.1586414445399824</v>
      </c>
      <c r="I37" s="2070">
        <v>1.2453998280309539</v>
      </c>
      <c r="J37" s="2070">
        <v>1.1618228718830605</v>
      </c>
      <c r="K37" s="2070">
        <v>0.15975924333619951</v>
      </c>
      <c r="L37" s="2070">
        <v>1.1361994840928635</v>
      </c>
      <c r="M37" s="2070">
        <v>3.2110060189165948</v>
      </c>
      <c r="N37" s="2070">
        <v>2.104041272570937</v>
      </c>
      <c r="O37" s="2070">
        <v>3.1457437661220986</v>
      </c>
      <c r="P37" s="2070">
        <v>3.1895958727429061</v>
      </c>
      <c r="Q37" s="2070">
        <v>3.3195184866723992</v>
      </c>
      <c r="R37" s="2070">
        <v>1.4811693895098879</v>
      </c>
      <c r="S37" s="2070">
        <v>1.2042992261392944</v>
      </c>
      <c r="T37" s="2070">
        <v>0.84239036973344794</v>
      </c>
      <c r="U37" s="2070">
        <v>4.4343078245915741</v>
      </c>
      <c r="V37" s="2070">
        <v>7.6301805674978489</v>
      </c>
      <c r="W37" s="2070">
        <v>3.3264832330180569</v>
      </c>
      <c r="X37" s="2070">
        <v>3.4699914015477216</v>
      </c>
    </row>
    <row r="38" spans="1:24" ht="11.25" customHeight="1">
      <c r="A38" s="2068" t="s">
        <v>4663</v>
      </c>
      <c r="B38" s="2069" t="s">
        <v>5785</v>
      </c>
      <c r="C38" s="2070">
        <v>0</v>
      </c>
      <c r="D38" s="2070">
        <v>0</v>
      </c>
      <c r="E38" s="2070">
        <v>0</v>
      </c>
      <c r="F38" s="2070">
        <v>0</v>
      </c>
      <c r="G38" s="2070">
        <v>0</v>
      </c>
      <c r="H38" s="2070">
        <v>0</v>
      </c>
      <c r="I38" s="2070">
        <v>0</v>
      </c>
      <c r="J38" s="2070">
        <v>0</v>
      </c>
      <c r="K38" s="2070">
        <v>0</v>
      </c>
      <c r="L38" s="2070">
        <v>0</v>
      </c>
      <c r="M38" s="2070">
        <v>0</v>
      </c>
      <c r="N38" s="2070">
        <v>0</v>
      </c>
      <c r="O38" s="2070">
        <v>0</v>
      </c>
      <c r="P38" s="2070">
        <v>0</v>
      </c>
      <c r="Q38" s="2070">
        <v>0</v>
      </c>
      <c r="R38" s="2070">
        <v>0</v>
      </c>
      <c r="S38" s="2070">
        <v>0</v>
      </c>
      <c r="T38" s="2070">
        <v>1.031814273430782E-3</v>
      </c>
      <c r="U38" s="2070">
        <v>1.031814273430782E-3</v>
      </c>
      <c r="V38" s="2070">
        <v>1.031814273430782E-3</v>
      </c>
      <c r="W38" s="2070">
        <v>2.0636285468615648E-3</v>
      </c>
      <c r="X38" s="2070">
        <v>2.8374892519346519E-2</v>
      </c>
    </row>
    <row r="39" spans="1:24" ht="11.25" customHeight="1">
      <c r="A39" s="2068" t="s">
        <v>5786</v>
      </c>
      <c r="B39" s="2069" t="s">
        <v>5787</v>
      </c>
      <c r="C39" s="2070">
        <v>0</v>
      </c>
      <c r="D39" s="2070">
        <v>0</v>
      </c>
      <c r="E39" s="2070">
        <v>0</v>
      </c>
      <c r="F39" s="2070">
        <v>0</v>
      </c>
      <c r="G39" s="2070">
        <v>0</v>
      </c>
      <c r="H39" s="2070">
        <v>0</v>
      </c>
      <c r="I39" s="2070">
        <v>0</v>
      </c>
      <c r="J39" s="2070">
        <v>0</v>
      </c>
      <c r="K39" s="2070">
        <v>0</v>
      </c>
      <c r="L39" s="2070">
        <v>0</v>
      </c>
      <c r="M39" s="2070">
        <v>0</v>
      </c>
      <c r="N39" s="2070">
        <v>0</v>
      </c>
      <c r="O39" s="2070">
        <v>0</v>
      </c>
      <c r="P39" s="2070">
        <v>0</v>
      </c>
      <c r="Q39" s="2070">
        <v>0</v>
      </c>
      <c r="R39" s="2070">
        <v>0</v>
      </c>
      <c r="S39" s="2070">
        <v>0</v>
      </c>
      <c r="T39" s="2070">
        <v>0</v>
      </c>
      <c r="U39" s="2070">
        <v>0</v>
      </c>
      <c r="V39" s="2070">
        <v>0</v>
      </c>
      <c r="W39" s="2070">
        <v>0</v>
      </c>
      <c r="X39" s="2070">
        <v>0</v>
      </c>
    </row>
    <row r="40" spans="1:24" ht="11.25" customHeight="1">
      <c r="A40" s="2068" t="s">
        <v>5788</v>
      </c>
      <c r="B40" s="2069" t="s">
        <v>5789</v>
      </c>
      <c r="C40" s="2070">
        <v>2.1066208082545139</v>
      </c>
      <c r="D40" s="2070">
        <v>2.1066208082545139</v>
      </c>
      <c r="E40" s="2070">
        <v>1.053310404127257</v>
      </c>
      <c r="F40" s="2070">
        <v>1.053310404127257</v>
      </c>
      <c r="G40" s="2070">
        <v>1.053310404127257</v>
      </c>
      <c r="H40" s="2070">
        <v>1.053310404127257</v>
      </c>
      <c r="I40" s="2070">
        <v>2.1066208082545139</v>
      </c>
      <c r="J40" s="2070">
        <v>2.1066208082545139</v>
      </c>
      <c r="K40" s="2070">
        <v>1.053310404127257</v>
      </c>
      <c r="L40" s="2070">
        <v>1.026999140154772</v>
      </c>
      <c r="M40" s="2070">
        <v>1.026999140154772</v>
      </c>
      <c r="N40" s="2070">
        <v>1.026999140154772</v>
      </c>
      <c r="O40" s="2070">
        <v>0</v>
      </c>
      <c r="P40" s="2070">
        <v>1.026999140154772</v>
      </c>
      <c r="Q40" s="2070">
        <v>1.026999140154772</v>
      </c>
      <c r="R40" s="2070">
        <v>0</v>
      </c>
      <c r="S40" s="2070">
        <v>1.026999140154772</v>
      </c>
      <c r="T40" s="2070">
        <v>0.41496130696474631</v>
      </c>
      <c r="U40" s="2070">
        <v>0.93508168529664648</v>
      </c>
      <c r="V40" s="2070">
        <v>0.48383490971625109</v>
      </c>
      <c r="W40" s="2070">
        <v>0.72536543422183997</v>
      </c>
      <c r="X40" s="2070">
        <v>0.86027515047291492</v>
      </c>
    </row>
    <row r="41" spans="1:24" ht="11.25" customHeight="1">
      <c r="A41" s="2068" t="s">
        <v>4664</v>
      </c>
      <c r="B41" s="2069" t="s">
        <v>5790</v>
      </c>
      <c r="C41" s="2070">
        <v>2.2080825451418731</v>
      </c>
      <c r="D41" s="2070">
        <v>9.5012897678417876E-2</v>
      </c>
      <c r="E41" s="2070">
        <v>7.3860705073086841E-2</v>
      </c>
      <c r="F41" s="2070">
        <v>2.1158211521926047</v>
      </c>
      <c r="G41" s="2070">
        <v>4.1186586414445399E-2</v>
      </c>
      <c r="H41" s="2070">
        <v>0.18469475494411011</v>
      </c>
      <c r="I41" s="2070">
        <v>0.1013757523645744</v>
      </c>
      <c r="J41" s="2070">
        <v>0</v>
      </c>
      <c r="K41" s="2070">
        <v>0.1034393809114359</v>
      </c>
      <c r="L41" s="2070">
        <v>2.6045571797076521</v>
      </c>
      <c r="M41" s="2070">
        <v>0.6587274290627686</v>
      </c>
      <c r="N41" s="2070">
        <v>2.639724849527085E-2</v>
      </c>
      <c r="O41" s="2070">
        <v>0.64918314703353386</v>
      </c>
      <c r="P41" s="2070">
        <v>0.57110920034393808</v>
      </c>
      <c r="Q41" s="2070">
        <v>3.0610490111779881E-2</v>
      </c>
      <c r="R41" s="2070">
        <v>4.7463456577815991E-2</v>
      </c>
      <c r="S41" s="2070">
        <v>6.5434221840068779E-2</v>
      </c>
      <c r="T41" s="2070">
        <v>9.8022355975924333E-2</v>
      </c>
      <c r="U41" s="2070">
        <v>0.10963026655202064</v>
      </c>
      <c r="V41" s="2070">
        <v>0.11917454858125537</v>
      </c>
      <c r="W41" s="2070">
        <v>0.1181427343078246</v>
      </c>
      <c r="X41" s="2070">
        <v>5.2794496990541687E-2</v>
      </c>
    </row>
    <row r="42" spans="1:24" ht="11.25" customHeight="1">
      <c r="A42" s="2068" t="s">
        <v>4611</v>
      </c>
      <c r="B42" s="2069" t="s">
        <v>5791</v>
      </c>
      <c r="C42" s="2070">
        <v>0</v>
      </c>
      <c r="D42" s="2070">
        <v>0</v>
      </c>
      <c r="E42" s="2070">
        <v>0</v>
      </c>
      <c r="F42" s="2070">
        <v>0</v>
      </c>
      <c r="G42" s="2070">
        <v>0</v>
      </c>
      <c r="H42" s="2070">
        <v>0</v>
      </c>
      <c r="I42" s="2070">
        <v>0</v>
      </c>
      <c r="J42" s="2070">
        <v>0</v>
      </c>
      <c r="K42" s="2070">
        <v>0</v>
      </c>
      <c r="L42" s="2070">
        <v>0</v>
      </c>
      <c r="M42" s="2070">
        <v>0</v>
      </c>
      <c r="N42" s="2070">
        <v>0</v>
      </c>
      <c r="O42" s="2070">
        <v>0</v>
      </c>
      <c r="P42" s="2070">
        <v>0</v>
      </c>
      <c r="Q42" s="2070">
        <v>0</v>
      </c>
      <c r="R42" s="2070">
        <v>0</v>
      </c>
      <c r="S42" s="2070">
        <v>0</v>
      </c>
      <c r="T42" s="2070">
        <v>0</v>
      </c>
      <c r="U42" s="2070">
        <v>0</v>
      </c>
      <c r="V42" s="2070">
        <v>0</v>
      </c>
      <c r="W42" s="2070">
        <v>0</v>
      </c>
      <c r="X42" s="2070">
        <v>0</v>
      </c>
    </row>
    <row r="43" spans="1:24" ht="11.25" customHeight="1">
      <c r="A43" s="2068" t="s">
        <v>5792</v>
      </c>
      <c r="B43" s="2069" t="s">
        <v>5793</v>
      </c>
      <c r="C43" s="2070">
        <v>324.97282889079958</v>
      </c>
      <c r="D43" s="2070">
        <v>345.95846947549438</v>
      </c>
      <c r="E43" s="2070">
        <v>306.2106620808255</v>
      </c>
      <c r="F43" s="2070">
        <v>318.3050730868444</v>
      </c>
      <c r="G43" s="2070">
        <v>318.24419604471194</v>
      </c>
      <c r="H43" s="2070">
        <v>316.32003439380907</v>
      </c>
      <c r="I43" s="2070">
        <v>299.60395528804816</v>
      </c>
      <c r="J43" s="2070">
        <v>286.86010318142729</v>
      </c>
      <c r="K43" s="2070">
        <v>240.05743766122092</v>
      </c>
      <c r="L43" s="2070">
        <v>223.83404987102318</v>
      </c>
      <c r="M43" s="2070">
        <v>250.80937231298361</v>
      </c>
      <c r="N43" s="2070">
        <v>181.17592433361995</v>
      </c>
      <c r="O43" s="2070">
        <v>166.17919174548578</v>
      </c>
      <c r="P43" s="2070">
        <v>137.59028374892517</v>
      </c>
      <c r="Q43" s="2070">
        <v>129.59105760963027</v>
      </c>
      <c r="R43" s="2070">
        <v>133.35193465176266</v>
      </c>
      <c r="S43" s="2070">
        <v>127.94815133276009</v>
      </c>
      <c r="T43" s="2070">
        <v>119.2345657781599</v>
      </c>
      <c r="U43" s="2070">
        <v>133.81203783319</v>
      </c>
      <c r="V43" s="2070">
        <v>101.13147033533966</v>
      </c>
      <c r="W43" s="2070">
        <v>90.346603611349934</v>
      </c>
      <c r="X43" s="2070">
        <v>92.40644883920892</v>
      </c>
    </row>
    <row r="44" spans="1:24" ht="11.25" customHeight="1">
      <c r="A44" s="2068" t="s">
        <v>4665</v>
      </c>
      <c r="B44" s="2069" t="s">
        <v>5794</v>
      </c>
      <c r="C44" s="2070">
        <v>193.56723989681859</v>
      </c>
      <c r="D44" s="2070">
        <v>190.63508168529663</v>
      </c>
      <c r="E44" s="2070">
        <v>166.40687876182284</v>
      </c>
      <c r="F44" s="2070">
        <v>171.81496130696473</v>
      </c>
      <c r="G44" s="2070">
        <v>129.18847807394667</v>
      </c>
      <c r="H44" s="2070">
        <v>103.18288907996559</v>
      </c>
      <c r="I44" s="2070">
        <v>135.04127257093722</v>
      </c>
      <c r="J44" s="2070">
        <v>98.45081685296644</v>
      </c>
      <c r="K44" s="2070">
        <v>82.635597592433356</v>
      </c>
      <c r="L44" s="2070">
        <v>64.951848667239901</v>
      </c>
      <c r="M44" s="2070">
        <v>41.654428202923476</v>
      </c>
      <c r="N44" s="2070">
        <v>40.463284608770422</v>
      </c>
      <c r="O44" s="2070">
        <v>28.943164230438516</v>
      </c>
      <c r="P44" s="2070">
        <v>8.7509888220120366</v>
      </c>
      <c r="Q44" s="2070">
        <v>6.2486672398968182</v>
      </c>
      <c r="R44" s="2070">
        <v>3.129492691315563</v>
      </c>
      <c r="S44" s="2070">
        <v>6.7850386930352533</v>
      </c>
      <c r="T44" s="2070">
        <v>5.0102321582115206</v>
      </c>
      <c r="U44" s="2070">
        <v>4.8913155631986243</v>
      </c>
      <c r="V44" s="2070">
        <v>4.1466895958727426</v>
      </c>
      <c r="W44" s="2070">
        <v>13.873430782459154</v>
      </c>
      <c r="X44" s="2070">
        <v>5.1212381771281157</v>
      </c>
    </row>
    <row r="45" spans="1:24" ht="11.25" customHeight="1">
      <c r="A45" s="2068" t="s">
        <v>5795</v>
      </c>
      <c r="B45" s="2069" t="s">
        <v>5796</v>
      </c>
      <c r="C45" s="2070">
        <v>0</v>
      </c>
      <c r="D45" s="2070">
        <v>0</v>
      </c>
      <c r="E45" s="2070">
        <v>0</v>
      </c>
      <c r="F45" s="2070">
        <v>0</v>
      </c>
      <c r="G45" s="2070">
        <v>0</v>
      </c>
      <c r="H45" s="2070">
        <v>1.263972484952708E-2</v>
      </c>
      <c r="I45" s="2070">
        <v>1.16079105760963E-2</v>
      </c>
      <c r="J45" s="2070">
        <v>7.3946689595872734E-3</v>
      </c>
      <c r="K45" s="2070">
        <v>6.3628546861564913E-3</v>
      </c>
      <c r="L45" s="2070">
        <v>5.2450558899398104E-3</v>
      </c>
      <c r="M45" s="2070">
        <v>6.3628546861564913E-3</v>
      </c>
      <c r="N45" s="2070">
        <v>7.3946689595872734E-3</v>
      </c>
      <c r="O45" s="2070">
        <v>6.3628546861564913E-3</v>
      </c>
      <c r="P45" s="2070">
        <v>6.3628546861564913E-3</v>
      </c>
      <c r="Q45" s="2070">
        <v>5.2450558899398104E-3</v>
      </c>
      <c r="R45" s="2070">
        <v>6.3628546861564913E-3</v>
      </c>
      <c r="S45" s="2070">
        <v>0.49613069647463448</v>
      </c>
      <c r="T45" s="2070">
        <v>0.36758383490971619</v>
      </c>
      <c r="U45" s="2070">
        <v>0.80584694754944108</v>
      </c>
      <c r="V45" s="2070">
        <v>0.79845227858985379</v>
      </c>
      <c r="W45" s="2070">
        <v>0.66251074806534815</v>
      </c>
      <c r="X45" s="2070">
        <v>0.69939810834049865</v>
      </c>
    </row>
    <row r="46" spans="1:24" ht="11.25" customHeight="1">
      <c r="A46" s="2068" t="s">
        <v>595</v>
      </c>
      <c r="B46" s="2069" t="s">
        <v>5797</v>
      </c>
      <c r="C46" s="2070">
        <v>0</v>
      </c>
      <c r="D46" s="2070">
        <v>0</v>
      </c>
      <c r="E46" s="2070">
        <v>0</v>
      </c>
      <c r="F46" s="2070">
        <v>0</v>
      </c>
      <c r="G46" s="2070">
        <v>0</v>
      </c>
      <c r="H46" s="2070">
        <v>0</v>
      </c>
      <c r="I46" s="2070">
        <v>0</v>
      </c>
      <c r="J46" s="2070">
        <v>0</v>
      </c>
      <c r="K46" s="2070">
        <v>0</v>
      </c>
      <c r="L46" s="2070">
        <v>0</v>
      </c>
      <c r="M46" s="2070">
        <v>0</v>
      </c>
      <c r="N46" s="2070">
        <v>0</v>
      </c>
      <c r="O46" s="2070">
        <v>0</v>
      </c>
      <c r="P46" s="2070">
        <v>0</v>
      </c>
      <c r="Q46" s="2070">
        <v>0</v>
      </c>
      <c r="R46" s="2070">
        <v>0</v>
      </c>
      <c r="S46" s="2070">
        <v>0</v>
      </c>
      <c r="T46" s="2070">
        <v>0</v>
      </c>
      <c r="U46" s="2070">
        <v>0</v>
      </c>
      <c r="V46" s="2070">
        <v>0</v>
      </c>
      <c r="W46" s="2070">
        <v>0</v>
      </c>
      <c r="X46" s="2070">
        <v>0</v>
      </c>
    </row>
    <row r="47" spans="1:24" ht="11.25" customHeight="1">
      <c r="A47" s="2068" t="s">
        <v>4614</v>
      </c>
      <c r="B47" s="2069" t="s">
        <v>5798</v>
      </c>
      <c r="C47" s="2070">
        <v>0</v>
      </c>
      <c r="D47" s="2070">
        <v>0</v>
      </c>
      <c r="E47" s="2070">
        <v>0</v>
      </c>
      <c r="F47" s="2070">
        <v>0</v>
      </c>
      <c r="G47" s="2070">
        <v>0</v>
      </c>
      <c r="H47" s="2070">
        <v>0</v>
      </c>
      <c r="I47" s="2070">
        <v>0</v>
      </c>
      <c r="J47" s="2070">
        <v>0</v>
      </c>
      <c r="K47" s="2070">
        <v>0</v>
      </c>
      <c r="L47" s="2070">
        <v>0</v>
      </c>
      <c r="M47" s="2070">
        <v>0</v>
      </c>
      <c r="N47" s="2070">
        <v>0</v>
      </c>
      <c r="O47" s="2070">
        <v>0</v>
      </c>
      <c r="P47" s="2070">
        <v>0</v>
      </c>
      <c r="Q47" s="2070">
        <v>0</v>
      </c>
      <c r="R47" s="2070">
        <v>0</v>
      </c>
      <c r="S47" s="2070">
        <v>0</v>
      </c>
      <c r="T47" s="2070">
        <v>0</v>
      </c>
      <c r="U47" s="2070">
        <v>0</v>
      </c>
      <c r="V47" s="2070">
        <v>0</v>
      </c>
      <c r="W47" s="2070">
        <v>0</v>
      </c>
      <c r="X47" s="2070">
        <v>0</v>
      </c>
    </row>
    <row r="48" spans="1:24" ht="11.25" customHeight="1">
      <c r="A48" s="2068" t="s">
        <v>4667</v>
      </c>
      <c r="B48" s="2069" t="s">
        <v>5799</v>
      </c>
      <c r="C48" s="2070">
        <v>1.5525365434221841</v>
      </c>
      <c r="D48" s="2070">
        <v>0</v>
      </c>
      <c r="E48" s="2070">
        <v>0</v>
      </c>
      <c r="F48" s="2070">
        <v>0</v>
      </c>
      <c r="G48" s="2070">
        <v>0</v>
      </c>
      <c r="H48" s="2070">
        <v>0</v>
      </c>
      <c r="I48" s="2070">
        <v>2.2212381771281171</v>
      </c>
      <c r="J48" s="2070">
        <v>4.4425623387790196</v>
      </c>
      <c r="K48" s="2070">
        <v>0</v>
      </c>
      <c r="L48" s="2070">
        <v>0</v>
      </c>
      <c r="M48" s="2070">
        <v>0</v>
      </c>
      <c r="N48" s="2070">
        <v>0</v>
      </c>
      <c r="O48" s="2070">
        <v>6.114445399828031</v>
      </c>
      <c r="P48" s="2070">
        <v>2.2929492691315558</v>
      </c>
      <c r="Q48" s="2070">
        <v>0</v>
      </c>
      <c r="R48" s="2070">
        <v>3.0572656921754078</v>
      </c>
      <c r="S48" s="2070">
        <v>2.2929492691315558</v>
      </c>
      <c r="T48" s="2070">
        <v>0</v>
      </c>
      <c r="U48" s="2070">
        <v>0</v>
      </c>
      <c r="V48" s="2070">
        <v>0</v>
      </c>
      <c r="W48" s="2070">
        <v>0</v>
      </c>
      <c r="X48" s="2070">
        <v>0</v>
      </c>
    </row>
    <row r="49" spans="1:24" ht="11.25" customHeight="1">
      <c r="A49" s="2068" t="s">
        <v>4666</v>
      </c>
      <c r="B49" s="2069" t="s">
        <v>5800</v>
      </c>
      <c r="C49" s="2070">
        <v>0</v>
      </c>
      <c r="D49" s="2070">
        <v>0</v>
      </c>
      <c r="E49" s="2070">
        <v>0</v>
      </c>
      <c r="F49" s="2070">
        <v>0</v>
      </c>
      <c r="G49" s="2070">
        <v>0</v>
      </c>
      <c r="H49" s="2070">
        <v>0</v>
      </c>
      <c r="I49" s="2070">
        <v>0</v>
      </c>
      <c r="J49" s="2070">
        <v>0</v>
      </c>
      <c r="K49" s="2070">
        <v>0</v>
      </c>
      <c r="L49" s="2070">
        <v>0</v>
      </c>
      <c r="M49" s="2070">
        <v>0</v>
      </c>
      <c r="N49" s="2070">
        <v>0</v>
      </c>
      <c r="O49" s="2070">
        <v>0</v>
      </c>
      <c r="P49" s="2070">
        <v>0</v>
      </c>
      <c r="Q49" s="2070">
        <v>0</v>
      </c>
      <c r="R49" s="2070">
        <v>0</v>
      </c>
      <c r="S49" s="2070">
        <v>0</v>
      </c>
      <c r="T49" s="2070">
        <v>0</v>
      </c>
      <c r="U49" s="2070">
        <v>0</v>
      </c>
      <c r="V49" s="2070">
        <v>0</v>
      </c>
      <c r="W49" s="2070">
        <v>0</v>
      </c>
      <c r="X49" s="2070">
        <v>0</v>
      </c>
    </row>
    <row r="50" spans="1:24" ht="11.25" customHeight="1">
      <c r="A50" s="2068" t="s">
        <v>4668</v>
      </c>
      <c r="B50" s="2069" t="s">
        <v>5801</v>
      </c>
      <c r="C50" s="2070">
        <v>0</v>
      </c>
      <c r="D50" s="2070">
        <v>0</v>
      </c>
      <c r="E50" s="2070">
        <v>0</v>
      </c>
      <c r="F50" s="2070">
        <v>0</v>
      </c>
      <c r="G50" s="2070">
        <v>0</v>
      </c>
      <c r="H50" s="2070">
        <v>0</v>
      </c>
      <c r="I50" s="2070">
        <v>0</v>
      </c>
      <c r="J50" s="2070">
        <v>0</v>
      </c>
      <c r="K50" s="2070">
        <v>0</v>
      </c>
      <c r="L50" s="2070">
        <v>0</v>
      </c>
      <c r="M50" s="2070">
        <v>0</v>
      </c>
      <c r="N50" s="2070">
        <v>0.9592433361994841</v>
      </c>
      <c r="O50" s="2070">
        <v>0.9592433361994841</v>
      </c>
      <c r="P50" s="2070">
        <v>0.9592433361994841</v>
      </c>
      <c r="Q50" s="2070">
        <v>0.94350816852966468</v>
      </c>
      <c r="R50" s="2070">
        <v>1.832244196044712</v>
      </c>
      <c r="S50" s="2070">
        <v>1.8869303525365431</v>
      </c>
      <c r="T50" s="2070">
        <v>5.3740326741186582E-2</v>
      </c>
      <c r="U50" s="2070">
        <v>1.0199484092863285</v>
      </c>
      <c r="V50" s="2070">
        <v>2.7337059329320725</v>
      </c>
      <c r="W50" s="2070">
        <v>2.5607910576096309</v>
      </c>
      <c r="X50" s="2070">
        <v>0.95296646603611357</v>
      </c>
    </row>
    <row r="51" spans="1:24" ht="11.25" customHeight="1">
      <c r="A51" s="2071" t="s">
        <v>3875</v>
      </c>
      <c r="B51" s="2072" t="s">
        <v>5802</v>
      </c>
      <c r="C51" s="2073">
        <v>2582.5539300695618</v>
      </c>
      <c r="D51" s="2073">
        <v>2778.658297506448</v>
      </c>
      <c r="E51" s="2073">
        <v>2613.7329320722265</v>
      </c>
      <c r="F51" s="2073">
        <v>2935.7169389509891</v>
      </c>
      <c r="G51" s="2073">
        <v>2937.687274290628</v>
      </c>
      <c r="H51" s="2073">
        <v>2586.0329320722267</v>
      </c>
      <c r="I51" s="2073">
        <v>2442.6584694754943</v>
      </c>
      <c r="J51" s="2073">
        <v>2518.0843508168527</v>
      </c>
      <c r="K51" s="2073">
        <v>2258.8437661220983</v>
      </c>
      <c r="L51" s="2073">
        <v>1978.4803095442817</v>
      </c>
      <c r="M51" s="2073">
        <v>2172.2404127257091</v>
      </c>
      <c r="N51" s="2073">
        <v>2112.3895098882199</v>
      </c>
      <c r="O51" s="2073">
        <v>2071.4727429062768</v>
      </c>
      <c r="P51" s="2073">
        <v>2229.8338779019782</v>
      </c>
      <c r="Q51" s="2073">
        <v>1912.4442820292347</v>
      </c>
      <c r="R51" s="2073">
        <v>1957.4030094582974</v>
      </c>
      <c r="S51" s="2073">
        <v>2106.0734307824591</v>
      </c>
      <c r="T51" s="2073">
        <v>2188.905846947549</v>
      </c>
      <c r="U51" s="2073">
        <v>2247.5935511607904</v>
      </c>
      <c r="V51" s="2073">
        <v>2231.8023215821149</v>
      </c>
      <c r="W51" s="2073">
        <v>2013.6250214961306</v>
      </c>
      <c r="X51" s="2073">
        <v>2224.5617368873604</v>
      </c>
    </row>
    <row r="52" spans="1:24" ht="11.25" customHeight="1">
      <c r="A52" s="2071" t="s">
        <v>5803</v>
      </c>
      <c r="B52" s="2072" t="s">
        <v>5804</v>
      </c>
      <c r="C52" s="2073">
        <v>1.0318924761631656</v>
      </c>
      <c r="D52" s="2073">
        <v>1.3857479498552892</v>
      </c>
      <c r="E52" s="2073">
        <v>1.5176302705888325</v>
      </c>
      <c r="F52" s="2073">
        <v>4.4677516554965004</v>
      </c>
      <c r="G52" s="2073">
        <v>6.2415737033952885</v>
      </c>
      <c r="H52" s="2073">
        <v>7.5845063291755297</v>
      </c>
      <c r="I52" s="2073">
        <v>11.341982100957265</v>
      </c>
      <c r="J52" s="2073">
        <v>9.3658635050635919</v>
      </c>
      <c r="K52" s="2073">
        <v>9.5705128031173352</v>
      </c>
      <c r="L52" s="2073">
        <v>8.7198581578746595</v>
      </c>
      <c r="M52" s="2073">
        <v>17.562925800210319</v>
      </c>
      <c r="N52" s="2073">
        <v>14.170365793341015</v>
      </c>
      <c r="O52" s="2073">
        <v>18.575606199338488</v>
      </c>
      <c r="P52" s="2073">
        <v>16.20446509537113</v>
      </c>
      <c r="Q52" s="2073">
        <v>23.355357164048439</v>
      </c>
      <c r="R52" s="2073">
        <v>24.225149829714262</v>
      </c>
      <c r="S52" s="2073">
        <v>25.032876432740789</v>
      </c>
      <c r="T52" s="2073">
        <v>24.729080803965417</v>
      </c>
      <c r="U52" s="2073">
        <v>25.677750217097618</v>
      </c>
      <c r="V52" s="2073">
        <v>33.1962513514422</v>
      </c>
      <c r="W52" s="2073">
        <v>45.334479031651831</v>
      </c>
      <c r="X52" s="2073">
        <v>41.920092839747717</v>
      </c>
    </row>
    <row r="53" spans="1:24" ht="11.25" customHeight="1">
      <c r="A53" s="2074" t="s">
        <v>3973</v>
      </c>
      <c r="B53" s="2069" t="s">
        <v>5805</v>
      </c>
      <c r="C53" s="2070">
        <v>0</v>
      </c>
      <c r="D53" s="2070">
        <v>0</v>
      </c>
      <c r="E53" s="2070">
        <v>0</v>
      </c>
      <c r="F53" s="2070">
        <v>0</v>
      </c>
      <c r="G53" s="2070">
        <v>0</v>
      </c>
      <c r="H53" s="2070">
        <v>0</v>
      </c>
      <c r="I53" s="2070">
        <v>0</v>
      </c>
      <c r="J53" s="2070">
        <v>0</v>
      </c>
      <c r="K53" s="2070">
        <v>0</v>
      </c>
      <c r="L53" s="2070">
        <v>0</v>
      </c>
      <c r="M53" s="2070">
        <v>0</v>
      </c>
      <c r="N53" s="2070">
        <v>0</v>
      </c>
      <c r="O53" s="2070">
        <v>0</v>
      </c>
      <c r="P53" s="2070">
        <v>0</v>
      </c>
      <c r="Q53" s="2070">
        <v>0</v>
      </c>
      <c r="R53" s="2070">
        <v>0</v>
      </c>
      <c r="S53" s="2070">
        <v>0</v>
      </c>
      <c r="T53" s="2070">
        <v>0</v>
      </c>
      <c r="U53" s="2070">
        <v>0</v>
      </c>
      <c r="V53" s="2070">
        <v>0</v>
      </c>
      <c r="W53" s="2070">
        <v>0</v>
      </c>
      <c r="X53" s="2070">
        <v>0</v>
      </c>
    </row>
    <row r="54" spans="1:24" ht="11.25" customHeight="1">
      <c r="A54" s="2074" t="s">
        <v>5806</v>
      </c>
      <c r="B54" s="2069" t="s">
        <v>5807</v>
      </c>
      <c r="C54" s="2070">
        <v>0</v>
      </c>
      <c r="D54" s="2070">
        <v>0</v>
      </c>
      <c r="E54" s="2070">
        <v>0</v>
      </c>
      <c r="F54" s="2070">
        <v>0</v>
      </c>
      <c r="G54" s="2070">
        <v>0</v>
      </c>
      <c r="H54" s="2070">
        <v>0</v>
      </c>
      <c r="I54" s="2070">
        <v>0</v>
      </c>
      <c r="J54" s="2070">
        <v>0</v>
      </c>
      <c r="K54" s="2070">
        <v>0</v>
      </c>
      <c r="L54" s="2070">
        <v>0</v>
      </c>
      <c r="M54" s="2070">
        <v>0</v>
      </c>
      <c r="N54" s="2070">
        <v>0</v>
      </c>
      <c r="O54" s="2070">
        <v>0</v>
      </c>
      <c r="P54" s="2070">
        <v>0</v>
      </c>
      <c r="Q54" s="2070">
        <v>0</v>
      </c>
      <c r="R54" s="2070">
        <v>0</v>
      </c>
      <c r="S54" s="2070">
        <v>0</v>
      </c>
      <c r="T54" s="2070">
        <v>0</v>
      </c>
      <c r="U54" s="2070">
        <v>0</v>
      </c>
      <c r="V54" s="2070">
        <v>0</v>
      </c>
      <c r="W54" s="2070">
        <v>0</v>
      </c>
      <c r="X54" s="2070">
        <v>0</v>
      </c>
    </row>
    <row r="55" spans="1:24" ht="11.25" customHeight="1">
      <c r="A55" s="2074" t="s">
        <v>3965</v>
      </c>
      <c r="B55" s="2069" t="s">
        <v>5808</v>
      </c>
      <c r="C55" s="2070">
        <v>0</v>
      </c>
      <c r="D55" s="2070">
        <v>0</v>
      </c>
      <c r="E55" s="2070">
        <v>0</v>
      </c>
      <c r="F55" s="2070">
        <v>0</v>
      </c>
      <c r="G55" s="2070">
        <v>0</v>
      </c>
      <c r="H55" s="2070">
        <v>0</v>
      </c>
      <c r="I55" s="2070">
        <v>0</v>
      </c>
      <c r="J55" s="2070">
        <v>0</v>
      </c>
      <c r="K55" s="2070">
        <v>0</v>
      </c>
      <c r="L55" s="2070">
        <v>0</v>
      </c>
      <c r="M55" s="2070">
        <v>0</v>
      </c>
      <c r="N55" s="2070">
        <v>0</v>
      </c>
      <c r="O55" s="2070">
        <v>0</v>
      </c>
      <c r="P55" s="2070">
        <v>0</v>
      </c>
      <c r="Q55" s="2070">
        <v>0</v>
      </c>
      <c r="R55" s="2070">
        <v>0</v>
      </c>
      <c r="S55" s="2070">
        <v>0</v>
      </c>
      <c r="T55" s="2070">
        <v>0</v>
      </c>
      <c r="U55" s="2070">
        <v>0</v>
      </c>
      <c r="V55" s="2070">
        <v>0</v>
      </c>
      <c r="W55" s="2070">
        <v>0</v>
      </c>
      <c r="X55" s="2070">
        <v>0</v>
      </c>
    </row>
    <row r="56" spans="1:24" ht="11.25" customHeight="1">
      <c r="A56" s="2074" t="s">
        <v>5636</v>
      </c>
      <c r="B56" s="2069" t="s">
        <v>5809</v>
      </c>
      <c r="C56" s="2070">
        <v>0</v>
      </c>
      <c r="D56" s="2070">
        <v>0</v>
      </c>
      <c r="E56" s="2070">
        <v>0</v>
      </c>
      <c r="F56" s="2070">
        <v>0</v>
      </c>
      <c r="G56" s="2070">
        <v>0</v>
      </c>
      <c r="H56" s="2070">
        <v>0</v>
      </c>
      <c r="I56" s="2070">
        <v>0</v>
      </c>
      <c r="J56" s="2070">
        <v>0</v>
      </c>
      <c r="K56" s="2070">
        <v>0</v>
      </c>
      <c r="L56" s="2070">
        <v>0</v>
      </c>
      <c r="M56" s="2070">
        <v>0</v>
      </c>
      <c r="N56" s="2070">
        <v>0</v>
      </c>
      <c r="O56" s="2070">
        <v>0</v>
      </c>
      <c r="P56" s="2070">
        <v>0</v>
      </c>
      <c r="Q56" s="2070">
        <v>0</v>
      </c>
      <c r="R56" s="2070">
        <v>0</v>
      </c>
      <c r="S56" s="2070">
        <v>0</v>
      </c>
      <c r="T56" s="2070">
        <v>0</v>
      </c>
      <c r="U56" s="2070">
        <v>0</v>
      </c>
      <c r="V56" s="2070">
        <v>0</v>
      </c>
      <c r="W56" s="2070">
        <v>0</v>
      </c>
      <c r="X56" s="2070">
        <v>0</v>
      </c>
    </row>
    <row r="57" spans="1:24" ht="11.25" customHeight="1">
      <c r="A57" s="2074" t="s">
        <v>4617</v>
      </c>
      <c r="B57" s="2069" t="s">
        <v>5810</v>
      </c>
      <c r="C57" s="2070">
        <v>7.7386070507308674E-4</v>
      </c>
      <c r="D57" s="2070">
        <v>4.6431642304385207E-3</v>
      </c>
      <c r="E57" s="2070">
        <v>2.089423903697334E-2</v>
      </c>
      <c r="F57" s="2070">
        <v>2.089423903697334E-2</v>
      </c>
      <c r="G57" s="2070">
        <v>2.1152192605331039E-2</v>
      </c>
      <c r="H57" s="2070">
        <v>2.2441960447119519E-2</v>
      </c>
      <c r="I57" s="2070">
        <v>7.540842648323301E-2</v>
      </c>
      <c r="J57" s="2070">
        <v>8.4436801375752352E-2</v>
      </c>
      <c r="K57" s="2070">
        <v>0.1100601891659501</v>
      </c>
      <c r="L57" s="2070">
        <v>0.19028374892519351</v>
      </c>
      <c r="M57" s="2070">
        <v>0.1950988822012038</v>
      </c>
      <c r="N57" s="2070">
        <v>0.1950988822012038</v>
      </c>
      <c r="O57" s="2070">
        <v>0.1950988822012038</v>
      </c>
      <c r="P57" s="2070">
        <v>0.20283748925193459</v>
      </c>
      <c r="Q57" s="2070">
        <v>0.20696474634565781</v>
      </c>
      <c r="R57" s="2070">
        <v>0.20696474634565781</v>
      </c>
      <c r="S57" s="2070">
        <v>0.20748065348237321</v>
      </c>
      <c r="T57" s="2070">
        <v>0.229664660361135</v>
      </c>
      <c r="U57" s="2070">
        <v>0.26543422184006882</v>
      </c>
      <c r="V57" s="2070">
        <v>0.2647463456577816</v>
      </c>
      <c r="W57" s="2070">
        <v>0.28065348237317289</v>
      </c>
      <c r="X57" s="2070">
        <v>0.28022355975924329</v>
      </c>
    </row>
    <row r="58" spans="1:24" ht="11.25" customHeight="1">
      <c r="A58" s="2074" t="s">
        <v>3971</v>
      </c>
      <c r="B58" s="2069" t="s">
        <v>5811</v>
      </c>
      <c r="C58" s="2070">
        <v>0</v>
      </c>
      <c r="D58" s="2070">
        <v>0</v>
      </c>
      <c r="E58" s="2070">
        <v>0</v>
      </c>
      <c r="F58" s="2070">
        <v>0.40601891659501288</v>
      </c>
      <c r="G58" s="2070">
        <v>0.42992261392949271</v>
      </c>
      <c r="H58" s="2070">
        <v>0.42992261392949271</v>
      </c>
      <c r="I58" s="2070">
        <v>0.42992261392949271</v>
      </c>
      <c r="J58" s="2070">
        <v>0.40601891659501288</v>
      </c>
      <c r="K58" s="2070">
        <v>0.40601891659501288</v>
      </c>
      <c r="L58" s="2070">
        <v>0.40601891659501288</v>
      </c>
      <c r="M58" s="2070">
        <v>0.50154772141014614</v>
      </c>
      <c r="N58" s="2070">
        <v>0.52545141874462586</v>
      </c>
      <c r="O58" s="2070">
        <v>7.1625107480653469E-2</v>
      </c>
      <c r="P58" s="2070">
        <v>7.1625107480653469E-2</v>
      </c>
      <c r="Q58" s="2070">
        <v>0.1194325021496131</v>
      </c>
      <c r="R58" s="2070">
        <v>0.16715391229578669</v>
      </c>
      <c r="S58" s="2070">
        <v>9.5528804815133275E-2</v>
      </c>
      <c r="T58" s="2070">
        <v>0.14333619948409279</v>
      </c>
      <c r="U58" s="2070">
        <v>0.18607050730868438</v>
      </c>
      <c r="V58" s="2070">
        <v>0.16225279449699048</v>
      </c>
      <c r="W58" s="2070">
        <v>0.14574376612209802</v>
      </c>
      <c r="X58" s="2070">
        <v>0.19208942390369732</v>
      </c>
    </row>
    <row r="59" spans="1:24" ht="11.25" customHeight="1">
      <c r="A59" s="2074" t="s">
        <v>4669</v>
      </c>
      <c r="B59" s="2069" t="s">
        <v>5812</v>
      </c>
      <c r="C59" s="2070">
        <v>0.76423043852106609</v>
      </c>
      <c r="D59" s="2070">
        <v>1.0987102321582116</v>
      </c>
      <c r="E59" s="2070">
        <v>1.1941530524505588</v>
      </c>
      <c r="F59" s="2070">
        <v>3.5349957007738593</v>
      </c>
      <c r="G59" s="2070">
        <v>5.2306964746345672</v>
      </c>
      <c r="H59" s="2070">
        <v>6.4570937231298355</v>
      </c>
      <c r="I59" s="2070">
        <v>9.209544282029233</v>
      </c>
      <c r="J59" s="2070">
        <v>7.3049871023215811</v>
      </c>
      <c r="K59" s="2070">
        <v>7.6043852106620804</v>
      </c>
      <c r="L59" s="2070">
        <v>6.4670679277730008</v>
      </c>
      <c r="M59" s="2070">
        <v>13.433791917454858</v>
      </c>
      <c r="N59" s="2070">
        <v>10.687274290627686</v>
      </c>
      <c r="O59" s="2070">
        <v>14.973688736027515</v>
      </c>
      <c r="P59" s="2070">
        <v>12.536543422184007</v>
      </c>
      <c r="Q59" s="2070">
        <v>15.52553740326741</v>
      </c>
      <c r="R59" s="2070">
        <v>16.105760963026658</v>
      </c>
      <c r="S59" s="2070">
        <v>15.269475494411008</v>
      </c>
      <c r="T59" s="2070">
        <v>14.604127257093722</v>
      </c>
      <c r="U59" s="2070">
        <v>12.750214961306966</v>
      </c>
      <c r="V59" s="2070">
        <v>16.288048151332756</v>
      </c>
      <c r="W59" s="2070">
        <v>19.145227858985375</v>
      </c>
      <c r="X59" s="2070">
        <v>21.786242476354253</v>
      </c>
    </row>
    <row r="60" spans="1:24" ht="11.25" customHeight="1">
      <c r="A60" s="2074" t="s">
        <v>4618</v>
      </c>
      <c r="B60" s="2069" t="s">
        <v>5813</v>
      </c>
      <c r="C60" s="2070">
        <v>0</v>
      </c>
      <c r="D60" s="2070">
        <v>0</v>
      </c>
      <c r="E60" s="2070">
        <v>0</v>
      </c>
      <c r="F60" s="2070">
        <v>0</v>
      </c>
      <c r="G60" s="2070">
        <v>0</v>
      </c>
      <c r="H60" s="2070">
        <v>0</v>
      </c>
      <c r="I60" s="2070">
        <v>0</v>
      </c>
      <c r="J60" s="2070">
        <v>0</v>
      </c>
      <c r="K60" s="2070">
        <v>0</v>
      </c>
      <c r="L60" s="2070">
        <v>0</v>
      </c>
      <c r="M60" s="2070">
        <v>0</v>
      </c>
      <c r="N60" s="2070">
        <v>0</v>
      </c>
      <c r="O60" s="2070">
        <v>0</v>
      </c>
      <c r="P60" s="2070">
        <v>0</v>
      </c>
      <c r="Q60" s="2070">
        <v>0</v>
      </c>
      <c r="R60" s="2070">
        <v>0</v>
      </c>
      <c r="S60" s="2070">
        <v>0</v>
      </c>
      <c r="T60" s="2070">
        <v>0</v>
      </c>
      <c r="U60" s="2070">
        <v>0</v>
      </c>
      <c r="V60" s="2070">
        <v>0</v>
      </c>
      <c r="W60" s="2070">
        <v>0</v>
      </c>
      <c r="X60" s="2070">
        <v>0</v>
      </c>
    </row>
    <row r="61" spans="1:24" ht="11.25" customHeight="1">
      <c r="A61" s="2074" t="s">
        <v>4670</v>
      </c>
      <c r="B61" s="2069" t="s">
        <v>5814</v>
      </c>
      <c r="C61" s="2070">
        <v>0</v>
      </c>
      <c r="D61" s="2070">
        <v>0</v>
      </c>
      <c r="E61" s="2070">
        <v>0</v>
      </c>
      <c r="F61" s="2070">
        <v>0</v>
      </c>
      <c r="G61" s="2070">
        <v>0</v>
      </c>
      <c r="H61" s="2070">
        <v>0</v>
      </c>
      <c r="I61" s="2070">
        <v>0</v>
      </c>
      <c r="J61" s="2070">
        <v>0</v>
      </c>
      <c r="K61" s="2070">
        <v>1.2897678417884779E-3</v>
      </c>
      <c r="L61" s="2070">
        <v>5.1160791057609636E-2</v>
      </c>
      <c r="M61" s="2070">
        <v>5.5030094582975064E-3</v>
      </c>
      <c r="N61" s="2070">
        <v>0.32476354256233875</v>
      </c>
      <c r="O61" s="2070">
        <v>0.6972484952708512</v>
      </c>
      <c r="P61" s="2070">
        <v>0.23886500429922619</v>
      </c>
      <c r="Q61" s="2070">
        <v>5.9673258813413579E-2</v>
      </c>
      <c r="R61" s="2070">
        <v>5.0386930352536538E-2</v>
      </c>
      <c r="S61" s="2070">
        <v>0.11134995700773861</v>
      </c>
      <c r="T61" s="2070">
        <v>0.11160791057609631</v>
      </c>
      <c r="U61" s="2070">
        <v>1.1319002579535684</v>
      </c>
      <c r="V61" s="2070">
        <v>2.9378331900257955</v>
      </c>
      <c r="W61" s="2070">
        <v>12.978933791917456</v>
      </c>
      <c r="X61" s="2070">
        <v>7.0844368013757526</v>
      </c>
    </row>
    <row r="62" spans="1:24" ht="11.25" customHeight="1">
      <c r="A62" s="2074" t="s">
        <v>5815</v>
      </c>
      <c r="B62" s="2069" t="s">
        <v>5816</v>
      </c>
      <c r="C62" s="2070">
        <v>0</v>
      </c>
      <c r="D62" s="2070">
        <v>0</v>
      </c>
      <c r="E62" s="2070">
        <v>0</v>
      </c>
      <c r="F62" s="2070">
        <v>0.19105760963026661</v>
      </c>
      <c r="G62" s="2070">
        <v>0.23886500429922611</v>
      </c>
      <c r="H62" s="2070">
        <v>0.2149613069647463</v>
      </c>
      <c r="I62" s="2070">
        <v>0.14333619948409279</v>
      </c>
      <c r="J62" s="2070">
        <v>0</v>
      </c>
      <c r="K62" s="2070">
        <v>0</v>
      </c>
      <c r="L62" s="2070">
        <v>0</v>
      </c>
      <c r="M62" s="2070">
        <v>0</v>
      </c>
      <c r="N62" s="2070">
        <v>0</v>
      </c>
      <c r="O62" s="2070">
        <v>2.3903697334479789E-2</v>
      </c>
      <c r="P62" s="2070">
        <v>2.3903697334479789E-2</v>
      </c>
      <c r="Q62" s="2070">
        <v>2.3903697334479789E-2</v>
      </c>
      <c r="R62" s="2070">
        <v>2.3903697334479789E-2</v>
      </c>
      <c r="S62" s="2070">
        <v>2.3903697334479789E-2</v>
      </c>
      <c r="T62" s="2070">
        <v>4.7807394668959592E-2</v>
      </c>
      <c r="U62" s="2070">
        <v>5.6749785038693037E-3</v>
      </c>
      <c r="V62" s="2070">
        <v>1.719690455717971E-4</v>
      </c>
      <c r="W62" s="2070">
        <v>3.2502149613069638E-2</v>
      </c>
      <c r="X62" s="2070">
        <v>0.1042992261392949</v>
      </c>
    </row>
    <row r="63" spans="1:24" ht="11.25" customHeight="1">
      <c r="A63" s="2074" t="s">
        <v>5817</v>
      </c>
      <c r="B63" s="2069" t="s">
        <v>5818</v>
      </c>
      <c r="C63" s="2070">
        <v>0</v>
      </c>
      <c r="D63" s="2070">
        <v>0</v>
      </c>
      <c r="E63" s="2070">
        <v>0</v>
      </c>
      <c r="F63" s="2070">
        <v>0</v>
      </c>
      <c r="G63" s="2070">
        <v>0</v>
      </c>
      <c r="H63" s="2070">
        <v>0</v>
      </c>
      <c r="I63" s="2070">
        <v>0</v>
      </c>
      <c r="J63" s="2070">
        <v>0</v>
      </c>
      <c r="K63" s="2070">
        <v>0</v>
      </c>
      <c r="L63" s="2070">
        <v>0</v>
      </c>
      <c r="M63" s="2070">
        <v>0</v>
      </c>
      <c r="N63" s="2070">
        <v>0</v>
      </c>
      <c r="O63" s="2070">
        <v>9.630266552020636E-3</v>
      </c>
      <c r="P63" s="2070">
        <v>0</v>
      </c>
      <c r="Q63" s="2070">
        <v>0</v>
      </c>
      <c r="R63" s="2070">
        <v>0</v>
      </c>
      <c r="S63" s="2070">
        <v>0</v>
      </c>
      <c r="T63" s="2070">
        <v>0</v>
      </c>
      <c r="U63" s="2070">
        <v>0</v>
      </c>
      <c r="V63" s="2070">
        <v>0</v>
      </c>
      <c r="W63" s="2070">
        <v>0</v>
      </c>
      <c r="X63" s="2070">
        <v>0</v>
      </c>
    </row>
    <row r="64" spans="1:24" ht="11.25" customHeight="1">
      <c r="A64" s="2074" t="s">
        <v>5819</v>
      </c>
      <c r="B64" s="2069" t="s">
        <v>5820</v>
      </c>
      <c r="C64" s="2070">
        <v>0</v>
      </c>
      <c r="D64" s="2070">
        <v>0</v>
      </c>
      <c r="E64" s="2070">
        <v>0</v>
      </c>
      <c r="F64" s="2070">
        <v>0</v>
      </c>
      <c r="G64" s="2070">
        <v>0</v>
      </c>
      <c r="H64" s="2070">
        <v>3.869303525365434E-3</v>
      </c>
      <c r="I64" s="2070">
        <v>7.7386070507308681E-3</v>
      </c>
      <c r="J64" s="2070">
        <v>4.557179707652622E-3</v>
      </c>
      <c r="K64" s="2070">
        <v>9.0283748925193454E-3</v>
      </c>
      <c r="L64" s="2070">
        <v>3.2674118658641439E-3</v>
      </c>
      <c r="M64" s="2070">
        <v>1.2897678417884779E-3</v>
      </c>
      <c r="N64" s="2070">
        <v>6.0189165950128975E-4</v>
      </c>
      <c r="O64" s="2070">
        <v>6.0189165950128975E-4</v>
      </c>
      <c r="P64" s="2070">
        <v>1.8916595012897679E-3</v>
      </c>
      <c r="Q64" s="2070">
        <v>9.0283748925193454E-3</v>
      </c>
      <c r="R64" s="2070">
        <v>1.9260533104041268E-2</v>
      </c>
      <c r="S64" s="2070">
        <v>5.7609630266552024E-3</v>
      </c>
      <c r="T64" s="2070">
        <v>6.964746345657781E-3</v>
      </c>
      <c r="U64" s="2070">
        <v>0.15924333619948411</v>
      </c>
      <c r="V64" s="2070">
        <v>0.13576956147893379</v>
      </c>
      <c r="W64" s="2070">
        <v>3.6801375752364571E-2</v>
      </c>
      <c r="X64" s="2070">
        <v>4.6345657781599311E-2</v>
      </c>
    </row>
    <row r="65" spans="1:24" ht="11.25" customHeight="1">
      <c r="A65" s="2074" t="s">
        <v>5821</v>
      </c>
      <c r="B65" s="2069" t="s">
        <v>5822</v>
      </c>
      <c r="C65" s="2070">
        <v>0</v>
      </c>
      <c r="D65" s="2070">
        <v>0</v>
      </c>
      <c r="E65" s="2070">
        <v>0</v>
      </c>
      <c r="F65" s="2070">
        <v>0</v>
      </c>
      <c r="G65" s="2070">
        <v>0</v>
      </c>
      <c r="H65" s="2070">
        <v>2.665520206362855E-3</v>
      </c>
      <c r="I65" s="2070">
        <v>1.074806534823732E-2</v>
      </c>
      <c r="J65" s="2070">
        <v>5.4170249355116077E-3</v>
      </c>
      <c r="K65" s="2070">
        <v>5.4170249355116077E-3</v>
      </c>
      <c r="L65" s="2070">
        <v>1.255374032674119E-2</v>
      </c>
      <c r="M65" s="2070">
        <v>1.8830610490111779E-2</v>
      </c>
      <c r="N65" s="2070">
        <v>1.788478073946689E-2</v>
      </c>
      <c r="O65" s="2070">
        <v>3.4049871023215821E-2</v>
      </c>
      <c r="P65" s="2070">
        <v>4.6603611349957011E-2</v>
      </c>
      <c r="Q65" s="2070">
        <v>0.17833190025795351</v>
      </c>
      <c r="R65" s="2070">
        <v>0.20429922613929491</v>
      </c>
      <c r="S65" s="2070">
        <v>0.29836629406706788</v>
      </c>
      <c r="T65" s="2070">
        <v>1.004385210662081</v>
      </c>
      <c r="U65" s="2070">
        <v>1.004385210662081</v>
      </c>
      <c r="V65" s="2070">
        <v>1.004385210662081</v>
      </c>
      <c r="W65" s="2070">
        <v>0</v>
      </c>
      <c r="X65" s="2070">
        <v>0</v>
      </c>
    </row>
    <row r="66" spans="1:24" ht="11.25" customHeight="1">
      <c r="A66" s="2074" t="s">
        <v>5823</v>
      </c>
      <c r="B66" s="2069" t="s">
        <v>5824</v>
      </c>
      <c r="C66" s="2070">
        <v>0</v>
      </c>
      <c r="D66" s="2070">
        <v>0</v>
      </c>
      <c r="E66" s="2070">
        <v>0</v>
      </c>
      <c r="F66" s="2070">
        <v>0</v>
      </c>
      <c r="G66" s="2070">
        <v>0</v>
      </c>
      <c r="H66" s="2070">
        <v>1.0576096302665519E-2</v>
      </c>
      <c r="I66" s="2070">
        <v>6.2768701633705931E-2</v>
      </c>
      <c r="J66" s="2070">
        <v>0.14849527085124681</v>
      </c>
      <c r="K66" s="2070">
        <v>0.19707652622527941</v>
      </c>
      <c r="L66" s="2070">
        <v>0.20060189165950129</v>
      </c>
      <c r="M66" s="2070">
        <v>0.23387790197764399</v>
      </c>
      <c r="N66" s="2070">
        <v>0.19355116079105761</v>
      </c>
      <c r="O66" s="2070">
        <v>0.26792777300085979</v>
      </c>
      <c r="P66" s="2070">
        <v>0.43009458297506442</v>
      </c>
      <c r="Q66" s="2070">
        <v>1.5231298366294066</v>
      </c>
      <c r="R66" s="2070">
        <v>1.7403267411865864</v>
      </c>
      <c r="S66" s="2070">
        <v>2.1006018916595011</v>
      </c>
      <c r="T66" s="2070">
        <v>1.4581255374032673</v>
      </c>
      <c r="U66" s="2070">
        <v>2.2730868443680139</v>
      </c>
      <c r="V66" s="2070">
        <v>2.3996560619088565</v>
      </c>
      <c r="W66" s="2070">
        <v>1.5654342218400688</v>
      </c>
      <c r="X66" s="2070">
        <v>2.0392089423903692</v>
      </c>
    </row>
    <row r="67" spans="1:24" ht="11.25" customHeight="1">
      <c r="A67" s="2074" t="s">
        <v>5825</v>
      </c>
      <c r="B67" s="2069" t="s">
        <v>5826</v>
      </c>
      <c r="C67" s="2070">
        <v>0</v>
      </c>
      <c r="D67" s="2070">
        <v>0</v>
      </c>
      <c r="E67" s="2070">
        <v>0</v>
      </c>
      <c r="F67" s="2070">
        <v>0</v>
      </c>
      <c r="G67" s="2070">
        <v>0</v>
      </c>
      <c r="H67" s="2070">
        <v>0</v>
      </c>
      <c r="I67" s="2070">
        <v>0</v>
      </c>
      <c r="J67" s="2070">
        <v>0</v>
      </c>
      <c r="K67" s="2070">
        <v>0</v>
      </c>
      <c r="L67" s="2070">
        <v>0</v>
      </c>
      <c r="M67" s="2070">
        <v>0</v>
      </c>
      <c r="N67" s="2070">
        <v>0</v>
      </c>
      <c r="O67" s="2070">
        <v>0</v>
      </c>
      <c r="P67" s="2070">
        <v>0</v>
      </c>
      <c r="Q67" s="2070">
        <v>0</v>
      </c>
      <c r="R67" s="2070">
        <v>0</v>
      </c>
      <c r="S67" s="2070">
        <v>0</v>
      </c>
      <c r="T67" s="2070">
        <v>0</v>
      </c>
      <c r="U67" s="2070">
        <v>0</v>
      </c>
      <c r="V67" s="2070">
        <v>0</v>
      </c>
      <c r="W67" s="2070">
        <v>0</v>
      </c>
      <c r="X67" s="2070">
        <v>0</v>
      </c>
    </row>
    <row r="68" spans="1:24" ht="11.25" customHeight="1">
      <c r="A68" s="2074" t="s">
        <v>5827</v>
      </c>
      <c r="B68" s="2069" t="s">
        <v>5828</v>
      </c>
      <c r="C68" s="2070">
        <v>0</v>
      </c>
      <c r="D68" s="2070">
        <v>0</v>
      </c>
      <c r="E68" s="2070">
        <v>0</v>
      </c>
      <c r="F68" s="2070">
        <v>0</v>
      </c>
      <c r="G68" s="2070">
        <v>0</v>
      </c>
      <c r="H68" s="2070">
        <v>0</v>
      </c>
      <c r="I68" s="2070">
        <v>0</v>
      </c>
      <c r="J68" s="2070">
        <v>0</v>
      </c>
      <c r="K68" s="2070">
        <v>0</v>
      </c>
      <c r="L68" s="2070">
        <v>0</v>
      </c>
      <c r="M68" s="2070">
        <v>0</v>
      </c>
      <c r="N68" s="2070">
        <v>0</v>
      </c>
      <c r="O68" s="2070">
        <v>0</v>
      </c>
      <c r="P68" s="2070">
        <v>0</v>
      </c>
      <c r="Q68" s="2070">
        <v>0</v>
      </c>
      <c r="R68" s="2070">
        <v>0</v>
      </c>
      <c r="S68" s="2070">
        <v>0</v>
      </c>
      <c r="T68" s="2070">
        <v>0</v>
      </c>
      <c r="U68" s="2070">
        <v>0</v>
      </c>
      <c r="V68" s="2070">
        <v>0</v>
      </c>
      <c r="W68" s="2070">
        <v>0</v>
      </c>
      <c r="X68" s="2070">
        <v>0</v>
      </c>
    </row>
    <row r="69" spans="1:24" ht="11.25" customHeight="1">
      <c r="A69" s="2074" t="s">
        <v>4619</v>
      </c>
      <c r="B69" s="2069" t="s">
        <v>5829</v>
      </c>
      <c r="C69" s="2070">
        <v>0</v>
      </c>
      <c r="D69" s="2070">
        <v>0</v>
      </c>
      <c r="E69" s="2070">
        <v>0</v>
      </c>
      <c r="F69" s="2070">
        <v>0</v>
      </c>
      <c r="G69" s="2070">
        <v>0</v>
      </c>
      <c r="H69" s="2070">
        <v>0</v>
      </c>
      <c r="I69" s="2070">
        <v>0.86861564918314704</v>
      </c>
      <c r="J69" s="2070">
        <v>0.8623387790197764</v>
      </c>
      <c r="K69" s="2070">
        <v>0.7267411865864144</v>
      </c>
      <c r="L69" s="2070">
        <v>0.77377472055030094</v>
      </c>
      <c r="M69" s="2070">
        <v>2.4141874462596729</v>
      </c>
      <c r="N69" s="2070">
        <v>1.436285468615649</v>
      </c>
      <c r="O69" s="2070">
        <v>1.5766981943250218</v>
      </c>
      <c r="P69" s="2070">
        <v>1.7226139294926912</v>
      </c>
      <c r="Q69" s="2070">
        <v>1.867583834909716</v>
      </c>
      <c r="R69" s="2070">
        <v>1.2982803095442825</v>
      </c>
      <c r="S69" s="2070">
        <v>1.1594153052450558</v>
      </c>
      <c r="T69" s="2070">
        <v>0.60421324161650902</v>
      </c>
      <c r="U69" s="2070">
        <v>6.0963026655202063E-2</v>
      </c>
      <c r="V69" s="2070">
        <v>0.7513327601031814</v>
      </c>
      <c r="W69" s="2070">
        <v>1.7091143594153051</v>
      </c>
      <c r="X69" s="2070">
        <v>0</v>
      </c>
    </row>
    <row r="70" spans="1:24" ht="11.25" customHeight="1">
      <c r="A70" s="2074" t="s">
        <v>5830</v>
      </c>
      <c r="B70" s="2069" t="s">
        <v>5831</v>
      </c>
      <c r="C70" s="2070">
        <v>0.26688817693702638</v>
      </c>
      <c r="D70" s="2070">
        <v>0.28239455346663894</v>
      </c>
      <c r="E70" s="2070">
        <v>0.30258297910130039</v>
      </c>
      <c r="F70" s="2070">
        <v>0.31478518946038841</v>
      </c>
      <c r="G70" s="2070">
        <v>0.32093741792667063</v>
      </c>
      <c r="H70" s="2070">
        <v>0.44297580466994074</v>
      </c>
      <c r="I70" s="2070">
        <v>0.53389955581539339</v>
      </c>
      <c r="J70" s="2070">
        <v>0.5496124302570583</v>
      </c>
      <c r="K70" s="2070">
        <v>0.51049560621278023</v>
      </c>
      <c r="L70" s="2070">
        <v>0.61512900912143353</v>
      </c>
      <c r="M70" s="2070">
        <v>0.75879854311659289</v>
      </c>
      <c r="N70" s="2070">
        <v>0.78945435739948544</v>
      </c>
      <c r="O70" s="2070">
        <v>0.72513328446316128</v>
      </c>
      <c r="P70" s="2070">
        <v>0.92948659150182467</v>
      </c>
      <c r="Q70" s="2070">
        <v>3.8417716094482701</v>
      </c>
      <c r="R70" s="2070">
        <v>4.4088127703849391</v>
      </c>
      <c r="S70" s="2070">
        <v>5.7609933716917752</v>
      </c>
      <c r="T70" s="2070">
        <v>6.5188486457539003</v>
      </c>
      <c r="U70" s="2070">
        <v>7.8407768722996796</v>
      </c>
      <c r="V70" s="2070">
        <v>9.2520553067302451</v>
      </c>
      <c r="W70" s="2070">
        <v>9.4400680256329235</v>
      </c>
      <c r="X70" s="2070">
        <v>10.387246752043506</v>
      </c>
    </row>
    <row r="71" spans="1:24" ht="11.25" customHeight="1">
      <c r="A71" s="2071" t="s">
        <v>5832</v>
      </c>
      <c r="B71" s="2072" t="s">
        <v>5833</v>
      </c>
      <c r="C71" s="2073">
        <v>4.7807394668959578E-2</v>
      </c>
      <c r="D71" s="2073">
        <v>2.3903697334479789E-2</v>
      </c>
      <c r="E71" s="2073">
        <v>0</v>
      </c>
      <c r="F71" s="2073">
        <v>0.19105760963026661</v>
      </c>
      <c r="G71" s="2073">
        <v>0.23886500429922611</v>
      </c>
      <c r="H71" s="2073">
        <v>0.23886500429922608</v>
      </c>
      <c r="I71" s="2073">
        <v>0.14333619948409279</v>
      </c>
      <c r="J71" s="2073">
        <v>0</v>
      </c>
      <c r="K71" s="2073">
        <v>0</v>
      </c>
      <c r="L71" s="2073">
        <v>0</v>
      </c>
      <c r="M71" s="2073">
        <v>0</v>
      </c>
      <c r="N71" s="2073">
        <v>0</v>
      </c>
      <c r="O71" s="2073">
        <v>2.3903697334479789E-2</v>
      </c>
      <c r="P71" s="2073">
        <v>2.3903697334479789E-2</v>
      </c>
      <c r="Q71" s="2073">
        <v>2.6397248495270847E-2</v>
      </c>
      <c r="R71" s="2073">
        <v>7.9535683576956145E-2</v>
      </c>
      <c r="S71" s="2073">
        <v>0.26947549441100599</v>
      </c>
      <c r="T71" s="2073">
        <v>5.3998280309544289E-2</v>
      </c>
      <c r="U71" s="2073">
        <v>0.10739466895958726</v>
      </c>
      <c r="V71" s="2073">
        <v>0.12166809974204641</v>
      </c>
      <c r="W71" s="2073">
        <v>0.16878761822871882</v>
      </c>
      <c r="X71" s="2073">
        <v>0.52699914015477212</v>
      </c>
    </row>
    <row r="72" spans="1:24" ht="11.25" customHeight="1">
      <c r="A72" s="2074" t="s">
        <v>5834</v>
      </c>
      <c r="B72" s="2069" t="s">
        <v>5835</v>
      </c>
      <c r="C72" s="2070">
        <v>4.7807394668959578E-2</v>
      </c>
      <c r="D72" s="2070">
        <v>2.3903697334479789E-2</v>
      </c>
      <c r="E72" s="2070">
        <v>0</v>
      </c>
      <c r="F72" s="2070">
        <v>0</v>
      </c>
      <c r="G72" s="2070">
        <v>0</v>
      </c>
      <c r="H72" s="2070">
        <v>2.3903697334479789E-2</v>
      </c>
      <c r="I72" s="2070">
        <v>0</v>
      </c>
      <c r="J72" s="2070">
        <v>0</v>
      </c>
      <c r="K72" s="2070">
        <v>0</v>
      </c>
      <c r="L72" s="2070">
        <v>0</v>
      </c>
      <c r="M72" s="2070">
        <v>0</v>
      </c>
      <c r="N72" s="2070">
        <v>0</v>
      </c>
      <c r="O72" s="2070">
        <v>0</v>
      </c>
      <c r="P72" s="2070">
        <v>0</v>
      </c>
      <c r="Q72" s="2070">
        <v>2.4935511607910581E-3</v>
      </c>
      <c r="R72" s="2070">
        <v>5.5631986242476353E-2</v>
      </c>
      <c r="S72" s="2070">
        <v>0.24557179707652621</v>
      </c>
      <c r="T72" s="2070">
        <v>6.1908856405846948E-3</v>
      </c>
      <c r="U72" s="2070">
        <v>0.10171969045571795</v>
      </c>
      <c r="V72" s="2070">
        <v>0.12149613069647462</v>
      </c>
      <c r="W72" s="2070">
        <v>0.13628546861564919</v>
      </c>
      <c r="X72" s="2070">
        <v>0.42269991401547724</v>
      </c>
    </row>
    <row r="73" spans="1:24" ht="11.25" customHeight="1">
      <c r="A73" s="2074" t="s">
        <v>5836</v>
      </c>
      <c r="B73" s="2069" t="s">
        <v>5837</v>
      </c>
      <c r="C73" s="2070">
        <v>0</v>
      </c>
      <c r="D73" s="2070">
        <v>0</v>
      </c>
      <c r="E73" s="2070">
        <v>0</v>
      </c>
      <c r="F73" s="2070">
        <v>0.19105760963026661</v>
      </c>
      <c r="G73" s="2070">
        <v>0.23886500429922611</v>
      </c>
      <c r="H73" s="2070">
        <v>0.2149613069647463</v>
      </c>
      <c r="I73" s="2070">
        <v>0.14333619948409279</v>
      </c>
      <c r="J73" s="2070">
        <v>0</v>
      </c>
      <c r="K73" s="2070">
        <v>0</v>
      </c>
      <c r="L73" s="2070">
        <v>0</v>
      </c>
      <c r="M73" s="2070">
        <v>0</v>
      </c>
      <c r="N73" s="2070">
        <v>0</v>
      </c>
      <c r="O73" s="2070">
        <v>2.3903697334479789E-2</v>
      </c>
      <c r="P73" s="2070">
        <v>2.3903697334479789E-2</v>
      </c>
      <c r="Q73" s="2070">
        <v>2.3903697334479789E-2</v>
      </c>
      <c r="R73" s="2070">
        <v>2.3903697334479789E-2</v>
      </c>
      <c r="S73" s="2070">
        <v>2.3903697334479789E-2</v>
      </c>
      <c r="T73" s="2070">
        <v>4.7807394668959592E-2</v>
      </c>
      <c r="U73" s="2070">
        <v>5.6749785038693037E-3</v>
      </c>
      <c r="V73" s="2070">
        <v>1.719690455717971E-4</v>
      </c>
      <c r="W73" s="2070">
        <v>3.2502149613069638E-2</v>
      </c>
      <c r="X73" s="2070">
        <v>0.1042992261392949</v>
      </c>
    </row>
    <row r="74" spans="1:24" ht="11.25" customHeight="1">
      <c r="A74" s="2071" t="s">
        <v>4616</v>
      </c>
      <c r="B74" s="2072" t="s">
        <v>5838</v>
      </c>
      <c r="C74" s="2073">
        <v>0</v>
      </c>
      <c r="D74" s="2073">
        <v>0</v>
      </c>
      <c r="E74" s="2073">
        <v>0</v>
      </c>
      <c r="F74" s="2073">
        <v>0</v>
      </c>
      <c r="G74" s="2073">
        <v>0</v>
      </c>
      <c r="H74" s="2073">
        <v>0</v>
      </c>
      <c r="I74" s="2073">
        <v>0</v>
      </c>
      <c r="J74" s="2073">
        <v>0</v>
      </c>
      <c r="K74" s="2073">
        <v>0</v>
      </c>
      <c r="L74" s="2073">
        <v>0</v>
      </c>
      <c r="M74" s="2073">
        <v>0</v>
      </c>
      <c r="N74" s="2073">
        <v>0</v>
      </c>
      <c r="O74" s="2073">
        <v>0</v>
      </c>
      <c r="P74" s="2073">
        <v>0</v>
      </c>
      <c r="Q74" s="2073">
        <v>0</v>
      </c>
      <c r="R74" s="2073">
        <v>0</v>
      </c>
      <c r="S74" s="2073">
        <v>0</v>
      </c>
      <c r="T74" s="2073">
        <v>0</v>
      </c>
      <c r="U74" s="2073">
        <v>0</v>
      </c>
      <c r="V74" s="2073">
        <v>0</v>
      </c>
      <c r="W74" s="2073">
        <v>0</v>
      </c>
      <c r="X74" s="2073">
        <v>0</v>
      </c>
    </row>
    <row r="75" spans="1:24" ht="11.25" customHeight="1">
      <c r="A75" s="2071" t="s">
        <v>4671</v>
      </c>
      <c r="B75" s="2072" t="s">
        <v>5839</v>
      </c>
      <c r="C75" s="2073">
        <v>303.47042132416163</v>
      </c>
      <c r="D75" s="2073">
        <v>325.64806534823731</v>
      </c>
      <c r="E75" s="2073">
        <v>316.23723129836617</v>
      </c>
      <c r="F75" s="2073">
        <v>720.61203783318979</v>
      </c>
      <c r="G75" s="2073">
        <v>850.14729148753224</v>
      </c>
      <c r="H75" s="2073">
        <v>805.33766122097984</v>
      </c>
      <c r="I75" s="2073">
        <v>704.9138435081685</v>
      </c>
      <c r="J75" s="2073">
        <v>662.94325021496127</v>
      </c>
      <c r="K75" s="2073">
        <v>646.73628546861573</v>
      </c>
      <c r="L75" s="2073">
        <v>613.43344797936379</v>
      </c>
      <c r="M75" s="2073">
        <v>754.77360275150477</v>
      </c>
      <c r="N75" s="2073">
        <v>642.19045571797074</v>
      </c>
      <c r="O75" s="2073">
        <v>769.24892519346508</v>
      </c>
      <c r="P75" s="2073">
        <v>732.36087704213219</v>
      </c>
      <c r="Q75" s="2073">
        <v>630.44153052450542</v>
      </c>
      <c r="R75" s="2073">
        <v>584.59595872742909</v>
      </c>
      <c r="S75" s="2073">
        <v>618.1749785038694</v>
      </c>
      <c r="T75" s="2073">
        <v>592.03688736027505</v>
      </c>
      <c r="U75" s="2073">
        <v>595.16414445399823</v>
      </c>
      <c r="V75" s="2073">
        <v>571.38753224419577</v>
      </c>
      <c r="W75" s="2073">
        <v>568.44376612209794</v>
      </c>
      <c r="X75" s="2073">
        <v>574.60558899398109</v>
      </c>
    </row>
    <row r="76" spans="1:24" ht="11.25" customHeight="1">
      <c r="A76" s="2075" t="s">
        <v>4282</v>
      </c>
      <c r="B76" s="2076" t="s">
        <v>5840</v>
      </c>
      <c r="C76" s="2077">
        <v>4021.4272393199471</v>
      </c>
      <c r="D76" s="2077">
        <v>4030.2658681842345</v>
      </c>
      <c r="E76" s="2077">
        <v>4009.3282029234738</v>
      </c>
      <c r="F76" s="2077">
        <v>3953.0042992261392</v>
      </c>
      <c r="G76" s="2077">
        <v>4096.969905417026</v>
      </c>
      <c r="H76" s="2077">
        <v>4173.9307824591569</v>
      </c>
      <c r="I76" s="2077">
        <v>4172.2365434221829</v>
      </c>
      <c r="J76" s="2077">
        <v>4279.5631986242479</v>
      </c>
      <c r="K76" s="2077">
        <v>4220.9153912295787</v>
      </c>
      <c r="L76" s="2077">
        <v>3596.6391229578671</v>
      </c>
      <c r="M76" s="2077">
        <v>3817.4560619088566</v>
      </c>
      <c r="N76" s="2077">
        <v>3821.003439380911</v>
      </c>
      <c r="O76" s="2077">
        <v>3776.6250214961306</v>
      </c>
      <c r="P76" s="2077">
        <v>3883.19785038693</v>
      </c>
      <c r="Q76" s="2077">
        <v>3988.1136715391231</v>
      </c>
      <c r="R76" s="2077">
        <v>4018.0767841788474</v>
      </c>
      <c r="S76" s="2077">
        <v>4123.9967325881344</v>
      </c>
      <c r="T76" s="2077">
        <v>4174.4434221840074</v>
      </c>
      <c r="U76" s="2077">
        <v>4276.238091143593</v>
      </c>
      <c r="V76" s="2077">
        <v>4179.7861564918303</v>
      </c>
      <c r="W76" s="2077">
        <v>3759.0872742906272</v>
      </c>
      <c r="X76" s="2077">
        <v>3915.8177987962158</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D29BE-DE70-4D42-A210-64C752BD23D8}">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baseColWidth="10" defaultColWidth="9.1640625" defaultRowHeight="11.25" customHeight="1"/>
  <cols>
    <col min="1" max="1" width="40.6640625" style="2059" bestFit="1" customWidth="1"/>
    <col min="2" max="2" width="16.1640625" style="2059" bestFit="1" customWidth="1"/>
    <col min="3" max="24" width="9.6640625" style="2059" customWidth="1"/>
    <col min="25" max="16384" width="9.1640625" style="2059"/>
  </cols>
  <sheetData>
    <row r="1" spans="1:24" ht="11.25" customHeight="1">
      <c r="A1" s="2057" t="s">
        <v>5853</v>
      </c>
      <c r="B1" s="2057" t="s">
        <v>5854</v>
      </c>
      <c r="C1" s="2058">
        <v>2000</v>
      </c>
      <c r="D1" s="2058">
        <v>2001</v>
      </c>
      <c r="E1" s="2058">
        <v>2002</v>
      </c>
      <c r="F1" s="2058">
        <v>2003</v>
      </c>
      <c r="G1" s="2058">
        <v>2004</v>
      </c>
      <c r="H1" s="2058">
        <v>2005</v>
      </c>
      <c r="I1" s="2058">
        <v>2006</v>
      </c>
      <c r="J1" s="2058">
        <v>2007</v>
      </c>
      <c r="K1" s="2058">
        <v>2008</v>
      </c>
      <c r="L1" s="2058">
        <v>2009</v>
      </c>
      <c r="M1" s="2058">
        <v>2010</v>
      </c>
      <c r="N1" s="2058">
        <v>2011</v>
      </c>
      <c r="O1" s="2058">
        <v>2012</v>
      </c>
      <c r="P1" s="2058">
        <v>2013</v>
      </c>
      <c r="Q1" s="2058">
        <v>2014</v>
      </c>
      <c r="R1" s="2058">
        <v>2015</v>
      </c>
      <c r="S1" s="2058">
        <v>2016</v>
      </c>
      <c r="T1" s="2058">
        <v>2017</v>
      </c>
      <c r="U1" s="2058">
        <v>2018</v>
      </c>
      <c r="V1" s="2058">
        <v>2019</v>
      </c>
      <c r="W1" s="2058">
        <v>2020</v>
      </c>
      <c r="X1" s="2058">
        <v>2021</v>
      </c>
    </row>
    <row r="2" spans="1:24" ht="11.25" customHeight="1">
      <c r="A2" s="2060" t="s">
        <v>1265</v>
      </c>
      <c r="B2" s="2060" t="s">
        <v>5738</v>
      </c>
      <c r="C2" s="2061">
        <v>16979.065129156948</v>
      </c>
      <c r="D2" s="2061">
        <v>17468.02990151526</v>
      </c>
      <c r="E2" s="2061">
        <v>17198.763323457719</v>
      </c>
      <c r="F2" s="2061">
        <v>18906.962616392055</v>
      </c>
      <c r="G2" s="2061">
        <v>19102.152387673676</v>
      </c>
      <c r="H2" s="2061">
        <v>18915.426755402848</v>
      </c>
      <c r="I2" s="2061">
        <v>18976.043585007807</v>
      </c>
      <c r="J2" s="2061">
        <v>18962.08405100026</v>
      </c>
      <c r="K2" s="2061">
        <v>19855.489421689024</v>
      </c>
      <c r="L2" s="2061">
        <v>17118.529826000668</v>
      </c>
      <c r="M2" s="2061">
        <v>18413.480829242326</v>
      </c>
      <c r="N2" s="2061">
        <v>17949.656679729982</v>
      </c>
      <c r="O2" s="2061">
        <v>17477.503218557518</v>
      </c>
      <c r="P2" s="2061">
        <v>17722.459628901888</v>
      </c>
      <c r="Q2" s="2061">
        <v>17059.180117630032</v>
      </c>
      <c r="R2" s="2061">
        <v>16690.72087495833</v>
      </c>
      <c r="S2" s="2061">
        <v>16920.817248715583</v>
      </c>
      <c r="T2" s="2061">
        <v>17271.152734752603</v>
      </c>
      <c r="U2" s="2061">
        <v>17197.301842514069</v>
      </c>
      <c r="V2" s="2061">
        <v>16962.770537237862</v>
      </c>
      <c r="W2" s="2061">
        <v>15701.61806572388</v>
      </c>
      <c r="X2" s="2061">
        <v>17200.31978595928</v>
      </c>
    </row>
    <row r="3" spans="1:24" ht="11.25" customHeight="1">
      <c r="A3" s="2062" t="s">
        <v>5739</v>
      </c>
      <c r="B3" s="2063" t="s">
        <v>5740</v>
      </c>
      <c r="C3" s="2064">
        <v>543.06973344797939</v>
      </c>
      <c r="D3" s="2064">
        <v>475.05331040412727</v>
      </c>
      <c r="E3" s="2064">
        <v>412.97179707652623</v>
      </c>
      <c r="F3" s="2064">
        <v>401.85889939810829</v>
      </c>
      <c r="G3" s="2064">
        <v>241.92656921754082</v>
      </c>
      <c r="H3" s="2064">
        <v>229.52639724849527</v>
      </c>
      <c r="I3" s="2064">
        <v>199.35116079105762</v>
      </c>
      <c r="J3" s="2064">
        <v>166.44359415305243</v>
      </c>
      <c r="K3" s="2064">
        <v>156.97927773000862</v>
      </c>
      <c r="L3" s="2064">
        <v>112.52244196044711</v>
      </c>
      <c r="M3" s="2064">
        <v>117.2834909716251</v>
      </c>
      <c r="N3" s="2064">
        <v>107.89845227858984</v>
      </c>
      <c r="O3" s="2064">
        <v>93.08822012037831</v>
      </c>
      <c r="P3" s="2064">
        <v>93.417110920034375</v>
      </c>
      <c r="Q3" s="2064">
        <v>85.180481513327578</v>
      </c>
      <c r="R3" s="2064">
        <v>93.801375752364578</v>
      </c>
      <c r="S3" s="2064">
        <v>70.087962166809959</v>
      </c>
      <c r="T3" s="2064">
        <v>101.82794496990542</v>
      </c>
      <c r="U3" s="2064">
        <v>78.742476354256226</v>
      </c>
      <c r="V3" s="2064">
        <v>68.784952708512478</v>
      </c>
      <c r="W3" s="2064">
        <v>85.759501289767826</v>
      </c>
      <c r="X3" s="2064">
        <v>69.837919174548574</v>
      </c>
    </row>
    <row r="4" spans="1:24" ht="11.25" customHeight="1">
      <c r="A4" s="2065" t="s">
        <v>5741</v>
      </c>
      <c r="B4" s="2066" t="s">
        <v>5742</v>
      </c>
      <c r="C4" s="2067">
        <v>258.33422184006884</v>
      </c>
      <c r="D4" s="2067">
        <v>231.03026655202069</v>
      </c>
      <c r="E4" s="2067">
        <v>186.37343078245914</v>
      </c>
      <c r="F4" s="2067">
        <v>158.64006878761819</v>
      </c>
      <c r="G4" s="2067">
        <v>123.74720550300944</v>
      </c>
      <c r="H4" s="2067">
        <v>139.8140154772141</v>
      </c>
      <c r="I4" s="2067">
        <v>110.6847807394669</v>
      </c>
      <c r="J4" s="2067">
        <v>88.789681857265677</v>
      </c>
      <c r="K4" s="2067">
        <v>70.042132416165089</v>
      </c>
      <c r="L4" s="2067">
        <v>51.692433361994837</v>
      </c>
      <c r="M4" s="2067">
        <v>54.070249355116069</v>
      </c>
      <c r="N4" s="2067">
        <v>48.831986242476347</v>
      </c>
      <c r="O4" s="2067">
        <v>46.438091143594136</v>
      </c>
      <c r="P4" s="2067">
        <v>45.820722269991393</v>
      </c>
      <c r="Q4" s="2067">
        <v>36.628202923473772</v>
      </c>
      <c r="R4" s="2067">
        <v>57.05993121238177</v>
      </c>
      <c r="S4" s="2067">
        <v>34.599914015477204</v>
      </c>
      <c r="T4" s="2067">
        <v>67.282545141874465</v>
      </c>
      <c r="U4" s="2067">
        <v>37.609888220120375</v>
      </c>
      <c r="V4" s="2067">
        <v>35.335941530524515</v>
      </c>
      <c r="W4" s="2067">
        <v>32.085210662080819</v>
      </c>
      <c r="X4" s="2067">
        <v>36.384952708512472</v>
      </c>
    </row>
    <row r="5" spans="1:24" ht="11.25" customHeight="1">
      <c r="A5" s="2068" t="s">
        <v>4613</v>
      </c>
      <c r="B5" s="2069" t="s">
        <v>5743</v>
      </c>
      <c r="C5" s="2070">
        <v>0</v>
      </c>
      <c r="D5" s="2070">
        <v>0</v>
      </c>
      <c r="E5" s="2070">
        <v>10.492003439380911</v>
      </c>
      <c r="F5" s="2070">
        <v>7.8031814273430777</v>
      </c>
      <c r="G5" s="2070">
        <v>3.6090283748925192</v>
      </c>
      <c r="H5" s="2070">
        <v>23.45889939810834</v>
      </c>
      <c r="I5" s="2070">
        <v>18.646775580395531</v>
      </c>
      <c r="J5" s="2070">
        <v>11.428718830610491</v>
      </c>
      <c r="K5" s="2070">
        <v>0</v>
      </c>
      <c r="L5" s="2070">
        <v>0</v>
      </c>
      <c r="M5" s="2070">
        <v>0</v>
      </c>
      <c r="N5" s="2070">
        <v>0.96990541702493538</v>
      </c>
      <c r="O5" s="2070">
        <v>0.77196904557179702</v>
      </c>
      <c r="P5" s="2070">
        <v>0.77196904557179702</v>
      </c>
      <c r="Q5" s="2070">
        <v>0</v>
      </c>
      <c r="R5" s="2070">
        <v>2.7205503009458298</v>
      </c>
      <c r="S5" s="2070">
        <v>1.336371453138435</v>
      </c>
      <c r="T5" s="2070">
        <v>1.4076526225279449</v>
      </c>
      <c r="U5" s="2070">
        <v>0.66947549441100596</v>
      </c>
      <c r="V5" s="2070">
        <v>0.60283748925193459</v>
      </c>
      <c r="W5" s="2070">
        <v>0.11650902837489252</v>
      </c>
      <c r="X5" s="2070">
        <v>0.105932932072227</v>
      </c>
    </row>
    <row r="6" spans="1:24" ht="11.25" customHeight="1">
      <c r="A6" s="2068" t="s">
        <v>4647</v>
      </c>
      <c r="B6" s="2069" t="s">
        <v>5744</v>
      </c>
      <c r="C6" s="2070">
        <v>0</v>
      </c>
      <c r="D6" s="2070">
        <v>0</v>
      </c>
      <c r="E6" s="2070">
        <v>0</v>
      </c>
      <c r="F6" s="2070">
        <v>0</v>
      </c>
      <c r="G6" s="2070">
        <v>0</v>
      </c>
      <c r="H6" s="2070">
        <v>0</v>
      </c>
      <c r="I6" s="2070">
        <v>0</v>
      </c>
      <c r="J6" s="2070">
        <v>0</v>
      </c>
      <c r="K6" s="2070">
        <v>0</v>
      </c>
      <c r="L6" s="2070">
        <v>0</v>
      </c>
      <c r="M6" s="2070">
        <v>0</v>
      </c>
      <c r="N6" s="2070">
        <v>0</v>
      </c>
      <c r="O6" s="2070">
        <v>0</v>
      </c>
      <c r="P6" s="2070">
        <v>0</v>
      </c>
      <c r="Q6" s="2070">
        <v>0</v>
      </c>
      <c r="R6" s="2070">
        <v>0</v>
      </c>
      <c r="S6" s="2070">
        <v>0</v>
      </c>
      <c r="T6" s="2070">
        <v>0</v>
      </c>
      <c r="U6" s="2070">
        <v>0</v>
      </c>
      <c r="V6" s="2070">
        <v>8.1255374032674105E-2</v>
      </c>
      <c r="W6" s="2070">
        <v>0</v>
      </c>
      <c r="X6" s="2070">
        <v>0.19716251074806529</v>
      </c>
    </row>
    <row r="7" spans="1:24" ht="11.25" customHeight="1">
      <c r="A7" s="2068" t="s">
        <v>4648</v>
      </c>
      <c r="B7" s="2069" t="s">
        <v>5745</v>
      </c>
      <c r="C7" s="2070">
        <v>258.33422184006884</v>
      </c>
      <c r="D7" s="2070">
        <v>231.03026655202069</v>
      </c>
      <c r="E7" s="2070">
        <v>175.88142734307823</v>
      </c>
      <c r="F7" s="2070">
        <v>150.83688736027511</v>
      </c>
      <c r="G7" s="2070">
        <v>120.13817712811692</v>
      </c>
      <c r="H7" s="2070">
        <v>116.35511607910576</v>
      </c>
      <c r="I7" s="2070">
        <v>92.038005159071375</v>
      </c>
      <c r="J7" s="2070">
        <v>77.360963026655185</v>
      </c>
      <c r="K7" s="2070">
        <v>70.042132416165089</v>
      </c>
      <c r="L7" s="2070">
        <v>51.692433361994837</v>
      </c>
      <c r="M7" s="2070">
        <v>54.070249355116069</v>
      </c>
      <c r="N7" s="2070">
        <v>47.862080825451415</v>
      </c>
      <c r="O7" s="2070">
        <v>45.666122098022342</v>
      </c>
      <c r="P7" s="2070">
        <v>45.048753224419599</v>
      </c>
      <c r="Q7" s="2070">
        <v>36.628202923473772</v>
      </c>
      <c r="R7" s="2070">
        <v>54.339380911435939</v>
      </c>
      <c r="S7" s="2070">
        <v>33.26354256233877</v>
      </c>
      <c r="T7" s="2070">
        <v>65.874892519346517</v>
      </c>
      <c r="U7" s="2070">
        <v>36.940412725709372</v>
      </c>
      <c r="V7" s="2070">
        <v>34.651848667239904</v>
      </c>
      <c r="W7" s="2070">
        <v>31.968701633705926</v>
      </c>
      <c r="X7" s="2070">
        <v>36.081857265692179</v>
      </c>
    </row>
    <row r="8" spans="1:24" ht="11.25" customHeight="1">
      <c r="A8" s="2065" t="s">
        <v>5746</v>
      </c>
      <c r="B8" s="2066" t="s">
        <v>5747</v>
      </c>
      <c r="C8" s="2067">
        <v>116.7835769561479</v>
      </c>
      <c r="D8" s="2067">
        <v>71.389337919174537</v>
      </c>
      <c r="E8" s="2067">
        <v>69.74969905417025</v>
      </c>
      <c r="F8" s="2067">
        <v>131.55907136715393</v>
      </c>
      <c r="G8" s="2067">
        <v>32.487188306104898</v>
      </c>
      <c r="H8" s="2067">
        <v>31.3390369733448</v>
      </c>
      <c r="I8" s="2067">
        <v>25.6213241616509</v>
      </c>
      <c r="J8" s="2067">
        <v>21.179449699054171</v>
      </c>
      <c r="K8" s="2067">
        <v>21.808942390369729</v>
      </c>
      <c r="L8" s="2067">
        <v>12.577730008598452</v>
      </c>
      <c r="M8" s="2067">
        <v>11.140412725709373</v>
      </c>
      <c r="N8" s="2067">
        <v>8.9341358555459998</v>
      </c>
      <c r="O8" s="2067">
        <v>8.622355975924334</v>
      </c>
      <c r="P8" s="2067">
        <v>8.3261392949269126</v>
      </c>
      <c r="Q8" s="2067">
        <v>5.763972484952709</v>
      </c>
      <c r="R8" s="2067">
        <v>6.4411006018916588</v>
      </c>
      <c r="S8" s="2067">
        <v>5.8766981943250212</v>
      </c>
      <c r="T8" s="2067">
        <v>4.3269131556319858</v>
      </c>
      <c r="U8" s="2067">
        <v>7.0514187446259671</v>
      </c>
      <c r="V8" s="2067">
        <v>4.2254514187446244</v>
      </c>
      <c r="W8" s="2067">
        <v>3.458727429062769</v>
      </c>
      <c r="X8" s="2067">
        <v>3.7551160791057612</v>
      </c>
    </row>
    <row r="9" spans="1:24" ht="11.25" customHeight="1">
      <c r="A9" s="2068" t="s">
        <v>4649</v>
      </c>
      <c r="B9" s="2069" t="s">
        <v>5748</v>
      </c>
      <c r="C9" s="2070">
        <v>0</v>
      </c>
      <c r="D9" s="2070">
        <v>0</v>
      </c>
      <c r="E9" s="2070">
        <v>0</v>
      </c>
      <c r="F9" s="2070">
        <v>0</v>
      </c>
      <c r="G9" s="2070">
        <v>0</v>
      </c>
      <c r="H9" s="2070">
        <v>0</v>
      </c>
      <c r="I9" s="2070">
        <v>0</v>
      </c>
      <c r="J9" s="2070">
        <v>0.54230438521066204</v>
      </c>
      <c r="K9" s="2070">
        <v>1.3066208082545141</v>
      </c>
      <c r="L9" s="2070">
        <v>0.3821152192605331</v>
      </c>
      <c r="M9" s="2070">
        <v>0</v>
      </c>
      <c r="N9" s="2070">
        <v>0</v>
      </c>
      <c r="O9" s="2070">
        <v>0</v>
      </c>
      <c r="P9" s="2070">
        <v>0</v>
      </c>
      <c r="Q9" s="2070">
        <v>0.40593293207222703</v>
      </c>
      <c r="R9" s="2070">
        <v>1.0218400687876179</v>
      </c>
      <c r="S9" s="2070">
        <v>0.52158211521926046</v>
      </c>
      <c r="T9" s="2070">
        <v>0</v>
      </c>
      <c r="U9" s="2070">
        <v>9.4582975064488387E-3</v>
      </c>
      <c r="V9" s="2070">
        <v>0</v>
      </c>
      <c r="W9" s="2070">
        <v>0</v>
      </c>
      <c r="X9" s="2070">
        <v>0</v>
      </c>
    </row>
    <row r="10" spans="1:24" ht="11.25" customHeight="1">
      <c r="A10" s="2068" t="s">
        <v>4290</v>
      </c>
      <c r="B10" s="2069" t="s">
        <v>5749</v>
      </c>
      <c r="C10" s="2070">
        <v>116.7835769561479</v>
      </c>
      <c r="D10" s="2070">
        <v>71.389337919174537</v>
      </c>
      <c r="E10" s="2070">
        <v>69.74969905417025</v>
      </c>
      <c r="F10" s="2070">
        <v>131.55907136715393</v>
      </c>
      <c r="G10" s="2070">
        <v>32.487188306104898</v>
      </c>
      <c r="H10" s="2070">
        <v>31.3390369733448</v>
      </c>
      <c r="I10" s="2070">
        <v>25.6213241616509</v>
      </c>
      <c r="J10" s="2070">
        <v>20.637145313843508</v>
      </c>
      <c r="K10" s="2070">
        <v>20.502321582115215</v>
      </c>
      <c r="L10" s="2070">
        <v>12.195614789337919</v>
      </c>
      <c r="M10" s="2070">
        <v>11.140412725709373</v>
      </c>
      <c r="N10" s="2070">
        <v>8.9341358555459998</v>
      </c>
      <c r="O10" s="2070">
        <v>8.622355975924334</v>
      </c>
      <c r="P10" s="2070">
        <v>8.3261392949269126</v>
      </c>
      <c r="Q10" s="2070">
        <v>5.3580395528804816</v>
      </c>
      <c r="R10" s="2070">
        <v>5.4192605331040404</v>
      </c>
      <c r="S10" s="2070">
        <v>5.3551160791057608</v>
      </c>
      <c r="T10" s="2070">
        <v>4.3269131556319858</v>
      </c>
      <c r="U10" s="2070">
        <v>7.0419604471195179</v>
      </c>
      <c r="V10" s="2070">
        <v>4.2254514187446244</v>
      </c>
      <c r="W10" s="2070">
        <v>3.458727429062769</v>
      </c>
      <c r="X10" s="2070">
        <v>3.7551160791057612</v>
      </c>
    </row>
    <row r="11" spans="1:24" ht="11.25" customHeight="1">
      <c r="A11" s="2065" t="s">
        <v>5750</v>
      </c>
      <c r="B11" s="2066" t="s">
        <v>5751</v>
      </c>
      <c r="C11" s="2067">
        <v>167.95193465176268</v>
      </c>
      <c r="D11" s="2067">
        <v>172.63370593293203</v>
      </c>
      <c r="E11" s="2067">
        <v>156.84866723989683</v>
      </c>
      <c r="F11" s="2067">
        <v>111.65975924333617</v>
      </c>
      <c r="G11" s="2067">
        <v>85.692175408426465</v>
      </c>
      <c r="H11" s="2067">
        <v>58.373344797936369</v>
      </c>
      <c r="I11" s="2067">
        <v>63.045055889939803</v>
      </c>
      <c r="J11" s="2067">
        <v>56.474462596732586</v>
      </c>
      <c r="K11" s="2067">
        <v>65.128202923473779</v>
      </c>
      <c r="L11" s="2067">
        <v>48.252278589853823</v>
      </c>
      <c r="M11" s="2067">
        <v>52.072828890799656</v>
      </c>
      <c r="N11" s="2067">
        <v>50.132330180567493</v>
      </c>
      <c r="O11" s="2067">
        <v>38.027773000859838</v>
      </c>
      <c r="P11" s="2067">
        <v>39.270249355116071</v>
      </c>
      <c r="Q11" s="2067">
        <v>42.788306104901096</v>
      </c>
      <c r="R11" s="2067">
        <v>30.300343938091139</v>
      </c>
      <c r="S11" s="2067">
        <v>29.611349957007732</v>
      </c>
      <c r="T11" s="2067">
        <v>30.218486672398974</v>
      </c>
      <c r="U11" s="2067">
        <v>34.081169389509881</v>
      </c>
      <c r="V11" s="2067">
        <v>29.223559759243333</v>
      </c>
      <c r="W11" s="2067">
        <v>50.215563198624231</v>
      </c>
      <c r="X11" s="2067">
        <v>29.697850386930348</v>
      </c>
    </row>
    <row r="12" spans="1:24" ht="11.25" customHeight="1">
      <c r="A12" s="2068" t="s">
        <v>4650</v>
      </c>
      <c r="B12" s="2069" t="s">
        <v>5752</v>
      </c>
      <c r="C12" s="2070">
        <v>0</v>
      </c>
      <c r="D12" s="2070">
        <v>0</v>
      </c>
      <c r="E12" s="2070">
        <v>0</v>
      </c>
      <c r="F12" s="2070">
        <v>0</v>
      </c>
      <c r="G12" s="2070">
        <v>0</v>
      </c>
      <c r="H12" s="2070">
        <v>0</v>
      </c>
      <c r="I12" s="2070">
        <v>0</v>
      </c>
      <c r="J12" s="2070">
        <v>0</v>
      </c>
      <c r="K12" s="2070">
        <v>0</v>
      </c>
      <c r="L12" s="2070">
        <v>0</v>
      </c>
      <c r="M12" s="2070">
        <v>0</v>
      </c>
      <c r="N12" s="2070">
        <v>0</v>
      </c>
      <c r="O12" s="2070">
        <v>0</v>
      </c>
      <c r="P12" s="2070">
        <v>0</v>
      </c>
      <c r="Q12" s="2070">
        <v>0</v>
      </c>
      <c r="R12" s="2070">
        <v>0</v>
      </c>
      <c r="S12" s="2070">
        <v>0</v>
      </c>
      <c r="T12" s="2070">
        <v>6.5004299226139289E-2</v>
      </c>
      <c r="U12" s="2070">
        <v>0</v>
      </c>
      <c r="V12" s="2070">
        <v>0</v>
      </c>
      <c r="W12" s="2070">
        <v>0</v>
      </c>
      <c r="X12" s="2070">
        <v>0.11900257953568361</v>
      </c>
    </row>
    <row r="13" spans="1:24" ht="11.25" customHeight="1">
      <c r="A13" s="2068" t="s">
        <v>4651</v>
      </c>
      <c r="B13" s="2069" t="s">
        <v>5753</v>
      </c>
      <c r="C13" s="2070">
        <v>165.05081685296648</v>
      </c>
      <c r="D13" s="2070">
        <v>169.71556319862421</v>
      </c>
      <c r="E13" s="2070">
        <v>153.49355116079107</v>
      </c>
      <c r="F13" s="2070">
        <v>110.79931212381769</v>
      </c>
      <c r="G13" s="2070">
        <v>85.257437661220962</v>
      </c>
      <c r="H13" s="2070">
        <v>57.948495270851247</v>
      </c>
      <c r="I13" s="2070">
        <v>58.37171109200343</v>
      </c>
      <c r="J13" s="2070">
        <v>52.891057609630266</v>
      </c>
      <c r="K13" s="2070">
        <v>61.468185726569217</v>
      </c>
      <c r="L13" s="2070">
        <v>43.295872742906276</v>
      </c>
      <c r="M13" s="2070">
        <v>48.561306964746343</v>
      </c>
      <c r="N13" s="2070">
        <v>46.577815993121234</v>
      </c>
      <c r="O13" s="2070">
        <v>35.997850386930345</v>
      </c>
      <c r="P13" s="2070">
        <v>37.207308684436796</v>
      </c>
      <c r="Q13" s="2070">
        <v>41.240240756663781</v>
      </c>
      <c r="R13" s="2070">
        <v>29.786156491831466</v>
      </c>
      <c r="S13" s="2070">
        <v>29.611349957007732</v>
      </c>
      <c r="T13" s="2070">
        <v>29.05021496130697</v>
      </c>
      <c r="U13" s="2070">
        <v>31.447721410146169</v>
      </c>
      <c r="V13" s="2070">
        <v>26.631900257953564</v>
      </c>
      <c r="W13" s="2070">
        <v>47.604643164230424</v>
      </c>
      <c r="X13" s="2070">
        <v>26.901891659501285</v>
      </c>
    </row>
    <row r="14" spans="1:24" ht="11.25" customHeight="1">
      <c r="A14" s="2068" t="s">
        <v>4652</v>
      </c>
      <c r="B14" s="2069" t="s">
        <v>5754</v>
      </c>
      <c r="C14" s="2070">
        <v>0</v>
      </c>
      <c r="D14" s="2070">
        <v>0</v>
      </c>
      <c r="E14" s="2070">
        <v>0</v>
      </c>
      <c r="F14" s="2070">
        <v>0</v>
      </c>
      <c r="G14" s="2070">
        <v>0</v>
      </c>
      <c r="H14" s="2070">
        <v>0</v>
      </c>
      <c r="I14" s="2070">
        <v>0</v>
      </c>
      <c r="J14" s="2070">
        <v>0</v>
      </c>
      <c r="K14" s="2070">
        <v>0</v>
      </c>
      <c r="L14" s="2070">
        <v>0</v>
      </c>
      <c r="M14" s="2070">
        <v>0</v>
      </c>
      <c r="N14" s="2070">
        <v>0</v>
      </c>
      <c r="O14" s="2070">
        <v>0</v>
      </c>
      <c r="P14" s="2070">
        <v>0</v>
      </c>
      <c r="Q14" s="2070">
        <v>0</v>
      </c>
      <c r="R14" s="2070">
        <v>0</v>
      </c>
      <c r="S14" s="2070">
        <v>0</v>
      </c>
      <c r="T14" s="2070">
        <v>0</v>
      </c>
      <c r="U14" s="2070">
        <v>0</v>
      </c>
      <c r="V14" s="2070">
        <v>0</v>
      </c>
      <c r="W14" s="2070">
        <v>0</v>
      </c>
      <c r="X14" s="2070">
        <v>0</v>
      </c>
    </row>
    <row r="15" spans="1:24" ht="11.25" customHeight="1">
      <c r="A15" s="2068" t="s">
        <v>4653</v>
      </c>
      <c r="B15" s="2069" t="s">
        <v>5755</v>
      </c>
      <c r="C15" s="2070">
        <v>0</v>
      </c>
      <c r="D15" s="2070">
        <v>0</v>
      </c>
      <c r="E15" s="2070">
        <v>0</v>
      </c>
      <c r="F15" s="2070">
        <v>0</v>
      </c>
      <c r="G15" s="2070">
        <v>0</v>
      </c>
      <c r="H15" s="2070">
        <v>0</v>
      </c>
      <c r="I15" s="2070">
        <v>0</v>
      </c>
      <c r="J15" s="2070">
        <v>0</v>
      </c>
      <c r="K15" s="2070">
        <v>0</v>
      </c>
      <c r="L15" s="2070">
        <v>0</v>
      </c>
      <c r="M15" s="2070">
        <v>0</v>
      </c>
      <c r="N15" s="2070">
        <v>0</v>
      </c>
      <c r="O15" s="2070">
        <v>0</v>
      </c>
      <c r="P15" s="2070">
        <v>0</v>
      </c>
      <c r="Q15" s="2070">
        <v>0</v>
      </c>
      <c r="R15" s="2070">
        <v>0</v>
      </c>
      <c r="S15" s="2070">
        <v>0</v>
      </c>
      <c r="T15" s="2070">
        <v>0</v>
      </c>
      <c r="U15" s="2070">
        <v>0</v>
      </c>
      <c r="V15" s="2070">
        <v>0</v>
      </c>
      <c r="W15" s="2070">
        <v>0</v>
      </c>
      <c r="X15" s="2070">
        <v>0</v>
      </c>
    </row>
    <row r="16" spans="1:24" ht="11.25" customHeight="1">
      <c r="A16" s="2068" t="s">
        <v>5756</v>
      </c>
      <c r="B16" s="2069" t="s">
        <v>5757</v>
      </c>
      <c r="C16" s="2070">
        <v>2.9011177987962156</v>
      </c>
      <c r="D16" s="2070">
        <v>2.9181427343078239</v>
      </c>
      <c r="E16" s="2070">
        <v>3.3551160791057608</v>
      </c>
      <c r="F16" s="2070">
        <v>0.86044711951848663</v>
      </c>
      <c r="G16" s="2070">
        <v>0.43473774720550301</v>
      </c>
      <c r="H16" s="2070">
        <v>0.42484952708512458</v>
      </c>
      <c r="I16" s="2070">
        <v>4.6733447979363714</v>
      </c>
      <c r="J16" s="2070">
        <v>3.5834049871023215</v>
      </c>
      <c r="K16" s="2070">
        <v>3.660017196904557</v>
      </c>
      <c r="L16" s="2070">
        <v>4.9564058469475487</v>
      </c>
      <c r="M16" s="2070">
        <v>3.5115219260533101</v>
      </c>
      <c r="N16" s="2070">
        <v>3.5545141874462591</v>
      </c>
      <c r="O16" s="2070">
        <v>2.029922613929493</v>
      </c>
      <c r="P16" s="2070">
        <v>2.0629406706792781</v>
      </c>
      <c r="Q16" s="2070">
        <v>1.548065348237317</v>
      </c>
      <c r="R16" s="2070">
        <v>0.51418744625967328</v>
      </c>
      <c r="S16" s="2070">
        <v>0</v>
      </c>
      <c r="T16" s="2070">
        <v>1.1032674118658645</v>
      </c>
      <c r="U16" s="2070">
        <v>2.633447979363714</v>
      </c>
      <c r="V16" s="2070">
        <v>2.5916595012897674</v>
      </c>
      <c r="W16" s="2070">
        <v>2.6109200343938093</v>
      </c>
      <c r="X16" s="2070">
        <v>2.6769561478933794</v>
      </c>
    </row>
    <row r="17" spans="1:24" ht="11.25" customHeight="1">
      <c r="A17" s="2071" t="s">
        <v>5758</v>
      </c>
      <c r="B17" s="2072" t="s">
        <v>5759</v>
      </c>
      <c r="C17" s="2073">
        <v>72.766809974204634</v>
      </c>
      <c r="D17" s="2073">
        <v>81.885898538263092</v>
      </c>
      <c r="E17" s="2073">
        <v>76.848667239896827</v>
      </c>
      <c r="F17" s="2073">
        <v>18.443680137575232</v>
      </c>
      <c r="G17" s="2073">
        <v>33.244969905417022</v>
      </c>
      <c r="H17" s="2073">
        <v>30.706018916595013</v>
      </c>
      <c r="I17" s="2073">
        <v>39.827515047291477</v>
      </c>
      <c r="J17" s="2073">
        <v>42.516938950988816</v>
      </c>
      <c r="K17" s="2073">
        <v>31.508512467755807</v>
      </c>
      <c r="L17" s="2073">
        <v>15.823559759243338</v>
      </c>
      <c r="M17" s="2073">
        <v>13.544969905417023</v>
      </c>
      <c r="N17" s="2073">
        <v>5.5006018916595014</v>
      </c>
      <c r="O17" s="2073">
        <v>16.291659501289772</v>
      </c>
      <c r="P17" s="2073">
        <v>16.755030094582978</v>
      </c>
      <c r="Q17" s="2073">
        <v>14.256749785038688</v>
      </c>
      <c r="R17" s="2073">
        <v>15.522613929492691</v>
      </c>
      <c r="S17" s="2073">
        <v>14.619432502149609</v>
      </c>
      <c r="T17" s="2073">
        <v>12.737833190025791</v>
      </c>
      <c r="U17" s="2073">
        <v>7.4036973344797934</v>
      </c>
      <c r="V17" s="2073">
        <v>8.7946689595872733</v>
      </c>
      <c r="W17" s="2073">
        <v>9.1694754944110048</v>
      </c>
      <c r="X17" s="2073">
        <v>7.4178847807394659</v>
      </c>
    </row>
    <row r="18" spans="1:24" ht="11.25" customHeight="1">
      <c r="A18" s="2074" t="s">
        <v>4654</v>
      </c>
      <c r="B18" s="2069" t="s">
        <v>5760</v>
      </c>
      <c r="C18" s="2070">
        <v>0.98882201203783315</v>
      </c>
      <c r="D18" s="2070">
        <v>0.85984522785898532</v>
      </c>
      <c r="E18" s="2070">
        <v>0.64488392089423896</v>
      </c>
      <c r="F18" s="2070">
        <v>0.1934651762682717</v>
      </c>
      <c r="G18" s="2070">
        <v>0.1934651762682717</v>
      </c>
      <c r="H18" s="2070">
        <v>0.2149613069647463</v>
      </c>
      <c r="I18" s="2070">
        <v>0.1719690455717971</v>
      </c>
      <c r="J18" s="2070">
        <v>6.4488392089423904E-2</v>
      </c>
      <c r="K18" s="2070">
        <v>0.2149613069647463</v>
      </c>
      <c r="L18" s="2070">
        <v>0</v>
      </c>
      <c r="M18" s="2070">
        <v>0</v>
      </c>
      <c r="N18" s="2070">
        <v>0</v>
      </c>
      <c r="O18" s="2070">
        <v>0</v>
      </c>
      <c r="P18" s="2070">
        <v>4.2992261392949267E-2</v>
      </c>
      <c r="Q18" s="2070">
        <v>0</v>
      </c>
      <c r="R18" s="2070">
        <v>0</v>
      </c>
      <c r="S18" s="2070">
        <v>0</v>
      </c>
      <c r="T18" s="2070">
        <v>0</v>
      </c>
      <c r="U18" s="2070">
        <v>0</v>
      </c>
      <c r="V18" s="2070">
        <v>0</v>
      </c>
      <c r="W18" s="2070">
        <v>0</v>
      </c>
      <c r="X18" s="2070">
        <v>0</v>
      </c>
    </row>
    <row r="19" spans="1:24" ht="11.25" customHeight="1">
      <c r="A19" s="2074" t="s">
        <v>4655</v>
      </c>
      <c r="B19" s="2069" t="s">
        <v>5761</v>
      </c>
      <c r="C19" s="2070">
        <v>71.754084264832329</v>
      </c>
      <c r="D19" s="2070">
        <v>66.766981943250201</v>
      </c>
      <c r="E19" s="2070">
        <v>64.380911435941528</v>
      </c>
      <c r="F19" s="2070">
        <v>18.250214961306959</v>
      </c>
      <c r="G19" s="2070">
        <v>32.717110920034393</v>
      </c>
      <c r="H19" s="2070">
        <v>23.301805674978503</v>
      </c>
      <c r="I19" s="2070">
        <v>25.300945829750642</v>
      </c>
      <c r="J19" s="2070">
        <v>25.924333619948406</v>
      </c>
      <c r="K19" s="2070">
        <v>24.032674118658644</v>
      </c>
      <c r="L19" s="2070">
        <v>10.855546001719691</v>
      </c>
      <c r="M19" s="2070">
        <v>9.6517626827171092</v>
      </c>
      <c r="N19" s="2070">
        <v>3.8048151332760107</v>
      </c>
      <c r="O19" s="2070">
        <v>15.885640584694757</v>
      </c>
      <c r="P19" s="2070">
        <v>16.616509028374896</v>
      </c>
      <c r="Q19" s="2070">
        <v>14.208942390369728</v>
      </c>
      <c r="R19" s="2070">
        <v>15.49871023215821</v>
      </c>
      <c r="S19" s="2070">
        <v>14.595528804815128</v>
      </c>
      <c r="T19" s="2070">
        <v>12.737833190025791</v>
      </c>
      <c r="U19" s="2070">
        <v>7.4036973344797934</v>
      </c>
      <c r="V19" s="2070">
        <v>8.7946689595872733</v>
      </c>
      <c r="W19" s="2070">
        <v>9.1694754944110048</v>
      </c>
      <c r="X19" s="2070">
        <v>7.4178847807394659</v>
      </c>
    </row>
    <row r="20" spans="1:24" ht="11.25" customHeight="1">
      <c r="A20" s="2074" t="s">
        <v>4656</v>
      </c>
      <c r="B20" s="2069" t="s">
        <v>5762</v>
      </c>
      <c r="C20" s="2070">
        <v>2.3903697334479789E-2</v>
      </c>
      <c r="D20" s="2070">
        <v>14.25907136715391</v>
      </c>
      <c r="E20" s="2070">
        <v>11.822871883061049</v>
      </c>
      <c r="F20" s="2070">
        <v>0</v>
      </c>
      <c r="G20" s="2070">
        <v>0.3343938091143594</v>
      </c>
      <c r="H20" s="2070">
        <v>7.1892519346517627</v>
      </c>
      <c r="I20" s="2070">
        <v>14.354600171969039</v>
      </c>
      <c r="J20" s="2070">
        <v>16.528116938950991</v>
      </c>
      <c r="K20" s="2070">
        <v>7.2608770421324156</v>
      </c>
      <c r="L20" s="2070">
        <v>4.9680137575236456</v>
      </c>
      <c r="M20" s="2070">
        <v>3.893207222699913</v>
      </c>
      <c r="N20" s="2070">
        <v>1.6957867583834907</v>
      </c>
      <c r="O20" s="2070">
        <v>0.40601891659501288</v>
      </c>
      <c r="P20" s="2070">
        <v>9.5528804815133275E-2</v>
      </c>
      <c r="Q20" s="2070">
        <v>4.7807394668959592E-2</v>
      </c>
      <c r="R20" s="2070">
        <v>2.3903697334479789E-2</v>
      </c>
      <c r="S20" s="2070">
        <v>2.3903697334479789E-2</v>
      </c>
      <c r="T20" s="2070">
        <v>0</v>
      </c>
      <c r="U20" s="2070">
        <v>0</v>
      </c>
      <c r="V20" s="2070">
        <v>0</v>
      </c>
      <c r="W20" s="2070">
        <v>0</v>
      </c>
      <c r="X20" s="2070">
        <v>0</v>
      </c>
    </row>
    <row r="21" spans="1:24" ht="11.25" customHeight="1">
      <c r="A21" s="2074" t="s">
        <v>4615</v>
      </c>
      <c r="B21" s="2069" t="s">
        <v>5763</v>
      </c>
      <c r="C21" s="2070">
        <v>0</v>
      </c>
      <c r="D21" s="2070">
        <v>0</v>
      </c>
      <c r="E21" s="2070">
        <v>0</v>
      </c>
      <c r="F21" s="2070">
        <v>0</v>
      </c>
      <c r="G21" s="2070">
        <v>0</v>
      </c>
      <c r="H21" s="2070">
        <v>0</v>
      </c>
      <c r="I21" s="2070">
        <v>0</v>
      </c>
      <c r="J21" s="2070">
        <v>0</v>
      </c>
      <c r="K21" s="2070">
        <v>0</v>
      </c>
      <c r="L21" s="2070">
        <v>0</v>
      </c>
      <c r="M21" s="2070">
        <v>0</v>
      </c>
      <c r="N21" s="2070">
        <v>0</v>
      </c>
      <c r="O21" s="2070">
        <v>0</v>
      </c>
      <c r="P21" s="2070">
        <v>0</v>
      </c>
      <c r="Q21" s="2070">
        <v>0</v>
      </c>
      <c r="R21" s="2070">
        <v>0</v>
      </c>
      <c r="S21" s="2070">
        <v>0</v>
      </c>
      <c r="T21" s="2070">
        <v>0</v>
      </c>
      <c r="U21" s="2070">
        <v>0</v>
      </c>
      <c r="V21" s="2070">
        <v>0</v>
      </c>
      <c r="W21" s="2070">
        <v>0</v>
      </c>
      <c r="X21" s="2070">
        <v>0</v>
      </c>
    </row>
    <row r="22" spans="1:24" ht="11.25" customHeight="1">
      <c r="A22" s="2071" t="s">
        <v>4741</v>
      </c>
      <c r="B22" s="2072" t="s">
        <v>5764</v>
      </c>
      <c r="C22" s="2073">
        <v>0</v>
      </c>
      <c r="D22" s="2073">
        <v>0</v>
      </c>
      <c r="E22" s="2073">
        <v>0</v>
      </c>
      <c r="F22" s="2073">
        <v>0</v>
      </c>
      <c r="G22" s="2073">
        <v>0.52003439380911431</v>
      </c>
      <c r="H22" s="2073">
        <v>0.23404987102321581</v>
      </c>
      <c r="I22" s="2073">
        <v>0.2475494411006019</v>
      </c>
      <c r="J22" s="2073">
        <v>0.24479793637145311</v>
      </c>
      <c r="K22" s="2073">
        <v>0.2325881341358555</v>
      </c>
      <c r="L22" s="2073">
        <v>0.2362854686156492</v>
      </c>
      <c r="M22" s="2073">
        <v>0.24135855546001719</v>
      </c>
      <c r="N22" s="2073">
        <v>0.4785898538263112</v>
      </c>
      <c r="O22" s="2073">
        <v>0.54677558039552876</v>
      </c>
      <c r="P22" s="2073">
        <v>0</v>
      </c>
      <c r="Q22" s="2073">
        <v>0</v>
      </c>
      <c r="R22" s="2073">
        <v>0</v>
      </c>
      <c r="S22" s="2073">
        <v>0</v>
      </c>
      <c r="T22" s="2073">
        <v>0.10266552020636285</v>
      </c>
      <c r="U22" s="2073">
        <v>9.673258813413585E-2</v>
      </c>
      <c r="V22" s="2073">
        <v>9.0197764402407565E-2</v>
      </c>
      <c r="W22" s="2073">
        <v>0</v>
      </c>
      <c r="X22" s="2073">
        <v>0</v>
      </c>
    </row>
    <row r="23" spans="1:24" ht="11.25" customHeight="1">
      <c r="A23" s="2074" t="s">
        <v>559</v>
      </c>
      <c r="B23" s="2069" t="s">
        <v>5765</v>
      </c>
      <c r="C23" s="2070">
        <v>0</v>
      </c>
      <c r="D23" s="2070">
        <v>0</v>
      </c>
      <c r="E23" s="2070">
        <v>0</v>
      </c>
      <c r="F23" s="2070">
        <v>0</v>
      </c>
      <c r="G23" s="2070">
        <v>0.52003439380911431</v>
      </c>
      <c r="H23" s="2070">
        <v>0.23404987102321581</v>
      </c>
      <c r="I23" s="2070">
        <v>0.2475494411006019</v>
      </c>
      <c r="J23" s="2070">
        <v>0.24479793637145311</v>
      </c>
      <c r="K23" s="2070">
        <v>0.2325881341358555</v>
      </c>
      <c r="L23" s="2070">
        <v>0.2362854686156492</v>
      </c>
      <c r="M23" s="2070">
        <v>0.24135855546001719</v>
      </c>
      <c r="N23" s="2070">
        <v>0.4785898538263112</v>
      </c>
      <c r="O23" s="2070">
        <v>0.2291487532244196</v>
      </c>
      <c r="P23" s="2070">
        <v>0</v>
      </c>
      <c r="Q23" s="2070">
        <v>0</v>
      </c>
      <c r="R23" s="2070">
        <v>0</v>
      </c>
      <c r="S23" s="2070">
        <v>0</v>
      </c>
      <c r="T23" s="2070">
        <v>0</v>
      </c>
      <c r="U23" s="2070">
        <v>0</v>
      </c>
      <c r="V23" s="2070">
        <v>0</v>
      </c>
      <c r="W23" s="2070">
        <v>0</v>
      </c>
      <c r="X23" s="2070">
        <v>0</v>
      </c>
    </row>
    <row r="24" spans="1:24" ht="11.25" customHeight="1">
      <c r="A24" s="2074" t="s">
        <v>4657</v>
      </c>
      <c r="B24" s="2069" t="s">
        <v>5766</v>
      </c>
      <c r="C24" s="2070">
        <v>0</v>
      </c>
      <c r="D24" s="2070">
        <v>0</v>
      </c>
      <c r="E24" s="2070">
        <v>0</v>
      </c>
      <c r="F24" s="2070">
        <v>0</v>
      </c>
      <c r="G24" s="2070">
        <v>0</v>
      </c>
      <c r="H24" s="2070">
        <v>0</v>
      </c>
      <c r="I24" s="2070">
        <v>0</v>
      </c>
      <c r="J24" s="2070">
        <v>0</v>
      </c>
      <c r="K24" s="2070">
        <v>0</v>
      </c>
      <c r="L24" s="2070">
        <v>0</v>
      </c>
      <c r="M24" s="2070">
        <v>0</v>
      </c>
      <c r="N24" s="2070">
        <v>0</v>
      </c>
      <c r="O24" s="2070">
        <v>0.31762682717110918</v>
      </c>
      <c r="P24" s="2070">
        <v>0</v>
      </c>
      <c r="Q24" s="2070">
        <v>0</v>
      </c>
      <c r="R24" s="2070">
        <v>0</v>
      </c>
      <c r="S24" s="2070">
        <v>0</v>
      </c>
      <c r="T24" s="2070">
        <v>0.10266552020636285</v>
      </c>
      <c r="U24" s="2070">
        <v>9.673258813413585E-2</v>
      </c>
      <c r="V24" s="2070">
        <v>9.0197764402407565E-2</v>
      </c>
      <c r="W24" s="2070">
        <v>0</v>
      </c>
      <c r="X24" s="2070">
        <v>0</v>
      </c>
    </row>
    <row r="25" spans="1:24" ht="11.25" customHeight="1">
      <c r="A25" s="2071" t="s">
        <v>4658</v>
      </c>
      <c r="B25" s="2072" t="s">
        <v>5767</v>
      </c>
      <c r="C25" s="2073">
        <v>0</v>
      </c>
      <c r="D25" s="2073">
        <v>0</v>
      </c>
      <c r="E25" s="2073">
        <v>0</v>
      </c>
      <c r="F25" s="2073">
        <v>0</v>
      </c>
      <c r="G25" s="2073">
        <v>0</v>
      </c>
      <c r="H25" s="2073">
        <v>0</v>
      </c>
      <c r="I25" s="2073">
        <v>0</v>
      </c>
      <c r="J25" s="2073">
        <v>0</v>
      </c>
      <c r="K25" s="2073">
        <v>0</v>
      </c>
      <c r="L25" s="2073">
        <v>0</v>
      </c>
      <c r="M25" s="2073">
        <v>0</v>
      </c>
      <c r="N25" s="2073">
        <v>0</v>
      </c>
      <c r="O25" s="2073">
        <v>0</v>
      </c>
      <c r="P25" s="2073">
        <v>0</v>
      </c>
      <c r="Q25" s="2073">
        <v>0</v>
      </c>
      <c r="R25" s="2073">
        <v>0</v>
      </c>
      <c r="S25" s="2073">
        <v>0</v>
      </c>
      <c r="T25" s="2073">
        <v>0</v>
      </c>
      <c r="U25" s="2073">
        <v>0</v>
      </c>
      <c r="V25" s="2073">
        <v>0</v>
      </c>
      <c r="W25" s="2073">
        <v>0</v>
      </c>
      <c r="X25" s="2073">
        <v>0</v>
      </c>
    </row>
    <row r="26" spans="1:24" ht="11.25" customHeight="1">
      <c r="A26" s="2071" t="s">
        <v>3872</v>
      </c>
      <c r="B26" s="2072" t="s">
        <v>5768</v>
      </c>
      <c r="C26" s="2073">
        <v>2296.8891659501292</v>
      </c>
      <c r="D26" s="2073">
        <v>2357.1379191745486</v>
      </c>
      <c r="E26" s="2073">
        <v>2392.2846947549442</v>
      </c>
      <c r="F26" s="2073">
        <v>2566.4874462596736</v>
      </c>
      <c r="G26" s="2073">
        <v>2248.3655202063628</v>
      </c>
      <c r="H26" s="2073">
        <v>2117.3186586414445</v>
      </c>
      <c r="I26" s="2073">
        <v>2140.7453998280307</v>
      </c>
      <c r="J26" s="2073">
        <v>2013.4282889079959</v>
      </c>
      <c r="K26" s="2073">
        <v>1966.9854686156489</v>
      </c>
      <c r="L26" s="2073">
        <v>1806.6539982803095</v>
      </c>
      <c r="M26" s="2073">
        <v>1646.4476354256233</v>
      </c>
      <c r="N26" s="2073">
        <v>1365.521238177128</v>
      </c>
      <c r="O26" s="2073">
        <v>1294.1584694754945</v>
      </c>
      <c r="P26" s="2073">
        <v>1348.8376612209797</v>
      </c>
      <c r="Q26" s="2073">
        <v>1114.7048151332763</v>
      </c>
      <c r="R26" s="2073">
        <v>1024.2863284608768</v>
      </c>
      <c r="S26" s="2073">
        <v>1022.8059329320722</v>
      </c>
      <c r="T26" s="2073">
        <v>951.52080825451435</v>
      </c>
      <c r="U26" s="2073">
        <v>943.69423903697339</v>
      </c>
      <c r="V26" s="2073">
        <v>885.21220980223552</v>
      </c>
      <c r="W26" s="2073">
        <v>813.2202063628547</v>
      </c>
      <c r="X26" s="2073">
        <v>839.25657781599307</v>
      </c>
    </row>
    <row r="27" spans="1:24" ht="11.25" customHeight="1">
      <c r="A27" s="2065" t="s">
        <v>5769</v>
      </c>
      <c r="B27" s="2066" t="s">
        <v>5770</v>
      </c>
      <c r="C27" s="2067">
        <v>0</v>
      </c>
      <c r="D27" s="2067">
        <v>0</v>
      </c>
      <c r="E27" s="2067">
        <v>0</v>
      </c>
      <c r="F27" s="2067">
        <v>0</v>
      </c>
      <c r="G27" s="2067">
        <v>0</v>
      </c>
      <c r="H27" s="2067">
        <v>0</v>
      </c>
      <c r="I27" s="2067">
        <v>0</v>
      </c>
      <c r="J27" s="2067">
        <v>0</v>
      </c>
      <c r="K27" s="2067">
        <v>0</v>
      </c>
      <c r="L27" s="2067">
        <v>0</v>
      </c>
      <c r="M27" s="2067">
        <v>0</v>
      </c>
      <c r="N27" s="2067">
        <v>0</v>
      </c>
      <c r="O27" s="2067">
        <v>0</v>
      </c>
      <c r="P27" s="2067">
        <v>0</v>
      </c>
      <c r="Q27" s="2067">
        <v>0</v>
      </c>
      <c r="R27" s="2067">
        <v>0</v>
      </c>
      <c r="S27" s="2067">
        <v>0</v>
      </c>
      <c r="T27" s="2067">
        <v>0</v>
      </c>
      <c r="U27" s="2067">
        <v>0</v>
      </c>
      <c r="V27" s="2067">
        <v>0</v>
      </c>
      <c r="W27" s="2067">
        <v>0</v>
      </c>
      <c r="X27" s="2067">
        <v>0</v>
      </c>
    </row>
    <row r="28" spans="1:24" ht="11.25" customHeight="1">
      <c r="A28" s="2068" t="s">
        <v>4659</v>
      </c>
      <c r="B28" s="2069" t="s">
        <v>5771</v>
      </c>
      <c r="C28" s="2070">
        <v>0</v>
      </c>
      <c r="D28" s="2070">
        <v>0</v>
      </c>
      <c r="E28" s="2070">
        <v>0</v>
      </c>
      <c r="F28" s="2070">
        <v>0</v>
      </c>
      <c r="G28" s="2070">
        <v>0</v>
      </c>
      <c r="H28" s="2070">
        <v>0</v>
      </c>
      <c r="I28" s="2070">
        <v>0</v>
      </c>
      <c r="J28" s="2070">
        <v>0</v>
      </c>
      <c r="K28" s="2070">
        <v>0</v>
      </c>
      <c r="L28" s="2070">
        <v>0</v>
      </c>
      <c r="M28" s="2070">
        <v>0</v>
      </c>
      <c r="N28" s="2070">
        <v>0</v>
      </c>
      <c r="O28" s="2070">
        <v>0</v>
      </c>
      <c r="P28" s="2070">
        <v>0</v>
      </c>
      <c r="Q28" s="2070">
        <v>0</v>
      </c>
      <c r="R28" s="2070">
        <v>0</v>
      </c>
      <c r="S28" s="2070">
        <v>0</v>
      </c>
      <c r="T28" s="2070">
        <v>0</v>
      </c>
      <c r="U28" s="2070">
        <v>0</v>
      </c>
      <c r="V28" s="2070">
        <v>0</v>
      </c>
      <c r="W28" s="2070">
        <v>0</v>
      </c>
      <c r="X28" s="2070">
        <v>0</v>
      </c>
    </row>
    <row r="29" spans="1:24" ht="11.25" customHeight="1">
      <c r="A29" s="2068" t="s">
        <v>4660</v>
      </c>
      <c r="B29" s="2069" t="s">
        <v>5772</v>
      </c>
      <c r="C29" s="2070">
        <v>0</v>
      </c>
      <c r="D29" s="2070">
        <v>0</v>
      </c>
      <c r="E29" s="2070">
        <v>0</v>
      </c>
      <c r="F29" s="2070">
        <v>0</v>
      </c>
      <c r="G29" s="2070">
        <v>0</v>
      </c>
      <c r="H29" s="2070">
        <v>0</v>
      </c>
      <c r="I29" s="2070">
        <v>0</v>
      </c>
      <c r="J29" s="2070">
        <v>0</v>
      </c>
      <c r="K29" s="2070">
        <v>0</v>
      </c>
      <c r="L29" s="2070">
        <v>0</v>
      </c>
      <c r="M29" s="2070">
        <v>0</v>
      </c>
      <c r="N29" s="2070">
        <v>0</v>
      </c>
      <c r="O29" s="2070">
        <v>0</v>
      </c>
      <c r="P29" s="2070">
        <v>0</v>
      </c>
      <c r="Q29" s="2070">
        <v>0</v>
      </c>
      <c r="R29" s="2070">
        <v>0</v>
      </c>
      <c r="S29" s="2070">
        <v>0</v>
      </c>
      <c r="T29" s="2070">
        <v>0</v>
      </c>
      <c r="U29" s="2070">
        <v>0</v>
      </c>
      <c r="V29" s="2070">
        <v>0</v>
      </c>
      <c r="W29" s="2070">
        <v>0</v>
      </c>
      <c r="X29" s="2070">
        <v>0</v>
      </c>
    </row>
    <row r="30" spans="1:24" ht="11.25" customHeight="1">
      <c r="A30" s="2068" t="s">
        <v>4661</v>
      </c>
      <c r="B30" s="2069" t="s">
        <v>5773</v>
      </c>
      <c r="C30" s="2070">
        <v>0</v>
      </c>
      <c r="D30" s="2070">
        <v>0</v>
      </c>
      <c r="E30" s="2070">
        <v>0</v>
      </c>
      <c r="F30" s="2070">
        <v>0</v>
      </c>
      <c r="G30" s="2070">
        <v>0</v>
      </c>
      <c r="H30" s="2070">
        <v>0</v>
      </c>
      <c r="I30" s="2070">
        <v>0</v>
      </c>
      <c r="J30" s="2070">
        <v>0</v>
      </c>
      <c r="K30" s="2070">
        <v>0</v>
      </c>
      <c r="L30" s="2070">
        <v>0</v>
      </c>
      <c r="M30" s="2070">
        <v>0</v>
      </c>
      <c r="N30" s="2070">
        <v>0</v>
      </c>
      <c r="O30" s="2070">
        <v>0</v>
      </c>
      <c r="P30" s="2070">
        <v>0</v>
      </c>
      <c r="Q30" s="2070">
        <v>0</v>
      </c>
      <c r="R30" s="2070">
        <v>0</v>
      </c>
      <c r="S30" s="2070">
        <v>0</v>
      </c>
      <c r="T30" s="2070">
        <v>0</v>
      </c>
      <c r="U30" s="2070">
        <v>0</v>
      </c>
      <c r="V30" s="2070">
        <v>0</v>
      </c>
      <c r="W30" s="2070">
        <v>0</v>
      </c>
      <c r="X30" s="2070">
        <v>0</v>
      </c>
    </row>
    <row r="31" spans="1:24" ht="11.25" customHeight="1">
      <c r="A31" s="2068" t="s">
        <v>5774</v>
      </c>
      <c r="B31" s="2069" t="s">
        <v>5775</v>
      </c>
      <c r="C31" s="2070">
        <v>0</v>
      </c>
      <c r="D31" s="2070">
        <v>0</v>
      </c>
      <c r="E31" s="2070">
        <v>0</v>
      </c>
      <c r="F31" s="2070">
        <v>0</v>
      </c>
      <c r="G31" s="2070">
        <v>0</v>
      </c>
      <c r="H31" s="2070">
        <v>0</v>
      </c>
      <c r="I31" s="2070">
        <v>0</v>
      </c>
      <c r="J31" s="2070">
        <v>0</v>
      </c>
      <c r="K31" s="2070">
        <v>0</v>
      </c>
      <c r="L31" s="2070">
        <v>0</v>
      </c>
      <c r="M31" s="2070">
        <v>0</v>
      </c>
      <c r="N31" s="2070">
        <v>0</v>
      </c>
      <c r="O31" s="2070">
        <v>0</v>
      </c>
      <c r="P31" s="2070">
        <v>0</v>
      </c>
      <c r="Q31" s="2070">
        <v>0</v>
      </c>
      <c r="R31" s="2070">
        <v>0</v>
      </c>
      <c r="S31" s="2070">
        <v>0</v>
      </c>
      <c r="T31" s="2070">
        <v>0</v>
      </c>
      <c r="U31" s="2070">
        <v>0</v>
      </c>
      <c r="V31" s="2070">
        <v>0</v>
      </c>
      <c r="W31" s="2070">
        <v>0</v>
      </c>
      <c r="X31" s="2070">
        <v>0</v>
      </c>
    </row>
    <row r="32" spans="1:24" ht="11.25" customHeight="1">
      <c r="A32" s="2068" t="s">
        <v>4662</v>
      </c>
      <c r="B32" s="2069" t="s">
        <v>5776</v>
      </c>
      <c r="C32" s="2070">
        <v>0</v>
      </c>
      <c r="D32" s="2070">
        <v>0</v>
      </c>
      <c r="E32" s="2070">
        <v>0</v>
      </c>
      <c r="F32" s="2070">
        <v>0</v>
      </c>
      <c r="G32" s="2070">
        <v>0</v>
      </c>
      <c r="H32" s="2070">
        <v>0</v>
      </c>
      <c r="I32" s="2070">
        <v>0</v>
      </c>
      <c r="J32" s="2070">
        <v>0</v>
      </c>
      <c r="K32" s="2070">
        <v>0</v>
      </c>
      <c r="L32" s="2070">
        <v>0</v>
      </c>
      <c r="M32" s="2070">
        <v>0</v>
      </c>
      <c r="N32" s="2070">
        <v>0</v>
      </c>
      <c r="O32" s="2070">
        <v>0</v>
      </c>
      <c r="P32" s="2070">
        <v>0</v>
      </c>
      <c r="Q32" s="2070">
        <v>0</v>
      </c>
      <c r="R32" s="2070">
        <v>0</v>
      </c>
      <c r="S32" s="2070">
        <v>0</v>
      </c>
      <c r="T32" s="2070">
        <v>0</v>
      </c>
      <c r="U32" s="2070">
        <v>0</v>
      </c>
      <c r="V32" s="2070">
        <v>0</v>
      </c>
      <c r="W32" s="2070">
        <v>0</v>
      </c>
      <c r="X32" s="2070">
        <v>0</v>
      </c>
    </row>
    <row r="33" spans="1:24" ht="11.25" customHeight="1">
      <c r="A33" s="2065" t="s">
        <v>5777</v>
      </c>
      <c r="B33" s="2066" t="s">
        <v>5778</v>
      </c>
      <c r="C33" s="2067">
        <v>2296.8891659501292</v>
      </c>
      <c r="D33" s="2067">
        <v>2357.1379191745486</v>
      </c>
      <c r="E33" s="2067">
        <v>2392.2846947549442</v>
      </c>
      <c r="F33" s="2067">
        <v>2566.4874462596736</v>
      </c>
      <c r="G33" s="2067">
        <v>2248.3655202063628</v>
      </c>
      <c r="H33" s="2067">
        <v>2117.3186586414445</v>
      </c>
      <c r="I33" s="2067">
        <v>2140.7453998280307</v>
      </c>
      <c r="J33" s="2067">
        <v>2013.4282889079959</v>
      </c>
      <c r="K33" s="2067">
        <v>1966.9854686156489</v>
      </c>
      <c r="L33" s="2067">
        <v>1806.6539982803095</v>
      </c>
      <c r="M33" s="2067">
        <v>1646.4476354256233</v>
      </c>
      <c r="N33" s="2067">
        <v>1365.521238177128</v>
      </c>
      <c r="O33" s="2067">
        <v>1294.1584694754945</v>
      </c>
      <c r="P33" s="2067">
        <v>1348.8376612209797</v>
      </c>
      <c r="Q33" s="2067">
        <v>1114.7048151332763</v>
      </c>
      <c r="R33" s="2067">
        <v>1024.2863284608768</v>
      </c>
      <c r="S33" s="2067">
        <v>1022.8059329320722</v>
      </c>
      <c r="T33" s="2067">
        <v>951.52080825451435</v>
      </c>
      <c r="U33" s="2067">
        <v>943.69423903697339</v>
      </c>
      <c r="V33" s="2067">
        <v>885.21220980223552</v>
      </c>
      <c r="W33" s="2067">
        <v>813.2202063628547</v>
      </c>
      <c r="X33" s="2067">
        <v>839.25657781599307</v>
      </c>
    </row>
    <row r="34" spans="1:24" ht="11.25" customHeight="1">
      <c r="A34" s="2068" t="s">
        <v>4607</v>
      </c>
      <c r="B34" s="2069" t="s">
        <v>5779</v>
      </c>
      <c r="C34" s="2070">
        <v>0</v>
      </c>
      <c r="D34" s="2070">
        <v>0</v>
      </c>
      <c r="E34" s="2070">
        <v>0</v>
      </c>
      <c r="F34" s="2070">
        <v>0</v>
      </c>
      <c r="G34" s="2070">
        <v>0</v>
      </c>
      <c r="H34" s="2070">
        <v>0</v>
      </c>
      <c r="I34" s="2070">
        <v>0</v>
      </c>
      <c r="J34" s="2070">
        <v>0</v>
      </c>
      <c r="K34" s="2070">
        <v>0</v>
      </c>
      <c r="L34" s="2070">
        <v>0</v>
      </c>
      <c r="M34" s="2070">
        <v>0</v>
      </c>
      <c r="N34" s="2070">
        <v>0</v>
      </c>
      <c r="O34" s="2070">
        <v>0</v>
      </c>
      <c r="P34" s="2070">
        <v>0</v>
      </c>
      <c r="Q34" s="2070">
        <v>0</v>
      </c>
      <c r="R34" s="2070">
        <v>0</v>
      </c>
      <c r="S34" s="2070">
        <v>0</v>
      </c>
      <c r="T34" s="2070">
        <v>0</v>
      </c>
      <c r="U34" s="2070">
        <v>0</v>
      </c>
      <c r="V34" s="2070">
        <v>0</v>
      </c>
      <c r="W34" s="2070">
        <v>0</v>
      </c>
      <c r="X34" s="2070">
        <v>0</v>
      </c>
    </row>
    <row r="35" spans="1:24" ht="11.25" customHeight="1">
      <c r="A35" s="2068" t="s">
        <v>587</v>
      </c>
      <c r="B35" s="2069" t="s">
        <v>5780</v>
      </c>
      <c r="C35" s="2070">
        <v>0</v>
      </c>
      <c r="D35" s="2070">
        <v>0</v>
      </c>
      <c r="E35" s="2070">
        <v>0</v>
      </c>
      <c r="F35" s="2070">
        <v>0</v>
      </c>
      <c r="G35" s="2070">
        <v>0</v>
      </c>
      <c r="H35" s="2070">
        <v>0</v>
      </c>
      <c r="I35" s="2070">
        <v>0</v>
      </c>
      <c r="J35" s="2070">
        <v>0</v>
      </c>
      <c r="K35" s="2070">
        <v>0</v>
      </c>
      <c r="L35" s="2070">
        <v>0</v>
      </c>
      <c r="M35" s="2070">
        <v>0</v>
      </c>
      <c r="N35" s="2070">
        <v>0</v>
      </c>
      <c r="O35" s="2070">
        <v>0</v>
      </c>
      <c r="P35" s="2070">
        <v>0</v>
      </c>
      <c r="Q35" s="2070">
        <v>0</v>
      </c>
      <c r="R35" s="2070">
        <v>0</v>
      </c>
      <c r="S35" s="2070">
        <v>0</v>
      </c>
      <c r="T35" s="2070">
        <v>0</v>
      </c>
      <c r="U35" s="2070">
        <v>0</v>
      </c>
      <c r="V35" s="2070">
        <v>0</v>
      </c>
      <c r="W35" s="2070">
        <v>0.100859845227859</v>
      </c>
      <c r="X35" s="2070">
        <v>8.2029234737747203E-2</v>
      </c>
    </row>
    <row r="36" spans="1:24" ht="11.25" customHeight="1">
      <c r="A36" s="2068" t="s">
        <v>5781</v>
      </c>
      <c r="B36" s="2069" t="s">
        <v>5782</v>
      </c>
      <c r="C36" s="2070">
        <v>340.36663800515913</v>
      </c>
      <c r="D36" s="2070">
        <v>347.91986242476361</v>
      </c>
      <c r="E36" s="2070">
        <v>339.94376612209811</v>
      </c>
      <c r="F36" s="2070">
        <v>500.34479793637155</v>
      </c>
      <c r="G36" s="2070">
        <v>390.84144453998277</v>
      </c>
      <c r="H36" s="2070">
        <v>389.47454858125542</v>
      </c>
      <c r="I36" s="2070">
        <v>472.24342218400676</v>
      </c>
      <c r="J36" s="2070">
        <v>427.79570077386069</v>
      </c>
      <c r="K36" s="2070">
        <v>376.77093723129832</v>
      </c>
      <c r="L36" s="2070">
        <v>322.27222699914017</v>
      </c>
      <c r="M36" s="2070">
        <v>310.42055030094576</v>
      </c>
      <c r="N36" s="2070">
        <v>294.30687876182282</v>
      </c>
      <c r="O36" s="2070">
        <v>272.96913155631978</v>
      </c>
      <c r="P36" s="2070">
        <v>293.52373172828879</v>
      </c>
      <c r="Q36" s="2070">
        <v>247.51831470335341</v>
      </c>
      <c r="R36" s="2070">
        <v>250.16276870163364</v>
      </c>
      <c r="S36" s="2070">
        <v>250.89208942390368</v>
      </c>
      <c r="T36" s="2070">
        <v>262.66500429922615</v>
      </c>
      <c r="U36" s="2070">
        <v>264.83000859845225</v>
      </c>
      <c r="V36" s="2070">
        <v>250.52656921754075</v>
      </c>
      <c r="W36" s="2070">
        <v>201.88925193465178</v>
      </c>
      <c r="X36" s="2070">
        <v>216.35313843508169</v>
      </c>
    </row>
    <row r="37" spans="1:24" ht="11.25" customHeight="1">
      <c r="A37" s="2068" t="s">
        <v>5783</v>
      </c>
      <c r="B37" s="2069" t="s">
        <v>5784</v>
      </c>
      <c r="C37" s="2070">
        <v>48.424763542562346</v>
      </c>
      <c r="D37" s="2070">
        <v>48.410920034393811</v>
      </c>
      <c r="E37" s="2070">
        <v>64.334479793637129</v>
      </c>
      <c r="F37" s="2070">
        <v>53.735683576956141</v>
      </c>
      <c r="G37" s="2070">
        <v>37.905245055889935</v>
      </c>
      <c r="H37" s="2070">
        <v>39.1109200343938</v>
      </c>
      <c r="I37" s="2070">
        <v>44.428546861564911</v>
      </c>
      <c r="J37" s="2070">
        <v>39.1018056749785</v>
      </c>
      <c r="K37" s="2070">
        <v>33.845743766122098</v>
      </c>
      <c r="L37" s="2070">
        <v>37.824333619948419</v>
      </c>
      <c r="M37" s="2070">
        <v>36.941100601891655</v>
      </c>
      <c r="N37" s="2070">
        <v>29.997334479793636</v>
      </c>
      <c r="O37" s="2070">
        <v>24.474548581255377</v>
      </c>
      <c r="P37" s="2070">
        <v>17.102149613069642</v>
      </c>
      <c r="Q37" s="2070">
        <v>16.879879621668096</v>
      </c>
      <c r="R37" s="2070">
        <v>19.019002579535677</v>
      </c>
      <c r="S37" s="2070">
        <v>21.131900257953571</v>
      </c>
      <c r="T37" s="2070">
        <v>21.023043852106614</v>
      </c>
      <c r="U37" s="2070">
        <v>18.753396388650046</v>
      </c>
      <c r="V37" s="2070">
        <v>16.887360275150471</v>
      </c>
      <c r="W37" s="2070">
        <v>14.879277730008601</v>
      </c>
      <c r="X37" s="2070">
        <v>19.704299226139295</v>
      </c>
    </row>
    <row r="38" spans="1:24" ht="11.25" customHeight="1">
      <c r="A38" s="2068" t="s">
        <v>4663</v>
      </c>
      <c r="B38" s="2069" t="s">
        <v>5785</v>
      </c>
      <c r="C38" s="2070">
        <v>0</v>
      </c>
      <c r="D38" s="2070">
        <v>0</v>
      </c>
      <c r="E38" s="2070">
        <v>0</v>
      </c>
      <c r="F38" s="2070">
        <v>0</v>
      </c>
      <c r="G38" s="2070">
        <v>0</v>
      </c>
      <c r="H38" s="2070">
        <v>0</v>
      </c>
      <c r="I38" s="2070">
        <v>0</v>
      </c>
      <c r="J38" s="2070">
        <v>0</v>
      </c>
      <c r="K38" s="2070">
        <v>0</v>
      </c>
      <c r="L38" s="2070">
        <v>0</v>
      </c>
      <c r="M38" s="2070">
        <v>0</v>
      </c>
      <c r="N38" s="2070">
        <v>0</v>
      </c>
      <c r="O38" s="2070">
        <v>0</v>
      </c>
      <c r="P38" s="2070">
        <v>0</v>
      </c>
      <c r="Q38" s="2070">
        <v>0</v>
      </c>
      <c r="R38" s="2070">
        <v>0</v>
      </c>
      <c r="S38" s="2070">
        <v>0</v>
      </c>
      <c r="T38" s="2070">
        <v>0</v>
      </c>
      <c r="U38" s="2070">
        <v>0</v>
      </c>
      <c r="V38" s="2070">
        <v>0</v>
      </c>
      <c r="W38" s="2070">
        <v>0</v>
      </c>
      <c r="X38" s="2070">
        <v>0</v>
      </c>
    </row>
    <row r="39" spans="1:24" ht="11.25" customHeight="1">
      <c r="A39" s="2068" t="s">
        <v>5786</v>
      </c>
      <c r="B39" s="2069" t="s">
        <v>5787</v>
      </c>
      <c r="C39" s="2070">
        <v>0</v>
      </c>
      <c r="D39" s="2070">
        <v>0</v>
      </c>
      <c r="E39" s="2070">
        <v>0</v>
      </c>
      <c r="F39" s="2070">
        <v>0</v>
      </c>
      <c r="G39" s="2070">
        <v>0</v>
      </c>
      <c r="H39" s="2070">
        <v>0</v>
      </c>
      <c r="I39" s="2070">
        <v>0</v>
      </c>
      <c r="J39" s="2070">
        <v>0</v>
      </c>
      <c r="K39" s="2070">
        <v>0</v>
      </c>
      <c r="L39" s="2070">
        <v>0</v>
      </c>
      <c r="M39" s="2070">
        <v>0</v>
      </c>
      <c r="N39" s="2070">
        <v>0</v>
      </c>
      <c r="O39" s="2070">
        <v>0</v>
      </c>
      <c r="P39" s="2070">
        <v>0</v>
      </c>
      <c r="Q39" s="2070">
        <v>0</v>
      </c>
      <c r="R39" s="2070">
        <v>0</v>
      </c>
      <c r="S39" s="2070">
        <v>0</v>
      </c>
      <c r="T39" s="2070">
        <v>0</v>
      </c>
      <c r="U39" s="2070">
        <v>0</v>
      </c>
      <c r="V39" s="2070">
        <v>0</v>
      </c>
      <c r="W39" s="2070">
        <v>0</v>
      </c>
      <c r="X39" s="2070">
        <v>0</v>
      </c>
    </row>
    <row r="40" spans="1:24" ht="11.25" customHeight="1">
      <c r="A40" s="2068" t="s">
        <v>5788</v>
      </c>
      <c r="B40" s="2069" t="s">
        <v>5789</v>
      </c>
      <c r="C40" s="2070">
        <v>18.486672398968189</v>
      </c>
      <c r="D40" s="2070">
        <v>18.486672398968189</v>
      </c>
      <c r="E40" s="2070">
        <v>18.486672398968189</v>
      </c>
      <c r="F40" s="2070">
        <v>15.40558899398108</v>
      </c>
      <c r="G40" s="2070">
        <v>16.432588134135859</v>
      </c>
      <c r="H40" s="2070">
        <v>22.870851246775583</v>
      </c>
      <c r="I40" s="2070">
        <v>23.897850386930354</v>
      </c>
      <c r="J40" s="2070">
        <v>19.796990541702492</v>
      </c>
      <c r="K40" s="2070">
        <v>15.40558899398108</v>
      </c>
      <c r="L40" s="2070">
        <v>13.504643164230433</v>
      </c>
      <c r="M40" s="2070">
        <v>21.719260533104045</v>
      </c>
      <c r="N40" s="2070">
        <v>17.585640584694758</v>
      </c>
      <c r="O40" s="2070">
        <v>13.482201203783314</v>
      </c>
      <c r="P40" s="2070">
        <v>14.524505588993978</v>
      </c>
      <c r="Q40" s="2070">
        <v>12.45864144453998</v>
      </c>
      <c r="R40" s="2070">
        <v>6.3080825451418736</v>
      </c>
      <c r="S40" s="2070">
        <v>6.3067927773000854</v>
      </c>
      <c r="T40" s="2070">
        <v>5.6143594153052447</v>
      </c>
      <c r="U40" s="2070">
        <v>5.2533104041272569</v>
      </c>
      <c r="V40" s="2070">
        <v>4.1718830610490105</v>
      </c>
      <c r="W40" s="2070">
        <v>3.1745485812553738</v>
      </c>
      <c r="X40" s="2070">
        <v>2.6343938091143597</v>
      </c>
    </row>
    <row r="41" spans="1:24" ht="11.25" customHeight="1">
      <c r="A41" s="2068" t="s">
        <v>4664</v>
      </c>
      <c r="B41" s="2069" t="s">
        <v>5790</v>
      </c>
      <c r="C41" s="2070">
        <v>5.8775580395528788</v>
      </c>
      <c r="D41" s="2070">
        <v>5.9038693035253642</v>
      </c>
      <c r="E41" s="2070">
        <v>9.9866723989681851</v>
      </c>
      <c r="F41" s="2070">
        <v>6.9202923473774707</v>
      </c>
      <c r="G41" s="2070">
        <v>5.8795356835769548</v>
      </c>
      <c r="H41" s="2070">
        <v>11.038263112639722</v>
      </c>
      <c r="I41" s="2070">
        <v>6.3373172828890789</v>
      </c>
      <c r="J41" s="2070">
        <v>1.7232158211521924</v>
      </c>
      <c r="K41" s="2070">
        <v>1.330438521066208</v>
      </c>
      <c r="L41" s="2070">
        <v>0.76337059329320711</v>
      </c>
      <c r="M41" s="2070">
        <v>1.5662080825451419</v>
      </c>
      <c r="N41" s="2070">
        <v>1.2701633705932931</v>
      </c>
      <c r="O41" s="2070">
        <v>0.43000859845227851</v>
      </c>
      <c r="P41" s="2070">
        <v>1.580309544282029</v>
      </c>
      <c r="Q41" s="2070">
        <v>1.3968185726569216</v>
      </c>
      <c r="R41" s="2070">
        <v>1.3656061908856405</v>
      </c>
      <c r="S41" s="2070">
        <v>0.98736027515047275</v>
      </c>
      <c r="T41" s="2070">
        <v>0.54514187446259654</v>
      </c>
      <c r="U41" s="2070">
        <v>0.41057609630266545</v>
      </c>
      <c r="V41" s="2070">
        <v>0.5893379191745487</v>
      </c>
      <c r="W41" s="2070">
        <v>0.95494411006018909</v>
      </c>
      <c r="X41" s="2070">
        <v>0.46766981943250213</v>
      </c>
    </row>
    <row r="42" spans="1:24" ht="11.25" customHeight="1">
      <c r="A42" s="2068" t="s">
        <v>4611</v>
      </c>
      <c r="B42" s="2069" t="s">
        <v>5791</v>
      </c>
      <c r="C42" s="2070">
        <v>0</v>
      </c>
      <c r="D42" s="2070">
        <v>0</v>
      </c>
      <c r="E42" s="2070">
        <v>0</v>
      </c>
      <c r="F42" s="2070">
        <v>0</v>
      </c>
      <c r="G42" s="2070">
        <v>0</v>
      </c>
      <c r="H42" s="2070">
        <v>0</v>
      </c>
      <c r="I42" s="2070">
        <v>0</v>
      </c>
      <c r="J42" s="2070">
        <v>0</v>
      </c>
      <c r="K42" s="2070">
        <v>0</v>
      </c>
      <c r="L42" s="2070">
        <v>0</v>
      </c>
      <c r="M42" s="2070">
        <v>0</v>
      </c>
      <c r="N42" s="2070">
        <v>0</v>
      </c>
      <c r="O42" s="2070">
        <v>0</v>
      </c>
      <c r="P42" s="2070">
        <v>0</v>
      </c>
      <c r="Q42" s="2070">
        <v>0</v>
      </c>
      <c r="R42" s="2070">
        <v>0</v>
      </c>
      <c r="S42" s="2070">
        <v>0</v>
      </c>
      <c r="T42" s="2070">
        <v>0</v>
      </c>
      <c r="U42" s="2070">
        <v>0</v>
      </c>
      <c r="V42" s="2070">
        <v>0</v>
      </c>
      <c r="W42" s="2070">
        <v>0</v>
      </c>
      <c r="X42" s="2070">
        <v>0</v>
      </c>
    </row>
    <row r="43" spans="1:24" ht="11.25" customHeight="1">
      <c r="A43" s="2068" t="s">
        <v>5792</v>
      </c>
      <c r="B43" s="2069" t="s">
        <v>5793</v>
      </c>
      <c r="C43" s="2070">
        <v>1065.9178847807393</v>
      </c>
      <c r="D43" s="2070">
        <v>1076.6103181427343</v>
      </c>
      <c r="E43" s="2070">
        <v>1073.6358555460015</v>
      </c>
      <c r="F43" s="2070">
        <v>1123.6576956147894</v>
      </c>
      <c r="G43" s="2070">
        <v>1045.5760963026655</v>
      </c>
      <c r="H43" s="2070">
        <v>974.76509028374892</v>
      </c>
      <c r="I43" s="2070">
        <v>871.13774720550282</v>
      </c>
      <c r="J43" s="2070">
        <v>921.82691315563193</v>
      </c>
      <c r="K43" s="2070">
        <v>909.71496130696471</v>
      </c>
      <c r="L43" s="2070">
        <v>1013.4665520206363</v>
      </c>
      <c r="M43" s="2070">
        <v>942.875494411006</v>
      </c>
      <c r="N43" s="2070">
        <v>759.28013757523638</v>
      </c>
      <c r="O43" s="2070">
        <v>705.96990541702496</v>
      </c>
      <c r="P43" s="2070">
        <v>691.85941530524485</v>
      </c>
      <c r="Q43" s="2070">
        <v>584.29656061908861</v>
      </c>
      <c r="R43" s="2070">
        <v>515.57377472055032</v>
      </c>
      <c r="S43" s="2070">
        <v>528.26156491831478</v>
      </c>
      <c r="T43" s="2070">
        <v>513.84797936371467</v>
      </c>
      <c r="U43" s="2070">
        <v>518.24110060189162</v>
      </c>
      <c r="V43" s="2070">
        <v>504.07807394668959</v>
      </c>
      <c r="W43" s="2070">
        <v>505.16139294926916</v>
      </c>
      <c r="X43" s="2070">
        <v>502.44376612209811</v>
      </c>
    </row>
    <row r="44" spans="1:24" ht="11.25" customHeight="1">
      <c r="A44" s="2068" t="s">
        <v>4665</v>
      </c>
      <c r="B44" s="2069" t="s">
        <v>5794</v>
      </c>
      <c r="C44" s="2070">
        <v>695.45021496130698</v>
      </c>
      <c r="D44" s="2070">
        <v>736.37033533963893</v>
      </c>
      <c r="E44" s="2070">
        <v>774.3174548581253</v>
      </c>
      <c r="F44" s="2070">
        <v>746.31926053310394</v>
      </c>
      <c r="G44" s="2070">
        <v>627.74135855546001</v>
      </c>
      <c r="H44" s="2070">
        <v>568.8012037833189</v>
      </c>
      <c r="I44" s="2070">
        <v>614.00051590713667</v>
      </c>
      <c r="J44" s="2070">
        <v>509.53138435081667</v>
      </c>
      <c r="K44" s="2070">
        <v>539.91478933791916</v>
      </c>
      <c r="L44" s="2070">
        <v>334.29982803095442</v>
      </c>
      <c r="M44" s="2070">
        <v>221.98796216680995</v>
      </c>
      <c r="N44" s="2070">
        <v>174.85855546001719</v>
      </c>
      <c r="O44" s="2070">
        <v>184.38830610490109</v>
      </c>
      <c r="P44" s="2070">
        <v>268.62390369733436</v>
      </c>
      <c r="Q44" s="2070">
        <v>228.01771281169391</v>
      </c>
      <c r="R44" s="2070">
        <v>211.63061049011171</v>
      </c>
      <c r="S44" s="2070">
        <v>210.8709372312984</v>
      </c>
      <c r="T44" s="2070">
        <v>146.23551160791055</v>
      </c>
      <c r="U44" s="2070">
        <v>131.41375752364576</v>
      </c>
      <c r="V44" s="2070">
        <v>103.32398968185728</v>
      </c>
      <c r="W44" s="2070">
        <v>81.831986242476347</v>
      </c>
      <c r="X44" s="2070">
        <v>91.143852106620798</v>
      </c>
    </row>
    <row r="45" spans="1:24" ht="11.25" customHeight="1">
      <c r="A45" s="2068" t="s">
        <v>5795</v>
      </c>
      <c r="B45" s="2069" t="s">
        <v>5796</v>
      </c>
      <c r="C45" s="2070">
        <v>0</v>
      </c>
      <c r="D45" s="2070">
        <v>0</v>
      </c>
      <c r="E45" s="2070">
        <v>0</v>
      </c>
      <c r="F45" s="2070">
        <v>0</v>
      </c>
      <c r="G45" s="2070">
        <v>0</v>
      </c>
      <c r="H45" s="2070">
        <v>5.3740326741186582E-2</v>
      </c>
      <c r="I45" s="2070">
        <v>5.3740326741186582E-2</v>
      </c>
      <c r="J45" s="2070">
        <v>6.5348237317282884E-2</v>
      </c>
      <c r="K45" s="2070">
        <v>4.4282029234737737E-2</v>
      </c>
      <c r="L45" s="2070">
        <v>4.2132416165090281E-2</v>
      </c>
      <c r="M45" s="2070">
        <v>4.5313843508168528E-2</v>
      </c>
      <c r="N45" s="2070">
        <v>6.8443680137575236E-2</v>
      </c>
      <c r="O45" s="2070">
        <v>7.3774720550300946E-2</v>
      </c>
      <c r="P45" s="2070">
        <v>2.9492691315563199E-2</v>
      </c>
      <c r="Q45" s="2070">
        <v>2.5279449699054171E-2</v>
      </c>
      <c r="R45" s="2070">
        <v>2.2098022355975921E-2</v>
      </c>
      <c r="S45" s="2070">
        <v>0.92269991401547713</v>
      </c>
      <c r="T45" s="2070">
        <v>1.1654342218400688</v>
      </c>
      <c r="U45" s="2070">
        <v>1.544196044711952</v>
      </c>
      <c r="V45" s="2070">
        <v>1.5346517626827174</v>
      </c>
      <c r="W45" s="2070">
        <v>1.4288907996560618</v>
      </c>
      <c r="X45" s="2070">
        <v>1.3992261392949268</v>
      </c>
    </row>
    <row r="46" spans="1:24" ht="11.25" customHeight="1">
      <c r="A46" s="2068" t="s">
        <v>595</v>
      </c>
      <c r="B46" s="2069" t="s">
        <v>5797</v>
      </c>
      <c r="C46" s="2070">
        <v>0</v>
      </c>
      <c r="D46" s="2070">
        <v>0</v>
      </c>
      <c r="E46" s="2070">
        <v>0</v>
      </c>
      <c r="F46" s="2070">
        <v>0</v>
      </c>
      <c r="G46" s="2070">
        <v>0</v>
      </c>
      <c r="H46" s="2070">
        <v>0</v>
      </c>
      <c r="I46" s="2070">
        <v>0</v>
      </c>
      <c r="J46" s="2070">
        <v>0</v>
      </c>
      <c r="K46" s="2070">
        <v>0</v>
      </c>
      <c r="L46" s="2070">
        <v>0</v>
      </c>
      <c r="M46" s="2070">
        <v>0</v>
      </c>
      <c r="N46" s="2070">
        <v>0</v>
      </c>
      <c r="O46" s="2070">
        <v>0</v>
      </c>
      <c r="P46" s="2070">
        <v>0</v>
      </c>
      <c r="Q46" s="2070">
        <v>0</v>
      </c>
      <c r="R46" s="2070">
        <v>0</v>
      </c>
      <c r="S46" s="2070">
        <v>0</v>
      </c>
      <c r="T46" s="2070">
        <v>0</v>
      </c>
      <c r="U46" s="2070">
        <v>0</v>
      </c>
      <c r="V46" s="2070">
        <v>0</v>
      </c>
      <c r="W46" s="2070">
        <v>0</v>
      </c>
      <c r="X46" s="2070">
        <v>0</v>
      </c>
    </row>
    <row r="47" spans="1:24" ht="11.25" customHeight="1">
      <c r="A47" s="2068" t="s">
        <v>4614</v>
      </c>
      <c r="B47" s="2069" t="s">
        <v>5798</v>
      </c>
      <c r="C47" s="2070">
        <v>0</v>
      </c>
      <c r="D47" s="2070">
        <v>0</v>
      </c>
      <c r="E47" s="2070">
        <v>0</v>
      </c>
      <c r="F47" s="2070">
        <v>0</v>
      </c>
      <c r="G47" s="2070">
        <v>0</v>
      </c>
      <c r="H47" s="2070">
        <v>0</v>
      </c>
      <c r="I47" s="2070">
        <v>0</v>
      </c>
      <c r="J47" s="2070">
        <v>0</v>
      </c>
      <c r="K47" s="2070">
        <v>0</v>
      </c>
      <c r="L47" s="2070">
        <v>0</v>
      </c>
      <c r="M47" s="2070">
        <v>0</v>
      </c>
      <c r="N47" s="2070">
        <v>0</v>
      </c>
      <c r="O47" s="2070">
        <v>0</v>
      </c>
      <c r="P47" s="2070">
        <v>0</v>
      </c>
      <c r="Q47" s="2070">
        <v>0</v>
      </c>
      <c r="R47" s="2070">
        <v>0</v>
      </c>
      <c r="S47" s="2070">
        <v>0</v>
      </c>
      <c r="T47" s="2070">
        <v>0</v>
      </c>
      <c r="U47" s="2070">
        <v>0</v>
      </c>
      <c r="V47" s="2070">
        <v>0</v>
      </c>
      <c r="W47" s="2070">
        <v>0</v>
      </c>
      <c r="X47" s="2070">
        <v>0</v>
      </c>
    </row>
    <row r="48" spans="1:24" ht="11.25" customHeight="1">
      <c r="A48" s="2068" t="s">
        <v>4667</v>
      </c>
      <c r="B48" s="2069" t="s">
        <v>5799</v>
      </c>
      <c r="C48" s="2070">
        <v>119.5423903697334</v>
      </c>
      <c r="D48" s="2070">
        <v>119.5423903697334</v>
      </c>
      <c r="E48" s="2070">
        <v>108.6748925193465</v>
      </c>
      <c r="F48" s="2070">
        <v>117.2135855546002</v>
      </c>
      <c r="G48" s="2070">
        <v>121.09484092863281</v>
      </c>
      <c r="H48" s="2070">
        <v>110.22734307824589</v>
      </c>
      <c r="I48" s="2070">
        <v>104.75778159931208</v>
      </c>
      <c r="J48" s="2070">
        <v>90.749441100601871</v>
      </c>
      <c r="K48" s="2070">
        <v>86.13766122098022</v>
      </c>
      <c r="L48" s="2070">
        <v>84.480911435941522</v>
      </c>
      <c r="M48" s="2070">
        <v>110.17523645743765</v>
      </c>
      <c r="N48" s="2070">
        <v>86.478331900257942</v>
      </c>
      <c r="O48" s="2070">
        <v>89.711693895098861</v>
      </c>
      <c r="P48" s="2070">
        <v>58.911349957007737</v>
      </c>
      <c r="Q48" s="2070">
        <v>21.460275150472913</v>
      </c>
      <c r="R48" s="2070">
        <v>17.591057609630262</v>
      </c>
      <c r="S48" s="2070">
        <v>0.76431642304385194</v>
      </c>
      <c r="T48" s="2070">
        <v>0</v>
      </c>
      <c r="U48" s="2070">
        <v>0</v>
      </c>
      <c r="V48" s="2070">
        <v>0</v>
      </c>
      <c r="W48" s="2070">
        <v>0</v>
      </c>
      <c r="X48" s="2070">
        <v>0.19716251074806529</v>
      </c>
    </row>
    <row r="49" spans="1:24" ht="11.25" customHeight="1">
      <c r="A49" s="2068" t="s">
        <v>4666</v>
      </c>
      <c r="B49" s="2069" t="s">
        <v>5800</v>
      </c>
      <c r="C49" s="2070">
        <v>0</v>
      </c>
      <c r="D49" s="2070">
        <v>0</v>
      </c>
      <c r="E49" s="2070">
        <v>0</v>
      </c>
      <c r="F49" s="2070">
        <v>0</v>
      </c>
      <c r="G49" s="2070">
        <v>0</v>
      </c>
      <c r="H49" s="2070">
        <v>0</v>
      </c>
      <c r="I49" s="2070">
        <v>0</v>
      </c>
      <c r="J49" s="2070">
        <v>0</v>
      </c>
      <c r="K49" s="2070">
        <v>0</v>
      </c>
      <c r="L49" s="2070">
        <v>0</v>
      </c>
      <c r="M49" s="2070">
        <v>0</v>
      </c>
      <c r="N49" s="2070">
        <v>0</v>
      </c>
      <c r="O49" s="2070">
        <v>0</v>
      </c>
      <c r="P49" s="2070">
        <v>0</v>
      </c>
      <c r="Q49" s="2070">
        <v>0</v>
      </c>
      <c r="R49" s="2070">
        <v>0</v>
      </c>
      <c r="S49" s="2070">
        <v>0</v>
      </c>
      <c r="T49" s="2070">
        <v>0</v>
      </c>
      <c r="U49" s="2070">
        <v>0</v>
      </c>
      <c r="V49" s="2070">
        <v>0</v>
      </c>
      <c r="W49" s="2070">
        <v>0</v>
      </c>
      <c r="X49" s="2070">
        <v>0</v>
      </c>
    </row>
    <row r="50" spans="1:24" ht="11.25" customHeight="1">
      <c r="A50" s="2068" t="s">
        <v>4668</v>
      </c>
      <c r="B50" s="2069" t="s">
        <v>5801</v>
      </c>
      <c r="C50" s="2070">
        <v>2.823043852106621</v>
      </c>
      <c r="D50" s="2070">
        <v>3.8935511607910569</v>
      </c>
      <c r="E50" s="2070">
        <v>2.9049011177987962</v>
      </c>
      <c r="F50" s="2070">
        <v>2.8905417024935511</v>
      </c>
      <c r="G50" s="2070">
        <v>2.8944110060189168</v>
      </c>
      <c r="H50" s="2070">
        <v>0.97669819432502147</v>
      </c>
      <c r="I50" s="2070">
        <v>3.8884780739466898</v>
      </c>
      <c r="J50" s="2070">
        <v>2.837489251934652</v>
      </c>
      <c r="K50" s="2070">
        <v>3.821066208082545</v>
      </c>
      <c r="L50" s="2070">
        <v>0</v>
      </c>
      <c r="M50" s="2070">
        <v>0.7165090283748925</v>
      </c>
      <c r="N50" s="2070">
        <v>1.6757523645743766</v>
      </c>
      <c r="O50" s="2070">
        <v>2.6588993981083404</v>
      </c>
      <c r="P50" s="2070">
        <v>2.6828030954428197</v>
      </c>
      <c r="Q50" s="2070">
        <v>2.6513327601031809</v>
      </c>
      <c r="R50" s="2070">
        <v>2.6133276010318145</v>
      </c>
      <c r="S50" s="2070">
        <v>2.6682717110920029</v>
      </c>
      <c r="T50" s="2070">
        <v>0.42433361994840929</v>
      </c>
      <c r="U50" s="2070">
        <v>3.2478933791917455</v>
      </c>
      <c r="V50" s="2070">
        <v>4.1003439380911439</v>
      </c>
      <c r="W50" s="2070">
        <v>3.799054170249355</v>
      </c>
      <c r="X50" s="2070">
        <v>4.8310404127257085</v>
      </c>
    </row>
    <row r="51" spans="1:24" ht="11.25" customHeight="1">
      <c r="A51" s="2071" t="s">
        <v>3875</v>
      </c>
      <c r="B51" s="2072" t="s">
        <v>5802</v>
      </c>
      <c r="C51" s="2073">
        <v>6807.0722269991402</v>
      </c>
      <c r="D51" s="2073">
        <v>7080.9903697334466</v>
      </c>
      <c r="E51" s="2073">
        <v>6869.0324161650897</v>
      </c>
      <c r="F51" s="2073">
        <v>6652.2743766122085</v>
      </c>
      <c r="G51" s="2073">
        <v>7281.4587274290634</v>
      </c>
      <c r="H51" s="2073">
        <v>7264.0826311263954</v>
      </c>
      <c r="I51" s="2073">
        <v>7196.1460017196914</v>
      </c>
      <c r="J51" s="2073">
        <v>7136.8013757523631</v>
      </c>
      <c r="K51" s="2073">
        <v>6834.3283748925187</v>
      </c>
      <c r="L51" s="2073">
        <v>6031.5757523645725</v>
      </c>
      <c r="M51" s="2073">
        <v>6495.9149613069621</v>
      </c>
      <c r="N51" s="2073">
        <v>6317.3300945829742</v>
      </c>
      <c r="O51" s="2073">
        <v>5985.8559759243335</v>
      </c>
      <c r="P51" s="2073">
        <v>6105.5077386070507</v>
      </c>
      <c r="Q51" s="2073">
        <v>5605.625967325881</v>
      </c>
      <c r="R51" s="2073">
        <v>5803.8456577815996</v>
      </c>
      <c r="S51" s="2073">
        <v>5916.2577815993109</v>
      </c>
      <c r="T51" s="2073">
        <v>6058.7688736027494</v>
      </c>
      <c r="U51" s="2073">
        <v>5836.4819432502154</v>
      </c>
      <c r="V51" s="2073">
        <v>5717.6062768701631</v>
      </c>
      <c r="W51" s="2073">
        <v>5254.3554600171965</v>
      </c>
      <c r="X51" s="2073">
        <v>6054.7790197764407</v>
      </c>
    </row>
    <row r="52" spans="1:24" ht="11.25" customHeight="1">
      <c r="A52" s="2071" t="s">
        <v>5803</v>
      </c>
      <c r="B52" s="2072" t="s">
        <v>5804</v>
      </c>
      <c r="C52" s="2073">
        <v>22.420073267008437</v>
      </c>
      <c r="D52" s="2073">
        <v>31.888370990758251</v>
      </c>
      <c r="E52" s="2073">
        <v>34.74165535797934</v>
      </c>
      <c r="F52" s="2073">
        <v>48.694172711920466</v>
      </c>
      <c r="G52" s="2073">
        <v>54.936394552438422</v>
      </c>
      <c r="H52" s="2073">
        <v>80.781527543862737</v>
      </c>
      <c r="I52" s="2073">
        <v>100.05510693386161</v>
      </c>
      <c r="J52" s="2073">
        <v>91.168315832589997</v>
      </c>
      <c r="K52" s="2073">
        <v>91.19673037345909</v>
      </c>
      <c r="L52" s="2073">
        <v>98.895948098690766</v>
      </c>
      <c r="M52" s="2073">
        <v>125.33345177027223</v>
      </c>
      <c r="N52" s="2073">
        <v>119.29270724502969</v>
      </c>
      <c r="O52" s="2073">
        <v>112.45343351882175</v>
      </c>
      <c r="P52" s="2073">
        <v>156.42153775829385</v>
      </c>
      <c r="Q52" s="2073">
        <v>124.8248295818813</v>
      </c>
      <c r="R52" s="2073">
        <v>126.37384142436437</v>
      </c>
      <c r="S52" s="2073">
        <v>162.66557201738954</v>
      </c>
      <c r="T52" s="2073">
        <v>108.57423088330401</v>
      </c>
      <c r="U52" s="2073">
        <v>134.75988206695251</v>
      </c>
      <c r="V52" s="2073">
        <v>131.23640138232125</v>
      </c>
      <c r="W52" s="2073">
        <v>152.01049908587393</v>
      </c>
      <c r="X52" s="2073">
        <v>154.71325113555056</v>
      </c>
    </row>
    <row r="53" spans="1:24" ht="11.25" customHeight="1">
      <c r="A53" s="2074" t="s">
        <v>3973</v>
      </c>
      <c r="B53" s="2069" t="s">
        <v>5805</v>
      </c>
      <c r="C53" s="2070">
        <v>0</v>
      </c>
      <c r="D53" s="2070">
        <v>0</v>
      </c>
      <c r="E53" s="2070">
        <v>0</v>
      </c>
      <c r="F53" s="2070">
        <v>0</v>
      </c>
      <c r="G53" s="2070">
        <v>0</v>
      </c>
      <c r="H53" s="2070">
        <v>0</v>
      </c>
      <c r="I53" s="2070">
        <v>0</v>
      </c>
      <c r="J53" s="2070">
        <v>0</v>
      </c>
      <c r="K53" s="2070">
        <v>0</v>
      </c>
      <c r="L53" s="2070">
        <v>0</v>
      </c>
      <c r="M53" s="2070">
        <v>0</v>
      </c>
      <c r="N53" s="2070">
        <v>0</v>
      </c>
      <c r="O53" s="2070">
        <v>0</v>
      </c>
      <c r="P53" s="2070">
        <v>0</v>
      </c>
      <c r="Q53" s="2070">
        <v>0</v>
      </c>
      <c r="R53" s="2070">
        <v>0</v>
      </c>
      <c r="S53" s="2070">
        <v>0</v>
      </c>
      <c r="T53" s="2070">
        <v>0</v>
      </c>
      <c r="U53" s="2070">
        <v>0</v>
      </c>
      <c r="V53" s="2070">
        <v>0</v>
      </c>
      <c r="W53" s="2070">
        <v>0</v>
      </c>
      <c r="X53" s="2070">
        <v>0</v>
      </c>
    </row>
    <row r="54" spans="1:24" ht="11.25" customHeight="1">
      <c r="A54" s="2074" t="s">
        <v>5806</v>
      </c>
      <c r="B54" s="2069" t="s">
        <v>5807</v>
      </c>
      <c r="C54" s="2070">
        <v>0</v>
      </c>
      <c r="D54" s="2070">
        <v>0</v>
      </c>
      <c r="E54" s="2070">
        <v>0</v>
      </c>
      <c r="F54" s="2070">
        <v>0</v>
      </c>
      <c r="G54" s="2070">
        <v>0</v>
      </c>
      <c r="H54" s="2070">
        <v>0</v>
      </c>
      <c r="I54" s="2070">
        <v>0</v>
      </c>
      <c r="J54" s="2070">
        <v>0</v>
      </c>
      <c r="K54" s="2070">
        <v>0</v>
      </c>
      <c r="L54" s="2070">
        <v>0</v>
      </c>
      <c r="M54" s="2070">
        <v>0</v>
      </c>
      <c r="N54" s="2070">
        <v>0</v>
      </c>
      <c r="O54" s="2070">
        <v>0</v>
      </c>
      <c r="P54" s="2070">
        <v>0</v>
      </c>
      <c r="Q54" s="2070">
        <v>0</v>
      </c>
      <c r="R54" s="2070">
        <v>0</v>
      </c>
      <c r="S54" s="2070">
        <v>0</v>
      </c>
      <c r="T54" s="2070">
        <v>0</v>
      </c>
      <c r="U54" s="2070">
        <v>0</v>
      </c>
      <c r="V54" s="2070">
        <v>0</v>
      </c>
      <c r="W54" s="2070">
        <v>0</v>
      </c>
      <c r="X54" s="2070">
        <v>0</v>
      </c>
    </row>
    <row r="55" spans="1:24" ht="11.25" customHeight="1">
      <c r="A55" s="2074" t="s">
        <v>3965</v>
      </c>
      <c r="B55" s="2069" t="s">
        <v>5808</v>
      </c>
      <c r="C55" s="2070">
        <v>0</v>
      </c>
      <c r="D55" s="2070">
        <v>0</v>
      </c>
      <c r="E55" s="2070">
        <v>0</v>
      </c>
      <c r="F55" s="2070">
        <v>0</v>
      </c>
      <c r="G55" s="2070">
        <v>0</v>
      </c>
      <c r="H55" s="2070">
        <v>0</v>
      </c>
      <c r="I55" s="2070">
        <v>0</v>
      </c>
      <c r="J55" s="2070">
        <v>0</v>
      </c>
      <c r="K55" s="2070">
        <v>0</v>
      </c>
      <c r="L55" s="2070">
        <v>0</v>
      </c>
      <c r="M55" s="2070">
        <v>0</v>
      </c>
      <c r="N55" s="2070">
        <v>0</v>
      </c>
      <c r="O55" s="2070">
        <v>0</v>
      </c>
      <c r="P55" s="2070">
        <v>0</v>
      </c>
      <c r="Q55" s="2070">
        <v>0</v>
      </c>
      <c r="R55" s="2070">
        <v>0</v>
      </c>
      <c r="S55" s="2070">
        <v>0</v>
      </c>
      <c r="T55" s="2070">
        <v>0</v>
      </c>
      <c r="U55" s="2070">
        <v>0</v>
      </c>
      <c r="V55" s="2070">
        <v>0</v>
      </c>
      <c r="W55" s="2070">
        <v>0</v>
      </c>
      <c r="X55" s="2070">
        <v>0</v>
      </c>
    </row>
    <row r="56" spans="1:24" ht="11.25" customHeight="1">
      <c r="A56" s="2074" t="s">
        <v>5636</v>
      </c>
      <c r="B56" s="2069" t="s">
        <v>5809</v>
      </c>
      <c r="C56" s="2070">
        <v>0</v>
      </c>
      <c r="D56" s="2070">
        <v>0</v>
      </c>
      <c r="E56" s="2070">
        <v>0</v>
      </c>
      <c r="F56" s="2070">
        <v>0</v>
      </c>
      <c r="G56" s="2070">
        <v>0</v>
      </c>
      <c r="H56" s="2070">
        <v>0</v>
      </c>
      <c r="I56" s="2070">
        <v>0</v>
      </c>
      <c r="J56" s="2070">
        <v>0</v>
      </c>
      <c r="K56" s="2070">
        <v>0</v>
      </c>
      <c r="L56" s="2070">
        <v>0</v>
      </c>
      <c r="M56" s="2070">
        <v>0</v>
      </c>
      <c r="N56" s="2070">
        <v>0</v>
      </c>
      <c r="O56" s="2070">
        <v>0</v>
      </c>
      <c r="P56" s="2070">
        <v>0</v>
      </c>
      <c r="Q56" s="2070">
        <v>0</v>
      </c>
      <c r="R56" s="2070">
        <v>0</v>
      </c>
      <c r="S56" s="2070">
        <v>0</v>
      </c>
      <c r="T56" s="2070">
        <v>0</v>
      </c>
      <c r="U56" s="2070">
        <v>0</v>
      </c>
      <c r="V56" s="2070">
        <v>0</v>
      </c>
      <c r="W56" s="2070">
        <v>0</v>
      </c>
      <c r="X56" s="2070">
        <v>0</v>
      </c>
    </row>
    <row r="57" spans="1:24" ht="11.25" customHeight="1">
      <c r="A57" s="2074" t="s">
        <v>4617</v>
      </c>
      <c r="B57" s="2069" t="s">
        <v>5810</v>
      </c>
      <c r="C57" s="2070">
        <v>0</v>
      </c>
      <c r="D57" s="2070">
        <v>2.8374892519346519E-3</v>
      </c>
      <c r="E57" s="2070">
        <v>2.8374892519346519E-3</v>
      </c>
      <c r="F57" s="2070">
        <v>3.9122957867583831E-2</v>
      </c>
      <c r="G57" s="2070">
        <v>8.2631126397248483E-2</v>
      </c>
      <c r="H57" s="2070">
        <v>9.3809114359415302E-2</v>
      </c>
      <c r="I57" s="2070">
        <v>9.7936371453138424E-2</v>
      </c>
      <c r="J57" s="2070">
        <v>0.11573516766981939</v>
      </c>
      <c r="K57" s="2070">
        <v>0.12932072226999139</v>
      </c>
      <c r="L57" s="2070">
        <v>0.17007738607050729</v>
      </c>
      <c r="M57" s="2070">
        <v>0.19466895958727429</v>
      </c>
      <c r="N57" s="2070">
        <v>0.24342218400687871</v>
      </c>
      <c r="O57" s="2070">
        <v>0.28013757523645738</v>
      </c>
      <c r="P57" s="2070">
        <v>0.47962166809974194</v>
      </c>
      <c r="Q57" s="2070">
        <v>0.57695614789337935</v>
      </c>
      <c r="R57" s="2070">
        <v>0.55485812553740321</v>
      </c>
      <c r="S57" s="2070">
        <v>0.5552880481513327</v>
      </c>
      <c r="T57" s="2070">
        <v>0.92063628546861553</v>
      </c>
      <c r="U57" s="2070">
        <v>0.95520206362854676</v>
      </c>
      <c r="V57" s="2070">
        <v>0.98280309544282018</v>
      </c>
      <c r="W57" s="2070">
        <v>0.9780739466895958</v>
      </c>
      <c r="X57" s="2070">
        <v>0.98435081685296644</v>
      </c>
    </row>
    <row r="58" spans="1:24" ht="11.25" customHeight="1">
      <c r="A58" s="2074" t="s">
        <v>3971</v>
      </c>
      <c r="B58" s="2069" t="s">
        <v>5811</v>
      </c>
      <c r="C58" s="2070">
        <v>0.1194325021496131</v>
      </c>
      <c r="D58" s="2070">
        <v>2.3903697334479789E-2</v>
      </c>
      <c r="E58" s="2070">
        <v>0.3821152192605331</v>
      </c>
      <c r="F58" s="2070">
        <v>1.3135855546001718</v>
      </c>
      <c r="G58" s="2070">
        <v>0.95537403267411869</v>
      </c>
      <c r="H58" s="2070">
        <v>0.95537403267411869</v>
      </c>
      <c r="I58" s="2070">
        <v>0.7165090283748925</v>
      </c>
      <c r="J58" s="2070">
        <v>0.52545141874462586</v>
      </c>
      <c r="K58" s="2070">
        <v>0.52545141874462586</v>
      </c>
      <c r="L58" s="2070">
        <v>0.40601891659501288</v>
      </c>
      <c r="M58" s="2070">
        <v>0.47773000859845233</v>
      </c>
      <c r="N58" s="2070">
        <v>1.4569217540842647</v>
      </c>
      <c r="O58" s="2070">
        <v>1.0509888220120378</v>
      </c>
      <c r="P58" s="2070">
        <v>0.3343938091143594</v>
      </c>
      <c r="Q58" s="2070">
        <v>0.50163370593293211</v>
      </c>
      <c r="R58" s="2070">
        <v>0.47773000859845216</v>
      </c>
      <c r="S58" s="2070">
        <v>3.4393809114359413</v>
      </c>
      <c r="T58" s="2070">
        <v>0.72381771281169383</v>
      </c>
      <c r="U58" s="2070">
        <v>0.34574376612209812</v>
      </c>
      <c r="V58" s="2070">
        <v>0.21496130696474638</v>
      </c>
      <c r="W58" s="2070">
        <v>0.3141014617368873</v>
      </c>
      <c r="X58" s="2070">
        <v>0.45864144453998285</v>
      </c>
    </row>
    <row r="59" spans="1:24" ht="11.25" customHeight="1">
      <c r="A59" s="2074" t="s">
        <v>4669</v>
      </c>
      <c r="B59" s="2069" t="s">
        <v>5812</v>
      </c>
      <c r="C59" s="2070">
        <v>19.871969045571799</v>
      </c>
      <c r="D59" s="2070">
        <v>29.186844368013755</v>
      </c>
      <c r="E59" s="2070">
        <v>31.599312123817707</v>
      </c>
      <c r="F59" s="2070">
        <v>43.70868443680137</v>
      </c>
      <c r="G59" s="2070">
        <v>50.539810834049852</v>
      </c>
      <c r="H59" s="2070">
        <v>74.255975924333612</v>
      </c>
      <c r="I59" s="2070">
        <v>94.629406706792764</v>
      </c>
      <c r="J59" s="2070">
        <v>82.825795356835769</v>
      </c>
      <c r="K59" s="2070">
        <v>81.886414445399851</v>
      </c>
      <c r="L59" s="2070">
        <v>87.258727429062773</v>
      </c>
      <c r="M59" s="2070">
        <v>113.2052450558899</v>
      </c>
      <c r="N59" s="2070">
        <v>97.325279449699053</v>
      </c>
      <c r="O59" s="2070">
        <v>101.27231298366293</v>
      </c>
      <c r="P59" s="2070">
        <v>144.45606190885641</v>
      </c>
      <c r="Q59" s="2070">
        <v>105.04832330180567</v>
      </c>
      <c r="R59" s="2070">
        <v>98.209544282029242</v>
      </c>
      <c r="S59" s="2070">
        <v>129.1829750644884</v>
      </c>
      <c r="T59" s="2070">
        <v>79.979707652622537</v>
      </c>
      <c r="U59" s="2070">
        <v>96.547721410146181</v>
      </c>
      <c r="V59" s="2070">
        <v>85.481169389509873</v>
      </c>
      <c r="W59" s="2070">
        <v>104.74101461736886</v>
      </c>
      <c r="X59" s="2070">
        <v>106.59690455717973</v>
      </c>
    </row>
    <row r="60" spans="1:24" ht="11.25" customHeight="1">
      <c r="A60" s="2074" t="s">
        <v>4618</v>
      </c>
      <c r="B60" s="2069" t="s">
        <v>5813</v>
      </c>
      <c r="C60" s="2070">
        <v>0</v>
      </c>
      <c r="D60" s="2070">
        <v>0</v>
      </c>
      <c r="E60" s="2070">
        <v>0</v>
      </c>
      <c r="F60" s="2070">
        <v>0</v>
      </c>
      <c r="G60" s="2070">
        <v>0</v>
      </c>
      <c r="H60" s="2070">
        <v>0</v>
      </c>
      <c r="I60" s="2070">
        <v>0</v>
      </c>
      <c r="J60" s="2070">
        <v>0</v>
      </c>
      <c r="K60" s="2070">
        <v>0</v>
      </c>
      <c r="L60" s="2070">
        <v>0</v>
      </c>
      <c r="M60" s="2070">
        <v>0</v>
      </c>
      <c r="N60" s="2070">
        <v>0</v>
      </c>
      <c r="O60" s="2070">
        <v>0</v>
      </c>
      <c r="P60" s="2070">
        <v>0</v>
      </c>
      <c r="Q60" s="2070">
        <v>0</v>
      </c>
      <c r="R60" s="2070">
        <v>0</v>
      </c>
      <c r="S60" s="2070">
        <v>0</v>
      </c>
      <c r="T60" s="2070">
        <v>6.878761822871883E-4</v>
      </c>
      <c r="U60" s="2070">
        <v>0</v>
      </c>
      <c r="V60" s="2070">
        <v>0</v>
      </c>
      <c r="W60" s="2070">
        <v>0</v>
      </c>
      <c r="X60" s="2070">
        <v>0</v>
      </c>
    </row>
    <row r="61" spans="1:24" ht="11.25" customHeight="1">
      <c r="A61" s="2074" t="s">
        <v>4670</v>
      </c>
      <c r="B61" s="2069" t="s">
        <v>5814</v>
      </c>
      <c r="C61" s="2070">
        <v>0</v>
      </c>
      <c r="D61" s="2070">
        <v>0</v>
      </c>
      <c r="E61" s="2070">
        <v>0</v>
      </c>
      <c r="F61" s="2070">
        <v>2.3903697334479789E-2</v>
      </c>
      <c r="G61" s="2070">
        <v>4.7807394668959592E-2</v>
      </c>
      <c r="H61" s="2070">
        <v>1.050902837489252</v>
      </c>
      <c r="I61" s="2070">
        <v>4.7807394668959592E-2</v>
      </c>
      <c r="J61" s="2070">
        <v>2.07798796216681</v>
      </c>
      <c r="K61" s="2070">
        <v>1.1323301805674975</v>
      </c>
      <c r="L61" s="2070">
        <v>1.2908856405846945</v>
      </c>
      <c r="M61" s="2070">
        <v>0.82166809974204635</v>
      </c>
      <c r="N61" s="2070">
        <v>12.503783319002576</v>
      </c>
      <c r="O61" s="2070">
        <v>2.5035253654342213</v>
      </c>
      <c r="P61" s="2070">
        <v>2.3803095442820297</v>
      </c>
      <c r="Q61" s="2070">
        <v>4.035339638865004</v>
      </c>
      <c r="R61" s="2070">
        <v>9.3780739466895948</v>
      </c>
      <c r="S61" s="2070">
        <v>9.9501289767841783</v>
      </c>
      <c r="T61" s="2070">
        <v>3.9513327601031811</v>
      </c>
      <c r="U61" s="2070">
        <v>5.534049871023214</v>
      </c>
      <c r="V61" s="2070">
        <v>9.1671539122957881</v>
      </c>
      <c r="W61" s="2070">
        <v>11.746775580395528</v>
      </c>
      <c r="X61" s="2070">
        <v>10.030954428202923</v>
      </c>
    </row>
    <row r="62" spans="1:24" ht="11.25" customHeight="1">
      <c r="A62" s="2074" t="s">
        <v>5815</v>
      </c>
      <c r="B62" s="2069" t="s">
        <v>5816</v>
      </c>
      <c r="C62" s="2070">
        <v>0.2149613069647463</v>
      </c>
      <c r="D62" s="2070">
        <v>0.35829750644883918</v>
      </c>
      <c r="E62" s="2070">
        <v>0.28658641444539978</v>
      </c>
      <c r="F62" s="2070">
        <v>0.52545141874462586</v>
      </c>
      <c r="G62" s="2070">
        <v>0.69269131556319863</v>
      </c>
      <c r="H62" s="2070">
        <v>0.16723989681857257</v>
      </c>
      <c r="I62" s="2070">
        <v>0.19114359415305238</v>
      </c>
      <c r="J62" s="2070">
        <v>0.21496130696474638</v>
      </c>
      <c r="K62" s="2070">
        <v>0.42992261392949271</v>
      </c>
      <c r="L62" s="2070">
        <v>0.40601891659501288</v>
      </c>
      <c r="M62" s="2070">
        <v>0.57317282889079957</v>
      </c>
      <c r="N62" s="2070">
        <v>0.42992261392949271</v>
      </c>
      <c r="O62" s="2070">
        <v>0.23886500429922619</v>
      </c>
      <c r="P62" s="2070">
        <v>0.16723989681857268</v>
      </c>
      <c r="Q62" s="2070">
        <v>0.11074806534823731</v>
      </c>
      <c r="R62" s="2070">
        <v>0.20361134995700769</v>
      </c>
      <c r="S62" s="2070">
        <v>0.871969045571797</v>
      </c>
      <c r="T62" s="2070">
        <v>1.778417884780739</v>
      </c>
      <c r="U62" s="2070">
        <v>6.7483233018056747</v>
      </c>
      <c r="V62" s="2070">
        <v>10.153654342218401</v>
      </c>
      <c r="W62" s="2070">
        <v>8.5772141014617365</v>
      </c>
      <c r="X62" s="2070">
        <v>9.534049871023214</v>
      </c>
    </row>
    <row r="63" spans="1:24" ht="11.25" customHeight="1">
      <c r="A63" s="2074" t="s">
        <v>5817</v>
      </c>
      <c r="B63" s="2069" t="s">
        <v>5818</v>
      </c>
      <c r="C63" s="2070">
        <v>0</v>
      </c>
      <c r="D63" s="2070">
        <v>0</v>
      </c>
      <c r="E63" s="2070">
        <v>0</v>
      </c>
      <c r="F63" s="2070">
        <v>0</v>
      </c>
      <c r="G63" s="2070">
        <v>0</v>
      </c>
      <c r="H63" s="2070">
        <v>0</v>
      </c>
      <c r="I63" s="2070">
        <v>0</v>
      </c>
      <c r="J63" s="2070">
        <v>0</v>
      </c>
      <c r="K63" s="2070">
        <v>0</v>
      </c>
      <c r="L63" s="2070">
        <v>0</v>
      </c>
      <c r="M63" s="2070">
        <v>2.5795356835769559E-3</v>
      </c>
      <c r="N63" s="2070">
        <v>0</v>
      </c>
      <c r="O63" s="2070">
        <v>0</v>
      </c>
      <c r="P63" s="2070">
        <v>0</v>
      </c>
      <c r="Q63" s="2070">
        <v>2.5795356835769559E-3</v>
      </c>
      <c r="R63" s="2070">
        <v>0</v>
      </c>
      <c r="S63" s="2070">
        <v>0</v>
      </c>
      <c r="T63" s="2070">
        <v>0</v>
      </c>
      <c r="U63" s="2070">
        <v>0</v>
      </c>
      <c r="V63" s="2070">
        <v>0</v>
      </c>
      <c r="W63" s="2070">
        <v>0</v>
      </c>
      <c r="X63" s="2070">
        <v>0</v>
      </c>
    </row>
    <row r="64" spans="1:24" ht="11.25" customHeight="1">
      <c r="A64" s="2074" t="s">
        <v>5819</v>
      </c>
      <c r="B64" s="2069" t="s">
        <v>5820</v>
      </c>
      <c r="C64" s="2070">
        <v>0</v>
      </c>
      <c r="D64" s="2070">
        <v>0</v>
      </c>
      <c r="E64" s="2070">
        <v>0</v>
      </c>
      <c r="F64" s="2070">
        <v>0</v>
      </c>
      <c r="G64" s="2070">
        <v>0</v>
      </c>
      <c r="H64" s="2070">
        <v>9.0283748925193454E-3</v>
      </c>
      <c r="I64" s="2070">
        <v>1.1006018916595009E-2</v>
      </c>
      <c r="J64" s="2070">
        <v>9.7162510748065346E-3</v>
      </c>
      <c r="K64" s="2070">
        <v>1.16079105760963E-2</v>
      </c>
      <c r="L64" s="2070">
        <v>6.878761822871883E-4</v>
      </c>
      <c r="M64" s="2070">
        <v>7.7386070507308681E-3</v>
      </c>
      <c r="N64" s="2070">
        <v>3.4049871023215821E-2</v>
      </c>
      <c r="O64" s="2070">
        <v>1.5391229578675839E-2</v>
      </c>
      <c r="P64" s="2070">
        <v>1.349957007738607E-2</v>
      </c>
      <c r="Q64" s="2070">
        <v>2.5795356835769559E-3</v>
      </c>
      <c r="R64" s="2070">
        <v>1.2897678417884779E-3</v>
      </c>
      <c r="S64" s="2070">
        <v>3.869303525365434E-3</v>
      </c>
      <c r="T64" s="2070">
        <v>1.332760103181427E-2</v>
      </c>
      <c r="U64" s="2070">
        <v>3.112639724849527E-2</v>
      </c>
      <c r="V64" s="2070">
        <v>1.9002579535683579E-2</v>
      </c>
      <c r="W64" s="2070">
        <v>1.143594153052451E-2</v>
      </c>
      <c r="X64" s="2070">
        <v>1.461736887360275E-2</v>
      </c>
    </row>
    <row r="65" spans="1:24" ht="11.25" customHeight="1">
      <c r="A65" s="2074" t="s">
        <v>5821</v>
      </c>
      <c r="B65" s="2069" t="s">
        <v>5822</v>
      </c>
      <c r="C65" s="2070">
        <v>0</v>
      </c>
      <c r="D65" s="2070">
        <v>0</v>
      </c>
      <c r="E65" s="2070">
        <v>0</v>
      </c>
      <c r="F65" s="2070">
        <v>0</v>
      </c>
      <c r="G65" s="2070">
        <v>0</v>
      </c>
      <c r="H65" s="2070">
        <v>8.5984522785898529E-4</v>
      </c>
      <c r="I65" s="2070">
        <v>5.4170249355116077E-3</v>
      </c>
      <c r="J65" s="2070">
        <v>2.665520206362855E-3</v>
      </c>
      <c r="K65" s="2070">
        <v>2.665520206362855E-3</v>
      </c>
      <c r="L65" s="2070">
        <v>3.6113499570077381E-3</v>
      </c>
      <c r="M65" s="2070">
        <v>1.9690455717970769E-2</v>
      </c>
      <c r="N65" s="2070">
        <v>6.2768701633705926E-3</v>
      </c>
      <c r="O65" s="2070">
        <v>1.341358555460017E-2</v>
      </c>
      <c r="P65" s="2070">
        <v>1.702493551160791E-2</v>
      </c>
      <c r="Q65" s="2070">
        <v>9.0455717970765265E-2</v>
      </c>
      <c r="R65" s="2070">
        <v>0.12545141874462601</v>
      </c>
      <c r="S65" s="2070">
        <v>0.28220120378331898</v>
      </c>
      <c r="T65" s="2070">
        <v>1.004385210662081</v>
      </c>
      <c r="U65" s="2070">
        <v>1.004385210662081</v>
      </c>
      <c r="V65" s="2070">
        <v>0</v>
      </c>
      <c r="W65" s="2070">
        <v>0</v>
      </c>
      <c r="X65" s="2070">
        <v>0</v>
      </c>
    </row>
    <row r="66" spans="1:24" ht="11.25" customHeight="1">
      <c r="A66" s="2074" t="s">
        <v>5823</v>
      </c>
      <c r="B66" s="2069" t="s">
        <v>5824</v>
      </c>
      <c r="C66" s="2070">
        <v>0</v>
      </c>
      <c r="D66" s="2070">
        <v>0</v>
      </c>
      <c r="E66" s="2070">
        <v>0</v>
      </c>
      <c r="F66" s="2070">
        <v>0</v>
      </c>
      <c r="G66" s="2070">
        <v>0</v>
      </c>
      <c r="H66" s="2070">
        <v>7.9105760963026645E-3</v>
      </c>
      <c r="I66" s="2070">
        <v>5.2880481513327596E-2</v>
      </c>
      <c r="J66" s="2070">
        <v>9.7936371453138438E-2</v>
      </c>
      <c r="K66" s="2070">
        <v>0.12441960447119522</v>
      </c>
      <c r="L66" s="2070">
        <v>9.2605331040412714E-2</v>
      </c>
      <c r="M66" s="2070">
        <v>0.27454858125537401</v>
      </c>
      <c r="N66" s="2070">
        <v>0.10429922613929492</v>
      </c>
      <c r="O66" s="2070">
        <v>0.12932072226999142</v>
      </c>
      <c r="P66" s="2070">
        <v>0.17910576096302663</v>
      </c>
      <c r="Q66" s="2070">
        <v>1.2165950128976784</v>
      </c>
      <c r="R66" s="2070">
        <v>1.8015477214101461</v>
      </c>
      <c r="S66" s="2070">
        <v>1.8817712811693892</v>
      </c>
      <c r="T66" s="2070">
        <v>2.32871883061049</v>
      </c>
      <c r="U66" s="2070">
        <v>3.4272570937231297</v>
      </c>
      <c r="V66" s="2070">
        <v>3.2335339638865008</v>
      </c>
      <c r="W66" s="2070">
        <v>2.8269991401547716</v>
      </c>
      <c r="X66" s="2070">
        <v>3.1959587274290628</v>
      </c>
    </row>
    <row r="67" spans="1:24" ht="11.25" customHeight="1">
      <c r="A67" s="2074" t="s">
        <v>5825</v>
      </c>
      <c r="B67" s="2069" t="s">
        <v>5826</v>
      </c>
      <c r="C67" s="2070">
        <v>0</v>
      </c>
      <c r="D67" s="2070">
        <v>0</v>
      </c>
      <c r="E67" s="2070">
        <v>0</v>
      </c>
      <c r="F67" s="2070">
        <v>0</v>
      </c>
      <c r="G67" s="2070">
        <v>0</v>
      </c>
      <c r="H67" s="2070">
        <v>0</v>
      </c>
      <c r="I67" s="2070">
        <v>0</v>
      </c>
      <c r="J67" s="2070">
        <v>0</v>
      </c>
      <c r="K67" s="2070">
        <v>0</v>
      </c>
      <c r="L67" s="2070">
        <v>0</v>
      </c>
      <c r="M67" s="2070">
        <v>0</v>
      </c>
      <c r="N67" s="2070">
        <v>0</v>
      </c>
      <c r="O67" s="2070">
        <v>0</v>
      </c>
      <c r="P67" s="2070">
        <v>0</v>
      </c>
      <c r="Q67" s="2070">
        <v>0</v>
      </c>
      <c r="R67" s="2070">
        <v>0</v>
      </c>
      <c r="S67" s="2070">
        <v>0</v>
      </c>
      <c r="T67" s="2070">
        <v>0</v>
      </c>
      <c r="U67" s="2070">
        <v>0</v>
      </c>
      <c r="V67" s="2070">
        <v>0</v>
      </c>
      <c r="W67" s="2070">
        <v>0</v>
      </c>
      <c r="X67" s="2070">
        <v>0</v>
      </c>
    </row>
    <row r="68" spans="1:24" ht="11.25" customHeight="1">
      <c r="A68" s="2074" t="s">
        <v>5827</v>
      </c>
      <c r="B68" s="2069" t="s">
        <v>5828</v>
      </c>
      <c r="C68" s="2070">
        <v>0</v>
      </c>
      <c r="D68" s="2070">
        <v>0</v>
      </c>
      <c r="E68" s="2070">
        <v>0</v>
      </c>
      <c r="F68" s="2070">
        <v>0</v>
      </c>
      <c r="G68" s="2070">
        <v>0</v>
      </c>
      <c r="H68" s="2070">
        <v>0</v>
      </c>
      <c r="I68" s="2070">
        <v>0</v>
      </c>
      <c r="J68" s="2070">
        <v>0</v>
      </c>
      <c r="K68" s="2070">
        <v>0</v>
      </c>
      <c r="L68" s="2070">
        <v>0</v>
      </c>
      <c r="M68" s="2070">
        <v>0</v>
      </c>
      <c r="N68" s="2070">
        <v>0</v>
      </c>
      <c r="O68" s="2070">
        <v>0</v>
      </c>
      <c r="P68" s="2070">
        <v>0</v>
      </c>
      <c r="Q68" s="2070">
        <v>0</v>
      </c>
      <c r="R68" s="2070">
        <v>0</v>
      </c>
      <c r="S68" s="2070">
        <v>0</v>
      </c>
      <c r="T68" s="2070">
        <v>0</v>
      </c>
      <c r="U68" s="2070">
        <v>0</v>
      </c>
      <c r="V68" s="2070">
        <v>0</v>
      </c>
      <c r="W68" s="2070">
        <v>0</v>
      </c>
      <c r="X68" s="2070">
        <v>0</v>
      </c>
    </row>
    <row r="69" spans="1:24" ht="11.25" customHeight="1">
      <c r="A69" s="2074" t="s">
        <v>4619</v>
      </c>
      <c r="B69" s="2069" t="s">
        <v>5829</v>
      </c>
      <c r="C69" s="2070">
        <v>0</v>
      </c>
      <c r="D69" s="2070">
        <v>0</v>
      </c>
      <c r="E69" s="2070">
        <v>0</v>
      </c>
      <c r="F69" s="2070">
        <v>0.49036973344797941</v>
      </c>
      <c r="G69" s="2070">
        <v>0</v>
      </c>
      <c r="H69" s="2070">
        <v>1.284608770421324</v>
      </c>
      <c r="I69" s="2070">
        <v>0.86861564918314704</v>
      </c>
      <c r="J69" s="2070">
        <v>1.7247635425623391</v>
      </c>
      <c r="K69" s="2070">
        <v>2.906964746345658</v>
      </c>
      <c r="L69" s="2070">
        <v>4.6621668099742033</v>
      </c>
      <c r="M69" s="2070">
        <v>4.7305245055889928</v>
      </c>
      <c r="N69" s="2070">
        <v>2.1432502149613066</v>
      </c>
      <c r="O69" s="2070">
        <v>1.5437661220980226</v>
      </c>
      <c r="P69" s="2070">
        <v>2.8135855546001718</v>
      </c>
      <c r="Q69" s="2070">
        <v>2.4037833190025792</v>
      </c>
      <c r="R69" s="2070">
        <v>2.9028374892519349</v>
      </c>
      <c r="S69" s="2070">
        <v>3.3061049011177985</v>
      </c>
      <c r="T69" s="2070">
        <v>3.5512467755803954</v>
      </c>
      <c r="U69" s="2070">
        <v>3.0803955288048153</v>
      </c>
      <c r="V69" s="2070">
        <v>3.0256233877901972</v>
      </c>
      <c r="W69" s="2070">
        <v>2.2990541702493545</v>
      </c>
      <c r="X69" s="2070">
        <v>1.3650902837489249</v>
      </c>
    </row>
    <row r="70" spans="1:24" ht="11.25" customHeight="1">
      <c r="A70" s="2074" t="s">
        <v>5830</v>
      </c>
      <c r="B70" s="2069" t="s">
        <v>5831</v>
      </c>
      <c r="C70" s="2070">
        <v>2.2137104123222788</v>
      </c>
      <c r="D70" s="2070">
        <v>2.3164879297092438</v>
      </c>
      <c r="E70" s="2070">
        <v>2.4708041112037655</v>
      </c>
      <c r="F70" s="2070">
        <v>2.5930549131242566</v>
      </c>
      <c r="G70" s="2070">
        <v>2.618079849085043</v>
      </c>
      <c r="H70" s="2070">
        <v>2.9558181715497533</v>
      </c>
      <c r="I70" s="2070">
        <v>3.4343846638702367</v>
      </c>
      <c r="J70" s="2070">
        <v>3.5733029349115544</v>
      </c>
      <c r="K70" s="2070">
        <v>4.0476332109483089</v>
      </c>
      <c r="L70" s="2070">
        <v>4.6051484426288507</v>
      </c>
      <c r="M70" s="2070">
        <v>5.0258851322671081</v>
      </c>
      <c r="N70" s="2070">
        <v>5.0455017420202353</v>
      </c>
      <c r="O70" s="2070">
        <v>5.4057121086755711</v>
      </c>
      <c r="P70" s="2070">
        <v>5.5806951099705149</v>
      </c>
      <c r="Q70" s="2070">
        <v>10.835835600797875</v>
      </c>
      <c r="R70" s="2070">
        <v>12.718897314304179</v>
      </c>
      <c r="S70" s="2070">
        <v>13.191883281361985</v>
      </c>
      <c r="T70" s="2070">
        <v>14.321952293450179</v>
      </c>
      <c r="U70" s="2070">
        <v>17.085677423788294</v>
      </c>
      <c r="V70" s="2070">
        <v>18.958499404677251</v>
      </c>
      <c r="W70" s="2070">
        <v>20.515830126286676</v>
      </c>
      <c r="X70" s="2070">
        <v>22.532683637700192</v>
      </c>
    </row>
    <row r="71" spans="1:24" ht="11.25" customHeight="1">
      <c r="A71" s="2071" t="s">
        <v>5832</v>
      </c>
      <c r="B71" s="2072" t="s">
        <v>5833</v>
      </c>
      <c r="C71" s="2073">
        <v>1.6957867583834907</v>
      </c>
      <c r="D71" s="2073">
        <v>1.8869303525365433</v>
      </c>
      <c r="E71" s="2073">
        <v>4.1320722269991403</v>
      </c>
      <c r="F71" s="2073">
        <v>2.2929492691315558</v>
      </c>
      <c r="G71" s="2073">
        <v>1.3136715391229579</v>
      </c>
      <c r="H71" s="2073">
        <v>2.2525365434221838</v>
      </c>
      <c r="I71" s="2073">
        <v>2.1329320722269993</v>
      </c>
      <c r="J71" s="2073">
        <v>2.4671539122957862</v>
      </c>
      <c r="K71" s="2073">
        <v>2.7733447979363715</v>
      </c>
      <c r="L71" s="2073">
        <v>0.60765262252794483</v>
      </c>
      <c r="M71" s="2073">
        <v>0.86758383490971613</v>
      </c>
      <c r="N71" s="2073">
        <v>1.3235597592433361</v>
      </c>
      <c r="O71" s="2073">
        <v>1.1368013757523645</v>
      </c>
      <c r="P71" s="2073">
        <v>1.0942390369733448</v>
      </c>
      <c r="Q71" s="2073">
        <v>1.5907136715391228</v>
      </c>
      <c r="R71" s="2073">
        <v>3.8970765262252787</v>
      </c>
      <c r="S71" s="2073">
        <v>5.2417884780739463</v>
      </c>
      <c r="T71" s="2073">
        <v>6.0649183147033536</v>
      </c>
      <c r="U71" s="2073">
        <v>11.316595012897677</v>
      </c>
      <c r="V71" s="2073">
        <v>13.479105760963026</v>
      </c>
      <c r="W71" s="2073">
        <v>12.168013757523644</v>
      </c>
      <c r="X71" s="2073">
        <v>11.064144453998278</v>
      </c>
    </row>
    <row r="72" spans="1:24" ht="11.25" customHeight="1">
      <c r="A72" s="2074" t="s">
        <v>5834</v>
      </c>
      <c r="B72" s="2069" t="s">
        <v>5835</v>
      </c>
      <c r="C72" s="2070">
        <v>1.5047291487532242</v>
      </c>
      <c r="D72" s="2070">
        <v>1.6003439380911435</v>
      </c>
      <c r="E72" s="2070">
        <v>3.8932072226999144</v>
      </c>
      <c r="F72" s="2070">
        <v>1.8630266552020631</v>
      </c>
      <c r="G72" s="2070">
        <v>0.74041272570937233</v>
      </c>
      <c r="H72" s="2070">
        <v>2.1092003439380909</v>
      </c>
      <c r="I72" s="2070">
        <v>1.9656921754084264</v>
      </c>
      <c r="J72" s="2070">
        <v>2.2521926053310399</v>
      </c>
      <c r="K72" s="2070">
        <v>2.4150472914875323</v>
      </c>
      <c r="L72" s="2070">
        <v>0.27325881341358549</v>
      </c>
      <c r="M72" s="2070">
        <v>0.38993981083404977</v>
      </c>
      <c r="N72" s="2070">
        <v>0.94135855546001712</v>
      </c>
      <c r="O72" s="2070">
        <v>0.92184006878761815</v>
      </c>
      <c r="P72" s="2070">
        <v>0.9030954428202923</v>
      </c>
      <c r="Q72" s="2070">
        <v>1.4423043852106618</v>
      </c>
      <c r="R72" s="2070">
        <v>3.6199484092863279</v>
      </c>
      <c r="S72" s="2070">
        <v>4.8007738607050729</v>
      </c>
      <c r="T72" s="2070">
        <v>4.8582115219260533</v>
      </c>
      <c r="U72" s="2070">
        <v>5.2110060189165948</v>
      </c>
      <c r="V72" s="2070">
        <v>3.9604471195184856</v>
      </c>
      <c r="W72" s="2070">
        <v>4.2404987102321572</v>
      </c>
      <c r="X72" s="2070">
        <v>2.152020636285469</v>
      </c>
    </row>
    <row r="73" spans="1:24" ht="11.25" customHeight="1">
      <c r="A73" s="2074" t="s">
        <v>5836</v>
      </c>
      <c r="B73" s="2069" t="s">
        <v>5837</v>
      </c>
      <c r="C73" s="2070">
        <v>0.19105760963026661</v>
      </c>
      <c r="D73" s="2070">
        <v>0.28658641444539978</v>
      </c>
      <c r="E73" s="2070">
        <v>0.23886500429922611</v>
      </c>
      <c r="F73" s="2070">
        <v>0.42992261392949271</v>
      </c>
      <c r="G73" s="2070">
        <v>0.57325881341358553</v>
      </c>
      <c r="H73" s="2070">
        <v>0.14333619948409287</v>
      </c>
      <c r="I73" s="2070">
        <v>0.16723989681857268</v>
      </c>
      <c r="J73" s="2070">
        <v>0.21496130696474625</v>
      </c>
      <c r="K73" s="2070">
        <v>0.35829750644883918</v>
      </c>
      <c r="L73" s="2070">
        <v>0.3343938091143594</v>
      </c>
      <c r="M73" s="2070">
        <v>0.47764402407566636</v>
      </c>
      <c r="N73" s="2070">
        <v>0.38220120378331901</v>
      </c>
      <c r="O73" s="2070">
        <v>0.21496130696474636</v>
      </c>
      <c r="P73" s="2070">
        <v>0.19114359415305246</v>
      </c>
      <c r="Q73" s="2070">
        <v>0.14840928632846087</v>
      </c>
      <c r="R73" s="2070">
        <v>0.2771281169389509</v>
      </c>
      <c r="S73" s="2070">
        <v>0.44101461736887354</v>
      </c>
      <c r="T73" s="2070">
        <v>1.2067067927772999</v>
      </c>
      <c r="U73" s="2070">
        <v>6.1055889939810823</v>
      </c>
      <c r="V73" s="2070">
        <v>9.5186586414445404</v>
      </c>
      <c r="W73" s="2070">
        <v>7.9275150472914868</v>
      </c>
      <c r="X73" s="2070">
        <v>8.9121238177128088</v>
      </c>
    </row>
    <row r="74" spans="1:24" ht="11.25" customHeight="1">
      <c r="A74" s="2071" t="s">
        <v>4616</v>
      </c>
      <c r="B74" s="2072" t="s">
        <v>5838</v>
      </c>
      <c r="C74" s="2073">
        <v>0</v>
      </c>
      <c r="D74" s="2073">
        <v>0</v>
      </c>
      <c r="E74" s="2073">
        <v>0</v>
      </c>
      <c r="F74" s="2073">
        <v>0</v>
      </c>
      <c r="G74" s="2073">
        <v>0</v>
      </c>
      <c r="H74" s="2073">
        <v>0</v>
      </c>
      <c r="I74" s="2073">
        <v>0</v>
      </c>
      <c r="J74" s="2073">
        <v>0</v>
      </c>
      <c r="K74" s="2073">
        <v>0</v>
      </c>
      <c r="L74" s="2073">
        <v>0</v>
      </c>
      <c r="M74" s="2073">
        <v>0</v>
      </c>
      <c r="N74" s="2073">
        <v>0</v>
      </c>
      <c r="O74" s="2073">
        <v>0</v>
      </c>
      <c r="P74" s="2073">
        <v>0</v>
      </c>
      <c r="Q74" s="2073">
        <v>0</v>
      </c>
      <c r="R74" s="2073">
        <v>0</v>
      </c>
      <c r="S74" s="2073">
        <v>0</v>
      </c>
      <c r="T74" s="2073">
        <v>0</v>
      </c>
      <c r="U74" s="2073">
        <v>0</v>
      </c>
      <c r="V74" s="2073">
        <v>0</v>
      </c>
      <c r="W74" s="2073">
        <v>0</v>
      </c>
      <c r="X74" s="2073">
        <v>0</v>
      </c>
    </row>
    <row r="75" spans="1:24" ht="11.25" customHeight="1">
      <c r="A75" s="2071" t="s">
        <v>4671</v>
      </c>
      <c r="B75" s="2072" t="s">
        <v>5839</v>
      </c>
      <c r="C75" s="2073">
        <v>379.41461736887356</v>
      </c>
      <c r="D75" s="2073">
        <v>418.51298366294066</v>
      </c>
      <c r="E75" s="2073">
        <v>353.82459157351673</v>
      </c>
      <c r="F75" s="2073">
        <v>862.38056749785039</v>
      </c>
      <c r="G75" s="2073">
        <v>769.98134135855548</v>
      </c>
      <c r="H75" s="2073">
        <v>744.45313843508154</v>
      </c>
      <c r="I75" s="2073">
        <v>560.17179707652622</v>
      </c>
      <c r="J75" s="2073">
        <v>628.23465176268269</v>
      </c>
      <c r="K75" s="2073">
        <v>701.07067927772982</v>
      </c>
      <c r="L75" s="2073">
        <v>673.92459157351664</v>
      </c>
      <c r="M75" s="2073">
        <v>721.92037833190011</v>
      </c>
      <c r="N75" s="2073">
        <v>671.11255374032658</v>
      </c>
      <c r="O75" s="2073">
        <v>698.32846087704195</v>
      </c>
      <c r="P75" s="2073">
        <v>630.50455717970772</v>
      </c>
      <c r="Q75" s="2073">
        <v>584.18271711091984</v>
      </c>
      <c r="R75" s="2073">
        <v>539.34187446259671</v>
      </c>
      <c r="S75" s="2073">
        <v>577.46852966466054</v>
      </c>
      <c r="T75" s="2073">
        <v>587.07807394668953</v>
      </c>
      <c r="U75" s="2073">
        <v>578.02321582115212</v>
      </c>
      <c r="V75" s="2073">
        <v>608.01298366294077</v>
      </c>
      <c r="W75" s="2073">
        <v>651.34686156491819</v>
      </c>
      <c r="X75" s="2073">
        <v>666.85038693035256</v>
      </c>
    </row>
    <row r="76" spans="1:24" ht="11.25" customHeight="1">
      <c r="A76" s="2075" t="s">
        <v>4282</v>
      </c>
      <c r="B76" s="2076" t="s">
        <v>5840</v>
      </c>
      <c r="C76" s="2077">
        <v>6855.7367153912301</v>
      </c>
      <c r="D76" s="2077">
        <v>7020.6741186586387</v>
      </c>
      <c r="E76" s="2077">
        <v>7054.9274290627664</v>
      </c>
      <c r="F76" s="2077">
        <v>8354.5305245055879</v>
      </c>
      <c r="G76" s="2077">
        <v>8470.405159071368</v>
      </c>
      <c r="H76" s="2077">
        <v>8446.0717970765272</v>
      </c>
      <c r="I76" s="2077">
        <v>8737.3661220980193</v>
      </c>
      <c r="J76" s="2077">
        <v>8880.7789337919166</v>
      </c>
      <c r="K76" s="2077">
        <v>10070.414445399831</v>
      </c>
      <c r="L76" s="2077">
        <v>8378.2895958727422</v>
      </c>
      <c r="M76" s="2077">
        <v>9291.9269991401561</v>
      </c>
      <c r="N76" s="2077">
        <v>9361.1988822012045</v>
      </c>
      <c r="O76" s="2077">
        <v>9275.6434221840082</v>
      </c>
      <c r="P76" s="2077">
        <v>9369.9217540842637</v>
      </c>
      <c r="Q76" s="2077">
        <v>9528.8138435081673</v>
      </c>
      <c r="R76" s="2077">
        <v>9083.6521066208097</v>
      </c>
      <c r="S76" s="2077">
        <v>9151.6702493551147</v>
      </c>
      <c r="T76" s="2077">
        <v>9444.4773860705045</v>
      </c>
      <c r="U76" s="2077">
        <v>9606.7830610490091</v>
      </c>
      <c r="V76" s="2077">
        <v>9529.5537403267372</v>
      </c>
      <c r="W76" s="2077">
        <v>8723.5880481513341</v>
      </c>
      <c r="X76" s="2077">
        <v>9396.4006018916589</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42B1E-8E09-4A33-9301-075C74DB9C3B}">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baseColWidth="10" defaultColWidth="9.1640625" defaultRowHeight="11.25" customHeight="1"/>
  <cols>
    <col min="1" max="1" width="40.6640625" style="2059" bestFit="1" customWidth="1"/>
    <col min="2" max="2" width="16.1640625" style="2059" bestFit="1" customWidth="1"/>
    <col min="3" max="24" width="9.6640625" style="2059" customWidth="1"/>
    <col min="25" max="16384" width="9.1640625" style="2059"/>
  </cols>
  <sheetData>
    <row r="1" spans="1:24" ht="11.25" customHeight="1">
      <c r="A1" s="2057" t="s">
        <v>5855</v>
      </c>
      <c r="B1" s="2057" t="s">
        <v>5856</v>
      </c>
      <c r="C1" s="2058">
        <v>2000</v>
      </c>
      <c r="D1" s="2058">
        <v>2001</v>
      </c>
      <c r="E1" s="2058">
        <v>2002</v>
      </c>
      <c r="F1" s="2058">
        <v>2003</v>
      </c>
      <c r="G1" s="2058">
        <v>2004</v>
      </c>
      <c r="H1" s="2058">
        <v>2005</v>
      </c>
      <c r="I1" s="2058">
        <v>2006</v>
      </c>
      <c r="J1" s="2058">
        <v>2007</v>
      </c>
      <c r="K1" s="2058">
        <v>2008</v>
      </c>
      <c r="L1" s="2058">
        <v>2009</v>
      </c>
      <c r="M1" s="2058">
        <v>2010</v>
      </c>
      <c r="N1" s="2058">
        <v>2011</v>
      </c>
      <c r="O1" s="2058">
        <v>2012</v>
      </c>
      <c r="P1" s="2058">
        <v>2013</v>
      </c>
      <c r="Q1" s="2058">
        <v>2014</v>
      </c>
      <c r="R1" s="2058">
        <v>2015</v>
      </c>
      <c r="S1" s="2058">
        <v>2016</v>
      </c>
      <c r="T1" s="2058">
        <v>2017</v>
      </c>
      <c r="U1" s="2058">
        <v>2018</v>
      </c>
      <c r="V1" s="2058">
        <v>2019</v>
      </c>
      <c r="W1" s="2058">
        <v>2020</v>
      </c>
      <c r="X1" s="2058">
        <v>2021</v>
      </c>
    </row>
    <row r="2" spans="1:24" ht="11.25" customHeight="1">
      <c r="A2" s="2060" t="s">
        <v>1265</v>
      </c>
      <c r="B2" s="2060" t="s">
        <v>5738</v>
      </c>
      <c r="C2" s="2061">
        <v>9756.8662398830947</v>
      </c>
      <c r="D2" s="2061">
        <v>9639.1340192065236</v>
      </c>
      <c r="E2" s="2061">
        <v>9577.9514878856553</v>
      </c>
      <c r="F2" s="2061">
        <v>9479.1234255713989</v>
      </c>
      <c r="G2" s="2061">
        <v>8837.7845369247043</v>
      </c>
      <c r="H2" s="2061">
        <v>7195.1620461023522</v>
      </c>
      <c r="I2" s="2061">
        <v>6577.9182499998969</v>
      </c>
      <c r="J2" s="2061">
        <v>5987.7417663941942</v>
      </c>
      <c r="K2" s="2061">
        <v>5302.7821912963345</v>
      </c>
      <c r="L2" s="2061">
        <v>4491.0012738593714</v>
      </c>
      <c r="M2" s="2061">
        <v>4438.2117314182751</v>
      </c>
      <c r="N2" s="2061">
        <v>4203.9990079951294</v>
      </c>
      <c r="O2" s="2061">
        <v>3998.9402781878398</v>
      </c>
      <c r="P2" s="2061">
        <v>3858.8471079985643</v>
      </c>
      <c r="Q2" s="2061">
        <v>3713.952911655902</v>
      </c>
      <c r="R2" s="2061">
        <v>3698.6624453949726</v>
      </c>
      <c r="S2" s="2061">
        <v>3691.6152720225873</v>
      </c>
      <c r="T2" s="2061">
        <v>3718.8140354366369</v>
      </c>
      <c r="U2" s="2061">
        <v>3698.3110142804039</v>
      </c>
      <c r="V2" s="2061">
        <v>3612.7445365838248</v>
      </c>
      <c r="W2" s="2061">
        <v>3216.7386299486652</v>
      </c>
      <c r="X2" s="2061">
        <v>3385.3200318119311</v>
      </c>
    </row>
    <row r="3" spans="1:24" ht="11.25" customHeight="1">
      <c r="A3" s="2062" t="s">
        <v>5739</v>
      </c>
      <c r="B3" s="2063" t="s">
        <v>5740</v>
      </c>
      <c r="C3" s="2064">
        <v>317.79337919174543</v>
      </c>
      <c r="D3" s="2064">
        <v>263.42889079965602</v>
      </c>
      <c r="E3" s="2064">
        <v>237.02295786758381</v>
      </c>
      <c r="F3" s="2064">
        <v>189.5333619948409</v>
      </c>
      <c r="G3" s="2064">
        <v>172.61306964746345</v>
      </c>
      <c r="H3" s="2064">
        <v>139.5591573516767</v>
      </c>
      <c r="I3" s="2064">
        <v>113.26766981943248</v>
      </c>
      <c r="J3" s="2064">
        <v>90.632588134135858</v>
      </c>
      <c r="K3" s="2064">
        <v>74.095614789337915</v>
      </c>
      <c r="L3" s="2064">
        <v>41.681427343078226</v>
      </c>
      <c r="M3" s="2064">
        <v>38.413671539122952</v>
      </c>
      <c r="N3" s="2064">
        <v>27.119518486672405</v>
      </c>
      <c r="O3" s="2064">
        <v>21.739122957867583</v>
      </c>
      <c r="P3" s="2064">
        <v>24.51375752364574</v>
      </c>
      <c r="Q3" s="2064">
        <v>21.864230438521062</v>
      </c>
      <c r="R3" s="2064">
        <v>21.684780739466895</v>
      </c>
      <c r="S3" s="2064">
        <v>20.531556319862425</v>
      </c>
      <c r="T3" s="2064">
        <v>17.228288907996561</v>
      </c>
      <c r="U3" s="2064">
        <v>30.52932072226999</v>
      </c>
      <c r="V3" s="2064">
        <v>28.908512467755799</v>
      </c>
      <c r="W3" s="2064">
        <v>21.074978503869303</v>
      </c>
      <c r="X3" s="2064">
        <v>14.493723129836628</v>
      </c>
    </row>
    <row r="4" spans="1:24" ht="11.25" customHeight="1">
      <c r="A4" s="2065" t="s">
        <v>5741</v>
      </c>
      <c r="B4" s="2066" t="s">
        <v>5742</v>
      </c>
      <c r="C4" s="2067">
        <v>230.23000859845223</v>
      </c>
      <c r="D4" s="2067">
        <v>223.44617368873597</v>
      </c>
      <c r="E4" s="2067">
        <v>178.40309544282027</v>
      </c>
      <c r="F4" s="2067">
        <v>154.42321582115218</v>
      </c>
      <c r="G4" s="2067">
        <v>137.55468615649184</v>
      </c>
      <c r="H4" s="2067">
        <v>108.69251934651763</v>
      </c>
      <c r="I4" s="2067">
        <v>85.086414445399811</v>
      </c>
      <c r="J4" s="2067">
        <v>71.432588134135855</v>
      </c>
      <c r="K4" s="2067">
        <v>60.250300945829743</v>
      </c>
      <c r="L4" s="2067">
        <v>37.571281169389493</v>
      </c>
      <c r="M4" s="2067">
        <v>34.557867583834906</v>
      </c>
      <c r="N4" s="2067">
        <v>22.800000000000004</v>
      </c>
      <c r="O4" s="2067">
        <v>18.644368013757521</v>
      </c>
      <c r="P4" s="2067">
        <v>21.136973344797934</v>
      </c>
      <c r="Q4" s="2067">
        <v>19.053482373172827</v>
      </c>
      <c r="R4" s="2067">
        <v>19.1603611349957</v>
      </c>
      <c r="S4" s="2067">
        <v>16.538779019776442</v>
      </c>
      <c r="T4" s="2067">
        <v>13.751676698194323</v>
      </c>
      <c r="U4" s="2067">
        <v>27.547463456577816</v>
      </c>
      <c r="V4" s="2067">
        <v>26.280825451418739</v>
      </c>
      <c r="W4" s="2067">
        <v>19.545571797076526</v>
      </c>
      <c r="X4" s="2067">
        <v>13.755803955288046</v>
      </c>
    </row>
    <row r="5" spans="1:24" ht="11.25" customHeight="1">
      <c r="A5" s="2068" t="s">
        <v>4613</v>
      </c>
      <c r="B5" s="2069" t="s">
        <v>5743</v>
      </c>
      <c r="C5" s="2070">
        <v>0.69982803095442814</v>
      </c>
      <c r="D5" s="2070">
        <v>0.69982803095442814</v>
      </c>
      <c r="E5" s="2070">
        <v>1.3996560619088561</v>
      </c>
      <c r="F5" s="2070">
        <v>0.69982803095442814</v>
      </c>
      <c r="G5" s="2070">
        <v>0</v>
      </c>
      <c r="H5" s="2070">
        <v>1.3996560619088561</v>
      </c>
      <c r="I5" s="2070">
        <v>0.69982803095442814</v>
      </c>
      <c r="J5" s="2070">
        <v>0</v>
      </c>
      <c r="K5" s="2070">
        <v>5.7201203783319006</v>
      </c>
      <c r="L5" s="2070">
        <v>2.4060189165950132</v>
      </c>
      <c r="M5" s="2070">
        <v>0</v>
      </c>
      <c r="N5" s="2070">
        <v>0</v>
      </c>
      <c r="O5" s="2070">
        <v>0</v>
      </c>
      <c r="P5" s="2070">
        <v>0.7</v>
      </c>
      <c r="Q5" s="2070">
        <v>0.71186586414445396</v>
      </c>
      <c r="R5" s="2070">
        <v>0.70240756663800519</v>
      </c>
      <c r="S5" s="2070">
        <v>0.71401547721410141</v>
      </c>
      <c r="T5" s="2070">
        <v>0.43258813413585551</v>
      </c>
      <c r="U5" s="2070">
        <v>0.32373172828890801</v>
      </c>
      <c r="V5" s="2070">
        <v>0.45374032674118658</v>
      </c>
      <c r="W5" s="2070">
        <v>1.702493551160791E-2</v>
      </c>
      <c r="X5" s="2070">
        <v>1.031814273430782E-2</v>
      </c>
    </row>
    <row r="6" spans="1:24" ht="11.25" customHeight="1">
      <c r="A6" s="2068" t="s">
        <v>4647</v>
      </c>
      <c r="B6" s="2069" t="s">
        <v>5744</v>
      </c>
      <c r="C6" s="2070">
        <v>0</v>
      </c>
      <c r="D6" s="2070">
        <v>0</v>
      </c>
      <c r="E6" s="2070">
        <v>0</v>
      </c>
      <c r="F6" s="2070">
        <v>0</v>
      </c>
      <c r="G6" s="2070">
        <v>0</v>
      </c>
      <c r="H6" s="2070">
        <v>0</v>
      </c>
      <c r="I6" s="2070">
        <v>0</v>
      </c>
      <c r="J6" s="2070">
        <v>0</v>
      </c>
      <c r="K6" s="2070">
        <v>0.70283748925193457</v>
      </c>
      <c r="L6" s="2070">
        <v>0.7062768701633706</v>
      </c>
      <c r="M6" s="2070">
        <v>0</v>
      </c>
      <c r="N6" s="2070">
        <v>0</v>
      </c>
      <c r="O6" s="2070">
        <v>0</v>
      </c>
      <c r="P6" s="2070">
        <v>0</v>
      </c>
      <c r="Q6" s="2070">
        <v>0</v>
      </c>
      <c r="R6" s="2070">
        <v>0</v>
      </c>
      <c r="S6" s="2070">
        <v>0</v>
      </c>
      <c r="T6" s="2070">
        <v>0</v>
      </c>
      <c r="U6" s="2070">
        <v>0</v>
      </c>
      <c r="V6" s="2070">
        <v>0</v>
      </c>
      <c r="W6" s="2070">
        <v>0</v>
      </c>
      <c r="X6" s="2070">
        <v>0</v>
      </c>
    </row>
    <row r="7" spans="1:24" ht="11.25" customHeight="1">
      <c r="A7" s="2068" t="s">
        <v>4648</v>
      </c>
      <c r="B7" s="2069" t="s">
        <v>5745</v>
      </c>
      <c r="C7" s="2070">
        <v>229.53018056749781</v>
      </c>
      <c r="D7" s="2070">
        <v>222.74634565778155</v>
      </c>
      <c r="E7" s="2070">
        <v>177.00343938091143</v>
      </c>
      <c r="F7" s="2070">
        <v>153.72338779019776</v>
      </c>
      <c r="G7" s="2070">
        <v>137.55468615649184</v>
      </c>
      <c r="H7" s="2070">
        <v>107.29286328460877</v>
      </c>
      <c r="I7" s="2070">
        <v>84.386586414445389</v>
      </c>
      <c r="J7" s="2070">
        <v>71.432588134135855</v>
      </c>
      <c r="K7" s="2070">
        <v>53.82734307824591</v>
      </c>
      <c r="L7" s="2070">
        <v>34.458985382631113</v>
      </c>
      <c r="M7" s="2070">
        <v>34.557867583834906</v>
      </c>
      <c r="N7" s="2070">
        <v>22.800000000000004</v>
      </c>
      <c r="O7" s="2070">
        <v>18.644368013757521</v>
      </c>
      <c r="P7" s="2070">
        <v>20.436973344797934</v>
      </c>
      <c r="Q7" s="2070">
        <v>18.341616509028373</v>
      </c>
      <c r="R7" s="2070">
        <v>18.457953568357695</v>
      </c>
      <c r="S7" s="2070">
        <v>15.824763542562339</v>
      </c>
      <c r="T7" s="2070">
        <v>13.319088564058468</v>
      </c>
      <c r="U7" s="2070">
        <v>27.223731728288907</v>
      </c>
      <c r="V7" s="2070">
        <v>25.827085124677552</v>
      </c>
      <c r="W7" s="2070">
        <v>19.528546861564919</v>
      </c>
      <c r="X7" s="2070">
        <v>13.745485812553738</v>
      </c>
    </row>
    <row r="8" spans="1:24" ht="11.25" customHeight="1">
      <c r="A8" s="2065" t="s">
        <v>5746</v>
      </c>
      <c r="B8" s="2066" t="s">
        <v>5747</v>
      </c>
      <c r="C8" s="2067">
        <v>84.37764402407565</v>
      </c>
      <c r="D8" s="2067">
        <v>36.368873602751499</v>
      </c>
      <c r="E8" s="2067">
        <v>35.175752364574379</v>
      </c>
      <c r="F8" s="2067">
        <v>32.039380911435941</v>
      </c>
      <c r="G8" s="2067">
        <v>33.740670679277727</v>
      </c>
      <c r="H8" s="2067">
        <v>29.798022355975913</v>
      </c>
      <c r="I8" s="2067">
        <v>27.507738607050729</v>
      </c>
      <c r="J8" s="2067">
        <v>18.522699914015472</v>
      </c>
      <c r="K8" s="2067">
        <v>13.170077386070506</v>
      </c>
      <c r="L8" s="2067">
        <v>4.0922613929492684</v>
      </c>
      <c r="M8" s="2067">
        <v>3.8558039552880481</v>
      </c>
      <c r="N8" s="2067">
        <v>3.7601891659501292</v>
      </c>
      <c r="O8" s="2067">
        <v>3.0947549441100599</v>
      </c>
      <c r="P8" s="2067">
        <v>3.3767841788478075</v>
      </c>
      <c r="Q8" s="2067">
        <v>2.8107480653482373</v>
      </c>
      <c r="R8" s="2067">
        <v>2.5244196044711953</v>
      </c>
      <c r="S8" s="2067">
        <v>3.9927773000859839</v>
      </c>
      <c r="T8" s="2067">
        <v>3.4193465176268267</v>
      </c>
      <c r="U8" s="2067">
        <v>2.8364574376612213</v>
      </c>
      <c r="V8" s="2067">
        <v>2.5654342218400683</v>
      </c>
      <c r="W8" s="2067">
        <v>1.505503009458298</v>
      </c>
      <c r="X8" s="2067">
        <v>0.64273430782459162</v>
      </c>
    </row>
    <row r="9" spans="1:24" ht="11.25" customHeight="1">
      <c r="A9" s="2068" t="s">
        <v>4649</v>
      </c>
      <c r="B9" s="2069" t="s">
        <v>5748</v>
      </c>
      <c r="C9" s="2070">
        <v>0</v>
      </c>
      <c r="D9" s="2070">
        <v>0.54230438521066204</v>
      </c>
      <c r="E9" s="2070">
        <v>1.5454858125537401</v>
      </c>
      <c r="F9" s="2070">
        <v>0.54230438521066204</v>
      </c>
      <c r="G9" s="2070">
        <v>1.0846087704213241</v>
      </c>
      <c r="H9" s="2070">
        <v>1.0846087704213241</v>
      </c>
      <c r="I9" s="2070">
        <v>1.0846087704213241</v>
      </c>
      <c r="J9" s="2070">
        <v>0.54230438521066204</v>
      </c>
      <c r="K9" s="2070">
        <v>0.54230438521066204</v>
      </c>
      <c r="L9" s="2070">
        <v>0</v>
      </c>
      <c r="M9" s="2070">
        <v>0</v>
      </c>
      <c r="N9" s="2070">
        <v>0</v>
      </c>
      <c r="O9" s="2070">
        <v>0</v>
      </c>
      <c r="P9" s="2070">
        <v>0</v>
      </c>
      <c r="Q9" s="2070">
        <v>0</v>
      </c>
      <c r="R9" s="2070">
        <v>0</v>
      </c>
      <c r="S9" s="2070">
        <v>0</v>
      </c>
      <c r="T9" s="2070">
        <v>0</v>
      </c>
      <c r="U9" s="2070">
        <v>0</v>
      </c>
      <c r="V9" s="2070">
        <v>0</v>
      </c>
      <c r="W9" s="2070">
        <v>0</v>
      </c>
      <c r="X9" s="2070">
        <v>0</v>
      </c>
    </row>
    <row r="10" spans="1:24" ht="11.25" customHeight="1">
      <c r="A10" s="2068" t="s">
        <v>4290</v>
      </c>
      <c r="B10" s="2069" t="s">
        <v>5749</v>
      </c>
      <c r="C10" s="2070">
        <v>84.37764402407565</v>
      </c>
      <c r="D10" s="2070">
        <v>35.826569217540836</v>
      </c>
      <c r="E10" s="2070">
        <v>33.630266552020636</v>
      </c>
      <c r="F10" s="2070">
        <v>31.497076526225278</v>
      </c>
      <c r="G10" s="2070">
        <v>32.656061908856401</v>
      </c>
      <c r="H10" s="2070">
        <v>28.713413585554591</v>
      </c>
      <c r="I10" s="2070">
        <v>26.423129836629407</v>
      </c>
      <c r="J10" s="2070">
        <v>17.980395528804809</v>
      </c>
      <c r="K10" s="2070">
        <v>12.627773000859845</v>
      </c>
      <c r="L10" s="2070">
        <v>4.0922613929492684</v>
      </c>
      <c r="M10" s="2070">
        <v>3.8558039552880481</v>
      </c>
      <c r="N10" s="2070">
        <v>3.7601891659501292</v>
      </c>
      <c r="O10" s="2070">
        <v>3.0947549441100599</v>
      </c>
      <c r="P10" s="2070">
        <v>3.3767841788478075</v>
      </c>
      <c r="Q10" s="2070">
        <v>2.8107480653482373</v>
      </c>
      <c r="R10" s="2070">
        <v>2.5244196044711953</v>
      </c>
      <c r="S10" s="2070">
        <v>3.9927773000859839</v>
      </c>
      <c r="T10" s="2070">
        <v>3.4193465176268267</v>
      </c>
      <c r="U10" s="2070">
        <v>2.8364574376612213</v>
      </c>
      <c r="V10" s="2070">
        <v>2.5654342218400683</v>
      </c>
      <c r="W10" s="2070">
        <v>1.505503009458298</v>
      </c>
      <c r="X10" s="2070">
        <v>0.64273430782459162</v>
      </c>
    </row>
    <row r="11" spans="1:24" ht="11.25" customHeight="1">
      <c r="A11" s="2065" t="s">
        <v>5750</v>
      </c>
      <c r="B11" s="2066" t="s">
        <v>5751</v>
      </c>
      <c r="C11" s="2067">
        <v>3.1857265692175405</v>
      </c>
      <c r="D11" s="2067">
        <v>3.6138435081685296</v>
      </c>
      <c r="E11" s="2067">
        <v>23.444110060189164</v>
      </c>
      <c r="F11" s="2067">
        <v>3.0707652622527948</v>
      </c>
      <c r="G11" s="2067">
        <v>1.317712811693895</v>
      </c>
      <c r="H11" s="2067">
        <v>1.0686156491831469</v>
      </c>
      <c r="I11" s="2067">
        <v>0.67351676698194318</v>
      </c>
      <c r="J11" s="2067">
        <v>0.67730008598452274</v>
      </c>
      <c r="K11" s="2067">
        <v>0.67523645743766114</v>
      </c>
      <c r="L11" s="2067">
        <v>1.788478073946689E-2</v>
      </c>
      <c r="M11" s="2067">
        <v>0</v>
      </c>
      <c r="N11" s="2067">
        <v>0.55932932072226993</v>
      </c>
      <c r="O11" s="2067">
        <v>0</v>
      </c>
      <c r="P11" s="2067">
        <v>0</v>
      </c>
      <c r="Q11" s="2067">
        <v>0</v>
      </c>
      <c r="R11" s="2067">
        <v>0</v>
      </c>
      <c r="S11" s="2067">
        <v>0</v>
      </c>
      <c r="T11" s="2067">
        <v>5.7265692175408431E-2</v>
      </c>
      <c r="U11" s="2067">
        <v>0.14539982803095433</v>
      </c>
      <c r="V11" s="2067">
        <v>6.2252794496990525E-2</v>
      </c>
      <c r="W11" s="2067">
        <v>2.3903697334479789E-2</v>
      </c>
      <c r="X11" s="2067">
        <v>9.5184866723989667E-2</v>
      </c>
    </row>
    <row r="12" spans="1:24" ht="11.25" customHeight="1">
      <c r="A12" s="2068" t="s">
        <v>4650</v>
      </c>
      <c r="B12" s="2069" t="s">
        <v>5752</v>
      </c>
      <c r="C12" s="2070">
        <v>0</v>
      </c>
      <c r="D12" s="2070">
        <v>0</v>
      </c>
      <c r="E12" s="2070">
        <v>0</v>
      </c>
      <c r="F12" s="2070">
        <v>0</v>
      </c>
      <c r="G12" s="2070">
        <v>0</v>
      </c>
      <c r="H12" s="2070">
        <v>0</v>
      </c>
      <c r="I12" s="2070">
        <v>0</v>
      </c>
      <c r="J12" s="2070">
        <v>0</v>
      </c>
      <c r="K12" s="2070">
        <v>0</v>
      </c>
      <c r="L12" s="2070">
        <v>0</v>
      </c>
      <c r="M12" s="2070">
        <v>0</v>
      </c>
      <c r="N12" s="2070">
        <v>0.55932932072226993</v>
      </c>
      <c r="O12" s="2070">
        <v>0</v>
      </c>
      <c r="P12" s="2070">
        <v>0</v>
      </c>
      <c r="Q12" s="2070">
        <v>0</v>
      </c>
      <c r="R12" s="2070">
        <v>0</v>
      </c>
      <c r="S12" s="2070">
        <v>0</v>
      </c>
      <c r="T12" s="2070">
        <v>1.599312123817713E-2</v>
      </c>
      <c r="U12" s="2070">
        <v>1.212381771281169E-2</v>
      </c>
      <c r="V12" s="2070">
        <v>4.6431642304385207E-3</v>
      </c>
      <c r="W12" s="2070">
        <v>1.031814273430782E-2</v>
      </c>
      <c r="X12" s="2070">
        <v>6.0619088564058461E-2</v>
      </c>
    </row>
    <row r="13" spans="1:24" ht="11.25" customHeight="1">
      <c r="A13" s="2068" t="s">
        <v>4651</v>
      </c>
      <c r="B13" s="2069" t="s">
        <v>5753</v>
      </c>
      <c r="C13" s="2070">
        <v>3.1857265692175405</v>
      </c>
      <c r="D13" s="2070">
        <v>3.1736887360275148</v>
      </c>
      <c r="E13" s="2070">
        <v>23.444110060189164</v>
      </c>
      <c r="F13" s="2070">
        <v>2.6404987102321584</v>
      </c>
      <c r="G13" s="2070">
        <v>1.317712811693895</v>
      </c>
      <c r="H13" s="2070">
        <v>0.64006878761822872</v>
      </c>
      <c r="I13" s="2070">
        <v>0.66981943250214959</v>
      </c>
      <c r="J13" s="2070">
        <v>0.67730008598452274</v>
      </c>
      <c r="K13" s="2070">
        <v>0.67523645743766114</v>
      </c>
      <c r="L13" s="2070">
        <v>1.788478073946689E-2</v>
      </c>
      <c r="M13" s="2070">
        <v>0</v>
      </c>
      <c r="N13" s="2070">
        <v>0</v>
      </c>
      <c r="O13" s="2070">
        <v>0</v>
      </c>
      <c r="P13" s="2070">
        <v>0</v>
      </c>
      <c r="Q13" s="2070">
        <v>0</v>
      </c>
      <c r="R13" s="2070">
        <v>0</v>
      </c>
      <c r="S13" s="2070">
        <v>0</v>
      </c>
      <c r="T13" s="2070">
        <v>1.9690455717970769E-2</v>
      </c>
      <c r="U13" s="2070">
        <v>0.12605331040412718</v>
      </c>
      <c r="V13" s="2070">
        <v>4.7033533963886487E-2</v>
      </c>
      <c r="W13" s="2070">
        <v>1.2467755803955288E-2</v>
      </c>
      <c r="X13" s="2070">
        <v>2.2871883061049009E-2</v>
      </c>
    </row>
    <row r="14" spans="1:24" ht="11.25" customHeight="1">
      <c r="A14" s="2068" t="s">
        <v>4652</v>
      </c>
      <c r="B14" s="2069" t="s">
        <v>5754</v>
      </c>
      <c r="C14" s="2070">
        <v>0</v>
      </c>
      <c r="D14" s="2070">
        <v>0</v>
      </c>
      <c r="E14" s="2070">
        <v>0</v>
      </c>
      <c r="F14" s="2070">
        <v>0</v>
      </c>
      <c r="G14" s="2070">
        <v>0</v>
      </c>
      <c r="H14" s="2070">
        <v>0</v>
      </c>
      <c r="I14" s="2070">
        <v>0</v>
      </c>
      <c r="J14" s="2070">
        <v>0</v>
      </c>
      <c r="K14" s="2070">
        <v>0</v>
      </c>
      <c r="L14" s="2070">
        <v>0</v>
      </c>
      <c r="M14" s="2070">
        <v>0</v>
      </c>
      <c r="N14" s="2070">
        <v>0</v>
      </c>
      <c r="O14" s="2070">
        <v>0</v>
      </c>
      <c r="P14" s="2070">
        <v>0</v>
      </c>
      <c r="Q14" s="2070">
        <v>0</v>
      </c>
      <c r="R14" s="2070">
        <v>0</v>
      </c>
      <c r="S14" s="2070">
        <v>0</v>
      </c>
      <c r="T14" s="2070">
        <v>0</v>
      </c>
      <c r="U14" s="2070">
        <v>0</v>
      </c>
      <c r="V14" s="2070">
        <v>0</v>
      </c>
      <c r="W14" s="2070">
        <v>0</v>
      </c>
      <c r="X14" s="2070">
        <v>0</v>
      </c>
    </row>
    <row r="15" spans="1:24" ht="11.25" customHeight="1">
      <c r="A15" s="2068" t="s">
        <v>4653</v>
      </c>
      <c r="B15" s="2069" t="s">
        <v>5755</v>
      </c>
      <c r="C15" s="2070">
        <v>0</v>
      </c>
      <c r="D15" s="2070">
        <v>0</v>
      </c>
      <c r="E15" s="2070">
        <v>0</v>
      </c>
      <c r="F15" s="2070">
        <v>0</v>
      </c>
      <c r="G15" s="2070">
        <v>0</v>
      </c>
      <c r="H15" s="2070">
        <v>0</v>
      </c>
      <c r="I15" s="2070">
        <v>0</v>
      </c>
      <c r="J15" s="2070">
        <v>0</v>
      </c>
      <c r="K15" s="2070">
        <v>0</v>
      </c>
      <c r="L15" s="2070">
        <v>0</v>
      </c>
      <c r="M15" s="2070">
        <v>0</v>
      </c>
      <c r="N15" s="2070">
        <v>0</v>
      </c>
      <c r="O15" s="2070">
        <v>0</v>
      </c>
      <c r="P15" s="2070">
        <v>0</v>
      </c>
      <c r="Q15" s="2070">
        <v>0</v>
      </c>
      <c r="R15" s="2070">
        <v>0</v>
      </c>
      <c r="S15" s="2070">
        <v>0</v>
      </c>
      <c r="T15" s="2070">
        <v>0</v>
      </c>
      <c r="U15" s="2070">
        <v>0</v>
      </c>
      <c r="V15" s="2070">
        <v>0</v>
      </c>
      <c r="W15" s="2070">
        <v>0</v>
      </c>
      <c r="X15" s="2070">
        <v>0</v>
      </c>
    </row>
    <row r="16" spans="1:24" ht="11.25" customHeight="1">
      <c r="A16" s="2068" t="s">
        <v>5756</v>
      </c>
      <c r="B16" s="2069" t="s">
        <v>5757</v>
      </c>
      <c r="C16" s="2070">
        <v>0</v>
      </c>
      <c r="D16" s="2070">
        <v>0.44015477214101462</v>
      </c>
      <c r="E16" s="2070">
        <v>0</v>
      </c>
      <c r="F16" s="2070">
        <v>0.43026655202063618</v>
      </c>
      <c r="G16" s="2070">
        <v>0</v>
      </c>
      <c r="H16" s="2070">
        <v>0.42854686156491822</v>
      </c>
      <c r="I16" s="2070">
        <v>3.6973344797936371E-3</v>
      </c>
      <c r="J16" s="2070">
        <v>0</v>
      </c>
      <c r="K16" s="2070">
        <v>0</v>
      </c>
      <c r="L16" s="2070">
        <v>0</v>
      </c>
      <c r="M16" s="2070">
        <v>0</v>
      </c>
      <c r="N16" s="2070">
        <v>0</v>
      </c>
      <c r="O16" s="2070">
        <v>0</v>
      </c>
      <c r="P16" s="2070">
        <v>0</v>
      </c>
      <c r="Q16" s="2070">
        <v>0</v>
      </c>
      <c r="R16" s="2070">
        <v>0</v>
      </c>
      <c r="S16" s="2070">
        <v>0</v>
      </c>
      <c r="T16" s="2070">
        <v>2.1582115219260529E-2</v>
      </c>
      <c r="U16" s="2070">
        <v>7.222699914015477E-3</v>
      </c>
      <c r="V16" s="2070">
        <v>1.0576096302665519E-2</v>
      </c>
      <c r="W16" s="2070">
        <v>1.1177987962166811E-3</v>
      </c>
      <c r="X16" s="2070">
        <v>1.16938950988822E-2</v>
      </c>
    </row>
    <row r="17" spans="1:24" ht="11.25" customHeight="1">
      <c r="A17" s="2071" t="s">
        <v>5758</v>
      </c>
      <c r="B17" s="2072" t="s">
        <v>5759</v>
      </c>
      <c r="C17" s="2073">
        <v>7.1367153912295782</v>
      </c>
      <c r="D17" s="2073">
        <v>6.3628546861564912</v>
      </c>
      <c r="E17" s="2073">
        <v>6.1049011177987955</v>
      </c>
      <c r="F17" s="2073">
        <v>0</v>
      </c>
      <c r="G17" s="2073">
        <v>0</v>
      </c>
      <c r="H17" s="2073">
        <v>0</v>
      </c>
      <c r="I17" s="2073">
        <v>0.1934651762682717</v>
      </c>
      <c r="J17" s="2073">
        <v>0.1934651762682717</v>
      </c>
      <c r="K17" s="2073">
        <v>0</v>
      </c>
      <c r="L17" s="2073">
        <v>0</v>
      </c>
      <c r="M17" s="2073">
        <v>0</v>
      </c>
      <c r="N17" s="2073">
        <v>0</v>
      </c>
      <c r="O17" s="2073">
        <v>0</v>
      </c>
      <c r="P17" s="2073">
        <v>0</v>
      </c>
      <c r="Q17" s="2073">
        <v>0</v>
      </c>
      <c r="R17" s="2073">
        <v>0</v>
      </c>
      <c r="S17" s="2073">
        <v>0</v>
      </c>
      <c r="T17" s="2073">
        <v>0</v>
      </c>
      <c r="U17" s="2073">
        <v>0</v>
      </c>
      <c r="V17" s="2073">
        <v>0</v>
      </c>
      <c r="W17" s="2073">
        <v>0</v>
      </c>
      <c r="X17" s="2073">
        <v>0</v>
      </c>
    </row>
    <row r="18" spans="1:24" ht="11.25" customHeight="1">
      <c r="A18" s="2074" t="s">
        <v>4654</v>
      </c>
      <c r="B18" s="2069" t="s">
        <v>5760</v>
      </c>
      <c r="C18" s="2070">
        <v>0.1719690455717971</v>
      </c>
      <c r="D18" s="2070">
        <v>0.12897678417884781</v>
      </c>
      <c r="E18" s="2070">
        <v>0.10748065348237321</v>
      </c>
      <c r="F18" s="2070">
        <v>0</v>
      </c>
      <c r="G18" s="2070">
        <v>0</v>
      </c>
      <c r="H18" s="2070">
        <v>0</v>
      </c>
      <c r="I18" s="2070">
        <v>0.1934651762682717</v>
      </c>
      <c r="J18" s="2070">
        <v>0.12897678417884781</v>
      </c>
      <c r="K18" s="2070">
        <v>0</v>
      </c>
      <c r="L18" s="2070">
        <v>0</v>
      </c>
      <c r="M18" s="2070">
        <v>0</v>
      </c>
      <c r="N18" s="2070">
        <v>0</v>
      </c>
      <c r="O18" s="2070">
        <v>0</v>
      </c>
      <c r="P18" s="2070">
        <v>0</v>
      </c>
      <c r="Q18" s="2070">
        <v>0</v>
      </c>
      <c r="R18" s="2070">
        <v>0</v>
      </c>
      <c r="S18" s="2070">
        <v>0</v>
      </c>
      <c r="T18" s="2070">
        <v>0</v>
      </c>
      <c r="U18" s="2070">
        <v>0</v>
      </c>
      <c r="V18" s="2070">
        <v>0</v>
      </c>
      <c r="W18" s="2070">
        <v>0</v>
      </c>
      <c r="X18" s="2070">
        <v>0</v>
      </c>
    </row>
    <row r="19" spans="1:24" ht="11.25" customHeight="1">
      <c r="A19" s="2074" t="s">
        <v>4655</v>
      </c>
      <c r="B19" s="2069" t="s">
        <v>5761</v>
      </c>
      <c r="C19" s="2070">
        <v>6.9647463456577814</v>
      </c>
      <c r="D19" s="2070">
        <v>6.2338779019776434</v>
      </c>
      <c r="E19" s="2070">
        <v>5.9974204643164226</v>
      </c>
      <c r="F19" s="2070">
        <v>0</v>
      </c>
      <c r="G19" s="2070">
        <v>0</v>
      </c>
      <c r="H19" s="2070">
        <v>0</v>
      </c>
      <c r="I19" s="2070">
        <v>0</v>
      </c>
      <c r="J19" s="2070">
        <v>6.4488392089423904E-2</v>
      </c>
      <c r="K19" s="2070">
        <v>0</v>
      </c>
      <c r="L19" s="2070">
        <v>0</v>
      </c>
      <c r="M19" s="2070">
        <v>0</v>
      </c>
      <c r="N19" s="2070">
        <v>0</v>
      </c>
      <c r="O19" s="2070">
        <v>0</v>
      </c>
      <c r="P19" s="2070">
        <v>0</v>
      </c>
      <c r="Q19" s="2070">
        <v>0</v>
      </c>
      <c r="R19" s="2070">
        <v>0</v>
      </c>
      <c r="S19" s="2070">
        <v>0</v>
      </c>
      <c r="T19" s="2070">
        <v>0</v>
      </c>
      <c r="U19" s="2070">
        <v>0</v>
      </c>
      <c r="V19" s="2070">
        <v>0</v>
      </c>
      <c r="W19" s="2070">
        <v>0</v>
      </c>
      <c r="X19" s="2070">
        <v>0</v>
      </c>
    </row>
    <row r="20" spans="1:24" ht="11.25" customHeight="1">
      <c r="A20" s="2074" t="s">
        <v>4656</v>
      </c>
      <c r="B20" s="2069" t="s">
        <v>5762</v>
      </c>
      <c r="C20" s="2070">
        <v>0</v>
      </c>
      <c r="D20" s="2070">
        <v>0</v>
      </c>
      <c r="E20" s="2070">
        <v>0</v>
      </c>
      <c r="F20" s="2070">
        <v>0</v>
      </c>
      <c r="G20" s="2070">
        <v>0</v>
      </c>
      <c r="H20" s="2070">
        <v>0</v>
      </c>
      <c r="I20" s="2070">
        <v>0</v>
      </c>
      <c r="J20" s="2070">
        <v>0</v>
      </c>
      <c r="K20" s="2070">
        <v>0</v>
      </c>
      <c r="L20" s="2070">
        <v>0</v>
      </c>
      <c r="M20" s="2070">
        <v>0</v>
      </c>
      <c r="N20" s="2070">
        <v>0</v>
      </c>
      <c r="O20" s="2070">
        <v>0</v>
      </c>
      <c r="P20" s="2070">
        <v>0</v>
      </c>
      <c r="Q20" s="2070">
        <v>0</v>
      </c>
      <c r="R20" s="2070">
        <v>0</v>
      </c>
      <c r="S20" s="2070">
        <v>0</v>
      </c>
      <c r="T20" s="2070">
        <v>0</v>
      </c>
      <c r="U20" s="2070">
        <v>0</v>
      </c>
      <c r="V20" s="2070">
        <v>0</v>
      </c>
      <c r="W20" s="2070">
        <v>0</v>
      </c>
      <c r="X20" s="2070">
        <v>0</v>
      </c>
    </row>
    <row r="21" spans="1:24" ht="11.25" customHeight="1">
      <c r="A21" s="2074" t="s">
        <v>4615</v>
      </c>
      <c r="B21" s="2069" t="s">
        <v>5763</v>
      </c>
      <c r="C21" s="2070">
        <v>0</v>
      </c>
      <c r="D21" s="2070">
        <v>0</v>
      </c>
      <c r="E21" s="2070">
        <v>0</v>
      </c>
      <c r="F21" s="2070">
        <v>0</v>
      </c>
      <c r="G21" s="2070">
        <v>0</v>
      </c>
      <c r="H21" s="2070">
        <v>0</v>
      </c>
      <c r="I21" s="2070">
        <v>0</v>
      </c>
      <c r="J21" s="2070">
        <v>0</v>
      </c>
      <c r="K21" s="2070">
        <v>0</v>
      </c>
      <c r="L21" s="2070">
        <v>0</v>
      </c>
      <c r="M21" s="2070">
        <v>0</v>
      </c>
      <c r="N21" s="2070">
        <v>0</v>
      </c>
      <c r="O21" s="2070">
        <v>0</v>
      </c>
      <c r="P21" s="2070">
        <v>0</v>
      </c>
      <c r="Q21" s="2070">
        <v>0</v>
      </c>
      <c r="R21" s="2070">
        <v>0</v>
      </c>
      <c r="S21" s="2070">
        <v>0</v>
      </c>
      <c r="T21" s="2070">
        <v>0</v>
      </c>
      <c r="U21" s="2070">
        <v>0</v>
      </c>
      <c r="V21" s="2070">
        <v>0</v>
      </c>
      <c r="W21" s="2070">
        <v>0</v>
      </c>
      <c r="X21" s="2070">
        <v>0</v>
      </c>
    </row>
    <row r="22" spans="1:24" ht="11.25" customHeight="1">
      <c r="A22" s="2071" t="s">
        <v>4741</v>
      </c>
      <c r="B22" s="2072" t="s">
        <v>5764</v>
      </c>
      <c r="C22" s="2073">
        <v>0</v>
      </c>
      <c r="D22" s="2073">
        <v>0</v>
      </c>
      <c r="E22" s="2073">
        <v>0</v>
      </c>
      <c r="F22" s="2073">
        <v>0</v>
      </c>
      <c r="G22" s="2073">
        <v>0</v>
      </c>
      <c r="H22" s="2073">
        <v>0</v>
      </c>
      <c r="I22" s="2073">
        <v>0</v>
      </c>
      <c r="J22" s="2073">
        <v>0</v>
      </c>
      <c r="K22" s="2073">
        <v>0</v>
      </c>
      <c r="L22" s="2073">
        <v>0</v>
      </c>
      <c r="M22" s="2073">
        <v>0</v>
      </c>
      <c r="N22" s="2073">
        <v>0</v>
      </c>
      <c r="O22" s="2073">
        <v>0</v>
      </c>
      <c r="P22" s="2073">
        <v>0</v>
      </c>
      <c r="Q22" s="2073">
        <v>0</v>
      </c>
      <c r="R22" s="2073">
        <v>0</v>
      </c>
      <c r="S22" s="2073">
        <v>0</v>
      </c>
      <c r="T22" s="2073">
        <v>3.172828890799656E-2</v>
      </c>
      <c r="U22" s="2073">
        <v>3.172828890799656E-2</v>
      </c>
      <c r="V22" s="2073">
        <v>0</v>
      </c>
      <c r="W22" s="2073">
        <v>0</v>
      </c>
      <c r="X22" s="2073">
        <v>0</v>
      </c>
    </row>
    <row r="23" spans="1:24" ht="11.25" customHeight="1">
      <c r="A23" s="2074" t="s">
        <v>559</v>
      </c>
      <c r="B23" s="2069" t="s">
        <v>5765</v>
      </c>
      <c r="C23" s="2070">
        <v>0</v>
      </c>
      <c r="D23" s="2070">
        <v>0</v>
      </c>
      <c r="E23" s="2070">
        <v>0</v>
      </c>
      <c r="F23" s="2070">
        <v>0</v>
      </c>
      <c r="G23" s="2070">
        <v>0</v>
      </c>
      <c r="H23" s="2070">
        <v>0</v>
      </c>
      <c r="I23" s="2070">
        <v>0</v>
      </c>
      <c r="J23" s="2070">
        <v>0</v>
      </c>
      <c r="K23" s="2070">
        <v>0</v>
      </c>
      <c r="L23" s="2070">
        <v>0</v>
      </c>
      <c r="M23" s="2070">
        <v>0</v>
      </c>
      <c r="N23" s="2070">
        <v>0</v>
      </c>
      <c r="O23" s="2070">
        <v>0</v>
      </c>
      <c r="P23" s="2070">
        <v>0</v>
      </c>
      <c r="Q23" s="2070">
        <v>0</v>
      </c>
      <c r="R23" s="2070">
        <v>0</v>
      </c>
      <c r="S23" s="2070">
        <v>0</v>
      </c>
      <c r="T23" s="2070">
        <v>0</v>
      </c>
      <c r="U23" s="2070">
        <v>0</v>
      </c>
      <c r="V23" s="2070">
        <v>0</v>
      </c>
      <c r="W23" s="2070">
        <v>0</v>
      </c>
      <c r="X23" s="2070">
        <v>0</v>
      </c>
    </row>
    <row r="24" spans="1:24" ht="11.25" customHeight="1">
      <c r="A24" s="2074" t="s">
        <v>4657</v>
      </c>
      <c r="B24" s="2069" t="s">
        <v>5766</v>
      </c>
      <c r="C24" s="2070">
        <v>0</v>
      </c>
      <c r="D24" s="2070">
        <v>0</v>
      </c>
      <c r="E24" s="2070">
        <v>0</v>
      </c>
      <c r="F24" s="2070">
        <v>0</v>
      </c>
      <c r="G24" s="2070">
        <v>0</v>
      </c>
      <c r="H24" s="2070">
        <v>0</v>
      </c>
      <c r="I24" s="2070">
        <v>0</v>
      </c>
      <c r="J24" s="2070">
        <v>0</v>
      </c>
      <c r="K24" s="2070">
        <v>0</v>
      </c>
      <c r="L24" s="2070">
        <v>0</v>
      </c>
      <c r="M24" s="2070">
        <v>0</v>
      </c>
      <c r="N24" s="2070">
        <v>0</v>
      </c>
      <c r="O24" s="2070">
        <v>0</v>
      </c>
      <c r="P24" s="2070">
        <v>0</v>
      </c>
      <c r="Q24" s="2070">
        <v>0</v>
      </c>
      <c r="R24" s="2070">
        <v>0</v>
      </c>
      <c r="S24" s="2070">
        <v>0</v>
      </c>
      <c r="T24" s="2070">
        <v>3.172828890799656E-2</v>
      </c>
      <c r="U24" s="2070">
        <v>3.172828890799656E-2</v>
      </c>
      <c r="V24" s="2070">
        <v>0</v>
      </c>
      <c r="W24" s="2070">
        <v>0</v>
      </c>
      <c r="X24" s="2070">
        <v>0</v>
      </c>
    </row>
    <row r="25" spans="1:24" ht="11.25" customHeight="1">
      <c r="A25" s="2071" t="s">
        <v>4658</v>
      </c>
      <c r="B25" s="2072" t="s">
        <v>5767</v>
      </c>
      <c r="C25" s="2073">
        <v>0</v>
      </c>
      <c r="D25" s="2073">
        <v>0</v>
      </c>
      <c r="E25" s="2073">
        <v>0</v>
      </c>
      <c r="F25" s="2073">
        <v>0</v>
      </c>
      <c r="G25" s="2073">
        <v>0</v>
      </c>
      <c r="H25" s="2073">
        <v>0</v>
      </c>
      <c r="I25" s="2073">
        <v>0</v>
      </c>
      <c r="J25" s="2073">
        <v>0</v>
      </c>
      <c r="K25" s="2073">
        <v>0</v>
      </c>
      <c r="L25" s="2073">
        <v>0</v>
      </c>
      <c r="M25" s="2073">
        <v>0</v>
      </c>
      <c r="N25" s="2073">
        <v>0</v>
      </c>
      <c r="O25" s="2073">
        <v>0</v>
      </c>
      <c r="P25" s="2073">
        <v>0</v>
      </c>
      <c r="Q25" s="2073">
        <v>0</v>
      </c>
      <c r="R25" s="2073">
        <v>0</v>
      </c>
      <c r="S25" s="2073">
        <v>0</v>
      </c>
      <c r="T25" s="2073">
        <v>0</v>
      </c>
      <c r="U25" s="2073">
        <v>0</v>
      </c>
      <c r="V25" s="2073">
        <v>0</v>
      </c>
      <c r="W25" s="2073">
        <v>0</v>
      </c>
      <c r="X25" s="2073">
        <v>0</v>
      </c>
    </row>
    <row r="26" spans="1:24" ht="11.25" customHeight="1">
      <c r="A26" s="2071" t="s">
        <v>3872</v>
      </c>
      <c r="B26" s="2072" t="s">
        <v>5768</v>
      </c>
      <c r="C26" s="2073">
        <v>1460.250472914875</v>
      </c>
      <c r="D26" s="2073">
        <v>1378.7337059329323</v>
      </c>
      <c r="E26" s="2073">
        <v>1309.2997420464314</v>
      </c>
      <c r="F26" s="2073">
        <v>1286.139294926913</v>
      </c>
      <c r="G26" s="2073">
        <v>1103.4894239036971</v>
      </c>
      <c r="H26" s="2073">
        <v>893.43714531384342</v>
      </c>
      <c r="I26" s="2073">
        <v>730.9230438521065</v>
      </c>
      <c r="J26" s="2073">
        <v>767.09372312983658</v>
      </c>
      <c r="K26" s="2073">
        <v>612.89122957867573</v>
      </c>
      <c r="L26" s="2073">
        <v>479.26165090283752</v>
      </c>
      <c r="M26" s="2073">
        <v>403.38925193465178</v>
      </c>
      <c r="N26" s="2073">
        <v>295.42192605331036</v>
      </c>
      <c r="O26" s="2073">
        <v>287.06414445399827</v>
      </c>
      <c r="P26" s="2073">
        <v>222.96036113499565</v>
      </c>
      <c r="Q26" s="2073">
        <v>208.747807394669</v>
      </c>
      <c r="R26" s="2073">
        <v>212.23456577815989</v>
      </c>
      <c r="S26" s="2073">
        <v>212.76938950988816</v>
      </c>
      <c r="T26" s="2073">
        <v>179.41702493551159</v>
      </c>
      <c r="U26" s="2073">
        <v>169.34221840068784</v>
      </c>
      <c r="V26" s="2073">
        <v>143.88478073946689</v>
      </c>
      <c r="W26" s="2073">
        <v>120.18194325021497</v>
      </c>
      <c r="X26" s="2073">
        <v>146.26061908856406</v>
      </c>
    </row>
    <row r="27" spans="1:24" ht="11.25" customHeight="1">
      <c r="A27" s="2065" t="s">
        <v>5769</v>
      </c>
      <c r="B27" s="2066" t="s">
        <v>5770</v>
      </c>
      <c r="C27" s="2067">
        <v>0</v>
      </c>
      <c r="D27" s="2067">
        <v>3.1441100601891661</v>
      </c>
      <c r="E27" s="2067">
        <v>3.1004299226139289</v>
      </c>
      <c r="F27" s="2067">
        <v>2.020636285468616</v>
      </c>
      <c r="G27" s="2067">
        <v>2.031986242476354</v>
      </c>
      <c r="H27" s="2067">
        <v>0</v>
      </c>
      <c r="I27" s="2067">
        <v>0</v>
      </c>
      <c r="J27" s="2067">
        <v>0</v>
      </c>
      <c r="K27" s="2067">
        <v>0</v>
      </c>
      <c r="L27" s="2067">
        <v>0</v>
      </c>
      <c r="M27" s="2067">
        <v>0</v>
      </c>
      <c r="N27" s="2067">
        <v>0</v>
      </c>
      <c r="O27" s="2067">
        <v>0</v>
      </c>
      <c r="P27" s="2067">
        <v>0</v>
      </c>
      <c r="Q27" s="2067">
        <v>0</v>
      </c>
      <c r="R27" s="2067">
        <v>0</v>
      </c>
      <c r="S27" s="2067">
        <v>0</v>
      </c>
      <c r="T27" s="2067">
        <v>0</v>
      </c>
      <c r="U27" s="2067">
        <v>0</v>
      </c>
      <c r="V27" s="2067">
        <v>0</v>
      </c>
      <c r="W27" s="2067">
        <v>0</v>
      </c>
      <c r="X27" s="2067">
        <v>0</v>
      </c>
    </row>
    <row r="28" spans="1:24" ht="11.25" customHeight="1">
      <c r="A28" s="2068" t="s">
        <v>4659</v>
      </c>
      <c r="B28" s="2069" t="s">
        <v>5771</v>
      </c>
      <c r="C28" s="2070">
        <v>0</v>
      </c>
      <c r="D28" s="2070">
        <v>3.1441100601891661</v>
      </c>
      <c r="E28" s="2070">
        <v>3.1004299226139289</v>
      </c>
      <c r="F28" s="2070">
        <v>2.020636285468616</v>
      </c>
      <c r="G28" s="2070">
        <v>2.031986242476354</v>
      </c>
      <c r="H28" s="2070">
        <v>0</v>
      </c>
      <c r="I28" s="2070">
        <v>0</v>
      </c>
      <c r="J28" s="2070">
        <v>0</v>
      </c>
      <c r="K28" s="2070">
        <v>0</v>
      </c>
      <c r="L28" s="2070">
        <v>0</v>
      </c>
      <c r="M28" s="2070">
        <v>0</v>
      </c>
      <c r="N28" s="2070">
        <v>0</v>
      </c>
      <c r="O28" s="2070">
        <v>0</v>
      </c>
      <c r="P28" s="2070">
        <v>0</v>
      </c>
      <c r="Q28" s="2070">
        <v>0</v>
      </c>
      <c r="R28" s="2070">
        <v>0</v>
      </c>
      <c r="S28" s="2070">
        <v>0</v>
      </c>
      <c r="T28" s="2070">
        <v>0</v>
      </c>
      <c r="U28" s="2070">
        <v>0</v>
      </c>
      <c r="V28" s="2070">
        <v>0</v>
      </c>
      <c r="W28" s="2070">
        <v>0</v>
      </c>
      <c r="X28" s="2070">
        <v>0</v>
      </c>
    </row>
    <row r="29" spans="1:24" ht="11.25" customHeight="1">
      <c r="A29" s="2068" t="s">
        <v>4660</v>
      </c>
      <c r="B29" s="2069" t="s">
        <v>5772</v>
      </c>
      <c r="C29" s="2070">
        <v>0</v>
      </c>
      <c r="D29" s="2070">
        <v>0</v>
      </c>
      <c r="E29" s="2070">
        <v>0</v>
      </c>
      <c r="F29" s="2070">
        <v>0</v>
      </c>
      <c r="G29" s="2070">
        <v>0</v>
      </c>
      <c r="H29" s="2070">
        <v>0</v>
      </c>
      <c r="I29" s="2070">
        <v>0</v>
      </c>
      <c r="J29" s="2070">
        <v>0</v>
      </c>
      <c r="K29" s="2070">
        <v>0</v>
      </c>
      <c r="L29" s="2070">
        <v>0</v>
      </c>
      <c r="M29" s="2070">
        <v>0</v>
      </c>
      <c r="N29" s="2070">
        <v>0</v>
      </c>
      <c r="O29" s="2070">
        <v>0</v>
      </c>
      <c r="P29" s="2070">
        <v>0</v>
      </c>
      <c r="Q29" s="2070">
        <v>0</v>
      </c>
      <c r="R29" s="2070">
        <v>0</v>
      </c>
      <c r="S29" s="2070">
        <v>0</v>
      </c>
      <c r="T29" s="2070">
        <v>0</v>
      </c>
      <c r="U29" s="2070">
        <v>0</v>
      </c>
      <c r="V29" s="2070">
        <v>0</v>
      </c>
      <c r="W29" s="2070">
        <v>0</v>
      </c>
      <c r="X29" s="2070">
        <v>0</v>
      </c>
    </row>
    <row r="30" spans="1:24" ht="11.25" customHeight="1">
      <c r="A30" s="2068" t="s">
        <v>4661</v>
      </c>
      <c r="B30" s="2069" t="s">
        <v>5773</v>
      </c>
      <c r="C30" s="2070">
        <v>0</v>
      </c>
      <c r="D30" s="2070">
        <v>0</v>
      </c>
      <c r="E30" s="2070">
        <v>0</v>
      </c>
      <c r="F30" s="2070">
        <v>0</v>
      </c>
      <c r="G30" s="2070">
        <v>0</v>
      </c>
      <c r="H30" s="2070">
        <v>0</v>
      </c>
      <c r="I30" s="2070">
        <v>0</v>
      </c>
      <c r="J30" s="2070">
        <v>0</v>
      </c>
      <c r="K30" s="2070">
        <v>0</v>
      </c>
      <c r="L30" s="2070">
        <v>0</v>
      </c>
      <c r="M30" s="2070">
        <v>0</v>
      </c>
      <c r="N30" s="2070">
        <v>0</v>
      </c>
      <c r="O30" s="2070">
        <v>0</v>
      </c>
      <c r="P30" s="2070">
        <v>0</v>
      </c>
      <c r="Q30" s="2070">
        <v>0</v>
      </c>
      <c r="R30" s="2070">
        <v>0</v>
      </c>
      <c r="S30" s="2070">
        <v>0</v>
      </c>
      <c r="T30" s="2070">
        <v>0</v>
      </c>
      <c r="U30" s="2070">
        <v>0</v>
      </c>
      <c r="V30" s="2070">
        <v>0</v>
      </c>
      <c r="W30" s="2070">
        <v>0</v>
      </c>
      <c r="X30" s="2070">
        <v>0</v>
      </c>
    </row>
    <row r="31" spans="1:24" ht="11.25" customHeight="1">
      <c r="A31" s="2068" t="s">
        <v>5774</v>
      </c>
      <c r="B31" s="2069" t="s">
        <v>5775</v>
      </c>
      <c r="C31" s="2070">
        <v>0</v>
      </c>
      <c r="D31" s="2070">
        <v>0</v>
      </c>
      <c r="E31" s="2070">
        <v>0</v>
      </c>
      <c r="F31" s="2070">
        <v>0</v>
      </c>
      <c r="G31" s="2070">
        <v>0</v>
      </c>
      <c r="H31" s="2070">
        <v>0</v>
      </c>
      <c r="I31" s="2070">
        <v>0</v>
      </c>
      <c r="J31" s="2070">
        <v>0</v>
      </c>
      <c r="K31" s="2070">
        <v>0</v>
      </c>
      <c r="L31" s="2070">
        <v>0</v>
      </c>
      <c r="M31" s="2070">
        <v>0</v>
      </c>
      <c r="N31" s="2070">
        <v>0</v>
      </c>
      <c r="O31" s="2070">
        <v>0</v>
      </c>
      <c r="P31" s="2070">
        <v>0</v>
      </c>
      <c r="Q31" s="2070">
        <v>0</v>
      </c>
      <c r="R31" s="2070">
        <v>0</v>
      </c>
      <c r="S31" s="2070">
        <v>0</v>
      </c>
      <c r="T31" s="2070">
        <v>0</v>
      </c>
      <c r="U31" s="2070">
        <v>0</v>
      </c>
      <c r="V31" s="2070">
        <v>0</v>
      </c>
      <c r="W31" s="2070">
        <v>0</v>
      </c>
      <c r="X31" s="2070">
        <v>0</v>
      </c>
    </row>
    <row r="32" spans="1:24" ht="11.25" customHeight="1">
      <c r="A32" s="2068" t="s">
        <v>4662</v>
      </c>
      <c r="B32" s="2069" t="s">
        <v>5776</v>
      </c>
      <c r="C32" s="2070">
        <v>0</v>
      </c>
      <c r="D32" s="2070">
        <v>0</v>
      </c>
      <c r="E32" s="2070">
        <v>0</v>
      </c>
      <c r="F32" s="2070">
        <v>0</v>
      </c>
      <c r="G32" s="2070">
        <v>0</v>
      </c>
      <c r="H32" s="2070">
        <v>0</v>
      </c>
      <c r="I32" s="2070">
        <v>0</v>
      </c>
      <c r="J32" s="2070">
        <v>0</v>
      </c>
      <c r="K32" s="2070">
        <v>0</v>
      </c>
      <c r="L32" s="2070">
        <v>0</v>
      </c>
      <c r="M32" s="2070">
        <v>0</v>
      </c>
      <c r="N32" s="2070">
        <v>0</v>
      </c>
      <c r="O32" s="2070">
        <v>0</v>
      </c>
      <c r="P32" s="2070">
        <v>0</v>
      </c>
      <c r="Q32" s="2070">
        <v>0</v>
      </c>
      <c r="R32" s="2070">
        <v>0</v>
      </c>
      <c r="S32" s="2070">
        <v>0</v>
      </c>
      <c r="T32" s="2070">
        <v>0</v>
      </c>
      <c r="U32" s="2070">
        <v>0</v>
      </c>
      <c r="V32" s="2070">
        <v>0</v>
      </c>
      <c r="W32" s="2070">
        <v>0</v>
      </c>
      <c r="X32" s="2070">
        <v>0</v>
      </c>
    </row>
    <row r="33" spans="1:24" ht="11.25" customHeight="1">
      <c r="A33" s="2065" t="s">
        <v>5777</v>
      </c>
      <c r="B33" s="2066" t="s">
        <v>5778</v>
      </c>
      <c r="C33" s="2067">
        <v>1460.250472914875</v>
      </c>
      <c r="D33" s="2067">
        <v>1375.5895958727431</v>
      </c>
      <c r="E33" s="2067">
        <v>1306.1993121238174</v>
      </c>
      <c r="F33" s="2067">
        <v>1284.1186586414444</v>
      </c>
      <c r="G33" s="2067">
        <v>1101.4574376612209</v>
      </c>
      <c r="H33" s="2067">
        <v>893.43714531384342</v>
      </c>
      <c r="I33" s="2067">
        <v>730.9230438521065</v>
      </c>
      <c r="J33" s="2067">
        <v>767.09372312983658</v>
      </c>
      <c r="K33" s="2067">
        <v>612.89122957867573</v>
      </c>
      <c r="L33" s="2067">
        <v>479.26165090283752</v>
      </c>
      <c r="M33" s="2067">
        <v>403.38925193465178</v>
      </c>
      <c r="N33" s="2067">
        <v>295.42192605331036</v>
      </c>
      <c r="O33" s="2067">
        <v>287.06414445399827</v>
      </c>
      <c r="P33" s="2067">
        <v>222.96036113499565</v>
      </c>
      <c r="Q33" s="2067">
        <v>208.747807394669</v>
      </c>
      <c r="R33" s="2067">
        <v>212.23456577815989</v>
      </c>
      <c r="S33" s="2067">
        <v>212.76938950988816</v>
      </c>
      <c r="T33" s="2067">
        <v>179.41702493551159</v>
      </c>
      <c r="U33" s="2067">
        <v>169.34221840068784</v>
      </c>
      <c r="V33" s="2067">
        <v>143.88478073946689</v>
      </c>
      <c r="W33" s="2067">
        <v>120.18194325021497</v>
      </c>
      <c r="X33" s="2067">
        <v>146.26061908856406</v>
      </c>
    </row>
    <row r="34" spans="1:24" ht="11.25" customHeight="1">
      <c r="A34" s="2068" t="s">
        <v>4607</v>
      </c>
      <c r="B34" s="2069" t="s">
        <v>5779</v>
      </c>
      <c r="C34" s="2070">
        <v>0</v>
      </c>
      <c r="D34" s="2070">
        <v>0</v>
      </c>
      <c r="E34" s="2070">
        <v>0</v>
      </c>
      <c r="F34" s="2070">
        <v>0</v>
      </c>
      <c r="G34" s="2070">
        <v>0</v>
      </c>
      <c r="H34" s="2070">
        <v>0</v>
      </c>
      <c r="I34" s="2070">
        <v>0</v>
      </c>
      <c r="J34" s="2070">
        <v>0</v>
      </c>
      <c r="K34" s="2070">
        <v>0</v>
      </c>
      <c r="L34" s="2070">
        <v>0</v>
      </c>
      <c r="M34" s="2070">
        <v>0</v>
      </c>
      <c r="N34" s="2070">
        <v>0</v>
      </c>
      <c r="O34" s="2070">
        <v>0</v>
      </c>
      <c r="P34" s="2070">
        <v>0</v>
      </c>
      <c r="Q34" s="2070">
        <v>0</v>
      </c>
      <c r="R34" s="2070">
        <v>0</v>
      </c>
      <c r="S34" s="2070">
        <v>0</v>
      </c>
      <c r="T34" s="2070">
        <v>0</v>
      </c>
      <c r="U34" s="2070">
        <v>0</v>
      </c>
      <c r="V34" s="2070">
        <v>0</v>
      </c>
      <c r="W34" s="2070">
        <v>0</v>
      </c>
      <c r="X34" s="2070">
        <v>0</v>
      </c>
    </row>
    <row r="35" spans="1:24" ht="11.25" customHeight="1">
      <c r="A35" s="2068" t="s">
        <v>587</v>
      </c>
      <c r="B35" s="2069" t="s">
        <v>5780</v>
      </c>
      <c r="C35" s="2070">
        <v>0</v>
      </c>
      <c r="D35" s="2070">
        <v>0</v>
      </c>
      <c r="E35" s="2070">
        <v>0</v>
      </c>
      <c r="F35" s="2070">
        <v>0</v>
      </c>
      <c r="G35" s="2070">
        <v>0</v>
      </c>
      <c r="H35" s="2070">
        <v>0</v>
      </c>
      <c r="I35" s="2070">
        <v>0</v>
      </c>
      <c r="J35" s="2070">
        <v>0</v>
      </c>
      <c r="K35" s="2070">
        <v>0</v>
      </c>
      <c r="L35" s="2070">
        <v>0</v>
      </c>
      <c r="M35" s="2070">
        <v>0</v>
      </c>
      <c r="N35" s="2070">
        <v>0</v>
      </c>
      <c r="O35" s="2070">
        <v>0</v>
      </c>
      <c r="P35" s="2070">
        <v>0</v>
      </c>
      <c r="Q35" s="2070">
        <v>0</v>
      </c>
      <c r="R35" s="2070">
        <v>0</v>
      </c>
      <c r="S35" s="2070">
        <v>0</v>
      </c>
      <c r="T35" s="2070">
        <v>0</v>
      </c>
      <c r="U35" s="2070">
        <v>0</v>
      </c>
      <c r="V35" s="2070">
        <v>0</v>
      </c>
      <c r="W35" s="2070">
        <v>0</v>
      </c>
      <c r="X35" s="2070">
        <v>0</v>
      </c>
    </row>
    <row r="36" spans="1:24" ht="11.25" customHeight="1">
      <c r="A36" s="2068" t="s">
        <v>5781</v>
      </c>
      <c r="B36" s="2069" t="s">
        <v>5782</v>
      </c>
      <c r="C36" s="2070">
        <v>102.05176268271713</v>
      </c>
      <c r="D36" s="2070">
        <v>136.89312123817712</v>
      </c>
      <c r="E36" s="2070">
        <v>122.91246775580396</v>
      </c>
      <c r="F36" s="2070">
        <v>134.42063628546862</v>
      </c>
      <c r="G36" s="2070">
        <v>101.5647463456578</v>
      </c>
      <c r="H36" s="2070">
        <v>81.978847807394672</v>
      </c>
      <c r="I36" s="2070">
        <v>73.098968185726577</v>
      </c>
      <c r="J36" s="2070">
        <v>61.162854686156479</v>
      </c>
      <c r="K36" s="2070">
        <v>50.221582115219249</v>
      </c>
      <c r="L36" s="2070">
        <v>45.266981943250208</v>
      </c>
      <c r="M36" s="2070">
        <v>49.651160791057599</v>
      </c>
      <c r="N36" s="2070">
        <v>43.020550300945828</v>
      </c>
      <c r="O36" s="2070">
        <v>47.079105760963024</v>
      </c>
      <c r="P36" s="2070">
        <v>48.205073086844358</v>
      </c>
      <c r="Q36" s="2070">
        <v>48.288650042992259</v>
      </c>
      <c r="R36" s="2070">
        <v>42.342734307824585</v>
      </c>
      <c r="S36" s="2070">
        <v>41.876612209802232</v>
      </c>
      <c r="T36" s="2070">
        <v>41.447807394668956</v>
      </c>
      <c r="U36" s="2070">
        <v>40.517282889079958</v>
      </c>
      <c r="V36" s="2070">
        <v>45.032072226999134</v>
      </c>
      <c r="W36" s="2070">
        <v>37.09062768701633</v>
      </c>
      <c r="X36" s="2070">
        <v>40.018314703353397</v>
      </c>
    </row>
    <row r="37" spans="1:24" ht="11.25" customHeight="1">
      <c r="A37" s="2068" t="s">
        <v>5783</v>
      </c>
      <c r="B37" s="2069" t="s">
        <v>5784</v>
      </c>
      <c r="C37" s="2070">
        <v>3.1796216680997418</v>
      </c>
      <c r="D37" s="2070">
        <v>3.1785898538263111</v>
      </c>
      <c r="E37" s="2070">
        <v>2.1204643164230439</v>
      </c>
      <c r="F37" s="2070">
        <v>2.1204643164230439</v>
      </c>
      <c r="G37" s="2070">
        <v>2.1204643164230439</v>
      </c>
      <c r="H37" s="2070">
        <v>1.0437661220980219</v>
      </c>
      <c r="I37" s="2070">
        <v>3.1227858985382628</v>
      </c>
      <c r="J37" s="2070">
        <v>1.0646603611349958</v>
      </c>
      <c r="K37" s="2070">
        <v>1.059501289767842</v>
      </c>
      <c r="L37" s="2070">
        <v>8.5124677558039551E-3</v>
      </c>
      <c r="M37" s="2070">
        <v>1.0540842648323305</v>
      </c>
      <c r="N37" s="2070">
        <v>1.5907136715391228E-2</v>
      </c>
      <c r="O37" s="2070">
        <v>1.16938950988822E-2</v>
      </c>
      <c r="P37" s="2070">
        <v>3.1814273430782461E-3</v>
      </c>
      <c r="Q37" s="2070">
        <v>6.3628546861564921E-3</v>
      </c>
      <c r="R37" s="2070">
        <v>7.3946689595872743E-3</v>
      </c>
      <c r="S37" s="2070">
        <v>7.3946689595872743E-3</v>
      </c>
      <c r="T37" s="2070">
        <v>0.23783319002579537</v>
      </c>
      <c r="U37" s="2070">
        <v>0.22020636285468617</v>
      </c>
      <c r="V37" s="2070">
        <v>0.38331900257953555</v>
      </c>
      <c r="W37" s="2070">
        <v>0.24952708512467758</v>
      </c>
      <c r="X37" s="2070">
        <v>1.0154772141014619</v>
      </c>
    </row>
    <row r="38" spans="1:24" ht="11.25" customHeight="1">
      <c r="A38" s="2068" t="s">
        <v>4663</v>
      </c>
      <c r="B38" s="2069" t="s">
        <v>5785</v>
      </c>
      <c r="C38" s="2070">
        <v>0</v>
      </c>
      <c r="D38" s="2070">
        <v>0</v>
      </c>
      <c r="E38" s="2070">
        <v>0</v>
      </c>
      <c r="F38" s="2070">
        <v>0</v>
      </c>
      <c r="G38" s="2070">
        <v>0</v>
      </c>
      <c r="H38" s="2070">
        <v>0</v>
      </c>
      <c r="I38" s="2070">
        <v>0</v>
      </c>
      <c r="J38" s="2070">
        <v>0</v>
      </c>
      <c r="K38" s="2070">
        <v>0</v>
      </c>
      <c r="L38" s="2070">
        <v>0</v>
      </c>
      <c r="M38" s="2070">
        <v>0</v>
      </c>
      <c r="N38" s="2070">
        <v>0</v>
      </c>
      <c r="O38" s="2070">
        <v>0</v>
      </c>
      <c r="P38" s="2070">
        <v>0</v>
      </c>
      <c r="Q38" s="2070">
        <v>0</v>
      </c>
      <c r="R38" s="2070">
        <v>0</v>
      </c>
      <c r="S38" s="2070">
        <v>0</v>
      </c>
      <c r="T38" s="2070">
        <v>0</v>
      </c>
      <c r="U38" s="2070">
        <v>0</v>
      </c>
      <c r="V38" s="2070">
        <v>0</v>
      </c>
      <c r="W38" s="2070">
        <v>0</v>
      </c>
      <c r="X38" s="2070">
        <v>0</v>
      </c>
    </row>
    <row r="39" spans="1:24" ht="11.25" customHeight="1">
      <c r="A39" s="2068" t="s">
        <v>5786</v>
      </c>
      <c r="B39" s="2069" t="s">
        <v>5787</v>
      </c>
      <c r="C39" s="2070">
        <v>0</v>
      </c>
      <c r="D39" s="2070">
        <v>0</v>
      </c>
      <c r="E39" s="2070">
        <v>0</v>
      </c>
      <c r="F39" s="2070">
        <v>0</v>
      </c>
      <c r="G39" s="2070">
        <v>0</v>
      </c>
      <c r="H39" s="2070">
        <v>0</v>
      </c>
      <c r="I39" s="2070">
        <v>0</v>
      </c>
      <c r="J39" s="2070">
        <v>0</v>
      </c>
      <c r="K39" s="2070">
        <v>0</v>
      </c>
      <c r="L39" s="2070">
        <v>0</v>
      </c>
      <c r="M39" s="2070">
        <v>0</v>
      </c>
      <c r="N39" s="2070">
        <v>0</v>
      </c>
      <c r="O39" s="2070">
        <v>0</v>
      </c>
      <c r="P39" s="2070">
        <v>0</v>
      </c>
      <c r="Q39" s="2070">
        <v>0</v>
      </c>
      <c r="R39" s="2070">
        <v>0</v>
      </c>
      <c r="S39" s="2070">
        <v>0</v>
      </c>
      <c r="T39" s="2070">
        <v>0</v>
      </c>
      <c r="U39" s="2070">
        <v>0</v>
      </c>
      <c r="V39" s="2070">
        <v>0</v>
      </c>
      <c r="W39" s="2070">
        <v>0</v>
      </c>
      <c r="X39" s="2070">
        <v>0</v>
      </c>
    </row>
    <row r="40" spans="1:24" ht="11.25" customHeight="1">
      <c r="A40" s="2068" t="s">
        <v>5788</v>
      </c>
      <c r="B40" s="2069" t="s">
        <v>5789</v>
      </c>
      <c r="C40" s="2070">
        <v>0</v>
      </c>
      <c r="D40" s="2070">
        <v>0</v>
      </c>
      <c r="E40" s="2070">
        <v>0</v>
      </c>
      <c r="F40" s="2070">
        <v>0</v>
      </c>
      <c r="G40" s="2070">
        <v>0</v>
      </c>
      <c r="H40" s="2070">
        <v>0</v>
      </c>
      <c r="I40" s="2070">
        <v>0</v>
      </c>
      <c r="J40" s="2070">
        <v>0</v>
      </c>
      <c r="K40" s="2070">
        <v>0</v>
      </c>
      <c r="L40" s="2070">
        <v>0</v>
      </c>
      <c r="M40" s="2070">
        <v>0</v>
      </c>
      <c r="N40" s="2070">
        <v>0</v>
      </c>
      <c r="O40" s="2070">
        <v>0</v>
      </c>
      <c r="P40" s="2070">
        <v>0</v>
      </c>
      <c r="Q40" s="2070">
        <v>0</v>
      </c>
      <c r="R40" s="2070">
        <v>0</v>
      </c>
      <c r="S40" s="2070">
        <v>0</v>
      </c>
      <c r="T40" s="2070">
        <v>0</v>
      </c>
      <c r="U40" s="2070">
        <v>0</v>
      </c>
      <c r="V40" s="2070">
        <v>0</v>
      </c>
      <c r="W40" s="2070">
        <v>0</v>
      </c>
      <c r="X40" s="2070">
        <v>0</v>
      </c>
    </row>
    <row r="41" spans="1:24" ht="11.25" customHeight="1">
      <c r="A41" s="2068" t="s">
        <v>4664</v>
      </c>
      <c r="B41" s="2069" t="s">
        <v>5790</v>
      </c>
      <c r="C41" s="2070">
        <v>2.7966466036113493</v>
      </c>
      <c r="D41" s="2070">
        <v>1.9140154772141011</v>
      </c>
      <c r="E41" s="2070">
        <v>1.6595872742906272</v>
      </c>
      <c r="F41" s="2070">
        <v>0.42966466036113488</v>
      </c>
      <c r="G41" s="2070">
        <v>0.24067067927773</v>
      </c>
      <c r="H41" s="2070">
        <v>0.41169389509888221</v>
      </c>
      <c r="I41" s="2070">
        <v>0.25864144453998278</v>
      </c>
      <c r="J41" s="2070">
        <v>0.16259673258813409</v>
      </c>
      <c r="K41" s="2070">
        <v>0.16999140154772141</v>
      </c>
      <c r="L41" s="2070">
        <v>0.14987102321582119</v>
      </c>
      <c r="M41" s="2070">
        <v>0.12347377472055029</v>
      </c>
      <c r="N41" s="2070">
        <v>3.4823731728288912E-2</v>
      </c>
      <c r="O41" s="2070">
        <v>4.7463456577815991E-2</v>
      </c>
      <c r="P41" s="2070">
        <v>7.3860705073086841E-2</v>
      </c>
      <c r="Q41" s="2070">
        <v>7.3860705073086841E-2</v>
      </c>
      <c r="R41" s="2070">
        <v>4.4368013757523653E-2</v>
      </c>
      <c r="S41" s="2070">
        <v>2.8460877042132411E-2</v>
      </c>
      <c r="T41" s="2070">
        <v>6.1220980223559762E-2</v>
      </c>
      <c r="U41" s="2070">
        <v>8.6328460877042129E-2</v>
      </c>
      <c r="V41" s="2070">
        <v>9.4582975064488387E-3</v>
      </c>
      <c r="W41" s="2070">
        <v>0.1562338779019776</v>
      </c>
      <c r="X41" s="2070">
        <v>4.858125537403267E-2</v>
      </c>
    </row>
    <row r="42" spans="1:24" ht="11.25" customHeight="1">
      <c r="A42" s="2068" t="s">
        <v>4611</v>
      </c>
      <c r="B42" s="2069" t="s">
        <v>5791</v>
      </c>
      <c r="C42" s="2070">
        <v>0</v>
      </c>
      <c r="D42" s="2070">
        <v>0</v>
      </c>
      <c r="E42" s="2070">
        <v>0</v>
      </c>
      <c r="F42" s="2070">
        <v>0</v>
      </c>
      <c r="G42" s="2070">
        <v>0</v>
      </c>
      <c r="H42" s="2070">
        <v>0</v>
      </c>
      <c r="I42" s="2070">
        <v>0</v>
      </c>
      <c r="J42" s="2070">
        <v>0</v>
      </c>
      <c r="K42" s="2070">
        <v>0</v>
      </c>
      <c r="L42" s="2070">
        <v>0</v>
      </c>
      <c r="M42" s="2070">
        <v>0</v>
      </c>
      <c r="N42" s="2070">
        <v>0</v>
      </c>
      <c r="O42" s="2070">
        <v>0</v>
      </c>
      <c r="P42" s="2070">
        <v>0</v>
      </c>
      <c r="Q42" s="2070">
        <v>0</v>
      </c>
      <c r="R42" s="2070">
        <v>0</v>
      </c>
      <c r="S42" s="2070">
        <v>0</v>
      </c>
      <c r="T42" s="2070">
        <v>0</v>
      </c>
      <c r="U42" s="2070">
        <v>0</v>
      </c>
      <c r="V42" s="2070">
        <v>0</v>
      </c>
      <c r="W42" s="2070">
        <v>0</v>
      </c>
      <c r="X42" s="2070">
        <v>0</v>
      </c>
    </row>
    <row r="43" spans="1:24" ht="11.25" customHeight="1">
      <c r="A43" s="2068" t="s">
        <v>5792</v>
      </c>
      <c r="B43" s="2069" t="s">
        <v>5793</v>
      </c>
      <c r="C43" s="2070">
        <v>380.34737747205492</v>
      </c>
      <c r="D43" s="2070">
        <v>412.84737747205492</v>
      </c>
      <c r="E43" s="2070">
        <v>384.73061049011181</v>
      </c>
      <c r="F43" s="2070">
        <v>379.86362854686155</v>
      </c>
      <c r="G43" s="2070">
        <v>356.52682717110918</v>
      </c>
      <c r="H43" s="2070">
        <v>373.20610490111773</v>
      </c>
      <c r="I43" s="2070">
        <v>236.62029234737744</v>
      </c>
      <c r="J43" s="2070">
        <v>274.27644024075664</v>
      </c>
      <c r="K43" s="2070">
        <v>205.64428202923472</v>
      </c>
      <c r="L43" s="2070">
        <v>179.77067927773004</v>
      </c>
      <c r="M43" s="2070">
        <v>174.11625107480654</v>
      </c>
      <c r="N43" s="2070">
        <v>150.27110920034394</v>
      </c>
      <c r="O43" s="2070">
        <v>130.73757523645742</v>
      </c>
      <c r="P43" s="2070">
        <v>92.016852966466018</v>
      </c>
      <c r="Q43" s="2070">
        <v>93.047377472055032</v>
      </c>
      <c r="R43" s="2070">
        <v>101.14376612209797</v>
      </c>
      <c r="S43" s="2070">
        <v>96.088048151332728</v>
      </c>
      <c r="T43" s="2070">
        <v>85.768615649183147</v>
      </c>
      <c r="U43" s="2070">
        <v>79.114273430782447</v>
      </c>
      <c r="V43" s="2070">
        <v>71.597936371453144</v>
      </c>
      <c r="W43" s="2070">
        <v>68.463800515907153</v>
      </c>
      <c r="X43" s="2070">
        <v>80.801547721410145</v>
      </c>
    </row>
    <row r="44" spans="1:24" ht="11.25" customHeight="1">
      <c r="A44" s="2068" t="s">
        <v>4665</v>
      </c>
      <c r="B44" s="2069" t="s">
        <v>5794</v>
      </c>
      <c r="C44" s="2070">
        <v>971.8750644883919</v>
      </c>
      <c r="D44" s="2070">
        <v>820.75649183147061</v>
      </c>
      <c r="E44" s="2070">
        <v>794.77618228718813</v>
      </c>
      <c r="F44" s="2070">
        <v>767.28426483233011</v>
      </c>
      <c r="G44" s="2070">
        <v>641.00472914875309</v>
      </c>
      <c r="H44" s="2070">
        <v>436.74823731728281</v>
      </c>
      <c r="I44" s="2070">
        <v>415.67411865864142</v>
      </c>
      <c r="J44" s="2070">
        <v>430.37343078245914</v>
      </c>
      <c r="K44" s="2070">
        <v>355.77059329320718</v>
      </c>
      <c r="L44" s="2070">
        <v>254.04557179707652</v>
      </c>
      <c r="M44" s="2070">
        <v>178.42106620808255</v>
      </c>
      <c r="N44" s="2070">
        <v>102.05631986242474</v>
      </c>
      <c r="O44" s="2070">
        <v>109.16509028374892</v>
      </c>
      <c r="P44" s="2070">
        <v>82.650816852966443</v>
      </c>
      <c r="Q44" s="2070">
        <v>67.322098022355988</v>
      </c>
      <c r="R44" s="2070">
        <v>68.688907996560616</v>
      </c>
      <c r="S44" s="2070">
        <v>73.825365434221823</v>
      </c>
      <c r="T44" s="2070">
        <v>51.90154772141014</v>
      </c>
      <c r="U44" s="2070">
        <v>49.404127257093712</v>
      </c>
      <c r="V44" s="2070">
        <v>26.861994840928634</v>
      </c>
      <c r="W44" s="2070">
        <v>14.220120378331901</v>
      </c>
      <c r="X44" s="2070">
        <v>23.432416165090288</v>
      </c>
    </row>
    <row r="45" spans="1:24" ht="11.25" customHeight="1">
      <c r="A45" s="2068" t="s">
        <v>5795</v>
      </c>
      <c r="B45" s="2069" t="s">
        <v>5796</v>
      </c>
      <c r="C45" s="2070">
        <v>0</v>
      </c>
      <c r="D45" s="2070">
        <v>0</v>
      </c>
      <c r="E45" s="2070">
        <v>0</v>
      </c>
      <c r="F45" s="2070">
        <v>0</v>
      </c>
      <c r="G45" s="2070">
        <v>0</v>
      </c>
      <c r="H45" s="2070">
        <v>4.8495270851246768E-2</v>
      </c>
      <c r="I45" s="2070">
        <v>4.6345657781599311E-2</v>
      </c>
      <c r="J45" s="2070">
        <v>5.3740326741186582E-2</v>
      </c>
      <c r="K45" s="2070">
        <v>2.5279449699054171E-2</v>
      </c>
      <c r="L45" s="2070">
        <v>2.003439380911436E-2</v>
      </c>
      <c r="M45" s="2070">
        <v>2.321582115219261E-2</v>
      </c>
      <c r="N45" s="2070">
        <v>2.321582115219261E-2</v>
      </c>
      <c r="O45" s="2070">
        <v>2.321582115219261E-2</v>
      </c>
      <c r="P45" s="2070">
        <v>1.0576096302665519E-2</v>
      </c>
      <c r="Q45" s="2070">
        <v>9.4582975064488387E-3</v>
      </c>
      <c r="R45" s="2070">
        <v>7.3946689595872734E-3</v>
      </c>
      <c r="S45" s="2070">
        <v>0</v>
      </c>
      <c r="T45" s="2070">
        <v>0</v>
      </c>
      <c r="U45" s="2070">
        <v>0</v>
      </c>
      <c r="V45" s="2070">
        <v>0</v>
      </c>
      <c r="W45" s="2070">
        <v>0</v>
      </c>
      <c r="X45" s="2070">
        <v>0</v>
      </c>
    </row>
    <row r="46" spans="1:24" ht="11.25" customHeight="1">
      <c r="A46" s="2068" t="s">
        <v>595</v>
      </c>
      <c r="B46" s="2069" t="s">
        <v>5797</v>
      </c>
      <c r="C46" s="2070">
        <v>0</v>
      </c>
      <c r="D46" s="2070">
        <v>0</v>
      </c>
      <c r="E46" s="2070">
        <v>0</v>
      </c>
      <c r="F46" s="2070">
        <v>0</v>
      </c>
      <c r="G46" s="2070">
        <v>0</v>
      </c>
      <c r="H46" s="2070">
        <v>0</v>
      </c>
      <c r="I46" s="2070">
        <v>0</v>
      </c>
      <c r="J46" s="2070">
        <v>0</v>
      </c>
      <c r="K46" s="2070">
        <v>0</v>
      </c>
      <c r="L46" s="2070">
        <v>0</v>
      </c>
      <c r="M46" s="2070">
        <v>0</v>
      </c>
      <c r="N46" s="2070">
        <v>0</v>
      </c>
      <c r="O46" s="2070">
        <v>0</v>
      </c>
      <c r="P46" s="2070">
        <v>0</v>
      </c>
      <c r="Q46" s="2070">
        <v>0</v>
      </c>
      <c r="R46" s="2070">
        <v>0</v>
      </c>
      <c r="S46" s="2070">
        <v>0</v>
      </c>
      <c r="T46" s="2070">
        <v>0</v>
      </c>
      <c r="U46" s="2070">
        <v>0</v>
      </c>
      <c r="V46" s="2070">
        <v>0</v>
      </c>
      <c r="W46" s="2070">
        <v>0</v>
      </c>
      <c r="X46" s="2070">
        <v>0</v>
      </c>
    </row>
    <row r="47" spans="1:24" ht="11.25" customHeight="1">
      <c r="A47" s="2068" t="s">
        <v>4614</v>
      </c>
      <c r="B47" s="2069" t="s">
        <v>5798</v>
      </c>
      <c r="C47" s="2070">
        <v>0</v>
      </c>
      <c r="D47" s="2070">
        <v>0</v>
      </c>
      <c r="E47" s="2070">
        <v>0</v>
      </c>
      <c r="F47" s="2070">
        <v>0</v>
      </c>
      <c r="G47" s="2070">
        <v>0</v>
      </c>
      <c r="H47" s="2070">
        <v>0</v>
      </c>
      <c r="I47" s="2070">
        <v>0</v>
      </c>
      <c r="J47" s="2070">
        <v>0</v>
      </c>
      <c r="K47" s="2070">
        <v>0</v>
      </c>
      <c r="L47" s="2070">
        <v>0</v>
      </c>
      <c r="M47" s="2070">
        <v>0</v>
      </c>
      <c r="N47" s="2070">
        <v>0</v>
      </c>
      <c r="O47" s="2070">
        <v>0</v>
      </c>
      <c r="P47" s="2070">
        <v>0</v>
      </c>
      <c r="Q47" s="2070">
        <v>0</v>
      </c>
      <c r="R47" s="2070">
        <v>0</v>
      </c>
      <c r="S47" s="2070">
        <v>0</v>
      </c>
      <c r="T47" s="2070">
        <v>0</v>
      </c>
      <c r="U47" s="2070">
        <v>0</v>
      </c>
      <c r="V47" s="2070">
        <v>0</v>
      </c>
      <c r="W47" s="2070">
        <v>0</v>
      </c>
      <c r="X47" s="2070">
        <v>0</v>
      </c>
    </row>
    <row r="48" spans="1:24" ht="11.25" customHeight="1">
      <c r="A48" s="2068" t="s">
        <v>4667</v>
      </c>
      <c r="B48" s="2069" t="s">
        <v>5799</v>
      </c>
      <c r="C48" s="2070">
        <v>0</v>
      </c>
      <c r="D48" s="2070">
        <v>0</v>
      </c>
      <c r="E48" s="2070">
        <v>0</v>
      </c>
      <c r="F48" s="2070">
        <v>0</v>
      </c>
      <c r="G48" s="2070">
        <v>0</v>
      </c>
      <c r="H48" s="2070">
        <v>0</v>
      </c>
      <c r="I48" s="2070">
        <v>0</v>
      </c>
      <c r="J48" s="2070">
        <v>0</v>
      </c>
      <c r="K48" s="2070">
        <v>0</v>
      </c>
      <c r="L48" s="2070">
        <v>0</v>
      </c>
      <c r="M48" s="2070">
        <v>0</v>
      </c>
      <c r="N48" s="2070">
        <v>0</v>
      </c>
      <c r="O48" s="2070">
        <v>0</v>
      </c>
      <c r="P48" s="2070">
        <v>0</v>
      </c>
      <c r="Q48" s="2070">
        <v>0</v>
      </c>
      <c r="R48" s="2070">
        <v>0</v>
      </c>
      <c r="S48" s="2070">
        <v>0</v>
      </c>
      <c r="T48" s="2070">
        <v>0</v>
      </c>
      <c r="U48" s="2070">
        <v>0</v>
      </c>
      <c r="V48" s="2070">
        <v>0</v>
      </c>
      <c r="W48" s="2070">
        <v>0</v>
      </c>
      <c r="X48" s="2070">
        <v>0</v>
      </c>
    </row>
    <row r="49" spans="1:24" ht="11.25" customHeight="1">
      <c r="A49" s="2068" t="s">
        <v>4666</v>
      </c>
      <c r="B49" s="2069" t="s">
        <v>5800</v>
      </c>
      <c r="C49" s="2070">
        <v>0</v>
      </c>
      <c r="D49" s="2070">
        <v>0</v>
      </c>
      <c r="E49" s="2070">
        <v>0</v>
      </c>
      <c r="F49" s="2070">
        <v>0</v>
      </c>
      <c r="G49" s="2070">
        <v>0</v>
      </c>
      <c r="H49" s="2070">
        <v>0</v>
      </c>
      <c r="I49" s="2070">
        <v>0</v>
      </c>
      <c r="J49" s="2070">
        <v>0</v>
      </c>
      <c r="K49" s="2070">
        <v>0</v>
      </c>
      <c r="L49" s="2070">
        <v>0</v>
      </c>
      <c r="M49" s="2070">
        <v>0</v>
      </c>
      <c r="N49" s="2070">
        <v>0</v>
      </c>
      <c r="O49" s="2070">
        <v>0</v>
      </c>
      <c r="P49" s="2070">
        <v>0</v>
      </c>
      <c r="Q49" s="2070">
        <v>0</v>
      </c>
      <c r="R49" s="2070">
        <v>0</v>
      </c>
      <c r="S49" s="2070">
        <v>0</v>
      </c>
      <c r="T49" s="2070">
        <v>0</v>
      </c>
      <c r="U49" s="2070">
        <v>0</v>
      </c>
      <c r="V49" s="2070">
        <v>0</v>
      </c>
      <c r="W49" s="2070">
        <v>0</v>
      </c>
      <c r="X49" s="2070">
        <v>0</v>
      </c>
    </row>
    <row r="50" spans="1:24" ht="11.25" customHeight="1">
      <c r="A50" s="2068" t="s">
        <v>4668</v>
      </c>
      <c r="B50" s="2069" t="s">
        <v>5801</v>
      </c>
      <c r="C50" s="2070">
        <v>0</v>
      </c>
      <c r="D50" s="2070">
        <v>0</v>
      </c>
      <c r="E50" s="2070">
        <v>0</v>
      </c>
      <c r="F50" s="2070">
        <v>0</v>
      </c>
      <c r="G50" s="2070">
        <v>0</v>
      </c>
      <c r="H50" s="2070">
        <v>0</v>
      </c>
      <c r="I50" s="2070">
        <v>2.1018916595012902</v>
      </c>
      <c r="J50" s="2070">
        <v>0</v>
      </c>
      <c r="K50" s="2070">
        <v>0</v>
      </c>
      <c r="L50" s="2070">
        <v>0</v>
      </c>
      <c r="M50" s="2070">
        <v>0</v>
      </c>
      <c r="N50" s="2070">
        <v>0</v>
      </c>
      <c r="O50" s="2070">
        <v>0</v>
      </c>
      <c r="P50" s="2070">
        <v>0</v>
      </c>
      <c r="Q50" s="2070">
        <v>0</v>
      </c>
      <c r="R50" s="2070">
        <v>0</v>
      </c>
      <c r="S50" s="2070">
        <v>0.94350816852966468</v>
      </c>
      <c r="T50" s="2070">
        <v>0</v>
      </c>
      <c r="U50" s="2070">
        <v>0</v>
      </c>
      <c r="V50" s="2070">
        <v>0</v>
      </c>
      <c r="W50" s="2070">
        <v>1.6337059329320719E-3</v>
      </c>
      <c r="X50" s="2070">
        <v>0.94428202923473781</v>
      </c>
    </row>
    <row r="51" spans="1:24" ht="11.25" customHeight="1">
      <c r="A51" s="2071" t="s">
        <v>3875</v>
      </c>
      <c r="B51" s="2072" t="s">
        <v>5802</v>
      </c>
      <c r="C51" s="2073">
        <v>4518.1771281169395</v>
      </c>
      <c r="D51" s="2073">
        <v>4513.1515047291487</v>
      </c>
      <c r="E51" s="2073">
        <v>4596.1316423043854</v>
      </c>
      <c r="F51" s="2073">
        <v>4728.285038693034</v>
      </c>
      <c r="G51" s="2073">
        <v>4381.8196044711949</v>
      </c>
      <c r="H51" s="2073">
        <v>3179.0307824591578</v>
      </c>
      <c r="I51" s="2073">
        <v>2998.7986242476354</v>
      </c>
      <c r="J51" s="2073">
        <v>2486.2851246775576</v>
      </c>
      <c r="K51" s="2073">
        <v>2208.7764402407561</v>
      </c>
      <c r="L51" s="2073">
        <v>2010.6078245915737</v>
      </c>
      <c r="M51" s="2073">
        <v>1903.811521926053</v>
      </c>
      <c r="N51" s="2073">
        <v>1877.0940670679274</v>
      </c>
      <c r="O51" s="2073">
        <v>1818.2874462596733</v>
      </c>
      <c r="P51" s="2073">
        <v>1836.907480653482</v>
      </c>
      <c r="Q51" s="2073">
        <v>1751.4506448839211</v>
      </c>
      <c r="R51" s="2073">
        <v>1707.8045571797079</v>
      </c>
      <c r="S51" s="2073">
        <v>1760.034479793637</v>
      </c>
      <c r="T51" s="2073">
        <v>1836.2527944969904</v>
      </c>
      <c r="U51" s="2073">
        <v>1742.1822012037833</v>
      </c>
      <c r="V51" s="2073">
        <v>1700.7477214101461</v>
      </c>
      <c r="W51" s="2073">
        <v>1553.174634565778</v>
      </c>
      <c r="X51" s="2073">
        <v>1690.3392089423905</v>
      </c>
    </row>
    <row r="52" spans="1:24" ht="11.25" customHeight="1">
      <c r="A52" s="2071" t="s">
        <v>5803</v>
      </c>
      <c r="B52" s="2072" t="s">
        <v>5804</v>
      </c>
      <c r="C52" s="2073">
        <v>63.470023202098083</v>
      </c>
      <c r="D52" s="2073">
        <v>67.732557469636475</v>
      </c>
      <c r="E52" s="2073">
        <v>61.908925546877065</v>
      </c>
      <c r="F52" s="2073">
        <v>75.270287136319098</v>
      </c>
      <c r="G52" s="2073">
        <v>68.84790751799909</v>
      </c>
      <c r="H52" s="2073">
        <v>69.291624778190595</v>
      </c>
      <c r="I52" s="2073">
        <v>75.32392497840128</v>
      </c>
      <c r="J52" s="2073">
        <v>71.938842920420001</v>
      </c>
      <c r="K52" s="2073">
        <v>72.575656472603072</v>
      </c>
      <c r="L52" s="2073">
        <v>69.289322010703316</v>
      </c>
      <c r="M52" s="2073">
        <v>76.969856955678821</v>
      </c>
      <c r="N52" s="2073">
        <v>79.10442502006515</v>
      </c>
      <c r="O52" s="2073">
        <v>16.2092377751143</v>
      </c>
      <c r="P52" s="2073">
        <v>22.108844885925233</v>
      </c>
      <c r="Q52" s="2073">
        <v>20.142851466736111</v>
      </c>
      <c r="R52" s="2073">
        <v>19.99228202437936</v>
      </c>
      <c r="S52" s="2073">
        <v>22.428513639096217</v>
      </c>
      <c r="T52" s="2073">
        <v>24.758403450394532</v>
      </c>
      <c r="U52" s="2073">
        <v>32.496654865098876</v>
      </c>
      <c r="V52" s="2073">
        <v>33.858208122947872</v>
      </c>
      <c r="W52" s="2073">
        <v>33.630547403523408</v>
      </c>
      <c r="X52" s="2073">
        <v>31.70369475260155</v>
      </c>
    </row>
    <row r="53" spans="1:24" ht="11.25" customHeight="1">
      <c r="A53" s="2074" t="s">
        <v>3973</v>
      </c>
      <c r="B53" s="2069" t="s">
        <v>5805</v>
      </c>
      <c r="C53" s="2070">
        <v>0</v>
      </c>
      <c r="D53" s="2070">
        <v>0</v>
      </c>
      <c r="E53" s="2070">
        <v>0</v>
      </c>
      <c r="F53" s="2070">
        <v>0</v>
      </c>
      <c r="G53" s="2070">
        <v>0</v>
      </c>
      <c r="H53" s="2070">
        <v>0</v>
      </c>
      <c r="I53" s="2070">
        <v>0</v>
      </c>
      <c r="J53" s="2070">
        <v>0</v>
      </c>
      <c r="K53" s="2070">
        <v>0</v>
      </c>
      <c r="L53" s="2070">
        <v>0</v>
      </c>
      <c r="M53" s="2070">
        <v>0</v>
      </c>
      <c r="N53" s="2070">
        <v>0</v>
      </c>
      <c r="O53" s="2070">
        <v>0</v>
      </c>
      <c r="P53" s="2070">
        <v>0</v>
      </c>
      <c r="Q53" s="2070">
        <v>0</v>
      </c>
      <c r="R53" s="2070">
        <v>0</v>
      </c>
      <c r="S53" s="2070">
        <v>0</v>
      </c>
      <c r="T53" s="2070">
        <v>0</v>
      </c>
      <c r="U53" s="2070">
        <v>0</v>
      </c>
      <c r="V53" s="2070">
        <v>0</v>
      </c>
      <c r="W53" s="2070">
        <v>0</v>
      </c>
      <c r="X53" s="2070">
        <v>0</v>
      </c>
    </row>
    <row r="54" spans="1:24" ht="11.25" customHeight="1">
      <c r="A54" s="2074" t="s">
        <v>5806</v>
      </c>
      <c r="B54" s="2069" t="s">
        <v>5807</v>
      </c>
      <c r="C54" s="2070">
        <v>0</v>
      </c>
      <c r="D54" s="2070">
        <v>0</v>
      </c>
      <c r="E54" s="2070">
        <v>0</v>
      </c>
      <c r="F54" s="2070">
        <v>0</v>
      </c>
      <c r="G54" s="2070">
        <v>0</v>
      </c>
      <c r="H54" s="2070">
        <v>0</v>
      </c>
      <c r="I54" s="2070">
        <v>0</v>
      </c>
      <c r="J54" s="2070">
        <v>0</v>
      </c>
      <c r="K54" s="2070">
        <v>0</v>
      </c>
      <c r="L54" s="2070">
        <v>0</v>
      </c>
      <c r="M54" s="2070">
        <v>0</v>
      </c>
      <c r="N54" s="2070">
        <v>0</v>
      </c>
      <c r="O54" s="2070">
        <v>0</v>
      </c>
      <c r="P54" s="2070">
        <v>0</v>
      </c>
      <c r="Q54" s="2070">
        <v>0</v>
      </c>
      <c r="R54" s="2070">
        <v>0</v>
      </c>
      <c r="S54" s="2070">
        <v>0</v>
      </c>
      <c r="T54" s="2070">
        <v>0</v>
      </c>
      <c r="U54" s="2070">
        <v>0</v>
      </c>
      <c r="V54" s="2070">
        <v>0</v>
      </c>
      <c r="W54" s="2070">
        <v>0</v>
      </c>
      <c r="X54" s="2070">
        <v>0</v>
      </c>
    </row>
    <row r="55" spans="1:24" ht="11.25" customHeight="1">
      <c r="A55" s="2074" t="s">
        <v>3965</v>
      </c>
      <c r="B55" s="2069" t="s">
        <v>5808</v>
      </c>
      <c r="C55" s="2070">
        <v>0</v>
      </c>
      <c r="D55" s="2070">
        <v>0</v>
      </c>
      <c r="E55" s="2070">
        <v>0</v>
      </c>
      <c r="F55" s="2070">
        <v>0</v>
      </c>
      <c r="G55" s="2070">
        <v>0</v>
      </c>
      <c r="H55" s="2070">
        <v>0</v>
      </c>
      <c r="I55" s="2070">
        <v>0</v>
      </c>
      <c r="J55" s="2070">
        <v>0</v>
      </c>
      <c r="K55" s="2070">
        <v>0</v>
      </c>
      <c r="L55" s="2070">
        <v>0</v>
      </c>
      <c r="M55" s="2070">
        <v>0</v>
      </c>
      <c r="N55" s="2070">
        <v>0</v>
      </c>
      <c r="O55" s="2070">
        <v>0</v>
      </c>
      <c r="P55" s="2070">
        <v>0</v>
      </c>
      <c r="Q55" s="2070">
        <v>0</v>
      </c>
      <c r="R55" s="2070">
        <v>0</v>
      </c>
      <c r="S55" s="2070">
        <v>0</v>
      </c>
      <c r="T55" s="2070">
        <v>0</v>
      </c>
      <c r="U55" s="2070">
        <v>0</v>
      </c>
      <c r="V55" s="2070">
        <v>0</v>
      </c>
      <c r="W55" s="2070">
        <v>0</v>
      </c>
      <c r="X55" s="2070">
        <v>0</v>
      </c>
    </row>
    <row r="56" spans="1:24" ht="11.25" customHeight="1">
      <c r="A56" s="2074" t="s">
        <v>5636</v>
      </c>
      <c r="B56" s="2069" t="s">
        <v>5809</v>
      </c>
      <c r="C56" s="2070">
        <v>0</v>
      </c>
      <c r="D56" s="2070">
        <v>0</v>
      </c>
      <c r="E56" s="2070">
        <v>0</v>
      </c>
      <c r="F56" s="2070">
        <v>0</v>
      </c>
      <c r="G56" s="2070">
        <v>0</v>
      </c>
      <c r="H56" s="2070">
        <v>0</v>
      </c>
      <c r="I56" s="2070">
        <v>0</v>
      </c>
      <c r="J56" s="2070">
        <v>0</v>
      </c>
      <c r="K56" s="2070">
        <v>0</v>
      </c>
      <c r="L56" s="2070">
        <v>0</v>
      </c>
      <c r="M56" s="2070">
        <v>0</v>
      </c>
      <c r="N56" s="2070">
        <v>0</v>
      </c>
      <c r="O56" s="2070">
        <v>0</v>
      </c>
      <c r="P56" s="2070">
        <v>0</v>
      </c>
      <c r="Q56" s="2070">
        <v>0</v>
      </c>
      <c r="R56" s="2070">
        <v>0</v>
      </c>
      <c r="S56" s="2070">
        <v>0</v>
      </c>
      <c r="T56" s="2070">
        <v>0</v>
      </c>
      <c r="U56" s="2070">
        <v>0</v>
      </c>
      <c r="V56" s="2070">
        <v>0</v>
      </c>
      <c r="W56" s="2070">
        <v>0</v>
      </c>
      <c r="X56" s="2070">
        <v>0</v>
      </c>
    </row>
    <row r="57" spans="1:24" ht="11.25" customHeight="1">
      <c r="A57" s="2074" t="s">
        <v>4617</v>
      </c>
      <c r="B57" s="2069" t="s">
        <v>5810</v>
      </c>
      <c r="C57" s="2070">
        <v>4.9871023215821153E-3</v>
      </c>
      <c r="D57" s="2070">
        <v>8.6844368013757525E-3</v>
      </c>
      <c r="E57" s="2070">
        <v>8.6844368013757525E-3</v>
      </c>
      <c r="F57" s="2070">
        <v>8.6844368013757525E-3</v>
      </c>
      <c r="G57" s="2070">
        <v>8.9423903697334467E-3</v>
      </c>
      <c r="H57" s="2070">
        <v>1.9346517626827171E-2</v>
      </c>
      <c r="I57" s="2070">
        <v>6.2940670679277722E-2</v>
      </c>
      <c r="J57" s="2070">
        <v>6.2940670679277722E-2</v>
      </c>
      <c r="K57" s="2070">
        <v>6.5262252794496989E-2</v>
      </c>
      <c r="L57" s="2070">
        <v>6.5692175408426479E-2</v>
      </c>
      <c r="M57" s="2070">
        <v>6.5692175408426479E-2</v>
      </c>
      <c r="N57" s="2070">
        <v>6.5692175408426479E-2</v>
      </c>
      <c r="O57" s="2070">
        <v>6.5692175408426479E-2</v>
      </c>
      <c r="P57" s="2070">
        <v>7.1625107480653469E-2</v>
      </c>
      <c r="Q57" s="2070">
        <v>0.1251074806534824</v>
      </c>
      <c r="R57" s="2070">
        <v>0.1251074806534824</v>
      </c>
      <c r="S57" s="2070">
        <v>0.1251074806534824</v>
      </c>
      <c r="T57" s="2070">
        <v>0.1251074806534824</v>
      </c>
      <c r="U57" s="2070">
        <v>0.1202063628546861</v>
      </c>
      <c r="V57" s="2070">
        <v>0.1202063628546861</v>
      </c>
      <c r="W57" s="2070">
        <v>0.1202063628546861</v>
      </c>
      <c r="X57" s="2070">
        <v>0.1202063628546861</v>
      </c>
    </row>
    <row r="58" spans="1:24" ht="11.25" customHeight="1">
      <c r="A58" s="2074" t="s">
        <v>3971</v>
      </c>
      <c r="B58" s="2069" t="s">
        <v>5811</v>
      </c>
      <c r="C58" s="2070">
        <v>7.1625107480653469E-2</v>
      </c>
      <c r="D58" s="2070">
        <v>0.1194325021496131</v>
      </c>
      <c r="E58" s="2070">
        <v>4.7807394668959592E-2</v>
      </c>
      <c r="F58" s="2070">
        <v>4.7807394668959592E-2</v>
      </c>
      <c r="G58" s="2070">
        <v>0.11943250214961307</v>
      </c>
      <c r="H58" s="2070">
        <v>0.11943250214961307</v>
      </c>
      <c r="I58" s="2070">
        <v>0.16723989681857268</v>
      </c>
      <c r="J58" s="2070">
        <v>0.14333619948409287</v>
      </c>
      <c r="K58" s="2070">
        <v>0.16723989681857257</v>
      </c>
      <c r="L58" s="2070">
        <v>0.14333619948409279</v>
      </c>
      <c r="M58" s="2070">
        <v>0</v>
      </c>
      <c r="N58" s="2070">
        <v>0.14333619948409279</v>
      </c>
      <c r="O58" s="2070">
        <v>9.5528804815133275E-2</v>
      </c>
      <c r="P58" s="2070">
        <v>2.3903697334479789E-2</v>
      </c>
      <c r="Q58" s="2070">
        <v>2.3903697334479789E-2</v>
      </c>
      <c r="R58" s="2070">
        <v>2.3903697334479789E-2</v>
      </c>
      <c r="S58" s="2070">
        <v>2.3903697334479789E-2</v>
      </c>
      <c r="T58" s="2070">
        <v>3.6371453138435081E-2</v>
      </c>
      <c r="U58" s="2070">
        <v>0.18615649183147029</v>
      </c>
      <c r="V58" s="2070">
        <v>6.964746345657781E-3</v>
      </c>
      <c r="W58" s="2070">
        <v>4.9011177987962166E-3</v>
      </c>
      <c r="X58" s="2070">
        <v>1.8916595012897679E-3</v>
      </c>
    </row>
    <row r="59" spans="1:24" ht="11.25" customHeight="1">
      <c r="A59" s="2074" t="s">
        <v>4669</v>
      </c>
      <c r="B59" s="2069" t="s">
        <v>5812</v>
      </c>
      <c r="C59" s="2070">
        <v>62.911951848667229</v>
      </c>
      <c r="D59" s="2070">
        <v>67.163456577815978</v>
      </c>
      <c r="E59" s="2070">
        <v>60.977300085984517</v>
      </c>
      <c r="F59" s="2070">
        <v>74.496044711951853</v>
      </c>
      <c r="G59" s="2070">
        <v>67.999484092863284</v>
      </c>
      <c r="H59" s="2070">
        <v>68.64282029234738</v>
      </c>
      <c r="I59" s="2070">
        <v>67.134479793637126</v>
      </c>
      <c r="J59" s="2070">
        <v>71.17601031814273</v>
      </c>
      <c r="K59" s="2070">
        <v>71.58873602751504</v>
      </c>
      <c r="L59" s="2070">
        <v>67.957007738607047</v>
      </c>
      <c r="M59" s="2070">
        <v>75.418658641444537</v>
      </c>
      <c r="N59" s="2070">
        <v>77.370765262252789</v>
      </c>
      <c r="O59" s="2070">
        <v>14.067583834909716</v>
      </c>
      <c r="P59" s="2070">
        <v>19.43224419604471</v>
      </c>
      <c r="Q59" s="2070">
        <v>15.545743766122095</v>
      </c>
      <c r="R59" s="2070">
        <v>15.525795356835767</v>
      </c>
      <c r="S59" s="2070">
        <v>17.258297506448834</v>
      </c>
      <c r="T59" s="2070">
        <v>19.766895958727428</v>
      </c>
      <c r="U59" s="2070">
        <v>27.087962166809977</v>
      </c>
      <c r="V59" s="2070">
        <v>27.816938950988817</v>
      </c>
      <c r="W59" s="2070">
        <v>27.266638005159066</v>
      </c>
      <c r="X59" s="2070">
        <v>25.473172828890792</v>
      </c>
    </row>
    <row r="60" spans="1:24" ht="11.25" customHeight="1">
      <c r="A60" s="2074" t="s">
        <v>4618</v>
      </c>
      <c r="B60" s="2069" t="s">
        <v>5813</v>
      </c>
      <c r="C60" s="2070">
        <v>0</v>
      </c>
      <c r="D60" s="2070">
        <v>0</v>
      </c>
      <c r="E60" s="2070">
        <v>0</v>
      </c>
      <c r="F60" s="2070">
        <v>0</v>
      </c>
      <c r="G60" s="2070">
        <v>0</v>
      </c>
      <c r="H60" s="2070">
        <v>0</v>
      </c>
      <c r="I60" s="2070">
        <v>0</v>
      </c>
      <c r="J60" s="2070">
        <v>0</v>
      </c>
      <c r="K60" s="2070">
        <v>0</v>
      </c>
      <c r="L60" s="2070">
        <v>0</v>
      </c>
      <c r="M60" s="2070">
        <v>0</v>
      </c>
      <c r="N60" s="2070">
        <v>0</v>
      </c>
      <c r="O60" s="2070">
        <v>0</v>
      </c>
      <c r="P60" s="2070">
        <v>0.70455717970765264</v>
      </c>
      <c r="Q60" s="2070">
        <v>0.70455717970765264</v>
      </c>
      <c r="R60" s="2070">
        <v>0.70455717970765264</v>
      </c>
      <c r="S60" s="2070">
        <v>0.70455717970765264</v>
      </c>
      <c r="T60" s="2070">
        <v>0.57076526225279445</v>
      </c>
      <c r="U60" s="2070">
        <v>0</v>
      </c>
      <c r="V60" s="2070">
        <v>0</v>
      </c>
      <c r="W60" s="2070">
        <v>0</v>
      </c>
      <c r="X60" s="2070">
        <v>0</v>
      </c>
    </row>
    <row r="61" spans="1:24" ht="11.25" customHeight="1">
      <c r="A61" s="2074" t="s">
        <v>4670</v>
      </c>
      <c r="B61" s="2069" t="s">
        <v>5814</v>
      </c>
      <c r="C61" s="2070">
        <v>7.1625107480653469E-2</v>
      </c>
      <c r="D61" s="2070">
        <v>0</v>
      </c>
      <c r="E61" s="2070">
        <v>0.19105760963026661</v>
      </c>
      <c r="F61" s="2070">
        <v>7.1625107480653469E-2</v>
      </c>
      <c r="G61" s="2070">
        <v>4.7807394668959592E-2</v>
      </c>
      <c r="H61" s="2070">
        <v>2.3903697334479789E-2</v>
      </c>
      <c r="I61" s="2070">
        <v>0</v>
      </c>
      <c r="J61" s="2070">
        <v>0.2149613069647463</v>
      </c>
      <c r="K61" s="2070">
        <v>0.38349097162510737</v>
      </c>
      <c r="L61" s="2070">
        <v>0.69535683576956142</v>
      </c>
      <c r="M61" s="2070">
        <v>0.9840068787618228</v>
      </c>
      <c r="N61" s="2070">
        <v>0.98865004299226134</v>
      </c>
      <c r="O61" s="2070">
        <v>1.4703353396388648</v>
      </c>
      <c r="P61" s="2070">
        <v>1.2840928632846087</v>
      </c>
      <c r="Q61" s="2070">
        <v>1.1128116938950987</v>
      </c>
      <c r="R61" s="2070">
        <v>0.61650902837489252</v>
      </c>
      <c r="S61" s="2070">
        <v>0.61246775580395529</v>
      </c>
      <c r="T61" s="2070">
        <v>0.61057609630266541</v>
      </c>
      <c r="U61" s="2070">
        <v>0.69613069647463455</v>
      </c>
      <c r="V61" s="2070">
        <v>0.8023215821152192</v>
      </c>
      <c r="W61" s="2070">
        <v>0.71109200343938084</v>
      </c>
      <c r="X61" s="2070">
        <v>0.69097162510748056</v>
      </c>
    </row>
    <row r="62" spans="1:24" ht="11.25" customHeight="1">
      <c r="A62" s="2074" t="s">
        <v>5815</v>
      </c>
      <c r="B62" s="2069" t="s">
        <v>5816</v>
      </c>
      <c r="C62" s="2070">
        <v>0</v>
      </c>
      <c r="D62" s="2070">
        <v>2.3903697334479789E-2</v>
      </c>
      <c r="E62" s="2070">
        <v>0.23886500429922608</v>
      </c>
      <c r="F62" s="2070">
        <v>0.2149613069647463</v>
      </c>
      <c r="G62" s="2070">
        <v>0.23877901977644017</v>
      </c>
      <c r="H62" s="2070">
        <v>9.5528804815133275E-2</v>
      </c>
      <c r="I62" s="2070">
        <v>7.5475494411006014</v>
      </c>
      <c r="J62" s="2070">
        <v>0</v>
      </c>
      <c r="K62" s="2070">
        <v>0</v>
      </c>
      <c r="L62" s="2070">
        <v>0</v>
      </c>
      <c r="M62" s="2070">
        <v>0</v>
      </c>
      <c r="N62" s="2070">
        <v>0</v>
      </c>
      <c r="O62" s="2070">
        <v>0</v>
      </c>
      <c r="P62" s="2070">
        <v>0</v>
      </c>
      <c r="Q62" s="2070">
        <v>0</v>
      </c>
      <c r="R62" s="2070">
        <v>0</v>
      </c>
      <c r="S62" s="2070">
        <v>0</v>
      </c>
      <c r="T62" s="2070">
        <v>0</v>
      </c>
      <c r="U62" s="2070">
        <v>5.159071367153912E-4</v>
      </c>
      <c r="V62" s="2070">
        <v>2.7171109200343942E-2</v>
      </c>
      <c r="W62" s="2070">
        <v>6.0189165950128975E-4</v>
      </c>
      <c r="X62" s="2070">
        <v>0</v>
      </c>
    </row>
    <row r="63" spans="1:24" ht="11.25" customHeight="1">
      <c r="A63" s="2074" t="s">
        <v>5817</v>
      </c>
      <c r="B63" s="2069" t="s">
        <v>5818</v>
      </c>
      <c r="C63" s="2070">
        <v>0</v>
      </c>
      <c r="D63" s="2070">
        <v>0</v>
      </c>
      <c r="E63" s="2070">
        <v>0</v>
      </c>
      <c r="F63" s="2070">
        <v>0</v>
      </c>
      <c r="G63" s="2070">
        <v>0</v>
      </c>
      <c r="H63" s="2070">
        <v>0</v>
      </c>
      <c r="I63" s="2070">
        <v>0</v>
      </c>
      <c r="J63" s="2070">
        <v>0</v>
      </c>
      <c r="K63" s="2070">
        <v>0</v>
      </c>
      <c r="L63" s="2070">
        <v>0</v>
      </c>
      <c r="M63" s="2070">
        <v>0</v>
      </c>
      <c r="N63" s="2070">
        <v>0</v>
      </c>
      <c r="O63" s="2070">
        <v>0</v>
      </c>
      <c r="P63" s="2070">
        <v>0</v>
      </c>
      <c r="Q63" s="2070">
        <v>0</v>
      </c>
      <c r="R63" s="2070">
        <v>0</v>
      </c>
      <c r="S63" s="2070">
        <v>0</v>
      </c>
      <c r="T63" s="2070">
        <v>0</v>
      </c>
      <c r="U63" s="2070">
        <v>0</v>
      </c>
      <c r="V63" s="2070">
        <v>0</v>
      </c>
      <c r="W63" s="2070">
        <v>0</v>
      </c>
      <c r="X63" s="2070">
        <v>0</v>
      </c>
    </row>
    <row r="64" spans="1:24" ht="11.25" customHeight="1">
      <c r="A64" s="2074" t="s">
        <v>5819</v>
      </c>
      <c r="B64" s="2069" t="s">
        <v>5820</v>
      </c>
      <c r="C64" s="2070">
        <v>0</v>
      </c>
      <c r="D64" s="2070">
        <v>0</v>
      </c>
      <c r="E64" s="2070">
        <v>0</v>
      </c>
      <c r="F64" s="2070">
        <v>0</v>
      </c>
      <c r="G64" s="2070">
        <v>0</v>
      </c>
      <c r="H64" s="2070">
        <v>0</v>
      </c>
      <c r="I64" s="2070">
        <v>0</v>
      </c>
      <c r="J64" s="2070">
        <v>6.878761822871883E-4</v>
      </c>
      <c r="K64" s="2070">
        <v>1.2897678417884779E-3</v>
      </c>
      <c r="L64" s="2070">
        <v>0</v>
      </c>
      <c r="M64" s="2070">
        <v>6.0189165950128975E-4</v>
      </c>
      <c r="N64" s="2070">
        <v>0</v>
      </c>
      <c r="O64" s="2070">
        <v>0</v>
      </c>
      <c r="P64" s="2070">
        <v>0</v>
      </c>
      <c r="Q64" s="2070">
        <v>0</v>
      </c>
      <c r="R64" s="2070">
        <v>0</v>
      </c>
      <c r="S64" s="2070">
        <v>0</v>
      </c>
      <c r="T64" s="2070">
        <v>0</v>
      </c>
      <c r="U64" s="2070">
        <v>6.0189165950128975E-4</v>
      </c>
      <c r="V64" s="2070">
        <v>0</v>
      </c>
      <c r="W64" s="2070">
        <v>0</v>
      </c>
      <c r="X64" s="2070">
        <v>0</v>
      </c>
    </row>
    <row r="65" spans="1:24" ht="11.25" customHeight="1">
      <c r="A65" s="2074" t="s">
        <v>5821</v>
      </c>
      <c r="B65" s="2069" t="s">
        <v>5822</v>
      </c>
      <c r="C65" s="2070">
        <v>0</v>
      </c>
      <c r="D65" s="2070">
        <v>0</v>
      </c>
      <c r="E65" s="2070">
        <v>0</v>
      </c>
      <c r="F65" s="2070">
        <v>0</v>
      </c>
      <c r="G65" s="2070">
        <v>0</v>
      </c>
      <c r="H65" s="2070">
        <v>0</v>
      </c>
      <c r="I65" s="2070">
        <v>0</v>
      </c>
      <c r="J65" s="2070">
        <v>0</v>
      </c>
      <c r="K65" s="2070">
        <v>0</v>
      </c>
      <c r="L65" s="2070">
        <v>0</v>
      </c>
      <c r="M65" s="2070">
        <v>0</v>
      </c>
      <c r="N65" s="2070">
        <v>0</v>
      </c>
      <c r="O65" s="2070">
        <v>0</v>
      </c>
      <c r="P65" s="2070">
        <v>0</v>
      </c>
      <c r="Q65" s="2070">
        <v>0</v>
      </c>
      <c r="R65" s="2070">
        <v>0</v>
      </c>
      <c r="S65" s="2070">
        <v>8.0825451418744618E-3</v>
      </c>
      <c r="T65" s="2070">
        <v>0</v>
      </c>
      <c r="U65" s="2070">
        <v>0</v>
      </c>
      <c r="V65" s="2070">
        <v>0</v>
      </c>
      <c r="W65" s="2070">
        <v>0</v>
      </c>
      <c r="X65" s="2070">
        <v>0</v>
      </c>
    </row>
    <row r="66" spans="1:24" ht="11.25" customHeight="1">
      <c r="A66" s="2074" t="s">
        <v>5823</v>
      </c>
      <c r="B66" s="2069" t="s">
        <v>5824</v>
      </c>
      <c r="C66" s="2070">
        <v>0</v>
      </c>
      <c r="D66" s="2070">
        <v>0</v>
      </c>
      <c r="E66" s="2070">
        <v>0</v>
      </c>
      <c r="F66" s="2070">
        <v>0</v>
      </c>
      <c r="G66" s="2070">
        <v>0</v>
      </c>
      <c r="H66" s="2070">
        <v>0</v>
      </c>
      <c r="I66" s="2070">
        <v>0</v>
      </c>
      <c r="J66" s="2070">
        <v>0</v>
      </c>
      <c r="K66" s="2070">
        <v>3.5253654342218398E-3</v>
      </c>
      <c r="L66" s="2070">
        <v>8.5984522785898529E-4</v>
      </c>
      <c r="M66" s="2070">
        <v>0</v>
      </c>
      <c r="N66" s="2070">
        <v>0</v>
      </c>
      <c r="O66" s="2070">
        <v>0</v>
      </c>
      <c r="P66" s="2070">
        <v>0</v>
      </c>
      <c r="Q66" s="2070">
        <v>0</v>
      </c>
      <c r="R66" s="2070">
        <v>7.9105760963026645E-3</v>
      </c>
      <c r="S66" s="2070">
        <v>9.4926913155631981E-2</v>
      </c>
      <c r="T66" s="2070">
        <v>0.22656921754084264</v>
      </c>
      <c r="U66" s="2070">
        <v>0.27566638005159078</v>
      </c>
      <c r="V66" s="2070">
        <v>0.20713671539122963</v>
      </c>
      <c r="W66" s="2070">
        <v>0.16354256233877901</v>
      </c>
      <c r="X66" s="2070">
        <v>0.21805674978503875</v>
      </c>
    </row>
    <row r="67" spans="1:24" ht="11.25" customHeight="1">
      <c r="A67" s="2074" t="s">
        <v>5825</v>
      </c>
      <c r="B67" s="2069" t="s">
        <v>5826</v>
      </c>
      <c r="C67" s="2070">
        <v>0</v>
      </c>
      <c r="D67" s="2070">
        <v>0</v>
      </c>
      <c r="E67" s="2070">
        <v>0</v>
      </c>
      <c r="F67" s="2070">
        <v>0</v>
      </c>
      <c r="G67" s="2070">
        <v>0</v>
      </c>
      <c r="H67" s="2070">
        <v>0</v>
      </c>
      <c r="I67" s="2070">
        <v>0</v>
      </c>
      <c r="J67" s="2070">
        <v>0</v>
      </c>
      <c r="K67" s="2070">
        <v>0</v>
      </c>
      <c r="L67" s="2070">
        <v>0</v>
      </c>
      <c r="M67" s="2070">
        <v>0</v>
      </c>
      <c r="N67" s="2070">
        <v>0</v>
      </c>
      <c r="O67" s="2070">
        <v>0</v>
      </c>
      <c r="P67" s="2070">
        <v>0</v>
      </c>
      <c r="Q67" s="2070">
        <v>0</v>
      </c>
      <c r="R67" s="2070">
        <v>0</v>
      </c>
      <c r="S67" s="2070">
        <v>0</v>
      </c>
      <c r="T67" s="2070">
        <v>0</v>
      </c>
      <c r="U67" s="2070">
        <v>0</v>
      </c>
      <c r="V67" s="2070">
        <v>0</v>
      </c>
      <c r="W67" s="2070">
        <v>0</v>
      </c>
      <c r="X67" s="2070">
        <v>0</v>
      </c>
    </row>
    <row r="68" spans="1:24" ht="11.25" customHeight="1">
      <c r="A68" s="2074" t="s">
        <v>5827</v>
      </c>
      <c r="B68" s="2069" t="s">
        <v>5828</v>
      </c>
      <c r="C68" s="2070">
        <v>0</v>
      </c>
      <c r="D68" s="2070">
        <v>0</v>
      </c>
      <c r="E68" s="2070">
        <v>0</v>
      </c>
      <c r="F68" s="2070">
        <v>0</v>
      </c>
      <c r="G68" s="2070">
        <v>0</v>
      </c>
      <c r="H68" s="2070">
        <v>0</v>
      </c>
      <c r="I68" s="2070">
        <v>0</v>
      </c>
      <c r="J68" s="2070">
        <v>0</v>
      </c>
      <c r="K68" s="2070">
        <v>0</v>
      </c>
      <c r="L68" s="2070">
        <v>0</v>
      </c>
      <c r="M68" s="2070">
        <v>0</v>
      </c>
      <c r="N68" s="2070">
        <v>0</v>
      </c>
      <c r="O68" s="2070">
        <v>0</v>
      </c>
      <c r="P68" s="2070">
        <v>0</v>
      </c>
      <c r="Q68" s="2070">
        <v>0</v>
      </c>
      <c r="R68" s="2070">
        <v>0</v>
      </c>
      <c r="S68" s="2070">
        <v>0</v>
      </c>
      <c r="T68" s="2070">
        <v>0</v>
      </c>
      <c r="U68" s="2070">
        <v>0</v>
      </c>
      <c r="V68" s="2070">
        <v>0</v>
      </c>
      <c r="W68" s="2070">
        <v>0</v>
      </c>
      <c r="X68" s="2070">
        <v>0</v>
      </c>
    </row>
    <row r="69" spans="1:24" ht="11.25" customHeight="1">
      <c r="A69" s="2074" t="s">
        <v>4619</v>
      </c>
      <c r="B69" s="2069" t="s">
        <v>5829</v>
      </c>
      <c r="C69" s="2070">
        <v>0</v>
      </c>
      <c r="D69" s="2070">
        <v>0</v>
      </c>
      <c r="E69" s="2070">
        <v>0</v>
      </c>
      <c r="F69" s="2070">
        <v>0</v>
      </c>
      <c r="G69" s="2070">
        <v>0</v>
      </c>
      <c r="H69" s="2070">
        <v>0</v>
      </c>
      <c r="I69" s="2070">
        <v>0</v>
      </c>
      <c r="J69" s="2070">
        <v>0</v>
      </c>
      <c r="K69" s="2070">
        <v>0</v>
      </c>
      <c r="L69" s="2070">
        <v>0</v>
      </c>
      <c r="M69" s="2070">
        <v>0</v>
      </c>
      <c r="N69" s="2070">
        <v>0</v>
      </c>
      <c r="O69" s="2070">
        <v>0</v>
      </c>
      <c r="P69" s="2070">
        <v>0</v>
      </c>
      <c r="Q69" s="2070">
        <v>0</v>
      </c>
      <c r="R69" s="2070">
        <v>0</v>
      </c>
      <c r="S69" s="2070">
        <v>0</v>
      </c>
      <c r="T69" s="2070">
        <v>0</v>
      </c>
      <c r="U69" s="2070">
        <v>0</v>
      </c>
      <c r="V69" s="2070">
        <v>0</v>
      </c>
      <c r="W69" s="2070">
        <v>0</v>
      </c>
      <c r="X69" s="2070">
        <v>0</v>
      </c>
    </row>
    <row r="70" spans="1:24" ht="11.25" customHeight="1">
      <c r="A70" s="2074" t="s">
        <v>5830</v>
      </c>
      <c r="B70" s="2069" t="s">
        <v>5831</v>
      </c>
      <c r="C70" s="2070">
        <v>0.4098340361479621</v>
      </c>
      <c r="D70" s="2070">
        <v>0.41708025553502276</v>
      </c>
      <c r="E70" s="2070">
        <v>0.44521101549272274</v>
      </c>
      <c r="F70" s="2070">
        <v>0.43116417845149385</v>
      </c>
      <c r="G70" s="2070">
        <v>0.43346211817105523</v>
      </c>
      <c r="H70" s="2070">
        <v>0.39059296391716614</v>
      </c>
      <c r="I70" s="2070">
        <v>0.41171517616570175</v>
      </c>
      <c r="J70" s="2070">
        <v>0.34090654896686867</v>
      </c>
      <c r="K70" s="2070">
        <v>0.36611219057385086</v>
      </c>
      <c r="L70" s="2070">
        <v>0.42706921620632499</v>
      </c>
      <c r="M70" s="2070">
        <v>0.50089736840453059</v>
      </c>
      <c r="N70" s="2070">
        <v>0.53598133992757613</v>
      </c>
      <c r="O70" s="2070">
        <v>0.51009762034216077</v>
      </c>
      <c r="P70" s="2070">
        <v>0.59242184207312787</v>
      </c>
      <c r="Q70" s="2070">
        <v>2.6307276490233047</v>
      </c>
      <c r="R70" s="2070">
        <v>2.9884987053767835</v>
      </c>
      <c r="S70" s="2070">
        <v>3.6011705608503055</v>
      </c>
      <c r="T70" s="2070">
        <v>3.4221179817788836</v>
      </c>
      <c r="U70" s="2070">
        <v>4.1294149682802983</v>
      </c>
      <c r="V70" s="2070">
        <v>4.8774686560519172</v>
      </c>
      <c r="W70" s="2070">
        <v>5.3635654602731968</v>
      </c>
      <c r="X70" s="2070">
        <v>5.1993955264622658</v>
      </c>
    </row>
    <row r="71" spans="1:24" ht="11.25" customHeight="1">
      <c r="A71" s="2071" t="s">
        <v>5832</v>
      </c>
      <c r="B71" s="2072" t="s">
        <v>5833</v>
      </c>
      <c r="C71" s="2073">
        <v>0.38211521926053316</v>
      </c>
      <c r="D71" s="2073">
        <v>0.35829750644883918</v>
      </c>
      <c r="E71" s="2073">
        <v>0.57325881341358542</v>
      </c>
      <c r="F71" s="2073">
        <v>0.64488392089423918</v>
      </c>
      <c r="G71" s="2073">
        <v>0.38211521926053305</v>
      </c>
      <c r="H71" s="2073">
        <v>0.28177128116938943</v>
      </c>
      <c r="I71" s="2073">
        <v>7.6395528804815127</v>
      </c>
      <c r="J71" s="2073">
        <v>4.0584694754944112E-2</v>
      </c>
      <c r="K71" s="2073">
        <v>1.642304385210662E-2</v>
      </c>
      <c r="L71" s="2073">
        <v>0</v>
      </c>
      <c r="M71" s="2073">
        <v>0</v>
      </c>
      <c r="N71" s="2073">
        <v>4.815133276010318E-3</v>
      </c>
      <c r="O71" s="2073">
        <v>0.17996560619088564</v>
      </c>
      <c r="P71" s="2073">
        <v>0.20223559759243329</v>
      </c>
      <c r="Q71" s="2073">
        <v>0.46552020636285468</v>
      </c>
      <c r="R71" s="2073">
        <v>0.27472055030094578</v>
      </c>
      <c r="S71" s="2073">
        <v>0.38280309544282021</v>
      </c>
      <c r="T71" s="2073">
        <v>0.256749785038693</v>
      </c>
      <c r="U71" s="2073">
        <v>0.61315563198624234</v>
      </c>
      <c r="V71" s="2073">
        <v>0.6999140154772141</v>
      </c>
      <c r="W71" s="2073">
        <v>0.36620808254514187</v>
      </c>
      <c r="X71" s="2073">
        <v>0.38675838349097152</v>
      </c>
    </row>
    <row r="72" spans="1:24" ht="11.25" customHeight="1">
      <c r="A72" s="2074" t="s">
        <v>5834</v>
      </c>
      <c r="B72" s="2069" t="s">
        <v>5835</v>
      </c>
      <c r="C72" s="2070">
        <v>0.38211521926053316</v>
      </c>
      <c r="D72" s="2070">
        <v>0.3343938091143594</v>
      </c>
      <c r="E72" s="2070">
        <v>0.23886500429922605</v>
      </c>
      <c r="F72" s="2070">
        <v>0.33439380911435951</v>
      </c>
      <c r="G72" s="2070">
        <v>7.1625107480653469E-2</v>
      </c>
      <c r="H72" s="2070">
        <v>0.13843508168529664</v>
      </c>
      <c r="I72" s="2070">
        <v>9.2003439380911434E-2</v>
      </c>
      <c r="J72" s="2070">
        <v>4.0584694754944112E-2</v>
      </c>
      <c r="K72" s="2070">
        <v>1.642304385210662E-2</v>
      </c>
      <c r="L72" s="2070">
        <v>0</v>
      </c>
      <c r="M72" s="2070">
        <v>0</v>
      </c>
      <c r="N72" s="2070">
        <v>4.815133276010318E-3</v>
      </c>
      <c r="O72" s="2070">
        <v>0.10834049871023216</v>
      </c>
      <c r="P72" s="2070">
        <v>0.20223559759243329</v>
      </c>
      <c r="Q72" s="2070">
        <v>0.46552020636285468</v>
      </c>
      <c r="R72" s="2070">
        <v>0.27472055030094578</v>
      </c>
      <c r="S72" s="2070">
        <v>0.38280309544282021</v>
      </c>
      <c r="T72" s="2070">
        <v>0.256749785038693</v>
      </c>
      <c r="U72" s="2070">
        <v>0.612639724849527</v>
      </c>
      <c r="V72" s="2070">
        <v>0.67274290627687017</v>
      </c>
      <c r="W72" s="2070">
        <v>0.36560619088564056</v>
      </c>
      <c r="X72" s="2070">
        <v>0.38675838349097152</v>
      </c>
    </row>
    <row r="73" spans="1:24" ht="11.25" customHeight="1">
      <c r="A73" s="2074" t="s">
        <v>5836</v>
      </c>
      <c r="B73" s="2069" t="s">
        <v>5837</v>
      </c>
      <c r="C73" s="2070">
        <v>0</v>
      </c>
      <c r="D73" s="2070">
        <v>2.3903697334479789E-2</v>
      </c>
      <c r="E73" s="2070">
        <v>0.3343938091143594</v>
      </c>
      <c r="F73" s="2070">
        <v>0.31049011177987962</v>
      </c>
      <c r="G73" s="2070">
        <v>0.31049011177987956</v>
      </c>
      <c r="H73" s="2070">
        <v>0.14333619948409279</v>
      </c>
      <c r="I73" s="2070">
        <v>7.5475494411006014</v>
      </c>
      <c r="J73" s="2070">
        <v>0</v>
      </c>
      <c r="K73" s="2070">
        <v>0</v>
      </c>
      <c r="L73" s="2070">
        <v>0</v>
      </c>
      <c r="M73" s="2070">
        <v>0</v>
      </c>
      <c r="N73" s="2070">
        <v>0</v>
      </c>
      <c r="O73" s="2070">
        <v>7.1625107480653469E-2</v>
      </c>
      <c r="P73" s="2070">
        <v>0</v>
      </c>
      <c r="Q73" s="2070">
        <v>0</v>
      </c>
      <c r="R73" s="2070">
        <v>0</v>
      </c>
      <c r="S73" s="2070">
        <v>0</v>
      </c>
      <c r="T73" s="2070">
        <v>0</v>
      </c>
      <c r="U73" s="2070">
        <v>5.159071367153912E-4</v>
      </c>
      <c r="V73" s="2070">
        <v>2.7171109200343942E-2</v>
      </c>
      <c r="W73" s="2070">
        <v>6.0189165950128975E-4</v>
      </c>
      <c r="X73" s="2070">
        <v>0</v>
      </c>
    </row>
    <row r="74" spans="1:24" ht="11.25" customHeight="1">
      <c r="A74" s="2071" t="s">
        <v>4616</v>
      </c>
      <c r="B74" s="2072" t="s">
        <v>5838</v>
      </c>
      <c r="C74" s="2073">
        <v>0</v>
      </c>
      <c r="D74" s="2073">
        <v>0</v>
      </c>
      <c r="E74" s="2073">
        <v>0</v>
      </c>
      <c r="F74" s="2073">
        <v>0</v>
      </c>
      <c r="G74" s="2073">
        <v>0</v>
      </c>
      <c r="H74" s="2073">
        <v>0</v>
      </c>
      <c r="I74" s="2073">
        <v>0</v>
      </c>
      <c r="J74" s="2073">
        <v>0</v>
      </c>
      <c r="K74" s="2073">
        <v>0</v>
      </c>
      <c r="L74" s="2073">
        <v>0</v>
      </c>
      <c r="M74" s="2073">
        <v>0</v>
      </c>
      <c r="N74" s="2073">
        <v>0</v>
      </c>
      <c r="O74" s="2073">
        <v>0</v>
      </c>
      <c r="P74" s="2073">
        <v>0</v>
      </c>
      <c r="Q74" s="2073">
        <v>0</v>
      </c>
      <c r="R74" s="2073">
        <v>0</v>
      </c>
      <c r="S74" s="2073">
        <v>0</v>
      </c>
      <c r="T74" s="2073">
        <v>0</v>
      </c>
      <c r="U74" s="2073">
        <v>0</v>
      </c>
      <c r="V74" s="2073">
        <v>0</v>
      </c>
      <c r="W74" s="2073">
        <v>0</v>
      </c>
      <c r="X74" s="2073">
        <v>0</v>
      </c>
    </row>
    <row r="75" spans="1:24" ht="11.25" customHeight="1">
      <c r="A75" s="2071" t="s">
        <v>4671</v>
      </c>
      <c r="B75" s="2072" t="s">
        <v>5839</v>
      </c>
      <c r="C75" s="2073">
        <v>246.76999140154771</v>
      </c>
      <c r="D75" s="2073">
        <v>258.76440240756659</v>
      </c>
      <c r="E75" s="2073">
        <v>231.14333619948411</v>
      </c>
      <c r="F75" s="2073">
        <v>273.43224419604473</v>
      </c>
      <c r="G75" s="2073">
        <v>327.1865864144454</v>
      </c>
      <c r="H75" s="2073">
        <v>323.17231298366289</v>
      </c>
      <c r="I75" s="2073">
        <v>268.37325881341354</v>
      </c>
      <c r="J75" s="2073">
        <v>229.26612209802238</v>
      </c>
      <c r="K75" s="2073">
        <v>228.6847807394669</v>
      </c>
      <c r="L75" s="2073">
        <v>163.93989681857263</v>
      </c>
      <c r="M75" s="2073">
        <v>227.05700773860704</v>
      </c>
      <c r="N75" s="2073">
        <v>215.07171109200337</v>
      </c>
      <c r="O75" s="2073">
        <v>233.3457437661221</v>
      </c>
      <c r="P75" s="2073">
        <v>160.8162510748065</v>
      </c>
      <c r="Q75" s="2073">
        <v>158.73336199484092</v>
      </c>
      <c r="R75" s="2073">
        <v>184.31994840928627</v>
      </c>
      <c r="S75" s="2073">
        <v>147.24548581255374</v>
      </c>
      <c r="T75" s="2073">
        <v>146.52364574376611</v>
      </c>
      <c r="U75" s="2073">
        <v>156.83336199484094</v>
      </c>
      <c r="V75" s="2073">
        <v>151.15081685296647</v>
      </c>
      <c r="W75" s="2073">
        <v>125.72588134135857</v>
      </c>
      <c r="X75" s="2073">
        <v>128.6525365434222</v>
      </c>
    </row>
    <row r="76" spans="1:24" ht="11.25" customHeight="1">
      <c r="A76" s="2075" t="s">
        <v>4282</v>
      </c>
      <c r="B76" s="2076" t="s">
        <v>5840</v>
      </c>
      <c r="C76" s="2077">
        <v>3142.8864144453996</v>
      </c>
      <c r="D76" s="2077">
        <v>3150.6018056749786</v>
      </c>
      <c r="E76" s="2077">
        <v>3135.7667239896814</v>
      </c>
      <c r="F76" s="2077">
        <v>2925.8183147033528</v>
      </c>
      <c r="G76" s="2077">
        <v>2783.4458297506444</v>
      </c>
      <c r="H76" s="2077">
        <v>2590.3892519346523</v>
      </c>
      <c r="I76" s="2077">
        <v>2383.3987102321576</v>
      </c>
      <c r="J76" s="2077">
        <v>2342.2913155631982</v>
      </c>
      <c r="K76" s="2077">
        <v>2105.7420464316424</v>
      </c>
      <c r="L76" s="2077">
        <v>1726.2211521926056</v>
      </c>
      <c r="M76" s="2077">
        <v>1788.5704213241618</v>
      </c>
      <c r="N76" s="2077">
        <v>1710.182545141874</v>
      </c>
      <c r="O76" s="2077">
        <v>1622.1146173688733</v>
      </c>
      <c r="P76" s="2077">
        <v>1591.338177128117</v>
      </c>
      <c r="Q76" s="2077">
        <v>1552.5484952708507</v>
      </c>
      <c r="R76" s="2077">
        <v>1552.3515907136714</v>
      </c>
      <c r="S76" s="2077">
        <v>1528.2230438521067</v>
      </c>
      <c r="T76" s="2077">
        <v>1514.3453998280308</v>
      </c>
      <c r="U76" s="2077">
        <v>1566.282373172829</v>
      </c>
      <c r="V76" s="2077">
        <v>1553.4945829750643</v>
      </c>
      <c r="W76" s="2077">
        <v>1362.5844368013759</v>
      </c>
      <c r="X76" s="2077">
        <v>1373.4834909716251</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E2136-8F90-4F2D-A9E9-4684313BAD2E}">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baseColWidth="10" defaultColWidth="9.1640625" defaultRowHeight="11.25" customHeight="1"/>
  <cols>
    <col min="1" max="1" width="40.6640625" style="2059" bestFit="1" customWidth="1"/>
    <col min="2" max="2" width="16.1640625" style="2059" bestFit="1" customWidth="1"/>
    <col min="3" max="24" width="9.6640625" style="2059" customWidth="1"/>
    <col min="25" max="16384" width="9.1640625" style="2059"/>
  </cols>
  <sheetData>
    <row r="1" spans="1:24" ht="11.25" customHeight="1">
      <c r="A1" s="2057" t="s">
        <v>5857</v>
      </c>
      <c r="B1" s="2057" t="s">
        <v>5858</v>
      </c>
      <c r="C1" s="2058">
        <v>2000</v>
      </c>
      <c r="D1" s="2058">
        <v>2001</v>
      </c>
      <c r="E1" s="2058">
        <v>2002</v>
      </c>
      <c r="F1" s="2058">
        <v>2003</v>
      </c>
      <c r="G1" s="2058">
        <v>2004</v>
      </c>
      <c r="H1" s="2058">
        <v>2005</v>
      </c>
      <c r="I1" s="2058">
        <v>2006</v>
      </c>
      <c r="J1" s="2058">
        <v>2007</v>
      </c>
      <c r="K1" s="2058">
        <v>2008</v>
      </c>
      <c r="L1" s="2058">
        <v>2009</v>
      </c>
      <c r="M1" s="2058">
        <v>2010</v>
      </c>
      <c r="N1" s="2058">
        <v>2011</v>
      </c>
      <c r="O1" s="2058">
        <v>2012</v>
      </c>
      <c r="P1" s="2058">
        <v>2013</v>
      </c>
      <c r="Q1" s="2058">
        <v>2014</v>
      </c>
      <c r="R1" s="2058">
        <v>2015</v>
      </c>
      <c r="S1" s="2058">
        <v>2016</v>
      </c>
      <c r="T1" s="2058">
        <v>2017</v>
      </c>
      <c r="U1" s="2058">
        <v>2018</v>
      </c>
      <c r="V1" s="2058">
        <v>2019</v>
      </c>
      <c r="W1" s="2058">
        <v>2020</v>
      </c>
      <c r="X1" s="2058">
        <v>2021</v>
      </c>
    </row>
    <row r="2" spans="1:24" ht="11.25" customHeight="1">
      <c r="A2" s="2060" t="s">
        <v>1265</v>
      </c>
      <c r="B2" s="2060" t="s">
        <v>5738</v>
      </c>
      <c r="C2" s="2061">
        <v>6474.7755301560637</v>
      </c>
      <c r="D2" s="2061">
        <v>6176.1692112769651</v>
      </c>
      <c r="E2" s="2061">
        <v>6287.0275884817311</v>
      </c>
      <c r="F2" s="2061">
        <v>6877.9886103523459</v>
      </c>
      <c r="G2" s="2061">
        <v>7619.9660389226883</v>
      </c>
      <c r="H2" s="2061">
        <v>7275.2361060954663</v>
      </c>
      <c r="I2" s="2061">
        <v>7003.2611046532238</v>
      </c>
      <c r="J2" s="2061">
        <v>7567.0061565355154</v>
      </c>
      <c r="K2" s="2061">
        <v>7440.060600195141</v>
      </c>
      <c r="L2" s="2061">
        <v>7165.6224752455673</v>
      </c>
      <c r="M2" s="2061">
        <v>7749.0222135149688</v>
      </c>
      <c r="N2" s="2061">
        <v>7893.7930108545006</v>
      </c>
      <c r="O2" s="2061">
        <v>7874.208526221385</v>
      </c>
      <c r="P2" s="2061">
        <v>7987.5182532552262</v>
      </c>
      <c r="Q2" s="2061">
        <v>7834.0084376980449</v>
      </c>
      <c r="R2" s="2061">
        <v>8092.0054261134956</v>
      </c>
      <c r="S2" s="2061">
        <v>8503.8499268441774</v>
      </c>
      <c r="T2" s="2061">
        <v>8635.4569872914635</v>
      </c>
      <c r="U2" s="2061">
        <v>8757.0608868728705</v>
      </c>
      <c r="V2" s="2061">
        <v>8542.6088777990735</v>
      </c>
      <c r="W2" s="2061">
        <v>8609.5844353380635</v>
      </c>
      <c r="X2" s="2061">
        <v>9358.8496214730239</v>
      </c>
    </row>
    <row r="3" spans="1:24" ht="11.25" customHeight="1">
      <c r="A3" s="2062" t="s">
        <v>5739</v>
      </c>
      <c r="B3" s="2063" t="s">
        <v>5740</v>
      </c>
      <c r="C3" s="2064">
        <v>168.37403267411864</v>
      </c>
      <c r="D3" s="2064">
        <v>153.85666380051586</v>
      </c>
      <c r="E3" s="2064">
        <v>143.63809114359412</v>
      </c>
      <c r="F3" s="2064">
        <v>153.36835769561472</v>
      </c>
      <c r="G3" s="2064">
        <v>157.97583834909719</v>
      </c>
      <c r="H3" s="2064">
        <v>144.8722269991402</v>
      </c>
      <c r="I3" s="2064">
        <v>141.82321582115213</v>
      </c>
      <c r="J3" s="2064">
        <v>142.35055889939815</v>
      </c>
      <c r="K3" s="2064">
        <v>109.22536543422183</v>
      </c>
      <c r="L3" s="2064">
        <v>85.551590713671558</v>
      </c>
      <c r="M3" s="2064">
        <v>94.692519346517614</v>
      </c>
      <c r="N3" s="2064">
        <v>90.396216680997412</v>
      </c>
      <c r="O3" s="2064">
        <v>39.097592433361996</v>
      </c>
      <c r="P3" s="2064">
        <v>35.393895098882211</v>
      </c>
      <c r="Q3" s="2064">
        <v>39.137489251934653</v>
      </c>
      <c r="R3" s="2064">
        <v>36.085468615649177</v>
      </c>
      <c r="S3" s="2064">
        <v>36.885726569217539</v>
      </c>
      <c r="T3" s="2064">
        <v>43.180309544282025</v>
      </c>
      <c r="U3" s="2064">
        <v>39.524247635425624</v>
      </c>
      <c r="V3" s="2064">
        <v>33.185726569217543</v>
      </c>
      <c r="W3" s="2064">
        <v>28.654514187446249</v>
      </c>
      <c r="X3" s="2064">
        <v>32.383576956147898</v>
      </c>
    </row>
    <row r="4" spans="1:24" ht="11.25" customHeight="1">
      <c r="A4" s="2065" t="s">
        <v>5741</v>
      </c>
      <c r="B4" s="2066" t="s">
        <v>5742</v>
      </c>
      <c r="C4" s="2067">
        <v>152.31650902837487</v>
      </c>
      <c r="D4" s="2067">
        <v>144.97695614789333</v>
      </c>
      <c r="E4" s="2067">
        <v>135.00275150472913</v>
      </c>
      <c r="F4" s="2067">
        <v>138.8233018056749</v>
      </c>
      <c r="G4" s="2067">
        <v>149.3105760963027</v>
      </c>
      <c r="H4" s="2067">
        <v>135.3055889939811</v>
      </c>
      <c r="I4" s="2067">
        <v>137.4484092863284</v>
      </c>
      <c r="J4" s="2067">
        <v>138.57282889079968</v>
      </c>
      <c r="K4" s="2067">
        <v>107.068271711092</v>
      </c>
      <c r="L4" s="2067">
        <v>83.700945829750651</v>
      </c>
      <c r="M4" s="2067">
        <v>93.046603611349951</v>
      </c>
      <c r="N4" s="2067">
        <v>88.761392949269123</v>
      </c>
      <c r="O4" s="2067">
        <v>37.773172828890807</v>
      </c>
      <c r="P4" s="2067">
        <v>34.049871023215829</v>
      </c>
      <c r="Q4" s="2067">
        <v>37.351332760103183</v>
      </c>
      <c r="R4" s="2067">
        <v>35.119690455717965</v>
      </c>
      <c r="S4" s="2067">
        <v>35.881599312123818</v>
      </c>
      <c r="T4" s="2067">
        <v>42.325107480653479</v>
      </c>
      <c r="U4" s="2067">
        <v>39.414445399828033</v>
      </c>
      <c r="V4" s="2067">
        <v>33.061736887360276</v>
      </c>
      <c r="W4" s="2067">
        <v>28.483490971625098</v>
      </c>
      <c r="X4" s="2067">
        <v>32.226741186586416</v>
      </c>
    </row>
    <row r="5" spans="1:24" ht="11.25" customHeight="1">
      <c r="A5" s="2068" t="s">
        <v>4613</v>
      </c>
      <c r="B5" s="2069" t="s">
        <v>5743</v>
      </c>
      <c r="C5" s="2070">
        <v>0</v>
      </c>
      <c r="D5" s="2070">
        <v>0</v>
      </c>
      <c r="E5" s="2070">
        <v>0</v>
      </c>
      <c r="F5" s="2070">
        <v>0</v>
      </c>
      <c r="G5" s="2070">
        <v>0</v>
      </c>
      <c r="H5" s="2070">
        <v>0</v>
      </c>
      <c r="I5" s="2070">
        <v>0</v>
      </c>
      <c r="J5" s="2070">
        <v>0</v>
      </c>
      <c r="K5" s="2070">
        <v>0</v>
      </c>
      <c r="L5" s="2070">
        <v>0</v>
      </c>
      <c r="M5" s="2070">
        <v>0</v>
      </c>
      <c r="N5" s="2070">
        <v>0</v>
      </c>
      <c r="O5" s="2070">
        <v>0</v>
      </c>
      <c r="P5" s="2070">
        <v>0</v>
      </c>
      <c r="Q5" s="2070">
        <v>0</v>
      </c>
      <c r="R5" s="2070">
        <v>0</v>
      </c>
      <c r="S5" s="2070">
        <v>0</v>
      </c>
      <c r="T5" s="2070">
        <v>1.375752364574377E-3</v>
      </c>
      <c r="U5" s="2070">
        <v>0</v>
      </c>
      <c r="V5" s="2070">
        <v>0</v>
      </c>
      <c r="W5" s="2070">
        <v>0</v>
      </c>
      <c r="X5" s="2070">
        <v>0</v>
      </c>
    </row>
    <row r="6" spans="1:24" ht="11.25" customHeight="1">
      <c r="A6" s="2068" t="s">
        <v>4647</v>
      </c>
      <c r="B6" s="2069" t="s">
        <v>5744</v>
      </c>
      <c r="C6" s="2070">
        <v>0</v>
      </c>
      <c r="D6" s="2070">
        <v>0</v>
      </c>
      <c r="E6" s="2070">
        <v>0</v>
      </c>
      <c r="F6" s="2070">
        <v>0</v>
      </c>
      <c r="G6" s="2070">
        <v>0</v>
      </c>
      <c r="H6" s="2070">
        <v>0</v>
      </c>
      <c r="I6" s="2070">
        <v>0</v>
      </c>
      <c r="J6" s="2070">
        <v>0</v>
      </c>
      <c r="K6" s="2070">
        <v>0</v>
      </c>
      <c r="L6" s="2070">
        <v>0</v>
      </c>
      <c r="M6" s="2070">
        <v>0</v>
      </c>
      <c r="N6" s="2070">
        <v>0</v>
      </c>
      <c r="O6" s="2070">
        <v>0</v>
      </c>
      <c r="P6" s="2070">
        <v>0</v>
      </c>
      <c r="Q6" s="2070">
        <v>0</v>
      </c>
      <c r="R6" s="2070">
        <v>0</v>
      </c>
      <c r="S6" s="2070">
        <v>0</v>
      </c>
      <c r="T6" s="2070">
        <v>0</v>
      </c>
      <c r="U6" s="2070">
        <v>0</v>
      </c>
      <c r="V6" s="2070">
        <v>0</v>
      </c>
      <c r="W6" s="2070">
        <v>0</v>
      </c>
      <c r="X6" s="2070">
        <v>0</v>
      </c>
    </row>
    <row r="7" spans="1:24" ht="11.25" customHeight="1">
      <c r="A7" s="2068" t="s">
        <v>4648</v>
      </c>
      <c r="B7" s="2069" t="s">
        <v>5745</v>
      </c>
      <c r="C7" s="2070">
        <v>152.31650902837487</v>
      </c>
      <c r="D7" s="2070">
        <v>144.97695614789333</v>
      </c>
      <c r="E7" s="2070">
        <v>135.00275150472913</v>
      </c>
      <c r="F7" s="2070">
        <v>138.8233018056749</v>
      </c>
      <c r="G7" s="2070">
        <v>149.3105760963027</v>
      </c>
      <c r="H7" s="2070">
        <v>135.3055889939811</v>
      </c>
      <c r="I7" s="2070">
        <v>137.4484092863284</v>
      </c>
      <c r="J7" s="2070">
        <v>138.57282889079968</v>
      </c>
      <c r="K7" s="2070">
        <v>107.068271711092</v>
      </c>
      <c r="L7" s="2070">
        <v>83.700945829750651</v>
      </c>
      <c r="M7" s="2070">
        <v>93.046603611349951</v>
      </c>
      <c r="N7" s="2070">
        <v>88.761392949269123</v>
      </c>
      <c r="O7" s="2070">
        <v>37.773172828890807</v>
      </c>
      <c r="P7" s="2070">
        <v>34.049871023215829</v>
      </c>
      <c r="Q7" s="2070">
        <v>37.351332760103183</v>
      </c>
      <c r="R7" s="2070">
        <v>35.119690455717965</v>
      </c>
      <c r="S7" s="2070">
        <v>35.881599312123818</v>
      </c>
      <c r="T7" s="2070">
        <v>42.323731728288905</v>
      </c>
      <c r="U7" s="2070">
        <v>39.414445399828033</v>
      </c>
      <c r="V7" s="2070">
        <v>33.061736887360276</v>
      </c>
      <c r="W7" s="2070">
        <v>28.483490971625098</v>
      </c>
      <c r="X7" s="2070">
        <v>32.226741186586416</v>
      </c>
    </row>
    <row r="8" spans="1:24" ht="11.25" customHeight="1">
      <c r="A8" s="2065" t="s">
        <v>5746</v>
      </c>
      <c r="B8" s="2066" t="s">
        <v>5747</v>
      </c>
      <c r="C8" s="2067">
        <v>13.071195184866722</v>
      </c>
      <c r="D8" s="2067">
        <v>8.8797076526225265</v>
      </c>
      <c r="E8" s="2067">
        <v>8.6353396388650037</v>
      </c>
      <c r="F8" s="2067">
        <v>14.54505588993981</v>
      </c>
      <c r="G8" s="2067">
        <v>1.2108340498710231</v>
      </c>
      <c r="H8" s="2067">
        <v>1.465090283748925</v>
      </c>
      <c r="I8" s="2067">
        <v>1.192089423903697</v>
      </c>
      <c r="J8" s="2067">
        <v>1.160017196904557</v>
      </c>
      <c r="K8" s="2067">
        <v>0.58847807394668961</v>
      </c>
      <c r="L8" s="2067">
        <v>0.30017196904557181</v>
      </c>
      <c r="M8" s="2067">
        <v>0.64264832330180566</v>
      </c>
      <c r="N8" s="2067">
        <v>0.61926053310404128</v>
      </c>
      <c r="O8" s="2067">
        <v>0.30945829750644882</v>
      </c>
      <c r="P8" s="2067">
        <v>0.31255374032674121</v>
      </c>
      <c r="Q8" s="2067">
        <v>1.2701633705932931</v>
      </c>
      <c r="R8" s="2067">
        <v>0.9657781599312123</v>
      </c>
      <c r="S8" s="2067">
        <v>1.004127257093723</v>
      </c>
      <c r="T8" s="2067">
        <v>0.84746345657781597</v>
      </c>
      <c r="U8" s="2067">
        <v>6.8701633705932935E-2</v>
      </c>
      <c r="V8" s="2067">
        <v>9.6302665520206346E-2</v>
      </c>
      <c r="W8" s="2067">
        <v>0.13164230438521071</v>
      </c>
      <c r="X8" s="2067">
        <v>0.12613929492691309</v>
      </c>
    </row>
    <row r="9" spans="1:24" ht="11.25" customHeight="1">
      <c r="A9" s="2068" t="s">
        <v>4649</v>
      </c>
      <c r="B9" s="2069" t="s">
        <v>5748</v>
      </c>
      <c r="C9" s="2070">
        <v>0</v>
      </c>
      <c r="D9" s="2070">
        <v>0</v>
      </c>
      <c r="E9" s="2070">
        <v>0</v>
      </c>
      <c r="F9" s="2070">
        <v>0</v>
      </c>
      <c r="G9" s="2070">
        <v>0</v>
      </c>
      <c r="H9" s="2070">
        <v>0</v>
      </c>
      <c r="I9" s="2070">
        <v>0</v>
      </c>
      <c r="J9" s="2070">
        <v>0</v>
      </c>
      <c r="K9" s="2070">
        <v>0</v>
      </c>
      <c r="L9" s="2070">
        <v>0</v>
      </c>
      <c r="M9" s="2070">
        <v>0</v>
      </c>
      <c r="N9" s="2070">
        <v>0</v>
      </c>
      <c r="O9" s="2070">
        <v>0</v>
      </c>
      <c r="P9" s="2070">
        <v>0</v>
      </c>
      <c r="Q9" s="2070">
        <v>0</v>
      </c>
      <c r="R9" s="2070">
        <v>0</v>
      </c>
      <c r="S9" s="2070">
        <v>0</v>
      </c>
      <c r="T9" s="2070">
        <v>0</v>
      </c>
      <c r="U9" s="2070">
        <v>0</v>
      </c>
      <c r="V9" s="2070">
        <v>5.4256233877901967E-2</v>
      </c>
      <c r="W9" s="2070">
        <v>0</v>
      </c>
      <c r="X9" s="2070">
        <v>0</v>
      </c>
    </row>
    <row r="10" spans="1:24" ht="11.25" customHeight="1">
      <c r="A10" s="2068" t="s">
        <v>4290</v>
      </c>
      <c r="B10" s="2069" t="s">
        <v>5749</v>
      </c>
      <c r="C10" s="2070">
        <v>13.071195184866722</v>
      </c>
      <c r="D10" s="2070">
        <v>8.8797076526225265</v>
      </c>
      <c r="E10" s="2070">
        <v>8.6353396388650037</v>
      </c>
      <c r="F10" s="2070">
        <v>14.54505588993981</v>
      </c>
      <c r="G10" s="2070">
        <v>1.2108340498710231</v>
      </c>
      <c r="H10" s="2070">
        <v>1.465090283748925</v>
      </c>
      <c r="I10" s="2070">
        <v>1.192089423903697</v>
      </c>
      <c r="J10" s="2070">
        <v>1.160017196904557</v>
      </c>
      <c r="K10" s="2070">
        <v>0.58847807394668961</v>
      </c>
      <c r="L10" s="2070">
        <v>0.30017196904557181</v>
      </c>
      <c r="M10" s="2070">
        <v>0.64264832330180566</v>
      </c>
      <c r="N10" s="2070">
        <v>0.61926053310404128</v>
      </c>
      <c r="O10" s="2070">
        <v>0.30945829750644882</v>
      </c>
      <c r="P10" s="2070">
        <v>0.31255374032674121</v>
      </c>
      <c r="Q10" s="2070">
        <v>1.2701633705932931</v>
      </c>
      <c r="R10" s="2070">
        <v>0.9657781599312123</v>
      </c>
      <c r="S10" s="2070">
        <v>1.004127257093723</v>
      </c>
      <c r="T10" s="2070">
        <v>0.84746345657781597</v>
      </c>
      <c r="U10" s="2070">
        <v>6.8701633705932935E-2</v>
      </c>
      <c r="V10" s="2070">
        <v>4.2046431642304379E-2</v>
      </c>
      <c r="W10" s="2070">
        <v>0.13164230438521071</v>
      </c>
      <c r="X10" s="2070">
        <v>0.12613929492691309</v>
      </c>
    </row>
    <row r="11" spans="1:24" ht="11.25" customHeight="1">
      <c r="A11" s="2065" t="s">
        <v>5750</v>
      </c>
      <c r="B11" s="2066" t="s">
        <v>5751</v>
      </c>
      <c r="C11" s="2067">
        <v>2.9863284608770426</v>
      </c>
      <c r="D11" s="2067">
        <v>0</v>
      </c>
      <c r="E11" s="2067">
        <v>0</v>
      </c>
      <c r="F11" s="2067">
        <v>0</v>
      </c>
      <c r="G11" s="2067">
        <v>7.4544282029234727</v>
      </c>
      <c r="H11" s="2067">
        <v>8.1015477214101459</v>
      </c>
      <c r="I11" s="2067">
        <v>3.1827171109200338</v>
      </c>
      <c r="J11" s="2067">
        <v>2.6177128116938948</v>
      </c>
      <c r="K11" s="2067">
        <v>1.5686156491831471</v>
      </c>
      <c r="L11" s="2067">
        <v>1.550472914875322</v>
      </c>
      <c r="M11" s="2067">
        <v>1.003267411865864</v>
      </c>
      <c r="N11" s="2067">
        <v>1.015563198624247</v>
      </c>
      <c r="O11" s="2067">
        <v>1.0149613069647461</v>
      </c>
      <c r="P11" s="2067">
        <v>1.0314703353396391</v>
      </c>
      <c r="Q11" s="2067">
        <v>0.51599312123817709</v>
      </c>
      <c r="R11" s="2067">
        <v>0</v>
      </c>
      <c r="S11" s="2067">
        <v>0</v>
      </c>
      <c r="T11" s="2067">
        <v>7.7386070507308681E-3</v>
      </c>
      <c r="U11" s="2067">
        <v>4.1100601891659497E-2</v>
      </c>
      <c r="V11" s="2067">
        <v>2.768701633705933E-2</v>
      </c>
      <c r="W11" s="2067">
        <v>3.938091143594153E-2</v>
      </c>
      <c r="X11" s="2067">
        <v>3.069647463456578E-2</v>
      </c>
    </row>
    <row r="12" spans="1:24" ht="11.25" customHeight="1">
      <c r="A12" s="2068" t="s">
        <v>4650</v>
      </c>
      <c r="B12" s="2069" t="s">
        <v>5752</v>
      </c>
      <c r="C12" s="2070">
        <v>0</v>
      </c>
      <c r="D12" s="2070">
        <v>0</v>
      </c>
      <c r="E12" s="2070">
        <v>0</v>
      </c>
      <c r="F12" s="2070">
        <v>0</v>
      </c>
      <c r="G12" s="2070">
        <v>0</v>
      </c>
      <c r="H12" s="2070">
        <v>0</v>
      </c>
      <c r="I12" s="2070">
        <v>0</v>
      </c>
      <c r="J12" s="2070">
        <v>0</v>
      </c>
      <c r="K12" s="2070">
        <v>0</v>
      </c>
      <c r="L12" s="2070">
        <v>0</v>
      </c>
      <c r="M12" s="2070">
        <v>0</v>
      </c>
      <c r="N12" s="2070">
        <v>0</v>
      </c>
      <c r="O12" s="2070">
        <v>0</v>
      </c>
      <c r="P12" s="2070">
        <v>0</v>
      </c>
      <c r="Q12" s="2070">
        <v>0</v>
      </c>
      <c r="R12" s="2070">
        <v>0</v>
      </c>
      <c r="S12" s="2070">
        <v>0</v>
      </c>
      <c r="T12" s="2070">
        <v>0</v>
      </c>
      <c r="U12" s="2070">
        <v>0</v>
      </c>
      <c r="V12" s="2070">
        <v>0</v>
      </c>
      <c r="W12" s="2070">
        <v>0</v>
      </c>
      <c r="X12" s="2070">
        <v>0</v>
      </c>
    </row>
    <row r="13" spans="1:24" ht="11.25" customHeight="1">
      <c r="A13" s="2068" t="s">
        <v>4651</v>
      </c>
      <c r="B13" s="2069" t="s">
        <v>5753</v>
      </c>
      <c r="C13" s="2070">
        <v>0</v>
      </c>
      <c r="D13" s="2070">
        <v>0</v>
      </c>
      <c r="E13" s="2070">
        <v>0</v>
      </c>
      <c r="F13" s="2070">
        <v>0</v>
      </c>
      <c r="G13" s="2070">
        <v>0</v>
      </c>
      <c r="H13" s="2070">
        <v>0</v>
      </c>
      <c r="I13" s="2070">
        <v>0</v>
      </c>
      <c r="J13" s="2070">
        <v>0</v>
      </c>
      <c r="K13" s="2070">
        <v>0</v>
      </c>
      <c r="L13" s="2070">
        <v>3.2244196044711952E-2</v>
      </c>
      <c r="M13" s="2070">
        <v>0</v>
      </c>
      <c r="N13" s="2070">
        <v>0</v>
      </c>
      <c r="O13" s="2070">
        <v>0</v>
      </c>
      <c r="P13" s="2070">
        <v>0</v>
      </c>
      <c r="Q13" s="2070">
        <v>0</v>
      </c>
      <c r="R13" s="2070">
        <v>0</v>
      </c>
      <c r="S13" s="2070">
        <v>0</v>
      </c>
      <c r="T13" s="2070">
        <v>7.7386070507308681E-3</v>
      </c>
      <c r="U13" s="2070">
        <v>4.1100601891659497E-2</v>
      </c>
      <c r="V13" s="2070">
        <v>2.768701633705933E-2</v>
      </c>
      <c r="W13" s="2070">
        <v>3.938091143594153E-2</v>
      </c>
      <c r="X13" s="2070">
        <v>3.069647463456578E-2</v>
      </c>
    </row>
    <row r="14" spans="1:24" ht="11.25" customHeight="1">
      <c r="A14" s="2068" t="s">
        <v>4652</v>
      </c>
      <c r="B14" s="2069" t="s">
        <v>5754</v>
      </c>
      <c r="C14" s="2070">
        <v>0</v>
      </c>
      <c r="D14" s="2070">
        <v>0</v>
      </c>
      <c r="E14" s="2070">
        <v>0</v>
      </c>
      <c r="F14" s="2070">
        <v>0</v>
      </c>
      <c r="G14" s="2070">
        <v>0</v>
      </c>
      <c r="H14" s="2070">
        <v>0</v>
      </c>
      <c r="I14" s="2070">
        <v>0</v>
      </c>
      <c r="J14" s="2070">
        <v>0</v>
      </c>
      <c r="K14" s="2070">
        <v>0</v>
      </c>
      <c r="L14" s="2070">
        <v>0</v>
      </c>
      <c r="M14" s="2070">
        <v>0</v>
      </c>
      <c r="N14" s="2070">
        <v>0</v>
      </c>
      <c r="O14" s="2070">
        <v>0</v>
      </c>
      <c r="P14" s="2070">
        <v>0</v>
      </c>
      <c r="Q14" s="2070">
        <v>0</v>
      </c>
      <c r="R14" s="2070">
        <v>0</v>
      </c>
      <c r="S14" s="2070">
        <v>0</v>
      </c>
      <c r="T14" s="2070">
        <v>0</v>
      </c>
      <c r="U14" s="2070">
        <v>0</v>
      </c>
      <c r="V14" s="2070">
        <v>0</v>
      </c>
      <c r="W14" s="2070">
        <v>0</v>
      </c>
      <c r="X14" s="2070">
        <v>0</v>
      </c>
    </row>
    <row r="15" spans="1:24" ht="11.25" customHeight="1">
      <c r="A15" s="2068" t="s">
        <v>4653</v>
      </c>
      <c r="B15" s="2069" t="s">
        <v>5755</v>
      </c>
      <c r="C15" s="2070">
        <v>0</v>
      </c>
      <c r="D15" s="2070">
        <v>0</v>
      </c>
      <c r="E15" s="2070">
        <v>0</v>
      </c>
      <c r="F15" s="2070">
        <v>0</v>
      </c>
      <c r="G15" s="2070">
        <v>0</v>
      </c>
      <c r="H15" s="2070">
        <v>0</v>
      </c>
      <c r="I15" s="2070">
        <v>0</v>
      </c>
      <c r="J15" s="2070">
        <v>0</v>
      </c>
      <c r="K15" s="2070">
        <v>0</v>
      </c>
      <c r="L15" s="2070">
        <v>0</v>
      </c>
      <c r="M15" s="2070">
        <v>0</v>
      </c>
      <c r="N15" s="2070">
        <v>0</v>
      </c>
      <c r="O15" s="2070">
        <v>0</v>
      </c>
      <c r="P15" s="2070">
        <v>0</v>
      </c>
      <c r="Q15" s="2070">
        <v>0</v>
      </c>
      <c r="R15" s="2070">
        <v>0</v>
      </c>
      <c r="S15" s="2070">
        <v>0</v>
      </c>
      <c r="T15" s="2070">
        <v>0</v>
      </c>
      <c r="U15" s="2070">
        <v>0</v>
      </c>
      <c r="V15" s="2070">
        <v>0</v>
      </c>
      <c r="W15" s="2070">
        <v>0</v>
      </c>
      <c r="X15" s="2070">
        <v>0</v>
      </c>
    </row>
    <row r="16" spans="1:24" ht="11.25" customHeight="1">
      <c r="A16" s="2068" t="s">
        <v>5756</v>
      </c>
      <c r="B16" s="2069" t="s">
        <v>5757</v>
      </c>
      <c r="C16" s="2070">
        <v>2.9863284608770426</v>
      </c>
      <c r="D16" s="2070">
        <v>0</v>
      </c>
      <c r="E16" s="2070">
        <v>0</v>
      </c>
      <c r="F16" s="2070">
        <v>0</v>
      </c>
      <c r="G16" s="2070">
        <v>7.4544282029234727</v>
      </c>
      <c r="H16" s="2070">
        <v>8.1015477214101459</v>
      </c>
      <c r="I16" s="2070">
        <v>3.1827171109200338</v>
      </c>
      <c r="J16" s="2070">
        <v>2.6177128116938948</v>
      </c>
      <c r="K16" s="2070">
        <v>1.5686156491831471</v>
      </c>
      <c r="L16" s="2070">
        <v>1.5182287188306101</v>
      </c>
      <c r="M16" s="2070">
        <v>1.003267411865864</v>
      </c>
      <c r="N16" s="2070">
        <v>1.015563198624247</v>
      </c>
      <c r="O16" s="2070">
        <v>1.0149613069647461</v>
      </c>
      <c r="P16" s="2070">
        <v>1.0314703353396391</v>
      </c>
      <c r="Q16" s="2070">
        <v>0.51599312123817709</v>
      </c>
      <c r="R16" s="2070">
        <v>0</v>
      </c>
      <c r="S16" s="2070">
        <v>0</v>
      </c>
      <c r="T16" s="2070">
        <v>0</v>
      </c>
      <c r="U16" s="2070">
        <v>0</v>
      </c>
      <c r="V16" s="2070">
        <v>0</v>
      </c>
      <c r="W16" s="2070">
        <v>0</v>
      </c>
      <c r="X16" s="2070">
        <v>0</v>
      </c>
    </row>
    <row r="17" spans="1:24" ht="11.25" customHeight="1">
      <c r="A17" s="2071" t="s">
        <v>5758</v>
      </c>
      <c r="B17" s="2072" t="s">
        <v>5759</v>
      </c>
      <c r="C17" s="2073">
        <v>20.808254514187443</v>
      </c>
      <c r="D17" s="2073">
        <v>18.615649183147035</v>
      </c>
      <c r="E17" s="2073">
        <v>17.863284608770421</v>
      </c>
      <c r="F17" s="2073">
        <v>0</v>
      </c>
      <c r="G17" s="2073">
        <v>0</v>
      </c>
      <c r="H17" s="2073">
        <v>0</v>
      </c>
      <c r="I17" s="2073">
        <v>0</v>
      </c>
      <c r="J17" s="2073">
        <v>0</v>
      </c>
      <c r="K17" s="2073">
        <v>0</v>
      </c>
      <c r="L17" s="2073">
        <v>0</v>
      </c>
      <c r="M17" s="2073">
        <v>0</v>
      </c>
      <c r="N17" s="2073">
        <v>0</v>
      </c>
      <c r="O17" s="2073">
        <v>0</v>
      </c>
      <c r="P17" s="2073">
        <v>0</v>
      </c>
      <c r="Q17" s="2073">
        <v>0</v>
      </c>
      <c r="R17" s="2073">
        <v>0</v>
      </c>
      <c r="S17" s="2073">
        <v>0</v>
      </c>
      <c r="T17" s="2073">
        <v>0</v>
      </c>
      <c r="U17" s="2073">
        <v>0</v>
      </c>
      <c r="V17" s="2073">
        <v>0</v>
      </c>
      <c r="W17" s="2073">
        <v>0</v>
      </c>
      <c r="X17" s="2073">
        <v>0</v>
      </c>
    </row>
    <row r="18" spans="1:24" ht="11.25" customHeight="1">
      <c r="A18" s="2074" t="s">
        <v>4654</v>
      </c>
      <c r="B18" s="2069" t="s">
        <v>5760</v>
      </c>
      <c r="C18" s="2070">
        <v>6.4488392089423904E-2</v>
      </c>
      <c r="D18" s="2070">
        <v>6.4488392089423904E-2</v>
      </c>
      <c r="E18" s="2070">
        <v>4.2992261392949267E-2</v>
      </c>
      <c r="F18" s="2070">
        <v>0</v>
      </c>
      <c r="G18" s="2070">
        <v>0</v>
      </c>
      <c r="H18" s="2070">
        <v>0</v>
      </c>
      <c r="I18" s="2070">
        <v>0</v>
      </c>
      <c r="J18" s="2070">
        <v>0</v>
      </c>
      <c r="K18" s="2070">
        <v>0</v>
      </c>
      <c r="L18" s="2070">
        <v>0</v>
      </c>
      <c r="M18" s="2070">
        <v>0</v>
      </c>
      <c r="N18" s="2070">
        <v>0</v>
      </c>
      <c r="O18" s="2070">
        <v>0</v>
      </c>
      <c r="P18" s="2070">
        <v>0</v>
      </c>
      <c r="Q18" s="2070">
        <v>0</v>
      </c>
      <c r="R18" s="2070">
        <v>0</v>
      </c>
      <c r="S18" s="2070">
        <v>0</v>
      </c>
      <c r="T18" s="2070">
        <v>0</v>
      </c>
      <c r="U18" s="2070">
        <v>0</v>
      </c>
      <c r="V18" s="2070">
        <v>0</v>
      </c>
      <c r="W18" s="2070">
        <v>0</v>
      </c>
      <c r="X18" s="2070">
        <v>0</v>
      </c>
    </row>
    <row r="19" spans="1:24" ht="11.25" customHeight="1">
      <c r="A19" s="2074" t="s">
        <v>4655</v>
      </c>
      <c r="B19" s="2069" t="s">
        <v>5761</v>
      </c>
      <c r="C19" s="2070">
        <v>20.74376612209802</v>
      </c>
      <c r="D19" s="2070">
        <v>18.551160791057612</v>
      </c>
      <c r="E19" s="2070">
        <v>17.820292347377471</v>
      </c>
      <c r="F19" s="2070">
        <v>0</v>
      </c>
      <c r="G19" s="2070">
        <v>0</v>
      </c>
      <c r="H19" s="2070">
        <v>0</v>
      </c>
      <c r="I19" s="2070">
        <v>0</v>
      </c>
      <c r="J19" s="2070">
        <v>0</v>
      </c>
      <c r="K19" s="2070">
        <v>0</v>
      </c>
      <c r="L19" s="2070">
        <v>0</v>
      </c>
      <c r="M19" s="2070">
        <v>0</v>
      </c>
      <c r="N19" s="2070">
        <v>0</v>
      </c>
      <c r="O19" s="2070">
        <v>0</v>
      </c>
      <c r="P19" s="2070">
        <v>0</v>
      </c>
      <c r="Q19" s="2070">
        <v>0</v>
      </c>
      <c r="R19" s="2070">
        <v>0</v>
      </c>
      <c r="S19" s="2070">
        <v>0</v>
      </c>
      <c r="T19" s="2070">
        <v>0</v>
      </c>
      <c r="U19" s="2070">
        <v>0</v>
      </c>
      <c r="V19" s="2070">
        <v>0</v>
      </c>
      <c r="W19" s="2070">
        <v>0</v>
      </c>
      <c r="X19" s="2070">
        <v>0</v>
      </c>
    </row>
    <row r="20" spans="1:24" ht="11.25" customHeight="1">
      <c r="A20" s="2074" t="s">
        <v>4656</v>
      </c>
      <c r="B20" s="2069" t="s">
        <v>5762</v>
      </c>
      <c r="C20" s="2070">
        <v>0</v>
      </c>
      <c r="D20" s="2070">
        <v>0</v>
      </c>
      <c r="E20" s="2070">
        <v>0</v>
      </c>
      <c r="F20" s="2070">
        <v>0</v>
      </c>
      <c r="G20" s="2070">
        <v>0</v>
      </c>
      <c r="H20" s="2070">
        <v>0</v>
      </c>
      <c r="I20" s="2070">
        <v>0</v>
      </c>
      <c r="J20" s="2070">
        <v>0</v>
      </c>
      <c r="K20" s="2070">
        <v>0</v>
      </c>
      <c r="L20" s="2070">
        <v>0</v>
      </c>
      <c r="M20" s="2070">
        <v>0</v>
      </c>
      <c r="N20" s="2070">
        <v>0</v>
      </c>
      <c r="O20" s="2070">
        <v>0</v>
      </c>
      <c r="P20" s="2070">
        <v>0</v>
      </c>
      <c r="Q20" s="2070">
        <v>0</v>
      </c>
      <c r="R20" s="2070">
        <v>0</v>
      </c>
      <c r="S20" s="2070">
        <v>0</v>
      </c>
      <c r="T20" s="2070">
        <v>0</v>
      </c>
      <c r="U20" s="2070">
        <v>0</v>
      </c>
      <c r="V20" s="2070">
        <v>0</v>
      </c>
      <c r="W20" s="2070">
        <v>0</v>
      </c>
      <c r="X20" s="2070">
        <v>0</v>
      </c>
    </row>
    <row r="21" spans="1:24" ht="11.25" customHeight="1">
      <c r="A21" s="2074" t="s">
        <v>4615</v>
      </c>
      <c r="B21" s="2069" t="s">
        <v>5763</v>
      </c>
      <c r="C21" s="2070">
        <v>0</v>
      </c>
      <c r="D21" s="2070">
        <v>0</v>
      </c>
      <c r="E21" s="2070">
        <v>0</v>
      </c>
      <c r="F21" s="2070">
        <v>0</v>
      </c>
      <c r="G21" s="2070">
        <v>0</v>
      </c>
      <c r="H21" s="2070">
        <v>0</v>
      </c>
      <c r="I21" s="2070">
        <v>0</v>
      </c>
      <c r="J21" s="2070">
        <v>0</v>
      </c>
      <c r="K21" s="2070">
        <v>0</v>
      </c>
      <c r="L21" s="2070">
        <v>0</v>
      </c>
      <c r="M21" s="2070">
        <v>0</v>
      </c>
      <c r="N21" s="2070">
        <v>0</v>
      </c>
      <c r="O21" s="2070">
        <v>0</v>
      </c>
      <c r="P21" s="2070">
        <v>0</v>
      </c>
      <c r="Q21" s="2070">
        <v>0</v>
      </c>
      <c r="R21" s="2070">
        <v>0</v>
      </c>
      <c r="S21" s="2070">
        <v>0</v>
      </c>
      <c r="T21" s="2070">
        <v>0</v>
      </c>
      <c r="U21" s="2070">
        <v>0</v>
      </c>
      <c r="V21" s="2070">
        <v>0</v>
      </c>
      <c r="W21" s="2070">
        <v>0</v>
      </c>
      <c r="X21" s="2070">
        <v>0</v>
      </c>
    </row>
    <row r="22" spans="1:24" ht="11.25" customHeight="1">
      <c r="A22" s="2071" t="s">
        <v>4741</v>
      </c>
      <c r="B22" s="2072" t="s">
        <v>5764</v>
      </c>
      <c r="C22" s="2073">
        <v>0</v>
      </c>
      <c r="D22" s="2073">
        <v>0</v>
      </c>
      <c r="E22" s="2073">
        <v>0.25038693035253651</v>
      </c>
      <c r="F22" s="2073">
        <v>0.50266552020636279</v>
      </c>
      <c r="G22" s="2073">
        <v>0</v>
      </c>
      <c r="H22" s="2073">
        <v>0</v>
      </c>
      <c r="I22" s="2073">
        <v>7.9220120378331904</v>
      </c>
      <c r="J22" s="2073">
        <v>12.756749785038691</v>
      </c>
      <c r="K22" s="2073">
        <v>15.868271711092001</v>
      </c>
      <c r="L22" s="2073">
        <v>7.8998280309544278</v>
      </c>
      <c r="M22" s="2073">
        <v>8.5124677558039537</v>
      </c>
      <c r="N22" s="2073">
        <v>9.8476354256233876</v>
      </c>
      <c r="O22" s="2073">
        <v>4.1246775580395516</v>
      </c>
      <c r="P22" s="2073">
        <v>3.4529664660361128</v>
      </c>
      <c r="Q22" s="2073">
        <v>6.2012897678417884</v>
      </c>
      <c r="R22" s="2073">
        <v>5.0408426483233013</v>
      </c>
      <c r="S22" s="2073">
        <v>1.4258813413585549</v>
      </c>
      <c r="T22" s="2073">
        <v>1.2482373172828891</v>
      </c>
      <c r="U22" s="2073">
        <v>5.6821152192605329</v>
      </c>
      <c r="V22" s="2073">
        <v>3.1257093723129832</v>
      </c>
      <c r="W22" s="2073">
        <v>1.6973344797936374</v>
      </c>
      <c r="X22" s="2073">
        <v>2.8663800515907139</v>
      </c>
    </row>
    <row r="23" spans="1:24" ht="11.25" customHeight="1">
      <c r="A23" s="2074" t="s">
        <v>559</v>
      </c>
      <c r="B23" s="2069" t="s">
        <v>5765</v>
      </c>
      <c r="C23" s="2070">
        <v>0</v>
      </c>
      <c r="D23" s="2070">
        <v>0</v>
      </c>
      <c r="E23" s="2070">
        <v>0.25038693035253651</v>
      </c>
      <c r="F23" s="2070">
        <v>0.50266552020636279</v>
      </c>
      <c r="G23" s="2070">
        <v>0</v>
      </c>
      <c r="H23" s="2070">
        <v>0</v>
      </c>
      <c r="I23" s="2070">
        <v>7.9220120378331904</v>
      </c>
      <c r="J23" s="2070">
        <v>12.756749785038691</v>
      </c>
      <c r="K23" s="2070">
        <v>15.868271711092001</v>
      </c>
      <c r="L23" s="2070">
        <v>7.5822012037833186</v>
      </c>
      <c r="M23" s="2070">
        <v>8.5124677558039537</v>
      </c>
      <c r="N23" s="2070">
        <v>9.8476354256233876</v>
      </c>
      <c r="O23" s="2070">
        <v>4.1246775580395516</v>
      </c>
      <c r="P23" s="2070">
        <v>3.4529664660361128</v>
      </c>
      <c r="Q23" s="2070">
        <v>6.2012897678417884</v>
      </c>
      <c r="R23" s="2070">
        <v>5.0408426483233013</v>
      </c>
      <c r="S23" s="2070">
        <v>1.4258813413585549</v>
      </c>
      <c r="T23" s="2070">
        <v>1.18469475494411</v>
      </c>
      <c r="U23" s="2070">
        <v>5.5868443680137574</v>
      </c>
      <c r="V23" s="2070">
        <v>2.7429062768701629</v>
      </c>
      <c r="W23" s="2070">
        <v>1.6440240756663802</v>
      </c>
      <c r="X23" s="2070">
        <v>2.8663800515907139</v>
      </c>
    </row>
    <row r="24" spans="1:24" ht="11.25" customHeight="1">
      <c r="A24" s="2074" t="s">
        <v>4657</v>
      </c>
      <c r="B24" s="2069" t="s">
        <v>5766</v>
      </c>
      <c r="C24" s="2070">
        <v>0</v>
      </c>
      <c r="D24" s="2070">
        <v>0</v>
      </c>
      <c r="E24" s="2070">
        <v>0</v>
      </c>
      <c r="F24" s="2070">
        <v>0</v>
      </c>
      <c r="G24" s="2070">
        <v>0</v>
      </c>
      <c r="H24" s="2070">
        <v>0</v>
      </c>
      <c r="I24" s="2070">
        <v>0</v>
      </c>
      <c r="J24" s="2070">
        <v>0</v>
      </c>
      <c r="K24" s="2070">
        <v>0</v>
      </c>
      <c r="L24" s="2070">
        <v>0.31762682717110918</v>
      </c>
      <c r="M24" s="2070">
        <v>0</v>
      </c>
      <c r="N24" s="2070">
        <v>0</v>
      </c>
      <c r="O24" s="2070">
        <v>0</v>
      </c>
      <c r="P24" s="2070">
        <v>0</v>
      </c>
      <c r="Q24" s="2070">
        <v>0</v>
      </c>
      <c r="R24" s="2070">
        <v>0</v>
      </c>
      <c r="S24" s="2070">
        <v>0</v>
      </c>
      <c r="T24" s="2070">
        <v>6.3542562338779016E-2</v>
      </c>
      <c r="U24" s="2070">
        <v>9.5270851246775576E-2</v>
      </c>
      <c r="V24" s="2070">
        <v>0.38280309544282021</v>
      </c>
      <c r="W24" s="2070">
        <v>5.3310404127257092E-2</v>
      </c>
      <c r="X24" s="2070">
        <v>0</v>
      </c>
    </row>
    <row r="25" spans="1:24" ht="11.25" customHeight="1">
      <c r="A25" s="2071" t="s">
        <v>4658</v>
      </c>
      <c r="B25" s="2072" t="s">
        <v>5767</v>
      </c>
      <c r="C25" s="2073">
        <v>0</v>
      </c>
      <c r="D25" s="2073">
        <v>0</v>
      </c>
      <c r="E25" s="2073">
        <v>0</v>
      </c>
      <c r="F25" s="2073">
        <v>0</v>
      </c>
      <c r="G25" s="2073">
        <v>0</v>
      </c>
      <c r="H25" s="2073">
        <v>0</v>
      </c>
      <c r="I25" s="2073">
        <v>0</v>
      </c>
      <c r="J25" s="2073">
        <v>0</v>
      </c>
      <c r="K25" s="2073">
        <v>0</v>
      </c>
      <c r="L25" s="2073">
        <v>0</v>
      </c>
      <c r="M25" s="2073">
        <v>0</v>
      </c>
      <c r="N25" s="2073">
        <v>0</v>
      </c>
      <c r="O25" s="2073">
        <v>0</v>
      </c>
      <c r="P25" s="2073">
        <v>0</v>
      </c>
      <c r="Q25" s="2073">
        <v>0</v>
      </c>
      <c r="R25" s="2073">
        <v>0</v>
      </c>
      <c r="S25" s="2073">
        <v>0</v>
      </c>
      <c r="T25" s="2073">
        <v>0</v>
      </c>
      <c r="U25" s="2073">
        <v>0</v>
      </c>
      <c r="V25" s="2073">
        <v>0</v>
      </c>
      <c r="W25" s="2073">
        <v>0</v>
      </c>
      <c r="X25" s="2073">
        <v>0</v>
      </c>
    </row>
    <row r="26" spans="1:24" ht="11.25" customHeight="1">
      <c r="A26" s="2071" t="s">
        <v>3872</v>
      </c>
      <c r="B26" s="2072" t="s">
        <v>5768</v>
      </c>
      <c r="C26" s="2073">
        <v>571.74006878761816</v>
      </c>
      <c r="D26" s="2073">
        <v>548.70851246775578</v>
      </c>
      <c r="E26" s="2073">
        <v>441.09793637145316</v>
      </c>
      <c r="F26" s="2073">
        <v>420.51375752364572</v>
      </c>
      <c r="G26" s="2073">
        <v>470.83250214961305</v>
      </c>
      <c r="H26" s="2073">
        <v>413.52244196044717</v>
      </c>
      <c r="I26" s="2073">
        <v>428.61814273430775</v>
      </c>
      <c r="J26" s="2073">
        <v>390.90877042132411</v>
      </c>
      <c r="K26" s="2073">
        <v>286.60696474634568</v>
      </c>
      <c r="L26" s="2073">
        <v>252.28142734307824</v>
      </c>
      <c r="M26" s="2073">
        <v>267.02347377472051</v>
      </c>
      <c r="N26" s="2073">
        <v>227.48435081685295</v>
      </c>
      <c r="O26" s="2073">
        <v>185.15692175408427</v>
      </c>
      <c r="P26" s="2073">
        <v>166.17188306104902</v>
      </c>
      <c r="Q26" s="2073">
        <v>155.26620808254512</v>
      </c>
      <c r="R26" s="2073">
        <v>162.89114359415302</v>
      </c>
      <c r="S26" s="2073">
        <v>177.49664660361134</v>
      </c>
      <c r="T26" s="2073">
        <v>185.53284608770423</v>
      </c>
      <c r="U26" s="2073">
        <v>203.79802235597597</v>
      </c>
      <c r="V26" s="2073">
        <v>191.50464316423043</v>
      </c>
      <c r="W26" s="2073">
        <v>186.70137575236461</v>
      </c>
      <c r="X26" s="2073">
        <v>195.33009458297502</v>
      </c>
    </row>
    <row r="27" spans="1:24" ht="11.25" customHeight="1">
      <c r="A27" s="2065" t="s">
        <v>5769</v>
      </c>
      <c r="B27" s="2066" t="s">
        <v>5770</v>
      </c>
      <c r="C27" s="2067">
        <v>0</v>
      </c>
      <c r="D27" s="2067">
        <v>0</v>
      </c>
      <c r="E27" s="2067">
        <v>0</v>
      </c>
      <c r="F27" s="2067">
        <v>0</v>
      </c>
      <c r="G27" s="2067">
        <v>0</v>
      </c>
      <c r="H27" s="2067">
        <v>0</v>
      </c>
      <c r="I27" s="2067">
        <v>0</v>
      </c>
      <c r="J27" s="2067">
        <v>0</v>
      </c>
      <c r="K27" s="2067">
        <v>0</v>
      </c>
      <c r="L27" s="2067">
        <v>0</v>
      </c>
      <c r="M27" s="2067">
        <v>0</v>
      </c>
      <c r="N27" s="2067">
        <v>0</v>
      </c>
      <c r="O27" s="2067">
        <v>0</v>
      </c>
      <c r="P27" s="2067">
        <v>0</v>
      </c>
      <c r="Q27" s="2067">
        <v>0</v>
      </c>
      <c r="R27" s="2067">
        <v>0</v>
      </c>
      <c r="S27" s="2067">
        <v>0</v>
      </c>
      <c r="T27" s="2067">
        <v>0</v>
      </c>
      <c r="U27" s="2067">
        <v>0</v>
      </c>
      <c r="V27" s="2067">
        <v>0</v>
      </c>
      <c r="W27" s="2067">
        <v>0</v>
      </c>
      <c r="X27" s="2067">
        <v>0</v>
      </c>
    </row>
    <row r="28" spans="1:24" ht="11.25" customHeight="1">
      <c r="A28" s="2068" t="s">
        <v>4659</v>
      </c>
      <c r="B28" s="2069" t="s">
        <v>5771</v>
      </c>
      <c r="C28" s="2070">
        <v>0</v>
      </c>
      <c r="D28" s="2070">
        <v>0</v>
      </c>
      <c r="E28" s="2070">
        <v>0</v>
      </c>
      <c r="F28" s="2070">
        <v>0</v>
      </c>
      <c r="G28" s="2070">
        <v>0</v>
      </c>
      <c r="H28" s="2070">
        <v>0</v>
      </c>
      <c r="I28" s="2070">
        <v>0</v>
      </c>
      <c r="J28" s="2070">
        <v>0</v>
      </c>
      <c r="K28" s="2070">
        <v>0</v>
      </c>
      <c r="L28" s="2070">
        <v>0</v>
      </c>
      <c r="M28" s="2070">
        <v>0</v>
      </c>
      <c r="N28" s="2070">
        <v>0</v>
      </c>
      <c r="O28" s="2070">
        <v>0</v>
      </c>
      <c r="P28" s="2070">
        <v>0</v>
      </c>
      <c r="Q28" s="2070">
        <v>0</v>
      </c>
      <c r="R28" s="2070">
        <v>0</v>
      </c>
      <c r="S28" s="2070">
        <v>0</v>
      </c>
      <c r="T28" s="2070">
        <v>0</v>
      </c>
      <c r="U28" s="2070">
        <v>0</v>
      </c>
      <c r="V28" s="2070">
        <v>0</v>
      </c>
      <c r="W28" s="2070">
        <v>0</v>
      </c>
      <c r="X28" s="2070">
        <v>0</v>
      </c>
    </row>
    <row r="29" spans="1:24" ht="11.25" customHeight="1">
      <c r="A29" s="2068" t="s">
        <v>4660</v>
      </c>
      <c r="B29" s="2069" t="s">
        <v>5772</v>
      </c>
      <c r="C29" s="2070">
        <v>0</v>
      </c>
      <c r="D29" s="2070">
        <v>0</v>
      </c>
      <c r="E29" s="2070">
        <v>0</v>
      </c>
      <c r="F29" s="2070">
        <v>0</v>
      </c>
      <c r="G29" s="2070">
        <v>0</v>
      </c>
      <c r="H29" s="2070">
        <v>0</v>
      </c>
      <c r="I29" s="2070">
        <v>0</v>
      </c>
      <c r="J29" s="2070">
        <v>0</v>
      </c>
      <c r="K29" s="2070">
        <v>0</v>
      </c>
      <c r="L29" s="2070">
        <v>0</v>
      </c>
      <c r="M29" s="2070">
        <v>0</v>
      </c>
      <c r="N29" s="2070">
        <v>0</v>
      </c>
      <c r="O29" s="2070">
        <v>0</v>
      </c>
      <c r="P29" s="2070">
        <v>0</v>
      </c>
      <c r="Q29" s="2070">
        <v>0</v>
      </c>
      <c r="R29" s="2070">
        <v>0</v>
      </c>
      <c r="S29" s="2070">
        <v>0</v>
      </c>
      <c r="T29" s="2070">
        <v>0</v>
      </c>
      <c r="U29" s="2070">
        <v>0</v>
      </c>
      <c r="V29" s="2070">
        <v>0</v>
      </c>
      <c r="W29" s="2070">
        <v>0</v>
      </c>
      <c r="X29" s="2070">
        <v>0</v>
      </c>
    </row>
    <row r="30" spans="1:24" ht="11.25" customHeight="1">
      <c r="A30" s="2068" t="s">
        <v>4661</v>
      </c>
      <c r="B30" s="2069" t="s">
        <v>5773</v>
      </c>
      <c r="C30" s="2070">
        <v>0</v>
      </c>
      <c r="D30" s="2070">
        <v>0</v>
      </c>
      <c r="E30" s="2070">
        <v>0</v>
      </c>
      <c r="F30" s="2070">
        <v>0</v>
      </c>
      <c r="G30" s="2070">
        <v>0</v>
      </c>
      <c r="H30" s="2070">
        <v>0</v>
      </c>
      <c r="I30" s="2070">
        <v>0</v>
      </c>
      <c r="J30" s="2070">
        <v>0</v>
      </c>
      <c r="K30" s="2070">
        <v>0</v>
      </c>
      <c r="L30" s="2070">
        <v>0</v>
      </c>
      <c r="M30" s="2070">
        <v>0</v>
      </c>
      <c r="N30" s="2070">
        <v>0</v>
      </c>
      <c r="O30" s="2070">
        <v>0</v>
      </c>
      <c r="P30" s="2070">
        <v>0</v>
      </c>
      <c r="Q30" s="2070">
        <v>0</v>
      </c>
      <c r="R30" s="2070">
        <v>0</v>
      </c>
      <c r="S30" s="2070">
        <v>0</v>
      </c>
      <c r="T30" s="2070">
        <v>0</v>
      </c>
      <c r="U30" s="2070">
        <v>0</v>
      </c>
      <c r="V30" s="2070">
        <v>0</v>
      </c>
      <c r="W30" s="2070">
        <v>0</v>
      </c>
      <c r="X30" s="2070">
        <v>0</v>
      </c>
    </row>
    <row r="31" spans="1:24" ht="11.25" customHeight="1">
      <c r="A31" s="2068" t="s">
        <v>5774</v>
      </c>
      <c r="B31" s="2069" t="s">
        <v>5775</v>
      </c>
      <c r="C31" s="2070">
        <v>0</v>
      </c>
      <c r="D31" s="2070">
        <v>0</v>
      </c>
      <c r="E31" s="2070">
        <v>0</v>
      </c>
      <c r="F31" s="2070">
        <v>0</v>
      </c>
      <c r="G31" s="2070">
        <v>0</v>
      </c>
      <c r="H31" s="2070">
        <v>0</v>
      </c>
      <c r="I31" s="2070">
        <v>0</v>
      </c>
      <c r="J31" s="2070">
        <v>0</v>
      </c>
      <c r="K31" s="2070">
        <v>0</v>
      </c>
      <c r="L31" s="2070">
        <v>0</v>
      </c>
      <c r="M31" s="2070">
        <v>0</v>
      </c>
      <c r="N31" s="2070">
        <v>0</v>
      </c>
      <c r="O31" s="2070">
        <v>0</v>
      </c>
      <c r="P31" s="2070">
        <v>0</v>
      </c>
      <c r="Q31" s="2070">
        <v>0</v>
      </c>
      <c r="R31" s="2070">
        <v>0</v>
      </c>
      <c r="S31" s="2070">
        <v>0</v>
      </c>
      <c r="T31" s="2070">
        <v>0</v>
      </c>
      <c r="U31" s="2070">
        <v>0</v>
      </c>
      <c r="V31" s="2070">
        <v>0</v>
      </c>
      <c r="W31" s="2070">
        <v>0</v>
      </c>
      <c r="X31" s="2070">
        <v>0</v>
      </c>
    </row>
    <row r="32" spans="1:24" ht="11.25" customHeight="1">
      <c r="A32" s="2068" t="s">
        <v>4662</v>
      </c>
      <c r="B32" s="2069" t="s">
        <v>5776</v>
      </c>
      <c r="C32" s="2070">
        <v>0</v>
      </c>
      <c r="D32" s="2070">
        <v>0</v>
      </c>
      <c r="E32" s="2070">
        <v>0</v>
      </c>
      <c r="F32" s="2070">
        <v>0</v>
      </c>
      <c r="G32" s="2070">
        <v>0</v>
      </c>
      <c r="H32" s="2070">
        <v>0</v>
      </c>
      <c r="I32" s="2070">
        <v>0</v>
      </c>
      <c r="J32" s="2070">
        <v>0</v>
      </c>
      <c r="K32" s="2070">
        <v>0</v>
      </c>
      <c r="L32" s="2070">
        <v>0</v>
      </c>
      <c r="M32" s="2070">
        <v>0</v>
      </c>
      <c r="N32" s="2070">
        <v>0</v>
      </c>
      <c r="O32" s="2070">
        <v>0</v>
      </c>
      <c r="P32" s="2070">
        <v>0</v>
      </c>
      <c r="Q32" s="2070">
        <v>0</v>
      </c>
      <c r="R32" s="2070">
        <v>0</v>
      </c>
      <c r="S32" s="2070">
        <v>0</v>
      </c>
      <c r="T32" s="2070">
        <v>0</v>
      </c>
      <c r="U32" s="2070">
        <v>0</v>
      </c>
      <c r="V32" s="2070">
        <v>0</v>
      </c>
      <c r="W32" s="2070">
        <v>0</v>
      </c>
      <c r="X32" s="2070">
        <v>0</v>
      </c>
    </row>
    <row r="33" spans="1:24" ht="11.25" customHeight="1">
      <c r="A33" s="2065" t="s">
        <v>5777</v>
      </c>
      <c r="B33" s="2066" t="s">
        <v>5778</v>
      </c>
      <c r="C33" s="2067">
        <v>571.74006878761816</v>
      </c>
      <c r="D33" s="2067">
        <v>548.70851246775578</v>
      </c>
      <c r="E33" s="2067">
        <v>441.09793637145316</v>
      </c>
      <c r="F33" s="2067">
        <v>420.51375752364572</v>
      </c>
      <c r="G33" s="2067">
        <v>470.83250214961305</v>
      </c>
      <c r="H33" s="2067">
        <v>413.52244196044717</v>
      </c>
      <c r="I33" s="2067">
        <v>428.61814273430775</v>
      </c>
      <c r="J33" s="2067">
        <v>390.90877042132411</v>
      </c>
      <c r="K33" s="2067">
        <v>286.60696474634568</v>
      </c>
      <c r="L33" s="2067">
        <v>252.28142734307824</v>
      </c>
      <c r="M33" s="2067">
        <v>267.02347377472051</v>
      </c>
      <c r="N33" s="2067">
        <v>227.48435081685295</v>
      </c>
      <c r="O33" s="2067">
        <v>185.15692175408427</v>
      </c>
      <c r="P33" s="2067">
        <v>166.17188306104902</v>
      </c>
      <c r="Q33" s="2067">
        <v>155.26620808254512</v>
      </c>
      <c r="R33" s="2067">
        <v>162.89114359415302</v>
      </c>
      <c r="S33" s="2067">
        <v>177.49664660361134</v>
      </c>
      <c r="T33" s="2067">
        <v>185.53284608770423</v>
      </c>
      <c r="U33" s="2067">
        <v>203.79802235597597</v>
      </c>
      <c r="V33" s="2067">
        <v>191.50464316423043</v>
      </c>
      <c r="W33" s="2067">
        <v>186.70137575236461</v>
      </c>
      <c r="X33" s="2067">
        <v>195.33009458297502</v>
      </c>
    </row>
    <row r="34" spans="1:24" ht="11.25" customHeight="1">
      <c r="A34" s="2068" t="s">
        <v>4607</v>
      </c>
      <c r="B34" s="2069" t="s">
        <v>5779</v>
      </c>
      <c r="C34" s="2070">
        <v>0</v>
      </c>
      <c r="D34" s="2070">
        <v>0</v>
      </c>
      <c r="E34" s="2070">
        <v>0</v>
      </c>
      <c r="F34" s="2070">
        <v>0</v>
      </c>
      <c r="G34" s="2070">
        <v>0</v>
      </c>
      <c r="H34" s="2070">
        <v>0</v>
      </c>
      <c r="I34" s="2070">
        <v>0</v>
      </c>
      <c r="J34" s="2070">
        <v>0</v>
      </c>
      <c r="K34" s="2070">
        <v>0</v>
      </c>
      <c r="L34" s="2070">
        <v>0</v>
      </c>
      <c r="M34" s="2070">
        <v>0</v>
      </c>
      <c r="N34" s="2070">
        <v>0</v>
      </c>
      <c r="O34" s="2070">
        <v>0</v>
      </c>
      <c r="P34" s="2070">
        <v>0</v>
      </c>
      <c r="Q34" s="2070">
        <v>0</v>
      </c>
      <c r="R34" s="2070">
        <v>0</v>
      </c>
      <c r="S34" s="2070">
        <v>0</v>
      </c>
      <c r="T34" s="2070">
        <v>0</v>
      </c>
      <c r="U34" s="2070">
        <v>0</v>
      </c>
      <c r="V34" s="2070">
        <v>0</v>
      </c>
      <c r="W34" s="2070">
        <v>0</v>
      </c>
      <c r="X34" s="2070">
        <v>0</v>
      </c>
    </row>
    <row r="35" spans="1:24" ht="11.25" customHeight="1">
      <c r="A35" s="2068" t="s">
        <v>587</v>
      </c>
      <c r="B35" s="2069" t="s">
        <v>5780</v>
      </c>
      <c r="C35" s="2070">
        <v>0</v>
      </c>
      <c r="D35" s="2070">
        <v>0</v>
      </c>
      <c r="E35" s="2070">
        <v>0</v>
      </c>
      <c r="F35" s="2070">
        <v>0</v>
      </c>
      <c r="G35" s="2070">
        <v>0</v>
      </c>
      <c r="H35" s="2070">
        <v>0</v>
      </c>
      <c r="I35" s="2070">
        <v>0</v>
      </c>
      <c r="J35" s="2070">
        <v>0</v>
      </c>
      <c r="K35" s="2070">
        <v>0</v>
      </c>
      <c r="L35" s="2070">
        <v>0</v>
      </c>
      <c r="M35" s="2070">
        <v>0</v>
      </c>
      <c r="N35" s="2070">
        <v>0</v>
      </c>
      <c r="O35" s="2070">
        <v>0</v>
      </c>
      <c r="P35" s="2070">
        <v>0</v>
      </c>
      <c r="Q35" s="2070">
        <v>0</v>
      </c>
      <c r="R35" s="2070">
        <v>0</v>
      </c>
      <c r="S35" s="2070">
        <v>0</v>
      </c>
      <c r="T35" s="2070">
        <v>0</v>
      </c>
      <c r="U35" s="2070">
        <v>0</v>
      </c>
      <c r="V35" s="2070">
        <v>0</v>
      </c>
      <c r="W35" s="2070">
        <v>0</v>
      </c>
      <c r="X35" s="2070">
        <v>0</v>
      </c>
    </row>
    <row r="36" spans="1:24" ht="11.25" customHeight="1">
      <c r="A36" s="2068" t="s">
        <v>5781</v>
      </c>
      <c r="B36" s="2069" t="s">
        <v>5782</v>
      </c>
      <c r="C36" s="2070">
        <v>42.038435081685293</v>
      </c>
      <c r="D36" s="2070">
        <v>41.596044711951841</v>
      </c>
      <c r="E36" s="2070">
        <v>33.646345657781595</v>
      </c>
      <c r="F36" s="2070">
        <v>29.044110060189158</v>
      </c>
      <c r="G36" s="2070">
        <v>21.357867583834903</v>
      </c>
      <c r="H36" s="2070">
        <v>29.661306964746341</v>
      </c>
      <c r="I36" s="2070">
        <v>31.053310404127252</v>
      </c>
      <c r="J36" s="2070">
        <v>29.44006878761822</v>
      </c>
      <c r="K36" s="2070">
        <v>28.093121238177126</v>
      </c>
      <c r="L36" s="2070">
        <v>30.274548581255367</v>
      </c>
      <c r="M36" s="2070">
        <v>31.166294067067923</v>
      </c>
      <c r="N36" s="2070">
        <v>25.268271711091998</v>
      </c>
      <c r="O36" s="2070">
        <v>19.492433361994838</v>
      </c>
      <c r="P36" s="2070">
        <v>17.552278589853824</v>
      </c>
      <c r="Q36" s="2070">
        <v>20.603869303525364</v>
      </c>
      <c r="R36" s="2070">
        <v>18.382201203783314</v>
      </c>
      <c r="S36" s="2070">
        <v>19.493121238177125</v>
      </c>
      <c r="T36" s="2070">
        <v>23.01564918314703</v>
      </c>
      <c r="U36" s="2070">
        <v>19.78091143594153</v>
      </c>
      <c r="V36" s="2070">
        <v>20.836715391229578</v>
      </c>
      <c r="W36" s="2070">
        <v>26.126741186586408</v>
      </c>
      <c r="X36" s="2070">
        <v>30.119174548581256</v>
      </c>
    </row>
    <row r="37" spans="1:24" ht="11.25" customHeight="1">
      <c r="A37" s="2068" t="s">
        <v>5783</v>
      </c>
      <c r="B37" s="2069" t="s">
        <v>5784</v>
      </c>
      <c r="C37" s="2070">
        <v>7.7104041272570933</v>
      </c>
      <c r="D37" s="2070">
        <v>7.6986242476354247</v>
      </c>
      <c r="E37" s="2070">
        <v>3.4684436801375753</v>
      </c>
      <c r="F37" s="2070">
        <v>4.5092863284608766</v>
      </c>
      <c r="G37" s="2070">
        <v>4.5120378331900257</v>
      </c>
      <c r="H37" s="2070">
        <v>2.4318142734307826</v>
      </c>
      <c r="I37" s="2070">
        <v>3.4431642304385202</v>
      </c>
      <c r="J37" s="2070">
        <v>5.5631986242476348</v>
      </c>
      <c r="K37" s="2070">
        <v>4.5982803095442826</v>
      </c>
      <c r="L37" s="2070">
        <v>4.4542562338779019</v>
      </c>
      <c r="M37" s="2070">
        <v>2.3577815993121241</v>
      </c>
      <c r="N37" s="2070">
        <v>0.25769561478933783</v>
      </c>
      <c r="O37" s="2070">
        <v>1.2809114359415308</v>
      </c>
      <c r="P37" s="2070">
        <v>0.24797936371453139</v>
      </c>
      <c r="Q37" s="2070">
        <v>0.21616509028374892</v>
      </c>
      <c r="R37" s="2070">
        <v>0.23611349957007738</v>
      </c>
      <c r="S37" s="2070">
        <v>0.22992261392949259</v>
      </c>
      <c r="T37" s="2070">
        <v>1.3877042132416162</v>
      </c>
      <c r="U37" s="2070">
        <v>0.79200343938091133</v>
      </c>
      <c r="V37" s="2070">
        <v>1.3924333619948406</v>
      </c>
      <c r="W37" s="2070">
        <v>0.81487532244196048</v>
      </c>
      <c r="X37" s="2070">
        <v>0.78564058469475484</v>
      </c>
    </row>
    <row r="38" spans="1:24" ht="11.25" customHeight="1">
      <c r="A38" s="2068" t="s">
        <v>4663</v>
      </c>
      <c r="B38" s="2069" t="s">
        <v>5785</v>
      </c>
      <c r="C38" s="2070">
        <v>0</v>
      </c>
      <c r="D38" s="2070">
        <v>0</v>
      </c>
      <c r="E38" s="2070">
        <v>0</v>
      </c>
      <c r="F38" s="2070">
        <v>0</v>
      </c>
      <c r="G38" s="2070">
        <v>0</v>
      </c>
      <c r="H38" s="2070">
        <v>0</v>
      </c>
      <c r="I38" s="2070">
        <v>0</v>
      </c>
      <c r="J38" s="2070">
        <v>0</v>
      </c>
      <c r="K38" s="2070">
        <v>0</v>
      </c>
      <c r="L38" s="2070">
        <v>0</v>
      </c>
      <c r="M38" s="2070">
        <v>0</v>
      </c>
      <c r="N38" s="2070">
        <v>0</v>
      </c>
      <c r="O38" s="2070">
        <v>0</v>
      </c>
      <c r="P38" s="2070">
        <v>0</v>
      </c>
      <c r="Q38" s="2070">
        <v>0</v>
      </c>
      <c r="R38" s="2070">
        <v>0</v>
      </c>
      <c r="S38" s="2070">
        <v>0</v>
      </c>
      <c r="T38" s="2070">
        <v>0</v>
      </c>
      <c r="U38" s="2070">
        <v>0</v>
      </c>
      <c r="V38" s="2070">
        <v>0</v>
      </c>
      <c r="W38" s="2070">
        <v>0</v>
      </c>
      <c r="X38" s="2070">
        <v>0</v>
      </c>
    </row>
    <row r="39" spans="1:24" ht="11.25" customHeight="1">
      <c r="A39" s="2068" t="s">
        <v>5786</v>
      </c>
      <c r="B39" s="2069" t="s">
        <v>5787</v>
      </c>
      <c r="C39" s="2070">
        <v>0</v>
      </c>
      <c r="D39" s="2070">
        <v>0</v>
      </c>
      <c r="E39" s="2070">
        <v>0</v>
      </c>
      <c r="F39" s="2070">
        <v>0</v>
      </c>
      <c r="G39" s="2070">
        <v>0</v>
      </c>
      <c r="H39" s="2070">
        <v>0</v>
      </c>
      <c r="I39" s="2070">
        <v>0</v>
      </c>
      <c r="J39" s="2070">
        <v>0</v>
      </c>
      <c r="K39" s="2070">
        <v>0</v>
      </c>
      <c r="L39" s="2070">
        <v>0</v>
      </c>
      <c r="M39" s="2070">
        <v>0</v>
      </c>
      <c r="N39" s="2070">
        <v>0</v>
      </c>
      <c r="O39" s="2070">
        <v>0</v>
      </c>
      <c r="P39" s="2070">
        <v>0</v>
      </c>
      <c r="Q39" s="2070">
        <v>0</v>
      </c>
      <c r="R39" s="2070">
        <v>0</v>
      </c>
      <c r="S39" s="2070">
        <v>0</v>
      </c>
      <c r="T39" s="2070">
        <v>0</v>
      </c>
      <c r="U39" s="2070">
        <v>0</v>
      </c>
      <c r="V39" s="2070">
        <v>0</v>
      </c>
      <c r="W39" s="2070">
        <v>0</v>
      </c>
      <c r="X39" s="2070">
        <v>0</v>
      </c>
    </row>
    <row r="40" spans="1:24" ht="11.25" customHeight="1">
      <c r="A40" s="2068" t="s">
        <v>5788</v>
      </c>
      <c r="B40" s="2069" t="s">
        <v>5789</v>
      </c>
      <c r="C40" s="2070">
        <v>0</v>
      </c>
      <c r="D40" s="2070">
        <v>0</v>
      </c>
      <c r="E40" s="2070">
        <v>0</v>
      </c>
      <c r="F40" s="2070">
        <v>0</v>
      </c>
      <c r="G40" s="2070">
        <v>0</v>
      </c>
      <c r="H40" s="2070">
        <v>0</v>
      </c>
      <c r="I40" s="2070">
        <v>0</v>
      </c>
      <c r="J40" s="2070">
        <v>0</v>
      </c>
      <c r="K40" s="2070">
        <v>0</v>
      </c>
      <c r="L40" s="2070">
        <v>0</v>
      </c>
      <c r="M40" s="2070">
        <v>0</v>
      </c>
      <c r="N40" s="2070">
        <v>0</v>
      </c>
      <c r="O40" s="2070">
        <v>0</v>
      </c>
      <c r="P40" s="2070">
        <v>0</v>
      </c>
      <c r="Q40" s="2070">
        <v>0</v>
      </c>
      <c r="R40" s="2070">
        <v>0</v>
      </c>
      <c r="S40" s="2070">
        <v>0</v>
      </c>
      <c r="T40" s="2070">
        <v>0</v>
      </c>
      <c r="U40" s="2070">
        <v>0</v>
      </c>
      <c r="V40" s="2070">
        <v>0</v>
      </c>
      <c r="W40" s="2070">
        <v>0</v>
      </c>
      <c r="X40" s="2070">
        <v>0</v>
      </c>
    </row>
    <row r="41" spans="1:24" ht="11.25" customHeight="1">
      <c r="A41" s="2068" t="s">
        <v>4664</v>
      </c>
      <c r="B41" s="2069" t="s">
        <v>5790</v>
      </c>
      <c r="C41" s="2070">
        <v>0.42648323301805668</v>
      </c>
      <c r="D41" s="2070">
        <v>0.49191745485812549</v>
      </c>
      <c r="E41" s="2070">
        <v>0.48030954428202921</v>
      </c>
      <c r="F41" s="2070">
        <v>0.4845227858985382</v>
      </c>
      <c r="G41" s="2070">
        <v>0.47076526225279441</v>
      </c>
      <c r="H41" s="2070">
        <v>0.16569217540842651</v>
      </c>
      <c r="I41" s="2070">
        <v>9.9226139294926893E-2</v>
      </c>
      <c r="J41" s="2070">
        <v>0.49509888220120368</v>
      </c>
      <c r="K41" s="2070">
        <v>0.20584694754944111</v>
      </c>
      <c r="L41" s="2070">
        <v>0.19845227858985379</v>
      </c>
      <c r="M41" s="2070">
        <v>0.32613929492691313</v>
      </c>
      <c r="N41" s="2070">
        <v>7.2828890799656057E-2</v>
      </c>
      <c r="O41" s="2070">
        <v>8.0223559759243335E-2</v>
      </c>
      <c r="P41" s="2070">
        <v>0.10447119518486669</v>
      </c>
      <c r="Q41" s="2070">
        <v>0.17102321582115221</v>
      </c>
      <c r="R41" s="2070">
        <v>4.2218400687876183E-2</v>
      </c>
      <c r="S41" s="2070">
        <v>0.1108340498710232</v>
      </c>
      <c r="T41" s="2070">
        <v>0.12450558899398108</v>
      </c>
      <c r="U41" s="2070">
        <v>0.16569217540842646</v>
      </c>
      <c r="V41" s="2070">
        <v>8.1255374032674119E-2</v>
      </c>
      <c r="W41" s="2070">
        <v>9.7076526225279444E-2</v>
      </c>
      <c r="X41" s="2070">
        <v>9.5012897678417876E-2</v>
      </c>
    </row>
    <row r="42" spans="1:24" ht="11.25" customHeight="1">
      <c r="A42" s="2068" t="s">
        <v>4611</v>
      </c>
      <c r="B42" s="2069" t="s">
        <v>5791</v>
      </c>
      <c r="C42" s="2070">
        <v>0</v>
      </c>
      <c r="D42" s="2070">
        <v>0</v>
      </c>
      <c r="E42" s="2070">
        <v>0</v>
      </c>
      <c r="F42" s="2070">
        <v>0</v>
      </c>
      <c r="G42" s="2070">
        <v>0</v>
      </c>
      <c r="H42" s="2070">
        <v>0</v>
      </c>
      <c r="I42" s="2070">
        <v>0</v>
      </c>
      <c r="J42" s="2070">
        <v>0</v>
      </c>
      <c r="K42" s="2070">
        <v>0</v>
      </c>
      <c r="L42" s="2070">
        <v>0</v>
      </c>
      <c r="M42" s="2070">
        <v>0</v>
      </c>
      <c r="N42" s="2070">
        <v>0</v>
      </c>
      <c r="O42" s="2070">
        <v>0</v>
      </c>
      <c r="P42" s="2070">
        <v>0</v>
      </c>
      <c r="Q42" s="2070">
        <v>0</v>
      </c>
      <c r="R42" s="2070">
        <v>0</v>
      </c>
      <c r="S42" s="2070">
        <v>0</v>
      </c>
      <c r="T42" s="2070">
        <v>0</v>
      </c>
      <c r="U42" s="2070">
        <v>0</v>
      </c>
      <c r="V42" s="2070">
        <v>0</v>
      </c>
      <c r="W42" s="2070">
        <v>0</v>
      </c>
      <c r="X42" s="2070">
        <v>0</v>
      </c>
    </row>
    <row r="43" spans="1:24" ht="11.25" customHeight="1">
      <c r="A43" s="2068" t="s">
        <v>5792</v>
      </c>
      <c r="B43" s="2069" t="s">
        <v>5793</v>
      </c>
      <c r="C43" s="2070">
        <v>181.23628546861565</v>
      </c>
      <c r="D43" s="2070">
        <v>220.74479793637144</v>
      </c>
      <c r="E43" s="2070">
        <v>153.09931212381773</v>
      </c>
      <c r="F43" s="2070">
        <v>163.05846947549443</v>
      </c>
      <c r="G43" s="2070">
        <v>214.70464316423042</v>
      </c>
      <c r="H43" s="2070">
        <v>178.09828030954435</v>
      </c>
      <c r="I43" s="2070">
        <v>171.60670679277726</v>
      </c>
      <c r="J43" s="2070">
        <v>170.66483233018053</v>
      </c>
      <c r="K43" s="2070">
        <v>132.55227858985384</v>
      </c>
      <c r="L43" s="2070">
        <v>116.6561478933792</v>
      </c>
      <c r="M43" s="2070">
        <v>136.93138435081681</v>
      </c>
      <c r="N43" s="2070">
        <v>116.03129836629407</v>
      </c>
      <c r="O43" s="2070">
        <v>109.67239896818572</v>
      </c>
      <c r="P43" s="2070">
        <v>103.64892519346517</v>
      </c>
      <c r="Q43" s="2070">
        <v>102.41668099742044</v>
      </c>
      <c r="R43" s="2070">
        <v>119.42132416165087</v>
      </c>
      <c r="S43" s="2070">
        <v>124.1541702493551</v>
      </c>
      <c r="T43" s="2070">
        <v>133.12089423903697</v>
      </c>
      <c r="U43" s="2070">
        <v>160.35245055889942</v>
      </c>
      <c r="V43" s="2070">
        <v>147.62003439380911</v>
      </c>
      <c r="W43" s="2070">
        <v>136.85305245055892</v>
      </c>
      <c r="X43" s="2070">
        <v>145.35511607910573</v>
      </c>
    </row>
    <row r="44" spans="1:24" ht="11.25" customHeight="1">
      <c r="A44" s="2068" t="s">
        <v>4665</v>
      </c>
      <c r="B44" s="2069" t="s">
        <v>5794</v>
      </c>
      <c r="C44" s="2070">
        <v>339.35889939810829</v>
      </c>
      <c r="D44" s="2070">
        <v>276.21857265692171</v>
      </c>
      <c r="E44" s="2070">
        <v>250.40352536543423</v>
      </c>
      <c r="F44" s="2070">
        <v>223.41736887360273</v>
      </c>
      <c r="G44" s="2070">
        <v>229.78718830610489</v>
      </c>
      <c r="H44" s="2070">
        <v>203.16534823731726</v>
      </c>
      <c r="I44" s="2070">
        <v>222.41573516766979</v>
      </c>
      <c r="J44" s="2070">
        <v>184.74557179707648</v>
      </c>
      <c r="K44" s="2070">
        <v>121.157437661221</v>
      </c>
      <c r="L44" s="2070">
        <v>100.69802235597594</v>
      </c>
      <c r="M44" s="2070">
        <v>95.290799656061893</v>
      </c>
      <c r="N44" s="2070">
        <v>85.854256233877877</v>
      </c>
      <c r="O44" s="2070">
        <v>54.630954428202919</v>
      </c>
      <c r="P44" s="2070">
        <v>44.618228718830622</v>
      </c>
      <c r="Q44" s="2070">
        <v>31.858469475494406</v>
      </c>
      <c r="R44" s="2070">
        <v>24.809286328460875</v>
      </c>
      <c r="S44" s="2070">
        <v>33.508598452278591</v>
      </c>
      <c r="T44" s="2070">
        <v>27.867841788478074</v>
      </c>
      <c r="U44" s="2070">
        <v>22.706104901117801</v>
      </c>
      <c r="V44" s="2070">
        <v>21.574204643164233</v>
      </c>
      <c r="W44" s="2070">
        <v>22.805503009458295</v>
      </c>
      <c r="X44" s="2070">
        <v>18.970507308684432</v>
      </c>
    </row>
    <row r="45" spans="1:24" ht="11.25" customHeight="1">
      <c r="A45" s="2068" t="s">
        <v>5795</v>
      </c>
      <c r="B45" s="2069" t="s">
        <v>5796</v>
      </c>
      <c r="C45" s="2070">
        <v>0</v>
      </c>
      <c r="D45" s="2070">
        <v>0</v>
      </c>
      <c r="E45" s="2070">
        <v>0</v>
      </c>
      <c r="F45" s="2070">
        <v>0</v>
      </c>
      <c r="G45" s="2070">
        <v>0</v>
      </c>
      <c r="H45" s="2070">
        <v>0</v>
      </c>
      <c r="I45" s="2070">
        <v>0</v>
      </c>
      <c r="J45" s="2070">
        <v>0</v>
      </c>
      <c r="K45" s="2070">
        <v>0</v>
      </c>
      <c r="L45" s="2070">
        <v>0</v>
      </c>
      <c r="M45" s="2070">
        <v>0</v>
      </c>
      <c r="N45" s="2070">
        <v>0</v>
      </c>
      <c r="O45" s="2070">
        <v>0</v>
      </c>
      <c r="P45" s="2070">
        <v>0</v>
      </c>
      <c r="Q45" s="2070">
        <v>0</v>
      </c>
      <c r="R45" s="2070">
        <v>0</v>
      </c>
      <c r="S45" s="2070">
        <v>0</v>
      </c>
      <c r="T45" s="2070">
        <v>0</v>
      </c>
      <c r="U45" s="2070">
        <v>0</v>
      </c>
      <c r="V45" s="2070">
        <v>0</v>
      </c>
      <c r="W45" s="2070">
        <v>0</v>
      </c>
      <c r="X45" s="2070">
        <v>0</v>
      </c>
    </row>
    <row r="46" spans="1:24" ht="11.25" customHeight="1">
      <c r="A46" s="2068" t="s">
        <v>595</v>
      </c>
      <c r="B46" s="2069" t="s">
        <v>5797</v>
      </c>
      <c r="C46" s="2070">
        <v>0</v>
      </c>
      <c r="D46" s="2070">
        <v>0</v>
      </c>
      <c r="E46" s="2070">
        <v>0</v>
      </c>
      <c r="F46" s="2070">
        <v>0</v>
      </c>
      <c r="G46" s="2070">
        <v>0</v>
      </c>
      <c r="H46" s="2070">
        <v>0</v>
      </c>
      <c r="I46" s="2070">
        <v>0</v>
      </c>
      <c r="J46" s="2070">
        <v>0</v>
      </c>
      <c r="K46" s="2070">
        <v>0</v>
      </c>
      <c r="L46" s="2070">
        <v>0</v>
      </c>
      <c r="M46" s="2070">
        <v>0</v>
      </c>
      <c r="N46" s="2070">
        <v>0</v>
      </c>
      <c r="O46" s="2070">
        <v>0</v>
      </c>
      <c r="P46" s="2070">
        <v>0</v>
      </c>
      <c r="Q46" s="2070">
        <v>0</v>
      </c>
      <c r="R46" s="2070">
        <v>0</v>
      </c>
      <c r="S46" s="2070">
        <v>0</v>
      </c>
      <c r="T46" s="2070">
        <v>0</v>
      </c>
      <c r="U46" s="2070">
        <v>0</v>
      </c>
      <c r="V46" s="2070">
        <v>0</v>
      </c>
      <c r="W46" s="2070">
        <v>0</v>
      </c>
      <c r="X46" s="2070">
        <v>0</v>
      </c>
    </row>
    <row r="47" spans="1:24" ht="11.25" customHeight="1">
      <c r="A47" s="2068" t="s">
        <v>4614</v>
      </c>
      <c r="B47" s="2069" t="s">
        <v>5798</v>
      </c>
      <c r="C47" s="2070">
        <v>0</v>
      </c>
      <c r="D47" s="2070">
        <v>0</v>
      </c>
      <c r="E47" s="2070">
        <v>0</v>
      </c>
      <c r="F47" s="2070">
        <v>0</v>
      </c>
      <c r="G47" s="2070">
        <v>0</v>
      </c>
      <c r="H47" s="2070">
        <v>0</v>
      </c>
      <c r="I47" s="2070">
        <v>0</v>
      </c>
      <c r="J47" s="2070">
        <v>0</v>
      </c>
      <c r="K47" s="2070">
        <v>0</v>
      </c>
      <c r="L47" s="2070">
        <v>0</v>
      </c>
      <c r="M47" s="2070">
        <v>0</v>
      </c>
      <c r="N47" s="2070">
        <v>0</v>
      </c>
      <c r="O47" s="2070">
        <v>0</v>
      </c>
      <c r="P47" s="2070">
        <v>0</v>
      </c>
      <c r="Q47" s="2070">
        <v>0</v>
      </c>
      <c r="R47" s="2070">
        <v>0</v>
      </c>
      <c r="S47" s="2070">
        <v>0</v>
      </c>
      <c r="T47" s="2070">
        <v>0</v>
      </c>
      <c r="U47" s="2070">
        <v>0</v>
      </c>
      <c r="V47" s="2070">
        <v>0</v>
      </c>
      <c r="W47" s="2070">
        <v>0</v>
      </c>
      <c r="X47" s="2070">
        <v>0</v>
      </c>
    </row>
    <row r="48" spans="1:24" ht="11.25" customHeight="1">
      <c r="A48" s="2068" t="s">
        <v>4667</v>
      </c>
      <c r="B48" s="2069" t="s">
        <v>5799</v>
      </c>
      <c r="C48" s="2070">
        <v>0</v>
      </c>
      <c r="D48" s="2070">
        <v>0</v>
      </c>
      <c r="E48" s="2070">
        <v>0</v>
      </c>
      <c r="F48" s="2070">
        <v>0</v>
      </c>
      <c r="G48" s="2070">
        <v>0</v>
      </c>
      <c r="H48" s="2070">
        <v>0</v>
      </c>
      <c r="I48" s="2070">
        <v>0</v>
      </c>
      <c r="J48" s="2070">
        <v>0</v>
      </c>
      <c r="K48" s="2070">
        <v>0</v>
      </c>
      <c r="L48" s="2070">
        <v>0</v>
      </c>
      <c r="M48" s="2070">
        <v>0</v>
      </c>
      <c r="N48" s="2070">
        <v>0</v>
      </c>
      <c r="O48" s="2070">
        <v>0</v>
      </c>
      <c r="P48" s="2070">
        <v>0</v>
      </c>
      <c r="Q48" s="2070">
        <v>0</v>
      </c>
      <c r="R48" s="2070">
        <v>0</v>
      </c>
      <c r="S48" s="2070">
        <v>0</v>
      </c>
      <c r="T48" s="2070">
        <v>0</v>
      </c>
      <c r="U48" s="2070">
        <v>0</v>
      </c>
      <c r="V48" s="2070">
        <v>0</v>
      </c>
      <c r="W48" s="2070">
        <v>0</v>
      </c>
      <c r="X48" s="2070">
        <v>0</v>
      </c>
    </row>
    <row r="49" spans="1:24" ht="11.25" customHeight="1">
      <c r="A49" s="2068" t="s">
        <v>4666</v>
      </c>
      <c r="B49" s="2069" t="s">
        <v>5800</v>
      </c>
      <c r="C49" s="2070">
        <v>0</v>
      </c>
      <c r="D49" s="2070">
        <v>0</v>
      </c>
      <c r="E49" s="2070">
        <v>0</v>
      </c>
      <c r="F49" s="2070">
        <v>0</v>
      </c>
      <c r="G49" s="2070">
        <v>0</v>
      </c>
      <c r="H49" s="2070">
        <v>0</v>
      </c>
      <c r="I49" s="2070">
        <v>0</v>
      </c>
      <c r="J49" s="2070">
        <v>0</v>
      </c>
      <c r="K49" s="2070">
        <v>0</v>
      </c>
      <c r="L49" s="2070">
        <v>0</v>
      </c>
      <c r="M49" s="2070">
        <v>0</v>
      </c>
      <c r="N49" s="2070">
        <v>0</v>
      </c>
      <c r="O49" s="2070">
        <v>0</v>
      </c>
      <c r="P49" s="2070">
        <v>0</v>
      </c>
      <c r="Q49" s="2070">
        <v>0</v>
      </c>
      <c r="R49" s="2070">
        <v>0</v>
      </c>
      <c r="S49" s="2070">
        <v>0</v>
      </c>
      <c r="T49" s="2070">
        <v>0</v>
      </c>
      <c r="U49" s="2070">
        <v>0</v>
      </c>
      <c r="V49" s="2070">
        <v>0</v>
      </c>
      <c r="W49" s="2070">
        <v>0</v>
      </c>
      <c r="X49" s="2070">
        <v>0</v>
      </c>
    </row>
    <row r="50" spans="1:24" ht="11.25" customHeight="1">
      <c r="A50" s="2068" t="s">
        <v>4668</v>
      </c>
      <c r="B50" s="2069" t="s">
        <v>5801</v>
      </c>
      <c r="C50" s="2070">
        <v>0.96956147893379185</v>
      </c>
      <c r="D50" s="2070">
        <v>1.958555460017197</v>
      </c>
      <c r="E50" s="2070">
        <v>0</v>
      </c>
      <c r="F50" s="2070">
        <v>0</v>
      </c>
      <c r="G50" s="2070">
        <v>0</v>
      </c>
      <c r="H50" s="2070">
        <v>0</v>
      </c>
      <c r="I50" s="2070">
        <v>0</v>
      </c>
      <c r="J50" s="2070">
        <v>0</v>
      </c>
      <c r="K50" s="2070">
        <v>0</v>
      </c>
      <c r="L50" s="2070">
        <v>0</v>
      </c>
      <c r="M50" s="2070">
        <v>0.95107480653482368</v>
      </c>
      <c r="N50" s="2070">
        <v>0</v>
      </c>
      <c r="O50" s="2070">
        <v>0</v>
      </c>
      <c r="P50" s="2070">
        <v>0</v>
      </c>
      <c r="Q50" s="2070">
        <v>0</v>
      </c>
      <c r="R50" s="2070">
        <v>0</v>
      </c>
      <c r="S50" s="2070">
        <v>0</v>
      </c>
      <c r="T50" s="2070">
        <v>1.6251074806534826E-2</v>
      </c>
      <c r="U50" s="2070">
        <v>8.5984522785898529E-4</v>
      </c>
      <c r="V50" s="2070">
        <v>0</v>
      </c>
      <c r="W50" s="2070">
        <v>4.1272570937231296E-3</v>
      </c>
      <c r="X50" s="2070">
        <v>4.6431642304385207E-3</v>
      </c>
    </row>
    <row r="51" spans="1:24" ht="11.25" customHeight="1">
      <c r="A51" s="2071" t="s">
        <v>3875</v>
      </c>
      <c r="B51" s="2072" t="s">
        <v>5802</v>
      </c>
      <c r="C51" s="2073">
        <v>456.43542562338774</v>
      </c>
      <c r="D51" s="2073">
        <v>468.96345657781603</v>
      </c>
      <c r="E51" s="2073">
        <v>492.67153912295782</v>
      </c>
      <c r="F51" s="2073">
        <v>564.6122098022355</v>
      </c>
      <c r="G51" s="2073">
        <v>775.8041272570938</v>
      </c>
      <c r="H51" s="2073">
        <v>775.18400687876192</v>
      </c>
      <c r="I51" s="2073">
        <v>594.14127257093719</v>
      </c>
      <c r="J51" s="2073">
        <v>577.25778159931224</v>
      </c>
      <c r="K51" s="2073">
        <v>713.87876182287187</v>
      </c>
      <c r="L51" s="2073">
        <v>580.88142734307814</v>
      </c>
      <c r="M51" s="2073">
        <v>659.63284608770402</v>
      </c>
      <c r="N51" s="2073">
        <v>722.17618228718811</v>
      </c>
      <c r="O51" s="2073">
        <v>642.03224419604487</v>
      </c>
      <c r="P51" s="2073">
        <v>631.58779019776432</v>
      </c>
      <c r="Q51" s="2073">
        <v>540.17523645743756</v>
      </c>
      <c r="R51" s="2073">
        <v>548.87188306104906</v>
      </c>
      <c r="S51" s="2073">
        <v>581.68374892519341</v>
      </c>
      <c r="T51" s="2073">
        <v>562.04213241616503</v>
      </c>
      <c r="U51" s="2073">
        <v>572.58013757523611</v>
      </c>
      <c r="V51" s="2073">
        <v>512.35227858985377</v>
      </c>
      <c r="W51" s="2073">
        <v>469.76698194325019</v>
      </c>
      <c r="X51" s="2073">
        <v>598.24333619948402</v>
      </c>
    </row>
    <row r="52" spans="1:24" ht="11.25" customHeight="1">
      <c r="A52" s="2071" t="s">
        <v>5803</v>
      </c>
      <c r="B52" s="2072" t="s">
        <v>5804</v>
      </c>
      <c r="C52" s="2073">
        <v>3214.255925684869</v>
      </c>
      <c r="D52" s="2073">
        <v>2877.8533041402497</v>
      </c>
      <c r="E52" s="2073">
        <v>3018.5692049907589</v>
      </c>
      <c r="F52" s="2073">
        <v>3490.9124280651595</v>
      </c>
      <c r="G52" s="2073">
        <v>3831.3454886217428</v>
      </c>
      <c r="H52" s="2073">
        <v>3492.8344723895329</v>
      </c>
      <c r="I52" s="2073">
        <v>3272.4567194425613</v>
      </c>
      <c r="J52" s="2073">
        <v>3622.3617885217582</v>
      </c>
      <c r="K52" s="2073">
        <v>3555.2280120610048</v>
      </c>
      <c r="L52" s="2073">
        <v>3738.7953041363671</v>
      </c>
      <c r="M52" s="2073">
        <v>4149.939840342141</v>
      </c>
      <c r="N52" s="2073">
        <v>4277.2607666584563</v>
      </c>
      <c r="O52" s="2073">
        <v>4416.3916732549196</v>
      </c>
      <c r="P52" s="2073">
        <v>4579.7541947857517</v>
      </c>
      <c r="Q52" s="2073">
        <v>4645.50646005402</v>
      </c>
      <c r="R52" s="2073">
        <v>4828.0074037575187</v>
      </c>
      <c r="S52" s="2073">
        <v>5095.7103739636959</v>
      </c>
      <c r="T52" s="2073">
        <v>5025.6159726740952</v>
      </c>
      <c r="U52" s="2073">
        <v>5050.0743864429478</v>
      </c>
      <c r="V52" s="2073">
        <v>4937.5832544112836</v>
      </c>
      <c r="W52" s="2073">
        <v>4960.216593549585</v>
      </c>
      <c r="X52" s="2073">
        <v>5301.5601975693271</v>
      </c>
    </row>
    <row r="53" spans="1:24" ht="11.25" customHeight="1">
      <c r="A53" s="2074" t="s">
        <v>3973</v>
      </c>
      <c r="B53" s="2069" t="s">
        <v>5805</v>
      </c>
      <c r="C53" s="2070">
        <v>0</v>
      </c>
      <c r="D53" s="2070">
        <v>0</v>
      </c>
      <c r="E53" s="2070">
        <v>0</v>
      </c>
      <c r="F53" s="2070">
        <v>0</v>
      </c>
      <c r="G53" s="2070">
        <v>0</v>
      </c>
      <c r="H53" s="2070">
        <v>0</v>
      </c>
      <c r="I53" s="2070">
        <v>0</v>
      </c>
      <c r="J53" s="2070">
        <v>0</v>
      </c>
      <c r="K53" s="2070">
        <v>0</v>
      </c>
      <c r="L53" s="2070">
        <v>0</v>
      </c>
      <c r="M53" s="2070">
        <v>0</v>
      </c>
      <c r="N53" s="2070">
        <v>0</v>
      </c>
      <c r="O53" s="2070">
        <v>0</v>
      </c>
      <c r="P53" s="2070">
        <v>0</v>
      </c>
      <c r="Q53" s="2070">
        <v>0</v>
      </c>
      <c r="R53" s="2070">
        <v>0</v>
      </c>
      <c r="S53" s="2070">
        <v>0</v>
      </c>
      <c r="T53" s="2070">
        <v>0</v>
      </c>
      <c r="U53" s="2070">
        <v>0</v>
      </c>
      <c r="V53" s="2070">
        <v>0</v>
      </c>
      <c r="W53" s="2070">
        <v>0</v>
      </c>
      <c r="X53" s="2070">
        <v>0</v>
      </c>
    </row>
    <row r="54" spans="1:24" ht="11.25" customHeight="1">
      <c r="A54" s="2074" t="s">
        <v>5806</v>
      </c>
      <c r="B54" s="2069" t="s">
        <v>5807</v>
      </c>
      <c r="C54" s="2070">
        <v>0</v>
      </c>
      <c r="D54" s="2070">
        <v>0</v>
      </c>
      <c r="E54" s="2070">
        <v>0</v>
      </c>
      <c r="F54" s="2070">
        <v>0</v>
      </c>
      <c r="G54" s="2070">
        <v>0</v>
      </c>
      <c r="H54" s="2070">
        <v>0</v>
      </c>
      <c r="I54" s="2070">
        <v>0</v>
      </c>
      <c r="J54" s="2070">
        <v>0</v>
      </c>
      <c r="K54" s="2070">
        <v>0</v>
      </c>
      <c r="L54" s="2070">
        <v>0</v>
      </c>
      <c r="M54" s="2070">
        <v>0</v>
      </c>
      <c r="N54" s="2070">
        <v>0</v>
      </c>
      <c r="O54" s="2070">
        <v>0</v>
      </c>
      <c r="P54" s="2070">
        <v>0</v>
      </c>
      <c r="Q54" s="2070">
        <v>0</v>
      </c>
      <c r="R54" s="2070">
        <v>0</v>
      </c>
      <c r="S54" s="2070">
        <v>0</v>
      </c>
      <c r="T54" s="2070">
        <v>0</v>
      </c>
      <c r="U54" s="2070">
        <v>0</v>
      </c>
      <c r="V54" s="2070">
        <v>0</v>
      </c>
      <c r="W54" s="2070">
        <v>0</v>
      </c>
      <c r="X54" s="2070">
        <v>0</v>
      </c>
    </row>
    <row r="55" spans="1:24" ht="11.25" customHeight="1">
      <c r="A55" s="2074" t="s">
        <v>3965</v>
      </c>
      <c r="B55" s="2069" t="s">
        <v>5808</v>
      </c>
      <c r="C55" s="2070">
        <v>0</v>
      </c>
      <c r="D55" s="2070">
        <v>0</v>
      </c>
      <c r="E55" s="2070">
        <v>0</v>
      </c>
      <c r="F55" s="2070">
        <v>0</v>
      </c>
      <c r="G55" s="2070">
        <v>0</v>
      </c>
      <c r="H55" s="2070">
        <v>0</v>
      </c>
      <c r="I55" s="2070">
        <v>0</v>
      </c>
      <c r="J55" s="2070">
        <v>0</v>
      </c>
      <c r="K55" s="2070">
        <v>0</v>
      </c>
      <c r="L55" s="2070">
        <v>0</v>
      </c>
      <c r="M55" s="2070">
        <v>0</v>
      </c>
      <c r="N55" s="2070">
        <v>0</v>
      </c>
      <c r="O55" s="2070">
        <v>0</v>
      </c>
      <c r="P55" s="2070">
        <v>0</v>
      </c>
      <c r="Q55" s="2070">
        <v>0</v>
      </c>
      <c r="R55" s="2070">
        <v>0</v>
      </c>
      <c r="S55" s="2070">
        <v>0</v>
      </c>
      <c r="T55" s="2070">
        <v>0</v>
      </c>
      <c r="U55" s="2070">
        <v>0</v>
      </c>
      <c r="V55" s="2070">
        <v>0</v>
      </c>
      <c r="W55" s="2070">
        <v>0</v>
      </c>
      <c r="X55" s="2070">
        <v>0</v>
      </c>
    </row>
    <row r="56" spans="1:24" ht="11.25" customHeight="1">
      <c r="A56" s="2074" t="s">
        <v>5636</v>
      </c>
      <c r="B56" s="2069" t="s">
        <v>5809</v>
      </c>
      <c r="C56" s="2070">
        <v>0</v>
      </c>
      <c r="D56" s="2070">
        <v>0</v>
      </c>
      <c r="E56" s="2070">
        <v>0</v>
      </c>
      <c r="F56" s="2070">
        <v>0</v>
      </c>
      <c r="G56" s="2070">
        <v>0</v>
      </c>
      <c r="H56" s="2070">
        <v>0</v>
      </c>
      <c r="I56" s="2070">
        <v>0</v>
      </c>
      <c r="J56" s="2070">
        <v>0</v>
      </c>
      <c r="K56" s="2070">
        <v>0</v>
      </c>
      <c r="L56" s="2070">
        <v>0</v>
      </c>
      <c r="M56" s="2070">
        <v>0</v>
      </c>
      <c r="N56" s="2070">
        <v>0</v>
      </c>
      <c r="O56" s="2070">
        <v>0</v>
      </c>
      <c r="P56" s="2070">
        <v>0</v>
      </c>
      <c r="Q56" s="2070">
        <v>0</v>
      </c>
      <c r="R56" s="2070">
        <v>0</v>
      </c>
      <c r="S56" s="2070">
        <v>0</v>
      </c>
      <c r="T56" s="2070">
        <v>0</v>
      </c>
      <c r="U56" s="2070">
        <v>0</v>
      </c>
      <c r="V56" s="2070">
        <v>0</v>
      </c>
      <c r="W56" s="2070">
        <v>0</v>
      </c>
      <c r="X56" s="2070">
        <v>0</v>
      </c>
    </row>
    <row r="57" spans="1:24" ht="11.25" customHeight="1">
      <c r="A57" s="2074" t="s">
        <v>4617</v>
      </c>
      <c r="B57" s="2069" t="s">
        <v>5810</v>
      </c>
      <c r="C57" s="2070">
        <v>4.9871023215821153E-3</v>
      </c>
      <c r="D57" s="2070">
        <v>4.9871023215821153E-3</v>
      </c>
      <c r="E57" s="2070">
        <v>4.9871023215821153E-3</v>
      </c>
      <c r="F57" s="2070">
        <v>6.964746345657781E-3</v>
      </c>
      <c r="G57" s="2070">
        <v>9.630266552020636E-3</v>
      </c>
      <c r="H57" s="2070">
        <v>9.630266552020636E-3</v>
      </c>
      <c r="I57" s="2070">
        <v>1.023215821152192E-2</v>
      </c>
      <c r="J57" s="2070">
        <v>5.3310404127257091E-3</v>
      </c>
      <c r="K57" s="2070">
        <v>5.5889939810834051E-3</v>
      </c>
      <c r="L57" s="2070">
        <v>5.5889939810834051E-3</v>
      </c>
      <c r="M57" s="2070">
        <v>5.5889939810834051E-3</v>
      </c>
      <c r="N57" s="2070">
        <v>6.2768701633705926E-3</v>
      </c>
      <c r="O57" s="2070">
        <v>6.2768701633705926E-3</v>
      </c>
      <c r="P57" s="2070">
        <v>6.2768701633705926E-3</v>
      </c>
      <c r="Q57" s="2070">
        <v>6.2768701633705926E-3</v>
      </c>
      <c r="R57" s="2070">
        <v>6.2768701633705926E-3</v>
      </c>
      <c r="S57" s="2070">
        <v>6.5348237317282886E-3</v>
      </c>
      <c r="T57" s="2070">
        <v>6.5348237317282886E-3</v>
      </c>
      <c r="U57" s="2070">
        <v>6.5348237317282886E-3</v>
      </c>
      <c r="V57" s="2070">
        <v>1.4101461736887359E-2</v>
      </c>
      <c r="W57" s="2070">
        <v>1.4875322441960451E-2</v>
      </c>
      <c r="X57" s="2070">
        <v>1.4875322441960451E-2</v>
      </c>
    </row>
    <row r="58" spans="1:24" ht="11.25" customHeight="1">
      <c r="A58" s="2074" t="s">
        <v>3971</v>
      </c>
      <c r="B58" s="2069" t="s">
        <v>5811</v>
      </c>
      <c r="C58" s="2070">
        <v>0</v>
      </c>
      <c r="D58" s="2070">
        <v>0</v>
      </c>
      <c r="E58" s="2070">
        <v>0</v>
      </c>
      <c r="F58" s="2070">
        <v>0</v>
      </c>
      <c r="G58" s="2070">
        <v>0</v>
      </c>
      <c r="H58" s="2070">
        <v>0</v>
      </c>
      <c r="I58" s="2070">
        <v>4.7807394668959592E-2</v>
      </c>
      <c r="J58" s="2070">
        <v>4.7807394668959592E-2</v>
      </c>
      <c r="K58" s="2070">
        <v>0</v>
      </c>
      <c r="L58" s="2070">
        <v>0</v>
      </c>
      <c r="M58" s="2070">
        <v>4.7807394668959592E-2</v>
      </c>
      <c r="N58" s="2070">
        <v>0</v>
      </c>
      <c r="O58" s="2070">
        <v>2.3903697334479789E-2</v>
      </c>
      <c r="P58" s="2070">
        <v>2.3903697334479789E-2</v>
      </c>
      <c r="Q58" s="2070">
        <v>2.3903697334479789E-2</v>
      </c>
      <c r="R58" s="2070">
        <v>2.3903697334479789E-2</v>
      </c>
      <c r="S58" s="2070">
        <v>2.3903697334479789E-2</v>
      </c>
      <c r="T58" s="2070">
        <v>2.5279449699054171E-2</v>
      </c>
      <c r="U58" s="2070">
        <v>2.6999140154772141E-2</v>
      </c>
      <c r="V58" s="2070">
        <v>1.2037833190025791E-3</v>
      </c>
      <c r="W58" s="2070">
        <v>0</v>
      </c>
      <c r="X58" s="2070">
        <v>0</v>
      </c>
    </row>
    <row r="59" spans="1:24" ht="11.25" customHeight="1">
      <c r="A59" s="2074" t="s">
        <v>4669</v>
      </c>
      <c r="B59" s="2069" t="s">
        <v>5812</v>
      </c>
      <c r="C59" s="2070">
        <v>3212.5726569217541</v>
      </c>
      <c r="D59" s="2070">
        <v>2876.8986242476349</v>
      </c>
      <c r="E59" s="2070">
        <v>3017.7221840068792</v>
      </c>
      <c r="F59" s="2070">
        <v>3490.1834049871018</v>
      </c>
      <c r="G59" s="2070">
        <v>3830.5867583834911</v>
      </c>
      <c r="H59" s="2070">
        <v>3491.4430782459149</v>
      </c>
      <c r="I59" s="2070">
        <v>3268.2967325881345</v>
      </c>
      <c r="J59" s="2070">
        <v>3619.1453998280308</v>
      </c>
      <c r="K59" s="2070">
        <v>3552.7740326741177</v>
      </c>
      <c r="L59" s="2070">
        <v>3736.4936371453141</v>
      </c>
      <c r="M59" s="2070">
        <v>4148.2131556319864</v>
      </c>
      <c r="N59" s="2070">
        <v>4275.3511607910577</v>
      </c>
      <c r="O59" s="2070">
        <v>4413.6113499570083</v>
      </c>
      <c r="P59" s="2070">
        <v>4577.1463456577812</v>
      </c>
      <c r="Q59" s="2070">
        <v>4640.0557179707639</v>
      </c>
      <c r="R59" s="2070">
        <v>4819.5044711951841</v>
      </c>
      <c r="S59" s="2070">
        <v>5079.8179707652607</v>
      </c>
      <c r="T59" s="2070">
        <v>5008.494582975065</v>
      </c>
      <c r="U59" s="2070">
        <v>5027.7428202923466</v>
      </c>
      <c r="V59" s="2070">
        <v>4915.7358555460014</v>
      </c>
      <c r="W59" s="2070">
        <v>4939.1692175408434</v>
      </c>
      <c r="X59" s="2070">
        <v>5277.9615649183133</v>
      </c>
    </row>
    <row r="60" spans="1:24" ht="11.25" customHeight="1">
      <c r="A60" s="2074" t="s">
        <v>4618</v>
      </c>
      <c r="B60" s="2069" t="s">
        <v>5813</v>
      </c>
      <c r="C60" s="2070">
        <v>0</v>
      </c>
      <c r="D60" s="2070">
        <v>0</v>
      </c>
      <c r="E60" s="2070">
        <v>0</v>
      </c>
      <c r="F60" s="2070">
        <v>0</v>
      </c>
      <c r="G60" s="2070">
        <v>0</v>
      </c>
      <c r="H60" s="2070">
        <v>0</v>
      </c>
      <c r="I60" s="2070">
        <v>0</v>
      </c>
      <c r="J60" s="2070">
        <v>0</v>
      </c>
      <c r="K60" s="2070">
        <v>0</v>
      </c>
      <c r="L60" s="2070">
        <v>0</v>
      </c>
      <c r="M60" s="2070">
        <v>0</v>
      </c>
      <c r="N60" s="2070">
        <v>0</v>
      </c>
      <c r="O60" s="2070">
        <v>0</v>
      </c>
      <c r="P60" s="2070">
        <v>0</v>
      </c>
      <c r="Q60" s="2070">
        <v>0</v>
      </c>
      <c r="R60" s="2070">
        <v>0</v>
      </c>
      <c r="S60" s="2070">
        <v>0</v>
      </c>
      <c r="T60" s="2070">
        <v>0</v>
      </c>
      <c r="U60" s="2070">
        <v>0</v>
      </c>
      <c r="V60" s="2070">
        <v>0</v>
      </c>
      <c r="W60" s="2070">
        <v>0</v>
      </c>
      <c r="X60" s="2070">
        <v>0</v>
      </c>
    </row>
    <row r="61" spans="1:24" ht="11.25" customHeight="1">
      <c r="A61" s="2074" t="s">
        <v>4670</v>
      </c>
      <c r="B61" s="2069" t="s">
        <v>5814</v>
      </c>
      <c r="C61" s="2070">
        <v>0.7165090283748925</v>
      </c>
      <c r="D61" s="2070">
        <v>0</v>
      </c>
      <c r="E61" s="2070">
        <v>0</v>
      </c>
      <c r="F61" s="2070">
        <v>0</v>
      </c>
      <c r="G61" s="2070">
        <v>0</v>
      </c>
      <c r="H61" s="2070">
        <v>0</v>
      </c>
      <c r="I61" s="2070">
        <v>0</v>
      </c>
      <c r="J61" s="2070">
        <v>0</v>
      </c>
      <c r="K61" s="2070">
        <v>9.9742046431642306E-3</v>
      </c>
      <c r="L61" s="2070">
        <v>3.6801375752364571E-2</v>
      </c>
      <c r="M61" s="2070">
        <v>4.4883920894239038E-2</v>
      </c>
      <c r="N61" s="2070">
        <v>5.941530524505588E-2</v>
      </c>
      <c r="O61" s="2070">
        <v>0.32708512467755801</v>
      </c>
      <c r="P61" s="2070">
        <v>0.58856405846947557</v>
      </c>
      <c r="Q61" s="2070">
        <v>0.25726569217540851</v>
      </c>
      <c r="R61" s="2070">
        <v>1.4052450558899399</v>
      </c>
      <c r="S61" s="2070">
        <v>1.3974204643164228</v>
      </c>
      <c r="T61" s="2070">
        <v>0.41685296646603609</v>
      </c>
      <c r="U61" s="2070">
        <v>1.221152192605331</v>
      </c>
      <c r="V61" s="2070">
        <v>0.73301805674978493</v>
      </c>
      <c r="W61" s="2070">
        <v>0.83826311263972464</v>
      </c>
      <c r="X61" s="2070">
        <v>0.86268271711091993</v>
      </c>
    </row>
    <row r="62" spans="1:24" ht="11.25" customHeight="1">
      <c r="A62" s="2074" t="s">
        <v>5815</v>
      </c>
      <c r="B62" s="2069" t="s">
        <v>5816</v>
      </c>
      <c r="C62" s="2070">
        <v>2.3903697334479789E-2</v>
      </c>
      <c r="D62" s="2070">
        <v>7.1625107480653469E-2</v>
      </c>
      <c r="E62" s="2070">
        <v>7.1625107480653469E-2</v>
      </c>
      <c r="F62" s="2070">
        <v>2.3903697334479789E-2</v>
      </c>
      <c r="G62" s="2070">
        <v>4.7807394668959592E-2</v>
      </c>
      <c r="H62" s="2070">
        <v>0.35829750644883918</v>
      </c>
      <c r="I62" s="2070">
        <v>2.9139294926913153</v>
      </c>
      <c r="J62" s="2070">
        <v>0.88366294067067919</v>
      </c>
      <c r="K62" s="2070">
        <v>1.0748065348237319</v>
      </c>
      <c r="L62" s="2070">
        <v>0</v>
      </c>
      <c r="M62" s="2070">
        <v>0</v>
      </c>
      <c r="N62" s="2070">
        <v>4.7807394668959592E-2</v>
      </c>
      <c r="O62" s="2070">
        <v>0.1194325021496131</v>
      </c>
      <c r="P62" s="2070">
        <v>4.7807394668959592E-2</v>
      </c>
      <c r="Q62" s="2070">
        <v>2.3903697334479789E-2</v>
      </c>
      <c r="R62" s="2070">
        <v>0.23886500429922608</v>
      </c>
      <c r="S62" s="2070">
        <v>0.30782459157351671</v>
      </c>
      <c r="T62" s="2070">
        <v>0.29939810834049868</v>
      </c>
      <c r="U62" s="2070">
        <v>0.34875322441960444</v>
      </c>
      <c r="V62" s="2070">
        <v>0.25477214101461731</v>
      </c>
      <c r="W62" s="2070">
        <v>0.53508168529664646</v>
      </c>
      <c r="X62" s="2070">
        <v>1.1264832330180565</v>
      </c>
    </row>
    <row r="63" spans="1:24" ht="11.25" customHeight="1">
      <c r="A63" s="2074" t="s">
        <v>5817</v>
      </c>
      <c r="B63" s="2069" t="s">
        <v>5818</v>
      </c>
      <c r="C63" s="2070">
        <v>0</v>
      </c>
      <c r="D63" s="2070">
        <v>0</v>
      </c>
      <c r="E63" s="2070">
        <v>0</v>
      </c>
      <c r="F63" s="2070">
        <v>0</v>
      </c>
      <c r="G63" s="2070">
        <v>0</v>
      </c>
      <c r="H63" s="2070">
        <v>0</v>
      </c>
      <c r="I63" s="2070">
        <v>0</v>
      </c>
      <c r="J63" s="2070">
        <v>0</v>
      </c>
      <c r="K63" s="2070">
        <v>0</v>
      </c>
      <c r="L63" s="2070">
        <v>0</v>
      </c>
      <c r="M63" s="2070">
        <v>0</v>
      </c>
      <c r="N63" s="2070">
        <v>0</v>
      </c>
      <c r="O63" s="2070">
        <v>0</v>
      </c>
      <c r="P63" s="2070">
        <v>0</v>
      </c>
      <c r="Q63" s="2070">
        <v>0</v>
      </c>
      <c r="R63" s="2070">
        <v>0</v>
      </c>
      <c r="S63" s="2070">
        <v>0</v>
      </c>
      <c r="T63" s="2070">
        <v>0</v>
      </c>
      <c r="U63" s="2070">
        <v>0</v>
      </c>
      <c r="V63" s="2070">
        <v>0</v>
      </c>
      <c r="W63" s="2070">
        <v>0</v>
      </c>
      <c r="X63" s="2070">
        <v>0</v>
      </c>
    </row>
    <row r="64" spans="1:24" ht="11.25" customHeight="1">
      <c r="A64" s="2074" t="s">
        <v>5819</v>
      </c>
      <c r="B64" s="2069" t="s">
        <v>5820</v>
      </c>
      <c r="C64" s="2070">
        <v>0</v>
      </c>
      <c r="D64" s="2070">
        <v>0</v>
      </c>
      <c r="E64" s="2070">
        <v>0</v>
      </c>
      <c r="F64" s="2070">
        <v>0</v>
      </c>
      <c r="G64" s="2070">
        <v>0</v>
      </c>
      <c r="H64" s="2070">
        <v>1.2897678417884779E-3</v>
      </c>
      <c r="I64" s="2070">
        <v>1.2897678417884779E-3</v>
      </c>
      <c r="J64" s="2070">
        <v>1.2897678417884779E-3</v>
      </c>
      <c r="K64" s="2070">
        <v>7.1367153912295783E-3</v>
      </c>
      <c r="L64" s="2070">
        <v>1.2897678417884779E-3</v>
      </c>
      <c r="M64" s="2070">
        <v>6.0189165950128975E-4</v>
      </c>
      <c r="N64" s="2070">
        <v>0</v>
      </c>
      <c r="O64" s="2070">
        <v>0</v>
      </c>
      <c r="P64" s="2070">
        <v>1.2897678417884779E-3</v>
      </c>
      <c r="Q64" s="2070">
        <v>0</v>
      </c>
      <c r="R64" s="2070">
        <v>0</v>
      </c>
      <c r="S64" s="2070">
        <v>1.2897678417884779E-3</v>
      </c>
      <c r="T64" s="2070">
        <v>6.0189165950128975E-4</v>
      </c>
      <c r="U64" s="2070">
        <v>0</v>
      </c>
      <c r="V64" s="2070">
        <v>6.0189165950128975E-4</v>
      </c>
      <c r="W64" s="2070">
        <v>6.0189165950128975E-4</v>
      </c>
      <c r="X64" s="2070">
        <v>6.0189165950128975E-4</v>
      </c>
    </row>
    <row r="65" spans="1:24" ht="11.25" customHeight="1">
      <c r="A65" s="2074" t="s">
        <v>5821</v>
      </c>
      <c r="B65" s="2069" t="s">
        <v>5822</v>
      </c>
      <c r="C65" s="2070">
        <v>0</v>
      </c>
      <c r="D65" s="2070">
        <v>0</v>
      </c>
      <c r="E65" s="2070">
        <v>0</v>
      </c>
      <c r="F65" s="2070">
        <v>0</v>
      </c>
      <c r="G65" s="2070">
        <v>0</v>
      </c>
      <c r="H65" s="2070">
        <v>0</v>
      </c>
      <c r="I65" s="2070">
        <v>3.6113499570077381E-3</v>
      </c>
      <c r="J65" s="2070">
        <v>8.5984522785898529E-4</v>
      </c>
      <c r="K65" s="2070">
        <v>8.5984522785898529E-4</v>
      </c>
      <c r="L65" s="2070">
        <v>2.665520206362855E-3</v>
      </c>
      <c r="M65" s="2070">
        <v>3.6113499570077381E-3</v>
      </c>
      <c r="N65" s="2070">
        <v>7.1367153912295783E-3</v>
      </c>
      <c r="O65" s="2070">
        <v>1.074806534823732E-2</v>
      </c>
      <c r="P65" s="2070">
        <v>1.521926053310404E-2</v>
      </c>
      <c r="Q65" s="2070">
        <v>6.8099742046431641E-2</v>
      </c>
      <c r="R65" s="2070">
        <v>0.15769561478933791</v>
      </c>
      <c r="S65" s="2070">
        <v>1.13877901977644</v>
      </c>
      <c r="T65" s="2070">
        <v>2.0087704213241619</v>
      </c>
      <c r="U65" s="2070">
        <v>3.0131556319862418</v>
      </c>
      <c r="V65" s="2070">
        <v>2.0798796216681001</v>
      </c>
      <c r="W65" s="2070">
        <v>2.1840068787618232E-2</v>
      </c>
      <c r="X65" s="2070">
        <v>1.004385210662081</v>
      </c>
    </row>
    <row r="66" spans="1:24" ht="11.25" customHeight="1">
      <c r="A66" s="2074" t="s">
        <v>5823</v>
      </c>
      <c r="B66" s="2069" t="s">
        <v>5824</v>
      </c>
      <c r="C66" s="2070">
        <v>0</v>
      </c>
      <c r="D66" s="2070">
        <v>0</v>
      </c>
      <c r="E66" s="2070">
        <v>0</v>
      </c>
      <c r="F66" s="2070">
        <v>0</v>
      </c>
      <c r="G66" s="2070">
        <v>0</v>
      </c>
      <c r="H66" s="2070">
        <v>9.6302665520206342E-3</v>
      </c>
      <c r="I66" s="2070">
        <v>5.7093723129836627E-2</v>
      </c>
      <c r="J66" s="2070">
        <v>0.12003439380911435</v>
      </c>
      <c r="K66" s="2070">
        <v>8.607050730868443E-2</v>
      </c>
      <c r="L66" s="2070">
        <v>0.10713671539122957</v>
      </c>
      <c r="M66" s="2070">
        <v>0.10335339638865004</v>
      </c>
      <c r="N66" s="2070">
        <v>0.13370593293207222</v>
      </c>
      <c r="O66" s="2070">
        <v>0.15700773860705072</v>
      </c>
      <c r="P66" s="2070">
        <v>0.18512467755803957</v>
      </c>
      <c r="Q66" s="2070">
        <v>0.29157351676698195</v>
      </c>
      <c r="R66" s="2070">
        <v>0.99836629406706789</v>
      </c>
      <c r="S66" s="2070">
        <v>4.553396388650043</v>
      </c>
      <c r="T66" s="2070">
        <v>5.578073946689595</v>
      </c>
      <c r="U66" s="2070">
        <v>6.8146173688736029</v>
      </c>
      <c r="V66" s="2070">
        <v>7.0790197764402398</v>
      </c>
      <c r="W66" s="2070">
        <v>7.003439380911435</v>
      </c>
      <c r="X66" s="2070">
        <v>7.7818572656921745</v>
      </c>
    </row>
    <row r="67" spans="1:24" ht="11.25" customHeight="1">
      <c r="A67" s="2074" t="s">
        <v>5825</v>
      </c>
      <c r="B67" s="2069" t="s">
        <v>5826</v>
      </c>
      <c r="C67" s="2070">
        <v>0</v>
      </c>
      <c r="D67" s="2070">
        <v>0</v>
      </c>
      <c r="E67" s="2070">
        <v>0</v>
      </c>
      <c r="F67" s="2070">
        <v>0</v>
      </c>
      <c r="G67" s="2070">
        <v>0</v>
      </c>
      <c r="H67" s="2070">
        <v>0</v>
      </c>
      <c r="I67" s="2070">
        <v>0</v>
      </c>
      <c r="J67" s="2070">
        <v>0</v>
      </c>
      <c r="K67" s="2070">
        <v>0</v>
      </c>
      <c r="L67" s="2070">
        <v>0</v>
      </c>
      <c r="M67" s="2070">
        <v>0</v>
      </c>
      <c r="N67" s="2070">
        <v>0</v>
      </c>
      <c r="O67" s="2070">
        <v>0</v>
      </c>
      <c r="P67" s="2070">
        <v>0</v>
      </c>
      <c r="Q67" s="2070">
        <v>0</v>
      </c>
      <c r="R67" s="2070">
        <v>0</v>
      </c>
      <c r="S67" s="2070">
        <v>0</v>
      </c>
      <c r="T67" s="2070">
        <v>0</v>
      </c>
      <c r="U67" s="2070">
        <v>0</v>
      </c>
      <c r="V67" s="2070">
        <v>0</v>
      </c>
      <c r="W67" s="2070">
        <v>0</v>
      </c>
      <c r="X67" s="2070">
        <v>0</v>
      </c>
    </row>
    <row r="68" spans="1:24" ht="11.25" customHeight="1">
      <c r="A68" s="2074" t="s">
        <v>5827</v>
      </c>
      <c r="B68" s="2069" t="s">
        <v>5828</v>
      </c>
      <c r="C68" s="2070">
        <v>0</v>
      </c>
      <c r="D68" s="2070">
        <v>0</v>
      </c>
      <c r="E68" s="2070">
        <v>0</v>
      </c>
      <c r="F68" s="2070">
        <v>0</v>
      </c>
      <c r="G68" s="2070">
        <v>0</v>
      </c>
      <c r="H68" s="2070">
        <v>0</v>
      </c>
      <c r="I68" s="2070">
        <v>0</v>
      </c>
      <c r="J68" s="2070">
        <v>0</v>
      </c>
      <c r="K68" s="2070">
        <v>0</v>
      </c>
      <c r="L68" s="2070">
        <v>0</v>
      </c>
      <c r="M68" s="2070">
        <v>0</v>
      </c>
      <c r="N68" s="2070">
        <v>0</v>
      </c>
      <c r="O68" s="2070">
        <v>0</v>
      </c>
      <c r="P68" s="2070">
        <v>0</v>
      </c>
      <c r="Q68" s="2070">
        <v>0</v>
      </c>
      <c r="R68" s="2070">
        <v>0</v>
      </c>
      <c r="S68" s="2070">
        <v>0</v>
      </c>
      <c r="T68" s="2070">
        <v>0</v>
      </c>
      <c r="U68" s="2070">
        <v>0</v>
      </c>
      <c r="V68" s="2070">
        <v>0</v>
      </c>
      <c r="W68" s="2070">
        <v>0</v>
      </c>
      <c r="X68" s="2070">
        <v>0</v>
      </c>
    </row>
    <row r="69" spans="1:24" ht="11.25" customHeight="1">
      <c r="A69" s="2074" t="s">
        <v>4619</v>
      </c>
      <c r="B69" s="2069" t="s">
        <v>5829</v>
      </c>
      <c r="C69" s="2070">
        <v>0</v>
      </c>
      <c r="D69" s="2070">
        <v>0</v>
      </c>
      <c r="E69" s="2070">
        <v>0</v>
      </c>
      <c r="F69" s="2070">
        <v>0</v>
      </c>
      <c r="G69" s="2070">
        <v>0</v>
      </c>
      <c r="H69" s="2070">
        <v>0</v>
      </c>
      <c r="I69" s="2070">
        <v>0</v>
      </c>
      <c r="J69" s="2070">
        <v>0.8623387790197764</v>
      </c>
      <c r="K69" s="2070">
        <v>0</v>
      </c>
      <c r="L69" s="2070">
        <v>0.77377472055030094</v>
      </c>
      <c r="M69" s="2070">
        <v>0</v>
      </c>
      <c r="N69" s="2070">
        <v>0</v>
      </c>
      <c r="O69" s="2070">
        <v>0.50180567497850381</v>
      </c>
      <c r="P69" s="2070">
        <v>0</v>
      </c>
      <c r="Q69" s="2070">
        <v>0</v>
      </c>
      <c r="R69" s="2070">
        <v>0</v>
      </c>
      <c r="S69" s="2070">
        <v>1.0677558039552879</v>
      </c>
      <c r="T69" s="2070">
        <v>0.55012897678417882</v>
      </c>
      <c r="U69" s="2070">
        <v>1.3332760103181429</v>
      </c>
      <c r="V69" s="2070">
        <v>1.2862424763542559</v>
      </c>
      <c r="W69" s="2070">
        <v>1.4308684436801371</v>
      </c>
      <c r="X69" s="2070">
        <v>0.68254514187446258</v>
      </c>
    </row>
    <row r="70" spans="1:24" ht="11.25" customHeight="1">
      <c r="A70" s="2074" t="s">
        <v>5830</v>
      </c>
      <c r="B70" s="2069" t="s">
        <v>5831</v>
      </c>
      <c r="C70" s="2070">
        <v>0.9378689350844398</v>
      </c>
      <c r="D70" s="2070">
        <v>0.87806768281294256</v>
      </c>
      <c r="E70" s="2070">
        <v>0.77040877407766084</v>
      </c>
      <c r="F70" s="2070">
        <v>0.69815463437757386</v>
      </c>
      <c r="G70" s="2070">
        <v>0.70129257703101811</v>
      </c>
      <c r="H70" s="2070">
        <v>1.0125463362239271</v>
      </c>
      <c r="I70" s="2070">
        <v>1.1260229679265197</v>
      </c>
      <c r="J70" s="2070">
        <v>1.2950645320770924</v>
      </c>
      <c r="K70" s="2070">
        <v>1.2695425855109486</v>
      </c>
      <c r="L70" s="2070">
        <v>1.3744098973297882</v>
      </c>
      <c r="M70" s="2070">
        <v>1.5208377626062082</v>
      </c>
      <c r="N70" s="2070">
        <v>1.6552636489974581</v>
      </c>
      <c r="O70" s="2070">
        <v>1.6340636246524536</v>
      </c>
      <c r="P70" s="2070">
        <v>1.73966340140203</v>
      </c>
      <c r="Q70" s="2070">
        <v>4.7797188674339779</v>
      </c>
      <c r="R70" s="2070">
        <v>5.6725800257912677</v>
      </c>
      <c r="S70" s="2070">
        <v>7.3954986412553225</v>
      </c>
      <c r="T70" s="2070">
        <v>8.2357491143361177</v>
      </c>
      <c r="U70" s="2070">
        <v>9.5670777585097095</v>
      </c>
      <c r="V70" s="2070">
        <v>10.398559656341114</v>
      </c>
      <c r="W70" s="2070">
        <v>11.202406103325599</v>
      </c>
      <c r="X70" s="2070">
        <v>12.125201868554594</v>
      </c>
    </row>
    <row r="71" spans="1:24" ht="11.25" customHeight="1">
      <c r="A71" s="2071" t="s">
        <v>5832</v>
      </c>
      <c r="B71" s="2072" t="s">
        <v>5833</v>
      </c>
      <c r="C71" s="2073">
        <v>50.611521926053314</v>
      </c>
      <c r="D71" s="2073">
        <v>56.773688736027516</v>
      </c>
      <c r="E71" s="2073">
        <v>58.063456577815977</v>
      </c>
      <c r="F71" s="2073">
        <v>70.268443680137565</v>
      </c>
      <c r="G71" s="2073">
        <v>58.445657781599309</v>
      </c>
      <c r="H71" s="2073">
        <v>60.648237317282891</v>
      </c>
      <c r="I71" s="2073">
        <v>114.2011177987962</v>
      </c>
      <c r="J71" s="2073">
        <v>48.693981083404999</v>
      </c>
      <c r="K71" s="2073">
        <v>40.103783319002574</v>
      </c>
      <c r="L71" s="2073">
        <v>45.30447119518486</v>
      </c>
      <c r="M71" s="2073">
        <v>18.812725709372312</v>
      </c>
      <c r="N71" s="2073">
        <v>22.67351676698194</v>
      </c>
      <c r="O71" s="2073">
        <v>18.50533104041272</v>
      </c>
      <c r="P71" s="2073">
        <v>11.230610490111783</v>
      </c>
      <c r="Q71" s="2073">
        <v>13.10103181427343</v>
      </c>
      <c r="R71" s="2073">
        <v>12.071625107480653</v>
      </c>
      <c r="S71" s="2073">
        <v>15.883662940670684</v>
      </c>
      <c r="T71" s="2073">
        <v>15.809200343938089</v>
      </c>
      <c r="U71" s="2073">
        <v>26.205417024935507</v>
      </c>
      <c r="V71" s="2073">
        <v>20.822785898538267</v>
      </c>
      <c r="W71" s="2073">
        <v>15.686672398968184</v>
      </c>
      <c r="X71" s="2073">
        <v>27.806018916595018</v>
      </c>
    </row>
    <row r="72" spans="1:24" ht="11.25" customHeight="1">
      <c r="A72" s="2074" t="s">
        <v>5834</v>
      </c>
      <c r="B72" s="2069" t="s">
        <v>5835</v>
      </c>
      <c r="C72" s="2070">
        <v>50.587618228718831</v>
      </c>
      <c r="D72" s="2070">
        <v>56.725881341358559</v>
      </c>
      <c r="E72" s="2070">
        <v>58.015649183147019</v>
      </c>
      <c r="F72" s="2070">
        <v>70.24453998280309</v>
      </c>
      <c r="G72" s="2070">
        <v>58.421754084264826</v>
      </c>
      <c r="H72" s="2070">
        <v>60.337747205503014</v>
      </c>
      <c r="I72" s="2070">
        <v>113.60404127257092</v>
      </c>
      <c r="J72" s="2070">
        <v>48.479019776440254</v>
      </c>
      <c r="K72" s="2070">
        <v>39.98435081685296</v>
      </c>
      <c r="L72" s="2070">
        <v>45.30447119518486</v>
      </c>
      <c r="M72" s="2070">
        <v>18.812725709372312</v>
      </c>
      <c r="N72" s="2070">
        <v>22.625709372312979</v>
      </c>
      <c r="O72" s="2070">
        <v>18.409802235597589</v>
      </c>
      <c r="P72" s="2070">
        <v>11.182803095442823</v>
      </c>
      <c r="Q72" s="2070">
        <v>13.10103181427343</v>
      </c>
      <c r="R72" s="2070">
        <v>11.856663800515907</v>
      </c>
      <c r="S72" s="2070">
        <v>15.598280309544286</v>
      </c>
      <c r="T72" s="2070">
        <v>15.534995700773859</v>
      </c>
      <c r="U72" s="2070">
        <v>25.918744625967321</v>
      </c>
      <c r="V72" s="2070">
        <v>20.582373172828895</v>
      </c>
      <c r="W72" s="2070">
        <v>15.161220980223559</v>
      </c>
      <c r="X72" s="2070">
        <v>27.256663800515913</v>
      </c>
    </row>
    <row r="73" spans="1:24" ht="11.25" customHeight="1">
      <c r="A73" s="2074" t="s">
        <v>5836</v>
      </c>
      <c r="B73" s="2069" t="s">
        <v>5837</v>
      </c>
      <c r="C73" s="2070">
        <v>2.3903697334479789E-2</v>
      </c>
      <c r="D73" s="2070">
        <v>4.7807394668959592E-2</v>
      </c>
      <c r="E73" s="2070">
        <v>4.7807394668959592E-2</v>
      </c>
      <c r="F73" s="2070">
        <v>2.3903697334479789E-2</v>
      </c>
      <c r="G73" s="2070">
        <v>2.3903697334479789E-2</v>
      </c>
      <c r="H73" s="2070">
        <v>0.31049011177987956</v>
      </c>
      <c r="I73" s="2070">
        <v>0.5970765262252794</v>
      </c>
      <c r="J73" s="2070">
        <v>0.21496130696474625</v>
      </c>
      <c r="K73" s="2070">
        <v>0.1194325021496131</v>
      </c>
      <c r="L73" s="2070">
        <v>0</v>
      </c>
      <c r="M73" s="2070">
        <v>0</v>
      </c>
      <c r="N73" s="2070">
        <v>4.7807394668959592E-2</v>
      </c>
      <c r="O73" s="2070">
        <v>9.5528804815133275E-2</v>
      </c>
      <c r="P73" s="2070">
        <v>4.7807394668959592E-2</v>
      </c>
      <c r="Q73" s="2070">
        <v>0</v>
      </c>
      <c r="R73" s="2070">
        <v>0.2149613069647463</v>
      </c>
      <c r="S73" s="2070">
        <v>0.28538263112639722</v>
      </c>
      <c r="T73" s="2070">
        <v>0.27420464316423043</v>
      </c>
      <c r="U73" s="2070">
        <v>0.28667239896818569</v>
      </c>
      <c r="V73" s="2070">
        <v>0.24041272570937228</v>
      </c>
      <c r="W73" s="2070">
        <v>0.52545141874462586</v>
      </c>
      <c r="X73" s="2070">
        <v>0.5493551160791057</v>
      </c>
    </row>
    <row r="74" spans="1:24" ht="11.25" customHeight="1">
      <c r="A74" s="2071" t="s">
        <v>4616</v>
      </c>
      <c r="B74" s="2072" t="s">
        <v>5838</v>
      </c>
      <c r="C74" s="2073">
        <v>0</v>
      </c>
      <c r="D74" s="2073">
        <v>0</v>
      </c>
      <c r="E74" s="2073">
        <v>0</v>
      </c>
      <c r="F74" s="2073">
        <v>0</v>
      </c>
      <c r="G74" s="2073">
        <v>0</v>
      </c>
      <c r="H74" s="2073">
        <v>0</v>
      </c>
      <c r="I74" s="2073">
        <v>0</v>
      </c>
      <c r="J74" s="2073">
        <v>0</v>
      </c>
      <c r="K74" s="2073">
        <v>0</v>
      </c>
      <c r="L74" s="2073">
        <v>0</v>
      </c>
      <c r="M74" s="2073">
        <v>0</v>
      </c>
      <c r="N74" s="2073">
        <v>0</v>
      </c>
      <c r="O74" s="2073">
        <v>0</v>
      </c>
      <c r="P74" s="2073">
        <v>0</v>
      </c>
      <c r="Q74" s="2073">
        <v>0</v>
      </c>
      <c r="R74" s="2073">
        <v>0</v>
      </c>
      <c r="S74" s="2073">
        <v>0</v>
      </c>
      <c r="T74" s="2073">
        <v>0</v>
      </c>
      <c r="U74" s="2073">
        <v>0</v>
      </c>
      <c r="V74" s="2073">
        <v>0</v>
      </c>
      <c r="W74" s="2073">
        <v>0</v>
      </c>
      <c r="X74" s="2073">
        <v>0</v>
      </c>
    </row>
    <row r="75" spans="1:24" ht="11.25" customHeight="1">
      <c r="A75" s="2071" t="s">
        <v>4671</v>
      </c>
      <c r="B75" s="2072" t="s">
        <v>5839</v>
      </c>
      <c r="C75" s="2073">
        <v>67.615993121238176</v>
      </c>
      <c r="D75" s="2073">
        <v>61.271969045571794</v>
      </c>
      <c r="E75" s="2073">
        <v>60.257953568357692</v>
      </c>
      <c r="F75" s="2073">
        <v>90.567497850386886</v>
      </c>
      <c r="G75" s="2073">
        <v>138.27248495270848</v>
      </c>
      <c r="H75" s="2073">
        <v>162.51255374032675</v>
      </c>
      <c r="I75" s="2073">
        <v>197.24196044711948</v>
      </c>
      <c r="J75" s="2073">
        <v>459.89819432502156</v>
      </c>
      <c r="K75" s="2073">
        <v>436.29991401547716</v>
      </c>
      <c r="L75" s="2073">
        <v>413.05855546001715</v>
      </c>
      <c r="M75" s="2073">
        <v>456.44789337919173</v>
      </c>
      <c r="N75" s="2073">
        <v>471.41160791057609</v>
      </c>
      <c r="O75" s="2073">
        <v>544.18220120378317</v>
      </c>
      <c r="P75" s="2073">
        <v>546.71616509028365</v>
      </c>
      <c r="Q75" s="2073">
        <v>482.58581255374037</v>
      </c>
      <c r="R75" s="2073">
        <v>473.02785898538247</v>
      </c>
      <c r="S75" s="2073">
        <v>504.9368013757524</v>
      </c>
      <c r="T75" s="2073">
        <v>602.3179707652622</v>
      </c>
      <c r="U75" s="2073">
        <v>629.13267411865854</v>
      </c>
      <c r="V75" s="2073">
        <v>613.60455717970774</v>
      </c>
      <c r="W75" s="2073">
        <v>733.28968185726569</v>
      </c>
      <c r="X75" s="2073">
        <v>771.59054170249351</v>
      </c>
    </row>
    <row r="76" spans="1:24" ht="11.25" customHeight="1">
      <c r="A76" s="2075" t="s">
        <v>4282</v>
      </c>
      <c r="B76" s="2076" t="s">
        <v>5840</v>
      </c>
      <c r="C76" s="2077">
        <v>1924.9343078245913</v>
      </c>
      <c r="D76" s="2077">
        <v>1990.1259673258814</v>
      </c>
      <c r="E76" s="2077">
        <v>2054.6157351676698</v>
      </c>
      <c r="F76" s="2077">
        <v>2087.2432502149609</v>
      </c>
      <c r="G76" s="2077">
        <v>2187.2899398108339</v>
      </c>
      <c r="H76" s="2077">
        <v>2225.6621668099742</v>
      </c>
      <c r="I76" s="2077">
        <v>2246.8566638005163</v>
      </c>
      <c r="J76" s="2077">
        <v>2312.7783319002579</v>
      </c>
      <c r="K76" s="2077">
        <v>2282.8495270851245</v>
      </c>
      <c r="L76" s="2077">
        <v>2041.8498710232157</v>
      </c>
      <c r="M76" s="2077">
        <v>2093.9604471195184</v>
      </c>
      <c r="N76" s="2077">
        <v>2072.5427343078245</v>
      </c>
      <c r="O76" s="2077">
        <v>2024.7178847807393</v>
      </c>
      <c r="P76" s="2077">
        <v>2013.2107480653481</v>
      </c>
      <c r="Q76" s="2077">
        <v>1952.0349097162514</v>
      </c>
      <c r="R76" s="2077">
        <v>2026.0092003439383</v>
      </c>
      <c r="S76" s="2077">
        <v>2089.8270851246775</v>
      </c>
      <c r="T76" s="2077">
        <v>2199.7103181427342</v>
      </c>
      <c r="U76" s="2077">
        <v>2230.0638865004294</v>
      </c>
      <c r="V76" s="2077">
        <v>2230.4299226139296</v>
      </c>
      <c r="W76" s="2077">
        <v>2213.5712811693897</v>
      </c>
      <c r="X76" s="2077">
        <v>2429.0694754944102</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4072-1FDB-4F8A-8BE6-0E11817D4C8B}">
  <sheetPr codeName="Sheet5">
    <tabColor rgb="FFFFFF00"/>
  </sheetPr>
  <dimension ref="A1:E64"/>
  <sheetViews>
    <sheetView zoomScale="130" zoomScaleNormal="130" workbookViewId="0">
      <pane ySplit="1" topLeftCell="A2" activePane="bottomLeft" state="frozen"/>
      <selection pane="bottomLeft"/>
    </sheetView>
  </sheetViews>
  <sheetFormatPr baseColWidth="10" defaultColWidth="8.83203125" defaultRowHeight="15"/>
  <cols>
    <col min="1" max="1" width="64.33203125" customWidth="1"/>
    <col min="2" max="2" width="12.33203125" customWidth="1"/>
    <col min="3" max="3" width="32.83203125" style="15" customWidth="1"/>
    <col min="4" max="4" width="14.33203125" style="15" customWidth="1"/>
    <col min="5" max="5" width="63.5" customWidth="1"/>
  </cols>
  <sheetData>
    <row r="1" spans="1:5" s="3" customFormat="1">
      <c r="A1" s="1" t="s">
        <v>65</v>
      </c>
      <c r="B1" s="452" t="s">
        <v>66</v>
      </c>
      <c r="C1" s="451" t="s">
        <v>41</v>
      </c>
      <c r="D1" s="451" t="s">
        <v>207</v>
      </c>
      <c r="E1" s="1" t="s">
        <v>48</v>
      </c>
    </row>
    <row r="3" spans="1:5">
      <c r="A3" t="s">
        <v>208</v>
      </c>
      <c r="B3" s="6">
        <v>0.7</v>
      </c>
      <c r="C3" s="15" t="s">
        <v>61</v>
      </c>
      <c r="D3" s="15">
        <v>15</v>
      </c>
      <c r="E3" t="s">
        <v>209</v>
      </c>
    </row>
    <row r="5" spans="1:5">
      <c r="A5" t="s">
        <v>210</v>
      </c>
      <c r="B5" s="6">
        <v>0.44</v>
      </c>
      <c r="C5" s="15" t="s">
        <v>61</v>
      </c>
      <c r="D5" s="15">
        <v>4</v>
      </c>
      <c r="E5" t="s">
        <v>211</v>
      </c>
    </row>
    <row r="6" spans="1:5">
      <c r="A6" t="s">
        <v>212</v>
      </c>
      <c r="B6" s="6">
        <v>0.79</v>
      </c>
      <c r="C6" s="15" t="s">
        <v>61</v>
      </c>
      <c r="D6" s="15">
        <v>48</v>
      </c>
      <c r="E6" t="s">
        <v>4946</v>
      </c>
    </row>
    <row r="7" spans="1:5">
      <c r="A7" t="s">
        <v>213</v>
      </c>
      <c r="B7" s="6">
        <v>0.65</v>
      </c>
      <c r="C7" s="15" t="s">
        <v>61</v>
      </c>
      <c r="D7" s="15">
        <v>47</v>
      </c>
      <c r="E7" t="s">
        <v>4945</v>
      </c>
    </row>
    <row r="8" spans="1:5">
      <c r="B8" s="6"/>
    </row>
    <row r="9" spans="1:5">
      <c r="A9" t="s">
        <v>214</v>
      </c>
      <c r="B9" s="6">
        <v>0.85</v>
      </c>
      <c r="C9" s="15" t="s">
        <v>61</v>
      </c>
      <c r="D9" s="15">
        <v>5</v>
      </c>
      <c r="E9" t="s">
        <v>215</v>
      </c>
    </row>
    <row r="10" spans="1:5">
      <c r="A10" t="s">
        <v>216</v>
      </c>
      <c r="B10" s="6">
        <v>3</v>
      </c>
      <c r="C10" s="15" t="s">
        <v>61</v>
      </c>
      <c r="D10" s="15">
        <v>6</v>
      </c>
      <c r="E10" t="s">
        <v>217</v>
      </c>
    </row>
    <row r="11" spans="1:5">
      <c r="A11" t="s">
        <v>218</v>
      </c>
      <c r="B11" s="6">
        <v>0.95</v>
      </c>
      <c r="C11" s="15" t="s">
        <v>61</v>
      </c>
      <c r="E11" t="s">
        <v>219</v>
      </c>
    </row>
    <row r="13" spans="1:5">
      <c r="A13" t="s">
        <v>220</v>
      </c>
      <c r="B13" s="459">
        <f>1-(B5/B9)</f>
        <v>0.48235294117647054</v>
      </c>
      <c r="C13" s="15" t="s">
        <v>61</v>
      </c>
      <c r="D13" s="15" t="s">
        <v>221</v>
      </c>
    </row>
    <row r="14" spans="1:5">
      <c r="A14" t="s">
        <v>222</v>
      </c>
      <c r="B14" s="459">
        <f>1-(B6/B10)</f>
        <v>0.73666666666666658</v>
      </c>
      <c r="C14" s="15" t="s">
        <v>61</v>
      </c>
      <c r="D14" s="15" t="s">
        <v>221</v>
      </c>
    </row>
    <row r="15" spans="1:5">
      <c r="A15" t="s">
        <v>223</v>
      </c>
      <c r="B15" s="459">
        <f>1-(B7/B11)</f>
        <v>0.31578947368421051</v>
      </c>
      <c r="C15" s="15" t="s">
        <v>61</v>
      </c>
      <c r="D15" s="15" t="s">
        <v>221</v>
      </c>
    </row>
    <row r="17" spans="1:5">
      <c r="A17" t="s">
        <v>224</v>
      </c>
      <c r="B17" s="6">
        <v>0.2</v>
      </c>
      <c r="C17" s="15" t="s">
        <v>61</v>
      </c>
      <c r="D17" s="15">
        <v>45</v>
      </c>
    </row>
    <row r="18" spans="1:5">
      <c r="A18" t="s">
        <v>5554</v>
      </c>
      <c r="B18" s="21">
        <f>275*'Unit Conversions'!E10</f>
        <v>9.8997250014790181E-4</v>
      </c>
      <c r="C18" s="15" t="s">
        <v>233</v>
      </c>
      <c r="D18" s="15">
        <v>51</v>
      </c>
      <c r="E18" t="s">
        <v>5958</v>
      </c>
    </row>
    <row r="19" spans="1:5">
      <c r="A19" t="s">
        <v>232</v>
      </c>
      <c r="B19" s="21">
        <f>'Direct Air Capture Data'!$B$31</f>
        <v>6.8438791896705282E-3</v>
      </c>
      <c r="C19" s="15" t="s">
        <v>233</v>
      </c>
      <c r="D19" s="15">
        <v>10</v>
      </c>
    </row>
    <row r="21" spans="1:5">
      <c r="A21" t="s">
        <v>225</v>
      </c>
      <c r="B21" s="7">
        <f>AVERAGE('EPA EF Hub 2023'!E32,'EPA EF Hub 2023'!E34:E35)/'Unit Conversions'!$E$7</f>
        <v>100.30393274400001</v>
      </c>
      <c r="C21" s="15" t="s">
        <v>226</v>
      </c>
      <c r="D21" s="15">
        <v>9</v>
      </c>
      <c r="E21" t="s">
        <v>5959</v>
      </c>
    </row>
    <row r="22" spans="1:5">
      <c r="A22" t="s">
        <v>227</v>
      </c>
      <c r="B22" s="7">
        <f>'EPA EF Hub 2023'!E24/'Unit Conversions'!$E$7</f>
        <v>89.729494578000001</v>
      </c>
      <c r="C22" s="15" t="s">
        <v>226</v>
      </c>
      <c r="D22" s="15">
        <v>9</v>
      </c>
      <c r="E22" t="s">
        <v>228</v>
      </c>
    </row>
    <row r="23" spans="1:5">
      <c r="A23" t="s">
        <v>229</v>
      </c>
      <c r="B23" s="7">
        <f>'EPA EF Hub 2023'!E38/'Unit Conversions'!$E$7</f>
        <v>50.290979004</v>
      </c>
      <c r="C23" s="15" t="s">
        <v>226</v>
      </c>
      <c r="D23" s="15">
        <v>9</v>
      </c>
      <c r="E23" t="s">
        <v>228</v>
      </c>
    </row>
    <row r="24" spans="1:5">
      <c r="A24" t="s">
        <v>230</v>
      </c>
      <c r="B24" s="7">
        <f>AVERAGE('EPA EF Hub 2023'!E57,'EPA EF Hub 2023'!E72,'EPA EF Hub 2023'!E51)/'Unit Conversions'!$E$7</f>
        <v>59.156193672000001</v>
      </c>
      <c r="C24" s="15" t="s">
        <v>226</v>
      </c>
      <c r="D24" s="15">
        <v>9</v>
      </c>
      <c r="E24" t="s">
        <v>5960</v>
      </c>
    </row>
    <row r="25" spans="1:5">
      <c r="A25" t="s">
        <v>231</v>
      </c>
      <c r="B25" s="7">
        <f>'EPA EF Hub 2023'!E71/'Unit Conversions'!$E$7</f>
        <v>67.313707667999992</v>
      </c>
      <c r="C25" s="15" t="s">
        <v>226</v>
      </c>
      <c r="D25" s="15">
        <v>9</v>
      </c>
      <c r="E25" t="s">
        <v>228</v>
      </c>
    </row>
    <row r="27" spans="1:5">
      <c r="A27" t="s">
        <v>234</v>
      </c>
      <c r="B27">
        <v>13.3</v>
      </c>
      <c r="C27" s="15" t="s">
        <v>235</v>
      </c>
      <c r="D27" s="15">
        <v>11</v>
      </c>
    </row>
    <row r="28" spans="1:5">
      <c r="A28" t="s">
        <v>236</v>
      </c>
      <c r="B28">
        <v>12.6</v>
      </c>
      <c r="C28" s="15" t="s">
        <v>235</v>
      </c>
      <c r="D28" s="15">
        <v>11</v>
      </c>
    </row>
    <row r="29" spans="1:5">
      <c r="A29" t="s">
        <v>237</v>
      </c>
      <c r="B29" s="6">
        <v>0.67</v>
      </c>
      <c r="C29" s="15" t="s">
        <v>61</v>
      </c>
      <c r="D29" s="15">
        <v>11</v>
      </c>
    </row>
    <row r="31" spans="1:5">
      <c r="A31" t="s">
        <v>4888</v>
      </c>
      <c r="B31">
        <v>12</v>
      </c>
      <c r="C31" s="15" t="s">
        <v>4885</v>
      </c>
      <c r="D31" s="15">
        <v>41</v>
      </c>
    </row>
    <row r="32" spans="1:5">
      <c r="A32" t="s">
        <v>4889</v>
      </c>
      <c r="B32">
        <v>19</v>
      </c>
      <c r="C32" s="15" t="s">
        <v>4885</v>
      </c>
      <c r="D32" s="15">
        <v>41</v>
      </c>
    </row>
    <row r="34" spans="1:5">
      <c r="A34" t="s">
        <v>238</v>
      </c>
      <c r="B34">
        <v>4</v>
      </c>
      <c r="C34" s="15" t="s">
        <v>239</v>
      </c>
      <c r="D34" s="15">
        <v>12</v>
      </c>
    </row>
    <row r="35" spans="1:5">
      <c r="A35" t="s">
        <v>240</v>
      </c>
      <c r="B35" s="7">
        <f>B27/'Unit Conversions'!$E$14</f>
        <v>3.6945470702000005</v>
      </c>
      <c r="C35" s="15" t="s">
        <v>239</v>
      </c>
      <c r="D35" s="15" t="s">
        <v>221</v>
      </c>
    </row>
    <row r="37" spans="1:5">
      <c r="A37" t="s">
        <v>241</v>
      </c>
      <c r="B37">
        <v>13</v>
      </c>
      <c r="C37" s="15" t="s">
        <v>235</v>
      </c>
      <c r="D37" s="15">
        <v>13</v>
      </c>
    </row>
    <row r="39" spans="1:5">
      <c r="A39" t="s">
        <v>242</v>
      </c>
      <c r="B39" s="27">
        <v>119.31</v>
      </c>
      <c r="C39" s="15" t="s">
        <v>243</v>
      </c>
      <c r="D39" s="15">
        <v>7</v>
      </c>
      <c r="E39" t="s">
        <v>244</v>
      </c>
    </row>
    <row r="40" spans="1:5">
      <c r="A40" t="s">
        <v>242</v>
      </c>
      <c r="B40">
        <f>B39/10^12</f>
        <v>1.1931E-10</v>
      </c>
      <c r="C40" s="15" t="s">
        <v>245</v>
      </c>
      <c r="D40" s="15" t="s">
        <v>221</v>
      </c>
    </row>
    <row r="41" spans="1:5">
      <c r="A41" t="s">
        <v>242</v>
      </c>
      <c r="B41">
        <f>B40*10^9</f>
        <v>0.11931</v>
      </c>
      <c r="C41" s="15" t="s">
        <v>246</v>
      </c>
      <c r="D41" s="15" t="s">
        <v>221</v>
      </c>
    </row>
    <row r="43" spans="1:5">
      <c r="A43" t="s">
        <v>247</v>
      </c>
      <c r="B43" s="6">
        <v>0.5</v>
      </c>
      <c r="C43" s="15" t="s">
        <v>61</v>
      </c>
      <c r="D43" s="15">
        <v>44</v>
      </c>
      <c r="E43" t="s">
        <v>5961</v>
      </c>
    </row>
    <row r="45" spans="1:5" ht="17">
      <c r="A45" t="s">
        <v>248</v>
      </c>
      <c r="B45" s="11">
        <f>AVERAGE('Bioenergy land use requirements'!C7:C9)</f>
        <v>38.666666666666664</v>
      </c>
      <c r="C45" s="15" t="s">
        <v>249</v>
      </c>
      <c r="D45" s="15">
        <v>17</v>
      </c>
      <c r="E45" t="s">
        <v>5962</v>
      </c>
    </row>
    <row r="46" spans="1:5">
      <c r="A46" t="s">
        <v>248</v>
      </c>
      <c r="B46" s="455">
        <f>B45*10^9*'Unit Conversions'!E27/10^6</f>
        <v>3.8666666666666667</v>
      </c>
      <c r="C46" s="15" t="s">
        <v>250</v>
      </c>
      <c r="D46" s="15" t="s">
        <v>221</v>
      </c>
    </row>
    <row r="48" spans="1:5">
      <c r="A48" t="s">
        <v>251</v>
      </c>
      <c r="B48" s="6">
        <v>0.9</v>
      </c>
      <c r="C48" s="15" t="s">
        <v>61</v>
      </c>
      <c r="D48" s="15">
        <v>46</v>
      </c>
      <c r="E48" t="s">
        <v>6054</v>
      </c>
    </row>
    <row r="49" spans="1:5">
      <c r="A49" t="s">
        <v>252</v>
      </c>
      <c r="B49" s="11">
        <f>'Global oil CO2 volume and CapEx'!B11</f>
        <v>3058.5672797676671</v>
      </c>
      <c r="C49" s="15" t="s">
        <v>64</v>
      </c>
      <c r="D49" s="15">
        <v>19</v>
      </c>
    </row>
    <row r="51" spans="1:5">
      <c r="A51" t="s">
        <v>253</v>
      </c>
      <c r="B51">
        <v>0.40699999999999997</v>
      </c>
      <c r="C51" s="15" t="s">
        <v>61</v>
      </c>
      <c r="D51" s="15">
        <v>20</v>
      </c>
    </row>
    <row r="52" spans="1:5">
      <c r="A52" t="s">
        <v>254</v>
      </c>
      <c r="B52">
        <v>0.503</v>
      </c>
      <c r="C52" s="15" t="s">
        <v>61</v>
      </c>
      <c r="D52" s="15">
        <v>20</v>
      </c>
    </row>
    <row r="53" spans="1:5">
      <c r="A53" t="s">
        <v>255</v>
      </c>
      <c r="B53">
        <v>0.247</v>
      </c>
      <c r="C53" s="15" t="s">
        <v>61</v>
      </c>
      <c r="D53" s="15">
        <v>20</v>
      </c>
    </row>
    <row r="54" spans="1:5">
      <c r="A54" t="s">
        <v>256</v>
      </c>
      <c r="B54">
        <v>0.76</v>
      </c>
      <c r="C54" s="15" t="s">
        <v>61</v>
      </c>
      <c r="D54" s="15">
        <v>20</v>
      </c>
    </row>
    <row r="55" spans="1:5">
      <c r="A55" t="s">
        <v>257</v>
      </c>
      <c r="B55">
        <v>0.44800000000000001</v>
      </c>
      <c r="C55" s="15" t="s">
        <v>61</v>
      </c>
      <c r="D55" s="15">
        <v>20</v>
      </c>
    </row>
    <row r="56" spans="1:5">
      <c r="A56" t="s">
        <v>258</v>
      </c>
      <c r="B56">
        <v>0.68799999999999994</v>
      </c>
      <c r="C56" s="15" t="s">
        <v>61</v>
      </c>
      <c r="D56" s="15">
        <v>20</v>
      </c>
    </row>
    <row r="57" spans="1:5">
      <c r="A57" t="s">
        <v>259</v>
      </c>
      <c r="B57">
        <v>0.92400000000000004</v>
      </c>
      <c r="C57" s="15" t="s">
        <v>61</v>
      </c>
      <c r="D57" s="15">
        <v>20</v>
      </c>
    </row>
    <row r="58" spans="1:5">
      <c r="A58" t="s">
        <v>260</v>
      </c>
      <c r="B58">
        <v>0.64600000000000002</v>
      </c>
      <c r="C58" s="15" t="s">
        <v>61</v>
      </c>
      <c r="D58" s="15">
        <v>20</v>
      </c>
    </row>
    <row r="59" spans="1:5">
      <c r="A59" t="s">
        <v>261</v>
      </c>
      <c r="B59">
        <v>0.56999999999999995</v>
      </c>
      <c r="C59" s="15" t="s">
        <v>61</v>
      </c>
      <c r="D59" s="15">
        <v>20</v>
      </c>
      <c r="E59" t="s">
        <v>262</v>
      </c>
    </row>
    <row r="61" spans="1:5">
      <c r="A61" t="s">
        <v>5427</v>
      </c>
      <c r="B61">
        <v>5.7770000000000001</v>
      </c>
      <c r="C61" s="15" t="s">
        <v>5428</v>
      </c>
      <c r="D61" s="15">
        <v>50</v>
      </c>
      <c r="E61" t="s">
        <v>5432</v>
      </c>
    </row>
    <row r="62" spans="1:5">
      <c r="A62" t="s">
        <v>5503</v>
      </c>
      <c r="B62" s="454">
        <f>5.777/3.553</f>
        <v>1.6259499014916972</v>
      </c>
      <c r="C62" s="15" t="s">
        <v>5504</v>
      </c>
      <c r="D62" s="15">
        <v>50</v>
      </c>
      <c r="E62" t="s">
        <v>5505</v>
      </c>
    </row>
    <row r="64" spans="1:5">
      <c r="A64" t="s">
        <v>5528</v>
      </c>
      <c r="B64">
        <v>8</v>
      </c>
      <c r="C64" s="15" t="s">
        <v>5529</v>
      </c>
      <c r="D64" s="15">
        <v>49</v>
      </c>
      <c r="E64" t="s">
        <v>5963</v>
      </c>
    </row>
  </sheetData>
  <phoneticPr fontId="64" type="noConversion"/>
  <pageMargins left="0.7" right="0.7" top="0.75" bottom="0.75" header="0.3" footer="0.3"/>
  <ignoredErrors>
    <ignoredError sqref="B45" formulaRange="1"/>
  </ignoredError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45930-E69B-4737-80A7-F67967C2BF83}">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baseColWidth="10" defaultColWidth="9.1640625" defaultRowHeight="11.25" customHeight="1"/>
  <cols>
    <col min="1" max="1" width="40.6640625" style="2059" bestFit="1" customWidth="1"/>
    <col min="2" max="2" width="16.1640625" style="2059" bestFit="1" customWidth="1"/>
    <col min="3" max="24" width="9.6640625" style="2059" customWidth="1"/>
    <col min="25" max="16384" width="9.1640625" style="2059"/>
  </cols>
  <sheetData>
    <row r="1" spans="1:24" ht="11.25" customHeight="1">
      <c r="A1" s="2057" t="s">
        <v>5859</v>
      </c>
      <c r="B1" s="2057" t="s">
        <v>5860</v>
      </c>
      <c r="C1" s="2058">
        <v>2000</v>
      </c>
      <c r="D1" s="2058">
        <v>2001</v>
      </c>
      <c r="E1" s="2058">
        <v>2002</v>
      </c>
      <c r="F1" s="2058">
        <v>2003</v>
      </c>
      <c r="G1" s="2058">
        <v>2004</v>
      </c>
      <c r="H1" s="2058">
        <v>2005</v>
      </c>
      <c r="I1" s="2058">
        <v>2006</v>
      </c>
      <c r="J1" s="2058">
        <v>2007</v>
      </c>
      <c r="K1" s="2058">
        <v>2008</v>
      </c>
      <c r="L1" s="2058">
        <v>2009</v>
      </c>
      <c r="M1" s="2058">
        <v>2010</v>
      </c>
      <c r="N1" s="2058">
        <v>2011</v>
      </c>
      <c r="O1" s="2058">
        <v>2012</v>
      </c>
      <c r="P1" s="2058">
        <v>2013</v>
      </c>
      <c r="Q1" s="2058">
        <v>2014</v>
      </c>
      <c r="R1" s="2058">
        <v>2015</v>
      </c>
      <c r="S1" s="2058">
        <v>2016</v>
      </c>
      <c r="T1" s="2058">
        <v>2017</v>
      </c>
      <c r="U1" s="2058">
        <v>2018</v>
      </c>
      <c r="V1" s="2058">
        <v>2019</v>
      </c>
      <c r="W1" s="2058">
        <v>2020</v>
      </c>
      <c r="X1" s="2058">
        <v>2021</v>
      </c>
    </row>
    <row r="2" spans="1:24" ht="11.25" customHeight="1">
      <c r="A2" s="2060" t="s">
        <v>1265</v>
      </c>
      <c r="B2" s="2060" t="s">
        <v>5738</v>
      </c>
      <c r="C2" s="2061">
        <v>3324.2306713111921</v>
      </c>
      <c r="D2" s="2061">
        <v>3161.486506768339</v>
      </c>
      <c r="E2" s="2061">
        <v>3180.8249141214364</v>
      </c>
      <c r="F2" s="2061">
        <v>3221.1726831343503</v>
      </c>
      <c r="G2" s="2061">
        <v>3344.2118376068288</v>
      </c>
      <c r="H2" s="2061">
        <v>3305.641772561677</v>
      </c>
      <c r="I2" s="2061">
        <v>3114.6104346355196</v>
      </c>
      <c r="J2" s="2061">
        <v>3177.8104343602413</v>
      </c>
      <c r="K2" s="2061">
        <v>3321.2863334113663</v>
      </c>
      <c r="L2" s="2061">
        <v>2747.5952158809459</v>
      </c>
      <c r="M2" s="2061">
        <v>3217.4674533915131</v>
      </c>
      <c r="N2" s="2061">
        <v>3397.7411574219095</v>
      </c>
      <c r="O2" s="2061">
        <v>3321.7743364784278</v>
      </c>
      <c r="P2" s="2061">
        <v>3651.3248895946035</v>
      </c>
      <c r="Q2" s="2061">
        <v>3554.680887982563</v>
      </c>
      <c r="R2" s="2061">
        <v>3524.9721738362223</v>
      </c>
      <c r="S2" s="2061">
        <v>3614.2105797528002</v>
      </c>
      <c r="T2" s="2061">
        <v>3804.2645745898953</v>
      </c>
      <c r="U2" s="2061">
        <v>3855.3077021862846</v>
      </c>
      <c r="V2" s="2061">
        <v>3749.0541475629361</v>
      </c>
      <c r="W2" s="2061">
        <v>3598.440321478869</v>
      </c>
      <c r="X2" s="2061">
        <v>3700.6755319185454</v>
      </c>
    </row>
    <row r="3" spans="1:24" ht="11.25" customHeight="1">
      <c r="A3" s="2062" t="s">
        <v>5739</v>
      </c>
      <c r="B3" s="2063" t="s">
        <v>5740</v>
      </c>
      <c r="C3" s="2064">
        <v>316.94522785898533</v>
      </c>
      <c r="D3" s="2064">
        <v>173.12484952708508</v>
      </c>
      <c r="E3" s="2064">
        <v>186.95021496130695</v>
      </c>
      <c r="F3" s="2064">
        <v>213.22871883061043</v>
      </c>
      <c r="G3" s="2064">
        <v>307.13619948409286</v>
      </c>
      <c r="H3" s="2064">
        <v>192.42768701633705</v>
      </c>
      <c r="I3" s="2064">
        <v>165.73490971625108</v>
      </c>
      <c r="J3" s="2064">
        <v>164.33379191745485</v>
      </c>
      <c r="K3" s="2064">
        <v>165.48314703353398</v>
      </c>
      <c r="L3" s="2064">
        <v>137.15554600171967</v>
      </c>
      <c r="M3" s="2064">
        <v>154.75503009458296</v>
      </c>
      <c r="N3" s="2064">
        <v>188.33086844368015</v>
      </c>
      <c r="O3" s="2064">
        <v>170.01203783318999</v>
      </c>
      <c r="P3" s="2064">
        <v>206.42467755803955</v>
      </c>
      <c r="Q3" s="2064">
        <v>226.03499570077383</v>
      </c>
      <c r="R3" s="2064">
        <v>228.33233018056751</v>
      </c>
      <c r="S3" s="2064">
        <v>191.89019776440239</v>
      </c>
      <c r="T3" s="2064">
        <v>331.0933791917455</v>
      </c>
      <c r="U3" s="2064">
        <v>325.10576096302657</v>
      </c>
      <c r="V3" s="2064">
        <v>305.0417884780739</v>
      </c>
      <c r="W3" s="2064">
        <v>216.73301805674976</v>
      </c>
      <c r="X3" s="2064">
        <v>219.5322441960447</v>
      </c>
    </row>
    <row r="4" spans="1:24" ht="11.25" customHeight="1">
      <c r="A4" s="2065" t="s">
        <v>5741</v>
      </c>
      <c r="B4" s="2066" t="s">
        <v>5742</v>
      </c>
      <c r="C4" s="2067">
        <v>268.12570937231294</v>
      </c>
      <c r="D4" s="2067">
        <v>117.20687876182285</v>
      </c>
      <c r="E4" s="2067">
        <v>114.72665520206361</v>
      </c>
      <c r="F4" s="2067">
        <v>115.25571797076523</v>
      </c>
      <c r="G4" s="2067">
        <v>247.25692175408426</v>
      </c>
      <c r="H4" s="2067">
        <v>126.18796216680997</v>
      </c>
      <c r="I4" s="2067">
        <v>111.96182287188306</v>
      </c>
      <c r="J4" s="2067">
        <v>97.58409286328461</v>
      </c>
      <c r="K4" s="2067">
        <v>97.618658641444554</v>
      </c>
      <c r="L4" s="2067">
        <v>80.184780739466888</v>
      </c>
      <c r="M4" s="2067">
        <v>96.780997420464317</v>
      </c>
      <c r="N4" s="2067">
        <v>116.56190885640586</v>
      </c>
      <c r="O4" s="2067">
        <v>110.19707652622526</v>
      </c>
      <c r="P4" s="2067">
        <v>129.8714531384351</v>
      </c>
      <c r="Q4" s="2067">
        <v>111.50206362854685</v>
      </c>
      <c r="R4" s="2067">
        <v>112.49544282029234</v>
      </c>
      <c r="S4" s="2067">
        <v>111.03697334479793</v>
      </c>
      <c r="T4" s="2067">
        <v>258.21384350816857</v>
      </c>
      <c r="U4" s="2067">
        <v>247.92553740326736</v>
      </c>
      <c r="V4" s="2067">
        <v>232.02777300085984</v>
      </c>
      <c r="W4" s="2067">
        <v>153.46809974204641</v>
      </c>
      <c r="X4" s="2067">
        <v>147.27962166809974</v>
      </c>
    </row>
    <row r="5" spans="1:24" ht="11.25" customHeight="1">
      <c r="A5" s="2068" t="s">
        <v>4613</v>
      </c>
      <c r="B5" s="2069" t="s">
        <v>5743</v>
      </c>
      <c r="C5" s="2070">
        <v>0</v>
      </c>
      <c r="D5" s="2070">
        <v>0</v>
      </c>
      <c r="E5" s="2070">
        <v>0</v>
      </c>
      <c r="F5" s="2070">
        <v>0.70885640584694753</v>
      </c>
      <c r="G5" s="2070">
        <v>6.0987102321582114</v>
      </c>
      <c r="H5" s="2070">
        <v>4.6305245055889932</v>
      </c>
      <c r="I5" s="2070">
        <v>2.061306964746346</v>
      </c>
      <c r="J5" s="2070">
        <v>1.182631126397248</v>
      </c>
      <c r="K5" s="2070">
        <v>12.20636285468616</v>
      </c>
      <c r="L5" s="2070">
        <v>5.8899398108340497</v>
      </c>
      <c r="M5" s="2070">
        <v>0</v>
      </c>
      <c r="N5" s="2070">
        <v>0</v>
      </c>
      <c r="O5" s="2070">
        <v>0</v>
      </c>
      <c r="P5" s="2070">
        <v>0</v>
      </c>
      <c r="Q5" s="2070">
        <v>0</v>
      </c>
      <c r="R5" s="2070">
        <v>0</v>
      </c>
      <c r="S5" s="2070">
        <v>0</v>
      </c>
      <c r="T5" s="2070">
        <v>0.42063628546861559</v>
      </c>
      <c r="U5" s="2070">
        <v>0</v>
      </c>
      <c r="V5" s="2070">
        <v>0</v>
      </c>
      <c r="W5" s="2070">
        <v>0</v>
      </c>
      <c r="X5" s="2070">
        <v>0</v>
      </c>
    </row>
    <row r="6" spans="1:24" ht="11.25" customHeight="1">
      <c r="A6" s="2068" t="s">
        <v>4647</v>
      </c>
      <c r="B6" s="2069" t="s">
        <v>5744</v>
      </c>
      <c r="C6" s="2070">
        <v>0</v>
      </c>
      <c r="D6" s="2070">
        <v>0</v>
      </c>
      <c r="E6" s="2070">
        <v>0</v>
      </c>
      <c r="F6" s="2070">
        <v>0</v>
      </c>
      <c r="G6" s="2070">
        <v>0</v>
      </c>
      <c r="H6" s="2070">
        <v>0</v>
      </c>
      <c r="I6" s="2070">
        <v>0</v>
      </c>
      <c r="J6" s="2070">
        <v>0</v>
      </c>
      <c r="K6" s="2070">
        <v>0</v>
      </c>
      <c r="L6" s="2070">
        <v>0</v>
      </c>
      <c r="M6" s="2070">
        <v>0</v>
      </c>
      <c r="N6" s="2070">
        <v>0</v>
      </c>
      <c r="O6" s="2070">
        <v>0</v>
      </c>
      <c r="P6" s="2070">
        <v>0</v>
      </c>
      <c r="Q6" s="2070">
        <v>0</v>
      </c>
      <c r="R6" s="2070">
        <v>0</v>
      </c>
      <c r="S6" s="2070">
        <v>0</v>
      </c>
      <c r="T6" s="2070">
        <v>0</v>
      </c>
      <c r="U6" s="2070">
        <v>4.9871023215821153E-3</v>
      </c>
      <c r="V6" s="2070">
        <v>0</v>
      </c>
      <c r="W6" s="2070">
        <v>0</v>
      </c>
      <c r="X6" s="2070">
        <v>0</v>
      </c>
    </row>
    <row r="7" spans="1:24" ht="11.25" customHeight="1">
      <c r="A7" s="2068" t="s">
        <v>4648</v>
      </c>
      <c r="B7" s="2069" t="s">
        <v>5745</v>
      </c>
      <c r="C7" s="2070">
        <v>268.12570937231294</v>
      </c>
      <c r="D7" s="2070">
        <v>117.20687876182285</v>
      </c>
      <c r="E7" s="2070">
        <v>114.72665520206361</v>
      </c>
      <c r="F7" s="2070">
        <v>114.54686156491829</v>
      </c>
      <c r="G7" s="2070">
        <v>241.15821152192603</v>
      </c>
      <c r="H7" s="2070">
        <v>121.55743766122097</v>
      </c>
      <c r="I7" s="2070">
        <v>109.90051590713671</v>
      </c>
      <c r="J7" s="2070">
        <v>96.401461736887356</v>
      </c>
      <c r="K7" s="2070">
        <v>85.412295786758392</v>
      </c>
      <c r="L7" s="2070">
        <v>74.294840928632837</v>
      </c>
      <c r="M7" s="2070">
        <v>96.780997420464317</v>
      </c>
      <c r="N7" s="2070">
        <v>116.56190885640586</v>
      </c>
      <c r="O7" s="2070">
        <v>110.19707652622526</v>
      </c>
      <c r="P7" s="2070">
        <v>129.8714531384351</v>
      </c>
      <c r="Q7" s="2070">
        <v>111.50206362854685</v>
      </c>
      <c r="R7" s="2070">
        <v>112.49544282029234</v>
      </c>
      <c r="S7" s="2070">
        <v>111.03697334479793</v>
      </c>
      <c r="T7" s="2070">
        <v>257.79320722269995</v>
      </c>
      <c r="U7" s="2070">
        <v>247.92055030094576</v>
      </c>
      <c r="V7" s="2070">
        <v>232.02777300085984</v>
      </c>
      <c r="W7" s="2070">
        <v>153.46809974204641</v>
      </c>
      <c r="X7" s="2070">
        <v>147.27962166809974</v>
      </c>
    </row>
    <row r="8" spans="1:24" ht="11.25" customHeight="1">
      <c r="A8" s="2065" t="s">
        <v>5746</v>
      </c>
      <c r="B8" s="2066" t="s">
        <v>5747</v>
      </c>
      <c r="C8" s="2067">
        <v>6.3413585554600163</v>
      </c>
      <c r="D8" s="2067">
        <v>5.0752364574376605</v>
      </c>
      <c r="E8" s="2067">
        <v>7.0898538263112645</v>
      </c>
      <c r="F8" s="2067">
        <v>9.7010318142734313</v>
      </c>
      <c r="G8" s="2067">
        <v>5.3727429062768701</v>
      </c>
      <c r="H8" s="2067">
        <v>6.7260533104041258</v>
      </c>
      <c r="I8" s="2067">
        <v>6.7150472914875312</v>
      </c>
      <c r="J8" s="2067">
        <v>5.5426483233018047</v>
      </c>
      <c r="K8" s="2067">
        <v>5.6444539982803086</v>
      </c>
      <c r="L8" s="2067">
        <v>4.8447979363714531</v>
      </c>
      <c r="M8" s="2067">
        <v>4.7854686156491839</v>
      </c>
      <c r="N8" s="2067">
        <v>4.4407566638005163</v>
      </c>
      <c r="O8" s="2067">
        <v>4.7499570077386073</v>
      </c>
      <c r="P8" s="2067">
        <v>18.948581255374027</v>
      </c>
      <c r="Q8" s="2067">
        <v>45.455975924333615</v>
      </c>
      <c r="R8" s="2067">
        <v>48.566380051590713</v>
      </c>
      <c r="S8" s="2067">
        <v>6.7851246775580387</v>
      </c>
      <c r="T8" s="2067">
        <v>6.92536543422184</v>
      </c>
      <c r="U8" s="2067">
        <v>5.1053310404127261</v>
      </c>
      <c r="V8" s="2067">
        <v>3.8343938091143586</v>
      </c>
      <c r="W8" s="2067">
        <v>2.7987962166809965</v>
      </c>
      <c r="X8" s="2067">
        <v>3.2192605331040416</v>
      </c>
    </row>
    <row r="9" spans="1:24" ht="11.25" customHeight="1">
      <c r="A9" s="2068" t="s">
        <v>4649</v>
      </c>
      <c r="B9" s="2069" t="s">
        <v>5748</v>
      </c>
      <c r="C9" s="2070">
        <v>0</v>
      </c>
      <c r="D9" s="2070">
        <v>0</v>
      </c>
      <c r="E9" s="2070">
        <v>0</v>
      </c>
      <c r="F9" s="2070">
        <v>0</v>
      </c>
      <c r="G9" s="2070">
        <v>0</v>
      </c>
      <c r="H9" s="2070">
        <v>0</v>
      </c>
      <c r="I9" s="2070">
        <v>0</v>
      </c>
      <c r="J9" s="2070">
        <v>0</v>
      </c>
      <c r="K9" s="2070">
        <v>0</v>
      </c>
      <c r="L9" s="2070">
        <v>0</v>
      </c>
      <c r="M9" s="2070">
        <v>0</v>
      </c>
      <c r="N9" s="2070">
        <v>0</v>
      </c>
      <c r="O9" s="2070">
        <v>0</v>
      </c>
      <c r="P9" s="2070">
        <v>0</v>
      </c>
      <c r="Q9" s="2070">
        <v>0</v>
      </c>
      <c r="R9" s="2070">
        <v>0</v>
      </c>
      <c r="S9" s="2070">
        <v>0</v>
      </c>
      <c r="T9" s="2070">
        <v>0</v>
      </c>
      <c r="U9" s="2070">
        <v>0</v>
      </c>
      <c r="V9" s="2070">
        <v>0</v>
      </c>
      <c r="W9" s="2070">
        <v>0</v>
      </c>
      <c r="X9" s="2070">
        <v>0</v>
      </c>
    </row>
    <row r="10" spans="1:24" ht="11.25" customHeight="1">
      <c r="A10" s="2068" t="s">
        <v>4290</v>
      </c>
      <c r="B10" s="2069" t="s">
        <v>5749</v>
      </c>
      <c r="C10" s="2070">
        <v>6.3413585554600163</v>
      </c>
      <c r="D10" s="2070">
        <v>5.0752364574376605</v>
      </c>
      <c r="E10" s="2070">
        <v>7.0898538263112645</v>
      </c>
      <c r="F10" s="2070">
        <v>9.7010318142734313</v>
      </c>
      <c r="G10" s="2070">
        <v>5.3727429062768701</v>
      </c>
      <c r="H10" s="2070">
        <v>6.7260533104041258</v>
      </c>
      <c r="I10" s="2070">
        <v>6.7150472914875312</v>
      </c>
      <c r="J10" s="2070">
        <v>5.5426483233018047</v>
      </c>
      <c r="K10" s="2070">
        <v>5.6444539982803086</v>
      </c>
      <c r="L10" s="2070">
        <v>4.8447979363714531</v>
      </c>
      <c r="M10" s="2070">
        <v>4.7854686156491839</v>
      </c>
      <c r="N10" s="2070">
        <v>4.4407566638005163</v>
      </c>
      <c r="O10" s="2070">
        <v>4.7499570077386073</v>
      </c>
      <c r="P10" s="2070">
        <v>18.948581255374027</v>
      </c>
      <c r="Q10" s="2070">
        <v>45.455975924333615</v>
      </c>
      <c r="R10" s="2070">
        <v>48.566380051590713</v>
      </c>
      <c r="S10" s="2070">
        <v>6.7851246775580387</v>
      </c>
      <c r="T10" s="2070">
        <v>6.92536543422184</v>
      </c>
      <c r="U10" s="2070">
        <v>5.1053310404127261</v>
      </c>
      <c r="V10" s="2070">
        <v>3.8343938091143586</v>
      </c>
      <c r="W10" s="2070">
        <v>2.7987962166809965</v>
      </c>
      <c r="X10" s="2070">
        <v>3.2192605331040416</v>
      </c>
    </row>
    <row r="11" spans="1:24" ht="11.25" customHeight="1">
      <c r="A11" s="2065" t="s">
        <v>5750</v>
      </c>
      <c r="B11" s="2066" t="s">
        <v>5751</v>
      </c>
      <c r="C11" s="2067">
        <v>42.478159931212382</v>
      </c>
      <c r="D11" s="2067">
        <v>50.842734307824585</v>
      </c>
      <c r="E11" s="2067">
        <v>65.133705932932074</v>
      </c>
      <c r="F11" s="2067">
        <v>88.27196904557178</v>
      </c>
      <c r="G11" s="2067">
        <v>54.50653482373172</v>
      </c>
      <c r="H11" s="2067">
        <v>59.51367153912296</v>
      </c>
      <c r="I11" s="2067">
        <v>47.058039552880473</v>
      </c>
      <c r="J11" s="2067">
        <v>61.207050730868438</v>
      </c>
      <c r="K11" s="2067">
        <v>62.220034393809122</v>
      </c>
      <c r="L11" s="2067">
        <v>52.125967325881327</v>
      </c>
      <c r="M11" s="2067">
        <v>53.188564058469474</v>
      </c>
      <c r="N11" s="2067">
        <v>67.328202923473768</v>
      </c>
      <c r="O11" s="2067">
        <v>55.065004299226139</v>
      </c>
      <c r="P11" s="2067">
        <v>57.604643164230431</v>
      </c>
      <c r="Q11" s="2067">
        <v>69.07695614789337</v>
      </c>
      <c r="R11" s="2067">
        <v>67.270507308684429</v>
      </c>
      <c r="S11" s="2067">
        <v>74.068099742046414</v>
      </c>
      <c r="T11" s="2067">
        <v>65.954170249355101</v>
      </c>
      <c r="U11" s="2067">
        <v>72.074892519346506</v>
      </c>
      <c r="V11" s="2067">
        <v>69.179621668099728</v>
      </c>
      <c r="W11" s="2067">
        <v>60.46612209802236</v>
      </c>
      <c r="X11" s="2067">
        <v>69.033361994840917</v>
      </c>
    </row>
    <row r="12" spans="1:24" ht="11.25" customHeight="1">
      <c r="A12" s="2068" t="s">
        <v>4650</v>
      </c>
      <c r="B12" s="2069" t="s">
        <v>5752</v>
      </c>
      <c r="C12" s="2070">
        <v>0</v>
      </c>
      <c r="D12" s="2070">
        <v>0</v>
      </c>
      <c r="E12" s="2070">
        <v>0</v>
      </c>
      <c r="F12" s="2070">
        <v>0</v>
      </c>
      <c r="G12" s="2070">
        <v>0</v>
      </c>
      <c r="H12" s="2070">
        <v>0</v>
      </c>
      <c r="I12" s="2070">
        <v>0</v>
      </c>
      <c r="J12" s="2070">
        <v>0</v>
      </c>
      <c r="K12" s="2070">
        <v>0</v>
      </c>
      <c r="L12" s="2070">
        <v>0</v>
      </c>
      <c r="M12" s="2070">
        <v>0</v>
      </c>
      <c r="N12" s="2070">
        <v>0</v>
      </c>
      <c r="O12" s="2070">
        <v>0</v>
      </c>
      <c r="P12" s="2070">
        <v>0</v>
      </c>
      <c r="Q12" s="2070">
        <v>0</v>
      </c>
      <c r="R12" s="2070">
        <v>0</v>
      </c>
      <c r="S12" s="2070">
        <v>0</v>
      </c>
      <c r="T12" s="2070">
        <v>0</v>
      </c>
      <c r="U12" s="2070">
        <v>0</v>
      </c>
      <c r="V12" s="2070">
        <v>0</v>
      </c>
      <c r="W12" s="2070">
        <v>0</v>
      </c>
      <c r="X12" s="2070">
        <v>0</v>
      </c>
    </row>
    <row r="13" spans="1:24" ht="11.25" customHeight="1">
      <c r="A13" s="2068" t="s">
        <v>4651</v>
      </c>
      <c r="B13" s="2069" t="s">
        <v>5753</v>
      </c>
      <c r="C13" s="2070">
        <v>15.859673258813411</v>
      </c>
      <c r="D13" s="2070">
        <v>21.328460877042129</v>
      </c>
      <c r="E13" s="2070">
        <v>17.574118658641446</v>
      </c>
      <c r="F13" s="2070">
        <v>29.202579535683576</v>
      </c>
      <c r="G13" s="2070">
        <v>15.63697334479793</v>
      </c>
      <c r="H13" s="2070">
        <v>10.904471195184868</v>
      </c>
      <c r="I13" s="2070">
        <v>4.0913155631986236</v>
      </c>
      <c r="J13" s="2070">
        <v>2.0459157351676698</v>
      </c>
      <c r="K13" s="2070">
        <v>0</v>
      </c>
      <c r="L13" s="2070">
        <v>2.0253654342218397</v>
      </c>
      <c r="M13" s="2070">
        <v>2.0204643164230438</v>
      </c>
      <c r="N13" s="2070">
        <v>2.737145313843508</v>
      </c>
      <c r="O13" s="2070">
        <v>1.3686156491831469</v>
      </c>
      <c r="P13" s="2070">
        <v>2.0320722269991398</v>
      </c>
      <c r="Q13" s="2070">
        <v>2.037919174548581</v>
      </c>
      <c r="R13" s="2070">
        <v>1.4310404127257093</v>
      </c>
      <c r="S13" s="2070">
        <v>1.4153912295786757</v>
      </c>
      <c r="T13" s="2070">
        <v>0.933018056749785</v>
      </c>
      <c r="U13" s="2070">
        <v>4.6310404127257092</v>
      </c>
      <c r="V13" s="2070">
        <v>4.667583834909717</v>
      </c>
      <c r="W13" s="2070">
        <v>2.382717110920034</v>
      </c>
      <c r="X13" s="2070">
        <v>1.8907136715391226</v>
      </c>
    </row>
    <row r="14" spans="1:24" ht="11.25" customHeight="1">
      <c r="A14" s="2068" t="s">
        <v>4652</v>
      </c>
      <c r="B14" s="2069" t="s">
        <v>5754</v>
      </c>
      <c r="C14" s="2070">
        <v>0</v>
      </c>
      <c r="D14" s="2070">
        <v>0</v>
      </c>
      <c r="E14" s="2070">
        <v>0</v>
      </c>
      <c r="F14" s="2070">
        <v>0</v>
      </c>
      <c r="G14" s="2070">
        <v>0</v>
      </c>
      <c r="H14" s="2070">
        <v>0</v>
      </c>
      <c r="I14" s="2070">
        <v>0</v>
      </c>
      <c r="J14" s="2070">
        <v>0</v>
      </c>
      <c r="K14" s="2070">
        <v>0</v>
      </c>
      <c r="L14" s="2070">
        <v>0</v>
      </c>
      <c r="M14" s="2070">
        <v>0</v>
      </c>
      <c r="N14" s="2070">
        <v>0</v>
      </c>
      <c r="O14" s="2070">
        <v>0</v>
      </c>
      <c r="P14" s="2070">
        <v>0</v>
      </c>
      <c r="Q14" s="2070">
        <v>0</v>
      </c>
      <c r="R14" s="2070">
        <v>0</v>
      </c>
      <c r="S14" s="2070">
        <v>0</v>
      </c>
      <c r="T14" s="2070">
        <v>0</v>
      </c>
      <c r="U14" s="2070">
        <v>0</v>
      </c>
      <c r="V14" s="2070">
        <v>0</v>
      </c>
      <c r="W14" s="2070">
        <v>0</v>
      </c>
      <c r="X14" s="2070">
        <v>0</v>
      </c>
    </row>
    <row r="15" spans="1:24" ht="11.25" customHeight="1">
      <c r="A15" s="2068" t="s">
        <v>4653</v>
      </c>
      <c r="B15" s="2069" t="s">
        <v>5755</v>
      </c>
      <c r="C15" s="2070">
        <v>0</v>
      </c>
      <c r="D15" s="2070">
        <v>0</v>
      </c>
      <c r="E15" s="2070">
        <v>0</v>
      </c>
      <c r="F15" s="2070">
        <v>0</v>
      </c>
      <c r="G15" s="2070">
        <v>0</v>
      </c>
      <c r="H15" s="2070">
        <v>0</v>
      </c>
      <c r="I15" s="2070">
        <v>0</v>
      </c>
      <c r="J15" s="2070">
        <v>0</v>
      </c>
      <c r="K15" s="2070">
        <v>0</v>
      </c>
      <c r="L15" s="2070">
        <v>0</v>
      </c>
      <c r="M15" s="2070">
        <v>0</v>
      </c>
      <c r="N15" s="2070">
        <v>0</v>
      </c>
      <c r="O15" s="2070">
        <v>0</v>
      </c>
      <c r="P15" s="2070">
        <v>0</v>
      </c>
      <c r="Q15" s="2070">
        <v>0</v>
      </c>
      <c r="R15" s="2070">
        <v>0</v>
      </c>
      <c r="S15" s="2070">
        <v>0</v>
      </c>
      <c r="T15" s="2070">
        <v>0</v>
      </c>
      <c r="U15" s="2070">
        <v>0</v>
      </c>
      <c r="V15" s="2070">
        <v>0</v>
      </c>
      <c r="W15" s="2070">
        <v>0</v>
      </c>
      <c r="X15" s="2070">
        <v>0</v>
      </c>
    </row>
    <row r="16" spans="1:24" ht="11.25" customHeight="1">
      <c r="A16" s="2068" t="s">
        <v>5756</v>
      </c>
      <c r="B16" s="2069" t="s">
        <v>5757</v>
      </c>
      <c r="C16" s="2070">
        <v>26.618486672398969</v>
      </c>
      <c r="D16" s="2070">
        <v>29.51427343078246</v>
      </c>
      <c r="E16" s="2070">
        <v>47.559587274290628</v>
      </c>
      <c r="F16" s="2070">
        <v>59.069389509888211</v>
      </c>
      <c r="G16" s="2070">
        <v>38.86956147893379</v>
      </c>
      <c r="H16" s="2070">
        <v>48.609200343938092</v>
      </c>
      <c r="I16" s="2070">
        <v>42.966723989681853</v>
      </c>
      <c r="J16" s="2070">
        <v>59.16113499570077</v>
      </c>
      <c r="K16" s="2070">
        <v>62.220034393809122</v>
      </c>
      <c r="L16" s="2070">
        <v>50.100601891659487</v>
      </c>
      <c r="M16" s="2070">
        <v>51.168099742046429</v>
      </c>
      <c r="N16" s="2070">
        <v>64.591057609630255</v>
      </c>
      <c r="O16" s="2070">
        <v>53.696388650042991</v>
      </c>
      <c r="P16" s="2070">
        <v>55.572570937231291</v>
      </c>
      <c r="Q16" s="2070">
        <v>67.039036973344793</v>
      </c>
      <c r="R16" s="2070">
        <v>65.839466895958722</v>
      </c>
      <c r="S16" s="2070">
        <v>72.65270851246774</v>
      </c>
      <c r="T16" s="2070">
        <v>65.021152192605314</v>
      </c>
      <c r="U16" s="2070">
        <v>67.443852106620795</v>
      </c>
      <c r="V16" s="2070">
        <v>64.512037833190007</v>
      </c>
      <c r="W16" s="2070">
        <v>58.083404987102327</v>
      </c>
      <c r="X16" s="2070">
        <v>67.142648323301799</v>
      </c>
    </row>
    <row r="17" spans="1:24" ht="11.25" customHeight="1">
      <c r="A17" s="2071" t="s">
        <v>5758</v>
      </c>
      <c r="B17" s="2072" t="s">
        <v>5759</v>
      </c>
      <c r="C17" s="2073">
        <v>4.7076526225279443</v>
      </c>
      <c r="D17" s="2073">
        <v>8.9208942390369739</v>
      </c>
      <c r="E17" s="2073">
        <v>8.7059329320722263</v>
      </c>
      <c r="F17" s="2073">
        <v>8.2545141874462598</v>
      </c>
      <c r="G17" s="2073">
        <v>8.4049871023215807</v>
      </c>
      <c r="H17" s="2073">
        <v>7.5236457437661217</v>
      </c>
      <c r="I17" s="2073">
        <v>5.9759243336199477</v>
      </c>
      <c r="J17" s="2073">
        <v>9.0283748925193468</v>
      </c>
      <c r="K17" s="2073">
        <v>10.124677558039554</v>
      </c>
      <c r="L17" s="2073">
        <v>6.0619088564058465</v>
      </c>
      <c r="M17" s="2073">
        <v>8.7059329320722263</v>
      </c>
      <c r="N17" s="2073">
        <v>8.5769561478933785</v>
      </c>
      <c r="O17" s="2073">
        <v>9.9097162510748067</v>
      </c>
      <c r="P17" s="2073">
        <v>10.3396388650043</v>
      </c>
      <c r="Q17" s="2073">
        <v>7.9320722269991393</v>
      </c>
      <c r="R17" s="2073">
        <v>4.901117798796216</v>
      </c>
      <c r="S17" s="2073">
        <v>9.0283748925193468</v>
      </c>
      <c r="T17" s="2073">
        <v>11.530352536543422</v>
      </c>
      <c r="U17" s="2073">
        <v>9.5021496130696477</v>
      </c>
      <c r="V17" s="2073">
        <v>3.202923473774721</v>
      </c>
      <c r="W17" s="2073">
        <v>5.8899398108340497</v>
      </c>
      <c r="X17" s="2073">
        <v>3.267411865864144</v>
      </c>
    </row>
    <row r="18" spans="1:24" ht="11.25" customHeight="1">
      <c r="A18" s="2074" t="s">
        <v>4654</v>
      </c>
      <c r="B18" s="2069" t="s">
        <v>5760</v>
      </c>
      <c r="C18" s="2070">
        <v>6.4488392089423904E-2</v>
      </c>
      <c r="D18" s="2070">
        <v>4.2992261392949267E-2</v>
      </c>
      <c r="E18" s="2070">
        <v>4.2992261392949267E-2</v>
      </c>
      <c r="F18" s="2070">
        <v>0</v>
      </c>
      <c r="G18" s="2070">
        <v>0.12897678417884781</v>
      </c>
      <c r="H18" s="2070">
        <v>0.15047291487532241</v>
      </c>
      <c r="I18" s="2070">
        <v>6.4488392089423904E-2</v>
      </c>
      <c r="J18" s="2070">
        <v>4.2992261392949267E-2</v>
      </c>
      <c r="K18" s="2070">
        <v>2.149613069647463E-2</v>
      </c>
      <c r="L18" s="2070">
        <v>6.4488392089423904E-2</v>
      </c>
      <c r="M18" s="2070">
        <v>0</v>
      </c>
      <c r="N18" s="2070">
        <v>0</v>
      </c>
      <c r="O18" s="2070">
        <v>0</v>
      </c>
      <c r="P18" s="2070">
        <v>0</v>
      </c>
      <c r="Q18" s="2070">
        <v>0</v>
      </c>
      <c r="R18" s="2070">
        <v>0</v>
      </c>
      <c r="S18" s="2070">
        <v>0</v>
      </c>
      <c r="T18" s="2070">
        <v>0</v>
      </c>
      <c r="U18" s="2070">
        <v>0</v>
      </c>
      <c r="V18" s="2070">
        <v>0</v>
      </c>
      <c r="W18" s="2070">
        <v>0</v>
      </c>
      <c r="X18" s="2070">
        <v>0</v>
      </c>
    </row>
    <row r="19" spans="1:24" ht="11.25" customHeight="1">
      <c r="A19" s="2074" t="s">
        <v>4655</v>
      </c>
      <c r="B19" s="2069" t="s">
        <v>5761</v>
      </c>
      <c r="C19" s="2070">
        <v>4.6431642304385203</v>
      </c>
      <c r="D19" s="2070">
        <v>8.877901977644024</v>
      </c>
      <c r="E19" s="2070">
        <v>8.6629406706792764</v>
      </c>
      <c r="F19" s="2070">
        <v>8.2545141874462598</v>
      </c>
      <c r="G19" s="2070">
        <v>8.2760103181427329</v>
      </c>
      <c r="H19" s="2070">
        <v>7.3731728288907989</v>
      </c>
      <c r="I19" s="2070">
        <v>5.9114359415305238</v>
      </c>
      <c r="J19" s="2070">
        <v>8.9853826311263969</v>
      </c>
      <c r="K19" s="2070">
        <v>10.103181427343079</v>
      </c>
      <c r="L19" s="2070">
        <v>5.9974204643164226</v>
      </c>
      <c r="M19" s="2070">
        <v>8.7059329320722263</v>
      </c>
      <c r="N19" s="2070">
        <v>8.5769561478933785</v>
      </c>
      <c r="O19" s="2070">
        <v>9.9097162510748067</v>
      </c>
      <c r="P19" s="2070">
        <v>10.3396388650043</v>
      </c>
      <c r="Q19" s="2070">
        <v>7.9320722269991393</v>
      </c>
      <c r="R19" s="2070">
        <v>4.901117798796216</v>
      </c>
      <c r="S19" s="2070">
        <v>9.0283748925193468</v>
      </c>
      <c r="T19" s="2070">
        <v>11.530352536543422</v>
      </c>
      <c r="U19" s="2070">
        <v>9.5021496130696477</v>
      </c>
      <c r="V19" s="2070">
        <v>3.202923473774721</v>
      </c>
      <c r="W19" s="2070">
        <v>5.8899398108340497</v>
      </c>
      <c r="X19" s="2070">
        <v>3.267411865864144</v>
      </c>
    </row>
    <row r="20" spans="1:24" ht="11.25" customHeight="1">
      <c r="A20" s="2074" t="s">
        <v>4656</v>
      </c>
      <c r="B20" s="2069" t="s">
        <v>5762</v>
      </c>
      <c r="C20" s="2070">
        <v>0</v>
      </c>
      <c r="D20" s="2070">
        <v>0</v>
      </c>
      <c r="E20" s="2070">
        <v>0</v>
      </c>
      <c r="F20" s="2070">
        <v>0</v>
      </c>
      <c r="G20" s="2070">
        <v>0</v>
      </c>
      <c r="H20" s="2070">
        <v>0</v>
      </c>
      <c r="I20" s="2070">
        <v>0</v>
      </c>
      <c r="J20" s="2070">
        <v>0</v>
      </c>
      <c r="K20" s="2070">
        <v>0</v>
      </c>
      <c r="L20" s="2070">
        <v>0</v>
      </c>
      <c r="M20" s="2070">
        <v>0</v>
      </c>
      <c r="N20" s="2070">
        <v>0</v>
      </c>
      <c r="O20" s="2070">
        <v>0</v>
      </c>
      <c r="P20" s="2070">
        <v>0</v>
      </c>
      <c r="Q20" s="2070">
        <v>0</v>
      </c>
      <c r="R20" s="2070">
        <v>0</v>
      </c>
      <c r="S20" s="2070">
        <v>0</v>
      </c>
      <c r="T20" s="2070">
        <v>0</v>
      </c>
      <c r="U20" s="2070">
        <v>0</v>
      </c>
      <c r="V20" s="2070">
        <v>0</v>
      </c>
      <c r="W20" s="2070">
        <v>0</v>
      </c>
      <c r="X20" s="2070">
        <v>0</v>
      </c>
    </row>
    <row r="21" spans="1:24" ht="11.25" customHeight="1">
      <c r="A21" s="2074" t="s">
        <v>4615</v>
      </c>
      <c r="B21" s="2069" t="s">
        <v>5763</v>
      </c>
      <c r="C21" s="2070">
        <v>0</v>
      </c>
      <c r="D21" s="2070">
        <v>0</v>
      </c>
      <c r="E21" s="2070">
        <v>0</v>
      </c>
      <c r="F21" s="2070">
        <v>0</v>
      </c>
      <c r="G21" s="2070">
        <v>0</v>
      </c>
      <c r="H21" s="2070">
        <v>0</v>
      </c>
      <c r="I21" s="2070">
        <v>0</v>
      </c>
      <c r="J21" s="2070">
        <v>0</v>
      </c>
      <c r="K21" s="2070">
        <v>0</v>
      </c>
      <c r="L21" s="2070">
        <v>0</v>
      </c>
      <c r="M21" s="2070">
        <v>0</v>
      </c>
      <c r="N21" s="2070">
        <v>0</v>
      </c>
      <c r="O21" s="2070">
        <v>0</v>
      </c>
      <c r="P21" s="2070">
        <v>0</v>
      </c>
      <c r="Q21" s="2070">
        <v>0</v>
      </c>
      <c r="R21" s="2070">
        <v>0</v>
      </c>
      <c r="S21" s="2070">
        <v>0</v>
      </c>
      <c r="T21" s="2070">
        <v>0</v>
      </c>
      <c r="U21" s="2070">
        <v>0</v>
      </c>
      <c r="V21" s="2070">
        <v>0</v>
      </c>
      <c r="W21" s="2070">
        <v>0</v>
      </c>
      <c r="X21" s="2070">
        <v>0</v>
      </c>
    </row>
    <row r="22" spans="1:24" ht="11.25" customHeight="1">
      <c r="A22" s="2071" t="s">
        <v>4741</v>
      </c>
      <c r="B22" s="2072" t="s">
        <v>5764</v>
      </c>
      <c r="C22" s="2073">
        <v>0</v>
      </c>
      <c r="D22" s="2073">
        <v>0</v>
      </c>
      <c r="E22" s="2073">
        <v>0</v>
      </c>
      <c r="F22" s="2073">
        <v>0</v>
      </c>
      <c r="G22" s="2073">
        <v>0</v>
      </c>
      <c r="H22" s="2073">
        <v>0</v>
      </c>
      <c r="I22" s="2073">
        <v>0</v>
      </c>
      <c r="J22" s="2073">
        <v>0</v>
      </c>
      <c r="K22" s="2073">
        <v>0</v>
      </c>
      <c r="L22" s="2073">
        <v>0</v>
      </c>
      <c r="M22" s="2073">
        <v>0</v>
      </c>
      <c r="N22" s="2073">
        <v>0</v>
      </c>
      <c r="O22" s="2073">
        <v>0</v>
      </c>
      <c r="P22" s="2073">
        <v>0</v>
      </c>
      <c r="Q22" s="2073">
        <v>0.2400687876182287</v>
      </c>
      <c r="R22" s="2073">
        <v>0.2400687876182287</v>
      </c>
      <c r="S22" s="2073">
        <v>0.72012037833190023</v>
      </c>
      <c r="T22" s="2073">
        <v>1.031814273430782E-2</v>
      </c>
      <c r="U22" s="2073">
        <v>0</v>
      </c>
      <c r="V22" s="2073">
        <v>0</v>
      </c>
      <c r="W22" s="2073">
        <v>0</v>
      </c>
      <c r="X22" s="2073">
        <v>0</v>
      </c>
    </row>
    <row r="23" spans="1:24" ht="11.25" customHeight="1">
      <c r="A23" s="2074" t="s">
        <v>559</v>
      </c>
      <c r="B23" s="2069" t="s">
        <v>5765</v>
      </c>
      <c r="C23" s="2070">
        <v>0</v>
      </c>
      <c r="D23" s="2070">
        <v>0</v>
      </c>
      <c r="E23" s="2070">
        <v>0</v>
      </c>
      <c r="F23" s="2070">
        <v>0</v>
      </c>
      <c r="G23" s="2070">
        <v>0</v>
      </c>
      <c r="H23" s="2070">
        <v>0</v>
      </c>
      <c r="I23" s="2070">
        <v>0</v>
      </c>
      <c r="J23" s="2070">
        <v>0</v>
      </c>
      <c r="K23" s="2070">
        <v>0</v>
      </c>
      <c r="L23" s="2070">
        <v>0</v>
      </c>
      <c r="M23" s="2070">
        <v>0</v>
      </c>
      <c r="N23" s="2070">
        <v>0</v>
      </c>
      <c r="O23" s="2070">
        <v>0</v>
      </c>
      <c r="P23" s="2070">
        <v>0</v>
      </c>
      <c r="Q23" s="2070">
        <v>0.2400687876182287</v>
      </c>
      <c r="R23" s="2070">
        <v>0.2400687876182287</v>
      </c>
      <c r="S23" s="2070">
        <v>0.72012037833190023</v>
      </c>
      <c r="T23" s="2070">
        <v>1.031814273430782E-2</v>
      </c>
      <c r="U23" s="2070">
        <v>0</v>
      </c>
      <c r="V23" s="2070">
        <v>0</v>
      </c>
      <c r="W23" s="2070">
        <v>0</v>
      </c>
      <c r="X23" s="2070">
        <v>0</v>
      </c>
    </row>
    <row r="24" spans="1:24" ht="11.25" customHeight="1">
      <c r="A24" s="2074" t="s">
        <v>4657</v>
      </c>
      <c r="B24" s="2069" t="s">
        <v>5766</v>
      </c>
      <c r="C24" s="2070">
        <v>0</v>
      </c>
      <c r="D24" s="2070">
        <v>0</v>
      </c>
      <c r="E24" s="2070">
        <v>0</v>
      </c>
      <c r="F24" s="2070">
        <v>0</v>
      </c>
      <c r="G24" s="2070">
        <v>0</v>
      </c>
      <c r="H24" s="2070">
        <v>0</v>
      </c>
      <c r="I24" s="2070">
        <v>0</v>
      </c>
      <c r="J24" s="2070">
        <v>0</v>
      </c>
      <c r="K24" s="2070">
        <v>0</v>
      </c>
      <c r="L24" s="2070">
        <v>0</v>
      </c>
      <c r="M24" s="2070">
        <v>0</v>
      </c>
      <c r="N24" s="2070">
        <v>0</v>
      </c>
      <c r="O24" s="2070">
        <v>0</v>
      </c>
      <c r="P24" s="2070">
        <v>0</v>
      </c>
      <c r="Q24" s="2070">
        <v>0</v>
      </c>
      <c r="R24" s="2070">
        <v>0</v>
      </c>
      <c r="S24" s="2070">
        <v>0</v>
      </c>
      <c r="T24" s="2070">
        <v>0</v>
      </c>
      <c r="U24" s="2070">
        <v>0</v>
      </c>
      <c r="V24" s="2070">
        <v>0</v>
      </c>
      <c r="W24" s="2070">
        <v>0</v>
      </c>
      <c r="X24" s="2070">
        <v>0</v>
      </c>
    </row>
    <row r="25" spans="1:24" ht="11.25" customHeight="1">
      <c r="A25" s="2071" t="s">
        <v>4658</v>
      </c>
      <c r="B25" s="2072" t="s">
        <v>5767</v>
      </c>
      <c r="C25" s="2073">
        <v>0</v>
      </c>
      <c r="D25" s="2073">
        <v>0</v>
      </c>
      <c r="E25" s="2073">
        <v>0</v>
      </c>
      <c r="F25" s="2073">
        <v>0</v>
      </c>
      <c r="G25" s="2073">
        <v>0</v>
      </c>
      <c r="H25" s="2073">
        <v>0</v>
      </c>
      <c r="I25" s="2073">
        <v>0</v>
      </c>
      <c r="J25" s="2073">
        <v>0</v>
      </c>
      <c r="K25" s="2073">
        <v>0</v>
      </c>
      <c r="L25" s="2073">
        <v>0</v>
      </c>
      <c r="M25" s="2073">
        <v>0</v>
      </c>
      <c r="N25" s="2073">
        <v>0</v>
      </c>
      <c r="O25" s="2073">
        <v>0</v>
      </c>
      <c r="P25" s="2073">
        <v>0</v>
      </c>
      <c r="Q25" s="2073">
        <v>0</v>
      </c>
      <c r="R25" s="2073">
        <v>0</v>
      </c>
      <c r="S25" s="2073">
        <v>0</v>
      </c>
      <c r="T25" s="2073">
        <v>0</v>
      </c>
      <c r="U25" s="2073">
        <v>0</v>
      </c>
      <c r="V25" s="2073">
        <v>0</v>
      </c>
      <c r="W25" s="2073">
        <v>0</v>
      </c>
      <c r="X25" s="2073">
        <v>0</v>
      </c>
    </row>
    <row r="26" spans="1:24" ht="11.25" customHeight="1">
      <c r="A26" s="2071" t="s">
        <v>3872</v>
      </c>
      <c r="B26" s="2072" t="s">
        <v>5768</v>
      </c>
      <c r="C26" s="2073">
        <v>923.96294067067925</v>
      </c>
      <c r="D26" s="2073">
        <v>902.85950128976765</v>
      </c>
      <c r="E26" s="2073">
        <v>893.58374892519339</v>
      </c>
      <c r="F26" s="2073">
        <v>969.33181427343084</v>
      </c>
      <c r="G26" s="2073">
        <v>902.30541702493554</v>
      </c>
      <c r="H26" s="2073">
        <v>886.60834049871028</v>
      </c>
      <c r="I26" s="2073">
        <v>855.13336199484081</v>
      </c>
      <c r="J26" s="2073">
        <v>853.92579535683581</v>
      </c>
      <c r="K26" s="2073">
        <v>872.24453998280308</v>
      </c>
      <c r="L26" s="2073">
        <v>726.33602751504736</v>
      </c>
      <c r="M26" s="2073">
        <v>729.89019776440261</v>
      </c>
      <c r="N26" s="2073">
        <v>796.82502149613072</v>
      </c>
      <c r="O26" s="2073">
        <v>761.48314703353401</v>
      </c>
      <c r="P26" s="2073">
        <v>817.67592433362006</v>
      </c>
      <c r="Q26" s="2073">
        <v>816.90292347377488</v>
      </c>
      <c r="R26" s="2073">
        <v>809.17910576096301</v>
      </c>
      <c r="S26" s="2073">
        <v>830.60885640584684</v>
      </c>
      <c r="T26" s="2073">
        <v>848.89054170249335</v>
      </c>
      <c r="U26" s="2073">
        <v>865.58211521926057</v>
      </c>
      <c r="V26" s="2073">
        <v>841.205588993981</v>
      </c>
      <c r="W26" s="2073">
        <v>755.10653482373164</v>
      </c>
      <c r="X26" s="2073">
        <v>827.35735167669804</v>
      </c>
    </row>
    <row r="27" spans="1:24" ht="11.25" customHeight="1">
      <c r="A27" s="2065" t="s">
        <v>5769</v>
      </c>
      <c r="B27" s="2066" t="s">
        <v>5770</v>
      </c>
      <c r="C27" s="2067">
        <v>0</v>
      </c>
      <c r="D27" s="2067">
        <v>0</v>
      </c>
      <c r="E27" s="2067">
        <v>0</v>
      </c>
      <c r="F27" s="2067">
        <v>0</v>
      </c>
      <c r="G27" s="2067">
        <v>0</v>
      </c>
      <c r="H27" s="2067">
        <v>0</v>
      </c>
      <c r="I27" s="2067">
        <v>0</v>
      </c>
      <c r="J27" s="2067">
        <v>0</v>
      </c>
      <c r="K27" s="2067">
        <v>0</v>
      </c>
      <c r="L27" s="2067">
        <v>0</v>
      </c>
      <c r="M27" s="2067">
        <v>0</v>
      </c>
      <c r="N27" s="2067">
        <v>0</v>
      </c>
      <c r="O27" s="2067">
        <v>0</v>
      </c>
      <c r="P27" s="2067">
        <v>0</v>
      </c>
      <c r="Q27" s="2067">
        <v>0</v>
      </c>
      <c r="R27" s="2067">
        <v>0</v>
      </c>
      <c r="S27" s="2067">
        <v>0</v>
      </c>
      <c r="T27" s="2067">
        <v>0</v>
      </c>
      <c r="U27" s="2067">
        <v>0</v>
      </c>
      <c r="V27" s="2067">
        <v>0</v>
      </c>
      <c r="W27" s="2067">
        <v>0</v>
      </c>
      <c r="X27" s="2067">
        <v>0</v>
      </c>
    </row>
    <row r="28" spans="1:24" ht="11.25" customHeight="1">
      <c r="A28" s="2068" t="s">
        <v>4659</v>
      </c>
      <c r="B28" s="2069" t="s">
        <v>5771</v>
      </c>
      <c r="C28" s="2070">
        <v>0</v>
      </c>
      <c r="D28" s="2070">
        <v>0</v>
      </c>
      <c r="E28" s="2070">
        <v>0</v>
      </c>
      <c r="F28" s="2070">
        <v>0</v>
      </c>
      <c r="G28" s="2070">
        <v>0</v>
      </c>
      <c r="H28" s="2070">
        <v>0</v>
      </c>
      <c r="I28" s="2070">
        <v>0</v>
      </c>
      <c r="J28" s="2070">
        <v>0</v>
      </c>
      <c r="K28" s="2070">
        <v>0</v>
      </c>
      <c r="L28" s="2070">
        <v>0</v>
      </c>
      <c r="M28" s="2070">
        <v>0</v>
      </c>
      <c r="N28" s="2070">
        <v>0</v>
      </c>
      <c r="O28" s="2070">
        <v>0</v>
      </c>
      <c r="P28" s="2070">
        <v>0</v>
      </c>
      <c r="Q28" s="2070">
        <v>0</v>
      </c>
      <c r="R28" s="2070">
        <v>0</v>
      </c>
      <c r="S28" s="2070">
        <v>0</v>
      </c>
      <c r="T28" s="2070">
        <v>0</v>
      </c>
      <c r="U28" s="2070">
        <v>0</v>
      </c>
      <c r="V28" s="2070">
        <v>0</v>
      </c>
      <c r="W28" s="2070">
        <v>0</v>
      </c>
      <c r="X28" s="2070">
        <v>0</v>
      </c>
    </row>
    <row r="29" spans="1:24" ht="11.25" customHeight="1">
      <c r="A29" s="2068" t="s">
        <v>4660</v>
      </c>
      <c r="B29" s="2069" t="s">
        <v>5772</v>
      </c>
      <c r="C29" s="2070">
        <v>0</v>
      </c>
      <c r="D29" s="2070">
        <v>0</v>
      </c>
      <c r="E29" s="2070">
        <v>0</v>
      </c>
      <c r="F29" s="2070">
        <v>0</v>
      </c>
      <c r="G29" s="2070">
        <v>0</v>
      </c>
      <c r="H29" s="2070">
        <v>0</v>
      </c>
      <c r="I29" s="2070">
        <v>0</v>
      </c>
      <c r="J29" s="2070">
        <v>0</v>
      </c>
      <c r="K29" s="2070">
        <v>0</v>
      </c>
      <c r="L29" s="2070">
        <v>0</v>
      </c>
      <c r="M29" s="2070">
        <v>0</v>
      </c>
      <c r="N29" s="2070">
        <v>0</v>
      </c>
      <c r="O29" s="2070">
        <v>0</v>
      </c>
      <c r="P29" s="2070">
        <v>0</v>
      </c>
      <c r="Q29" s="2070">
        <v>0</v>
      </c>
      <c r="R29" s="2070">
        <v>0</v>
      </c>
      <c r="S29" s="2070">
        <v>0</v>
      </c>
      <c r="T29" s="2070">
        <v>0</v>
      </c>
      <c r="U29" s="2070">
        <v>0</v>
      </c>
      <c r="V29" s="2070">
        <v>0</v>
      </c>
      <c r="W29" s="2070">
        <v>0</v>
      </c>
      <c r="X29" s="2070">
        <v>0</v>
      </c>
    </row>
    <row r="30" spans="1:24" ht="11.25" customHeight="1">
      <c r="A30" s="2068" t="s">
        <v>4661</v>
      </c>
      <c r="B30" s="2069" t="s">
        <v>5773</v>
      </c>
      <c r="C30" s="2070">
        <v>0</v>
      </c>
      <c r="D30" s="2070">
        <v>0</v>
      </c>
      <c r="E30" s="2070">
        <v>0</v>
      </c>
      <c r="F30" s="2070">
        <v>0</v>
      </c>
      <c r="G30" s="2070">
        <v>0</v>
      </c>
      <c r="H30" s="2070">
        <v>0</v>
      </c>
      <c r="I30" s="2070">
        <v>0</v>
      </c>
      <c r="J30" s="2070">
        <v>0</v>
      </c>
      <c r="K30" s="2070">
        <v>0</v>
      </c>
      <c r="L30" s="2070">
        <v>0</v>
      </c>
      <c r="M30" s="2070">
        <v>0</v>
      </c>
      <c r="N30" s="2070">
        <v>0</v>
      </c>
      <c r="O30" s="2070">
        <v>0</v>
      </c>
      <c r="P30" s="2070">
        <v>0</v>
      </c>
      <c r="Q30" s="2070">
        <v>0</v>
      </c>
      <c r="R30" s="2070">
        <v>0</v>
      </c>
      <c r="S30" s="2070">
        <v>0</v>
      </c>
      <c r="T30" s="2070">
        <v>0</v>
      </c>
      <c r="U30" s="2070">
        <v>0</v>
      </c>
      <c r="V30" s="2070">
        <v>0</v>
      </c>
      <c r="W30" s="2070">
        <v>0</v>
      </c>
      <c r="X30" s="2070">
        <v>0</v>
      </c>
    </row>
    <row r="31" spans="1:24" ht="11.25" customHeight="1">
      <c r="A31" s="2068" t="s">
        <v>5774</v>
      </c>
      <c r="B31" s="2069" t="s">
        <v>5775</v>
      </c>
      <c r="C31" s="2070">
        <v>0</v>
      </c>
      <c r="D31" s="2070">
        <v>0</v>
      </c>
      <c r="E31" s="2070">
        <v>0</v>
      </c>
      <c r="F31" s="2070">
        <v>0</v>
      </c>
      <c r="G31" s="2070">
        <v>0</v>
      </c>
      <c r="H31" s="2070">
        <v>0</v>
      </c>
      <c r="I31" s="2070">
        <v>0</v>
      </c>
      <c r="J31" s="2070">
        <v>0</v>
      </c>
      <c r="K31" s="2070">
        <v>0</v>
      </c>
      <c r="L31" s="2070">
        <v>0</v>
      </c>
      <c r="M31" s="2070">
        <v>0</v>
      </c>
      <c r="N31" s="2070">
        <v>0</v>
      </c>
      <c r="O31" s="2070">
        <v>0</v>
      </c>
      <c r="P31" s="2070">
        <v>0</v>
      </c>
      <c r="Q31" s="2070">
        <v>0</v>
      </c>
      <c r="R31" s="2070">
        <v>0</v>
      </c>
      <c r="S31" s="2070">
        <v>0</v>
      </c>
      <c r="T31" s="2070">
        <v>0</v>
      </c>
      <c r="U31" s="2070">
        <v>0</v>
      </c>
      <c r="V31" s="2070">
        <v>0</v>
      </c>
      <c r="W31" s="2070">
        <v>0</v>
      </c>
      <c r="X31" s="2070">
        <v>0</v>
      </c>
    </row>
    <row r="32" spans="1:24" ht="11.25" customHeight="1">
      <c r="A32" s="2068" t="s">
        <v>4662</v>
      </c>
      <c r="B32" s="2069" t="s">
        <v>5776</v>
      </c>
      <c r="C32" s="2070">
        <v>0</v>
      </c>
      <c r="D32" s="2070">
        <v>0</v>
      </c>
      <c r="E32" s="2070">
        <v>0</v>
      </c>
      <c r="F32" s="2070">
        <v>0</v>
      </c>
      <c r="G32" s="2070">
        <v>0</v>
      </c>
      <c r="H32" s="2070">
        <v>0</v>
      </c>
      <c r="I32" s="2070">
        <v>0</v>
      </c>
      <c r="J32" s="2070">
        <v>0</v>
      </c>
      <c r="K32" s="2070">
        <v>0</v>
      </c>
      <c r="L32" s="2070">
        <v>0</v>
      </c>
      <c r="M32" s="2070">
        <v>0</v>
      </c>
      <c r="N32" s="2070">
        <v>0</v>
      </c>
      <c r="O32" s="2070">
        <v>0</v>
      </c>
      <c r="P32" s="2070">
        <v>0</v>
      </c>
      <c r="Q32" s="2070">
        <v>0</v>
      </c>
      <c r="R32" s="2070">
        <v>0</v>
      </c>
      <c r="S32" s="2070">
        <v>0</v>
      </c>
      <c r="T32" s="2070">
        <v>0</v>
      </c>
      <c r="U32" s="2070">
        <v>0</v>
      </c>
      <c r="V32" s="2070">
        <v>0</v>
      </c>
      <c r="W32" s="2070">
        <v>0</v>
      </c>
      <c r="X32" s="2070">
        <v>0</v>
      </c>
    </row>
    <row r="33" spans="1:24" ht="11.25" customHeight="1">
      <c r="A33" s="2065" t="s">
        <v>5777</v>
      </c>
      <c r="B33" s="2066" t="s">
        <v>5778</v>
      </c>
      <c r="C33" s="2067">
        <v>923.96294067067925</v>
      </c>
      <c r="D33" s="2067">
        <v>902.85950128976765</v>
      </c>
      <c r="E33" s="2067">
        <v>893.58374892519339</v>
      </c>
      <c r="F33" s="2067">
        <v>969.33181427343084</v>
      </c>
      <c r="G33" s="2067">
        <v>902.30541702493554</v>
      </c>
      <c r="H33" s="2067">
        <v>886.60834049871028</v>
      </c>
      <c r="I33" s="2067">
        <v>855.13336199484081</v>
      </c>
      <c r="J33" s="2067">
        <v>853.92579535683581</v>
      </c>
      <c r="K33" s="2067">
        <v>872.24453998280308</v>
      </c>
      <c r="L33" s="2067">
        <v>726.33602751504736</v>
      </c>
      <c r="M33" s="2067">
        <v>729.89019776440261</v>
      </c>
      <c r="N33" s="2067">
        <v>796.82502149613072</v>
      </c>
      <c r="O33" s="2067">
        <v>761.48314703353401</v>
      </c>
      <c r="P33" s="2067">
        <v>817.67592433362006</v>
      </c>
      <c r="Q33" s="2067">
        <v>816.90292347377488</v>
      </c>
      <c r="R33" s="2067">
        <v>809.17910576096301</v>
      </c>
      <c r="S33" s="2067">
        <v>830.60885640584684</v>
      </c>
      <c r="T33" s="2067">
        <v>848.89054170249335</v>
      </c>
      <c r="U33" s="2067">
        <v>865.58211521926057</v>
      </c>
      <c r="V33" s="2067">
        <v>841.205588993981</v>
      </c>
      <c r="W33" s="2067">
        <v>755.10653482373164</v>
      </c>
      <c r="X33" s="2067">
        <v>827.35735167669804</v>
      </c>
    </row>
    <row r="34" spans="1:24" ht="11.25" customHeight="1">
      <c r="A34" s="2068" t="s">
        <v>4607</v>
      </c>
      <c r="B34" s="2069" t="s">
        <v>5779</v>
      </c>
      <c r="C34" s="2070">
        <v>0</v>
      </c>
      <c r="D34" s="2070">
        <v>0</v>
      </c>
      <c r="E34" s="2070">
        <v>0</v>
      </c>
      <c r="F34" s="2070">
        <v>0</v>
      </c>
      <c r="G34" s="2070">
        <v>0</v>
      </c>
      <c r="H34" s="2070">
        <v>0</v>
      </c>
      <c r="I34" s="2070">
        <v>0</v>
      </c>
      <c r="J34" s="2070">
        <v>0</v>
      </c>
      <c r="K34" s="2070">
        <v>0</v>
      </c>
      <c r="L34" s="2070">
        <v>0</v>
      </c>
      <c r="M34" s="2070">
        <v>0</v>
      </c>
      <c r="N34" s="2070">
        <v>0</v>
      </c>
      <c r="O34" s="2070">
        <v>0</v>
      </c>
      <c r="P34" s="2070">
        <v>0</v>
      </c>
      <c r="Q34" s="2070">
        <v>0</v>
      </c>
      <c r="R34" s="2070">
        <v>0</v>
      </c>
      <c r="S34" s="2070">
        <v>0</v>
      </c>
      <c r="T34" s="2070">
        <v>0</v>
      </c>
      <c r="U34" s="2070">
        <v>0</v>
      </c>
      <c r="V34" s="2070">
        <v>0</v>
      </c>
      <c r="W34" s="2070">
        <v>0</v>
      </c>
      <c r="X34" s="2070">
        <v>0</v>
      </c>
    </row>
    <row r="35" spans="1:24" ht="11.25" customHeight="1">
      <c r="A35" s="2068" t="s">
        <v>587</v>
      </c>
      <c r="B35" s="2069" t="s">
        <v>5780</v>
      </c>
      <c r="C35" s="2070">
        <v>0</v>
      </c>
      <c r="D35" s="2070">
        <v>0</v>
      </c>
      <c r="E35" s="2070">
        <v>0</v>
      </c>
      <c r="F35" s="2070">
        <v>0</v>
      </c>
      <c r="G35" s="2070">
        <v>0</v>
      </c>
      <c r="H35" s="2070">
        <v>0</v>
      </c>
      <c r="I35" s="2070">
        <v>0</v>
      </c>
      <c r="J35" s="2070">
        <v>0</v>
      </c>
      <c r="K35" s="2070">
        <v>0</v>
      </c>
      <c r="L35" s="2070">
        <v>0</v>
      </c>
      <c r="M35" s="2070">
        <v>0</v>
      </c>
      <c r="N35" s="2070">
        <v>0</v>
      </c>
      <c r="O35" s="2070">
        <v>0</v>
      </c>
      <c r="P35" s="2070">
        <v>0</v>
      </c>
      <c r="Q35" s="2070">
        <v>0</v>
      </c>
      <c r="R35" s="2070">
        <v>0</v>
      </c>
      <c r="S35" s="2070">
        <v>0</v>
      </c>
      <c r="T35" s="2070">
        <v>0</v>
      </c>
      <c r="U35" s="2070">
        <v>0</v>
      </c>
      <c r="V35" s="2070">
        <v>0</v>
      </c>
      <c r="W35" s="2070">
        <v>0</v>
      </c>
      <c r="X35" s="2070">
        <v>0</v>
      </c>
    </row>
    <row r="36" spans="1:24" ht="11.25" customHeight="1">
      <c r="A36" s="2068" t="s">
        <v>5781</v>
      </c>
      <c r="B36" s="2069" t="s">
        <v>5782</v>
      </c>
      <c r="C36" s="2070">
        <v>45.408942390369731</v>
      </c>
      <c r="D36" s="2070">
        <v>53.525537403267407</v>
      </c>
      <c r="E36" s="2070">
        <v>55.779191745485811</v>
      </c>
      <c r="F36" s="2070">
        <v>81.76259673258815</v>
      </c>
      <c r="G36" s="2070">
        <v>84.627944969905414</v>
      </c>
      <c r="H36" s="2070">
        <v>70.94789337919174</v>
      </c>
      <c r="I36" s="2070">
        <v>78.569819432502157</v>
      </c>
      <c r="J36" s="2070">
        <v>69.60945829750645</v>
      </c>
      <c r="K36" s="2070">
        <v>86.660103181427317</v>
      </c>
      <c r="L36" s="2070">
        <v>65.574634565778169</v>
      </c>
      <c r="M36" s="2070">
        <v>69.446173688736025</v>
      </c>
      <c r="N36" s="2070">
        <v>50.384780739466891</v>
      </c>
      <c r="O36" s="2070">
        <v>34.825107480653479</v>
      </c>
      <c r="P36" s="2070">
        <v>31.707136715391222</v>
      </c>
      <c r="Q36" s="2070">
        <v>33.435683576956144</v>
      </c>
      <c r="R36" s="2070">
        <v>50.680911435941525</v>
      </c>
      <c r="S36" s="2070">
        <v>47.182287188306098</v>
      </c>
      <c r="T36" s="2070">
        <v>54.930438521066201</v>
      </c>
      <c r="U36" s="2070">
        <v>51.428460877042127</v>
      </c>
      <c r="V36" s="2070">
        <v>56.508426483233009</v>
      </c>
      <c r="W36" s="2070">
        <v>47.435167669819435</v>
      </c>
      <c r="X36" s="2070">
        <v>46.543852106620804</v>
      </c>
    </row>
    <row r="37" spans="1:24" ht="11.25" customHeight="1">
      <c r="A37" s="2068" t="s">
        <v>5783</v>
      </c>
      <c r="B37" s="2069" t="s">
        <v>5784</v>
      </c>
      <c r="C37" s="2070">
        <v>1.058125537403267</v>
      </c>
      <c r="D37" s="2070">
        <v>0</v>
      </c>
      <c r="E37" s="2070">
        <v>0</v>
      </c>
      <c r="F37" s="2070">
        <v>0</v>
      </c>
      <c r="G37" s="2070">
        <v>0</v>
      </c>
      <c r="H37" s="2070">
        <v>0</v>
      </c>
      <c r="I37" s="2070">
        <v>0</v>
      </c>
      <c r="J37" s="2070">
        <v>3.1814273430782461E-3</v>
      </c>
      <c r="K37" s="2070">
        <v>0</v>
      </c>
      <c r="L37" s="2070">
        <v>1.050902837489252</v>
      </c>
      <c r="M37" s="2070">
        <v>1.031814273430782E-3</v>
      </c>
      <c r="N37" s="2070">
        <v>0</v>
      </c>
      <c r="O37" s="2070">
        <v>1.050902837489252</v>
      </c>
      <c r="P37" s="2070">
        <v>0</v>
      </c>
      <c r="Q37" s="2070">
        <v>1.6938950988822012E-2</v>
      </c>
      <c r="R37" s="2070">
        <v>1.0576096302665519E-2</v>
      </c>
      <c r="S37" s="2070">
        <v>2.0120378331900259E-2</v>
      </c>
      <c r="T37" s="2070">
        <v>0.31840068787618231</v>
      </c>
      <c r="U37" s="2070">
        <v>0.32648323301805665</v>
      </c>
      <c r="V37" s="2070">
        <v>0.1171969045571797</v>
      </c>
      <c r="W37" s="2070">
        <v>7.4892519346517625E-2</v>
      </c>
      <c r="X37" s="2070">
        <v>0.34436801375752368</v>
      </c>
    </row>
    <row r="38" spans="1:24" ht="11.25" customHeight="1">
      <c r="A38" s="2068" t="s">
        <v>4663</v>
      </c>
      <c r="B38" s="2069" t="s">
        <v>5785</v>
      </c>
      <c r="C38" s="2070">
        <v>0</v>
      </c>
      <c r="D38" s="2070">
        <v>0</v>
      </c>
      <c r="E38" s="2070">
        <v>0</v>
      </c>
      <c r="F38" s="2070">
        <v>0</v>
      </c>
      <c r="G38" s="2070">
        <v>0</v>
      </c>
      <c r="H38" s="2070">
        <v>0</v>
      </c>
      <c r="I38" s="2070">
        <v>0</v>
      </c>
      <c r="J38" s="2070">
        <v>0</v>
      </c>
      <c r="K38" s="2070">
        <v>0</v>
      </c>
      <c r="L38" s="2070">
        <v>0</v>
      </c>
      <c r="M38" s="2070">
        <v>0</v>
      </c>
      <c r="N38" s="2070">
        <v>0</v>
      </c>
      <c r="O38" s="2070">
        <v>0</v>
      </c>
      <c r="P38" s="2070">
        <v>0</v>
      </c>
      <c r="Q38" s="2070">
        <v>0</v>
      </c>
      <c r="R38" s="2070">
        <v>0</v>
      </c>
      <c r="S38" s="2070">
        <v>0</v>
      </c>
      <c r="T38" s="2070">
        <v>0</v>
      </c>
      <c r="U38" s="2070">
        <v>0</v>
      </c>
      <c r="V38" s="2070">
        <v>0</v>
      </c>
      <c r="W38" s="2070">
        <v>0</v>
      </c>
      <c r="X38" s="2070">
        <v>0</v>
      </c>
    </row>
    <row r="39" spans="1:24" ht="11.25" customHeight="1">
      <c r="A39" s="2068" t="s">
        <v>5786</v>
      </c>
      <c r="B39" s="2069" t="s">
        <v>5787</v>
      </c>
      <c r="C39" s="2070">
        <v>0</v>
      </c>
      <c r="D39" s="2070">
        <v>0</v>
      </c>
      <c r="E39" s="2070">
        <v>0</v>
      </c>
      <c r="F39" s="2070">
        <v>0</v>
      </c>
      <c r="G39" s="2070">
        <v>0</v>
      </c>
      <c r="H39" s="2070">
        <v>0</v>
      </c>
      <c r="I39" s="2070">
        <v>0</v>
      </c>
      <c r="J39" s="2070">
        <v>0</v>
      </c>
      <c r="K39" s="2070">
        <v>0</v>
      </c>
      <c r="L39" s="2070">
        <v>0</v>
      </c>
      <c r="M39" s="2070">
        <v>0</v>
      </c>
      <c r="N39" s="2070">
        <v>0</v>
      </c>
      <c r="O39" s="2070">
        <v>0</v>
      </c>
      <c r="P39" s="2070">
        <v>0</v>
      </c>
      <c r="Q39" s="2070">
        <v>0</v>
      </c>
      <c r="R39" s="2070">
        <v>0</v>
      </c>
      <c r="S39" s="2070">
        <v>0</v>
      </c>
      <c r="T39" s="2070">
        <v>0</v>
      </c>
      <c r="U39" s="2070">
        <v>0</v>
      </c>
      <c r="V39" s="2070">
        <v>0</v>
      </c>
      <c r="W39" s="2070">
        <v>0</v>
      </c>
      <c r="X39" s="2070">
        <v>0</v>
      </c>
    </row>
    <row r="40" spans="1:24" ht="11.25" customHeight="1">
      <c r="A40" s="2068" t="s">
        <v>5788</v>
      </c>
      <c r="B40" s="2069" t="s">
        <v>5789</v>
      </c>
      <c r="C40" s="2070">
        <v>0</v>
      </c>
      <c r="D40" s="2070">
        <v>0</v>
      </c>
      <c r="E40" s="2070">
        <v>0</v>
      </c>
      <c r="F40" s="2070">
        <v>0</v>
      </c>
      <c r="G40" s="2070">
        <v>0</v>
      </c>
      <c r="H40" s="2070">
        <v>0</v>
      </c>
      <c r="I40" s="2070">
        <v>0</v>
      </c>
      <c r="J40" s="2070">
        <v>0</v>
      </c>
      <c r="K40" s="2070">
        <v>0</v>
      </c>
      <c r="L40" s="2070">
        <v>0</v>
      </c>
      <c r="M40" s="2070">
        <v>0</v>
      </c>
      <c r="N40" s="2070">
        <v>0</v>
      </c>
      <c r="O40" s="2070">
        <v>0</v>
      </c>
      <c r="P40" s="2070">
        <v>0</v>
      </c>
      <c r="Q40" s="2070">
        <v>0</v>
      </c>
      <c r="R40" s="2070">
        <v>0</v>
      </c>
      <c r="S40" s="2070">
        <v>0</v>
      </c>
      <c r="T40" s="2070">
        <v>0</v>
      </c>
      <c r="U40" s="2070">
        <v>0</v>
      </c>
      <c r="V40" s="2070">
        <v>0</v>
      </c>
      <c r="W40" s="2070">
        <v>0</v>
      </c>
      <c r="X40" s="2070">
        <v>0</v>
      </c>
    </row>
    <row r="41" spans="1:24" ht="11.25" customHeight="1">
      <c r="A41" s="2068" t="s">
        <v>4664</v>
      </c>
      <c r="B41" s="2069" t="s">
        <v>5790</v>
      </c>
      <c r="C41" s="2070">
        <v>1.533791917454858</v>
      </c>
      <c r="D41" s="2070">
        <v>1.0218400687876179</v>
      </c>
      <c r="E41" s="2070">
        <v>0.77798796216680988</v>
      </c>
      <c r="F41" s="2070">
        <v>0.5911435941530524</v>
      </c>
      <c r="G41" s="2070">
        <v>0.40644883920894243</v>
      </c>
      <c r="H41" s="2070">
        <v>2.9599312123817709</v>
      </c>
      <c r="I41" s="2070">
        <v>3.3208942390369729</v>
      </c>
      <c r="J41" s="2070">
        <v>0.95322441960447113</v>
      </c>
      <c r="K41" s="2070">
        <v>0.96483233018056747</v>
      </c>
      <c r="L41" s="2070">
        <v>0.23963886500429921</v>
      </c>
      <c r="M41" s="2070">
        <v>0.2132416165090284</v>
      </c>
      <c r="N41" s="2070">
        <v>0.37153912295786762</v>
      </c>
      <c r="O41" s="2070">
        <v>0.57532244196044702</v>
      </c>
      <c r="P41" s="2070">
        <v>0.63018056749785034</v>
      </c>
      <c r="Q41" s="2070">
        <v>0.12880481513327599</v>
      </c>
      <c r="R41" s="2070">
        <v>0.17102321582115221</v>
      </c>
      <c r="S41" s="2070">
        <v>0.11504729148753221</v>
      </c>
      <c r="T41" s="2070">
        <v>0.31556319862424753</v>
      </c>
      <c r="U41" s="2070">
        <v>0.25640584694754942</v>
      </c>
      <c r="V41" s="2070">
        <v>0.4786758383490971</v>
      </c>
      <c r="W41" s="2070">
        <v>0.22166809974204635</v>
      </c>
      <c r="X41" s="2070">
        <v>0.17411865864144446</v>
      </c>
    </row>
    <row r="42" spans="1:24" ht="11.25" customHeight="1">
      <c r="A42" s="2068" t="s">
        <v>4611</v>
      </c>
      <c r="B42" s="2069" t="s">
        <v>5791</v>
      </c>
      <c r="C42" s="2070">
        <v>0</v>
      </c>
      <c r="D42" s="2070">
        <v>0</v>
      </c>
      <c r="E42" s="2070">
        <v>0</v>
      </c>
      <c r="F42" s="2070">
        <v>0</v>
      </c>
      <c r="G42" s="2070">
        <v>0</v>
      </c>
      <c r="H42" s="2070">
        <v>0</v>
      </c>
      <c r="I42" s="2070">
        <v>0</v>
      </c>
      <c r="J42" s="2070">
        <v>0</v>
      </c>
      <c r="K42" s="2070">
        <v>0</v>
      </c>
      <c r="L42" s="2070">
        <v>0</v>
      </c>
      <c r="M42" s="2070">
        <v>0</v>
      </c>
      <c r="N42" s="2070">
        <v>0</v>
      </c>
      <c r="O42" s="2070">
        <v>0</v>
      </c>
      <c r="P42" s="2070">
        <v>0</v>
      </c>
      <c r="Q42" s="2070">
        <v>0</v>
      </c>
      <c r="R42" s="2070">
        <v>0</v>
      </c>
      <c r="S42" s="2070">
        <v>0</v>
      </c>
      <c r="T42" s="2070">
        <v>0</v>
      </c>
      <c r="U42" s="2070">
        <v>0</v>
      </c>
      <c r="V42" s="2070">
        <v>0</v>
      </c>
      <c r="W42" s="2070">
        <v>0</v>
      </c>
      <c r="X42" s="2070">
        <v>0</v>
      </c>
    </row>
    <row r="43" spans="1:24" ht="11.25" customHeight="1">
      <c r="A43" s="2068" t="s">
        <v>5792</v>
      </c>
      <c r="B43" s="2069" t="s">
        <v>5793</v>
      </c>
      <c r="C43" s="2070">
        <v>572.67446259673261</v>
      </c>
      <c r="D43" s="2070">
        <v>565.51057609630254</v>
      </c>
      <c r="E43" s="2070">
        <v>565.06655202063621</v>
      </c>
      <c r="F43" s="2070">
        <v>653.19294926913153</v>
      </c>
      <c r="G43" s="2070">
        <v>601.74316423043854</v>
      </c>
      <c r="H43" s="2070">
        <v>602.25339638865012</v>
      </c>
      <c r="I43" s="2070">
        <v>539.53611349956986</v>
      </c>
      <c r="J43" s="2070">
        <v>570.73129836629414</v>
      </c>
      <c r="K43" s="2070">
        <v>583.84144453998283</v>
      </c>
      <c r="L43" s="2070">
        <v>523.80576096302661</v>
      </c>
      <c r="M43" s="2070">
        <v>519.11616509028386</v>
      </c>
      <c r="N43" s="2070">
        <v>600.42631126397248</v>
      </c>
      <c r="O43" s="2070">
        <v>577.16646603611355</v>
      </c>
      <c r="P43" s="2070">
        <v>670.85150472914881</v>
      </c>
      <c r="Q43" s="2070">
        <v>665.81435941530526</v>
      </c>
      <c r="R43" s="2070">
        <v>655.23043852106616</v>
      </c>
      <c r="S43" s="2070">
        <v>667.69105760963021</v>
      </c>
      <c r="T43" s="2070">
        <v>676.73310404127244</v>
      </c>
      <c r="U43" s="2070">
        <v>689.92287188306113</v>
      </c>
      <c r="V43" s="2070">
        <v>663.43766122098009</v>
      </c>
      <c r="W43" s="2070">
        <v>613.16139294926904</v>
      </c>
      <c r="X43" s="2070">
        <v>699.93404987102315</v>
      </c>
    </row>
    <row r="44" spans="1:24" ht="11.25" customHeight="1">
      <c r="A44" s="2068" t="s">
        <v>4665</v>
      </c>
      <c r="B44" s="2069" t="s">
        <v>5794</v>
      </c>
      <c r="C44" s="2070">
        <v>303.28761822871877</v>
      </c>
      <c r="D44" s="2070">
        <v>282.80154772141009</v>
      </c>
      <c r="E44" s="2070">
        <v>271.96001719690457</v>
      </c>
      <c r="F44" s="2070">
        <v>225.56999140154772</v>
      </c>
      <c r="G44" s="2070">
        <v>204.64402407566638</v>
      </c>
      <c r="H44" s="2070">
        <v>197.09948409286329</v>
      </c>
      <c r="I44" s="2070">
        <v>221.11014617368875</v>
      </c>
      <c r="J44" s="2070">
        <v>200.99243336199481</v>
      </c>
      <c r="K44" s="2070">
        <v>165.98968185726568</v>
      </c>
      <c r="L44" s="2070">
        <v>124.74342218400689</v>
      </c>
      <c r="M44" s="2070">
        <v>135.29217540842649</v>
      </c>
      <c r="N44" s="2070">
        <v>137.54471195184868</v>
      </c>
      <c r="O44" s="2070">
        <v>141.66354256233879</v>
      </c>
      <c r="P44" s="2070">
        <v>108.27549441100601</v>
      </c>
      <c r="Q44" s="2070">
        <v>110.54041272570937</v>
      </c>
      <c r="R44" s="2070">
        <v>96.802149613069645</v>
      </c>
      <c r="S44" s="2070">
        <v>108.52536543422184</v>
      </c>
      <c r="T44" s="2070">
        <v>105.36629406706791</v>
      </c>
      <c r="U44" s="2070">
        <v>116.02742906276869</v>
      </c>
      <c r="V44" s="2070">
        <v>113.43224419604471</v>
      </c>
      <c r="W44" s="2070">
        <v>87.765520206362851</v>
      </c>
      <c r="X44" s="2070">
        <v>71.957781599312113</v>
      </c>
    </row>
    <row r="45" spans="1:24" ht="11.25" customHeight="1">
      <c r="A45" s="2068" t="s">
        <v>5795</v>
      </c>
      <c r="B45" s="2069" t="s">
        <v>5796</v>
      </c>
      <c r="C45" s="2070">
        <v>0</v>
      </c>
      <c r="D45" s="2070">
        <v>0</v>
      </c>
      <c r="E45" s="2070">
        <v>0</v>
      </c>
      <c r="F45" s="2070">
        <v>0</v>
      </c>
      <c r="G45" s="2070">
        <v>0</v>
      </c>
      <c r="H45" s="2070">
        <v>3.1814273430782461E-3</v>
      </c>
      <c r="I45" s="2070">
        <v>2.149613069647463E-3</v>
      </c>
      <c r="J45" s="2070">
        <v>2.149613069647463E-3</v>
      </c>
      <c r="K45" s="2070">
        <v>1.031814273430782E-3</v>
      </c>
      <c r="L45" s="2070">
        <v>1.031814273430782E-3</v>
      </c>
      <c r="M45" s="2070">
        <v>1.031814273430782E-3</v>
      </c>
      <c r="N45" s="2070">
        <v>1.031814273430782E-3</v>
      </c>
      <c r="O45" s="2070">
        <v>1.031814273430782E-3</v>
      </c>
      <c r="P45" s="2070">
        <v>1.031814273430782E-3</v>
      </c>
      <c r="Q45" s="2070">
        <v>1.031814273430782E-3</v>
      </c>
      <c r="R45" s="2070">
        <v>1.031814273430782E-3</v>
      </c>
      <c r="S45" s="2070">
        <v>0</v>
      </c>
      <c r="T45" s="2070">
        <v>0</v>
      </c>
      <c r="U45" s="2070">
        <v>2.3989681857265691E-2</v>
      </c>
      <c r="V45" s="2070">
        <v>2.3989681857265691E-2</v>
      </c>
      <c r="W45" s="2070">
        <v>0</v>
      </c>
      <c r="X45" s="2070">
        <v>7.497850386930352E-2</v>
      </c>
    </row>
    <row r="46" spans="1:24" ht="11.25" customHeight="1">
      <c r="A46" s="2068" t="s">
        <v>595</v>
      </c>
      <c r="B46" s="2069" t="s">
        <v>5797</v>
      </c>
      <c r="C46" s="2070">
        <v>0</v>
      </c>
      <c r="D46" s="2070">
        <v>0</v>
      </c>
      <c r="E46" s="2070">
        <v>0</v>
      </c>
      <c r="F46" s="2070">
        <v>0</v>
      </c>
      <c r="G46" s="2070">
        <v>0</v>
      </c>
      <c r="H46" s="2070">
        <v>0</v>
      </c>
      <c r="I46" s="2070">
        <v>0</v>
      </c>
      <c r="J46" s="2070">
        <v>0</v>
      </c>
      <c r="K46" s="2070">
        <v>0</v>
      </c>
      <c r="L46" s="2070">
        <v>0</v>
      </c>
      <c r="M46" s="2070">
        <v>0</v>
      </c>
      <c r="N46" s="2070">
        <v>0</v>
      </c>
      <c r="O46" s="2070">
        <v>0</v>
      </c>
      <c r="P46" s="2070">
        <v>0</v>
      </c>
      <c r="Q46" s="2070">
        <v>0</v>
      </c>
      <c r="R46" s="2070">
        <v>0</v>
      </c>
      <c r="S46" s="2070">
        <v>0</v>
      </c>
      <c r="T46" s="2070">
        <v>0</v>
      </c>
      <c r="U46" s="2070">
        <v>0</v>
      </c>
      <c r="V46" s="2070">
        <v>0</v>
      </c>
      <c r="W46" s="2070">
        <v>0</v>
      </c>
      <c r="X46" s="2070">
        <v>0</v>
      </c>
    </row>
    <row r="47" spans="1:24" ht="11.25" customHeight="1">
      <c r="A47" s="2068" t="s">
        <v>4614</v>
      </c>
      <c r="B47" s="2069" t="s">
        <v>5798</v>
      </c>
      <c r="C47" s="2070">
        <v>0</v>
      </c>
      <c r="D47" s="2070">
        <v>0</v>
      </c>
      <c r="E47" s="2070">
        <v>0</v>
      </c>
      <c r="F47" s="2070">
        <v>0</v>
      </c>
      <c r="G47" s="2070">
        <v>0</v>
      </c>
      <c r="H47" s="2070">
        <v>0</v>
      </c>
      <c r="I47" s="2070">
        <v>0</v>
      </c>
      <c r="J47" s="2070">
        <v>0</v>
      </c>
      <c r="K47" s="2070">
        <v>0</v>
      </c>
      <c r="L47" s="2070">
        <v>0</v>
      </c>
      <c r="M47" s="2070">
        <v>0</v>
      </c>
      <c r="N47" s="2070">
        <v>0</v>
      </c>
      <c r="O47" s="2070">
        <v>0</v>
      </c>
      <c r="P47" s="2070">
        <v>0</v>
      </c>
      <c r="Q47" s="2070">
        <v>0</v>
      </c>
      <c r="R47" s="2070">
        <v>0</v>
      </c>
      <c r="S47" s="2070">
        <v>0</v>
      </c>
      <c r="T47" s="2070">
        <v>0</v>
      </c>
      <c r="U47" s="2070">
        <v>0</v>
      </c>
      <c r="V47" s="2070">
        <v>0</v>
      </c>
      <c r="W47" s="2070">
        <v>0</v>
      </c>
      <c r="X47" s="2070">
        <v>0</v>
      </c>
    </row>
    <row r="48" spans="1:24" ht="11.25" customHeight="1">
      <c r="A48" s="2068" t="s">
        <v>4667</v>
      </c>
      <c r="B48" s="2069" t="s">
        <v>5799</v>
      </c>
      <c r="C48" s="2070">
        <v>0</v>
      </c>
      <c r="D48" s="2070">
        <v>0</v>
      </c>
      <c r="E48" s="2070">
        <v>0</v>
      </c>
      <c r="F48" s="2070">
        <v>1.5003439380911441</v>
      </c>
      <c r="G48" s="2070">
        <v>2.2505588993981078</v>
      </c>
      <c r="H48" s="2070">
        <v>3.750988822012038</v>
      </c>
      <c r="I48" s="2070">
        <v>3.0007738607050731</v>
      </c>
      <c r="J48" s="2070">
        <v>3.0007738607050731</v>
      </c>
      <c r="K48" s="2070">
        <v>26.154170249355115</v>
      </c>
      <c r="L48" s="2070">
        <v>2.2873602751504722</v>
      </c>
      <c r="M48" s="2070">
        <v>2.2505588993981078</v>
      </c>
      <c r="N48" s="2070">
        <v>4.5011177987962174</v>
      </c>
      <c r="O48" s="2070">
        <v>4.5011177987962174</v>
      </c>
      <c r="P48" s="2070">
        <v>5.251332760103181</v>
      </c>
      <c r="Q48" s="2070">
        <v>5.2578675838349094</v>
      </c>
      <c r="R48" s="2070">
        <v>4.5858125537403263</v>
      </c>
      <c r="S48" s="2070">
        <v>5.3501289767841786</v>
      </c>
      <c r="T48" s="2070">
        <v>4.5858125537403263</v>
      </c>
      <c r="U48" s="2070">
        <v>4.5858125537403263</v>
      </c>
      <c r="V48" s="2070">
        <v>6.114445399828031</v>
      </c>
      <c r="W48" s="2070">
        <v>5.3501289767841786</v>
      </c>
      <c r="X48" s="2070">
        <v>6.114445399828031</v>
      </c>
    </row>
    <row r="49" spans="1:24" ht="11.25" customHeight="1">
      <c r="A49" s="2068" t="s">
        <v>4666</v>
      </c>
      <c r="B49" s="2069" t="s">
        <v>5800</v>
      </c>
      <c r="C49" s="2070">
        <v>0</v>
      </c>
      <c r="D49" s="2070">
        <v>0</v>
      </c>
      <c r="E49" s="2070">
        <v>0</v>
      </c>
      <c r="F49" s="2070">
        <v>0</v>
      </c>
      <c r="G49" s="2070">
        <v>0</v>
      </c>
      <c r="H49" s="2070">
        <v>0</v>
      </c>
      <c r="I49" s="2070">
        <v>0</v>
      </c>
      <c r="J49" s="2070">
        <v>0</v>
      </c>
      <c r="K49" s="2070">
        <v>0</v>
      </c>
      <c r="L49" s="2070">
        <v>0</v>
      </c>
      <c r="M49" s="2070">
        <v>0</v>
      </c>
      <c r="N49" s="2070">
        <v>0</v>
      </c>
      <c r="O49" s="2070">
        <v>0</v>
      </c>
      <c r="P49" s="2070">
        <v>0</v>
      </c>
      <c r="Q49" s="2070">
        <v>0</v>
      </c>
      <c r="R49" s="2070">
        <v>0</v>
      </c>
      <c r="S49" s="2070">
        <v>0</v>
      </c>
      <c r="T49" s="2070">
        <v>0</v>
      </c>
      <c r="U49" s="2070">
        <v>0</v>
      </c>
      <c r="V49" s="2070">
        <v>0</v>
      </c>
      <c r="W49" s="2070">
        <v>0</v>
      </c>
      <c r="X49" s="2070">
        <v>0</v>
      </c>
    </row>
    <row r="50" spans="1:24" ht="11.25" customHeight="1">
      <c r="A50" s="2068" t="s">
        <v>4668</v>
      </c>
      <c r="B50" s="2069" t="s">
        <v>5801</v>
      </c>
      <c r="C50" s="2070">
        <v>0</v>
      </c>
      <c r="D50" s="2070">
        <v>0</v>
      </c>
      <c r="E50" s="2070">
        <v>0</v>
      </c>
      <c r="F50" s="2070">
        <v>6.7147893379191741</v>
      </c>
      <c r="G50" s="2070">
        <v>8.6332760103181414</v>
      </c>
      <c r="H50" s="2070">
        <v>9.5934651762682712</v>
      </c>
      <c r="I50" s="2070">
        <v>9.5934651762682712</v>
      </c>
      <c r="J50" s="2070">
        <v>8.6332760103181414</v>
      </c>
      <c r="K50" s="2070">
        <v>8.6332760103181414</v>
      </c>
      <c r="L50" s="2070">
        <v>8.6332760103181414</v>
      </c>
      <c r="M50" s="2070">
        <v>3.5698194325021495</v>
      </c>
      <c r="N50" s="2070">
        <v>3.5955288048151339</v>
      </c>
      <c r="O50" s="2070">
        <v>1.6996560619088563</v>
      </c>
      <c r="P50" s="2070">
        <v>0.9592433361994841</v>
      </c>
      <c r="Q50" s="2070">
        <v>1.7078245915735166</v>
      </c>
      <c r="R50" s="2070">
        <v>1.6971625107480652</v>
      </c>
      <c r="S50" s="2070">
        <v>1.7248495270851247</v>
      </c>
      <c r="T50" s="2070">
        <v>6.6409286328460873</v>
      </c>
      <c r="U50" s="2070">
        <v>3.0106620808254512</v>
      </c>
      <c r="V50" s="2070">
        <v>1.0929492691315563</v>
      </c>
      <c r="W50" s="2070">
        <v>1.0977644024075666</v>
      </c>
      <c r="X50" s="2070">
        <v>2.2137575236457434</v>
      </c>
    </row>
    <row r="51" spans="1:24" ht="11.25" customHeight="1">
      <c r="A51" s="2071" t="s">
        <v>3875</v>
      </c>
      <c r="B51" s="2072" t="s">
        <v>5802</v>
      </c>
      <c r="C51" s="2073">
        <v>630.09449699054176</v>
      </c>
      <c r="D51" s="2073">
        <v>608.93198624247623</v>
      </c>
      <c r="E51" s="2073">
        <v>646.83662940670672</v>
      </c>
      <c r="F51" s="2073">
        <v>629.19337919174541</v>
      </c>
      <c r="G51" s="2073">
        <v>646.66208082545131</v>
      </c>
      <c r="H51" s="2073">
        <v>738.84411006018888</v>
      </c>
      <c r="I51" s="2073">
        <v>553.21711092003432</v>
      </c>
      <c r="J51" s="2073">
        <v>622.80954428202915</v>
      </c>
      <c r="K51" s="2073">
        <v>656.84402407566608</v>
      </c>
      <c r="L51" s="2073">
        <v>538.66182287188303</v>
      </c>
      <c r="M51" s="2073">
        <v>612.34471195184869</v>
      </c>
      <c r="N51" s="2073">
        <v>706.55631986242474</v>
      </c>
      <c r="O51" s="2073">
        <v>690.5938950988824</v>
      </c>
      <c r="P51" s="2073">
        <v>837.84987102321588</v>
      </c>
      <c r="Q51" s="2073">
        <v>752.66999140154792</v>
      </c>
      <c r="R51" s="2073">
        <v>664.80352536543421</v>
      </c>
      <c r="S51" s="2073">
        <v>709.11659501289751</v>
      </c>
      <c r="T51" s="2073">
        <v>720.84565778159913</v>
      </c>
      <c r="U51" s="2073">
        <v>759.5862424763543</v>
      </c>
      <c r="V51" s="2073">
        <v>704.87042132416161</v>
      </c>
      <c r="W51" s="2073">
        <v>719.08056749785055</v>
      </c>
      <c r="X51" s="2073">
        <v>729.90834049871012</v>
      </c>
    </row>
    <row r="52" spans="1:24" ht="11.25" customHeight="1">
      <c r="A52" s="2071" t="s">
        <v>5803</v>
      </c>
      <c r="B52" s="2072" t="s">
        <v>5804</v>
      </c>
      <c r="C52" s="2073">
        <v>2.6010926353534827</v>
      </c>
      <c r="D52" s="2073">
        <v>3.5657844983479952</v>
      </c>
      <c r="E52" s="2073">
        <v>5.1712597792184543</v>
      </c>
      <c r="F52" s="2073">
        <v>5.2926315436370057</v>
      </c>
      <c r="G52" s="2073">
        <v>5.888621785677028</v>
      </c>
      <c r="H52" s="2073">
        <v>41.441342639063691</v>
      </c>
      <c r="I52" s="2073">
        <v>39.864432915828878</v>
      </c>
      <c r="J52" s="2073">
        <v>28.608542700739836</v>
      </c>
      <c r="K52" s="2073">
        <v>42.212816644384731</v>
      </c>
      <c r="L52" s="2073">
        <v>57.16357357656134</v>
      </c>
      <c r="M52" s="2073">
        <v>65.201503262536434</v>
      </c>
      <c r="N52" s="2073">
        <v>52.754656991986977</v>
      </c>
      <c r="O52" s="2073">
        <v>48.503743185220756</v>
      </c>
      <c r="P52" s="2073">
        <v>40.481983317733324</v>
      </c>
      <c r="Q52" s="2073">
        <v>43.616485869006233</v>
      </c>
      <c r="R52" s="2073">
        <v>85.782062056342653</v>
      </c>
      <c r="S52" s="2073">
        <v>77.927604688312044</v>
      </c>
      <c r="T52" s="2073">
        <v>74.641444753266157</v>
      </c>
      <c r="U52" s="2073">
        <v>71.600049563757025</v>
      </c>
      <c r="V52" s="2073">
        <v>64.904964415903109</v>
      </c>
      <c r="W52" s="2073">
        <v>77.922350713607187</v>
      </c>
      <c r="X52" s="2073">
        <v>87.750768375983341</v>
      </c>
    </row>
    <row r="53" spans="1:24" ht="11.25" customHeight="1">
      <c r="A53" s="2074" t="s">
        <v>3973</v>
      </c>
      <c r="B53" s="2069" t="s">
        <v>5805</v>
      </c>
      <c r="C53" s="2070">
        <v>0</v>
      </c>
      <c r="D53" s="2070">
        <v>0</v>
      </c>
      <c r="E53" s="2070">
        <v>0</v>
      </c>
      <c r="F53" s="2070">
        <v>0</v>
      </c>
      <c r="G53" s="2070">
        <v>0</v>
      </c>
      <c r="H53" s="2070">
        <v>0</v>
      </c>
      <c r="I53" s="2070">
        <v>0</v>
      </c>
      <c r="J53" s="2070">
        <v>0</v>
      </c>
      <c r="K53" s="2070">
        <v>0</v>
      </c>
      <c r="L53" s="2070">
        <v>0</v>
      </c>
      <c r="M53" s="2070">
        <v>0</v>
      </c>
      <c r="N53" s="2070">
        <v>0</v>
      </c>
      <c r="O53" s="2070">
        <v>0</v>
      </c>
      <c r="P53" s="2070">
        <v>0</v>
      </c>
      <c r="Q53" s="2070">
        <v>0</v>
      </c>
      <c r="R53" s="2070">
        <v>0</v>
      </c>
      <c r="S53" s="2070">
        <v>0</v>
      </c>
      <c r="T53" s="2070">
        <v>0</v>
      </c>
      <c r="U53" s="2070">
        <v>0</v>
      </c>
      <c r="V53" s="2070">
        <v>0</v>
      </c>
      <c r="W53" s="2070">
        <v>0</v>
      </c>
      <c r="X53" s="2070">
        <v>0</v>
      </c>
    </row>
    <row r="54" spans="1:24" ht="11.25" customHeight="1">
      <c r="A54" s="2074" t="s">
        <v>5806</v>
      </c>
      <c r="B54" s="2069" t="s">
        <v>5807</v>
      </c>
      <c r="C54" s="2070">
        <v>0</v>
      </c>
      <c r="D54" s="2070">
        <v>0</v>
      </c>
      <c r="E54" s="2070">
        <v>0</v>
      </c>
      <c r="F54" s="2070">
        <v>0</v>
      </c>
      <c r="G54" s="2070">
        <v>0</v>
      </c>
      <c r="H54" s="2070">
        <v>0</v>
      </c>
      <c r="I54" s="2070">
        <v>0</v>
      </c>
      <c r="J54" s="2070">
        <v>0</v>
      </c>
      <c r="K54" s="2070">
        <v>0</v>
      </c>
      <c r="L54" s="2070">
        <v>0</v>
      </c>
      <c r="M54" s="2070">
        <v>0</v>
      </c>
      <c r="N54" s="2070">
        <v>0</v>
      </c>
      <c r="O54" s="2070">
        <v>0</v>
      </c>
      <c r="P54" s="2070">
        <v>0</v>
      </c>
      <c r="Q54" s="2070">
        <v>0</v>
      </c>
      <c r="R54" s="2070">
        <v>0</v>
      </c>
      <c r="S54" s="2070">
        <v>0</v>
      </c>
      <c r="T54" s="2070">
        <v>0</v>
      </c>
      <c r="U54" s="2070">
        <v>0</v>
      </c>
      <c r="V54" s="2070">
        <v>0</v>
      </c>
      <c r="W54" s="2070">
        <v>0</v>
      </c>
      <c r="X54" s="2070">
        <v>0</v>
      </c>
    </row>
    <row r="55" spans="1:24" ht="11.25" customHeight="1">
      <c r="A55" s="2074" t="s">
        <v>3965</v>
      </c>
      <c r="B55" s="2069" t="s">
        <v>5808</v>
      </c>
      <c r="C55" s="2070">
        <v>0</v>
      </c>
      <c r="D55" s="2070">
        <v>0</v>
      </c>
      <c r="E55" s="2070">
        <v>0</v>
      </c>
      <c r="F55" s="2070">
        <v>0</v>
      </c>
      <c r="G55" s="2070">
        <v>0</v>
      </c>
      <c r="H55" s="2070">
        <v>0</v>
      </c>
      <c r="I55" s="2070">
        <v>0</v>
      </c>
      <c r="J55" s="2070">
        <v>0</v>
      </c>
      <c r="K55" s="2070">
        <v>0</v>
      </c>
      <c r="L55" s="2070">
        <v>0</v>
      </c>
      <c r="M55" s="2070">
        <v>0</v>
      </c>
      <c r="N55" s="2070">
        <v>0</v>
      </c>
      <c r="O55" s="2070">
        <v>0</v>
      </c>
      <c r="P55" s="2070">
        <v>0</v>
      </c>
      <c r="Q55" s="2070">
        <v>0</v>
      </c>
      <c r="R55" s="2070">
        <v>0</v>
      </c>
      <c r="S55" s="2070">
        <v>0</v>
      </c>
      <c r="T55" s="2070">
        <v>0</v>
      </c>
      <c r="U55" s="2070">
        <v>0</v>
      </c>
      <c r="V55" s="2070">
        <v>0</v>
      </c>
      <c r="W55" s="2070">
        <v>0</v>
      </c>
      <c r="X55" s="2070">
        <v>0</v>
      </c>
    </row>
    <row r="56" spans="1:24" ht="11.25" customHeight="1">
      <c r="A56" s="2074" t="s">
        <v>5636</v>
      </c>
      <c r="B56" s="2069" t="s">
        <v>5809</v>
      </c>
      <c r="C56" s="2070">
        <v>0</v>
      </c>
      <c r="D56" s="2070">
        <v>0</v>
      </c>
      <c r="E56" s="2070">
        <v>0</v>
      </c>
      <c r="F56" s="2070">
        <v>0</v>
      </c>
      <c r="G56" s="2070">
        <v>0</v>
      </c>
      <c r="H56" s="2070">
        <v>0</v>
      </c>
      <c r="I56" s="2070">
        <v>0</v>
      </c>
      <c r="J56" s="2070">
        <v>0</v>
      </c>
      <c r="K56" s="2070">
        <v>0</v>
      </c>
      <c r="L56" s="2070">
        <v>0</v>
      </c>
      <c r="M56" s="2070">
        <v>0</v>
      </c>
      <c r="N56" s="2070">
        <v>0</v>
      </c>
      <c r="O56" s="2070">
        <v>0</v>
      </c>
      <c r="P56" s="2070">
        <v>0</v>
      </c>
      <c r="Q56" s="2070">
        <v>0</v>
      </c>
      <c r="R56" s="2070">
        <v>0</v>
      </c>
      <c r="S56" s="2070">
        <v>0</v>
      </c>
      <c r="T56" s="2070">
        <v>0</v>
      </c>
      <c r="U56" s="2070">
        <v>0</v>
      </c>
      <c r="V56" s="2070">
        <v>0</v>
      </c>
      <c r="W56" s="2070">
        <v>0</v>
      </c>
      <c r="X56" s="2070">
        <v>0</v>
      </c>
    </row>
    <row r="57" spans="1:24" ht="11.25" customHeight="1">
      <c r="A57" s="2074" t="s">
        <v>4617</v>
      </c>
      <c r="B57" s="2069" t="s">
        <v>5810</v>
      </c>
      <c r="C57" s="2070">
        <v>0</v>
      </c>
      <c r="D57" s="2070">
        <v>0</v>
      </c>
      <c r="E57" s="2070">
        <v>0</v>
      </c>
      <c r="F57" s="2070">
        <v>0</v>
      </c>
      <c r="G57" s="2070">
        <v>0</v>
      </c>
      <c r="H57" s="2070">
        <v>0</v>
      </c>
      <c r="I57" s="2070">
        <v>1.6337059329320719E-3</v>
      </c>
      <c r="J57" s="2070">
        <v>1.6337059329320719E-3</v>
      </c>
      <c r="K57" s="2070">
        <v>1.6337059329320719E-3</v>
      </c>
      <c r="L57" s="2070">
        <v>2.0636285468615648E-3</v>
      </c>
      <c r="M57" s="2070">
        <v>3.9552880481513323E-3</v>
      </c>
      <c r="N57" s="2070">
        <v>1.659501289767842E-2</v>
      </c>
      <c r="O57" s="2070">
        <v>2.7858985382631121E-2</v>
      </c>
      <c r="P57" s="2070">
        <v>2.8460877042132411E-2</v>
      </c>
      <c r="Q57" s="2070">
        <v>2.9062768701633709E-2</v>
      </c>
      <c r="R57" s="2070">
        <v>2.957867583834909E-2</v>
      </c>
      <c r="S57" s="2070">
        <v>2.957867583834909E-2</v>
      </c>
      <c r="T57" s="2070">
        <v>3.026655202063628E-2</v>
      </c>
      <c r="U57" s="2070">
        <v>3.026655202063628E-2</v>
      </c>
      <c r="V57" s="2070">
        <v>3.026655202063628E-2</v>
      </c>
      <c r="W57" s="2070">
        <v>3.026655202063628E-2</v>
      </c>
      <c r="X57" s="2070">
        <v>3.026655202063628E-2</v>
      </c>
    </row>
    <row r="58" spans="1:24" ht="11.25" customHeight="1">
      <c r="A58" s="2074" t="s">
        <v>3971</v>
      </c>
      <c r="B58" s="2069" t="s">
        <v>5811</v>
      </c>
      <c r="C58" s="2070">
        <v>0</v>
      </c>
      <c r="D58" s="2070">
        <v>0</v>
      </c>
      <c r="E58" s="2070">
        <v>0</v>
      </c>
      <c r="F58" s="2070">
        <v>0</v>
      </c>
      <c r="G58" s="2070">
        <v>0</v>
      </c>
      <c r="H58" s="2070">
        <v>0</v>
      </c>
      <c r="I58" s="2070">
        <v>0</v>
      </c>
      <c r="J58" s="2070">
        <v>0</v>
      </c>
      <c r="K58" s="2070">
        <v>0</v>
      </c>
      <c r="L58" s="2070">
        <v>0</v>
      </c>
      <c r="M58" s="2070">
        <v>0</v>
      </c>
      <c r="N58" s="2070">
        <v>0</v>
      </c>
      <c r="O58" s="2070">
        <v>0</v>
      </c>
      <c r="P58" s="2070">
        <v>0</v>
      </c>
      <c r="Q58" s="2070">
        <v>0</v>
      </c>
      <c r="R58" s="2070">
        <v>0</v>
      </c>
      <c r="S58" s="2070">
        <v>0</v>
      </c>
      <c r="T58" s="2070">
        <v>0</v>
      </c>
      <c r="U58" s="2070">
        <v>0</v>
      </c>
      <c r="V58" s="2070">
        <v>0</v>
      </c>
      <c r="W58" s="2070">
        <v>0</v>
      </c>
      <c r="X58" s="2070">
        <v>0</v>
      </c>
    </row>
    <row r="59" spans="1:24" ht="11.25" customHeight="1">
      <c r="A59" s="2074" t="s">
        <v>4669</v>
      </c>
      <c r="B59" s="2069" t="s">
        <v>5812</v>
      </c>
      <c r="C59" s="2070">
        <v>1.8391229578675838</v>
      </c>
      <c r="D59" s="2070">
        <v>2.6751504729148747</v>
      </c>
      <c r="E59" s="2070">
        <v>4.2752364574376598</v>
      </c>
      <c r="F59" s="2070">
        <v>3.6543422184006871</v>
      </c>
      <c r="G59" s="2070">
        <v>3.9887360275150474</v>
      </c>
      <c r="H59" s="2070">
        <v>39.391745485812557</v>
      </c>
      <c r="I59" s="2070">
        <v>36.376526225279449</v>
      </c>
      <c r="J59" s="2070">
        <v>23.834135855546009</v>
      </c>
      <c r="K59" s="2070">
        <v>37.749011177987946</v>
      </c>
      <c r="L59" s="2070">
        <v>48.804729148753225</v>
      </c>
      <c r="M59" s="2070">
        <v>57.63568357695614</v>
      </c>
      <c r="N59" s="2070">
        <v>46.118658641444533</v>
      </c>
      <c r="O59" s="2070">
        <v>42.386242476354269</v>
      </c>
      <c r="P59" s="2070">
        <v>30.376096302665516</v>
      </c>
      <c r="Q59" s="2070">
        <v>29.636973344797934</v>
      </c>
      <c r="R59" s="2070">
        <v>63.938263112639724</v>
      </c>
      <c r="S59" s="2070">
        <v>40.008598452278584</v>
      </c>
      <c r="T59" s="2070">
        <v>33.927429062768709</v>
      </c>
      <c r="U59" s="2070">
        <v>22.038865004299218</v>
      </c>
      <c r="V59" s="2070">
        <v>17.996818572656917</v>
      </c>
      <c r="W59" s="2070">
        <v>28.972055030094584</v>
      </c>
      <c r="X59" s="2070">
        <v>36.505417024935511</v>
      </c>
    </row>
    <row r="60" spans="1:24" ht="11.25" customHeight="1">
      <c r="A60" s="2074" t="s">
        <v>4618</v>
      </c>
      <c r="B60" s="2069" t="s">
        <v>5813</v>
      </c>
      <c r="C60" s="2070">
        <v>0</v>
      </c>
      <c r="D60" s="2070">
        <v>0</v>
      </c>
      <c r="E60" s="2070">
        <v>0</v>
      </c>
      <c r="F60" s="2070">
        <v>0</v>
      </c>
      <c r="G60" s="2070">
        <v>0</v>
      </c>
      <c r="H60" s="2070">
        <v>0</v>
      </c>
      <c r="I60" s="2070">
        <v>0</v>
      </c>
      <c r="J60" s="2070">
        <v>0</v>
      </c>
      <c r="K60" s="2070">
        <v>0</v>
      </c>
      <c r="L60" s="2070">
        <v>0</v>
      </c>
      <c r="M60" s="2070">
        <v>0</v>
      </c>
      <c r="N60" s="2070">
        <v>0</v>
      </c>
      <c r="O60" s="2070">
        <v>0</v>
      </c>
      <c r="P60" s="2070">
        <v>0</v>
      </c>
      <c r="Q60" s="2070">
        <v>0</v>
      </c>
      <c r="R60" s="2070">
        <v>0</v>
      </c>
      <c r="S60" s="2070">
        <v>0</v>
      </c>
      <c r="T60" s="2070">
        <v>0</v>
      </c>
      <c r="U60" s="2070">
        <v>0</v>
      </c>
      <c r="V60" s="2070">
        <v>0</v>
      </c>
      <c r="W60" s="2070">
        <v>0</v>
      </c>
      <c r="X60" s="2070">
        <v>0</v>
      </c>
    </row>
    <row r="61" spans="1:24" ht="11.25" customHeight="1">
      <c r="A61" s="2074" t="s">
        <v>4670</v>
      </c>
      <c r="B61" s="2069" t="s">
        <v>5814</v>
      </c>
      <c r="C61" s="2070">
        <v>0</v>
      </c>
      <c r="D61" s="2070">
        <v>0</v>
      </c>
      <c r="E61" s="2070">
        <v>0</v>
      </c>
      <c r="F61" s="2070">
        <v>0</v>
      </c>
      <c r="G61" s="2070">
        <v>0</v>
      </c>
      <c r="H61" s="2070">
        <v>0</v>
      </c>
      <c r="I61" s="2070">
        <v>0</v>
      </c>
      <c r="J61" s="2070">
        <v>0</v>
      </c>
      <c r="K61" s="2070">
        <v>5.159071367153912E-4</v>
      </c>
      <c r="L61" s="2070">
        <v>8.5984522785898529E-4</v>
      </c>
      <c r="M61" s="2070">
        <v>7.1367153912295783E-3</v>
      </c>
      <c r="N61" s="2070">
        <v>0.34909716251074807</v>
      </c>
      <c r="O61" s="2070">
        <v>0.49320722269991402</v>
      </c>
      <c r="P61" s="2070">
        <v>2.6446259673258807</v>
      </c>
      <c r="Q61" s="2070">
        <v>2.1006018916595011</v>
      </c>
      <c r="R61" s="2070">
        <v>6.8612209802235604</v>
      </c>
      <c r="S61" s="2070">
        <v>9.7109200343938085</v>
      </c>
      <c r="T61" s="2070">
        <v>7.9610490111779875</v>
      </c>
      <c r="U61" s="2070">
        <v>9.6547721410146163</v>
      </c>
      <c r="V61" s="2070">
        <v>9.4529664660361128</v>
      </c>
      <c r="W61" s="2070">
        <v>8.3699914015477201</v>
      </c>
      <c r="X61" s="2070">
        <v>5.0803955288048144</v>
      </c>
    </row>
    <row r="62" spans="1:24" ht="11.25" customHeight="1">
      <c r="A62" s="2074" t="s">
        <v>5815</v>
      </c>
      <c r="B62" s="2069" t="s">
        <v>5816</v>
      </c>
      <c r="C62" s="2070">
        <v>0</v>
      </c>
      <c r="D62" s="2070">
        <v>0</v>
      </c>
      <c r="E62" s="2070">
        <v>0</v>
      </c>
      <c r="F62" s="2070">
        <v>0.81203783319002576</v>
      </c>
      <c r="G62" s="2070">
        <v>1.050902837489252</v>
      </c>
      <c r="H62" s="2070">
        <v>0.9792777300085983</v>
      </c>
      <c r="I62" s="2070">
        <v>1.3613929492691312</v>
      </c>
      <c r="J62" s="2070">
        <v>1.791315563198624</v>
      </c>
      <c r="K62" s="2070">
        <v>1.958555460017197</v>
      </c>
      <c r="L62" s="2070">
        <v>1.863026655202064</v>
      </c>
      <c r="M62" s="2070">
        <v>2.2690455717970761</v>
      </c>
      <c r="N62" s="2070">
        <v>1.863026655202064</v>
      </c>
      <c r="O62" s="2070">
        <v>0</v>
      </c>
      <c r="P62" s="2070">
        <v>0</v>
      </c>
      <c r="Q62" s="2070">
        <v>0</v>
      </c>
      <c r="R62" s="2070">
        <v>0</v>
      </c>
      <c r="S62" s="2070">
        <v>0</v>
      </c>
      <c r="T62" s="2070">
        <v>0</v>
      </c>
      <c r="U62" s="2070">
        <v>8.5124677558039551E-3</v>
      </c>
      <c r="V62" s="2070">
        <v>7.222699914015477E-3</v>
      </c>
      <c r="W62" s="2070">
        <v>0</v>
      </c>
      <c r="X62" s="2070">
        <v>0</v>
      </c>
    </row>
    <row r="63" spans="1:24" ht="11.25" customHeight="1">
      <c r="A63" s="2074" t="s">
        <v>5817</v>
      </c>
      <c r="B63" s="2069" t="s">
        <v>5818</v>
      </c>
      <c r="C63" s="2070">
        <v>0</v>
      </c>
      <c r="D63" s="2070">
        <v>0</v>
      </c>
      <c r="E63" s="2070">
        <v>0</v>
      </c>
      <c r="F63" s="2070">
        <v>0</v>
      </c>
      <c r="G63" s="2070">
        <v>0</v>
      </c>
      <c r="H63" s="2070">
        <v>0</v>
      </c>
      <c r="I63" s="2070">
        <v>0</v>
      </c>
      <c r="J63" s="2070">
        <v>0</v>
      </c>
      <c r="K63" s="2070">
        <v>0</v>
      </c>
      <c r="L63" s="2070">
        <v>0</v>
      </c>
      <c r="M63" s="2070">
        <v>0</v>
      </c>
      <c r="N63" s="2070">
        <v>0</v>
      </c>
      <c r="O63" s="2070">
        <v>0</v>
      </c>
      <c r="P63" s="2070">
        <v>0</v>
      </c>
      <c r="Q63" s="2070">
        <v>0</v>
      </c>
      <c r="R63" s="2070">
        <v>0</v>
      </c>
      <c r="S63" s="2070">
        <v>0</v>
      </c>
      <c r="T63" s="2070">
        <v>0</v>
      </c>
      <c r="U63" s="2070">
        <v>0</v>
      </c>
      <c r="V63" s="2070">
        <v>0</v>
      </c>
      <c r="W63" s="2070">
        <v>0</v>
      </c>
      <c r="X63" s="2070">
        <v>0</v>
      </c>
    </row>
    <row r="64" spans="1:24" ht="11.25" customHeight="1">
      <c r="A64" s="2074" t="s">
        <v>5819</v>
      </c>
      <c r="B64" s="2069" t="s">
        <v>5820</v>
      </c>
      <c r="C64" s="2070">
        <v>0</v>
      </c>
      <c r="D64" s="2070">
        <v>0</v>
      </c>
      <c r="E64" s="2070">
        <v>0</v>
      </c>
      <c r="F64" s="2070">
        <v>0</v>
      </c>
      <c r="G64" s="2070">
        <v>0</v>
      </c>
      <c r="H64" s="2070">
        <v>0</v>
      </c>
      <c r="I64" s="2070">
        <v>0</v>
      </c>
      <c r="J64" s="2070">
        <v>0</v>
      </c>
      <c r="K64" s="2070">
        <v>0</v>
      </c>
      <c r="L64" s="2070">
        <v>0</v>
      </c>
      <c r="M64" s="2070">
        <v>0</v>
      </c>
      <c r="N64" s="2070">
        <v>0</v>
      </c>
      <c r="O64" s="2070">
        <v>0</v>
      </c>
      <c r="P64" s="2070">
        <v>0</v>
      </c>
      <c r="Q64" s="2070">
        <v>6.0189165950128975E-4</v>
      </c>
      <c r="R64" s="2070">
        <v>6.0189165950128975E-4</v>
      </c>
      <c r="S64" s="2070">
        <v>1.2897678417884779E-3</v>
      </c>
      <c r="T64" s="2070">
        <v>6.0189165950128975E-4</v>
      </c>
      <c r="U64" s="2070">
        <v>6.0189165950128975E-4</v>
      </c>
      <c r="V64" s="2070">
        <v>6.0189165950128975E-4</v>
      </c>
      <c r="W64" s="2070">
        <v>0</v>
      </c>
      <c r="X64" s="2070">
        <v>6.0189165950128975E-4</v>
      </c>
    </row>
    <row r="65" spans="1:24" ht="11.25" customHeight="1">
      <c r="A65" s="2074" t="s">
        <v>5821</v>
      </c>
      <c r="B65" s="2069" t="s">
        <v>5822</v>
      </c>
      <c r="C65" s="2070">
        <v>0</v>
      </c>
      <c r="D65" s="2070">
        <v>0</v>
      </c>
      <c r="E65" s="2070">
        <v>0</v>
      </c>
      <c r="F65" s="2070">
        <v>0</v>
      </c>
      <c r="G65" s="2070">
        <v>0</v>
      </c>
      <c r="H65" s="2070">
        <v>1.805674978503869E-3</v>
      </c>
      <c r="I65" s="2070">
        <v>1.16079105760963E-2</v>
      </c>
      <c r="J65" s="2070">
        <v>5.4170249355116077E-3</v>
      </c>
      <c r="K65" s="2070">
        <v>1.074806534823732E-2</v>
      </c>
      <c r="L65" s="2070">
        <v>1.788478073946689E-2</v>
      </c>
      <c r="M65" s="2070">
        <v>3.2244196044711952E-2</v>
      </c>
      <c r="N65" s="2070">
        <v>3.4909716251074807E-2</v>
      </c>
      <c r="O65" s="2070">
        <v>5.5546001719690451E-2</v>
      </c>
      <c r="P65" s="2070">
        <v>4.2132416165090281E-2</v>
      </c>
      <c r="Q65" s="2070">
        <v>0.234737747205503</v>
      </c>
      <c r="R65" s="2070">
        <v>0.53396388650042992</v>
      </c>
      <c r="S65" s="2070">
        <v>2.346517626827171</v>
      </c>
      <c r="T65" s="2070">
        <v>5.0218400687876183</v>
      </c>
      <c r="U65" s="2070">
        <v>5.0218400687876183</v>
      </c>
      <c r="V65" s="2070">
        <v>3.0131556319862418</v>
      </c>
      <c r="W65" s="2070">
        <v>4.0174548581255367</v>
      </c>
      <c r="X65" s="2070">
        <v>4.0174548581255367</v>
      </c>
    </row>
    <row r="66" spans="1:24" ht="11.25" customHeight="1">
      <c r="A66" s="2074" t="s">
        <v>5823</v>
      </c>
      <c r="B66" s="2069" t="s">
        <v>5824</v>
      </c>
      <c r="C66" s="2070">
        <v>0</v>
      </c>
      <c r="D66" s="2070">
        <v>0</v>
      </c>
      <c r="E66" s="2070">
        <v>0</v>
      </c>
      <c r="F66" s="2070">
        <v>0</v>
      </c>
      <c r="G66" s="2070">
        <v>0</v>
      </c>
      <c r="H66" s="2070">
        <v>5.5202063628546863E-2</v>
      </c>
      <c r="I66" s="2070">
        <v>0.25081685296646611</v>
      </c>
      <c r="J66" s="2070">
        <v>1.2209802235597591</v>
      </c>
      <c r="K66" s="2070">
        <v>1.4427343078245916</v>
      </c>
      <c r="L66" s="2070">
        <v>2.2986242476354253</v>
      </c>
      <c r="M66" s="2070">
        <v>2.3926913155631979</v>
      </c>
      <c r="N66" s="2070">
        <v>2.3765262252794495</v>
      </c>
      <c r="O66" s="2070">
        <v>4.2656061908856397</v>
      </c>
      <c r="P66" s="2070">
        <v>5.8862424763542549</v>
      </c>
      <c r="Q66" s="2070">
        <v>7.2298366294067051</v>
      </c>
      <c r="R66" s="2070">
        <v>9.4852966466036097</v>
      </c>
      <c r="S66" s="2070">
        <v>20.187618228718826</v>
      </c>
      <c r="T66" s="2070">
        <v>21.363714531384346</v>
      </c>
      <c r="U66" s="2070">
        <v>27.840068787618229</v>
      </c>
      <c r="V66" s="2070">
        <v>27.013929492691311</v>
      </c>
      <c r="W66" s="2070">
        <v>27.271883061049007</v>
      </c>
      <c r="X66" s="2070">
        <v>32.984952708512466</v>
      </c>
    </row>
    <row r="67" spans="1:24" ht="11.25" customHeight="1">
      <c r="A67" s="2074" t="s">
        <v>5825</v>
      </c>
      <c r="B67" s="2069" t="s">
        <v>5826</v>
      </c>
      <c r="C67" s="2070">
        <v>0</v>
      </c>
      <c r="D67" s="2070">
        <v>0</v>
      </c>
      <c r="E67" s="2070">
        <v>0</v>
      </c>
      <c r="F67" s="2070">
        <v>0</v>
      </c>
      <c r="G67" s="2070">
        <v>0</v>
      </c>
      <c r="H67" s="2070">
        <v>0</v>
      </c>
      <c r="I67" s="2070">
        <v>0</v>
      </c>
      <c r="J67" s="2070">
        <v>0</v>
      </c>
      <c r="K67" s="2070">
        <v>0</v>
      </c>
      <c r="L67" s="2070">
        <v>0</v>
      </c>
      <c r="M67" s="2070">
        <v>0</v>
      </c>
      <c r="N67" s="2070">
        <v>0</v>
      </c>
      <c r="O67" s="2070">
        <v>0</v>
      </c>
      <c r="P67" s="2070">
        <v>0</v>
      </c>
      <c r="Q67" s="2070">
        <v>0</v>
      </c>
      <c r="R67" s="2070">
        <v>0</v>
      </c>
      <c r="S67" s="2070">
        <v>0</v>
      </c>
      <c r="T67" s="2070">
        <v>0</v>
      </c>
      <c r="U67" s="2070">
        <v>0</v>
      </c>
      <c r="V67" s="2070">
        <v>0</v>
      </c>
      <c r="W67" s="2070">
        <v>0</v>
      </c>
      <c r="X67" s="2070">
        <v>0</v>
      </c>
    </row>
    <row r="68" spans="1:24" ht="11.25" customHeight="1">
      <c r="A68" s="2074" t="s">
        <v>5827</v>
      </c>
      <c r="B68" s="2069" t="s">
        <v>5828</v>
      </c>
      <c r="C68" s="2070">
        <v>0</v>
      </c>
      <c r="D68" s="2070">
        <v>0</v>
      </c>
      <c r="E68" s="2070">
        <v>0</v>
      </c>
      <c r="F68" s="2070">
        <v>0</v>
      </c>
      <c r="G68" s="2070">
        <v>0</v>
      </c>
      <c r="H68" s="2070">
        <v>0</v>
      </c>
      <c r="I68" s="2070">
        <v>0</v>
      </c>
      <c r="J68" s="2070">
        <v>0</v>
      </c>
      <c r="K68" s="2070">
        <v>0</v>
      </c>
      <c r="L68" s="2070">
        <v>0</v>
      </c>
      <c r="M68" s="2070">
        <v>0</v>
      </c>
      <c r="N68" s="2070">
        <v>0</v>
      </c>
      <c r="O68" s="2070">
        <v>0</v>
      </c>
      <c r="P68" s="2070">
        <v>0</v>
      </c>
      <c r="Q68" s="2070">
        <v>0</v>
      </c>
      <c r="R68" s="2070">
        <v>0</v>
      </c>
      <c r="S68" s="2070">
        <v>0</v>
      </c>
      <c r="T68" s="2070">
        <v>0</v>
      </c>
      <c r="U68" s="2070">
        <v>0</v>
      </c>
      <c r="V68" s="2070">
        <v>0</v>
      </c>
      <c r="W68" s="2070">
        <v>0</v>
      </c>
      <c r="X68" s="2070">
        <v>0</v>
      </c>
    </row>
    <row r="69" spans="1:24" ht="11.25" customHeight="1">
      <c r="A69" s="2074" t="s">
        <v>4619</v>
      </c>
      <c r="B69" s="2069" t="s">
        <v>5829</v>
      </c>
      <c r="C69" s="2070">
        <v>0</v>
      </c>
      <c r="D69" s="2070">
        <v>0</v>
      </c>
      <c r="E69" s="2070">
        <v>0</v>
      </c>
      <c r="F69" s="2070">
        <v>0</v>
      </c>
      <c r="G69" s="2070">
        <v>0</v>
      </c>
      <c r="H69" s="2070">
        <v>0</v>
      </c>
      <c r="I69" s="2070">
        <v>0.86861564918314704</v>
      </c>
      <c r="J69" s="2070">
        <v>0.8623387790197764</v>
      </c>
      <c r="K69" s="2070">
        <v>0</v>
      </c>
      <c r="L69" s="2070">
        <v>3.0951848667239901</v>
      </c>
      <c r="M69" s="2070">
        <v>1.6094582975064491</v>
      </c>
      <c r="N69" s="2070">
        <v>0.7181427343078246</v>
      </c>
      <c r="O69" s="2070">
        <v>0</v>
      </c>
      <c r="P69" s="2070">
        <v>0</v>
      </c>
      <c r="Q69" s="2070">
        <v>0</v>
      </c>
      <c r="R69" s="2070">
        <v>0</v>
      </c>
      <c r="S69" s="2070">
        <v>0.53387790197764395</v>
      </c>
      <c r="T69" s="2070">
        <v>0.55012897678417882</v>
      </c>
      <c r="U69" s="2070">
        <v>0.66663800515907135</v>
      </c>
      <c r="V69" s="2070">
        <v>0.64307824591573515</v>
      </c>
      <c r="W69" s="2070">
        <v>0.71539122957867585</v>
      </c>
      <c r="X69" s="2070">
        <v>0</v>
      </c>
    </row>
    <row r="70" spans="1:24" ht="11.25" customHeight="1">
      <c r="A70" s="2074" t="s">
        <v>5830</v>
      </c>
      <c r="B70" s="2069" t="s">
        <v>5831</v>
      </c>
      <c r="C70" s="2070">
        <v>0.76196967748589872</v>
      </c>
      <c r="D70" s="2070">
        <v>0.89063402543312042</v>
      </c>
      <c r="E70" s="2070">
        <v>0.89602332178079425</v>
      </c>
      <c r="F70" s="2070">
        <v>0.82625149204629278</v>
      </c>
      <c r="G70" s="2070">
        <v>0.84898292067272829</v>
      </c>
      <c r="H70" s="2070">
        <v>1.013311684635481</v>
      </c>
      <c r="I70" s="2070">
        <v>0.99383962262165415</v>
      </c>
      <c r="J70" s="2070">
        <v>0.89272154854722385</v>
      </c>
      <c r="K70" s="2070">
        <v>1.0496180201371097</v>
      </c>
      <c r="L70" s="2070">
        <v>1.0812004037324545</v>
      </c>
      <c r="M70" s="2070">
        <v>1.2512883012294689</v>
      </c>
      <c r="N70" s="2070">
        <v>1.277700844093606</v>
      </c>
      <c r="O70" s="2070">
        <v>1.275282308178608</v>
      </c>
      <c r="P70" s="2070">
        <v>1.5044252781804488</v>
      </c>
      <c r="Q70" s="2070">
        <v>4.3846715955754538</v>
      </c>
      <c r="R70" s="2070">
        <v>4.9331368628774701</v>
      </c>
      <c r="S70" s="2070">
        <v>5.1092040004358612</v>
      </c>
      <c r="T70" s="2070">
        <v>5.7864146586831664</v>
      </c>
      <c r="U70" s="2070">
        <v>6.3384846454423212</v>
      </c>
      <c r="V70" s="2070">
        <v>6.7469248630226293</v>
      </c>
      <c r="W70" s="2070">
        <v>8.5453085811910388</v>
      </c>
      <c r="X70" s="2070">
        <v>9.131679811924867</v>
      </c>
    </row>
    <row r="71" spans="1:24" ht="11.25" customHeight="1">
      <c r="A71" s="2071" t="s">
        <v>5832</v>
      </c>
      <c r="B71" s="2072" t="s">
        <v>5833</v>
      </c>
      <c r="C71" s="2073">
        <v>0.7404987102321583</v>
      </c>
      <c r="D71" s="2073">
        <v>0</v>
      </c>
      <c r="E71" s="2073">
        <v>1.9346517626827171</v>
      </c>
      <c r="F71" s="2073">
        <v>4.036543422184006</v>
      </c>
      <c r="G71" s="2073">
        <v>3.3199484092863285</v>
      </c>
      <c r="H71" s="2073">
        <v>1.1226139294926911</v>
      </c>
      <c r="I71" s="2073">
        <v>1.1464316423043852</v>
      </c>
      <c r="J71" s="2073">
        <v>1.4569217540842649</v>
      </c>
      <c r="K71" s="2073">
        <v>1.6002579535683581</v>
      </c>
      <c r="L71" s="2073">
        <v>1.5286328460877039</v>
      </c>
      <c r="M71" s="2073">
        <v>1.863026655202064</v>
      </c>
      <c r="N71" s="2073">
        <v>4.1974204643164219</v>
      </c>
      <c r="O71" s="2073">
        <v>4.1773000859845224</v>
      </c>
      <c r="P71" s="2073">
        <v>4.9261392949269123</v>
      </c>
      <c r="Q71" s="2073">
        <v>3.358383490971625</v>
      </c>
      <c r="R71" s="2073">
        <v>0</v>
      </c>
      <c r="S71" s="2073">
        <v>0</v>
      </c>
      <c r="T71" s="2073">
        <v>1.5855546001719689</v>
      </c>
      <c r="U71" s="2073">
        <v>1.6756663800515907</v>
      </c>
      <c r="V71" s="2073">
        <v>1.0736887360275151</v>
      </c>
      <c r="W71" s="2073">
        <v>1.006190885640585</v>
      </c>
      <c r="X71" s="2073">
        <v>1.1421324161650901</v>
      </c>
    </row>
    <row r="72" spans="1:24" ht="11.25" customHeight="1">
      <c r="A72" s="2074" t="s">
        <v>5834</v>
      </c>
      <c r="B72" s="2069" t="s">
        <v>5835</v>
      </c>
      <c r="C72" s="2070">
        <v>0.7404987102321583</v>
      </c>
      <c r="D72" s="2070">
        <v>0</v>
      </c>
      <c r="E72" s="2070">
        <v>1.9346517626827171</v>
      </c>
      <c r="F72" s="2070">
        <v>3.3677558039552875</v>
      </c>
      <c r="G72" s="2070">
        <v>2.4601031814273431</v>
      </c>
      <c r="H72" s="2070">
        <v>0.3343938091143594</v>
      </c>
      <c r="I72" s="2070">
        <v>0</v>
      </c>
      <c r="J72" s="2070">
        <v>0</v>
      </c>
      <c r="K72" s="2070">
        <v>0</v>
      </c>
      <c r="L72" s="2070">
        <v>0</v>
      </c>
      <c r="M72" s="2070">
        <v>0</v>
      </c>
      <c r="N72" s="2070">
        <v>2.668787618228718</v>
      </c>
      <c r="O72" s="2070">
        <v>4.1773000859845224</v>
      </c>
      <c r="P72" s="2070">
        <v>4.9261392949269123</v>
      </c>
      <c r="Q72" s="2070">
        <v>3.358383490971625</v>
      </c>
      <c r="R72" s="2070">
        <v>0</v>
      </c>
      <c r="S72" s="2070">
        <v>0</v>
      </c>
      <c r="T72" s="2070">
        <v>1.5855546001719689</v>
      </c>
      <c r="U72" s="2070">
        <v>1.6671539122957868</v>
      </c>
      <c r="V72" s="2070">
        <v>1.0664660361134997</v>
      </c>
      <c r="W72" s="2070">
        <v>1.006190885640585</v>
      </c>
      <c r="X72" s="2070">
        <v>1.1421324161650901</v>
      </c>
    </row>
    <row r="73" spans="1:24" ht="11.25" customHeight="1">
      <c r="A73" s="2074" t="s">
        <v>5836</v>
      </c>
      <c r="B73" s="2069" t="s">
        <v>5837</v>
      </c>
      <c r="C73" s="2070">
        <v>0</v>
      </c>
      <c r="D73" s="2070">
        <v>0</v>
      </c>
      <c r="E73" s="2070">
        <v>0</v>
      </c>
      <c r="F73" s="2070">
        <v>0.66878761822871879</v>
      </c>
      <c r="G73" s="2070">
        <v>0.85984522785898532</v>
      </c>
      <c r="H73" s="2070">
        <v>0.78822012037833178</v>
      </c>
      <c r="I73" s="2070">
        <v>1.1464316423043852</v>
      </c>
      <c r="J73" s="2070">
        <v>1.4569217540842649</v>
      </c>
      <c r="K73" s="2070">
        <v>1.6002579535683581</v>
      </c>
      <c r="L73" s="2070">
        <v>1.5286328460877039</v>
      </c>
      <c r="M73" s="2070">
        <v>1.863026655202064</v>
      </c>
      <c r="N73" s="2070">
        <v>1.5286328460877039</v>
      </c>
      <c r="O73" s="2070">
        <v>0</v>
      </c>
      <c r="P73" s="2070">
        <v>0</v>
      </c>
      <c r="Q73" s="2070">
        <v>0</v>
      </c>
      <c r="R73" s="2070">
        <v>0</v>
      </c>
      <c r="S73" s="2070">
        <v>0</v>
      </c>
      <c r="T73" s="2070">
        <v>0</v>
      </c>
      <c r="U73" s="2070">
        <v>8.5124677558039551E-3</v>
      </c>
      <c r="V73" s="2070">
        <v>7.222699914015477E-3</v>
      </c>
      <c r="W73" s="2070">
        <v>0</v>
      </c>
      <c r="X73" s="2070">
        <v>0</v>
      </c>
    </row>
    <row r="74" spans="1:24" ht="11.25" customHeight="1">
      <c r="A74" s="2071" t="s">
        <v>4616</v>
      </c>
      <c r="B74" s="2072" t="s">
        <v>5838</v>
      </c>
      <c r="C74" s="2073">
        <v>0</v>
      </c>
      <c r="D74" s="2073">
        <v>0</v>
      </c>
      <c r="E74" s="2073">
        <v>0</v>
      </c>
      <c r="F74" s="2073">
        <v>0</v>
      </c>
      <c r="G74" s="2073">
        <v>0</v>
      </c>
      <c r="H74" s="2073">
        <v>0</v>
      </c>
      <c r="I74" s="2073">
        <v>0</v>
      </c>
      <c r="J74" s="2073">
        <v>0</v>
      </c>
      <c r="K74" s="2073">
        <v>0</v>
      </c>
      <c r="L74" s="2073">
        <v>0</v>
      </c>
      <c r="M74" s="2073">
        <v>0</v>
      </c>
      <c r="N74" s="2073">
        <v>0</v>
      </c>
      <c r="O74" s="2073">
        <v>0</v>
      </c>
      <c r="P74" s="2073">
        <v>0</v>
      </c>
      <c r="Q74" s="2073">
        <v>0</v>
      </c>
      <c r="R74" s="2073">
        <v>0</v>
      </c>
      <c r="S74" s="2073">
        <v>0</v>
      </c>
      <c r="T74" s="2073">
        <v>0</v>
      </c>
      <c r="U74" s="2073">
        <v>0</v>
      </c>
      <c r="V74" s="2073">
        <v>0</v>
      </c>
      <c r="W74" s="2073">
        <v>0</v>
      </c>
      <c r="X74" s="2073">
        <v>0</v>
      </c>
    </row>
    <row r="75" spans="1:24" ht="11.25" customHeight="1">
      <c r="A75" s="2071" t="s">
        <v>4671</v>
      </c>
      <c r="B75" s="2072" t="s">
        <v>5839</v>
      </c>
      <c r="C75" s="2073">
        <v>124.96655202063629</v>
      </c>
      <c r="D75" s="2073">
        <v>116.58306104901118</v>
      </c>
      <c r="E75" s="2073">
        <v>89.975580395528809</v>
      </c>
      <c r="F75" s="2073">
        <v>94.60894239036972</v>
      </c>
      <c r="G75" s="2073">
        <v>127.66509028374892</v>
      </c>
      <c r="H75" s="2073">
        <v>101.87411865864144</v>
      </c>
      <c r="I75" s="2073">
        <v>115.71392949269131</v>
      </c>
      <c r="J75" s="2073">
        <v>120.34849527085126</v>
      </c>
      <c r="K75" s="2073">
        <v>199.60395528804816</v>
      </c>
      <c r="L75" s="2073">
        <v>69.417454858125538</v>
      </c>
      <c r="M75" s="2073">
        <v>181.9101461736887</v>
      </c>
      <c r="N75" s="2073">
        <v>123.41693895098882</v>
      </c>
      <c r="O75" s="2073">
        <v>137.10791057609629</v>
      </c>
      <c r="P75" s="2073">
        <v>133.5639724849527</v>
      </c>
      <c r="Q75" s="2073">
        <v>92.428976784178843</v>
      </c>
      <c r="R75" s="2073">
        <v>129.05460017196904</v>
      </c>
      <c r="S75" s="2073">
        <v>129.07128116938952</v>
      </c>
      <c r="T75" s="2073">
        <v>127.92037833190025</v>
      </c>
      <c r="U75" s="2073">
        <v>141.7534823731728</v>
      </c>
      <c r="V75" s="2073">
        <v>147.35374032674116</v>
      </c>
      <c r="W75" s="2073">
        <v>146.66758383490969</v>
      </c>
      <c r="X75" s="2073">
        <v>160.40068787618227</v>
      </c>
    </row>
    <row r="76" spans="1:24" ht="11.25" customHeight="1">
      <c r="A76" s="2075" t="s">
        <v>4282</v>
      </c>
      <c r="B76" s="2076" t="s">
        <v>5840</v>
      </c>
      <c r="C76" s="2077">
        <v>1320.212209802236</v>
      </c>
      <c r="D76" s="2077">
        <v>1347.5004299226139</v>
      </c>
      <c r="E76" s="2077">
        <v>1347.6668959587273</v>
      </c>
      <c r="F76" s="2077">
        <v>1297.2261392949267</v>
      </c>
      <c r="G76" s="2077">
        <v>1342.8294926913152</v>
      </c>
      <c r="H76" s="2077">
        <v>1335.7999140154768</v>
      </c>
      <c r="I76" s="2077">
        <v>1377.8243336199489</v>
      </c>
      <c r="J76" s="2077">
        <v>1377.2989681857264</v>
      </c>
      <c r="K76" s="2077">
        <v>1373.1729148753222</v>
      </c>
      <c r="L76" s="2077">
        <v>1211.2702493551158</v>
      </c>
      <c r="M76" s="2077">
        <v>1462.7969045571797</v>
      </c>
      <c r="N76" s="2077">
        <v>1517.0829750644884</v>
      </c>
      <c r="O76" s="2077">
        <v>1499.9865864144449</v>
      </c>
      <c r="P76" s="2077">
        <v>1600.0626827171106</v>
      </c>
      <c r="Q76" s="2077">
        <v>1611.4969902476926</v>
      </c>
      <c r="R76" s="2077">
        <v>1602.6793637145315</v>
      </c>
      <c r="S76" s="2077">
        <v>1665.8475494411005</v>
      </c>
      <c r="T76" s="2077">
        <v>1687.7469475494411</v>
      </c>
      <c r="U76" s="2077">
        <v>1680.5022355975918</v>
      </c>
      <c r="V76" s="2077">
        <v>1681.4010318142732</v>
      </c>
      <c r="W76" s="2077">
        <v>1676.0341358555456</v>
      </c>
      <c r="X76" s="2077">
        <v>1671.3165950128978</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7C0EF-04DC-432F-A1A1-6F2BCFFF86AF}">
  <sheetPr>
    <pageSetUpPr fitToPage="1"/>
  </sheetPr>
  <dimension ref="A1:X76"/>
  <sheetViews>
    <sheetView showGridLines="0" workbookViewId="0">
      <pane xSplit="2" ySplit="2" topLeftCell="D3" activePane="bottomRight" state="frozen"/>
      <selection pane="topRight"/>
      <selection pane="bottomLeft"/>
      <selection pane="bottomRight"/>
    </sheetView>
  </sheetViews>
  <sheetFormatPr baseColWidth="10" defaultColWidth="9.1640625" defaultRowHeight="11.25" customHeight="1"/>
  <cols>
    <col min="1" max="1" width="40.6640625" style="2059" bestFit="1" customWidth="1"/>
    <col min="2" max="2" width="16.1640625" style="2059" bestFit="1" customWidth="1"/>
    <col min="3" max="24" width="9.6640625" style="2059" customWidth="1"/>
    <col min="25" max="16384" width="9.1640625" style="2059"/>
  </cols>
  <sheetData>
    <row r="1" spans="1:24" ht="11.25" customHeight="1">
      <c r="A1" s="2057" t="s">
        <v>438</v>
      </c>
      <c r="B1" s="2057" t="s">
        <v>5861</v>
      </c>
      <c r="C1" s="2058">
        <v>2000</v>
      </c>
      <c r="D1" s="2058">
        <v>2001</v>
      </c>
      <c r="E1" s="2058">
        <v>2002</v>
      </c>
      <c r="F1" s="2058">
        <v>2003</v>
      </c>
      <c r="G1" s="2058">
        <v>2004</v>
      </c>
      <c r="H1" s="2058">
        <v>2005</v>
      </c>
      <c r="I1" s="2058">
        <v>2006</v>
      </c>
      <c r="J1" s="2058">
        <v>2007</v>
      </c>
      <c r="K1" s="2058">
        <v>2008</v>
      </c>
      <c r="L1" s="2058">
        <v>2009</v>
      </c>
      <c r="M1" s="2058">
        <v>2010</v>
      </c>
      <c r="N1" s="2058">
        <v>2011</v>
      </c>
      <c r="O1" s="2058">
        <v>2012</v>
      </c>
      <c r="P1" s="2058">
        <v>2013</v>
      </c>
      <c r="Q1" s="2058">
        <v>2014</v>
      </c>
      <c r="R1" s="2058">
        <v>2015</v>
      </c>
      <c r="S1" s="2058">
        <v>2016</v>
      </c>
      <c r="T1" s="2058">
        <v>2017</v>
      </c>
      <c r="U1" s="2058">
        <v>2018</v>
      </c>
      <c r="V1" s="2058">
        <v>2019</v>
      </c>
      <c r="W1" s="2058">
        <v>2020</v>
      </c>
      <c r="X1" s="2058">
        <v>2021</v>
      </c>
    </row>
    <row r="2" spans="1:24" ht="11.25" customHeight="1">
      <c r="A2" s="2060" t="s">
        <v>1265</v>
      </c>
      <c r="B2" s="2060" t="s">
        <v>5738</v>
      </c>
      <c r="C2" s="2061">
        <v>6193.5031215450572</v>
      </c>
      <c r="D2" s="2061">
        <v>6365.7885016998343</v>
      </c>
      <c r="E2" s="2061">
        <v>6844.8642100409543</v>
      </c>
      <c r="F2" s="2061">
        <v>6086.6851376378499</v>
      </c>
      <c r="G2" s="2061">
        <v>6223.504507482925</v>
      </c>
      <c r="H2" s="2061">
        <v>6614.1989042206551</v>
      </c>
      <c r="I2" s="2061">
        <v>6717.0615204534915</v>
      </c>
      <c r="J2" s="2061">
        <v>6428.5952764514414</v>
      </c>
      <c r="K2" s="2061">
        <v>6602.8262214412653</v>
      </c>
      <c r="L2" s="2061">
        <v>6144.9369892741252</v>
      </c>
      <c r="M2" s="2061">
        <v>5904.1620680190608</v>
      </c>
      <c r="N2" s="2061">
        <v>6526.8586414778611</v>
      </c>
      <c r="O2" s="2061">
        <v>6936.221562022155</v>
      </c>
      <c r="P2" s="2061">
        <v>6885.5512433555277</v>
      </c>
      <c r="Q2" s="2061">
        <v>6700.1245323053608</v>
      </c>
      <c r="R2" s="2061">
        <v>6346.8112394144318</v>
      </c>
      <c r="S2" s="2061">
        <v>6503.3454517722057</v>
      </c>
      <c r="T2" s="2061">
        <v>6762.7285769320642</v>
      </c>
      <c r="U2" s="2061">
        <v>7047.3058207639879</v>
      </c>
      <c r="V2" s="2061">
        <v>7245.5114247077672</v>
      </c>
      <c r="W2" s="2061">
        <v>6628.6477180721176</v>
      </c>
      <c r="X2" s="2061">
        <v>7823.4860215874569</v>
      </c>
    </row>
    <row r="3" spans="1:24" ht="11.25" customHeight="1">
      <c r="A3" s="2062" t="s">
        <v>5739</v>
      </c>
      <c r="B3" s="2063" t="s">
        <v>5740</v>
      </c>
      <c r="C3" s="2064">
        <v>49.277558039552879</v>
      </c>
      <c r="D3" s="2064">
        <v>60.545657781599303</v>
      </c>
      <c r="E3" s="2064">
        <v>48.514789337919176</v>
      </c>
      <c r="F3" s="2064">
        <v>41.143508168529664</v>
      </c>
      <c r="G3" s="2064">
        <v>24.114101461736887</v>
      </c>
      <c r="H3" s="2064">
        <v>23.078245915735163</v>
      </c>
      <c r="I3" s="2064">
        <v>30.467325881341356</v>
      </c>
      <c r="J3" s="2064">
        <v>24.486586414445398</v>
      </c>
      <c r="K3" s="2064">
        <v>35.626741186586415</v>
      </c>
      <c r="L3" s="2064">
        <v>97.920292347377469</v>
      </c>
      <c r="M3" s="2064">
        <v>26.276096302665515</v>
      </c>
      <c r="N3" s="2064">
        <v>33.007824591573517</v>
      </c>
      <c r="O3" s="2064">
        <v>30.258727429062766</v>
      </c>
      <c r="P3" s="2064">
        <v>32.753482373172822</v>
      </c>
      <c r="Q3" s="2064">
        <v>20.580481513327598</v>
      </c>
      <c r="R3" s="2064">
        <v>25.814273430782457</v>
      </c>
      <c r="S3" s="2064">
        <v>29.820980223559758</v>
      </c>
      <c r="T3" s="2064">
        <v>40.291573516766981</v>
      </c>
      <c r="U3" s="2064">
        <v>43.505159071367153</v>
      </c>
      <c r="V3" s="2064">
        <v>35.276784178847805</v>
      </c>
      <c r="W3" s="2064">
        <v>35.323129836629406</v>
      </c>
      <c r="X3" s="2064">
        <v>42.601719690455717</v>
      </c>
    </row>
    <row r="4" spans="1:24" ht="11.25" customHeight="1">
      <c r="A4" s="2065" t="s">
        <v>5741</v>
      </c>
      <c r="B4" s="2066" t="s">
        <v>5742</v>
      </c>
      <c r="C4" s="2067">
        <v>26.214617368873601</v>
      </c>
      <c r="D4" s="2067">
        <v>38.690369733447966</v>
      </c>
      <c r="E4" s="2067">
        <v>29.9140154772141</v>
      </c>
      <c r="F4" s="2067">
        <v>18.612639724849526</v>
      </c>
      <c r="G4" s="2067">
        <v>13.033619948409283</v>
      </c>
      <c r="H4" s="2067">
        <v>13.461994840928629</v>
      </c>
      <c r="I4" s="2067">
        <v>11.378331900257953</v>
      </c>
      <c r="J4" s="2067">
        <v>8.7038693035253658</v>
      </c>
      <c r="K4" s="2067">
        <v>11.390025795356834</v>
      </c>
      <c r="L4" s="2067">
        <v>25.573258813413585</v>
      </c>
      <c r="M4" s="2067">
        <v>7.296560619088563</v>
      </c>
      <c r="N4" s="2067">
        <v>7.9546861564918316</v>
      </c>
      <c r="O4" s="2067">
        <v>6.7839208942390368</v>
      </c>
      <c r="P4" s="2067">
        <v>11.093637145313842</v>
      </c>
      <c r="Q4" s="2067">
        <v>3.8294067067927768</v>
      </c>
      <c r="R4" s="2067">
        <v>8.7501289767841772</v>
      </c>
      <c r="S4" s="2067">
        <v>14.121324161650904</v>
      </c>
      <c r="T4" s="2067">
        <v>14.936371453138438</v>
      </c>
      <c r="U4" s="2067">
        <v>19.010060189165952</v>
      </c>
      <c r="V4" s="2067">
        <v>13.079965606190889</v>
      </c>
      <c r="W4" s="2067">
        <v>10.620034393809112</v>
      </c>
      <c r="X4" s="2067">
        <v>9.3665520206362842</v>
      </c>
    </row>
    <row r="5" spans="1:24" ht="11.25" customHeight="1">
      <c r="A5" s="2068" t="s">
        <v>4613</v>
      </c>
      <c r="B5" s="2069" t="s">
        <v>5743</v>
      </c>
      <c r="C5" s="2070">
        <v>0</v>
      </c>
      <c r="D5" s="2070">
        <v>0</v>
      </c>
      <c r="E5" s="2070">
        <v>0</v>
      </c>
      <c r="F5" s="2070">
        <v>0</v>
      </c>
      <c r="G5" s="2070">
        <v>0.65262252794496989</v>
      </c>
      <c r="H5" s="2070">
        <v>0.65348237317282887</v>
      </c>
      <c r="I5" s="2070">
        <v>0.68710232158211515</v>
      </c>
      <c r="J5" s="2070">
        <v>1.182631126397248</v>
      </c>
      <c r="K5" s="2070">
        <v>1.356233877901978</v>
      </c>
      <c r="L5" s="2070">
        <v>0.6544282029234737</v>
      </c>
      <c r="M5" s="2070">
        <v>0.67506448839208932</v>
      </c>
      <c r="N5" s="2070">
        <v>0.68374892519346508</v>
      </c>
      <c r="O5" s="2070">
        <v>0.66517626827171106</v>
      </c>
      <c r="P5" s="2070">
        <v>0.7</v>
      </c>
      <c r="Q5" s="2070">
        <v>0</v>
      </c>
      <c r="R5" s="2070">
        <v>0</v>
      </c>
      <c r="S5" s="2070">
        <v>0</v>
      </c>
      <c r="T5" s="2070">
        <v>5.6749785038693037E-3</v>
      </c>
      <c r="U5" s="2070">
        <v>0.54849527085124683</v>
      </c>
      <c r="V5" s="2070">
        <v>8.5984522785898538E-3</v>
      </c>
      <c r="W5" s="2070">
        <v>4.2132416165090282E-3</v>
      </c>
      <c r="X5" s="2070">
        <v>0</v>
      </c>
    </row>
    <row r="6" spans="1:24" ht="11.25" customHeight="1">
      <c r="A6" s="2068" t="s">
        <v>4647</v>
      </c>
      <c r="B6" s="2069" t="s">
        <v>5744</v>
      </c>
      <c r="C6" s="2070">
        <v>0</v>
      </c>
      <c r="D6" s="2070">
        <v>0</v>
      </c>
      <c r="E6" s="2070">
        <v>0</v>
      </c>
      <c r="F6" s="2070">
        <v>0</v>
      </c>
      <c r="G6" s="2070">
        <v>0</v>
      </c>
      <c r="H6" s="2070">
        <v>0</v>
      </c>
      <c r="I6" s="2070">
        <v>0</v>
      </c>
      <c r="J6" s="2070">
        <v>0</v>
      </c>
      <c r="K6" s="2070">
        <v>0</v>
      </c>
      <c r="L6" s="2070">
        <v>0</v>
      </c>
      <c r="M6" s="2070">
        <v>0</v>
      </c>
      <c r="N6" s="2070">
        <v>0</v>
      </c>
      <c r="O6" s="2070">
        <v>0</v>
      </c>
      <c r="P6" s="2070">
        <v>0</v>
      </c>
      <c r="Q6" s="2070">
        <v>0</v>
      </c>
      <c r="R6" s="2070">
        <v>0</v>
      </c>
      <c r="S6" s="2070">
        <v>0</v>
      </c>
      <c r="T6" s="2070">
        <v>0</v>
      </c>
      <c r="U6" s="2070">
        <v>0</v>
      </c>
      <c r="V6" s="2070">
        <v>0</v>
      </c>
      <c r="W6" s="2070">
        <v>0</v>
      </c>
      <c r="X6" s="2070">
        <v>2.5451418744625968E-2</v>
      </c>
    </row>
    <row r="7" spans="1:24" ht="11.25" customHeight="1">
      <c r="A7" s="2068" t="s">
        <v>4648</v>
      </c>
      <c r="B7" s="2069" t="s">
        <v>5745</v>
      </c>
      <c r="C7" s="2070">
        <v>26.214617368873601</v>
      </c>
      <c r="D7" s="2070">
        <v>38.690369733447966</v>
      </c>
      <c r="E7" s="2070">
        <v>29.9140154772141</v>
      </c>
      <c r="F7" s="2070">
        <v>18.612639724849526</v>
      </c>
      <c r="G7" s="2070">
        <v>12.380997420464313</v>
      </c>
      <c r="H7" s="2070">
        <v>12.808512467755801</v>
      </c>
      <c r="I7" s="2070">
        <v>10.691229578675838</v>
      </c>
      <c r="J7" s="2070">
        <v>7.5212381771281169</v>
      </c>
      <c r="K7" s="2070">
        <v>10.033791917454856</v>
      </c>
      <c r="L7" s="2070">
        <v>24.918830610490112</v>
      </c>
      <c r="M7" s="2070">
        <v>6.6214961306964737</v>
      </c>
      <c r="N7" s="2070">
        <v>7.2709372312983662</v>
      </c>
      <c r="O7" s="2070">
        <v>6.1187446259673255</v>
      </c>
      <c r="P7" s="2070">
        <v>10.393637145313843</v>
      </c>
      <c r="Q7" s="2070">
        <v>3.8294067067927768</v>
      </c>
      <c r="R7" s="2070">
        <v>8.7501289767841772</v>
      </c>
      <c r="S7" s="2070">
        <v>14.121324161650904</v>
      </c>
      <c r="T7" s="2070">
        <v>14.930696474634569</v>
      </c>
      <c r="U7" s="2070">
        <v>18.461564918314703</v>
      </c>
      <c r="V7" s="2070">
        <v>13.071367153912298</v>
      </c>
      <c r="W7" s="2070">
        <v>10.615821152192604</v>
      </c>
      <c r="X7" s="2070">
        <v>9.3411006018916591</v>
      </c>
    </row>
    <row r="8" spans="1:24" ht="11.25" customHeight="1">
      <c r="A8" s="2065" t="s">
        <v>5746</v>
      </c>
      <c r="B8" s="2066" t="s">
        <v>5747</v>
      </c>
      <c r="C8" s="2067">
        <v>13.070507308684439</v>
      </c>
      <c r="D8" s="2067">
        <v>9.6963026655202054</v>
      </c>
      <c r="E8" s="2067">
        <v>9.5605331040412729</v>
      </c>
      <c r="F8" s="2067">
        <v>15.305417024935513</v>
      </c>
      <c r="G8" s="2067">
        <v>5.1017196904557176</v>
      </c>
      <c r="H8" s="2067">
        <v>4.4212381771281164</v>
      </c>
      <c r="I8" s="2067">
        <v>5.5819432502149606</v>
      </c>
      <c r="J8" s="2067">
        <v>3.8715391229578673</v>
      </c>
      <c r="K8" s="2067">
        <v>10.520550300945828</v>
      </c>
      <c r="L8" s="2067">
        <v>13.578245915735167</v>
      </c>
      <c r="M8" s="2067">
        <v>7.8847807394668941</v>
      </c>
      <c r="N8" s="2067">
        <v>13.458125537403266</v>
      </c>
      <c r="O8" s="2067">
        <v>11.830954428202922</v>
      </c>
      <c r="P8" s="2067">
        <v>13.006276870163369</v>
      </c>
      <c r="Q8" s="2067">
        <v>9.2991401547721395</v>
      </c>
      <c r="R8" s="2067">
        <v>10.057265692175408</v>
      </c>
      <c r="S8" s="2067">
        <v>8.9258813413585543</v>
      </c>
      <c r="T8" s="2067">
        <v>15.749957007738603</v>
      </c>
      <c r="U8" s="2067">
        <v>16.05279449699054</v>
      </c>
      <c r="V8" s="2067">
        <v>14.104127257093719</v>
      </c>
      <c r="W8" s="2067">
        <v>16.553998280309546</v>
      </c>
      <c r="X8" s="2067">
        <v>22.585726569217542</v>
      </c>
    </row>
    <row r="9" spans="1:24" ht="11.25" customHeight="1">
      <c r="A9" s="2068" t="s">
        <v>4649</v>
      </c>
      <c r="B9" s="2069" t="s">
        <v>5748</v>
      </c>
      <c r="C9" s="2070">
        <v>0</v>
      </c>
      <c r="D9" s="2070">
        <v>0.54230438521066204</v>
      </c>
      <c r="E9" s="2070">
        <v>0.54230438521066204</v>
      </c>
      <c r="F9" s="2070">
        <v>0.54230438521066204</v>
      </c>
      <c r="G9" s="2070">
        <v>0.54230438521066204</v>
      </c>
      <c r="H9" s="2070">
        <v>0.54230438521066204</v>
      </c>
      <c r="I9" s="2070">
        <v>0.54230438521066204</v>
      </c>
      <c r="J9" s="2070">
        <v>0.54230438521066204</v>
      </c>
      <c r="K9" s="2070">
        <v>0.54230438521066204</v>
      </c>
      <c r="L9" s="2070">
        <v>0</v>
      </c>
      <c r="M9" s="2070">
        <v>3.8203783319002569</v>
      </c>
      <c r="N9" s="2070">
        <v>2.92201203783319</v>
      </c>
      <c r="O9" s="2070">
        <v>2.414703353396388</v>
      </c>
      <c r="P9" s="2070">
        <v>0.50464316423043842</v>
      </c>
      <c r="Q9" s="2070">
        <v>4.0591573516766966</v>
      </c>
      <c r="R9" s="2070">
        <v>4.0875322441960442</v>
      </c>
      <c r="S9" s="2070">
        <v>1.0431642304385209</v>
      </c>
      <c r="T9" s="2070">
        <v>0</v>
      </c>
      <c r="U9" s="2070">
        <v>0</v>
      </c>
      <c r="V9" s="2070">
        <v>0</v>
      </c>
      <c r="W9" s="2070">
        <v>0</v>
      </c>
      <c r="X9" s="2070">
        <v>0</v>
      </c>
    </row>
    <row r="10" spans="1:24" ht="11.25" customHeight="1">
      <c r="A10" s="2068" t="s">
        <v>4290</v>
      </c>
      <c r="B10" s="2069" t="s">
        <v>5749</v>
      </c>
      <c r="C10" s="2070">
        <v>13.070507308684439</v>
      </c>
      <c r="D10" s="2070">
        <v>9.1539982803095441</v>
      </c>
      <c r="E10" s="2070">
        <v>9.0182287188306116</v>
      </c>
      <c r="F10" s="2070">
        <v>14.763112639724852</v>
      </c>
      <c r="G10" s="2070">
        <v>4.5594153052450554</v>
      </c>
      <c r="H10" s="2070">
        <v>3.8789337919174547</v>
      </c>
      <c r="I10" s="2070">
        <v>5.0396388650042985</v>
      </c>
      <c r="J10" s="2070">
        <v>3.3292347377472051</v>
      </c>
      <c r="K10" s="2070">
        <v>9.9782459157351671</v>
      </c>
      <c r="L10" s="2070">
        <v>13.578245915735167</v>
      </c>
      <c r="M10" s="2070">
        <v>4.0644024075666376</v>
      </c>
      <c r="N10" s="2070">
        <v>10.536113499570076</v>
      </c>
      <c r="O10" s="2070">
        <v>9.4162510748065333</v>
      </c>
      <c r="P10" s="2070">
        <v>12.50163370593293</v>
      </c>
      <c r="Q10" s="2070">
        <v>5.2399828030954421</v>
      </c>
      <c r="R10" s="2070">
        <v>5.9697334479793636</v>
      </c>
      <c r="S10" s="2070">
        <v>7.8827171109200336</v>
      </c>
      <c r="T10" s="2070">
        <v>15.749957007738603</v>
      </c>
      <c r="U10" s="2070">
        <v>16.05279449699054</v>
      </c>
      <c r="V10" s="2070">
        <v>14.104127257093719</v>
      </c>
      <c r="W10" s="2070">
        <v>16.553998280309546</v>
      </c>
      <c r="X10" s="2070">
        <v>22.585726569217542</v>
      </c>
    </row>
    <row r="11" spans="1:24" ht="11.25" customHeight="1">
      <c r="A11" s="2065" t="s">
        <v>5750</v>
      </c>
      <c r="B11" s="2066" t="s">
        <v>5751</v>
      </c>
      <c r="C11" s="2067">
        <v>9.9924333619948413</v>
      </c>
      <c r="D11" s="2067">
        <v>12.158985382631126</v>
      </c>
      <c r="E11" s="2067">
        <v>9.0402407566638008</v>
      </c>
      <c r="F11" s="2067">
        <v>7.2254514187446262</v>
      </c>
      <c r="G11" s="2067">
        <v>5.9787618228718831</v>
      </c>
      <c r="H11" s="2067">
        <v>5.195012897678418</v>
      </c>
      <c r="I11" s="2067">
        <v>13.507050730868443</v>
      </c>
      <c r="J11" s="2067">
        <v>11.911177987962166</v>
      </c>
      <c r="K11" s="2067">
        <v>13.716165090283749</v>
      </c>
      <c r="L11" s="2067">
        <v>58.768787618228714</v>
      </c>
      <c r="M11" s="2067">
        <v>11.094754944110059</v>
      </c>
      <c r="N11" s="2067">
        <v>11.595012897678419</v>
      </c>
      <c r="O11" s="2067">
        <v>11.643852106620807</v>
      </c>
      <c r="P11" s="2067">
        <v>8.6535683576956135</v>
      </c>
      <c r="Q11" s="2067">
        <v>7.4519346517626817</v>
      </c>
      <c r="R11" s="2067">
        <v>7.0068787618228718</v>
      </c>
      <c r="S11" s="2067">
        <v>6.7737747205503007</v>
      </c>
      <c r="T11" s="2067">
        <v>9.605245055889938</v>
      </c>
      <c r="U11" s="2067">
        <v>8.4423043852106616</v>
      </c>
      <c r="V11" s="2067">
        <v>8.0926913155631972</v>
      </c>
      <c r="W11" s="2067">
        <v>8.1490971625107473</v>
      </c>
      <c r="X11" s="2067">
        <v>10.649441100601891</v>
      </c>
    </row>
    <row r="12" spans="1:24" ht="11.25" customHeight="1">
      <c r="A12" s="2068" t="s">
        <v>4650</v>
      </c>
      <c r="B12" s="2069" t="s">
        <v>5752</v>
      </c>
      <c r="C12" s="2070">
        <v>0</v>
      </c>
      <c r="D12" s="2070">
        <v>0</v>
      </c>
      <c r="E12" s="2070">
        <v>0</v>
      </c>
      <c r="F12" s="2070">
        <v>0</v>
      </c>
      <c r="G12" s="2070">
        <v>0</v>
      </c>
      <c r="H12" s="2070">
        <v>0</v>
      </c>
      <c r="I12" s="2070">
        <v>0</v>
      </c>
      <c r="J12" s="2070">
        <v>0</v>
      </c>
      <c r="K12" s="2070">
        <v>0</v>
      </c>
      <c r="L12" s="2070">
        <v>0</v>
      </c>
      <c r="M12" s="2070">
        <v>0</v>
      </c>
      <c r="N12" s="2070">
        <v>0</v>
      </c>
      <c r="O12" s="2070">
        <v>0</v>
      </c>
      <c r="P12" s="2070">
        <v>0</v>
      </c>
      <c r="Q12" s="2070">
        <v>0</v>
      </c>
      <c r="R12" s="2070">
        <v>0</v>
      </c>
      <c r="S12" s="2070">
        <v>0</v>
      </c>
      <c r="T12" s="2070">
        <v>2.6225279449699049E-2</v>
      </c>
      <c r="U12" s="2070">
        <v>4.6517626827171109E-2</v>
      </c>
      <c r="V12" s="2070">
        <v>3.112639724849527E-2</v>
      </c>
      <c r="W12" s="2070">
        <v>3.2588134135855547E-2</v>
      </c>
      <c r="X12" s="2070">
        <v>3.9294926913155628E-2</v>
      </c>
    </row>
    <row r="13" spans="1:24" ht="11.25" customHeight="1">
      <c r="A13" s="2068" t="s">
        <v>4651</v>
      </c>
      <c r="B13" s="2069" t="s">
        <v>5753</v>
      </c>
      <c r="C13" s="2070">
        <v>4.442390369733447</v>
      </c>
      <c r="D13" s="2070">
        <v>7.6831470335339631</v>
      </c>
      <c r="E13" s="2070">
        <v>5.3029234737747206</v>
      </c>
      <c r="F13" s="2070">
        <v>3.3104901117798802</v>
      </c>
      <c r="G13" s="2070">
        <v>2.0110060189165946</v>
      </c>
      <c r="H13" s="2070">
        <v>1.3114359415305246</v>
      </c>
      <c r="I13" s="2070">
        <v>9.3792777300085977</v>
      </c>
      <c r="J13" s="2070">
        <v>8.0913155631986236</v>
      </c>
      <c r="K13" s="2070">
        <v>8.708340498710232</v>
      </c>
      <c r="L13" s="2070">
        <v>7.9473774720550301</v>
      </c>
      <c r="M13" s="2070">
        <v>3.9108340498710228</v>
      </c>
      <c r="N13" s="2070">
        <v>2.5603611349957012</v>
      </c>
      <c r="O13" s="2070">
        <v>4.0197764402407561</v>
      </c>
      <c r="P13" s="2070">
        <v>4.015047291487531</v>
      </c>
      <c r="Q13" s="2070">
        <v>2.6999999999999993</v>
      </c>
      <c r="R13" s="2070">
        <v>2.6656061908856401</v>
      </c>
      <c r="S13" s="2070">
        <v>1.3097162510748059</v>
      </c>
      <c r="T13" s="2070">
        <v>1.3823731728288904</v>
      </c>
      <c r="U13" s="2070">
        <v>1.2236457437661219</v>
      </c>
      <c r="V13" s="2070">
        <v>1.0184006878761827</v>
      </c>
      <c r="W13" s="2070">
        <v>1.019776440240757</v>
      </c>
      <c r="X13" s="2070">
        <v>2.7633705932932071</v>
      </c>
    </row>
    <row r="14" spans="1:24" ht="11.25" customHeight="1">
      <c r="A14" s="2068" t="s">
        <v>4652</v>
      </c>
      <c r="B14" s="2069" t="s">
        <v>5754</v>
      </c>
      <c r="C14" s="2070">
        <v>0</v>
      </c>
      <c r="D14" s="2070">
        <v>0</v>
      </c>
      <c r="E14" s="2070">
        <v>0</v>
      </c>
      <c r="F14" s="2070">
        <v>0</v>
      </c>
      <c r="G14" s="2070">
        <v>0</v>
      </c>
      <c r="H14" s="2070">
        <v>0</v>
      </c>
      <c r="I14" s="2070">
        <v>0</v>
      </c>
      <c r="J14" s="2070">
        <v>0</v>
      </c>
      <c r="K14" s="2070">
        <v>0</v>
      </c>
      <c r="L14" s="2070">
        <v>0</v>
      </c>
      <c r="M14" s="2070">
        <v>0</v>
      </c>
      <c r="N14" s="2070">
        <v>0</v>
      </c>
      <c r="O14" s="2070">
        <v>0</v>
      </c>
      <c r="P14" s="2070">
        <v>0</v>
      </c>
      <c r="Q14" s="2070">
        <v>0</v>
      </c>
      <c r="R14" s="2070">
        <v>0</v>
      </c>
      <c r="S14" s="2070">
        <v>0</v>
      </c>
      <c r="T14" s="2070">
        <v>0</v>
      </c>
      <c r="U14" s="2070">
        <v>0</v>
      </c>
      <c r="V14" s="2070">
        <v>0</v>
      </c>
      <c r="W14" s="2070">
        <v>0</v>
      </c>
      <c r="X14" s="2070">
        <v>0</v>
      </c>
    </row>
    <row r="15" spans="1:24" ht="11.25" customHeight="1">
      <c r="A15" s="2068" t="s">
        <v>4653</v>
      </c>
      <c r="B15" s="2069" t="s">
        <v>5755</v>
      </c>
      <c r="C15" s="2070">
        <v>0</v>
      </c>
      <c r="D15" s="2070">
        <v>0</v>
      </c>
      <c r="E15" s="2070">
        <v>0</v>
      </c>
      <c r="F15" s="2070">
        <v>0</v>
      </c>
      <c r="G15" s="2070">
        <v>0</v>
      </c>
      <c r="H15" s="2070">
        <v>0</v>
      </c>
      <c r="I15" s="2070">
        <v>0</v>
      </c>
      <c r="J15" s="2070">
        <v>0</v>
      </c>
      <c r="K15" s="2070">
        <v>0</v>
      </c>
      <c r="L15" s="2070">
        <v>44.807480653482372</v>
      </c>
      <c r="M15" s="2070">
        <v>0</v>
      </c>
      <c r="N15" s="2070">
        <v>0</v>
      </c>
      <c r="O15" s="2070">
        <v>0</v>
      </c>
      <c r="P15" s="2070">
        <v>0</v>
      </c>
      <c r="Q15" s="2070">
        <v>0</v>
      </c>
      <c r="R15" s="2070">
        <v>0</v>
      </c>
      <c r="S15" s="2070">
        <v>0</v>
      </c>
      <c r="T15" s="2070">
        <v>0</v>
      </c>
      <c r="U15" s="2070">
        <v>0</v>
      </c>
      <c r="V15" s="2070">
        <v>0</v>
      </c>
      <c r="W15" s="2070">
        <v>0</v>
      </c>
      <c r="X15" s="2070">
        <v>0</v>
      </c>
    </row>
    <row r="16" spans="1:24" ht="11.25" customHeight="1">
      <c r="A16" s="2068" t="s">
        <v>5756</v>
      </c>
      <c r="B16" s="2069" t="s">
        <v>5757</v>
      </c>
      <c r="C16" s="2070">
        <v>5.5500429922613934</v>
      </c>
      <c r="D16" s="2070">
        <v>4.4758383490971623</v>
      </c>
      <c r="E16" s="2070">
        <v>3.7373172828890797</v>
      </c>
      <c r="F16" s="2070">
        <v>3.9149613069647464</v>
      </c>
      <c r="G16" s="2070">
        <v>3.967755803955288</v>
      </c>
      <c r="H16" s="2070">
        <v>3.8835769561478934</v>
      </c>
      <c r="I16" s="2070">
        <v>4.127773000859845</v>
      </c>
      <c r="J16" s="2070">
        <v>3.8198624247635422</v>
      </c>
      <c r="K16" s="2070">
        <v>5.0078245915735167</v>
      </c>
      <c r="L16" s="2070">
        <v>6.0139294926913145</v>
      </c>
      <c r="M16" s="2070">
        <v>7.1839208942390362</v>
      </c>
      <c r="N16" s="2070">
        <v>9.0346517626827172</v>
      </c>
      <c r="O16" s="2070">
        <v>7.6240756663800511</v>
      </c>
      <c r="P16" s="2070">
        <v>4.6385210662080825</v>
      </c>
      <c r="Q16" s="2070">
        <v>4.7519346517626824</v>
      </c>
      <c r="R16" s="2070">
        <v>4.3412725709372317</v>
      </c>
      <c r="S16" s="2070">
        <v>5.4640584694754946</v>
      </c>
      <c r="T16" s="2070">
        <v>8.1966466036113488</v>
      </c>
      <c r="U16" s="2070">
        <v>7.1721410146173685</v>
      </c>
      <c r="V16" s="2070">
        <v>7.0431642304385198</v>
      </c>
      <c r="W16" s="2070">
        <v>7.0967325881341354</v>
      </c>
      <c r="X16" s="2070">
        <v>7.846775580395529</v>
      </c>
    </row>
    <row r="17" spans="1:24" ht="11.25" customHeight="1">
      <c r="A17" s="2071" t="s">
        <v>5758</v>
      </c>
      <c r="B17" s="2072" t="s">
        <v>5759</v>
      </c>
      <c r="C17" s="2073">
        <v>8.5984522785898534E-2</v>
      </c>
      <c r="D17" s="2073">
        <v>0.2149613069647463</v>
      </c>
      <c r="E17" s="2073">
        <v>4.2992261392949267E-2</v>
      </c>
      <c r="F17" s="2073">
        <v>0</v>
      </c>
      <c r="G17" s="2073">
        <v>0</v>
      </c>
      <c r="H17" s="2073">
        <v>0</v>
      </c>
      <c r="I17" s="2073">
        <v>0</v>
      </c>
      <c r="J17" s="2073">
        <v>4.2992261392949267E-2</v>
      </c>
      <c r="K17" s="2073">
        <v>2.149613069647463E-2</v>
      </c>
      <c r="L17" s="2073">
        <v>0</v>
      </c>
      <c r="M17" s="2073">
        <v>0</v>
      </c>
      <c r="N17" s="2073">
        <v>0</v>
      </c>
      <c r="O17" s="2073">
        <v>0</v>
      </c>
      <c r="P17" s="2073">
        <v>0</v>
      </c>
      <c r="Q17" s="2073">
        <v>0</v>
      </c>
      <c r="R17" s="2073">
        <v>0</v>
      </c>
      <c r="S17" s="2073">
        <v>0</v>
      </c>
      <c r="T17" s="2073">
        <v>0</v>
      </c>
      <c r="U17" s="2073">
        <v>0</v>
      </c>
      <c r="V17" s="2073">
        <v>0</v>
      </c>
      <c r="W17" s="2073">
        <v>0</v>
      </c>
      <c r="X17" s="2073">
        <v>0</v>
      </c>
    </row>
    <row r="18" spans="1:24" ht="11.25" customHeight="1">
      <c r="A18" s="2074" t="s">
        <v>4654</v>
      </c>
      <c r="B18" s="2069" t="s">
        <v>5760</v>
      </c>
      <c r="C18" s="2070">
        <v>8.5984522785898534E-2</v>
      </c>
      <c r="D18" s="2070">
        <v>6.4488392089423904E-2</v>
      </c>
      <c r="E18" s="2070">
        <v>4.2992261392949267E-2</v>
      </c>
      <c r="F18" s="2070">
        <v>0</v>
      </c>
      <c r="G18" s="2070">
        <v>0</v>
      </c>
      <c r="H18" s="2070">
        <v>0</v>
      </c>
      <c r="I18" s="2070">
        <v>0</v>
      </c>
      <c r="J18" s="2070">
        <v>0</v>
      </c>
      <c r="K18" s="2070">
        <v>0</v>
      </c>
      <c r="L18" s="2070">
        <v>0</v>
      </c>
      <c r="M18" s="2070">
        <v>0</v>
      </c>
      <c r="N18" s="2070">
        <v>0</v>
      </c>
      <c r="O18" s="2070">
        <v>0</v>
      </c>
      <c r="P18" s="2070">
        <v>0</v>
      </c>
      <c r="Q18" s="2070">
        <v>0</v>
      </c>
      <c r="R18" s="2070">
        <v>0</v>
      </c>
      <c r="S18" s="2070">
        <v>0</v>
      </c>
      <c r="T18" s="2070">
        <v>0</v>
      </c>
      <c r="U18" s="2070">
        <v>0</v>
      </c>
      <c r="V18" s="2070">
        <v>0</v>
      </c>
      <c r="W18" s="2070">
        <v>0</v>
      </c>
      <c r="X18" s="2070">
        <v>0</v>
      </c>
    </row>
    <row r="19" spans="1:24" ht="11.25" customHeight="1">
      <c r="A19" s="2074" t="s">
        <v>4655</v>
      </c>
      <c r="B19" s="2069" t="s">
        <v>5761</v>
      </c>
      <c r="C19" s="2070">
        <v>0</v>
      </c>
      <c r="D19" s="2070">
        <v>0.15047291487532241</v>
      </c>
      <c r="E19" s="2070">
        <v>0</v>
      </c>
      <c r="F19" s="2070">
        <v>0</v>
      </c>
      <c r="G19" s="2070">
        <v>0</v>
      </c>
      <c r="H19" s="2070">
        <v>0</v>
      </c>
      <c r="I19" s="2070">
        <v>0</v>
      </c>
      <c r="J19" s="2070">
        <v>4.2992261392949267E-2</v>
      </c>
      <c r="K19" s="2070">
        <v>2.149613069647463E-2</v>
      </c>
      <c r="L19" s="2070">
        <v>0</v>
      </c>
      <c r="M19" s="2070">
        <v>0</v>
      </c>
      <c r="N19" s="2070">
        <v>0</v>
      </c>
      <c r="O19" s="2070">
        <v>0</v>
      </c>
      <c r="P19" s="2070">
        <v>0</v>
      </c>
      <c r="Q19" s="2070">
        <v>0</v>
      </c>
      <c r="R19" s="2070">
        <v>0</v>
      </c>
      <c r="S19" s="2070">
        <v>0</v>
      </c>
      <c r="T19" s="2070">
        <v>0</v>
      </c>
      <c r="U19" s="2070">
        <v>0</v>
      </c>
      <c r="V19" s="2070">
        <v>0</v>
      </c>
      <c r="W19" s="2070">
        <v>0</v>
      </c>
      <c r="X19" s="2070">
        <v>0</v>
      </c>
    </row>
    <row r="20" spans="1:24" ht="11.25" customHeight="1">
      <c r="A20" s="2074" t="s">
        <v>4656</v>
      </c>
      <c r="B20" s="2069" t="s">
        <v>5762</v>
      </c>
      <c r="C20" s="2070">
        <v>0</v>
      </c>
      <c r="D20" s="2070">
        <v>0</v>
      </c>
      <c r="E20" s="2070">
        <v>0</v>
      </c>
      <c r="F20" s="2070">
        <v>0</v>
      </c>
      <c r="G20" s="2070">
        <v>0</v>
      </c>
      <c r="H20" s="2070">
        <v>0</v>
      </c>
      <c r="I20" s="2070">
        <v>0</v>
      </c>
      <c r="J20" s="2070">
        <v>0</v>
      </c>
      <c r="K20" s="2070">
        <v>0</v>
      </c>
      <c r="L20" s="2070">
        <v>0</v>
      </c>
      <c r="M20" s="2070">
        <v>0</v>
      </c>
      <c r="N20" s="2070">
        <v>0</v>
      </c>
      <c r="O20" s="2070">
        <v>0</v>
      </c>
      <c r="P20" s="2070">
        <v>0</v>
      </c>
      <c r="Q20" s="2070">
        <v>0</v>
      </c>
      <c r="R20" s="2070">
        <v>0</v>
      </c>
      <c r="S20" s="2070">
        <v>0</v>
      </c>
      <c r="T20" s="2070">
        <v>0</v>
      </c>
      <c r="U20" s="2070">
        <v>0</v>
      </c>
      <c r="V20" s="2070">
        <v>0</v>
      </c>
      <c r="W20" s="2070">
        <v>0</v>
      </c>
      <c r="X20" s="2070">
        <v>0</v>
      </c>
    </row>
    <row r="21" spans="1:24" ht="11.25" customHeight="1">
      <c r="A21" s="2074" t="s">
        <v>4615</v>
      </c>
      <c r="B21" s="2069" t="s">
        <v>5763</v>
      </c>
      <c r="C21" s="2070">
        <v>0</v>
      </c>
      <c r="D21" s="2070">
        <v>0</v>
      </c>
      <c r="E21" s="2070">
        <v>0</v>
      </c>
      <c r="F21" s="2070">
        <v>0</v>
      </c>
      <c r="G21" s="2070">
        <v>0</v>
      </c>
      <c r="H21" s="2070">
        <v>0</v>
      </c>
      <c r="I21" s="2070">
        <v>0</v>
      </c>
      <c r="J21" s="2070">
        <v>0</v>
      </c>
      <c r="K21" s="2070">
        <v>0</v>
      </c>
      <c r="L21" s="2070">
        <v>0</v>
      </c>
      <c r="M21" s="2070">
        <v>0</v>
      </c>
      <c r="N21" s="2070">
        <v>0</v>
      </c>
      <c r="O21" s="2070">
        <v>0</v>
      </c>
      <c r="P21" s="2070">
        <v>0</v>
      </c>
      <c r="Q21" s="2070">
        <v>0</v>
      </c>
      <c r="R21" s="2070">
        <v>0</v>
      </c>
      <c r="S21" s="2070">
        <v>0</v>
      </c>
      <c r="T21" s="2070">
        <v>0</v>
      </c>
      <c r="U21" s="2070">
        <v>0</v>
      </c>
      <c r="V21" s="2070">
        <v>0</v>
      </c>
      <c r="W21" s="2070">
        <v>0</v>
      </c>
      <c r="X21" s="2070">
        <v>0</v>
      </c>
    </row>
    <row r="22" spans="1:24" ht="11.25" customHeight="1">
      <c r="A22" s="2071" t="s">
        <v>4741</v>
      </c>
      <c r="B22" s="2072" t="s">
        <v>5764</v>
      </c>
      <c r="C22" s="2073">
        <v>0.22691315563198619</v>
      </c>
      <c r="D22" s="2073">
        <v>0</v>
      </c>
      <c r="E22" s="2073">
        <v>0</v>
      </c>
      <c r="F22" s="2073">
        <v>0</v>
      </c>
      <c r="G22" s="2073">
        <v>0</v>
      </c>
      <c r="H22" s="2073">
        <v>0</v>
      </c>
      <c r="I22" s="2073">
        <v>0</v>
      </c>
      <c r="J22" s="2073">
        <v>0</v>
      </c>
      <c r="K22" s="2073">
        <v>0</v>
      </c>
      <c r="L22" s="2073">
        <v>0</v>
      </c>
      <c r="M22" s="2073">
        <v>0</v>
      </c>
      <c r="N22" s="2073">
        <v>0.3821152192605331</v>
      </c>
      <c r="O22" s="2073">
        <v>0</v>
      </c>
      <c r="P22" s="2073">
        <v>0</v>
      </c>
      <c r="Q22" s="2073">
        <v>0</v>
      </c>
      <c r="R22" s="2073">
        <v>0</v>
      </c>
      <c r="S22" s="2073">
        <v>0</v>
      </c>
      <c r="T22" s="2073">
        <v>0</v>
      </c>
      <c r="U22" s="2073">
        <v>0</v>
      </c>
      <c r="V22" s="2073">
        <v>0</v>
      </c>
      <c r="W22" s="2073">
        <v>0</v>
      </c>
      <c r="X22" s="2073">
        <v>0</v>
      </c>
    </row>
    <row r="23" spans="1:24" ht="11.25" customHeight="1">
      <c r="A23" s="2074" t="s">
        <v>559</v>
      </c>
      <c r="B23" s="2069" t="s">
        <v>5765</v>
      </c>
      <c r="C23" s="2070">
        <v>0.22691315563198619</v>
      </c>
      <c r="D23" s="2070">
        <v>0</v>
      </c>
      <c r="E23" s="2070">
        <v>0</v>
      </c>
      <c r="F23" s="2070">
        <v>0</v>
      </c>
      <c r="G23" s="2070">
        <v>0</v>
      </c>
      <c r="H23" s="2070">
        <v>0</v>
      </c>
      <c r="I23" s="2070">
        <v>0</v>
      </c>
      <c r="J23" s="2070">
        <v>0</v>
      </c>
      <c r="K23" s="2070">
        <v>0</v>
      </c>
      <c r="L23" s="2070">
        <v>0</v>
      </c>
      <c r="M23" s="2070">
        <v>0</v>
      </c>
      <c r="N23" s="2070">
        <v>0</v>
      </c>
      <c r="O23" s="2070">
        <v>0</v>
      </c>
      <c r="P23" s="2070">
        <v>0</v>
      </c>
      <c r="Q23" s="2070">
        <v>0</v>
      </c>
      <c r="R23" s="2070">
        <v>0</v>
      </c>
      <c r="S23" s="2070">
        <v>0</v>
      </c>
      <c r="T23" s="2070">
        <v>0</v>
      </c>
      <c r="U23" s="2070">
        <v>0</v>
      </c>
      <c r="V23" s="2070">
        <v>0</v>
      </c>
      <c r="W23" s="2070">
        <v>0</v>
      </c>
      <c r="X23" s="2070">
        <v>0</v>
      </c>
    </row>
    <row r="24" spans="1:24" ht="11.25" customHeight="1">
      <c r="A24" s="2074" t="s">
        <v>4657</v>
      </c>
      <c r="B24" s="2069" t="s">
        <v>5766</v>
      </c>
      <c r="C24" s="2070">
        <v>0</v>
      </c>
      <c r="D24" s="2070">
        <v>0</v>
      </c>
      <c r="E24" s="2070">
        <v>0</v>
      </c>
      <c r="F24" s="2070">
        <v>0</v>
      </c>
      <c r="G24" s="2070">
        <v>0</v>
      </c>
      <c r="H24" s="2070">
        <v>0</v>
      </c>
      <c r="I24" s="2070">
        <v>0</v>
      </c>
      <c r="J24" s="2070">
        <v>0</v>
      </c>
      <c r="K24" s="2070">
        <v>0</v>
      </c>
      <c r="L24" s="2070">
        <v>0</v>
      </c>
      <c r="M24" s="2070">
        <v>0</v>
      </c>
      <c r="N24" s="2070">
        <v>0.3821152192605331</v>
      </c>
      <c r="O24" s="2070">
        <v>0</v>
      </c>
      <c r="P24" s="2070">
        <v>0</v>
      </c>
      <c r="Q24" s="2070">
        <v>0</v>
      </c>
      <c r="R24" s="2070">
        <v>0</v>
      </c>
      <c r="S24" s="2070">
        <v>0</v>
      </c>
      <c r="T24" s="2070">
        <v>0</v>
      </c>
      <c r="U24" s="2070">
        <v>0</v>
      </c>
      <c r="V24" s="2070">
        <v>0</v>
      </c>
      <c r="W24" s="2070">
        <v>0</v>
      </c>
      <c r="X24" s="2070">
        <v>0</v>
      </c>
    </row>
    <row r="25" spans="1:24" ht="11.25" customHeight="1">
      <c r="A25" s="2071" t="s">
        <v>4658</v>
      </c>
      <c r="B25" s="2072" t="s">
        <v>5767</v>
      </c>
      <c r="C25" s="2073">
        <v>0</v>
      </c>
      <c r="D25" s="2073">
        <v>0</v>
      </c>
      <c r="E25" s="2073">
        <v>0</v>
      </c>
      <c r="F25" s="2073">
        <v>0</v>
      </c>
      <c r="G25" s="2073">
        <v>0</v>
      </c>
      <c r="H25" s="2073">
        <v>0</v>
      </c>
      <c r="I25" s="2073">
        <v>0</v>
      </c>
      <c r="J25" s="2073">
        <v>0</v>
      </c>
      <c r="K25" s="2073">
        <v>0</v>
      </c>
      <c r="L25" s="2073">
        <v>0</v>
      </c>
      <c r="M25" s="2073">
        <v>0</v>
      </c>
      <c r="N25" s="2073">
        <v>0</v>
      </c>
      <c r="O25" s="2073">
        <v>0</v>
      </c>
      <c r="P25" s="2073">
        <v>0</v>
      </c>
      <c r="Q25" s="2073">
        <v>0</v>
      </c>
      <c r="R25" s="2073">
        <v>0</v>
      </c>
      <c r="S25" s="2073">
        <v>0</v>
      </c>
      <c r="T25" s="2073">
        <v>0</v>
      </c>
      <c r="U25" s="2073">
        <v>0</v>
      </c>
      <c r="V25" s="2073">
        <v>0</v>
      </c>
      <c r="W25" s="2073">
        <v>0</v>
      </c>
      <c r="X25" s="2073">
        <v>0</v>
      </c>
    </row>
    <row r="26" spans="1:24" ht="11.25" customHeight="1">
      <c r="A26" s="2071" t="s">
        <v>3872</v>
      </c>
      <c r="B26" s="2072" t="s">
        <v>5768</v>
      </c>
      <c r="C26" s="2073">
        <v>4383.7889986913124</v>
      </c>
      <c r="D26" s="2073">
        <v>4478.2074997015197</v>
      </c>
      <c r="E26" s="2073">
        <v>4947.3521543021398</v>
      </c>
      <c r="F26" s="2073">
        <v>4305.349136182278</v>
      </c>
      <c r="G26" s="2073">
        <v>4312.1320225713225</v>
      </c>
      <c r="H26" s="2073">
        <v>4565.3680387338864</v>
      </c>
      <c r="I26" s="2073">
        <v>4579.7089070725015</v>
      </c>
      <c r="J26" s="2073">
        <v>4264.0110596708901</v>
      </c>
      <c r="K26" s="2073">
        <v>4017.0378189887379</v>
      </c>
      <c r="L26" s="2073">
        <v>3576.8244229157312</v>
      </c>
      <c r="M26" s="2073">
        <v>3354.7217854316732</v>
      </c>
      <c r="N26" s="2073">
        <v>3776.1743734580186</v>
      </c>
      <c r="O26" s="2073">
        <v>3576.0635425623382</v>
      </c>
      <c r="P26" s="2073">
        <v>3451.5610490111776</v>
      </c>
      <c r="Q26" s="2073">
        <v>3518.8233018056744</v>
      </c>
      <c r="R26" s="2073">
        <v>3624.4926053310401</v>
      </c>
      <c r="S26" s="2073">
        <v>3625.2292347377465</v>
      </c>
      <c r="T26" s="2073">
        <v>3706.0209802235595</v>
      </c>
      <c r="U26" s="2073">
        <v>3823.0105760963024</v>
      </c>
      <c r="V26" s="2073">
        <v>3836.3234737747198</v>
      </c>
      <c r="W26" s="2073">
        <v>3784.5239036973339</v>
      </c>
      <c r="X26" s="2073">
        <v>3852.7490971625107</v>
      </c>
    </row>
    <row r="27" spans="1:24" ht="11.25" customHeight="1">
      <c r="A27" s="2065" t="s">
        <v>5769</v>
      </c>
      <c r="B27" s="2066" t="s">
        <v>5770</v>
      </c>
      <c r="C27" s="2067">
        <v>0</v>
      </c>
      <c r="D27" s="2067">
        <v>0</v>
      </c>
      <c r="E27" s="2067">
        <v>0</v>
      </c>
      <c r="F27" s="2067">
        <v>0</v>
      </c>
      <c r="G27" s="2067">
        <v>1.015993121238177</v>
      </c>
      <c r="H27" s="2067">
        <v>1.015993121238177</v>
      </c>
      <c r="I27" s="2067">
        <v>0</v>
      </c>
      <c r="J27" s="2067">
        <v>0</v>
      </c>
      <c r="K27" s="2067">
        <v>0</v>
      </c>
      <c r="L27" s="2067">
        <v>0</v>
      </c>
      <c r="M27" s="2067">
        <v>0</v>
      </c>
      <c r="N27" s="2067">
        <v>0</v>
      </c>
      <c r="O27" s="2067">
        <v>0</v>
      </c>
      <c r="P27" s="2067">
        <v>0</v>
      </c>
      <c r="Q27" s="2067">
        <v>0</v>
      </c>
      <c r="R27" s="2067">
        <v>0</v>
      </c>
      <c r="S27" s="2067">
        <v>0</v>
      </c>
      <c r="T27" s="2067">
        <v>0</v>
      </c>
      <c r="U27" s="2067">
        <v>0</v>
      </c>
      <c r="V27" s="2067">
        <v>0</v>
      </c>
      <c r="W27" s="2067">
        <v>0</v>
      </c>
      <c r="X27" s="2067">
        <v>0</v>
      </c>
    </row>
    <row r="28" spans="1:24" ht="11.25" customHeight="1">
      <c r="A28" s="2068" t="s">
        <v>4659</v>
      </c>
      <c r="B28" s="2069" t="s">
        <v>5771</v>
      </c>
      <c r="C28" s="2070">
        <v>0</v>
      </c>
      <c r="D28" s="2070">
        <v>0</v>
      </c>
      <c r="E28" s="2070">
        <v>0</v>
      </c>
      <c r="F28" s="2070">
        <v>0</v>
      </c>
      <c r="G28" s="2070">
        <v>1.015993121238177</v>
      </c>
      <c r="H28" s="2070">
        <v>1.015993121238177</v>
      </c>
      <c r="I28" s="2070">
        <v>0</v>
      </c>
      <c r="J28" s="2070">
        <v>0</v>
      </c>
      <c r="K28" s="2070">
        <v>0</v>
      </c>
      <c r="L28" s="2070">
        <v>0</v>
      </c>
      <c r="M28" s="2070">
        <v>0</v>
      </c>
      <c r="N28" s="2070">
        <v>0</v>
      </c>
      <c r="O28" s="2070">
        <v>0</v>
      </c>
      <c r="P28" s="2070">
        <v>0</v>
      </c>
      <c r="Q28" s="2070">
        <v>0</v>
      </c>
      <c r="R28" s="2070">
        <v>0</v>
      </c>
      <c r="S28" s="2070">
        <v>0</v>
      </c>
      <c r="T28" s="2070">
        <v>0</v>
      </c>
      <c r="U28" s="2070">
        <v>0</v>
      </c>
      <c r="V28" s="2070">
        <v>0</v>
      </c>
      <c r="W28" s="2070">
        <v>0</v>
      </c>
      <c r="X28" s="2070">
        <v>0</v>
      </c>
    </row>
    <row r="29" spans="1:24" ht="11.25" customHeight="1">
      <c r="A29" s="2068" t="s">
        <v>4660</v>
      </c>
      <c r="B29" s="2069" t="s">
        <v>5772</v>
      </c>
      <c r="C29" s="2070">
        <v>0</v>
      </c>
      <c r="D29" s="2070">
        <v>0</v>
      </c>
      <c r="E29" s="2070">
        <v>0</v>
      </c>
      <c r="F29" s="2070">
        <v>0</v>
      </c>
      <c r="G29" s="2070">
        <v>0</v>
      </c>
      <c r="H29" s="2070">
        <v>0</v>
      </c>
      <c r="I29" s="2070">
        <v>0</v>
      </c>
      <c r="J29" s="2070">
        <v>0</v>
      </c>
      <c r="K29" s="2070">
        <v>0</v>
      </c>
      <c r="L29" s="2070">
        <v>0</v>
      </c>
      <c r="M29" s="2070">
        <v>0</v>
      </c>
      <c r="N29" s="2070">
        <v>0</v>
      </c>
      <c r="O29" s="2070">
        <v>0</v>
      </c>
      <c r="P29" s="2070">
        <v>0</v>
      </c>
      <c r="Q29" s="2070">
        <v>0</v>
      </c>
      <c r="R29" s="2070">
        <v>0</v>
      </c>
      <c r="S29" s="2070">
        <v>0</v>
      </c>
      <c r="T29" s="2070">
        <v>0</v>
      </c>
      <c r="U29" s="2070">
        <v>0</v>
      </c>
      <c r="V29" s="2070">
        <v>0</v>
      </c>
      <c r="W29" s="2070">
        <v>0</v>
      </c>
      <c r="X29" s="2070">
        <v>0</v>
      </c>
    </row>
    <row r="30" spans="1:24" ht="11.25" customHeight="1">
      <c r="A30" s="2068" t="s">
        <v>4661</v>
      </c>
      <c r="B30" s="2069" t="s">
        <v>5773</v>
      </c>
      <c r="C30" s="2070">
        <v>0</v>
      </c>
      <c r="D30" s="2070">
        <v>0</v>
      </c>
      <c r="E30" s="2070">
        <v>0</v>
      </c>
      <c r="F30" s="2070">
        <v>0</v>
      </c>
      <c r="G30" s="2070">
        <v>0</v>
      </c>
      <c r="H30" s="2070">
        <v>0</v>
      </c>
      <c r="I30" s="2070">
        <v>0</v>
      </c>
      <c r="J30" s="2070">
        <v>0</v>
      </c>
      <c r="K30" s="2070">
        <v>0</v>
      </c>
      <c r="L30" s="2070">
        <v>0</v>
      </c>
      <c r="M30" s="2070">
        <v>0</v>
      </c>
      <c r="N30" s="2070">
        <v>0</v>
      </c>
      <c r="O30" s="2070">
        <v>0</v>
      </c>
      <c r="P30" s="2070">
        <v>0</v>
      </c>
      <c r="Q30" s="2070">
        <v>0</v>
      </c>
      <c r="R30" s="2070">
        <v>0</v>
      </c>
      <c r="S30" s="2070">
        <v>0</v>
      </c>
      <c r="T30" s="2070">
        <v>0</v>
      </c>
      <c r="U30" s="2070">
        <v>0</v>
      </c>
      <c r="V30" s="2070">
        <v>0</v>
      </c>
      <c r="W30" s="2070">
        <v>0</v>
      </c>
      <c r="X30" s="2070">
        <v>0</v>
      </c>
    </row>
    <row r="31" spans="1:24" ht="11.25" customHeight="1">
      <c r="A31" s="2068" t="s">
        <v>5774</v>
      </c>
      <c r="B31" s="2069" t="s">
        <v>5775</v>
      </c>
      <c r="C31" s="2070">
        <v>0</v>
      </c>
      <c r="D31" s="2070">
        <v>0</v>
      </c>
      <c r="E31" s="2070">
        <v>0</v>
      </c>
      <c r="F31" s="2070">
        <v>0</v>
      </c>
      <c r="G31" s="2070">
        <v>0</v>
      </c>
      <c r="H31" s="2070">
        <v>0</v>
      </c>
      <c r="I31" s="2070">
        <v>0</v>
      </c>
      <c r="J31" s="2070">
        <v>0</v>
      </c>
      <c r="K31" s="2070">
        <v>0</v>
      </c>
      <c r="L31" s="2070">
        <v>0</v>
      </c>
      <c r="M31" s="2070">
        <v>0</v>
      </c>
      <c r="N31" s="2070">
        <v>0</v>
      </c>
      <c r="O31" s="2070">
        <v>0</v>
      </c>
      <c r="P31" s="2070">
        <v>0</v>
      </c>
      <c r="Q31" s="2070">
        <v>0</v>
      </c>
      <c r="R31" s="2070">
        <v>0</v>
      </c>
      <c r="S31" s="2070">
        <v>0</v>
      </c>
      <c r="T31" s="2070">
        <v>0</v>
      </c>
      <c r="U31" s="2070">
        <v>0</v>
      </c>
      <c r="V31" s="2070">
        <v>0</v>
      </c>
      <c r="W31" s="2070">
        <v>0</v>
      </c>
      <c r="X31" s="2070">
        <v>0</v>
      </c>
    </row>
    <row r="32" spans="1:24" ht="11.25" customHeight="1">
      <c r="A32" s="2068" t="s">
        <v>4662</v>
      </c>
      <c r="B32" s="2069" t="s">
        <v>5776</v>
      </c>
      <c r="C32" s="2070">
        <v>0</v>
      </c>
      <c r="D32" s="2070">
        <v>0</v>
      </c>
      <c r="E32" s="2070">
        <v>0</v>
      </c>
      <c r="F32" s="2070">
        <v>0</v>
      </c>
      <c r="G32" s="2070">
        <v>0</v>
      </c>
      <c r="H32" s="2070">
        <v>0</v>
      </c>
      <c r="I32" s="2070">
        <v>0</v>
      </c>
      <c r="J32" s="2070">
        <v>0</v>
      </c>
      <c r="K32" s="2070">
        <v>0</v>
      </c>
      <c r="L32" s="2070">
        <v>0</v>
      </c>
      <c r="M32" s="2070">
        <v>0</v>
      </c>
      <c r="N32" s="2070">
        <v>0</v>
      </c>
      <c r="O32" s="2070">
        <v>0</v>
      </c>
      <c r="P32" s="2070">
        <v>0</v>
      </c>
      <c r="Q32" s="2070">
        <v>0</v>
      </c>
      <c r="R32" s="2070">
        <v>0</v>
      </c>
      <c r="S32" s="2070">
        <v>0</v>
      </c>
      <c r="T32" s="2070">
        <v>0</v>
      </c>
      <c r="U32" s="2070">
        <v>0</v>
      </c>
      <c r="V32" s="2070">
        <v>0</v>
      </c>
      <c r="W32" s="2070">
        <v>0</v>
      </c>
      <c r="X32" s="2070">
        <v>0</v>
      </c>
    </row>
    <row r="33" spans="1:24" ht="11.25" customHeight="1">
      <c r="A33" s="2065" t="s">
        <v>5777</v>
      </c>
      <c r="B33" s="2066" t="s">
        <v>5778</v>
      </c>
      <c r="C33" s="2067">
        <v>4383.7889986913124</v>
      </c>
      <c r="D33" s="2067">
        <v>4478.2074997015197</v>
      </c>
      <c r="E33" s="2067">
        <v>4947.3521543021398</v>
      </c>
      <c r="F33" s="2067">
        <v>4305.349136182278</v>
      </c>
      <c r="G33" s="2067">
        <v>4311.1160294500842</v>
      </c>
      <c r="H33" s="2067">
        <v>4564.352045612648</v>
      </c>
      <c r="I33" s="2067">
        <v>4579.7089070725015</v>
      </c>
      <c r="J33" s="2067">
        <v>4264.0110596708901</v>
      </c>
      <c r="K33" s="2067">
        <v>4017.0378189887379</v>
      </c>
      <c r="L33" s="2067">
        <v>3576.8244229157312</v>
      </c>
      <c r="M33" s="2067">
        <v>3354.7217854316732</v>
      </c>
      <c r="N33" s="2067">
        <v>3776.1743734580186</v>
      </c>
      <c r="O33" s="2067">
        <v>3576.0635425623382</v>
      </c>
      <c r="P33" s="2067">
        <v>3451.5610490111776</v>
      </c>
      <c r="Q33" s="2067">
        <v>3518.8233018056744</v>
      </c>
      <c r="R33" s="2067">
        <v>3624.4926053310401</v>
      </c>
      <c r="S33" s="2067">
        <v>3625.2292347377465</v>
      </c>
      <c r="T33" s="2067">
        <v>3706.0209802235595</v>
      </c>
      <c r="U33" s="2067">
        <v>3823.0105760963024</v>
      </c>
      <c r="V33" s="2067">
        <v>3836.3234737747198</v>
      </c>
      <c r="W33" s="2067">
        <v>3784.5239036973339</v>
      </c>
      <c r="X33" s="2067">
        <v>3852.7490971625107</v>
      </c>
    </row>
    <row r="34" spans="1:24" ht="11.25" customHeight="1">
      <c r="A34" s="2068" t="s">
        <v>4607</v>
      </c>
      <c r="B34" s="2069" t="s">
        <v>5779</v>
      </c>
      <c r="C34" s="2070">
        <v>0</v>
      </c>
      <c r="D34" s="2070">
        <v>0</v>
      </c>
      <c r="E34" s="2070">
        <v>0</v>
      </c>
      <c r="F34" s="2070">
        <v>0</v>
      </c>
      <c r="G34" s="2070">
        <v>1.182287188306105</v>
      </c>
      <c r="H34" s="2070">
        <v>0</v>
      </c>
      <c r="I34" s="2070">
        <v>0</v>
      </c>
      <c r="J34" s="2070">
        <v>0</v>
      </c>
      <c r="K34" s="2070">
        <v>0</v>
      </c>
      <c r="L34" s="2070">
        <v>0</v>
      </c>
      <c r="M34" s="2070">
        <v>0</v>
      </c>
      <c r="N34" s="2070">
        <v>0</v>
      </c>
      <c r="O34" s="2070">
        <v>0</v>
      </c>
      <c r="P34" s="2070">
        <v>0</v>
      </c>
      <c r="Q34" s="2070">
        <v>0</v>
      </c>
      <c r="R34" s="2070">
        <v>0</v>
      </c>
      <c r="S34" s="2070">
        <v>0</v>
      </c>
      <c r="T34" s="2070">
        <v>0</v>
      </c>
      <c r="U34" s="2070">
        <v>0</v>
      </c>
      <c r="V34" s="2070">
        <v>0</v>
      </c>
      <c r="W34" s="2070">
        <v>0</v>
      </c>
      <c r="X34" s="2070">
        <v>0</v>
      </c>
    </row>
    <row r="35" spans="1:24" ht="11.25" customHeight="1">
      <c r="A35" s="2068" t="s">
        <v>587</v>
      </c>
      <c r="B35" s="2069" t="s">
        <v>5780</v>
      </c>
      <c r="C35" s="2070">
        <v>0</v>
      </c>
      <c r="D35" s="2070">
        <v>0</v>
      </c>
      <c r="E35" s="2070">
        <v>0</v>
      </c>
      <c r="F35" s="2070">
        <v>0</v>
      </c>
      <c r="G35" s="2070">
        <v>0</v>
      </c>
      <c r="H35" s="2070">
        <v>0</v>
      </c>
      <c r="I35" s="2070">
        <v>0</v>
      </c>
      <c r="J35" s="2070">
        <v>0</v>
      </c>
      <c r="K35" s="2070">
        <v>0</v>
      </c>
      <c r="L35" s="2070">
        <v>0</v>
      </c>
      <c r="M35" s="2070">
        <v>0</v>
      </c>
      <c r="N35" s="2070">
        <v>0</v>
      </c>
      <c r="O35" s="2070">
        <v>0</v>
      </c>
      <c r="P35" s="2070">
        <v>0</v>
      </c>
      <c r="Q35" s="2070">
        <v>0</v>
      </c>
      <c r="R35" s="2070">
        <v>0</v>
      </c>
      <c r="S35" s="2070">
        <v>0</v>
      </c>
      <c r="T35" s="2070">
        <v>0</v>
      </c>
      <c r="U35" s="2070">
        <v>0</v>
      </c>
      <c r="V35" s="2070">
        <v>0</v>
      </c>
      <c r="W35" s="2070">
        <v>0</v>
      </c>
      <c r="X35" s="2070">
        <v>0</v>
      </c>
    </row>
    <row r="36" spans="1:24" ht="11.25" customHeight="1">
      <c r="A36" s="2068" t="s">
        <v>5781</v>
      </c>
      <c r="B36" s="2069" t="s">
        <v>5782</v>
      </c>
      <c r="C36" s="2070">
        <v>65.024935511607907</v>
      </c>
      <c r="D36" s="2070">
        <v>54.901289767841774</v>
      </c>
      <c r="E36" s="2070">
        <v>58.530352536543404</v>
      </c>
      <c r="F36" s="2070">
        <v>48.655889939810827</v>
      </c>
      <c r="G36" s="2070">
        <v>46.469389509888224</v>
      </c>
      <c r="H36" s="2070">
        <v>67.499054170249352</v>
      </c>
      <c r="I36" s="2070">
        <v>198.49277730008595</v>
      </c>
      <c r="J36" s="2070">
        <v>70.708254514187431</v>
      </c>
      <c r="K36" s="2070">
        <v>96.278159931212357</v>
      </c>
      <c r="L36" s="2070">
        <v>116.19595872742906</v>
      </c>
      <c r="M36" s="2070">
        <v>122.74342218400689</v>
      </c>
      <c r="N36" s="2070">
        <v>97.749011177987953</v>
      </c>
      <c r="O36" s="2070">
        <v>94.164918314703343</v>
      </c>
      <c r="P36" s="2070">
        <v>83.532330180567499</v>
      </c>
      <c r="Q36" s="2070">
        <v>101.14858125537404</v>
      </c>
      <c r="R36" s="2070">
        <v>104.82072226999141</v>
      </c>
      <c r="S36" s="2070">
        <v>106.78091143594153</v>
      </c>
      <c r="T36" s="2070">
        <v>105.06620808254513</v>
      </c>
      <c r="U36" s="2070">
        <v>131.14574376612208</v>
      </c>
      <c r="V36" s="2070">
        <v>134.19380911435942</v>
      </c>
      <c r="W36" s="2070">
        <v>133.05270851246772</v>
      </c>
      <c r="X36" s="2070">
        <v>140.94643164230436</v>
      </c>
    </row>
    <row r="37" spans="1:24" ht="11.25" customHeight="1">
      <c r="A37" s="2068" t="s">
        <v>5783</v>
      </c>
      <c r="B37" s="2069" t="s">
        <v>5784</v>
      </c>
      <c r="C37" s="2070">
        <v>39.032932072226998</v>
      </c>
      <c r="D37" s="2070">
        <v>28.349355116079103</v>
      </c>
      <c r="E37" s="2070">
        <v>74.792691315563189</v>
      </c>
      <c r="F37" s="2070">
        <v>37.648323301805668</v>
      </c>
      <c r="G37" s="2070">
        <v>42.870163370593289</v>
      </c>
      <c r="H37" s="2070">
        <v>64.699656061908854</v>
      </c>
      <c r="I37" s="2070">
        <v>38.794926913155628</v>
      </c>
      <c r="J37" s="2070">
        <v>58.005674978503855</v>
      </c>
      <c r="K37" s="2070">
        <v>42.459587274290627</v>
      </c>
      <c r="L37" s="2070">
        <v>35.347033533963881</v>
      </c>
      <c r="M37" s="2070">
        <v>30.275838349097164</v>
      </c>
      <c r="N37" s="2070">
        <v>29.486586414445398</v>
      </c>
      <c r="O37" s="2070">
        <v>24.251934651762685</v>
      </c>
      <c r="P37" s="2070">
        <v>27.870077386070506</v>
      </c>
      <c r="Q37" s="2070">
        <v>27.97454858125537</v>
      </c>
      <c r="R37" s="2070">
        <v>28.433619948409284</v>
      </c>
      <c r="S37" s="2070">
        <v>27.695872742906271</v>
      </c>
      <c r="T37" s="2070">
        <v>26.048323301805677</v>
      </c>
      <c r="U37" s="2070">
        <v>23.715477214101462</v>
      </c>
      <c r="V37" s="2070">
        <v>25.540584694754941</v>
      </c>
      <c r="W37" s="2070">
        <v>23.765434221840067</v>
      </c>
      <c r="X37" s="2070">
        <v>24.600085984522782</v>
      </c>
    </row>
    <row r="38" spans="1:24" ht="11.25" customHeight="1">
      <c r="A38" s="2068" t="s">
        <v>4663</v>
      </c>
      <c r="B38" s="2069" t="s">
        <v>5785</v>
      </c>
      <c r="C38" s="2070">
        <v>0</v>
      </c>
      <c r="D38" s="2070">
        <v>0</v>
      </c>
      <c r="E38" s="2070">
        <v>0</v>
      </c>
      <c r="F38" s="2070">
        <v>0</v>
      </c>
      <c r="G38" s="2070">
        <v>0</v>
      </c>
      <c r="H38" s="2070">
        <v>0</v>
      </c>
      <c r="I38" s="2070">
        <v>0</v>
      </c>
      <c r="J38" s="2070">
        <v>0</v>
      </c>
      <c r="K38" s="2070">
        <v>0</v>
      </c>
      <c r="L38" s="2070">
        <v>0</v>
      </c>
      <c r="M38" s="2070">
        <v>0</v>
      </c>
      <c r="N38" s="2070">
        <v>0</v>
      </c>
      <c r="O38" s="2070">
        <v>0</v>
      </c>
      <c r="P38" s="2070">
        <v>0</v>
      </c>
      <c r="Q38" s="2070">
        <v>0</v>
      </c>
      <c r="R38" s="2070">
        <v>0</v>
      </c>
      <c r="S38" s="2070">
        <v>0</v>
      </c>
      <c r="T38" s="2070">
        <v>0</v>
      </c>
      <c r="U38" s="2070">
        <v>0</v>
      </c>
      <c r="V38" s="2070">
        <v>0</v>
      </c>
      <c r="W38" s="2070">
        <v>0</v>
      </c>
      <c r="X38" s="2070">
        <v>0</v>
      </c>
    </row>
    <row r="39" spans="1:24" ht="11.25" customHeight="1">
      <c r="A39" s="2068" t="s">
        <v>5786</v>
      </c>
      <c r="B39" s="2069" t="s">
        <v>5787</v>
      </c>
      <c r="C39" s="2070">
        <v>0</v>
      </c>
      <c r="D39" s="2070">
        <v>0</v>
      </c>
      <c r="E39" s="2070">
        <v>0</v>
      </c>
      <c r="F39" s="2070">
        <v>0</v>
      </c>
      <c r="G39" s="2070">
        <v>0</v>
      </c>
      <c r="H39" s="2070">
        <v>0</v>
      </c>
      <c r="I39" s="2070">
        <v>0</v>
      </c>
      <c r="J39" s="2070">
        <v>0</v>
      </c>
      <c r="K39" s="2070">
        <v>0</v>
      </c>
      <c r="L39" s="2070">
        <v>0</v>
      </c>
      <c r="M39" s="2070">
        <v>0</v>
      </c>
      <c r="N39" s="2070">
        <v>0</v>
      </c>
      <c r="O39" s="2070">
        <v>0</v>
      </c>
      <c r="P39" s="2070">
        <v>0</v>
      </c>
      <c r="Q39" s="2070">
        <v>0</v>
      </c>
      <c r="R39" s="2070">
        <v>0</v>
      </c>
      <c r="S39" s="2070">
        <v>0</v>
      </c>
      <c r="T39" s="2070">
        <v>0</v>
      </c>
      <c r="U39" s="2070">
        <v>0</v>
      </c>
      <c r="V39" s="2070">
        <v>0</v>
      </c>
      <c r="W39" s="2070">
        <v>0</v>
      </c>
      <c r="X39" s="2070">
        <v>0</v>
      </c>
    </row>
    <row r="40" spans="1:24" ht="11.25" customHeight="1">
      <c r="A40" s="2068" t="s">
        <v>5788</v>
      </c>
      <c r="B40" s="2069" t="s">
        <v>5789</v>
      </c>
      <c r="C40" s="2070">
        <v>0</v>
      </c>
      <c r="D40" s="2070">
        <v>0</v>
      </c>
      <c r="E40" s="2070">
        <v>0</v>
      </c>
      <c r="F40" s="2070">
        <v>0</v>
      </c>
      <c r="G40" s="2070">
        <v>0</v>
      </c>
      <c r="H40" s="2070">
        <v>0</v>
      </c>
      <c r="I40" s="2070">
        <v>0</v>
      </c>
      <c r="J40" s="2070">
        <v>0</v>
      </c>
      <c r="K40" s="2070">
        <v>0</v>
      </c>
      <c r="L40" s="2070">
        <v>0</v>
      </c>
      <c r="M40" s="2070">
        <v>0</v>
      </c>
      <c r="N40" s="2070">
        <v>0</v>
      </c>
      <c r="O40" s="2070">
        <v>0</v>
      </c>
      <c r="P40" s="2070">
        <v>0</v>
      </c>
      <c r="Q40" s="2070">
        <v>0</v>
      </c>
      <c r="R40" s="2070">
        <v>0</v>
      </c>
      <c r="S40" s="2070">
        <v>0</v>
      </c>
      <c r="T40" s="2070">
        <v>0</v>
      </c>
      <c r="U40" s="2070">
        <v>0</v>
      </c>
      <c r="V40" s="2070">
        <v>0</v>
      </c>
      <c r="W40" s="2070">
        <v>0</v>
      </c>
      <c r="X40" s="2070">
        <v>0</v>
      </c>
    </row>
    <row r="41" spans="1:24" ht="11.25" customHeight="1">
      <c r="A41" s="2068" t="s">
        <v>4664</v>
      </c>
      <c r="B41" s="2069" t="s">
        <v>5790</v>
      </c>
      <c r="C41" s="2070">
        <v>1.1748925193465181</v>
      </c>
      <c r="D41" s="2070">
        <v>2.2611349957007727</v>
      </c>
      <c r="E41" s="2070">
        <v>2.2673258813413577</v>
      </c>
      <c r="F41" s="2070">
        <v>2.3369733447979359</v>
      </c>
      <c r="G41" s="2070">
        <v>2.6705932932072223</v>
      </c>
      <c r="H41" s="2070">
        <v>1.8998280309544284</v>
      </c>
      <c r="I41" s="2070">
        <v>2.9319002579535676</v>
      </c>
      <c r="J41" s="2070">
        <v>1.6547721410146172</v>
      </c>
      <c r="K41" s="2070">
        <v>2.1941530524505586</v>
      </c>
      <c r="L41" s="2070">
        <v>0.72932072226999123</v>
      </c>
      <c r="M41" s="2070">
        <v>0.51186586414445401</v>
      </c>
      <c r="N41" s="2070">
        <v>0.42846087704213232</v>
      </c>
      <c r="O41" s="2070">
        <v>0.41478933791917461</v>
      </c>
      <c r="P41" s="2070">
        <v>0.55717970765262248</v>
      </c>
      <c r="Q41" s="2070">
        <v>0.55932932072226993</v>
      </c>
      <c r="R41" s="2070">
        <v>0.43482373172828886</v>
      </c>
      <c r="S41" s="2070">
        <v>0.48134135855546001</v>
      </c>
      <c r="T41" s="2070">
        <v>0.53293207222699923</v>
      </c>
      <c r="U41" s="2070">
        <v>0.70920034393809106</v>
      </c>
      <c r="V41" s="2070">
        <v>0.84006878761822867</v>
      </c>
      <c r="W41" s="2070">
        <v>0.84651762682717113</v>
      </c>
      <c r="X41" s="2070">
        <v>0.85494411006018911</v>
      </c>
    </row>
    <row r="42" spans="1:24" ht="11.25" customHeight="1">
      <c r="A42" s="2068" t="s">
        <v>4611</v>
      </c>
      <c r="B42" s="2069" t="s">
        <v>5791</v>
      </c>
      <c r="C42" s="2070">
        <v>0</v>
      </c>
      <c r="D42" s="2070">
        <v>0</v>
      </c>
      <c r="E42" s="2070">
        <v>0</v>
      </c>
      <c r="F42" s="2070">
        <v>0</v>
      </c>
      <c r="G42" s="2070">
        <v>0</v>
      </c>
      <c r="H42" s="2070">
        <v>0</v>
      </c>
      <c r="I42" s="2070">
        <v>0</v>
      </c>
      <c r="J42" s="2070">
        <v>0</v>
      </c>
      <c r="K42" s="2070">
        <v>0</v>
      </c>
      <c r="L42" s="2070">
        <v>0</v>
      </c>
      <c r="M42" s="2070">
        <v>0</v>
      </c>
      <c r="N42" s="2070">
        <v>0</v>
      </c>
      <c r="O42" s="2070">
        <v>0</v>
      </c>
      <c r="P42" s="2070">
        <v>0</v>
      </c>
      <c r="Q42" s="2070">
        <v>0</v>
      </c>
      <c r="R42" s="2070">
        <v>0</v>
      </c>
      <c r="S42" s="2070">
        <v>0</v>
      </c>
      <c r="T42" s="2070">
        <v>0</v>
      </c>
      <c r="U42" s="2070">
        <v>0</v>
      </c>
      <c r="V42" s="2070">
        <v>0</v>
      </c>
      <c r="W42" s="2070">
        <v>0</v>
      </c>
      <c r="X42" s="2070">
        <v>0</v>
      </c>
    </row>
    <row r="43" spans="1:24" ht="11.25" customHeight="1">
      <c r="A43" s="2068" t="s">
        <v>5792</v>
      </c>
      <c r="B43" s="2069" t="s">
        <v>5793</v>
      </c>
      <c r="C43" s="2070">
        <v>3946.6715438331871</v>
      </c>
      <c r="D43" s="2070">
        <v>4146.8393999594728</v>
      </c>
      <c r="E43" s="2070">
        <v>4610.1308301404888</v>
      </c>
      <c r="F43" s="2070">
        <v>4016.8819822699816</v>
      </c>
      <c r="G43" s="2070">
        <v>4047.3828394242887</v>
      </c>
      <c r="H43" s="2070">
        <v>4242.7607300494492</v>
      </c>
      <c r="I43" s="2070">
        <v>4092.968064424178</v>
      </c>
      <c r="J43" s="2070">
        <v>3915.3053846923872</v>
      </c>
      <c r="K43" s="2070">
        <v>3651.4488250076547</v>
      </c>
      <c r="L43" s="2070">
        <v>3259.7187479372274</v>
      </c>
      <c r="M43" s="2070">
        <v>3050.4230751995156</v>
      </c>
      <c r="N43" s="2070">
        <v>3501.2144422456367</v>
      </c>
      <c r="O43" s="2070">
        <v>3326.9472055030087</v>
      </c>
      <c r="P43" s="2070">
        <v>3230.1117798796213</v>
      </c>
      <c r="Q43" s="2070">
        <v>3258.8647463456568</v>
      </c>
      <c r="R43" s="2070">
        <v>3357.591401547721</v>
      </c>
      <c r="S43" s="2070">
        <v>3369.2385210662073</v>
      </c>
      <c r="T43" s="2070">
        <v>3476.8365434221837</v>
      </c>
      <c r="U43" s="2070">
        <v>3577.7688736027517</v>
      </c>
      <c r="V43" s="2070">
        <v>3587.394496990541</v>
      </c>
      <c r="W43" s="2070">
        <v>3548.6965606190884</v>
      </c>
      <c r="X43" s="2070">
        <v>3604.4807394668956</v>
      </c>
    </row>
    <row r="44" spans="1:24" ht="11.25" customHeight="1">
      <c r="A44" s="2068" t="s">
        <v>4665</v>
      </c>
      <c r="B44" s="2069" t="s">
        <v>5794</v>
      </c>
      <c r="C44" s="2070">
        <v>330.83138435081673</v>
      </c>
      <c r="D44" s="2070">
        <v>241.81023215821153</v>
      </c>
      <c r="E44" s="2070">
        <v>195.68366294067064</v>
      </c>
      <c r="F44" s="2070">
        <v>193.8786758383491</v>
      </c>
      <c r="G44" s="2070">
        <v>166.58968185726573</v>
      </c>
      <c r="H44" s="2070">
        <v>182.56852966466033</v>
      </c>
      <c r="I44" s="2070">
        <v>235.60146173688733</v>
      </c>
      <c r="J44" s="2070">
        <v>203.58701633705931</v>
      </c>
      <c r="K44" s="2070">
        <v>175.5962166809974</v>
      </c>
      <c r="L44" s="2070">
        <v>157.52656921754087</v>
      </c>
      <c r="M44" s="2070">
        <v>137.42364574376609</v>
      </c>
      <c r="N44" s="2070">
        <v>135.11650902837488</v>
      </c>
      <c r="O44" s="2070">
        <v>121.12570937231295</v>
      </c>
      <c r="P44" s="2070">
        <v>106.00034393809115</v>
      </c>
      <c r="Q44" s="2070">
        <v>122.32080825451419</v>
      </c>
      <c r="R44" s="2070">
        <v>129.0052450558899</v>
      </c>
      <c r="S44" s="2070">
        <v>120.34686156491833</v>
      </c>
      <c r="T44" s="2070">
        <v>96.252622527944965</v>
      </c>
      <c r="U44" s="2070">
        <v>88.370077386070506</v>
      </c>
      <c r="V44" s="2070">
        <v>85.598710232158211</v>
      </c>
      <c r="W44" s="2070">
        <v>77.374548581255354</v>
      </c>
      <c r="X44" s="2070">
        <v>81.034479793637132</v>
      </c>
    </row>
    <row r="45" spans="1:24" ht="11.25" customHeight="1">
      <c r="A45" s="2068" t="s">
        <v>5795</v>
      </c>
      <c r="B45" s="2069" t="s">
        <v>5796</v>
      </c>
      <c r="C45" s="2070">
        <v>1.053310404127257</v>
      </c>
      <c r="D45" s="2070">
        <v>2.1066208082545139</v>
      </c>
      <c r="E45" s="2070">
        <v>2.1066208082545139</v>
      </c>
      <c r="F45" s="2070">
        <v>2.1066208082545139</v>
      </c>
      <c r="G45" s="2070">
        <v>2.1066208082545139</v>
      </c>
      <c r="H45" s="2070">
        <v>3.2010318142734309</v>
      </c>
      <c r="I45" s="2070">
        <v>3.6539122957867578</v>
      </c>
      <c r="J45" s="2070">
        <v>5.3803095442820288</v>
      </c>
      <c r="K45" s="2070">
        <v>4.3575236457437656</v>
      </c>
      <c r="L45" s="2070">
        <v>4.6145313843508156</v>
      </c>
      <c r="M45" s="2070">
        <v>4.7841788478073948</v>
      </c>
      <c r="N45" s="2070">
        <v>4.7177987962166812</v>
      </c>
      <c r="O45" s="2070">
        <v>4.7483233018056747</v>
      </c>
      <c r="P45" s="2070">
        <v>1.7653482373172831</v>
      </c>
      <c r="Q45" s="2070">
        <v>1.4630266552020641</v>
      </c>
      <c r="R45" s="2070">
        <v>1.38091143594153</v>
      </c>
      <c r="S45" s="2070">
        <v>0.68572656921754072</v>
      </c>
      <c r="T45" s="2070">
        <v>0.94961306964746339</v>
      </c>
      <c r="U45" s="2070">
        <v>0.86990541702493551</v>
      </c>
      <c r="V45" s="2070">
        <v>0.8699054170249354</v>
      </c>
      <c r="W45" s="2070">
        <v>0.74032674118658626</v>
      </c>
      <c r="X45" s="2070">
        <v>0.76457437661220984</v>
      </c>
    </row>
    <row r="46" spans="1:24" ht="11.25" customHeight="1">
      <c r="A46" s="2068" t="s">
        <v>595</v>
      </c>
      <c r="B46" s="2069" t="s">
        <v>5797</v>
      </c>
      <c r="C46" s="2070">
        <v>0</v>
      </c>
      <c r="D46" s="2070">
        <v>0</v>
      </c>
      <c r="E46" s="2070">
        <v>0</v>
      </c>
      <c r="F46" s="2070">
        <v>0</v>
      </c>
      <c r="G46" s="2070">
        <v>0</v>
      </c>
      <c r="H46" s="2070">
        <v>0</v>
      </c>
      <c r="I46" s="2070">
        <v>0</v>
      </c>
      <c r="J46" s="2070">
        <v>0</v>
      </c>
      <c r="K46" s="2070">
        <v>0</v>
      </c>
      <c r="L46" s="2070">
        <v>0</v>
      </c>
      <c r="M46" s="2070">
        <v>0</v>
      </c>
      <c r="N46" s="2070">
        <v>0</v>
      </c>
      <c r="O46" s="2070">
        <v>0</v>
      </c>
      <c r="P46" s="2070">
        <v>0</v>
      </c>
      <c r="Q46" s="2070">
        <v>0</v>
      </c>
      <c r="R46" s="2070">
        <v>0</v>
      </c>
      <c r="S46" s="2070">
        <v>0</v>
      </c>
      <c r="T46" s="2070">
        <v>0</v>
      </c>
      <c r="U46" s="2070">
        <v>0</v>
      </c>
      <c r="V46" s="2070">
        <v>0</v>
      </c>
      <c r="W46" s="2070">
        <v>0</v>
      </c>
      <c r="X46" s="2070">
        <v>0</v>
      </c>
    </row>
    <row r="47" spans="1:24" ht="11.25" customHeight="1">
      <c r="A47" s="2068" t="s">
        <v>4614</v>
      </c>
      <c r="B47" s="2069" t="s">
        <v>5798</v>
      </c>
      <c r="C47" s="2070">
        <v>0</v>
      </c>
      <c r="D47" s="2070">
        <v>0</v>
      </c>
      <c r="E47" s="2070">
        <v>0</v>
      </c>
      <c r="F47" s="2070">
        <v>0</v>
      </c>
      <c r="G47" s="2070">
        <v>0</v>
      </c>
      <c r="H47" s="2070">
        <v>0</v>
      </c>
      <c r="I47" s="2070">
        <v>0</v>
      </c>
      <c r="J47" s="2070">
        <v>0</v>
      </c>
      <c r="K47" s="2070">
        <v>0</v>
      </c>
      <c r="L47" s="2070">
        <v>0</v>
      </c>
      <c r="M47" s="2070">
        <v>0</v>
      </c>
      <c r="N47" s="2070">
        <v>0</v>
      </c>
      <c r="O47" s="2070">
        <v>0</v>
      </c>
      <c r="P47" s="2070">
        <v>0</v>
      </c>
      <c r="Q47" s="2070">
        <v>0</v>
      </c>
      <c r="R47" s="2070">
        <v>0</v>
      </c>
      <c r="S47" s="2070">
        <v>0</v>
      </c>
      <c r="T47" s="2070">
        <v>0</v>
      </c>
      <c r="U47" s="2070">
        <v>0</v>
      </c>
      <c r="V47" s="2070">
        <v>0</v>
      </c>
      <c r="W47" s="2070">
        <v>0</v>
      </c>
      <c r="X47" s="2070">
        <v>0</v>
      </c>
    </row>
    <row r="48" spans="1:24" ht="11.25" customHeight="1">
      <c r="A48" s="2068" t="s">
        <v>4667</v>
      </c>
      <c r="B48" s="2069" t="s">
        <v>5799</v>
      </c>
      <c r="C48" s="2070">
        <v>0</v>
      </c>
      <c r="D48" s="2070">
        <v>0</v>
      </c>
      <c r="E48" s="2070">
        <v>0</v>
      </c>
      <c r="F48" s="2070">
        <v>0</v>
      </c>
      <c r="G48" s="2070">
        <v>0</v>
      </c>
      <c r="H48" s="2070">
        <v>0</v>
      </c>
      <c r="I48" s="2070">
        <v>0</v>
      </c>
      <c r="J48" s="2070">
        <v>0</v>
      </c>
      <c r="K48" s="2070">
        <v>0</v>
      </c>
      <c r="L48" s="2070">
        <v>0</v>
      </c>
      <c r="M48" s="2070">
        <v>0</v>
      </c>
      <c r="N48" s="2070">
        <v>0</v>
      </c>
      <c r="O48" s="2070">
        <v>0</v>
      </c>
      <c r="P48" s="2070">
        <v>0</v>
      </c>
      <c r="Q48" s="2070">
        <v>0</v>
      </c>
      <c r="R48" s="2070">
        <v>0</v>
      </c>
      <c r="S48" s="2070">
        <v>0</v>
      </c>
      <c r="T48" s="2070">
        <v>0</v>
      </c>
      <c r="U48" s="2070">
        <v>0</v>
      </c>
      <c r="V48" s="2070">
        <v>0</v>
      </c>
      <c r="W48" s="2070">
        <v>0</v>
      </c>
      <c r="X48" s="2070">
        <v>0</v>
      </c>
    </row>
    <row r="49" spans="1:24" ht="11.25" customHeight="1">
      <c r="A49" s="2068" t="s">
        <v>4666</v>
      </c>
      <c r="B49" s="2069" t="s">
        <v>5800</v>
      </c>
      <c r="C49" s="2070">
        <v>0</v>
      </c>
      <c r="D49" s="2070">
        <v>0</v>
      </c>
      <c r="E49" s="2070">
        <v>0</v>
      </c>
      <c r="F49" s="2070">
        <v>0</v>
      </c>
      <c r="G49" s="2070">
        <v>0</v>
      </c>
      <c r="H49" s="2070">
        <v>0</v>
      </c>
      <c r="I49" s="2070">
        <v>0</v>
      </c>
      <c r="J49" s="2070">
        <v>0</v>
      </c>
      <c r="K49" s="2070">
        <v>0</v>
      </c>
      <c r="L49" s="2070">
        <v>0</v>
      </c>
      <c r="M49" s="2070">
        <v>0</v>
      </c>
      <c r="N49" s="2070">
        <v>0</v>
      </c>
      <c r="O49" s="2070">
        <v>0</v>
      </c>
      <c r="P49" s="2070">
        <v>0</v>
      </c>
      <c r="Q49" s="2070">
        <v>0</v>
      </c>
      <c r="R49" s="2070">
        <v>0</v>
      </c>
      <c r="S49" s="2070">
        <v>0</v>
      </c>
      <c r="T49" s="2070">
        <v>0</v>
      </c>
      <c r="U49" s="2070">
        <v>0</v>
      </c>
      <c r="V49" s="2070">
        <v>0</v>
      </c>
      <c r="W49" s="2070">
        <v>0</v>
      </c>
      <c r="X49" s="2070">
        <v>0</v>
      </c>
    </row>
    <row r="50" spans="1:24" ht="11.25" customHeight="1">
      <c r="A50" s="2068" t="s">
        <v>4668</v>
      </c>
      <c r="B50" s="2069" t="s">
        <v>5801</v>
      </c>
      <c r="C50" s="2070">
        <v>0</v>
      </c>
      <c r="D50" s="2070">
        <v>1.9394668959587271</v>
      </c>
      <c r="E50" s="2070">
        <v>3.8406706792777299</v>
      </c>
      <c r="F50" s="2070">
        <v>3.8406706792777299</v>
      </c>
      <c r="G50" s="2070">
        <v>1.8444539982803096</v>
      </c>
      <c r="H50" s="2070">
        <v>1.7232158211521926</v>
      </c>
      <c r="I50" s="2070">
        <v>7.2658641444539969</v>
      </c>
      <c r="J50" s="2070">
        <v>9.3696474634565767</v>
      </c>
      <c r="K50" s="2070">
        <v>44.703353396388636</v>
      </c>
      <c r="L50" s="2070">
        <v>2.6922613929492689</v>
      </c>
      <c r="M50" s="2070">
        <v>8.5597592433361989</v>
      </c>
      <c r="N50" s="2070">
        <v>7.4615649183147017</v>
      </c>
      <c r="O50" s="2070">
        <v>4.4106620808254515</v>
      </c>
      <c r="P50" s="2070">
        <v>1.7239896818572653</v>
      </c>
      <c r="Q50" s="2070">
        <v>6.4922613929492687</v>
      </c>
      <c r="R50" s="2070">
        <v>2.825881341358556</v>
      </c>
      <c r="S50" s="2070">
        <v>0</v>
      </c>
      <c r="T50" s="2070">
        <v>0.33473774720550292</v>
      </c>
      <c r="U50" s="2070">
        <v>0.43129836629406698</v>
      </c>
      <c r="V50" s="2070">
        <v>1.885898538263113</v>
      </c>
      <c r="W50" s="2070">
        <v>4.7807394668959592E-2</v>
      </c>
      <c r="X50" s="2070">
        <v>6.7841788478073942E-2</v>
      </c>
    </row>
    <row r="51" spans="1:24" ht="11.25" customHeight="1">
      <c r="A51" s="2071" t="s">
        <v>3875</v>
      </c>
      <c r="B51" s="2072" t="s">
        <v>5802</v>
      </c>
      <c r="C51" s="2073">
        <v>694.28486672398969</v>
      </c>
      <c r="D51" s="2073">
        <v>715.07325881341353</v>
      </c>
      <c r="E51" s="2073">
        <v>665.34230438521047</v>
      </c>
      <c r="F51" s="2073">
        <v>545.36319862424762</v>
      </c>
      <c r="G51" s="2073">
        <v>646.9184006878761</v>
      </c>
      <c r="H51" s="2073">
        <v>691.63138435081669</v>
      </c>
      <c r="I51" s="2073">
        <v>689.72312983662925</v>
      </c>
      <c r="J51" s="2073">
        <v>671.3634565778159</v>
      </c>
      <c r="K51" s="2073">
        <v>1001.2222699914014</v>
      </c>
      <c r="L51" s="2073">
        <v>1013.8199484092863</v>
      </c>
      <c r="M51" s="2073">
        <v>1063.1951848667238</v>
      </c>
      <c r="N51" s="2073">
        <v>1126.6251934651757</v>
      </c>
      <c r="O51" s="2073">
        <v>1744.4087704213241</v>
      </c>
      <c r="P51" s="2073">
        <v>1850.5057609630262</v>
      </c>
      <c r="Q51" s="2073">
        <v>1722.2726569217537</v>
      </c>
      <c r="R51" s="2073">
        <v>1264.0031814273432</v>
      </c>
      <c r="S51" s="2073">
        <v>1344.9000859845228</v>
      </c>
      <c r="T51" s="2073">
        <v>1368.3650042992265</v>
      </c>
      <c r="U51" s="2073">
        <v>1396.5434221840064</v>
      </c>
      <c r="V51" s="2073">
        <v>1454.7018916595011</v>
      </c>
      <c r="W51" s="2073">
        <v>1142.6703353396388</v>
      </c>
      <c r="X51" s="2073">
        <v>1908.6084264832327</v>
      </c>
    </row>
    <row r="52" spans="1:24" ht="11.25" customHeight="1">
      <c r="A52" s="2071" t="s">
        <v>5803</v>
      </c>
      <c r="B52" s="2072" t="s">
        <v>5804</v>
      </c>
      <c r="C52" s="2073">
        <v>30.901913051508899</v>
      </c>
      <c r="D52" s="2073">
        <v>29.303186005192991</v>
      </c>
      <c r="E52" s="2073">
        <v>32.501651611557776</v>
      </c>
      <c r="F52" s="2073">
        <v>42.790257689449213</v>
      </c>
      <c r="G52" s="2073">
        <v>52.509716209968857</v>
      </c>
      <c r="H52" s="2073">
        <v>73.346858608007409</v>
      </c>
      <c r="I52" s="2073">
        <v>91.03292292527297</v>
      </c>
      <c r="J52" s="2073">
        <v>91.308894338591898</v>
      </c>
      <c r="K52" s="2073">
        <v>79.005341403516184</v>
      </c>
      <c r="L52" s="2073">
        <v>94.85487074360509</v>
      </c>
      <c r="M52" s="2073">
        <v>113.18585438446421</v>
      </c>
      <c r="N52" s="2073">
        <v>109.22124136464079</v>
      </c>
      <c r="O52" s="2073">
        <v>120.46687586566424</v>
      </c>
      <c r="P52" s="2073">
        <v>95.985121257507572</v>
      </c>
      <c r="Q52" s="2073">
        <v>109.28618320819893</v>
      </c>
      <c r="R52" s="2073">
        <v>119.21691439293569</v>
      </c>
      <c r="S52" s="2073">
        <v>147.64149648415801</v>
      </c>
      <c r="T52" s="2073">
        <v>185.19125964917504</v>
      </c>
      <c r="U52" s="2073">
        <v>231.81476315435805</v>
      </c>
      <c r="V52" s="2073">
        <v>249.88519942831834</v>
      </c>
      <c r="W52" s="2073">
        <v>211.96465702310738</v>
      </c>
      <c r="X52" s="2073">
        <v>254.23081952382762</v>
      </c>
    </row>
    <row r="53" spans="1:24" ht="11.25" customHeight="1">
      <c r="A53" s="2074" t="s">
        <v>3973</v>
      </c>
      <c r="B53" s="2069" t="s">
        <v>5805</v>
      </c>
      <c r="C53" s="2070">
        <v>0</v>
      </c>
      <c r="D53" s="2070">
        <v>0</v>
      </c>
      <c r="E53" s="2070">
        <v>0</v>
      </c>
      <c r="F53" s="2070">
        <v>0</v>
      </c>
      <c r="G53" s="2070">
        <v>0</v>
      </c>
      <c r="H53" s="2070">
        <v>0</v>
      </c>
      <c r="I53" s="2070">
        <v>0</v>
      </c>
      <c r="J53" s="2070">
        <v>0</v>
      </c>
      <c r="K53" s="2070">
        <v>0</v>
      </c>
      <c r="L53" s="2070">
        <v>0</v>
      </c>
      <c r="M53" s="2070">
        <v>0</v>
      </c>
      <c r="N53" s="2070">
        <v>0</v>
      </c>
      <c r="O53" s="2070">
        <v>0</v>
      </c>
      <c r="P53" s="2070">
        <v>0</v>
      </c>
      <c r="Q53" s="2070">
        <v>0</v>
      </c>
      <c r="R53" s="2070">
        <v>0</v>
      </c>
      <c r="S53" s="2070">
        <v>0</v>
      </c>
      <c r="T53" s="2070">
        <v>0</v>
      </c>
      <c r="U53" s="2070">
        <v>0</v>
      </c>
      <c r="V53" s="2070">
        <v>0</v>
      </c>
      <c r="W53" s="2070">
        <v>0</v>
      </c>
      <c r="X53" s="2070">
        <v>0</v>
      </c>
    </row>
    <row r="54" spans="1:24" ht="11.25" customHeight="1">
      <c r="A54" s="2074" t="s">
        <v>5806</v>
      </c>
      <c r="B54" s="2069" t="s">
        <v>5807</v>
      </c>
      <c r="C54" s="2070">
        <v>0</v>
      </c>
      <c r="D54" s="2070">
        <v>0</v>
      </c>
      <c r="E54" s="2070">
        <v>0</v>
      </c>
      <c r="F54" s="2070">
        <v>0</v>
      </c>
      <c r="G54" s="2070">
        <v>0</v>
      </c>
      <c r="H54" s="2070">
        <v>0</v>
      </c>
      <c r="I54" s="2070">
        <v>0</v>
      </c>
      <c r="J54" s="2070">
        <v>0</v>
      </c>
      <c r="K54" s="2070">
        <v>0</v>
      </c>
      <c r="L54" s="2070">
        <v>0</v>
      </c>
      <c r="M54" s="2070">
        <v>0</v>
      </c>
      <c r="N54" s="2070">
        <v>0</v>
      </c>
      <c r="O54" s="2070">
        <v>0</v>
      </c>
      <c r="P54" s="2070">
        <v>0</v>
      </c>
      <c r="Q54" s="2070">
        <v>0</v>
      </c>
      <c r="R54" s="2070">
        <v>0</v>
      </c>
      <c r="S54" s="2070">
        <v>0</v>
      </c>
      <c r="T54" s="2070">
        <v>0</v>
      </c>
      <c r="U54" s="2070">
        <v>0</v>
      </c>
      <c r="V54" s="2070">
        <v>0</v>
      </c>
      <c r="W54" s="2070">
        <v>0</v>
      </c>
      <c r="X54" s="2070">
        <v>0</v>
      </c>
    </row>
    <row r="55" spans="1:24" ht="11.25" customHeight="1">
      <c r="A55" s="2074" t="s">
        <v>3965</v>
      </c>
      <c r="B55" s="2069" t="s">
        <v>5808</v>
      </c>
      <c r="C55" s="2070">
        <v>0</v>
      </c>
      <c r="D55" s="2070">
        <v>0</v>
      </c>
      <c r="E55" s="2070">
        <v>0</v>
      </c>
      <c r="F55" s="2070">
        <v>0</v>
      </c>
      <c r="G55" s="2070">
        <v>0</v>
      </c>
      <c r="H55" s="2070">
        <v>0</v>
      </c>
      <c r="I55" s="2070">
        <v>0</v>
      </c>
      <c r="J55" s="2070">
        <v>0</v>
      </c>
      <c r="K55" s="2070">
        <v>0</v>
      </c>
      <c r="L55" s="2070">
        <v>0</v>
      </c>
      <c r="M55" s="2070">
        <v>0</v>
      </c>
      <c r="N55" s="2070">
        <v>0</v>
      </c>
      <c r="O55" s="2070">
        <v>0</v>
      </c>
      <c r="P55" s="2070">
        <v>0</v>
      </c>
      <c r="Q55" s="2070">
        <v>0</v>
      </c>
      <c r="R55" s="2070">
        <v>0</v>
      </c>
      <c r="S55" s="2070">
        <v>0</v>
      </c>
      <c r="T55" s="2070">
        <v>0</v>
      </c>
      <c r="U55" s="2070">
        <v>0</v>
      </c>
      <c r="V55" s="2070">
        <v>0</v>
      </c>
      <c r="W55" s="2070">
        <v>0</v>
      </c>
      <c r="X55" s="2070">
        <v>0</v>
      </c>
    </row>
    <row r="56" spans="1:24" ht="11.25" customHeight="1">
      <c r="A56" s="2074" t="s">
        <v>5636</v>
      </c>
      <c r="B56" s="2069" t="s">
        <v>5809</v>
      </c>
      <c r="C56" s="2070">
        <v>0</v>
      </c>
      <c r="D56" s="2070">
        <v>0</v>
      </c>
      <c r="E56" s="2070">
        <v>0</v>
      </c>
      <c r="F56" s="2070">
        <v>0</v>
      </c>
      <c r="G56" s="2070">
        <v>0</v>
      </c>
      <c r="H56" s="2070">
        <v>0</v>
      </c>
      <c r="I56" s="2070">
        <v>0</v>
      </c>
      <c r="J56" s="2070">
        <v>0</v>
      </c>
      <c r="K56" s="2070">
        <v>0</v>
      </c>
      <c r="L56" s="2070">
        <v>0</v>
      </c>
      <c r="M56" s="2070">
        <v>0</v>
      </c>
      <c r="N56" s="2070">
        <v>0</v>
      </c>
      <c r="O56" s="2070">
        <v>0</v>
      </c>
      <c r="P56" s="2070">
        <v>0</v>
      </c>
      <c r="Q56" s="2070">
        <v>0</v>
      </c>
      <c r="R56" s="2070">
        <v>0</v>
      </c>
      <c r="S56" s="2070">
        <v>0</v>
      </c>
      <c r="T56" s="2070">
        <v>0</v>
      </c>
      <c r="U56" s="2070">
        <v>0</v>
      </c>
      <c r="V56" s="2070">
        <v>0</v>
      </c>
      <c r="W56" s="2070">
        <v>0</v>
      </c>
      <c r="X56" s="2070">
        <v>0</v>
      </c>
    </row>
    <row r="57" spans="1:24" ht="11.25" customHeight="1">
      <c r="A57" s="2074" t="s">
        <v>4617</v>
      </c>
      <c r="B57" s="2069" t="s">
        <v>5810</v>
      </c>
      <c r="C57" s="2070">
        <v>0</v>
      </c>
      <c r="D57" s="2070">
        <v>0</v>
      </c>
      <c r="E57" s="2070">
        <v>0</v>
      </c>
      <c r="F57" s="2070">
        <v>0</v>
      </c>
      <c r="G57" s="2070">
        <v>0</v>
      </c>
      <c r="H57" s="2070">
        <v>0</v>
      </c>
      <c r="I57" s="2070">
        <v>1.719690455717971E-4</v>
      </c>
      <c r="J57" s="2070">
        <v>1.719690455717971E-4</v>
      </c>
      <c r="K57" s="2070">
        <v>1.109200343938091E-2</v>
      </c>
      <c r="L57" s="2070">
        <v>1.5391229578675839E-2</v>
      </c>
      <c r="M57" s="2070">
        <v>1.6251074806534819E-2</v>
      </c>
      <c r="N57" s="2070">
        <v>1.6251074806534819E-2</v>
      </c>
      <c r="O57" s="2070">
        <v>2.4161650902837489E-2</v>
      </c>
      <c r="P57" s="2070">
        <v>2.4333619948409279E-2</v>
      </c>
      <c r="Q57" s="2070">
        <v>2.510748065348237E-2</v>
      </c>
      <c r="R57" s="2070">
        <v>0.1648323301805675</v>
      </c>
      <c r="S57" s="2070">
        <v>0.16672398968185731</v>
      </c>
      <c r="T57" s="2070">
        <v>0.16698194325021501</v>
      </c>
      <c r="U57" s="2070">
        <v>0.1693895098882201</v>
      </c>
      <c r="V57" s="2070">
        <v>0.18847807394668961</v>
      </c>
      <c r="W57" s="2070">
        <v>0.18873602751504731</v>
      </c>
      <c r="X57" s="2070">
        <v>0.18873602751504731</v>
      </c>
    </row>
    <row r="58" spans="1:24" ht="11.25" customHeight="1">
      <c r="A58" s="2074" t="s">
        <v>3971</v>
      </c>
      <c r="B58" s="2069" t="s">
        <v>5811</v>
      </c>
      <c r="C58" s="2070">
        <v>0</v>
      </c>
      <c r="D58" s="2070">
        <v>0</v>
      </c>
      <c r="E58" s="2070">
        <v>0</v>
      </c>
      <c r="F58" s="2070">
        <v>0</v>
      </c>
      <c r="G58" s="2070">
        <v>0</v>
      </c>
      <c r="H58" s="2070">
        <v>0</v>
      </c>
      <c r="I58" s="2070">
        <v>0</v>
      </c>
      <c r="J58" s="2070">
        <v>0</v>
      </c>
      <c r="K58" s="2070">
        <v>0</v>
      </c>
      <c r="L58" s="2070">
        <v>0</v>
      </c>
      <c r="M58" s="2070">
        <v>2.5795356835769558</v>
      </c>
      <c r="N58" s="2070">
        <v>0</v>
      </c>
      <c r="O58" s="2070">
        <v>0.64488392089423896</v>
      </c>
      <c r="P58" s="2070">
        <v>0.5970765262252794</v>
      </c>
      <c r="Q58" s="2070">
        <v>0.14333619948409279</v>
      </c>
      <c r="R58" s="2070">
        <v>0.31049011177987962</v>
      </c>
      <c r="S58" s="2070">
        <v>0.31049011177987962</v>
      </c>
      <c r="T58" s="2070">
        <v>0.23886500429922611</v>
      </c>
      <c r="U58" s="2070">
        <v>0.16715391229578669</v>
      </c>
      <c r="V58" s="2070">
        <v>0.2149613069647463</v>
      </c>
      <c r="W58" s="2070">
        <v>0.47773000859845233</v>
      </c>
      <c r="X58" s="2070">
        <v>0.66878761822871879</v>
      </c>
    </row>
    <row r="59" spans="1:24" ht="11.25" customHeight="1">
      <c r="A59" s="2074" t="s">
        <v>4669</v>
      </c>
      <c r="B59" s="2069" t="s">
        <v>5812</v>
      </c>
      <c r="C59" s="2070">
        <v>29.569217540842647</v>
      </c>
      <c r="D59" s="2070">
        <v>27.897248495270851</v>
      </c>
      <c r="E59" s="2070">
        <v>30.978331900257945</v>
      </c>
      <c r="F59" s="2070">
        <v>41.272570937231286</v>
      </c>
      <c r="G59" s="2070">
        <v>50.993637145313855</v>
      </c>
      <c r="H59" s="2070">
        <v>64.206878761822864</v>
      </c>
      <c r="I59" s="2070">
        <v>71.435339638865017</v>
      </c>
      <c r="J59" s="2070">
        <v>63.068099742046442</v>
      </c>
      <c r="K59" s="2070">
        <v>48.555460017196907</v>
      </c>
      <c r="L59" s="2070">
        <v>56.147291487532243</v>
      </c>
      <c r="M59" s="2070">
        <v>65.767755803955282</v>
      </c>
      <c r="N59" s="2070">
        <v>64.446689595872741</v>
      </c>
      <c r="O59" s="2070">
        <v>63.887274290627694</v>
      </c>
      <c r="P59" s="2070">
        <v>39.480137575236455</v>
      </c>
      <c r="Q59" s="2070">
        <v>35.952622527944968</v>
      </c>
      <c r="R59" s="2070">
        <v>35.044110060189169</v>
      </c>
      <c r="S59" s="2070">
        <v>29.581083404987091</v>
      </c>
      <c r="T59" s="2070">
        <v>31.415993121238174</v>
      </c>
      <c r="U59" s="2070">
        <v>30.725365434221839</v>
      </c>
      <c r="V59" s="2070">
        <v>31.577128116938944</v>
      </c>
      <c r="W59" s="2070">
        <v>30.425623387790196</v>
      </c>
      <c r="X59" s="2070">
        <v>34.997678417884778</v>
      </c>
    </row>
    <row r="60" spans="1:24" ht="11.25" customHeight="1">
      <c r="A60" s="2074" t="s">
        <v>4618</v>
      </c>
      <c r="B60" s="2069" t="s">
        <v>5813</v>
      </c>
      <c r="C60" s="2070">
        <v>0</v>
      </c>
      <c r="D60" s="2070">
        <v>0</v>
      </c>
      <c r="E60" s="2070">
        <v>0</v>
      </c>
      <c r="F60" s="2070">
        <v>0</v>
      </c>
      <c r="G60" s="2070">
        <v>0</v>
      </c>
      <c r="H60" s="2070">
        <v>0</v>
      </c>
      <c r="I60" s="2070">
        <v>0</v>
      </c>
      <c r="J60" s="2070">
        <v>0</v>
      </c>
      <c r="K60" s="2070">
        <v>0</v>
      </c>
      <c r="L60" s="2070">
        <v>0</v>
      </c>
      <c r="M60" s="2070">
        <v>0</v>
      </c>
      <c r="N60" s="2070">
        <v>0</v>
      </c>
      <c r="O60" s="2070">
        <v>0</v>
      </c>
      <c r="P60" s="2070">
        <v>0</v>
      </c>
      <c r="Q60" s="2070">
        <v>0</v>
      </c>
      <c r="R60" s="2070">
        <v>0</v>
      </c>
      <c r="S60" s="2070">
        <v>0</v>
      </c>
      <c r="T60" s="2070">
        <v>0</v>
      </c>
      <c r="U60" s="2070">
        <v>0</v>
      </c>
      <c r="V60" s="2070">
        <v>0</v>
      </c>
      <c r="W60" s="2070">
        <v>0</v>
      </c>
      <c r="X60" s="2070">
        <v>0</v>
      </c>
    </row>
    <row r="61" spans="1:24" ht="11.25" customHeight="1">
      <c r="A61" s="2074" t="s">
        <v>4670</v>
      </c>
      <c r="B61" s="2069" t="s">
        <v>5814</v>
      </c>
      <c r="C61" s="2070">
        <v>0</v>
      </c>
      <c r="D61" s="2070">
        <v>0</v>
      </c>
      <c r="E61" s="2070">
        <v>0</v>
      </c>
      <c r="F61" s="2070">
        <v>0</v>
      </c>
      <c r="G61" s="2070">
        <v>0</v>
      </c>
      <c r="H61" s="2070">
        <v>3.5622527944969899</v>
      </c>
      <c r="I61" s="2070">
        <v>2.2771281169389508</v>
      </c>
      <c r="J61" s="2070">
        <v>3.4319862424763539</v>
      </c>
      <c r="K61" s="2070">
        <v>3.3948409286328456</v>
      </c>
      <c r="L61" s="2070">
        <v>7.7386070507308669E-2</v>
      </c>
      <c r="M61" s="2070">
        <v>6.6208082545141872E-3</v>
      </c>
      <c r="N61" s="2070">
        <v>2.3989681857265691E-2</v>
      </c>
      <c r="O61" s="2070">
        <v>3.2502149613069638E-2</v>
      </c>
      <c r="P61" s="2070">
        <v>3.4565778159931212E-2</v>
      </c>
      <c r="Q61" s="2070">
        <v>0.27016337059329315</v>
      </c>
      <c r="R61" s="2070">
        <v>0.32141014617368874</v>
      </c>
      <c r="S61" s="2070">
        <v>0.75313843508168521</v>
      </c>
      <c r="T61" s="2070">
        <v>0.87145313843508165</v>
      </c>
      <c r="U61" s="2070">
        <v>1.1049871023215825</v>
      </c>
      <c r="V61" s="2070">
        <v>0.84806534823731716</v>
      </c>
      <c r="W61" s="2070">
        <v>1.0560619088564056</v>
      </c>
      <c r="X61" s="2070">
        <v>2.6815133276010314</v>
      </c>
    </row>
    <row r="62" spans="1:24" ht="11.25" customHeight="1">
      <c r="A62" s="2074" t="s">
        <v>5815</v>
      </c>
      <c r="B62" s="2069" t="s">
        <v>5816</v>
      </c>
      <c r="C62" s="2070">
        <v>0</v>
      </c>
      <c r="D62" s="2070">
        <v>0</v>
      </c>
      <c r="E62" s="2070">
        <v>0</v>
      </c>
      <c r="F62" s="2070">
        <v>0</v>
      </c>
      <c r="G62" s="2070">
        <v>0</v>
      </c>
      <c r="H62" s="2070">
        <v>0</v>
      </c>
      <c r="I62" s="2070">
        <v>0</v>
      </c>
      <c r="J62" s="2070">
        <v>0</v>
      </c>
      <c r="K62" s="2070">
        <v>0</v>
      </c>
      <c r="L62" s="2070">
        <v>0</v>
      </c>
      <c r="M62" s="2070">
        <v>2.487274290627687</v>
      </c>
      <c r="N62" s="2070">
        <v>0.52708512467755797</v>
      </c>
      <c r="O62" s="2070">
        <v>0</v>
      </c>
      <c r="P62" s="2070">
        <v>0.1068787618228719</v>
      </c>
      <c r="Q62" s="2070">
        <v>0.55993121238177124</v>
      </c>
      <c r="R62" s="2070">
        <v>0.54067067927773005</v>
      </c>
      <c r="S62" s="2070">
        <v>0.62046431642304378</v>
      </c>
      <c r="T62" s="2070">
        <v>0.46225279449699047</v>
      </c>
      <c r="U62" s="2070">
        <v>0.57102321582115212</v>
      </c>
      <c r="V62" s="2070">
        <v>2.665520206362855E-3</v>
      </c>
      <c r="W62" s="2070">
        <v>0.59759243336199475</v>
      </c>
      <c r="X62" s="2070">
        <v>0.27291487532244191</v>
      </c>
    </row>
    <row r="63" spans="1:24" ht="11.25" customHeight="1">
      <c r="A63" s="2074" t="s">
        <v>5817</v>
      </c>
      <c r="B63" s="2069" t="s">
        <v>5818</v>
      </c>
      <c r="C63" s="2070">
        <v>0</v>
      </c>
      <c r="D63" s="2070">
        <v>0</v>
      </c>
      <c r="E63" s="2070">
        <v>0</v>
      </c>
      <c r="F63" s="2070">
        <v>0</v>
      </c>
      <c r="G63" s="2070">
        <v>0</v>
      </c>
      <c r="H63" s="2070">
        <v>0</v>
      </c>
      <c r="I63" s="2070">
        <v>0</v>
      </c>
      <c r="J63" s="2070">
        <v>0</v>
      </c>
      <c r="K63" s="2070">
        <v>0</v>
      </c>
      <c r="L63" s="2070">
        <v>0</v>
      </c>
      <c r="M63" s="2070">
        <v>0</v>
      </c>
      <c r="N63" s="2070">
        <v>0</v>
      </c>
      <c r="O63" s="2070">
        <v>0</v>
      </c>
      <c r="P63" s="2070">
        <v>0</v>
      </c>
      <c r="Q63" s="2070">
        <v>0</v>
      </c>
      <c r="R63" s="2070">
        <v>0</v>
      </c>
      <c r="S63" s="2070">
        <v>0</v>
      </c>
      <c r="T63" s="2070">
        <v>0</v>
      </c>
      <c r="U63" s="2070">
        <v>0</v>
      </c>
      <c r="V63" s="2070">
        <v>0</v>
      </c>
      <c r="W63" s="2070">
        <v>0</v>
      </c>
      <c r="X63" s="2070">
        <v>0</v>
      </c>
    </row>
    <row r="64" spans="1:24" ht="11.25" customHeight="1">
      <c r="A64" s="2074" t="s">
        <v>5819</v>
      </c>
      <c r="B64" s="2069" t="s">
        <v>5820</v>
      </c>
      <c r="C64" s="2070">
        <v>0</v>
      </c>
      <c r="D64" s="2070">
        <v>0</v>
      </c>
      <c r="E64" s="2070">
        <v>0</v>
      </c>
      <c r="F64" s="2070">
        <v>0</v>
      </c>
      <c r="G64" s="2070">
        <v>0</v>
      </c>
      <c r="H64" s="2070">
        <v>0.1309544282029235</v>
      </c>
      <c r="I64" s="2070">
        <v>0.156749785038693</v>
      </c>
      <c r="J64" s="2070">
        <v>0.19028374892519351</v>
      </c>
      <c r="K64" s="2070">
        <v>0.2405846947549441</v>
      </c>
      <c r="L64" s="2070">
        <v>0.22123817712811689</v>
      </c>
      <c r="M64" s="2070">
        <v>0.2349957007738607</v>
      </c>
      <c r="N64" s="2070">
        <v>0.25752364574376613</v>
      </c>
      <c r="O64" s="2070">
        <v>0.26070507308684437</v>
      </c>
      <c r="P64" s="2070">
        <v>0.24333619948409291</v>
      </c>
      <c r="Q64" s="2070">
        <v>0.23250214961306959</v>
      </c>
      <c r="R64" s="2070">
        <v>0.21126397248495271</v>
      </c>
      <c r="S64" s="2070">
        <v>0.18555460017196901</v>
      </c>
      <c r="T64" s="2070">
        <v>0.1243336199484093</v>
      </c>
      <c r="U64" s="2070">
        <v>0.18340498710232159</v>
      </c>
      <c r="V64" s="2070">
        <v>0.14213241616509029</v>
      </c>
      <c r="W64" s="2070">
        <v>0.16500429922613929</v>
      </c>
      <c r="X64" s="2070">
        <v>0.20619088564058469</v>
      </c>
    </row>
    <row r="65" spans="1:24" ht="11.25" customHeight="1">
      <c r="A65" s="2074" t="s">
        <v>5821</v>
      </c>
      <c r="B65" s="2069" t="s">
        <v>5822</v>
      </c>
      <c r="C65" s="2070">
        <v>0</v>
      </c>
      <c r="D65" s="2070">
        <v>0</v>
      </c>
      <c r="E65" s="2070">
        <v>0</v>
      </c>
      <c r="F65" s="2070">
        <v>0</v>
      </c>
      <c r="G65" s="2070">
        <v>0</v>
      </c>
      <c r="H65" s="2070">
        <v>4.9269131556319852E-2</v>
      </c>
      <c r="I65" s="2070">
        <v>0.27953568357695607</v>
      </c>
      <c r="J65" s="2070">
        <v>0.1568357695614789</v>
      </c>
      <c r="K65" s="2070">
        <v>0.14961306964746349</v>
      </c>
      <c r="L65" s="2070">
        <v>0.3736027515047291</v>
      </c>
      <c r="M65" s="2070">
        <v>0.54359415305245051</v>
      </c>
      <c r="N65" s="2070">
        <v>1.0792777300085983</v>
      </c>
      <c r="O65" s="2070">
        <v>1.5184006878761822</v>
      </c>
      <c r="P65" s="2070">
        <v>1.7349957007738608</v>
      </c>
      <c r="Q65" s="2070">
        <v>4.9188306104901116</v>
      </c>
      <c r="R65" s="2070">
        <v>5.615907136715391</v>
      </c>
      <c r="S65" s="2070">
        <v>8.2168529664660355</v>
      </c>
      <c r="T65" s="2070">
        <v>18.078675838349099</v>
      </c>
      <c r="U65" s="2070">
        <v>17.07429062768702</v>
      </c>
      <c r="V65" s="2070">
        <v>12.0524505588994</v>
      </c>
      <c r="W65" s="2070">
        <v>13.056835769561481</v>
      </c>
      <c r="X65" s="2070">
        <v>11.048065348237319</v>
      </c>
    </row>
    <row r="66" spans="1:24" ht="11.25" customHeight="1">
      <c r="A66" s="2074" t="s">
        <v>5823</v>
      </c>
      <c r="B66" s="2069" t="s">
        <v>5824</v>
      </c>
      <c r="C66" s="2070">
        <v>0</v>
      </c>
      <c r="D66" s="2070">
        <v>0</v>
      </c>
      <c r="E66" s="2070">
        <v>0</v>
      </c>
      <c r="F66" s="2070">
        <v>0</v>
      </c>
      <c r="G66" s="2070">
        <v>0</v>
      </c>
      <c r="H66" s="2070">
        <v>3.513585554600172</v>
      </c>
      <c r="I66" s="2070">
        <v>14.80447119518487</v>
      </c>
      <c r="J66" s="2070">
        <v>22.199570077386074</v>
      </c>
      <c r="K66" s="2070">
        <v>24.252622527944965</v>
      </c>
      <c r="L66" s="2070">
        <v>30.988564058469471</v>
      </c>
      <c r="M66" s="2070">
        <v>31.51693895098882</v>
      </c>
      <c r="N66" s="2070">
        <v>33.977987962166814</v>
      </c>
      <c r="O66" s="2070">
        <v>48.771281169389503</v>
      </c>
      <c r="P66" s="2070">
        <v>50.421066208082536</v>
      </c>
      <c r="Q66" s="2070">
        <v>55.69294926913156</v>
      </c>
      <c r="R66" s="2070">
        <v>66.587274290627676</v>
      </c>
      <c r="S66" s="2070">
        <v>96.268873602751512</v>
      </c>
      <c r="T66" s="2070">
        <v>120.33336199484094</v>
      </c>
      <c r="U66" s="2070">
        <v>165.61074806534825</v>
      </c>
      <c r="V66" s="2070">
        <v>185.30868443680137</v>
      </c>
      <c r="W66" s="2070">
        <v>147.55494411006015</v>
      </c>
      <c r="X66" s="2070">
        <v>181.09716251074803</v>
      </c>
    </row>
    <row r="67" spans="1:24" ht="11.25" customHeight="1">
      <c r="A67" s="2074" t="s">
        <v>5825</v>
      </c>
      <c r="B67" s="2069" t="s">
        <v>5826</v>
      </c>
      <c r="C67" s="2070">
        <v>0</v>
      </c>
      <c r="D67" s="2070">
        <v>0</v>
      </c>
      <c r="E67" s="2070">
        <v>0</v>
      </c>
      <c r="F67" s="2070">
        <v>0</v>
      </c>
      <c r="G67" s="2070">
        <v>0</v>
      </c>
      <c r="H67" s="2070">
        <v>0</v>
      </c>
      <c r="I67" s="2070">
        <v>0</v>
      </c>
      <c r="J67" s="2070">
        <v>0</v>
      </c>
      <c r="K67" s="2070">
        <v>0</v>
      </c>
      <c r="L67" s="2070">
        <v>0</v>
      </c>
      <c r="M67" s="2070">
        <v>0</v>
      </c>
      <c r="N67" s="2070">
        <v>0</v>
      </c>
      <c r="O67" s="2070">
        <v>0</v>
      </c>
      <c r="P67" s="2070">
        <v>0</v>
      </c>
      <c r="Q67" s="2070">
        <v>0</v>
      </c>
      <c r="R67" s="2070">
        <v>0</v>
      </c>
      <c r="S67" s="2070">
        <v>0</v>
      </c>
      <c r="T67" s="2070">
        <v>0</v>
      </c>
      <c r="U67" s="2070">
        <v>0</v>
      </c>
      <c r="V67" s="2070">
        <v>0</v>
      </c>
      <c r="W67" s="2070">
        <v>0</v>
      </c>
      <c r="X67" s="2070">
        <v>0</v>
      </c>
    </row>
    <row r="68" spans="1:24" ht="11.25" customHeight="1">
      <c r="A68" s="2074" t="s">
        <v>5827</v>
      </c>
      <c r="B68" s="2069" t="s">
        <v>5828</v>
      </c>
      <c r="C68" s="2070">
        <v>0</v>
      </c>
      <c r="D68" s="2070">
        <v>0</v>
      </c>
      <c r="E68" s="2070">
        <v>0</v>
      </c>
      <c r="F68" s="2070">
        <v>0</v>
      </c>
      <c r="G68" s="2070">
        <v>0</v>
      </c>
      <c r="H68" s="2070">
        <v>0</v>
      </c>
      <c r="I68" s="2070">
        <v>0</v>
      </c>
      <c r="J68" s="2070">
        <v>0</v>
      </c>
      <c r="K68" s="2070">
        <v>0</v>
      </c>
      <c r="L68" s="2070">
        <v>0</v>
      </c>
      <c r="M68" s="2070">
        <v>0</v>
      </c>
      <c r="N68" s="2070">
        <v>0</v>
      </c>
      <c r="O68" s="2070">
        <v>0</v>
      </c>
      <c r="P68" s="2070">
        <v>0</v>
      </c>
      <c r="Q68" s="2070">
        <v>0</v>
      </c>
      <c r="R68" s="2070">
        <v>0</v>
      </c>
      <c r="S68" s="2070">
        <v>0</v>
      </c>
      <c r="T68" s="2070">
        <v>0</v>
      </c>
      <c r="U68" s="2070">
        <v>0</v>
      </c>
      <c r="V68" s="2070">
        <v>0</v>
      </c>
      <c r="W68" s="2070">
        <v>0</v>
      </c>
      <c r="X68" s="2070">
        <v>0</v>
      </c>
    </row>
    <row r="69" spans="1:24" ht="11.25" customHeight="1">
      <c r="A69" s="2074" t="s">
        <v>4619</v>
      </c>
      <c r="B69" s="2069" t="s">
        <v>5829</v>
      </c>
      <c r="C69" s="2070">
        <v>0</v>
      </c>
      <c r="D69" s="2070">
        <v>0</v>
      </c>
      <c r="E69" s="2070">
        <v>0</v>
      </c>
      <c r="F69" s="2070">
        <v>0</v>
      </c>
      <c r="G69" s="2070">
        <v>0</v>
      </c>
      <c r="H69" s="2070">
        <v>0</v>
      </c>
      <c r="I69" s="2070">
        <v>0</v>
      </c>
      <c r="J69" s="2070">
        <v>0</v>
      </c>
      <c r="K69" s="2070">
        <v>0</v>
      </c>
      <c r="L69" s="2070">
        <v>4.4524505588993977</v>
      </c>
      <c r="M69" s="2070">
        <v>7.3600171969045558</v>
      </c>
      <c r="N69" s="2070">
        <v>5.9188306104901116</v>
      </c>
      <c r="O69" s="2070">
        <v>2.2458297506448841</v>
      </c>
      <c r="P69" s="2070">
        <v>0</v>
      </c>
      <c r="Q69" s="2070">
        <v>0</v>
      </c>
      <c r="R69" s="2070">
        <v>0</v>
      </c>
      <c r="S69" s="2070">
        <v>0</v>
      </c>
      <c r="T69" s="2070">
        <v>0</v>
      </c>
      <c r="U69" s="2070">
        <v>0</v>
      </c>
      <c r="V69" s="2070">
        <v>0</v>
      </c>
      <c r="W69" s="2070">
        <v>0</v>
      </c>
      <c r="X69" s="2070">
        <v>0</v>
      </c>
    </row>
    <row r="70" spans="1:24" ht="11.25" customHeight="1">
      <c r="A70" s="2074" t="s">
        <v>5830</v>
      </c>
      <c r="B70" s="2069" t="s">
        <v>5831</v>
      </c>
      <c r="C70" s="2070">
        <v>1.332695510666253</v>
      </c>
      <c r="D70" s="2070">
        <v>1.4059375099221416</v>
      </c>
      <c r="E70" s="2070">
        <v>1.5233197112998329</v>
      </c>
      <c r="F70" s="2070">
        <v>1.5176867522179243</v>
      </c>
      <c r="G70" s="2070">
        <v>1.5160790646550029</v>
      </c>
      <c r="H70" s="2070">
        <v>1.8839179373281449</v>
      </c>
      <c r="I70" s="2070">
        <v>2.0795265366229061</v>
      </c>
      <c r="J70" s="2070">
        <v>2.2619467891507772</v>
      </c>
      <c r="K70" s="2070">
        <v>2.4011281618996834</v>
      </c>
      <c r="L70" s="2070">
        <v>2.5789464099851482</v>
      </c>
      <c r="M70" s="2070">
        <v>2.6728707215235454</v>
      </c>
      <c r="N70" s="2070">
        <v>2.9736059390174208</v>
      </c>
      <c r="O70" s="2070">
        <v>3.0818371726289877</v>
      </c>
      <c r="P70" s="2070">
        <v>3.3427308877741519</v>
      </c>
      <c r="Q70" s="2070">
        <v>11.490740387906577</v>
      </c>
      <c r="R70" s="2070">
        <v>10.420955665506634</v>
      </c>
      <c r="S70" s="2070">
        <v>11.538315056814913</v>
      </c>
      <c r="T70" s="2070">
        <v>13.499342194316906</v>
      </c>
      <c r="U70" s="2070">
        <v>16.208400299671904</v>
      </c>
      <c r="V70" s="2070">
        <v>19.550633650158424</v>
      </c>
      <c r="W70" s="2070">
        <v>18.442129078137523</v>
      </c>
      <c r="X70" s="2070">
        <v>23.06977051264964</v>
      </c>
    </row>
    <row r="71" spans="1:24" ht="11.25" customHeight="1">
      <c r="A71" s="2071" t="s">
        <v>5832</v>
      </c>
      <c r="B71" s="2072" t="s">
        <v>5833</v>
      </c>
      <c r="C71" s="2073">
        <v>0.45374032674118658</v>
      </c>
      <c r="D71" s="2073">
        <v>0.52545141874462586</v>
      </c>
      <c r="E71" s="2073">
        <v>0.78822012037833178</v>
      </c>
      <c r="F71" s="2073">
        <v>0.78822012037833178</v>
      </c>
      <c r="G71" s="2073">
        <v>0.5970765262252794</v>
      </c>
      <c r="H71" s="2073">
        <v>1.4949269131556318</v>
      </c>
      <c r="I71" s="2073">
        <v>1.9107480653482369</v>
      </c>
      <c r="J71" s="2073">
        <v>1.5499570077386069</v>
      </c>
      <c r="K71" s="2073">
        <v>1.373516766981943</v>
      </c>
      <c r="L71" s="2073">
        <v>1.221066208082545</v>
      </c>
      <c r="M71" s="2073">
        <v>3.5742906276870166</v>
      </c>
      <c r="N71" s="2073">
        <v>1.5700773860705071</v>
      </c>
      <c r="O71" s="2073">
        <v>0</v>
      </c>
      <c r="P71" s="2073">
        <v>0.33198624247635433</v>
      </c>
      <c r="Q71" s="2073">
        <v>0.69613069647463455</v>
      </c>
      <c r="R71" s="2073">
        <v>1.0136715391229578</v>
      </c>
      <c r="S71" s="2073">
        <v>0.81367153912295764</v>
      </c>
      <c r="T71" s="2073">
        <v>0.66397248495270844</v>
      </c>
      <c r="U71" s="2073">
        <v>0.74600171969045559</v>
      </c>
      <c r="V71" s="2073">
        <v>0.45958727429062762</v>
      </c>
      <c r="W71" s="2073">
        <v>0.7877901977644024</v>
      </c>
      <c r="X71" s="2073">
        <v>0.85872742906276867</v>
      </c>
    </row>
    <row r="72" spans="1:24" ht="11.25" customHeight="1">
      <c r="A72" s="2074" t="s">
        <v>5834</v>
      </c>
      <c r="B72" s="2069" t="s">
        <v>5835</v>
      </c>
      <c r="C72" s="2070">
        <v>0.45374032674118658</v>
      </c>
      <c r="D72" s="2070">
        <v>0.52545141874462586</v>
      </c>
      <c r="E72" s="2070">
        <v>0.78822012037833178</v>
      </c>
      <c r="F72" s="2070">
        <v>0.78822012037833178</v>
      </c>
      <c r="G72" s="2070">
        <v>0.5970765262252794</v>
      </c>
      <c r="H72" s="2070">
        <v>1.4949269131556318</v>
      </c>
      <c r="I72" s="2070">
        <v>1.9107480653482369</v>
      </c>
      <c r="J72" s="2070">
        <v>1.5499570077386069</v>
      </c>
      <c r="K72" s="2070">
        <v>1.373516766981943</v>
      </c>
      <c r="L72" s="2070">
        <v>1.221066208082545</v>
      </c>
      <c r="M72" s="2070">
        <v>1.0870163370593293</v>
      </c>
      <c r="N72" s="2070">
        <v>1.042992261392949</v>
      </c>
      <c r="O72" s="2070">
        <v>0</v>
      </c>
      <c r="P72" s="2070">
        <v>0.22510748065348241</v>
      </c>
      <c r="Q72" s="2070">
        <v>0.13619948409286331</v>
      </c>
      <c r="R72" s="2070">
        <v>0.47300085984522788</v>
      </c>
      <c r="S72" s="2070">
        <v>0.1454858125537403</v>
      </c>
      <c r="T72" s="2070">
        <v>0.15503009458297506</v>
      </c>
      <c r="U72" s="2070">
        <v>0.16517626827171109</v>
      </c>
      <c r="V72" s="2070">
        <v>0.45004299226139288</v>
      </c>
      <c r="W72" s="2070">
        <v>0.19363714531384352</v>
      </c>
      <c r="X72" s="2070">
        <v>0.56552020636285472</v>
      </c>
    </row>
    <row r="73" spans="1:24" ht="11.25" customHeight="1">
      <c r="A73" s="2074" t="s">
        <v>5836</v>
      </c>
      <c r="B73" s="2069" t="s">
        <v>5837</v>
      </c>
      <c r="C73" s="2070">
        <v>0</v>
      </c>
      <c r="D73" s="2070">
        <v>0</v>
      </c>
      <c r="E73" s="2070">
        <v>0</v>
      </c>
      <c r="F73" s="2070">
        <v>0</v>
      </c>
      <c r="G73" s="2070">
        <v>0</v>
      </c>
      <c r="H73" s="2070">
        <v>0</v>
      </c>
      <c r="I73" s="2070">
        <v>0</v>
      </c>
      <c r="J73" s="2070">
        <v>0</v>
      </c>
      <c r="K73" s="2070">
        <v>0</v>
      </c>
      <c r="L73" s="2070">
        <v>0</v>
      </c>
      <c r="M73" s="2070">
        <v>2.487274290627687</v>
      </c>
      <c r="N73" s="2070">
        <v>0.52708512467755797</v>
      </c>
      <c r="O73" s="2070">
        <v>0</v>
      </c>
      <c r="P73" s="2070">
        <v>0.1068787618228719</v>
      </c>
      <c r="Q73" s="2070">
        <v>0.55993121238177124</v>
      </c>
      <c r="R73" s="2070">
        <v>0.54067067927773005</v>
      </c>
      <c r="S73" s="2070">
        <v>0.66818572656921738</v>
      </c>
      <c r="T73" s="2070">
        <v>0.50894239036973343</v>
      </c>
      <c r="U73" s="2070">
        <v>0.58082545141874453</v>
      </c>
      <c r="V73" s="2070">
        <v>9.5442820292347373E-3</v>
      </c>
      <c r="W73" s="2070">
        <v>0.59415305245055883</v>
      </c>
      <c r="X73" s="2070">
        <v>0.29320722269991395</v>
      </c>
    </row>
    <row r="74" spans="1:24" ht="11.25" customHeight="1">
      <c r="A74" s="2071" t="s">
        <v>4616</v>
      </c>
      <c r="B74" s="2072" t="s">
        <v>5838</v>
      </c>
      <c r="C74" s="2073">
        <v>0</v>
      </c>
      <c r="D74" s="2073">
        <v>0</v>
      </c>
      <c r="E74" s="2073">
        <v>0</v>
      </c>
      <c r="F74" s="2073">
        <v>0</v>
      </c>
      <c r="G74" s="2073">
        <v>0</v>
      </c>
      <c r="H74" s="2073">
        <v>0</v>
      </c>
      <c r="I74" s="2073">
        <v>0</v>
      </c>
      <c r="J74" s="2073">
        <v>0</v>
      </c>
      <c r="K74" s="2073">
        <v>0</v>
      </c>
      <c r="L74" s="2073">
        <v>0</v>
      </c>
      <c r="M74" s="2073">
        <v>0</v>
      </c>
      <c r="N74" s="2073">
        <v>0</v>
      </c>
      <c r="O74" s="2073">
        <v>0</v>
      </c>
      <c r="P74" s="2073">
        <v>0</v>
      </c>
      <c r="Q74" s="2073">
        <v>0</v>
      </c>
      <c r="R74" s="2073">
        <v>0</v>
      </c>
      <c r="S74" s="2073">
        <v>0</v>
      </c>
      <c r="T74" s="2073">
        <v>0</v>
      </c>
      <c r="U74" s="2073">
        <v>0</v>
      </c>
      <c r="V74" s="2073">
        <v>0</v>
      </c>
      <c r="W74" s="2073">
        <v>0</v>
      </c>
      <c r="X74" s="2073">
        <v>0</v>
      </c>
    </row>
    <row r="75" spans="1:24" ht="11.25" customHeight="1">
      <c r="A75" s="2071" t="s">
        <v>4671</v>
      </c>
      <c r="B75" s="2072" t="s">
        <v>5839</v>
      </c>
      <c r="C75" s="2073">
        <v>55.913843508168526</v>
      </c>
      <c r="D75" s="2073">
        <v>53.477644024075659</v>
      </c>
      <c r="E75" s="2073">
        <v>59.759243336199475</v>
      </c>
      <c r="F75" s="2073">
        <v>78.699656061908854</v>
      </c>
      <c r="G75" s="2073">
        <v>73.803439380911428</v>
      </c>
      <c r="H75" s="2073">
        <v>80.053138435081664</v>
      </c>
      <c r="I75" s="2073">
        <v>80.673258813413568</v>
      </c>
      <c r="J75" s="2073">
        <v>73.695184866723991</v>
      </c>
      <c r="K75" s="2073">
        <v>71.587360275150473</v>
      </c>
      <c r="L75" s="2073">
        <v>70.919948409286334</v>
      </c>
      <c r="M75" s="2073">
        <v>53.290971625107474</v>
      </c>
      <c r="N75" s="2073">
        <v>49.453396388650049</v>
      </c>
      <c r="O75" s="2073">
        <v>47.404385210662078</v>
      </c>
      <c r="P75" s="2073">
        <v>42.878933791917447</v>
      </c>
      <c r="Q75" s="2073">
        <v>41.171281169389502</v>
      </c>
      <c r="R75" s="2073">
        <v>37.006878761822861</v>
      </c>
      <c r="S75" s="2073">
        <v>32.888650042992268</v>
      </c>
      <c r="T75" s="2073">
        <v>32.177815993121236</v>
      </c>
      <c r="U75" s="2073">
        <v>32.611263972484956</v>
      </c>
      <c r="V75" s="2073">
        <v>33.903267411865855</v>
      </c>
      <c r="W75" s="2073">
        <v>37.37944969905417</v>
      </c>
      <c r="X75" s="2073">
        <v>32.20808254514187</v>
      </c>
    </row>
    <row r="76" spans="1:24" ht="11.25" customHeight="1">
      <c r="A76" s="2075" t="s">
        <v>4282</v>
      </c>
      <c r="B76" s="2076" t="s">
        <v>5840</v>
      </c>
      <c r="C76" s="2077">
        <v>978.5693035253654</v>
      </c>
      <c r="D76" s="2077">
        <v>1028.4408426483233</v>
      </c>
      <c r="E76" s="2077">
        <v>1090.5628546861567</v>
      </c>
      <c r="F76" s="2077">
        <v>1072.5511607910576</v>
      </c>
      <c r="G76" s="2077">
        <v>1113.4297506448841</v>
      </c>
      <c r="H76" s="2077">
        <v>1179.2263112639725</v>
      </c>
      <c r="I76" s="2077">
        <v>1243.5452278589851</v>
      </c>
      <c r="J76" s="2077">
        <v>1302.1371453138436</v>
      </c>
      <c r="K76" s="2077">
        <v>1396.951676698194</v>
      </c>
      <c r="L76" s="2077">
        <v>1289.3764402407567</v>
      </c>
      <c r="M76" s="2077">
        <v>1289.9178847807393</v>
      </c>
      <c r="N76" s="2077">
        <v>1430.424419604471</v>
      </c>
      <c r="O76" s="2077">
        <v>1417.6192605331037</v>
      </c>
      <c r="P76" s="2077">
        <v>1411.5349097162507</v>
      </c>
      <c r="Q76" s="2077">
        <v>1287.2944969905416</v>
      </c>
      <c r="R76" s="2077">
        <v>1275.2637145313847</v>
      </c>
      <c r="S76" s="2077">
        <v>1322.0513327601029</v>
      </c>
      <c r="T76" s="2077">
        <v>1430.0179707652621</v>
      </c>
      <c r="U76" s="2077">
        <v>1519.0746345657783</v>
      </c>
      <c r="V76" s="2077">
        <v>1634.9612209802237</v>
      </c>
      <c r="W76" s="2077">
        <v>1415.9984522785899</v>
      </c>
      <c r="X76" s="2077">
        <v>1732.2291487532245</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20B1A-B2DE-4442-B30F-3898ADA1A6B9}">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baseColWidth="10" defaultColWidth="9.1640625" defaultRowHeight="11.25" customHeight="1"/>
  <cols>
    <col min="1" max="1" width="40.6640625" style="2059" bestFit="1" customWidth="1"/>
    <col min="2" max="2" width="16.1640625" style="2059" bestFit="1" customWidth="1"/>
    <col min="3" max="24" width="9.6640625" style="2059" customWidth="1"/>
    <col min="25" max="16384" width="9.1640625" style="2059"/>
  </cols>
  <sheetData>
    <row r="1" spans="1:24" ht="11.25" customHeight="1">
      <c r="A1" s="2057" t="s">
        <v>5865</v>
      </c>
      <c r="B1" s="2057" t="s">
        <v>5866</v>
      </c>
      <c r="C1" s="2058">
        <v>2000</v>
      </c>
      <c r="D1" s="2058">
        <v>2001</v>
      </c>
      <c r="E1" s="2058">
        <v>2002</v>
      </c>
      <c r="F1" s="2058">
        <v>2003</v>
      </c>
      <c r="G1" s="2058">
        <v>2004</v>
      </c>
      <c r="H1" s="2058">
        <v>2005</v>
      </c>
      <c r="I1" s="2058">
        <v>2006</v>
      </c>
      <c r="J1" s="2058">
        <v>2007</v>
      </c>
      <c r="K1" s="2058">
        <v>2008</v>
      </c>
      <c r="L1" s="2058">
        <v>2009</v>
      </c>
      <c r="M1" s="2058">
        <v>2010</v>
      </c>
      <c r="N1" s="2058">
        <v>2011</v>
      </c>
      <c r="O1" s="2058">
        <v>2012</v>
      </c>
      <c r="P1" s="2058">
        <v>2013</v>
      </c>
      <c r="Q1" s="2058">
        <v>2014</v>
      </c>
      <c r="R1" s="2058">
        <v>2015</v>
      </c>
      <c r="S1" s="2058">
        <v>2016</v>
      </c>
      <c r="T1" s="2058">
        <v>2017</v>
      </c>
      <c r="U1" s="2058">
        <v>2018</v>
      </c>
      <c r="V1" s="2058">
        <v>2019</v>
      </c>
      <c r="W1" s="2058">
        <v>2020</v>
      </c>
      <c r="X1" s="2058">
        <v>2021</v>
      </c>
    </row>
    <row r="2" spans="1:24" ht="11.25" customHeight="1">
      <c r="A2" s="2060" t="s">
        <v>1265</v>
      </c>
      <c r="B2" s="2060" t="s">
        <v>5738</v>
      </c>
      <c r="C2" s="2061">
        <v>19967.757314779043</v>
      </c>
      <c r="D2" s="2061">
        <v>20329.73670970411</v>
      </c>
      <c r="E2" s="2061">
        <v>19679.477784031871</v>
      </c>
      <c r="F2" s="2061">
        <v>17023.542784414007</v>
      </c>
      <c r="G2" s="2061">
        <v>16689.338424446309</v>
      </c>
      <c r="H2" s="2061">
        <v>20771.652699533341</v>
      </c>
      <c r="I2" s="2061">
        <v>19393.562899581266</v>
      </c>
      <c r="J2" s="2061">
        <v>20724.647628452851</v>
      </c>
      <c r="K2" s="2061">
        <v>19636.157512615555</v>
      </c>
      <c r="L2" s="2061">
        <v>15639.328151008885</v>
      </c>
      <c r="M2" s="2061">
        <v>18140.962400725137</v>
      </c>
      <c r="N2" s="2061">
        <v>12830.298402607346</v>
      </c>
      <c r="O2" s="2061">
        <v>12803.205036658299</v>
      </c>
      <c r="P2" s="2061">
        <v>12080.170368002993</v>
      </c>
      <c r="Q2" s="2061">
        <v>11948.795919492335</v>
      </c>
      <c r="R2" s="2061">
        <v>11815.24434619191</v>
      </c>
      <c r="S2" s="2061">
        <v>12011.039742206891</v>
      </c>
      <c r="T2" s="2061">
        <v>11980.57690263149</v>
      </c>
      <c r="U2" s="2061">
        <v>12440.405748415065</v>
      </c>
      <c r="V2" s="2061">
        <v>13268.780898553407</v>
      </c>
      <c r="W2" s="2061">
        <v>12400.813540790296</v>
      </c>
      <c r="X2" s="2061">
        <v>13397.975401802349</v>
      </c>
    </row>
    <row r="3" spans="1:24" ht="11.25" customHeight="1">
      <c r="A3" s="2062" t="s">
        <v>5739</v>
      </c>
      <c r="B3" s="2063" t="s">
        <v>5740</v>
      </c>
      <c r="C3" s="2064">
        <v>1569.2862424763539</v>
      </c>
      <c r="D3" s="2064">
        <v>1252.4524505588993</v>
      </c>
      <c r="E3" s="2064">
        <v>288.68495270851236</v>
      </c>
      <c r="F3" s="2064">
        <v>265.71229578675838</v>
      </c>
      <c r="G3" s="2064">
        <v>270.22098022355971</v>
      </c>
      <c r="H3" s="2064">
        <v>294.96225279449698</v>
      </c>
      <c r="I3" s="2064">
        <v>339.01969045571798</v>
      </c>
      <c r="J3" s="2064">
        <v>322.18478073946687</v>
      </c>
      <c r="K3" s="2064">
        <v>223.76397248495269</v>
      </c>
      <c r="L3" s="2064">
        <v>139.99647463456574</v>
      </c>
      <c r="M3" s="2064">
        <v>152.1529664660361</v>
      </c>
      <c r="N3" s="2064">
        <v>131.31134995700774</v>
      </c>
      <c r="O3" s="2064">
        <v>117.93568357695614</v>
      </c>
      <c r="P3" s="2064">
        <v>87.11410146173688</v>
      </c>
      <c r="Q3" s="2064">
        <v>77.877815993121231</v>
      </c>
      <c r="R3" s="2064">
        <v>61.813155631986248</v>
      </c>
      <c r="S3" s="2064">
        <v>124.60077386070506</v>
      </c>
      <c r="T3" s="2064">
        <v>71.885468615649174</v>
      </c>
      <c r="U3" s="2064">
        <v>107.88108340498709</v>
      </c>
      <c r="V3" s="2064">
        <v>99.53147033533962</v>
      </c>
      <c r="W3" s="2064">
        <v>41.267927773000856</v>
      </c>
      <c r="X3" s="2064">
        <v>45.153138435081686</v>
      </c>
    </row>
    <row r="4" spans="1:24" ht="11.25" customHeight="1">
      <c r="A4" s="2065" t="s">
        <v>5741</v>
      </c>
      <c r="B4" s="2066" t="s">
        <v>5742</v>
      </c>
      <c r="C4" s="2067">
        <v>861.50438521066201</v>
      </c>
      <c r="D4" s="2067">
        <v>800.6844368013758</v>
      </c>
      <c r="E4" s="2067">
        <v>184.75219260533095</v>
      </c>
      <c r="F4" s="2067">
        <v>181.42803095442821</v>
      </c>
      <c r="G4" s="2067">
        <v>200.71633705932928</v>
      </c>
      <c r="H4" s="2067">
        <v>203.33241616509028</v>
      </c>
      <c r="I4" s="2067">
        <v>204.86921754084264</v>
      </c>
      <c r="J4" s="2067">
        <v>227.27583834909714</v>
      </c>
      <c r="K4" s="2067">
        <v>129.96130696474634</v>
      </c>
      <c r="L4" s="2067">
        <v>73.412381771281161</v>
      </c>
      <c r="M4" s="2067">
        <v>84.161220980223561</v>
      </c>
      <c r="N4" s="2067">
        <v>72.403697334479787</v>
      </c>
      <c r="O4" s="2067">
        <v>62.043938091143595</v>
      </c>
      <c r="P4" s="2067">
        <v>54.771625107480645</v>
      </c>
      <c r="Q4" s="2067">
        <v>52.484178847807392</v>
      </c>
      <c r="R4" s="2067">
        <v>49.83628546861565</v>
      </c>
      <c r="S4" s="2067">
        <v>48.929492691315559</v>
      </c>
      <c r="T4" s="2067">
        <v>48.680653482373167</v>
      </c>
      <c r="U4" s="2067">
        <v>90.131212381771277</v>
      </c>
      <c r="V4" s="2067">
        <v>79.087876182287161</v>
      </c>
      <c r="W4" s="2067">
        <v>33.870679277730005</v>
      </c>
      <c r="X4" s="2067">
        <v>37.68976784178848</v>
      </c>
    </row>
    <row r="5" spans="1:24" ht="11.25" customHeight="1">
      <c r="A5" s="2068" t="s">
        <v>4613</v>
      </c>
      <c r="B5" s="2069" t="s">
        <v>5743</v>
      </c>
      <c r="C5" s="2070">
        <v>0</v>
      </c>
      <c r="D5" s="2070">
        <v>0.13190025795356841</v>
      </c>
      <c r="E5" s="2070">
        <v>5.0693035253654335</v>
      </c>
      <c r="F5" s="2070">
        <v>2.4009458297506452</v>
      </c>
      <c r="G5" s="2070">
        <v>1.4668959587274286</v>
      </c>
      <c r="H5" s="2070">
        <v>8.4211521926053301</v>
      </c>
      <c r="I5" s="2070">
        <v>40.445829750644883</v>
      </c>
      <c r="J5" s="2070">
        <v>48.535081685296639</v>
      </c>
      <c r="K5" s="2070">
        <v>18.678331900257948</v>
      </c>
      <c r="L5" s="2070">
        <v>0</v>
      </c>
      <c r="M5" s="2070">
        <v>15.03774720550301</v>
      </c>
      <c r="N5" s="2070">
        <v>15.63920894239037</v>
      </c>
      <c r="O5" s="2070">
        <v>8.2517626827171089</v>
      </c>
      <c r="P5" s="2070">
        <v>6.5950128976784178E-2</v>
      </c>
      <c r="Q5" s="2070">
        <v>0</v>
      </c>
      <c r="R5" s="2070">
        <v>0</v>
      </c>
      <c r="S5" s="2070">
        <v>0</v>
      </c>
      <c r="T5" s="2070">
        <v>3.5253654342218398E-3</v>
      </c>
      <c r="U5" s="2070">
        <v>5.7609630266552015E-3</v>
      </c>
      <c r="V5" s="2070">
        <v>5.073086844368014E-3</v>
      </c>
      <c r="W5" s="2070">
        <v>1.2811693895098883E-2</v>
      </c>
      <c r="X5" s="2070">
        <v>1.2553740326741187E-2</v>
      </c>
    </row>
    <row r="6" spans="1:24" ht="11.25" customHeight="1">
      <c r="A6" s="2068" t="s">
        <v>4647</v>
      </c>
      <c r="B6" s="2069" t="s">
        <v>5744</v>
      </c>
      <c r="C6" s="2070">
        <v>0</v>
      </c>
      <c r="D6" s="2070">
        <v>0</v>
      </c>
      <c r="E6" s="2070">
        <v>0</v>
      </c>
      <c r="F6" s="2070">
        <v>0</v>
      </c>
      <c r="G6" s="2070">
        <v>0</v>
      </c>
      <c r="H6" s="2070">
        <v>0</v>
      </c>
      <c r="I6" s="2070">
        <v>0</v>
      </c>
      <c r="J6" s="2070">
        <v>0</v>
      </c>
      <c r="K6" s="2070">
        <v>0</v>
      </c>
      <c r="L6" s="2070">
        <v>0</v>
      </c>
      <c r="M6" s="2070">
        <v>0.71177987962166811</v>
      </c>
      <c r="N6" s="2070">
        <v>0</v>
      </c>
      <c r="O6" s="2070">
        <v>0</v>
      </c>
      <c r="P6" s="2070">
        <v>0</v>
      </c>
      <c r="Q6" s="2070">
        <v>0</v>
      </c>
      <c r="R6" s="2070">
        <v>0</v>
      </c>
      <c r="S6" s="2070">
        <v>0</v>
      </c>
      <c r="T6" s="2070">
        <v>0</v>
      </c>
      <c r="U6" s="2070">
        <v>0</v>
      </c>
      <c r="V6" s="2070">
        <v>0</v>
      </c>
      <c r="W6" s="2070">
        <v>0</v>
      </c>
      <c r="X6" s="2070">
        <v>9.8194325021496109E-2</v>
      </c>
    </row>
    <row r="7" spans="1:24" ht="11.25" customHeight="1">
      <c r="A7" s="2068" t="s">
        <v>4648</v>
      </c>
      <c r="B7" s="2069" t="s">
        <v>5745</v>
      </c>
      <c r="C7" s="2070">
        <v>861.50438521066201</v>
      </c>
      <c r="D7" s="2070">
        <v>800.55253654342221</v>
      </c>
      <c r="E7" s="2070">
        <v>179.68288907996552</v>
      </c>
      <c r="F7" s="2070">
        <v>179.02708512467757</v>
      </c>
      <c r="G7" s="2070">
        <v>199.24944110060184</v>
      </c>
      <c r="H7" s="2070">
        <v>194.91126397248496</v>
      </c>
      <c r="I7" s="2070">
        <v>164.42338779019775</v>
      </c>
      <c r="J7" s="2070">
        <v>178.74075666380051</v>
      </c>
      <c r="K7" s="2070">
        <v>111.2829750644884</v>
      </c>
      <c r="L7" s="2070">
        <v>73.412381771281161</v>
      </c>
      <c r="M7" s="2070">
        <v>68.411693895098878</v>
      </c>
      <c r="N7" s="2070">
        <v>56.764488392089419</v>
      </c>
      <c r="O7" s="2070">
        <v>53.792175408426488</v>
      </c>
      <c r="P7" s="2070">
        <v>54.705674978503858</v>
      </c>
      <c r="Q7" s="2070">
        <v>52.484178847807392</v>
      </c>
      <c r="R7" s="2070">
        <v>49.83628546861565</v>
      </c>
      <c r="S7" s="2070">
        <v>48.929492691315559</v>
      </c>
      <c r="T7" s="2070">
        <v>48.677128116938945</v>
      </c>
      <c r="U7" s="2070">
        <v>90.125451418744618</v>
      </c>
      <c r="V7" s="2070">
        <v>79.082803095442799</v>
      </c>
      <c r="W7" s="2070">
        <v>33.857867583834903</v>
      </c>
      <c r="X7" s="2070">
        <v>37.579019776440241</v>
      </c>
    </row>
    <row r="8" spans="1:24" ht="11.25" customHeight="1">
      <c r="A8" s="2065" t="s">
        <v>5746</v>
      </c>
      <c r="B8" s="2066" t="s">
        <v>5747</v>
      </c>
      <c r="C8" s="2067">
        <v>290.47463456577816</v>
      </c>
      <c r="D8" s="2067">
        <v>26.347033533963888</v>
      </c>
      <c r="E8" s="2067">
        <v>10.249441100601892</v>
      </c>
      <c r="F8" s="2067">
        <v>22.979019776440239</v>
      </c>
      <c r="G8" s="2067">
        <v>21.171625107480654</v>
      </c>
      <c r="H8" s="2067">
        <v>22.749269131556318</v>
      </c>
      <c r="I8" s="2067">
        <v>22.921324161650901</v>
      </c>
      <c r="J8" s="2067">
        <v>25.359931212381767</v>
      </c>
      <c r="K8" s="2067">
        <v>31.726741186586409</v>
      </c>
      <c r="L8" s="2067">
        <v>23.480481513327597</v>
      </c>
      <c r="M8" s="2067">
        <v>23.684608770421324</v>
      </c>
      <c r="N8" s="2067">
        <v>5.2050730868443678</v>
      </c>
      <c r="O8" s="2067">
        <v>2.1662940670679269</v>
      </c>
      <c r="P8" s="2067">
        <v>3.1677558039552878</v>
      </c>
      <c r="Q8" s="2067">
        <v>2.1756663800515907</v>
      </c>
      <c r="R8" s="2067">
        <v>1.8453138435081691</v>
      </c>
      <c r="S8" s="2067">
        <v>2.786070507308684</v>
      </c>
      <c r="T8" s="2067">
        <v>2.9767841788478071</v>
      </c>
      <c r="U8" s="2067">
        <v>2.1350816852966465</v>
      </c>
      <c r="V8" s="2067">
        <v>2.7607910576096302</v>
      </c>
      <c r="W8" s="2067">
        <v>2.6153912295786763</v>
      </c>
      <c r="X8" s="2067">
        <v>2.0886500429922616</v>
      </c>
    </row>
    <row r="9" spans="1:24" ht="11.25" customHeight="1">
      <c r="A9" s="2068" t="s">
        <v>4649</v>
      </c>
      <c r="B9" s="2069" t="s">
        <v>5748</v>
      </c>
      <c r="C9" s="2070">
        <v>0</v>
      </c>
      <c r="D9" s="2070">
        <v>1.522184006878762</v>
      </c>
      <c r="E9" s="2070">
        <v>0</v>
      </c>
      <c r="F9" s="2070">
        <v>1.5439380911435943</v>
      </c>
      <c r="G9" s="2070">
        <v>0.54230438521066204</v>
      </c>
      <c r="H9" s="2070">
        <v>1.0290627687016336</v>
      </c>
      <c r="I9" s="2070">
        <v>1.022785898538263</v>
      </c>
      <c r="J9" s="2070">
        <v>0</v>
      </c>
      <c r="K9" s="2070">
        <v>0</v>
      </c>
      <c r="L9" s="2070">
        <v>0</v>
      </c>
      <c r="M9" s="2070">
        <v>0</v>
      </c>
      <c r="N9" s="2070">
        <v>0</v>
      </c>
      <c r="O9" s="2070">
        <v>0</v>
      </c>
      <c r="P9" s="2070">
        <v>0</v>
      </c>
      <c r="Q9" s="2070">
        <v>0</v>
      </c>
      <c r="R9" s="2070">
        <v>0</v>
      </c>
      <c r="S9" s="2070">
        <v>0</v>
      </c>
      <c r="T9" s="2070">
        <v>0</v>
      </c>
      <c r="U9" s="2070">
        <v>0</v>
      </c>
      <c r="V9" s="2070">
        <v>5.4256233877901967E-2</v>
      </c>
      <c r="W9" s="2070">
        <v>0</v>
      </c>
      <c r="X9" s="2070">
        <v>0</v>
      </c>
    </row>
    <row r="10" spans="1:24" ht="11.25" customHeight="1">
      <c r="A10" s="2068" t="s">
        <v>4290</v>
      </c>
      <c r="B10" s="2069" t="s">
        <v>5749</v>
      </c>
      <c r="C10" s="2070">
        <v>290.47463456577816</v>
      </c>
      <c r="D10" s="2070">
        <v>24.824849527085124</v>
      </c>
      <c r="E10" s="2070">
        <v>10.249441100601892</v>
      </c>
      <c r="F10" s="2070">
        <v>21.435081685296645</v>
      </c>
      <c r="G10" s="2070">
        <v>20.629320722269991</v>
      </c>
      <c r="H10" s="2070">
        <v>21.720206362854682</v>
      </c>
      <c r="I10" s="2070">
        <v>21.898538263112638</v>
      </c>
      <c r="J10" s="2070">
        <v>25.359931212381767</v>
      </c>
      <c r="K10" s="2070">
        <v>31.726741186586409</v>
      </c>
      <c r="L10" s="2070">
        <v>23.480481513327597</v>
      </c>
      <c r="M10" s="2070">
        <v>23.684608770421324</v>
      </c>
      <c r="N10" s="2070">
        <v>5.2050730868443678</v>
      </c>
      <c r="O10" s="2070">
        <v>2.1662940670679269</v>
      </c>
      <c r="P10" s="2070">
        <v>3.1677558039552878</v>
      </c>
      <c r="Q10" s="2070">
        <v>2.1756663800515907</v>
      </c>
      <c r="R10" s="2070">
        <v>1.8453138435081691</v>
      </c>
      <c r="S10" s="2070">
        <v>2.786070507308684</v>
      </c>
      <c r="T10" s="2070">
        <v>2.9767841788478071</v>
      </c>
      <c r="U10" s="2070">
        <v>2.1350816852966465</v>
      </c>
      <c r="V10" s="2070">
        <v>2.7065348237317282</v>
      </c>
      <c r="W10" s="2070">
        <v>2.6153912295786763</v>
      </c>
      <c r="X10" s="2070">
        <v>2.0886500429922616</v>
      </c>
    </row>
    <row r="11" spans="1:24" ht="11.25" customHeight="1">
      <c r="A11" s="2065" t="s">
        <v>5750</v>
      </c>
      <c r="B11" s="2066" t="s">
        <v>5751</v>
      </c>
      <c r="C11" s="2067">
        <v>417.30722269991395</v>
      </c>
      <c r="D11" s="2067">
        <v>425.4209802235597</v>
      </c>
      <c r="E11" s="2067">
        <v>93.683319002579537</v>
      </c>
      <c r="F11" s="2067">
        <v>61.305245055889927</v>
      </c>
      <c r="G11" s="2067">
        <v>48.333018056749786</v>
      </c>
      <c r="H11" s="2067">
        <v>68.880567497850393</v>
      </c>
      <c r="I11" s="2067">
        <v>111.22914875322444</v>
      </c>
      <c r="J11" s="2067">
        <v>69.549011177987964</v>
      </c>
      <c r="K11" s="2067">
        <v>62.075924333619945</v>
      </c>
      <c r="L11" s="2067">
        <v>43.103611349956999</v>
      </c>
      <c r="M11" s="2067">
        <v>44.307136715391231</v>
      </c>
      <c r="N11" s="2067">
        <v>53.702579535683576</v>
      </c>
      <c r="O11" s="2067">
        <v>53.725451418744612</v>
      </c>
      <c r="P11" s="2067">
        <v>29.17472055030095</v>
      </c>
      <c r="Q11" s="2067">
        <v>23.217970765262244</v>
      </c>
      <c r="R11" s="2067">
        <v>10.131556319862424</v>
      </c>
      <c r="S11" s="2067">
        <v>72.885210662080823</v>
      </c>
      <c r="T11" s="2067">
        <v>20.228030954428203</v>
      </c>
      <c r="U11" s="2067">
        <v>15.614789337919172</v>
      </c>
      <c r="V11" s="2067">
        <v>17.682803095442821</v>
      </c>
      <c r="W11" s="2067">
        <v>4.7818572656921745</v>
      </c>
      <c r="X11" s="2067">
        <v>5.3747205503009461</v>
      </c>
    </row>
    <row r="12" spans="1:24" ht="11.25" customHeight="1">
      <c r="A12" s="2068" t="s">
        <v>4650</v>
      </c>
      <c r="B12" s="2069" t="s">
        <v>5752</v>
      </c>
      <c r="C12" s="2070">
        <v>0.55021496130696468</v>
      </c>
      <c r="D12" s="2070">
        <v>0</v>
      </c>
      <c r="E12" s="2070">
        <v>0</v>
      </c>
      <c r="F12" s="2070">
        <v>0.74995700773860696</v>
      </c>
      <c r="G12" s="2070">
        <v>0.74995700773860696</v>
      </c>
      <c r="H12" s="2070">
        <v>0.74995700773860696</v>
      </c>
      <c r="I12" s="2070">
        <v>0</v>
      </c>
      <c r="J12" s="2070">
        <v>0</v>
      </c>
      <c r="K12" s="2070">
        <v>0</v>
      </c>
      <c r="L12" s="2070">
        <v>0</v>
      </c>
      <c r="M12" s="2070">
        <v>0</v>
      </c>
      <c r="N12" s="2070">
        <v>0</v>
      </c>
      <c r="O12" s="2070">
        <v>0</v>
      </c>
      <c r="P12" s="2070">
        <v>0</v>
      </c>
      <c r="Q12" s="2070">
        <v>0</v>
      </c>
      <c r="R12" s="2070">
        <v>0</v>
      </c>
      <c r="S12" s="2070">
        <v>0</v>
      </c>
      <c r="T12" s="2070">
        <v>0</v>
      </c>
      <c r="U12" s="2070">
        <v>4.2132416165090282E-3</v>
      </c>
      <c r="V12" s="2070">
        <v>0</v>
      </c>
      <c r="W12" s="2070">
        <v>0</v>
      </c>
      <c r="X12" s="2070">
        <v>2.8374892519346519E-3</v>
      </c>
    </row>
    <row r="13" spans="1:24" ht="11.25" customHeight="1">
      <c r="A13" s="2068" t="s">
        <v>4651</v>
      </c>
      <c r="B13" s="2069" t="s">
        <v>5753</v>
      </c>
      <c r="C13" s="2070">
        <v>408.93594153052447</v>
      </c>
      <c r="D13" s="2070">
        <v>415.78512467755797</v>
      </c>
      <c r="E13" s="2070">
        <v>84.525881341358556</v>
      </c>
      <c r="F13" s="2070">
        <v>51.353138435081675</v>
      </c>
      <c r="G13" s="2070">
        <v>35.930954428202924</v>
      </c>
      <c r="H13" s="2070">
        <v>55.449355116079118</v>
      </c>
      <c r="I13" s="2070">
        <v>94.136457437661235</v>
      </c>
      <c r="J13" s="2070">
        <v>41.724419604471194</v>
      </c>
      <c r="K13" s="2070">
        <v>25.913757523645742</v>
      </c>
      <c r="L13" s="2070">
        <v>3.4788478073946694</v>
      </c>
      <c r="M13" s="2070">
        <v>1.385296646603611</v>
      </c>
      <c r="N13" s="2070">
        <v>2.07798796216681</v>
      </c>
      <c r="O13" s="2070">
        <v>2.7705932932072228</v>
      </c>
      <c r="P13" s="2070">
        <v>2.7705932932072228</v>
      </c>
      <c r="Q13" s="2070">
        <v>2.0328460877042129</v>
      </c>
      <c r="R13" s="2070">
        <v>0.67764402407566637</v>
      </c>
      <c r="S13" s="2070">
        <v>0</v>
      </c>
      <c r="T13" s="2070">
        <v>0.1215821152192605</v>
      </c>
      <c r="U13" s="2070">
        <v>9.0541702493551146E-2</v>
      </c>
      <c r="V13" s="2070">
        <v>0.15907136715391229</v>
      </c>
      <c r="W13" s="2070">
        <v>0.29423903697334475</v>
      </c>
      <c r="X13" s="2070">
        <v>0.16956147893379192</v>
      </c>
    </row>
    <row r="14" spans="1:24" ht="11.25" customHeight="1">
      <c r="A14" s="2068" t="s">
        <v>4652</v>
      </c>
      <c r="B14" s="2069" t="s">
        <v>5754</v>
      </c>
      <c r="C14" s="2070">
        <v>0</v>
      </c>
      <c r="D14" s="2070">
        <v>0</v>
      </c>
      <c r="E14" s="2070">
        <v>0</v>
      </c>
      <c r="F14" s="2070">
        <v>0</v>
      </c>
      <c r="G14" s="2070">
        <v>0</v>
      </c>
      <c r="H14" s="2070">
        <v>0</v>
      </c>
      <c r="I14" s="2070">
        <v>0</v>
      </c>
      <c r="J14" s="2070">
        <v>0</v>
      </c>
      <c r="K14" s="2070">
        <v>0</v>
      </c>
      <c r="L14" s="2070">
        <v>0</v>
      </c>
      <c r="M14" s="2070">
        <v>0</v>
      </c>
      <c r="N14" s="2070">
        <v>0</v>
      </c>
      <c r="O14" s="2070">
        <v>0</v>
      </c>
      <c r="P14" s="2070">
        <v>0</v>
      </c>
      <c r="Q14" s="2070">
        <v>0</v>
      </c>
      <c r="R14" s="2070">
        <v>0</v>
      </c>
      <c r="S14" s="2070">
        <v>0</v>
      </c>
      <c r="T14" s="2070">
        <v>0</v>
      </c>
      <c r="U14" s="2070">
        <v>0</v>
      </c>
      <c r="V14" s="2070">
        <v>0</v>
      </c>
      <c r="W14" s="2070">
        <v>0</v>
      </c>
      <c r="X14" s="2070">
        <v>0</v>
      </c>
    </row>
    <row r="15" spans="1:24" ht="11.25" customHeight="1">
      <c r="A15" s="2068" t="s">
        <v>4653</v>
      </c>
      <c r="B15" s="2069" t="s">
        <v>5755</v>
      </c>
      <c r="C15" s="2070">
        <v>0</v>
      </c>
      <c r="D15" s="2070">
        <v>0</v>
      </c>
      <c r="E15" s="2070">
        <v>0</v>
      </c>
      <c r="F15" s="2070">
        <v>0</v>
      </c>
      <c r="G15" s="2070">
        <v>0</v>
      </c>
      <c r="H15" s="2070">
        <v>0</v>
      </c>
      <c r="I15" s="2070">
        <v>0</v>
      </c>
      <c r="J15" s="2070">
        <v>0</v>
      </c>
      <c r="K15" s="2070">
        <v>0</v>
      </c>
      <c r="L15" s="2070">
        <v>0</v>
      </c>
      <c r="M15" s="2070">
        <v>0</v>
      </c>
      <c r="N15" s="2070">
        <v>0</v>
      </c>
      <c r="O15" s="2070">
        <v>0</v>
      </c>
      <c r="P15" s="2070">
        <v>0</v>
      </c>
      <c r="Q15" s="2070">
        <v>0</v>
      </c>
      <c r="R15" s="2070">
        <v>0</v>
      </c>
      <c r="S15" s="2070">
        <v>56.67093723129836</v>
      </c>
      <c r="T15" s="2070">
        <v>0</v>
      </c>
      <c r="U15" s="2070">
        <v>0</v>
      </c>
      <c r="V15" s="2070">
        <v>0</v>
      </c>
      <c r="W15" s="2070">
        <v>0</v>
      </c>
      <c r="X15" s="2070">
        <v>0</v>
      </c>
    </row>
    <row r="16" spans="1:24" ht="11.25" customHeight="1">
      <c r="A16" s="2068" t="s">
        <v>5756</v>
      </c>
      <c r="B16" s="2069" t="s">
        <v>5757</v>
      </c>
      <c r="C16" s="2070">
        <v>7.8210662080825468</v>
      </c>
      <c r="D16" s="2070">
        <v>9.6358555460017179</v>
      </c>
      <c r="E16" s="2070">
        <v>9.1574376612209782</v>
      </c>
      <c r="F16" s="2070">
        <v>9.202149613069647</v>
      </c>
      <c r="G16" s="2070">
        <v>11.652106620808253</v>
      </c>
      <c r="H16" s="2070">
        <v>12.681255374032673</v>
      </c>
      <c r="I16" s="2070">
        <v>17.092691315563197</v>
      </c>
      <c r="J16" s="2070">
        <v>27.824591573516766</v>
      </c>
      <c r="K16" s="2070">
        <v>36.162166809974202</v>
      </c>
      <c r="L16" s="2070">
        <v>39.624763542562327</v>
      </c>
      <c r="M16" s="2070">
        <v>42.921840068787617</v>
      </c>
      <c r="N16" s="2070">
        <v>51.624591573516767</v>
      </c>
      <c r="O16" s="2070">
        <v>50.954858125537392</v>
      </c>
      <c r="P16" s="2070">
        <v>26.404127257093727</v>
      </c>
      <c r="Q16" s="2070">
        <v>21.185124677558033</v>
      </c>
      <c r="R16" s="2070">
        <v>9.4539122957867576</v>
      </c>
      <c r="S16" s="2070">
        <v>16.214273430782459</v>
      </c>
      <c r="T16" s="2070">
        <v>20.106448839208941</v>
      </c>
      <c r="U16" s="2070">
        <v>15.520034393809112</v>
      </c>
      <c r="V16" s="2070">
        <v>17.523731728288908</v>
      </c>
      <c r="W16" s="2070">
        <v>4.48761822871883</v>
      </c>
      <c r="X16" s="2070">
        <v>5.2023215821152196</v>
      </c>
    </row>
    <row r="17" spans="1:24" ht="11.25" customHeight="1">
      <c r="A17" s="2071" t="s">
        <v>5758</v>
      </c>
      <c r="B17" s="2072" t="s">
        <v>5759</v>
      </c>
      <c r="C17" s="2073">
        <v>81.857265692175403</v>
      </c>
      <c r="D17" s="2073">
        <v>77.042132416165074</v>
      </c>
      <c r="E17" s="2073">
        <v>61.815735167669807</v>
      </c>
      <c r="F17" s="2073">
        <v>43.250214961306952</v>
      </c>
      <c r="G17" s="2073">
        <v>47.506448839208936</v>
      </c>
      <c r="H17" s="2073">
        <v>51.526225279449704</v>
      </c>
      <c r="I17" s="2073">
        <v>42.820292347377467</v>
      </c>
      <c r="J17" s="2073">
        <v>32.523645743766117</v>
      </c>
      <c r="K17" s="2073">
        <v>14.552880481513323</v>
      </c>
      <c r="L17" s="2073">
        <v>2.1281169389509884</v>
      </c>
      <c r="M17" s="2073">
        <v>2.7944969905417025</v>
      </c>
      <c r="N17" s="2073">
        <v>0.60189165950128964</v>
      </c>
      <c r="O17" s="2073">
        <v>0.45141874462596732</v>
      </c>
      <c r="P17" s="2073">
        <v>0.73086844368013748</v>
      </c>
      <c r="Q17" s="2073">
        <v>0.51590713671539123</v>
      </c>
      <c r="R17" s="2073">
        <v>0.51590713671539123</v>
      </c>
      <c r="S17" s="2073">
        <v>0.53740326741186584</v>
      </c>
      <c r="T17" s="2073">
        <v>0.42992261392949271</v>
      </c>
      <c r="U17" s="2073">
        <v>0.40842648323301811</v>
      </c>
      <c r="V17" s="2073">
        <v>0.32244196044711948</v>
      </c>
      <c r="W17" s="2073">
        <v>0.2877901977644024</v>
      </c>
      <c r="X17" s="2073">
        <v>0.46208082545141871</v>
      </c>
    </row>
    <row r="18" spans="1:24" ht="11.25" customHeight="1">
      <c r="A18" s="2074" t="s">
        <v>4654</v>
      </c>
      <c r="B18" s="2069" t="s">
        <v>5760</v>
      </c>
      <c r="C18" s="2070">
        <v>2.8589853826311264</v>
      </c>
      <c r="D18" s="2070">
        <v>2.3215821152192606</v>
      </c>
      <c r="E18" s="2070">
        <v>2.5365434221840069</v>
      </c>
      <c r="F18" s="2070">
        <v>1.375752364574377</v>
      </c>
      <c r="G18" s="2070">
        <v>0.85984522785898532</v>
      </c>
      <c r="H18" s="2070">
        <v>1.2897678417884779</v>
      </c>
      <c r="I18" s="2070">
        <v>0</v>
      </c>
      <c r="J18" s="2070">
        <v>4.2992261392949267E-2</v>
      </c>
      <c r="K18" s="2070">
        <v>0.10748065348237321</v>
      </c>
      <c r="L18" s="2070">
        <v>8.5984522785898534E-2</v>
      </c>
      <c r="M18" s="2070">
        <v>0.36543422184006868</v>
      </c>
      <c r="N18" s="2070">
        <v>0</v>
      </c>
      <c r="O18" s="2070">
        <v>0</v>
      </c>
      <c r="P18" s="2070">
        <v>0</v>
      </c>
      <c r="Q18" s="2070">
        <v>0</v>
      </c>
      <c r="R18" s="2070">
        <v>0</v>
      </c>
      <c r="S18" s="2070">
        <v>0</v>
      </c>
      <c r="T18" s="2070">
        <v>0</v>
      </c>
      <c r="U18" s="2070">
        <v>0</v>
      </c>
      <c r="V18" s="2070">
        <v>0</v>
      </c>
      <c r="W18" s="2070">
        <v>0</v>
      </c>
      <c r="X18" s="2070">
        <v>0</v>
      </c>
    </row>
    <row r="19" spans="1:24" ht="11.25" customHeight="1">
      <c r="A19" s="2074" t="s">
        <v>4655</v>
      </c>
      <c r="B19" s="2069" t="s">
        <v>5761</v>
      </c>
      <c r="C19" s="2070">
        <v>78.99828030954427</v>
      </c>
      <c r="D19" s="2070">
        <v>74.720550300945817</v>
      </c>
      <c r="E19" s="2070">
        <v>59.135855546001714</v>
      </c>
      <c r="F19" s="2070">
        <v>41.874462596732577</v>
      </c>
      <c r="G19" s="2070">
        <v>46.646603611349953</v>
      </c>
      <c r="H19" s="2070">
        <v>50.23645743766123</v>
      </c>
      <c r="I19" s="2070">
        <v>42.820292347377467</v>
      </c>
      <c r="J19" s="2070">
        <v>32.480653482373171</v>
      </c>
      <c r="K19" s="2070">
        <v>14.445399828030951</v>
      </c>
      <c r="L19" s="2070">
        <v>2.04213241616509</v>
      </c>
      <c r="M19" s="2070">
        <v>2.429062768701634</v>
      </c>
      <c r="N19" s="2070">
        <v>0.60189165950128964</v>
      </c>
      <c r="O19" s="2070">
        <v>0.45141874462596732</v>
      </c>
      <c r="P19" s="2070">
        <v>0.73086844368013748</v>
      </c>
      <c r="Q19" s="2070">
        <v>0.51590713671539123</v>
      </c>
      <c r="R19" s="2070">
        <v>0.51590713671539123</v>
      </c>
      <c r="S19" s="2070">
        <v>0.53740326741186584</v>
      </c>
      <c r="T19" s="2070">
        <v>0.42992261392949271</v>
      </c>
      <c r="U19" s="2070">
        <v>0.40842648323301811</v>
      </c>
      <c r="V19" s="2070">
        <v>0.32244196044711948</v>
      </c>
      <c r="W19" s="2070">
        <v>0.2877901977644024</v>
      </c>
      <c r="X19" s="2070">
        <v>0.46208082545141871</v>
      </c>
    </row>
    <row r="20" spans="1:24" ht="11.25" customHeight="1">
      <c r="A20" s="2074" t="s">
        <v>4656</v>
      </c>
      <c r="B20" s="2069" t="s">
        <v>5762</v>
      </c>
      <c r="C20" s="2070">
        <v>0</v>
      </c>
      <c r="D20" s="2070">
        <v>0</v>
      </c>
      <c r="E20" s="2070">
        <v>0.14333619948409279</v>
      </c>
      <c r="F20" s="2070">
        <v>0</v>
      </c>
      <c r="G20" s="2070">
        <v>0</v>
      </c>
      <c r="H20" s="2070">
        <v>0</v>
      </c>
      <c r="I20" s="2070">
        <v>0</v>
      </c>
      <c r="J20" s="2070">
        <v>0</v>
      </c>
      <c r="K20" s="2070">
        <v>0</v>
      </c>
      <c r="L20" s="2070">
        <v>0</v>
      </c>
      <c r="M20" s="2070">
        <v>0</v>
      </c>
      <c r="N20" s="2070">
        <v>0</v>
      </c>
      <c r="O20" s="2070">
        <v>0</v>
      </c>
      <c r="P20" s="2070">
        <v>0</v>
      </c>
      <c r="Q20" s="2070">
        <v>0</v>
      </c>
      <c r="R20" s="2070">
        <v>0</v>
      </c>
      <c r="S20" s="2070">
        <v>0</v>
      </c>
      <c r="T20" s="2070">
        <v>0</v>
      </c>
      <c r="U20" s="2070">
        <v>0</v>
      </c>
      <c r="V20" s="2070">
        <v>0</v>
      </c>
      <c r="W20" s="2070">
        <v>0</v>
      </c>
      <c r="X20" s="2070">
        <v>0</v>
      </c>
    </row>
    <row r="21" spans="1:24" ht="11.25" customHeight="1">
      <c r="A21" s="2074" t="s">
        <v>4615</v>
      </c>
      <c r="B21" s="2069" t="s">
        <v>5763</v>
      </c>
      <c r="C21" s="2070">
        <v>0</v>
      </c>
      <c r="D21" s="2070">
        <v>0</v>
      </c>
      <c r="E21" s="2070">
        <v>0</v>
      </c>
      <c r="F21" s="2070">
        <v>0</v>
      </c>
      <c r="G21" s="2070">
        <v>0</v>
      </c>
      <c r="H21" s="2070">
        <v>0</v>
      </c>
      <c r="I21" s="2070">
        <v>0</v>
      </c>
      <c r="J21" s="2070">
        <v>0</v>
      </c>
      <c r="K21" s="2070">
        <v>0</v>
      </c>
      <c r="L21" s="2070">
        <v>0</v>
      </c>
      <c r="M21" s="2070">
        <v>0</v>
      </c>
      <c r="N21" s="2070">
        <v>0</v>
      </c>
      <c r="O21" s="2070">
        <v>0</v>
      </c>
      <c r="P21" s="2070">
        <v>0</v>
      </c>
      <c r="Q21" s="2070">
        <v>0</v>
      </c>
      <c r="R21" s="2070">
        <v>0</v>
      </c>
      <c r="S21" s="2070">
        <v>0</v>
      </c>
      <c r="T21" s="2070">
        <v>0</v>
      </c>
      <c r="U21" s="2070">
        <v>0</v>
      </c>
      <c r="V21" s="2070">
        <v>0</v>
      </c>
      <c r="W21" s="2070">
        <v>0</v>
      </c>
      <c r="X21" s="2070">
        <v>0</v>
      </c>
    </row>
    <row r="22" spans="1:24" ht="11.25" customHeight="1">
      <c r="A22" s="2071" t="s">
        <v>4741</v>
      </c>
      <c r="B22" s="2072" t="s">
        <v>5764</v>
      </c>
      <c r="C22" s="2073">
        <v>0.2462596732588134</v>
      </c>
      <c r="D22" s="2073">
        <v>0.25202063628546861</v>
      </c>
      <c r="E22" s="2073">
        <v>0.50077386070507302</v>
      </c>
      <c r="F22" s="2073">
        <v>0.50266552020636279</v>
      </c>
      <c r="G22" s="2073">
        <v>0.55743766122098015</v>
      </c>
      <c r="H22" s="2073">
        <v>0.7857265692175408</v>
      </c>
      <c r="I22" s="2073">
        <v>0.56517626827171108</v>
      </c>
      <c r="J22" s="2073">
        <v>0.56242476354256232</v>
      </c>
      <c r="K22" s="2073">
        <v>0.55021496130696468</v>
      </c>
      <c r="L22" s="2073">
        <v>0.2362854686156492</v>
      </c>
      <c r="M22" s="2073">
        <v>0.5589853826311264</v>
      </c>
      <c r="N22" s="2073">
        <v>0.55692175408426481</v>
      </c>
      <c r="O22" s="2073">
        <v>0.54677558039552876</v>
      </c>
      <c r="P22" s="2073">
        <v>0.54780739466895956</v>
      </c>
      <c r="Q22" s="2073">
        <v>0.55614789337919168</v>
      </c>
      <c r="R22" s="2073">
        <v>0.48005159071367148</v>
      </c>
      <c r="S22" s="2073">
        <v>0.79294926913155617</v>
      </c>
      <c r="T22" s="2073">
        <v>0.39578675838349087</v>
      </c>
      <c r="U22" s="2073">
        <v>0.25417024935511612</v>
      </c>
      <c r="V22" s="2073">
        <v>0.19062768701633709</v>
      </c>
      <c r="W22" s="2073">
        <v>0</v>
      </c>
      <c r="X22" s="2073">
        <v>0</v>
      </c>
    </row>
    <row r="23" spans="1:24" ht="11.25" customHeight="1">
      <c r="A23" s="2074" t="s">
        <v>559</v>
      </c>
      <c r="B23" s="2069" t="s">
        <v>5765</v>
      </c>
      <c r="C23" s="2070">
        <v>0.2462596732588134</v>
      </c>
      <c r="D23" s="2070">
        <v>0.25202063628546861</v>
      </c>
      <c r="E23" s="2070">
        <v>0.50077386070507302</v>
      </c>
      <c r="F23" s="2070">
        <v>0.50266552020636279</v>
      </c>
      <c r="G23" s="2070">
        <v>0.239810834049871</v>
      </c>
      <c r="H23" s="2070">
        <v>0.46809974204643162</v>
      </c>
      <c r="I23" s="2070">
        <v>0.2475494411006019</v>
      </c>
      <c r="J23" s="2070">
        <v>0.24479793637145311</v>
      </c>
      <c r="K23" s="2070">
        <v>0.2325881341358555</v>
      </c>
      <c r="L23" s="2070">
        <v>0.2362854686156492</v>
      </c>
      <c r="M23" s="2070">
        <v>0.24135855546001719</v>
      </c>
      <c r="N23" s="2070">
        <v>0.2392949269131556</v>
      </c>
      <c r="O23" s="2070">
        <v>0.2291487532244196</v>
      </c>
      <c r="P23" s="2070">
        <v>0.2301805674978504</v>
      </c>
      <c r="Q23" s="2070">
        <v>0.2385210662080825</v>
      </c>
      <c r="R23" s="2070">
        <v>0.48005159071367148</v>
      </c>
      <c r="S23" s="2070">
        <v>0.47532244196044698</v>
      </c>
      <c r="T23" s="2070">
        <v>0.2369733447979363</v>
      </c>
      <c r="U23" s="2070">
        <v>0</v>
      </c>
      <c r="V23" s="2070">
        <v>0</v>
      </c>
      <c r="W23" s="2070">
        <v>0</v>
      </c>
      <c r="X23" s="2070">
        <v>0</v>
      </c>
    </row>
    <row r="24" spans="1:24" ht="11.25" customHeight="1">
      <c r="A24" s="2074" t="s">
        <v>4657</v>
      </c>
      <c r="B24" s="2069" t="s">
        <v>5766</v>
      </c>
      <c r="C24" s="2070">
        <v>0</v>
      </c>
      <c r="D24" s="2070">
        <v>0</v>
      </c>
      <c r="E24" s="2070">
        <v>0</v>
      </c>
      <c r="F24" s="2070">
        <v>0</v>
      </c>
      <c r="G24" s="2070">
        <v>0.31762682717110918</v>
      </c>
      <c r="H24" s="2070">
        <v>0.31762682717110918</v>
      </c>
      <c r="I24" s="2070">
        <v>0.31762682717110918</v>
      </c>
      <c r="J24" s="2070">
        <v>0.31762682717110918</v>
      </c>
      <c r="K24" s="2070">
        <v>0.31762682717110918</v>
      </c>
      <c r="L24" s="2070">
        <v>0</v>
      </c>
      <c r="M24" s="2070">
        <v>0.31762682717110918</v>
      </c>
      <c r="N24" s="2070">
        <v>0.31762682717110918</v>
      </c>
      <c r="O24" s="2070">
        <v>0.31762682717110918</v>
      </c>
      <c r="P24" s="2070">
        <v>0.31762682717110918</v>
      </c>
      <c r="Q24" s="2070">
        <v>0.31762682717110918</v>
      </c>
      <c r="R24" s="2070">
        <v>0</v>
      </c>
      <c r="S24" s="2070">
        <v>0.31762682717110918</v>
      </c>
      <c r="T24" s="2070">
        <v>0.15881341358555459</v>
      </c>
      <c r="U24" s="2070">
        <v>0.25417024935511612</v>
      </c>
      <c r="V24" s="2070">
        <v>0.19062768701633709</v>
      </c>
      <c r="W24" s="2070">
        <v>0</v>
      </c>
      <c r="X24" s="2070">
        <v>0</v>
      </c>
    </row>
    <row r="25" spans="1:24" ht="11.25" customHeight="1">
      <c r="A25" s="2071" t="s">
        <v>4658</v>
      </c>
      <c r="B25" s="2072" t="s">
        <v>5767</v>
      </c>
      <c r="C25" s="2073">
        <v>0</v>
      </c>
      <c r="D25" s="2073">
        <v>0</v>
      </c>
      <c r="E25" s="2073">
        <v>0</v>
      </c>
      <c r="F25" s="2073">
        <v>0</v>
      </c>
      <c r="G25" s="2073">
        <v>0</v>
      </c>
      <c r="H25" s="2073">
        <v>0</v>
      </c>
      <c r="I25" s="2073">
        <v>0</v>
      </c>
      <c r="J25" s="2073">
        <v>0</v>
      </c>
      <c r="K25" s="2073">
        <v>0</v>
      </c>
      <c r="L25" s="2073">
        <v>0</v>
      </c>
      <c r="M25" s="2073">
        <v>0</v>
      </c>
      <c r="N25" s="2073">
        <v>0</v>
      </c>
      <c r="O25" s="2073">
        <v>0</v>
      </c>
      <c r="P25" s="2073">
        <v>0</v>
      </c>
      <c r="Q25" s="2073">
        <v>0</v>
      </c>
      <c r="R25" s="2073">
        <v>0</v>
      </c>
      <c r="S25" s="2073">
        <v>0</v>
      </c>
      <c r="T25" s="2073">
        <v>0</v>
      </c>
      <c r="U25" s="2073">
        <v>0</v>
      </c>
      <c r="V25" s="2073">
        <v>0</v>
      </c>
      <c r="W25" s="2073">
        <v>0</v>
      </c>
      <c r="X25" s="2073">
        <v>0</v>
      </c>
    </row>
    <row r="26" spans="1:24" ht="11.25" customHeight="1">
      <c r="A26" s="2071" t="s">
        <v>3872</v>
      </c>
      <c r="B26" s="2072" t="s">
        <v>5768</v>
      </c>
      <c r="C26" s="2073">
        <v>3334.4428374445456</v>
      </c>
      <c r="D26" s="2073">
        <v>3527.5536945905492</v>
      </c>
      <c r="E26" s="2073">
        <v>2670.1050209506461</v>
      </c>
      <c r="F26" s="2073">
        <v>2773.380096286744</v>
      </c>
      <c r="G26" s="2073">
        <v>1877.6554259778447</v>
      </c>
      <c r="H26" s="2073">
        <v>1873.5420304891356</v>
      </c>
      <c r="I26" s="2073">
        <v>2059.9494664607178</v>
      </c>
      <c r="J26" s="2073">
        <v>2096.2291974707473</v>
      </c>
      <c r="K26" s="2073">
        <v>2078.4954344067419</v>
      </c>
      <c r="L26" s="2073">
        <v>1753.308973254874</v>
      </c>
      <c r="M26" s="2073">
        <v>1677.6445914097744</v>
      </c>
      <c r="N26" s="2073">
        <v>978.00124450713838</v>
      </c>
      <c r="O26" s="2073">
        <v>1179.6072226999142</v>
      </c>
      <c r="P26" s="2073">
        <v>806.57497850386926</v>
      </c>
      <c r="Q26" s="2073">
        <v>864.0258813413584</v>
      </c>
      <c r="R26" s="2073">
        <v>845.23576956147895</v>
      </c>
      <c r="S26" s="2073">
        <v>637.81883061048995</v>
      </c>
      <c r="T26" s="2073">
        <v>649.22742906276869</v>
      </c>
      <c r="U26" s="2073">
        <v>1966.0089423903694</v>
      </c>
      <c r="V26" s="2073">
        <v>1927.3820292347384</v>
      </c>
      <c r="W26" s="2073">
        <v>1882.2067067927771</v>
      </c>
      <c r="X26" s="2073">
        <v>2121.5368873602752</v>
      </c>
    </row>
    <row r="27" spans="1:24" ht="11.25" customHeight="1">
      <c r="A27" s="2065" t="s">
        <v>5769</v>
      </c>
      <c r="B27" s="2066" t="s">
        <v>5770</v>
      </c>
      <c r="C27" s="2067">
        <v>0</v>
      </c>
      <c r="D27" s="2067">
        <v>0</v>
      </c>
      <c r="E27" s="2067">
        <v>0</v>
      </c>
      <c r="F27" s="2067">
        <v>0</v>
      </c>
      <c r="G27" s="2067">
        <v>0</v>
      </c>
      <c r="H27" s="2067">
        <v>0</v>
      </c>
      <c r="I27" s="2067">
        <v>0</v>
      </c>
      <c r="J27" s="2067">
        <v>0</v>
      </c>
      <c r="K27" s="2067">
        <v>0</v>
      </c>
      <c r="L27" s="2067">
        <v>0</v>
      </c>
      <c r="M27" s="2067">
        <v>0</v>
      </c>
      <c r="N27" s="2067">
        <v>0</v>
      </c>
      <c r="O27" s="2067">
        <v>0</v>
      </c>
      <c r="P27" s="2067">
        <v>0</v>
      </c>
      <c r="Q27" s="2067">
        <v>0</v>
      </c>
      <c r="R27" s="2067">
        <v>0</v>
      </c>
      <c r="S27" s="2067">
        <v>0</v>
      </c>
      <c r="T27" s="2067">
        <v>0</v>
      </c>
      <c r="U27" s="2067">
        <v>0</v>
      </c>
      <c r="V27" s="2067">
        <v>0</v>
      </c>
      <c r="W27" s="2067">
        <v>0</v>
      </c>
      <c r="X27" s="2067">
        <v>24.076784178847799</v>
      </c>
    </row>
    <row r="28" spans="1:24" ht="11.25" customHeight="1">
      <c r="A28" s="2068" t="s">
        <v>4659</v>
      </c>
      <c r="B28" s="2069" t="s">
        <v>5771</v>
      </c>
      <c r="C28" s="2070">
        <v>0</v>
      </c>
      <c r="D28" s="2070">
        <v>0</v>
      </c>
      <c r="E28" s="2070">
        <v>0</v>
      </c>
      <c r="F28" s="2070">
        <v>0</v>
      </c>
      <c r="G28" s="2070">
        <v>0</v>
      </c>
      <c r="H28" s="2070">
        <v>0</v>
      </c>
      <c r="I28" s="2070">
        <v>0</v>
      </c>
      <c r="J28" s="2070">
        <v>0</v>
      </c>
      <c r="K28" s="2070">
        <v>0</v>
      </c>
      <c r="L28" s="2070">
        <v>0</v>
      </c>
      <c r="M28" s="2070">
        <v>0</v>
      </c>
      <c r="N28" s="2070">
        <v>0</v>
      </c>
      <c r="O28" s="2070">
        <v>0</v>
      </c>
      <c r="P28" s="2070">
        <v>0</v>
      </c>
      <c r="Q28" s="2070">
        <v>0</v>
      </c>
      <c r="R28" s="2070">
        <v>0</v>
      </c>
      <c r="S28" s="2070">
        <v>0</v>
      </c>
      <c r="T28" s="2070">
        <v>0</v>
      </c>
      <c r="U28" s="2070">
        <v>0</v>
      </c>
      <c r="V28" s="2070">
        <v>0</v>
      </c>
      <c r="W28" s="2070">
        <v>0</v>
      </c>
      <c r="X28" s="2070">
        <v>0</v>
      </c>
    </row>
    <row r="29" spans="1:24" ht="11.25" customHeight="1">
      <c r="A29" s="2068" t="s">
        <v>4660</v>
      </c>
      <c r="B29" s="2069" t="s">
        <v>5772</v>
      </c>
      <c r="C29" s="2070">
        <v>0</v>
      </c>
      <c r="D29" s="2070">
        <v>0</v>
      </c>
      <c r="E29" s="2070">
        <v>0</v>
      </c>
      <c r="F29" s="2070">
        <v>0</v>
      </c>
      <c r="G29" s="2070">
        <v>0</v>
      </c>
      <c r="H29" s="2070">
        <v>0</v>
      </c>
      <c r="I29" s="2070">
        <v>0</v>
      </c>
      <c r="J29" s="2070">
        <v>0</v>
      </c>
      <c r="K29" s="2070">
        <v>0</v>
      </c>
      <c r="L29" s="2070">
        <v>0</v>
      </c>
      <c r="M29" s="2070">
        <v>0</v>
      </c>
      <c r="N29" s="2070">
        <v>0</v>
      </c>
      <c r="O29" s="2070">
        <v>0</v>
      </c>
      <c r="P29" s="2070">
        <v>0</v>
      </c>
      <c r="Q29" s="2070">
        <v>0</v>
      </c>
      <c r="R29" s="2070">
        <v>0</v>
      </c>
      <c r="S29" s="2070">
        <v>0</v>
      </c>
      <c r="T29" s="2070">
        <v>0</v>
      </c>
      <c r="U29" s="2070">
        <v>0</v>
      </c>
      <c r="V29" s="2070">
        <v>0</v>
      </c>
      <c r="W29" s="2070">
        <v>0</v>
      </c>
      <c r="X29" s="2070">
        <v>24.076784178847799</v>
      </c>
    </row>
    <row r="30" spans="1:24" ht="11.25" customHeight="1">
      <c r="A30" s="2068" t="s">
        <v>4661</v>
      </c>
      <c r="B30" s="2069" t="s">
        <v>5773</v>
      </c>
      <c r="C30" s="2070">
        <v>0</v>
      </c>
      <c r="D30" s="2070">
        <v>0</v>
      </c>
      <c r="E30" s="2070">
        <v>0</v>
      </c>
      <c r="F30" s="2070">
        <v>0</v>
      </c>
      <c r="G30" s="2070">
        <v>0</v>
      </c>
      <c r="H30" s="2070">
        <v>0</v>
      </c>
      <c r="I30" s="2070">
        <v>0</v>
      </c>
      <c r="J30" s="2070">
        <v>0</v>
      </c>
      <c r="K30" s="2070">
        <v>0</v>
      </c>
      <c r="L30" s="2070">
        <v>0</v>
      </c>
      <c r="M30" s="2070">
        <v>0</v>
      </c>
      <c r="N30" s="2070">
        <v>0</v>
      </c>
      <c r="O30" s="2070">
        <v>0</v>
      </c>
      <c r="P30" s="2070">
        <v>0</v>
      </c>
      <c r="Q30" s="2070">
        <v>0</v>
      </c>
      <c r="R30" s="2070">
        <v>0</v>
      </c>
      <c r="S30" s="2070">
        <v>0</v>
      </c>
      <c r="T30" s="2070">
        <v>0</v>
      </c>
      <c r="U30" s="2070">
        <v>0</v>
      </c>
      <c r="V30" s="2070">
        <v>0</v>
      </c>
      <c r="W30" s="2070">
        <v>0</v>
      </c>
      <c r="X30" s="2070">
        <v>0</v>
      </c>
    </row>
    <row r="31" spans="1:24" ht="11.25" customHeight="1">
      <c r="A31" s="2068" t="s">
        <v>5774</v>
      </c>
      <c r="B31" s="2069" t="s">
        <v>5775</v>
      </c>
      <c r="C31" s="2070">
        <v>0</v>
      </c>
      <c r="D31" s="2070">
        <v>0</v>
      </c>
      <c r="E31" s="2070">
        <v>0</v>
      </c>
      <c r="F31" s="2070">
        <v>0</v>
      </c>
      <c r="G31" s="2070">
        <v>0</v>
      </c>
      <c r="H31" s="2070">
        <v>0</v>
      </c>
      <c r="I31" s="2070">
        <v>0</v>
      </c>
      <c r="J31" s="2070">
        <v>0</v>
      </c>
      <c r="K31" s="2070">
        <v>0</v>
      </c>
      <c r="L31" s="2070">
        <v>0</v>
      </c>
      <c r="M31" s="2070">
        <v>0</v>
      </c>
      <c r="N31" s="2070">
        <v>0</v>
      </c>
      <c r="O31" s="2070">
        <v>0</v>
      </c>
      <c r="P31" s="2070">
        <v>0</v>
      </c>
      <c r="Q31" s="2070">
        <v>0</v>
      </c>
      <c r="R31" s="2070">
        <v>0</v>
      </c>
      <c r="S31" s="2070">
        <v>0</v>
      </c>
      <c r="T31" s="2070">
        <v>0</v>
      </c>
      <c r="U31" s="2070">
        <v>0</v>
      </c>
      <c r="V31" s="2070">
        <v>0</v>
      </c>
      <c r="W31" s="2070">
        <v>0</v>
      </c>
      <c r="X31" s="2070">
        <v>0</v>
      </c>
    </row>
    <row r="32" spans="1:24" ht="11.25" customHeight="1">
      <c r="A32" s="2068" t="s">
        <v>4662</v>
      </c>
      <c r="B32" s="2069" t="s">
        <v>5776</v>
      </c>
      <c r="C32" s="2070">
        <v>0</v>
      </c>
      <c r="D32" s="2070">
        <v>0</v>
      </c>
      <c r="E32" s="2070">
        <v>0</v>
      </c>
      <c r="F32" s="2070">
        <v>0</v>
      </c>
      <c r="G32" s="2070">
        <v>0</v>
      </c>
      <c r="H32" s="2070">
        <v>0</v>
      </c>
      <c r="I32" s="2070">
        <v>0</v>
      </c>
      <c r="J32" s="2070">
        <v>0</v>
      </c>
      <c r="K32" s="2070">
        <v>0</v>
      </c>
      <c r="L32" s="2070">
        <v>0</v>
      </c>
      <c r="M32" s="2070">
        <v>0</v>
      </c>
      <c r="N32" s="2070">
        <v>0</v>
      </c>
      <c r="O32" s="2070">
        <v>0</v>
      </c>
      <c r="P32" s="2070">
        <v>0</v>
      </c>
      <c r="Q32" s="2070">
        <v>0</v>
      </c>
      <c r="R32" s="2070">
        <v>0</v>
      </c>
      <c r="S32" s="2070">
        <v>0</v>
      </c>
      <c r="T32" s="2070">
        <v>0</v>
      </c>
      <c r="U32" s="2070">
        <v>0</v>
      </c>
      <c r="V32" s="2070">
        <v>0</v>
      </c>
      <c r="W32" s="2070">
        <v>0</v>
      </c>
      <c r="X32" s="2070">
        <v>0</v>
      </c>
    </row>
    <row r="33" spans="1:24" ht="11.25" customHeight="1">
      <c r="A33" s="2065" t="s">
        <v>5777</v>
      </c>
      <c r="B33" s="2066" t="s">
        <v>5778</v>
      </c>
      <c r="C33" s="2067">
        <v>3334.4428374445456</v>
      </c>
      <c r="D33" s="2067">
        <v>3527.5536945905492</v>
      </c>
      <c r="E33" s="2067">
        <v>2670.1050209506461</v>
      </c>
      <c r="F33" s="2067">
        <v>2773.380096286744</v>
      </c>
      <c r="G33" s="2067">
        <v>1877.6554259778447</v>
      </c>
      <c r="H33" s="2067">
        <v>1873.5420304891356</v>
      </c>
      <c r="I33" s="2067">
        <v>2059.9494664607178</v>
      </c>
      <c r="J33" s="2067">
        <v>2096.2291974707473</v>
      </c>
      <c r="K33" s="2067">
        <v>2078.4954344067419</v>
      </c>
      <c r="L33" s="2067">
        <v>1753.308973254874</v>
      </c>
      <c r="M33" s="2067">
        <v>1677.6445914097744</v>
      </c>
      <c r="N33" s="2067">
        <v>978.00124450713838</v>
      </c>
      <c r="O33" s="2067">
        <v>1179.6072226999142</v>
      </c>
      <c r="P33" s="2067">
        <v>806.57497850386926</v>
      </c>
      <c r="Q33" s="2067">
        <v>864.0258813413584</v>
      </c>
      <c r="R33" s="2067">
        <v>845.23576956147895</v>
      </c>
      <c r="S33" s="2067">
        <v>637.81883061048995</v>
      </c>
      <c r="T33" s="2067">
        <v>649.22742906276869</v>
      </c>
      <c r="U33" s="2067">
        <v>1966.0089423903694</v>
      </c>
      <c r="V33" s="2067">
        <v>1927.3820292347384</v>
      </c>
      <c r="W33" s="2067">
        <v>1882.2067067927771</v>
      </c>
      <c r="X33" s="2067">
        <v>2097.4601031814273</v>
      </c>
    </row>
    <row r="34" spans="1:24" ht="11.25" customHeight="1">
      <c r="A34" s="2068" t="s">
        <v>4607</v>
      </c>
      <c r="B34" s="2069" t="s">
        <v>5779</v>
      </c>
      <c r="C34" s="2070">
        <v>0</v>
      </c>
      <c r="D34" s="2070">
        <v>0</v>
      </c>
      <c r="E34" s="2070">
        <v>0</v>
      </c>
      <c r="F34" s="2070">
        <v>25.167755803955291</v>
      </c>
      <c r="G34" s="2070">
        <v>0</v>
      </c>
      <c r="H34" s="2070">
        <v>18.808942390369729</v>
      </c>
      <c r="I34" s="2070">
        <v>41.955374032674108</v>
      </c>
      <c r="J34" s="2070">
        <v>44.904385210662078</v>
      </c>
      <c r="K34" s="2070">
        <v>27.20928632846088</v>
      </c>
      <c r="L34" s="2070">
        <v>51.706534823731722</v>
      </c>
      <c r="M34" s="2070">
        <v>58.803439380911428</v>
      </c>
      <c r="N34" s="2070">
        <v>59.817368873602753</v>
      </c>
      <c r="O34" s="2070">
        <v>39.540240756663799</v>
      </c>
      <c r="P34" s="2070">
        <v>25.346345657781601</v>
      </c>
      <c r="Q34" s="2070">
        <v>66.876956147893381</v>
      </c>
      <c r="R34" s="2070">
        <v>87.953826311263967</v>
      </c>
      <c r="S34" s="2070">
        <v>7.0937231298366292</v>
      </c>
      <c r="T34" s="2070">
        <v>5.3740326741186584</v>
      </c>
      <c r="U34" s="2070">
        <v>33.683319002579537</v>
      </c>
      <c r="V34" s="2070">
        <v>42.375752364574367</v>
      </c>
      <c r="W34" s="2070">
        <v>58.999226139294919</v>
      </c>
      <c r="X34" s="2070">
        <v>61.933791917454847</v>
      </c>
    </row>
    <row r="35" spans="1:24" ht="11.25" customHeight="1">
      <c r="A35" s="2068" t="s">
        <v>587</v>
      </c>
      <c r="B35" s="2069" t="s">
        <v>5780</v>
      </c>
      <c r="C35" s="2070">
        <v>0</v>
      </c>
      <c r="D35" s="2070">
        <v>0</v>
      </c>
      <c r="E35" s="2070">
        <v>0</v>
      </c>
      <c r="F35" s="2070">
        <v>0</v>
      </c>
      <c r="G35" s="2070">
        <v>0</v>
      </c>
      <c r="H35" s="2070">
        <v>0</v>
      </c>
      <c r="I35" s="2070">
        <v>0</v>
      </c>
      <c r="J35" s="2070">
        <v>0</v>
      </c>
      <c r="K35" s="2070">
        <v>0</v>
      </c>
      <c r="L35" s="2070">
        <v>0</v>
      </c>
      <c r="M35" s="2070">
        <v>0</v>
      </c>
      <c r="N35" s="2070">
        <v>0</v>
      </c>
      <c r="O35" s="2070">
        <v>0</v>
      </c>
      <c r="P35" s="2070">
        <v>0</v>
      </c>
      <c r="Q35" s="2070">
        <v>0</v>
      </c>
      <c r="R35" s="2070">
        <v>0</v>
      </c>
      <c r="S35" s="2070">
        <v>0</v>
      </c>
      <c r="T35" s="2070">
        <v>0</v>
      </c>
      <c r="U35" s="2070">
        <v>0</v>
      </c>
      <c r="V35" s="2070">
        <v>0</v>
      </c>
      <c r="W35" s="2070">
        <v>0</v>
      </c>
      <c r="X35" s="2070">
        <v>0</v>
      </c>
    </row>
    <row r="36" spans="1:24" ht="11.25" customHeight="1">
      <c r="A36" s="2068" t="s">
        <v>5781</v>
      </c>
      <c r="B36" s="2069" t="s">
        <v>5782</v>
      </c>
      <c r="C36" s="2070">
        <v>637.06259673258819</v>
      </c>
      <c r="D36" s="2070">
        <v>579.13955288048146</v>
      </c>
      <c r="E36" s="2070">
        <v>473.79905417024941</v>
      </c>
      <c r="F36" s="2070">
        <v>287.55270851246786</v>
      </c>
      <c r="G36" s="2070">
        <v>270.54875322441956</v>
      </c>
      <c r="H36" s="2070">
        <v>289.52269991401539</v>
      </c>
      <c r="I36" s="2070">
        <v>263.67411865864142</v>
      </c>
      <c r="J36" s="2070">
        <v>294.63783319002573</v>
      </c>
      <c r="K36" s="2070">
        <v>249.17540842648322</v>
      </c>
      <c r="L36" s="2070">
        <v>208.55520206362851</v>
      </c>
      <c r="M36" s="2070">
        <v>229.62596732588136</v>
      </c>
      <c r="N36" s="2070">
        <v>126.52459157351676</v>
      </c>
      <c r="O36" s="2070">
        <v>192.2116938950989</v>
      </c>
      <c r="P36" s="2070">
        <v>147.59449699054167</v>
      </c>
      <c r="Q36" s="2070">
        <v>171.98693035253658</v>
      </c>
      <c r="R36" s="2070">
        <v>148.64471195184868</v>
      </c>
      <c r="S36" s="2070">
        <v>158.04591573516768</v>
      </c>
      <c r="T36" s="2070">
        <v>164.27618228718825</v>
      </c>
      <c r="U36" s="2070">
        <v>188.44978503869305</v>
      </c>
      <c r="V36" s="2070">
        <v>185.22717110920036</v>
      </c>
      <c r="W36" s="2070">
        <v>175.97661220980223</v>
      </c>
      <c r="X36" s="2070">
        <v>185.30214961306959</v>
      </c>
    </row>
    <row r="37" spans="1:24" ht="11.25" customHeight="1">
      <c r="A37" s="2068" t="s">
        <v>5783</v>
      </c>
      <c r="B37" s="2069" t="s">
        <v>5784</v>
      </c>
      <c r="C37" s="2070">
        <v>6.3449699054170257</v>
      </c>
      <c r="D37" s="2070">
        <v>5.2848667239896816</v>
      </c>
      <c r="E37" s="2070">
        <v>3.1997420464316413</v>
      </c>
      <c r="F37" s="2070">
        <v>4.2506448839208941</v>
      </c>
      <c r="G37" s="2070">
        <v>3.1965606190885634</v>
      </c>
      <c r="H37" s="2070">
        <v>5.6294067067927767</v>
      </c>
      <c r="I37" s="2070">
        <v>3.2303525365434225</v>
      </c>
      <c r="J37" s="2070">
        <v>2.1595872742906272</v>
      </c>
      <c r="K37" s="2070">
        <v>2.1686156491831468</v>
      </c>
      <c r="L37" s="2070">
        <v>6.9131556319862411E-2</v>
      </c>
      <c r="M37" s="2070">
        <v>1.413671539122958</v>
      </c>
      <c r="N37" s="2070">
        <v>3.4360275150472908</v>
      </c>
      <c r="O37" s="2070">
        <v>4.5108340498710238</v>
      </c>
      <c r="P37" s="2070">
        <v>2.3271711092003438</v>
      </c>
      <c r="Q37" s="2070">
        <v>4.3278589853826306</v>
      </c>
      <c r="R37" s="2070">
        <v>4.309200343938091</v>
      </c>
      <c r="S37" s="2070">
        <v>3.3220120378331894</v>
      </c>
      <c r="T37" s="2070">
        <v>1.4325881341358553</v>
      </c>
      <c r="U37" s="2070">
        <v>73.833018056749765</v>
      </c>
      <c r="V37" s="2070">
        <v>77.410146173688744</v>
      </c>
      <c r="W37" s="2070">
        <v>78.185468615649185</v>
      </c>
      <c r="X37" s="2070">
        <v>76.053654342218408</v>
      </c>
    </row>
    <row r="38" spans="1:24" ht="11.25" customHeight="1">
      <c r="A38" s="2068" t="s">
        <v>4663</v>
      </c>
      <c r="B38" s="2069" t="s">
        <v>5785</v>
      </c>
      <c r="C38" s="2070">
        <v>0</v>
      </c>
      <c r="D38" s="2070">
        <v>0</v>
      </c>
      <c r="E38" s="2070">
        <v>0</v>
      </c>
      <c r="F38" s="2070">
        <v>0</v>
      </c>
      <c r="G38" s="2070">
        <v>0</v>
      </c>
      <c r="H38" s="2070">
        <v>0</v>
      </c>
      <c r="I38" s="2070">
        <v>0</v>
      </c>
      <c r="J38" s="2070">
        <v>0</v>
      </c>
      <c r="K38" s="2070">
        <v>0</v>
      </c>
      <c r="L38" s="2070">
        <v>0</v>
      </c>
      <c r="M38" s="2070">
        <v>0</v>
      </c>
      <c r="N38" s="2070">
        <v>0</v>
      </c>
      <c r="O38" s="2070">
        <v>0</v>
      </c>
      <c r="P38" s="2070">
        <v>0</v>
      </c>
      <c r="Q38" s="2070">
        <v>0</v>
      </c>
      <c r="R38" s="2070">
        <v>0</v>
      </c>
      <c r="S38" s="2070">
        <v>0</v>
      </c>
      <c r="T38" s="2070">
        <v>0</v>
      </c>
      <c r="U38" s="2070">
        <v>0</v>
      </c>
      <c r="V38" s="2070">
        <v>0</v>
      </c>
      <c r="W38" s="2070">
        <v>0</v>
      </c>
      <c r="X38" s="2070">
        <v>0</v>
      </c>
    </row>
    <row r="39" spans="1:24" ht="11.25" customHeight="1">
      <c r="A39" s="2068" t="s">
        <v>5786</v>
      </c>
      <c r="B39" s="2069" t="s">
        <v>5787</v>
      </c>
      <c r="C39" s="2070">
        <v>0</v>
      </c>
      <c r="D39" s="2070">
        <v>0</v>
      </c>
      <c r="E39" s="2070">
        <v>0</v>
      </c>
      <c r="F39" s="2070">
        <v>0</v>
      </c>
      <c r="G39" s="2070">
        <v>0</v>
      </c>
      <c r="H39" s="2070">
        <v>0</v>
      </c>
      <c r="I39" s="2070">
        <v>0</v>
      </c>
      <c r="J39" s="2070">
        <v>0</v>
      </c>
      <c r="K39" s="2070">
        <v>0</v>
      </c>
      <c r="L39" s="2070">
        <v>0</v>
      </c>
      <c r="M39" s="2070">
        <v>0</v>
      </c>
      <c r="N39" s="2070">
        <v>0</v>
      </c>
      <c r="O39" s="2070">
        <v>0</v>
      </c>
      <c r="P39" s="2070">
        <v>0</v>
      </c>
      <c r="Q39" s="2070">
        <v>0</v>
      </c>
      <c r="R39" s="2070">
        <v>0</v>
      </c>
      <c r="S39" s="2070">
        <v>0</v>
      </c>
      <c r="T39" s="2070">
        <v>0</v>
      </c>
      <c r="U39" s="2070">
        <v>0</v>
      </c>
      <c r="V39" s="2070">
        <v>0</v>
      </c>
      <c r="W39" s="2070">
        <v>0</v>
      </c>
      <c r="X39" s="2070">
        <v>0</v>
      </c>
    </row>
    <row r="40" spans="1:24" ht="11.25" customHeight="1">
      <c r="A40" s="2068" t="s">
        <v>5788</v>
      </c>
      <c r="B40" s="2069" t="s">
        <v>5789</v>
      </c>
      <c r="C40" s="2070">
        <v>0</v>
      </c>
      <c r="D40" s="2070">
        <v>0</v>
      </c>
      <c r="E40" s="2070">
        <v>0</v>
      </c>
      <c r="F40" s="2070">
        <v>0</v>
      </c>
      <c r="G40" s="2070">
        <v>0</v>
      </c>
      <c r="H40" s="2070">
        <v>0</v>
      </c>
      <c r="I40" s="2070">
        <v>0</v>
      </c>
      <c r="J40" s="2070">
        <v>0</v>
      </c>
      <c r="K40" s="2070">
        <v>0</v>
      </c>
      <c r="L40" s="2070">
        <v>0</v>
      </c>
      <c r="M40" s="2070">
        <v>0</v>
      </c>
      <c r="N40" s="2070">
        <v>0</v>
      </c>
      <c r="O40" s="2070">
        <v>0</v>
      </c>
      <c r="P40" s="2070">
        <v>0</v>
      </c>
      <c r="Q40" s="2070">
        <v>0</v>
      </c>
      <c r="R40" s="2070">
        <v>0</v>
      </c>
      <c r="S40" s="2070">
        <v>0</v>
      </c>
      <c r="T40" s="2070">
        <v>0</v>
      </c>
      <c r="U40" s="2070">
        <v>0</v>
      </c>
      <c r="V40" s="2070">
        <v>0</v>
      </c>
      <c r="W40" s="2070">
        <v>0</v>
      </c>
      <c r="X40" s="2070">
        <v>0</v>
      </c>
    </row>
    <row r="41" spans="1:24" ht="11.25" customHeight="1">
      <c r="A41" s="2068" t="s">
        <v>4664</v>
      </c>
      <c r="B41" s="2069" t="s">
        <v>5790</v>
      </c>
      <c r="C41" s="2070">
        <v>6.6478933791917445</v>
      </c>
      <c r="D41" s="2070">
        <v>9.5569217540842626</v>
      </c>
      <c r="E41" s="2070">
        <v>6.6342218400687862</v>
      </c>
      <c r="F41" s="2070">
        <v>7.8325881341358548</v>
      </c>
      <c r="G41" s="2070">
        <v>8.9535683576956142</v>
      </c>
      <c r="H41" s="2070">
        <v>12.33645743766122</v>
      </c>
      <c r="I41" s="2070">
        <v>6.0361134995700771</v>
      </c>
      <c r="J41" s="2070">
        <v>3.6004299226139285</v>
      </c>
      <c r="K41" s="2070">
        <v>4.3127257093723124</v>
      </c>
      <c r="L41" s="2070">
        <v>4.6749785038693012</v>
      </c>
      <c r="M41" s="2070">
        <v>2.4447119518486673</v>
      </c>
      <c r="N41" s="2070">
        <v>4.6474634565778157</v>
      </c>
      <c r="O41" s="2070">
        <v>8.0361994840928634</v>
      </c>
      <c r="P41" s="2070">
        <v>3.0338779019776436</v>
      </c>
      <c r="Q41" s="2070">
        <v>4.4495270851246769</v>
      </c>
      <c r="R41" s="2070">
        <v>5.8197764402407568</v>
      </c>
      <c r="S41" s="2070">
        <v>4.0178847807394664</v>
      </c>
      <c r="T41" s="2070">
        <v>4.042562338779021</v>
      </c>
      <c r="U41" s="2070">
        <v>4.9278589853826302</v>
      </c>
      <c r="V41" s="2070">
        <v>4.6721410146173676</v>
      </c>
      <c r="W41" s="2070">
        <v>4.8852106620808255</v>
      </c>
      <c r="X41" s="2070">
        <v>3.7756663800515913</v>
      </c>
    </row>
    <row r="42" spans="1:24" ht="11.25" customHeight="1">
      <c r="A42" s="2068" t="s">
        <v>4611</v>
      </c>
      <c r="B42" s="2069" t="s">
        <v>5791</v>
      </c>
      <c r="C42" s="2070">
        <v>0</v>
      </c>
      <c r="D42" s="2070">
        <v>0</v>
      </c>
      <c r="E42" s="2070">
        <v>0</v>
      </c>
      <c r="F42" s="2070">
        <v>0</v>
      </c>
      <c r="G42" s="2070">
        <v>0</v>
      </c>
      <c r="H42" s="2070">
        <v>0</v>
      </c>
      <c r="I42" s="2070">
        <v>0</v>
      </c>
      <c r="J42" s="2070">
        <v>0</v>
      </c>
      <c r="K42" s="2070">
        <v>2.0995700773860699</v>
      </c>
      <c r="L42" s="2070">
        <v>0</v>
      </c>
      <c r="M42" s="2070">
        <v>0</v>
      </c>
      <c r="N42" s="2070">
        <v>0</v>
      </c>
      <c r="O42" s="2070">
        <v>0</v>
      </c>
      <c r="P42" s="2070">
        <v>0</v>
      </c>
      <c r="Q42" s="2070">
        <v>0</v>
      </c>
      <c r="R42" s="2070">
        <v>0</v>
      </c>
      <c r="S42" s="2070">
        <v>0</v>
      </c>
      <c r="T42" s="2070">
        <v>0</v>
      </c>
      <c r="U42" s="2070">
        <v>0</v>
      </c>
      <c r="V42" s="2070">
        <v>0</v>
      </c>
      <c r="W42" s="2070">
        <v>0</v>
      </c>
      <c r="X42" s="2070">
        <v>0</v>
      </c>
    </row>
    <row r="43" spans="1:24" ht="11.25" customHeight="1">
      <c r="A43" s="2068" t="s">
        <v>5792</v>
      </c>
      <c r="B43" s="2069" t="s">
        <v>5793</v>
      </c>
      <c r="C43" s="2070">
        <v>1175.0092174961364</v>
      </c>
      <c r="D43" s="2070">
        <v>1319.4972027590791</v>
      </c>
      <c r="E43" s="2070">
        <v>928.72041218022468</v>
      </c>
      <c r="F43" s="2070">
        <v>1095.9650489952567</v>
      </c>
      <c r="G43" s="2070">
        <v>924.0322101566926</v>
      </c>
      <c r="H43" s="2070">
        <v>1075.6574217187144</v>
      </c>
      <c r="I43" s="2070">
        <v>957.97061865332319</v>
      </c>
      <c r="J43" s="2070">
        <v>932.58775293076485</v>
      </c>
      <c r="K43" s="2070">
        <v>998.91813432075708</v>
      </c>
      <c r="L43" s="2070">
        <v>607.3286637105922</v>
      </c>
      <c r="M43" s="2070">
        <v>802.91062752327423</v>
      </c>
      <c r="N43" s="2070">
        <v>531.52213874617541</v>
      </c>
      <c r="O43" s="2070">
        <v>634.30171969045591</v>
      </c>
      <c r="P43" s="2070">
        <v>480.28959587274295</v>
      </c>
      <c r="Q43" s="2070">
        <v>406.98116938950983</v>
      </c>
      <c r="R43" s="2070">
        <v>356.68073946689594</v>
      </c>
      <c r="S43" s="2070">
        <v>363.62880481513315</v>
      </c>
      <c r="T43" s="2070">
        <v>351.88151332760106</v>
      </c>
      <c r="U43" s="2070">
        <v>1559.1526225279449</v>
      </c>
      <c r="V43" s="2070">
        <v>1551.2729148753231</v>
      </c>
      <c r="W43" s="2070">
        <v>1498.6406706792777</v>
      </c>
      <c r="X43" s="2070">
        <v>1505.4976784178846</v>
      </c>
    </row>
    <row r="44" spans="1:24" ht="11.25" customHeight="1">
      <c r="A44" s="2068" t="s">
        <v>4665</v>
      </c>
      <c r="B44" s="2069" t="s">
        <v>5794</v>
      </c>
      <c r="C44" s="2070">
        <v>735.59114359415298</v>
      </c>
      <c r="D44" s="2070">
        <v>1038.1151332760103</v>
      </c>
      <c r="E44" s="2070">
        <v>838.5024935511608</v>
      </c>
      <c r="F44" s="2070">
        <v>1045.2463456577814</v>
      </c>
      <c r="G44" s="2070">
        <v>385.96440240756658</v>
      </c>
      <c r="H44" s="2070">
        <v>353.98177128116942</v>
      </c>
      <c r="I44" s="2070">
        <v>469.77368873602757</v>
      </c>
      <c r="J44" s="2070">
        <v>563.48340498710218</v>
      </c>
      <c r="K44" s="2070">
        <v>553.90997420464328</v>
      </c>
      <c r="L44" s="2070">
        <v>459.66792777300071</v>
      </c>
      <c r="M44" s="2070">
        <v>310.43164230438521</v>
      </c>
      <c r="N44" s="2070">
        <v>183.4419604471195</v>
      </c>
      <c r="O44" s="2070">
        <v>191.58237317282885</v>
      </c>
      <c r="P44" s="2070">
        <v>98.819948409286326</v>
      </c>
      <c r="Q44" s="2070">
        <v>71.892519346517616</v>
      </c>
      <c r="R44" s="2070">
        <v>75.437575236457434</v>
      </c>
      <c r="S44" s="2070">
        <v>93.602837489251925</v>
      </c>
      <c r="T44" s="2070">
        <v>121.83533963886499</v>
      </c>
      <c r="U44" s="2070">
        <v>101.93284608770421</v>
      </c>
      <c r="V44" s="2070">
        <v>62.593207222699917</v>
      </c>
      <c r="W44" s="2070">
        <v>60.703525365434217</v>
      </c>
      <c r="X44" s="2070">
        <v>40.068357695614793</v>
      </c>
    </row>
    <row r="45" spans="1:24" ht="11.25" customHeight="1">
      <c r="A45" s="2068" t="s">
        <v>5795</v>
      </c>
      <c r="B45" s="2069" t="s">
        <v>5796</v>
      </c>
      <c r="C45" s="2070">
        <v>0</v>
      </c>
      <c r="D45" s="2070">
        <v>0</v>
      </c>
      <c r="E45" s="2070">
        <v>0</v>
      </c>
      <c r="F45" s="2070">
        <v>0</v>
      </c>
      <c r="G45" s="2070">
        <v>0</v>
      </c>
      <c r="H45" s="2070">
        <v>0</v>
      </c>
      <c r="I45" s="2070">
        <v>0</v>
      </c>
      <c r="J45" s="2070">
        <v>0</v>
      </c>
      <c r="K45" s="2070">
        <v>0</v>
      </c>
      <c r="L45" s="2070">
        <v>0</v>
      </c>
      <c r="M45" s="2070">
        <v>0</v>
      </c>
      <c r="N45" s="2070">
        <v>0</v>
      </c>
      <c r="O45" s="2070">
        <v>0</v>
      </c>
      <c r="P45" s="2070">
        <v>0</v>
      </c>
      <c r="Q45" s="2070">
        <v>0</v>
      </c>
      <c r="R45" s="2070">
        <v>0</v>
      </c>
      <c r="S45" s="2070">
        <v>1.049785038693035</v>
      </c>
      <c r="T45" s="2070">
        <v>0</v>
      </c>
      <c r="U45" s="2070">
        <v>0</v>
      </c>
      <c r="V45" s="2070">
        <v>3.5425623387790192E-2</v>
      </c>
      <c r="W45" s="2070">
        <v>5.0988822012037832E-2</v>
      </c>
      <c r="X45" s="2070">
        <v>221.84006878761821</v>
      </c>
    </row>
    <row r="46" spans="1:24" ht="11.25" customHeight="1">
      <c r="A46" s="2068" t="s">
        <v>595</v>
      </c>
      <c r="B46" s="2069" t="s">
        <v>5797</v>
      </c>
      <c r="C46" s="2070">
        <v>0</v>
      </c>
      <c r="D46" s="2070">
        <v>0</v>
      </c>
      <c r="E46" s="2070">
        <v>0</v>
      </c>
      <c r="F46" s="2070">
        <v>0</v>
      </c>
      <c r="G46" s="2070">
        <v>0</v>
      </c>
      <c r="H46" s="2070">
        <v>0</v>
      </c>
      <c r="I46" s="2070">
        <v>0</v>
      </c>
      <c r="J46" s="2070">
        <v>0</v>
      </c>
      <c r="K46" s="2070">
        <v>0</v>
      </c>
      <c r="L46" s="2070">
        <v>0</v>
      </c>
      <c r="M46" s="2070">
        <v>0</v>
      </c>
      <c r="N46" s="2070">
        <v>0</v>
      </c>
      <c r="O46" s="2070">
        <v>0</v>
      </c>
      <c r="P46" s="2070">
        <v>0</v>
      </c>
      <c r="Q46" s="2070">
        <v>0</v>
      </c>
      <c r="R46" s="2070">
        <v>0</v>
      </c>
      <c r="S46" s="2070">
        <v>0</v>
      </c>
      <c r="T46" s="2070">
        <v>0</v>
      </c>
      <c r="U46" s="2070">
        <v>0</v>
      </c>
      <c r="V46" s="2070">
        <v>0</v>
      </c>
      <c r="W46" s="2070">
        <v>0</v>
      </c>
      <c r="X46" s="2070">
        <v>0</v>
      </c>
    </row>
    <row r="47" spans="1:24" ht="11.25" customHeight="1">
      <c r="A47" s="2068" t="s">
        <v>4614</v>
      </c>
      <c r="B47" s="2069" t="s">
        <v>5798</v>
      </c>
      <c r="C47" s="2070">
        <v>0</v>
      </c>
      <c r="D47" s="2070">
        <v>0</v>
      </c>
      <c r="E47" s="2070">
        <v>0</v>
      </c>
      <c r="F47" s="2070">
        <v>0</v>
      </c>
      <c r="G47" s="2070">
        <v>0</v>
      </c>
      <c r="H47" s="2070">
        <v>0</v>
      </c>
      <c r="I47" s="2070">
        <v>0</v>
      </c>
      <c r="J47" s="2070">
        <v>0</v>
      </c>
      <c r="K47" s="2070">
        <v>0</v>
      </c>
      <c r="L47" s="2070">
        <v>0</v>
      </c>
      <c r="M47" s="2070">
        <v>0</v>
      </c>
      <c r="N47" s="2070">
        <v>0</v>
      </c>
      <c r="O47" s="2070">
        <v>0</v>
      </c>
      <c r="P47" s="2070">
        <v>0</v>
      </c>
      <c r="Q47" s="2070">
        <v>0</v>
      </c>
      <c r="R47" s="2070">
        <v>0</v>
      </c>
      <c r="S47" s="2070">
        <v>0</v>
      </c>
      <c r="T47" s="2070">
        <v>0</v>
      </c>
      <c r="U47" s="2070">
        <v>0</v>
      </c>
      <c r="V47" s="2070">
        <v>0</v>
      </c>
      <c r="W47" s="2070">
        <v>0</v>
      </c>
      <c r="X47" s="2070">
        <v>0</v>
      </c>
    </row>
    <row r="48" spans="1:24" ht="11.25" customHeight="1">
      <c r="A48" s="2068" t="s">
        <v>4667</v>
      </c>
      <c r="B48" s="2069" t="s">
        <v>5799</v>
      </c>
      <c r="C48" s="2070">
        <v>728.50386930352522</v>
      </c>
      <c r="D48" s="2070">
        <v>219.89346517626822</v>
      </c>
      <c r="E48" s="2070">
        <v>214.90163370593291</v>
      </c>
      <c r="F48" s="2070">
        <v>173.53344797936367</v>
      </c>
      <c r="G48" s="2070">
        <v>125.3463456577816</v>
      </c>
      <c r="H48" s="2070">
        <v>110.88417884780738</v>
      </c>
      <c r="I48" s="2070">
        <v>197.191143594153</v>
      </c>
      <c r="J48" s="2070">
        <v>165.854600171969</v>
      </c>
      <c r="K48" s="2070">
        <v>144.45399828030955</v>
      </c>
      <c r="L48" s="2070">
        <v>301.90120378331898</v>
      </c>
      <c r="M48" s="2070">
        <v>210.18435081685291</v>
      </c>
      <c r="N48" s="2070">
        <v>0</v>
      </c>
      <c r="O48" s="2070">
        <v>9.9360275150472912</v>
      </c>
      <c r="P48" s="2070">
        <v>0</v>
      </c>
      <c r="Q48" s="2070">
        <v>0</v>
      </c>
      <c r="R48" s="2070">
        <v>3.4824591573516761</v>
      </c>
      <c r="S48" s="2070">
        <v>2.3166809974204639</v>
      </c>
      <c r="T48" s="2070">
        <v>0.3821152192605331</v>
      </c>
      <c r="U48" s="2070">
        <v>0</v>
      </c>
      <c r="V48" s="2070">
        <v>0</v>
      </c>
      <c r="W48" s="2070">
        <v>0.25374032674118657</v>
      </c>
      <c r="X48" s="2070">
        <v>1.9862424763542559E-2</v>
      </c>
    </row>
    <row r="49" spans="1:24" ht="11.25" customHeight="1">
      <c r="A49" s="2068" t="s">
        <v>4666</v>
      </c>
      <c r="B49" s="2069" t="s">
        <v>5800</v>
      </c>
      <c r="C49" s="2070">
        <v>0</v>
      </c>
      <c r="D49" s="2070">
        <v>0</v>
      </c>
      <c r="E49" s="2070">
        <v>0</v>
      </c>
      <c r="F49" s="2070">
        <v>0</v>
      </c>
      <c r="G49" s="2070">
        <v>0</v>
      </c>
      <c r="H49" s="2070">
        <v>0</v>
      </c>
      <c r="I49" s="2070">
        <v>44.874376612209801</v>
      </c>
      <c r="J49" s="2070">
        <v>0</v>
      </c>
      <c r="K49" s="2070">
        <v>11.218572656921751</v>
      </c>
      <c r="L49" s="2070">
        <v>0</v>
      </c>
      <c r="M49" s="2070">
        <v>0</v>
      </c>
      <c r="N49" s="2070">
        <v>0</v>
      </c>
      <c r="O49" s="2070">
        <v>0</v>
      </c>
      <c r="P49" s="2070">
        <v>0</v>
      </c>
      <c r="Q49" s="2070">
        <v>0</v>
      </c>
      <c r="R49" s="2070">
        <v>0</v>
      </c>
      <c r="S49" s="2070">
        <v>0</v>
      </c>
      <c r="T49" s="2070">
        <v>0</v>
      </c>
      <c r="U49" s="2070">
        <v>0</v>
      </c>
      <c r="V49" s="2070">
        <v>0</v>
      </c>
      <c r="W49" s="2070">
        <v>0</v>
      </c>
      <c r="X49" s="2070">
        <v>0</v>
      </c>
    </row>
    <row r="50" spans="1:24" ht="11.25" customHeight="1">
      <c r="A50" s="2068" t="s">
        <v>4668</v>
      </c>
      <c r="B50" s="2069" t="s">
        <v>5801</v>
      </c>
      <c r="C50" s="2070">
        <v>45.283147033533965</v>
      </c>
      <c r="D50" s="2070">
        <v>356.06655202063627</v>
      </c>
      <c r="E50" s="2070">
        <v>204.34746345657783</v>
      </c>
      <c r="F50" s="2070">
        <v>133.83155631986239</v>
      </c>
      <c r="G50" s="2070">
        <v>159.61358555460015</v>
      </c>
      <c r="H50" s="2070">
        <v>6.7211521926053308</v>
      </c>
      <c r="I50" s="2070">
        <v>75.24368013757524</v>
      </c>
      <c r="J50" s="2070">
        <v>89.001203783318999</v>
      </c>
      <c r="K50" s="2070">
        <v>85.029148753224419</v>
      </c>
      <c r="L50" s="2070">
        <v>119.40533104041266</v>
      </c>
      <c r="M50" s="2070">
        <v>61.830180567497848</v>
      </c>
      <c r="N50" s="2070">
        <v>68.611693895098881</v>
      </c>
      <c r="O50" s="2070">
        <v>99.488134135855532</v>
      </c>
      <c r="P50" s="2070">
        <v>49.163542562338769</v>
      </c>
      <c r="Q50" s="2070">
        <v>137.51092003439379</v>
      </c>
      <c r="R50" s="2070">
        <v>162.90748065348242</v>
      </c>
      <c r="S50" s="2070">
        <v>4.7411865864144449</v>
      </c>
      <c r="T50" s="2070">
        <v>3.095442820292347E-3</v>
      </c>
      <c r="U50" s="2070">
        <v>4.0294926913155633</v>
      </c>
      <c r="V50" s="2070">
        <v>3.7952708512467757</v>
      </c>
      <c r="W50" s="2070">
        <v>4.5112639724849526</v>
      </c>
      <c r="X50" s="2070">
        <v>2.9688736027515037</v>
      </c>
    </row>
    <row r="51" spans="1:24" ht="11.25" customHeight="1">
      <c r="A51" s="2071" t="s">
        <v>3875</v>
      </c>
      <c r="B51" s="2072" t="s">
        <v>5802</v>
      </c>
      <c r="C51" s="2073">
        <v>4100.6851928883043</v>
      </c>
      <c r="D51" s="2073">
        <v>4276.9666380051594</v>
      </c>
      <c r="E51" s="2073">
        <v>4860.2069647463441</v>
      </c>
      <c r="F51" s="2073">
        <v>3429.3469475494412</v>
      </c>
      <c r="G51" s="2073">
        <v>3372.7373172828898</v>
      </c>
      <c r="H51" s="2073">
        <v>7185.3945829750628</v>
      </c>
      <c r="I51" s="2073">
        <v>5723.6319002579521</v>
      </c>
      <c r="J51" s="2073">
        <v>7024.1629406706788</v>
      </c>
      <c r="K51" s="2073">
        <v>6985.8785898538254</v>
      </c>
      <c r="L51" s="2073">
        <v>4499.8484952708532</v>
      </c>
      <c r="M51" s="2073">
        <v>6835.8063628546861</v>
      </c>
      <c r="N51" s="2073">
        <v>3384.7702493551151</v>
      </c>
      <c r="O51" s="2073">
        <v>3148.5327601031809</v>
      </c>
      <c r="P51" s="2073">
        <v>3154.9284608770427</v>
      </c>
      <c r="Q51" s="2073">
        <v>3066.6671539122958</v>
      </c>
      <c r="R51" s="2073">
        <v>2568.8171969045575</v>
      </c>
      <c r="S51" s="2073">
        <v>2757.5906276870164</v>
      </c>
      <c r="T51" s="2073">
        <v>2662.7963026655193</v>
      </c>
      <c r="U51" s="2073">
        <v>1985.6538263112634</v>
      </c>
      <c r="V51" s="2073">
        <v>2559.8381771281165</v>
      </c>
      <c r="W51" s="2073">
        <v>2453.8362854686147</v>
      </c>
      <c r="X51" s="2073">
        <v>2954.8503009458291</v>
      </c>
    </row>
    <row r="52" spans="1:24" ht="11.25" customHeight="1">
      <c r="A52" s="2071" t="s">
        <v>5803</v>
      </c>
      <c r="B52" s="2072" t="s">
        <v>5804</v>
      </c>
      <c r="C52" s="2073">
        <v>971.1771600516073</v>
      </c>
      <c r="D52" s="2073">
        <v>1069.2155213029559</v>
      </c>
      <c r="E52" s="2073">
        <v>1211.0077587819997</v>
      </c>
      <c r="F52" s="2073">
        <v>688.7051644815233</v>
      </c>
      <c r="G52" s="2073">
        <v>661.768982991249</v>
      </c>
      <c r="H52" s="2073">
        <v>620.12193301669254</v>
      </c>
      <c r="I52" s="2073">
        <v>659.39176502080545</v>
      </c>
      <c r="J52" s="2073">
        <v>718.05806984710819</v>
      </c>
      <c r="K52" s="2073">
        <v>721.3933765751101</v>
      </c>
      <c r="L52" s="2073">
        <v>615.62536863965227</v>
      </c>
      <c r="M52" s="2073">
        <v>575.47937423367546</v>
      </c>
      <c r="N52" s="2073">
        <v>602.91977202970168</v>
      </c>
      <c r="O52" s="2073">
        <v>606.74725505898664</v>
      </c>
      <c r="P52" s="2073">
        <v>552.99736714314849</v>
      </c>
      <c r="Q52" s="2073">
        <v>641.49612631682135</v>
      </c>
      <c r="R52" s="2073">
        <v>641.09757061151538</v>
      </c>
      <c r="S52" s="2073">
        <v>605.01334495839751</v>
      </c>
      <c r="T52" s="2073">
        <v>566.40665327637544</v>
      </c>
      <c r="U52" s="2073">
        <v>648.40884385788638</v>
      </c>
      <c r="V52" s="2073">
        <v>643.21254085778912</v>
      </c>
      <c r="W52" s="2073">
        <v>609.66031637069477</v>
      </c>
      <c r="X52" s="2073">
        <v>642.34883258481193</v>
      </c>
    </row>
    <row r="53" spans="1:24" ht="11.25" customHeight="1">
      <c r="A53" s="2074" t="s">
        <v>3973</v>
      </c>
      <c r="B53" s="2069" t="s">
        <v>5805</v>
      </c>
      <c r="C53" s="2070">
        <v>0</v>
      </c>
      <c r="D53" s="2070">
        <v>0</v>
      </c>
      <c r="E53" s="2070">
        <v>0</v>
      </c>
      <c r="F53" s="2070">
        <v>0</v>
      </c>
      <c r="G53" s="2070">
        <v>0</v>
      </c>
      <c r="H53" s="2070">
        <v>0</v>
      </c>
      <c r="I53" s="2070">
        <v>0</v>
      </c>
      <c r="J53" s="2070">
        <v>0</v>
      </c>
      <c r="K53" s="2070">
        <v>0</v>
      </c>
      <c r="L53" s="2070">
        <v>0</v>
      </c>
      <c r="M53" s="2070">
        <v>0</v>
      </c>
      <c r="N53" s="2070">
        <v>0</v>
      </c>
      <c r="O53" s="2070">
        <v>0</v>
      </c>
      <c r="P53" s="2070">
        <v>0</v>
      </c>
      <c r="Q53" s="2070">
        <v>0</v>
      </c>
      <c r="R53" s="2070">
        <v>0</v>
      </c>
      <c r="S53" s="2070">
        <v>0</v>
      </c>
      <c r="T53" s="2070">
        <v>0</v>
      </c>
      <c r="U53" s="2070">
        <v>0</v>
      </c>
      <c r="V53" s="2070">
        <v>0</v>
      </c>
      <c r="W53" s="2070">
        <v>0</v>
      </c>
      <c r="X53" s="2070">
        <v>0</v>
      </c>
    </row>
    <row r="54" spans="1:24" ht="11.25" customHeight="1">
      <c r="A54" s="2074" t="s">
        <v>5806</v>
      </c>
      <c r="B54" s="2069" t="s">
        <v>5807</v>
      </c>
      <c r="C54" s="2070">
        <v>0</v>
      </c>
      <c r="D54" s="2070">
        <v>0</v>
      </c>
      <c r="E54" s="2070">
        <v>0</v>
      </c>
      <c r="F54" s="2070">
        <v>0</v>
      </c>
      <c r="G54" s="2070">
        <v>0</v>
      </c>
      <c r="H54" s="2070">
        <v>0</v>
      </c>
      <c r="I54" s="2070">
        <v>0</v>
      </c>
      <c r="J54" s="2070">
        <v>0</v>
      </c>
      <c r="K54" s="2070">
        <v>0</v>
      </c>
      <c r="L54" s="2070">
        <v>0</v>
      </c>
      <c r="M54" s="2070">
        <v>0</v>
      </c>
      <c r="N54" s="2070">
        <v>0</v>
      </c>
      <c r="O54" s="2070">
        <v>0</v>
      </c>
      <c r="P54" s="2070">
        <v>0</v>
      </c>
      <c r="Q54" s="2070">
        <v>0</v>
      </c>
      <c r="R54" s="2070">
        <v>0</v>
      </c>
      <c r="S54" s="2070">
        <v>0</v>
      </c>
      <c r="T54" s="2070">
        <v>0</v>
      </c>
      <c r="U54" s="2070">
        <v>0</v>
      </c>
      <c r="V54" s="2070">
        <v>0</v>
      </c>
      <c r="W54" s="2070">
        <v>0</v>
      </c>
      <c r="X54" s="2070">
        <v>0</v>
      </c>
    </row>
    <row r="55" spans="1:24" ht="11.25" customHeight="1">
      <c r="A55" s="2074" t="s">
        <v>3965</v>
      </c>
      <c r="B55" s="2069" t="s">
        <v>5808</v>
      </c>
      <c r="C55" s="2070">
        <v>0</v>
      </c>
      <c r="D55" s="2070">
        <v>0</v>
      </c>
      <c r="E55" s="2070">
        <v>0</v>
      </c>
      <c r="F55" s="2070">
        <v>0</v>
      </c>
      <c r="G55" s="2070">
        <v>0</v>
      </c>
      <c r="H55" s="2070">
        <v>0</v>
      </c>
      <c r="I55" s="2070">
        <v>0</v>
      </c>
      <c r="J55" s="2070">
        <v>0</v>
      </c>
      <c r="K55" s="2070">
        <v>0</v>
      </c>
      <c r="L55" s="2070">
        <v>0</v>
      </c>
      <c r="M55" s="2070">
        <v>0</v>
      </c>
      <c r="N55" s="2070">
        <v>0</v>
      </c>
      <c r="O55" s="2070">
        <v>0</v>
      </c>
      <c r="P55" s="2070">
        <v>0</v>
      </c>
      <c r="Q55" s="2070">
        <v>0</v>
      </c>
      <c r="R55" s="2070">
        <v>0</v>
      </c>
      <c r="S55" s="2070">
        <v>0</v>
      </c>
      <c r="T55" s="2070">
        <v>0</v>
      </c>
      <c r="U55" s="2070">
        <v>0</v>
      </c>
      <c r="V55" s="2070">
        <v>0</v>
      </c>
      <c r="W55" s="2070">
        <v>0</v>
      </c>
      <c r="X55" s="2070">
        <v>0</v>
      </c>
    </row>
    <row r="56" spans="1:24" ht="11.25" customHeight="1">
      <c r="A56" s="2074" t="s">
        <v>5636</v>
      </c>
      <c r="B56" s="2069" t="s">
        <v>5809</v>
      </c>
      <c r="C56" s="2070">
        <v>0</v>
      </c>
      <c r="D56" s="2070">
        <v>0</v>
      </c>
      <c r="E56" s="2070">
        <v>0</v>
      </c>
      <c r="F56" s="2070">
        <v>0</v>
      </c>
      <c r="G56" s="2070">
        <v>0</v>
      </c>
      <c r="H56" s="2070">
        <v>0</v>
      </c>
      <c r="I56" s="2070">
        <v>0</v>
      </c>
      <c r="J56" s="2070">
        <v>0</v>
      </c>
      <c r="K56" s="2070">
        <v>0</v>
      </c>
      <c r="L56" s="2070">
        <v>0</v>
      </c>
      <c r="M56" s="2070">
        <v>0</v>
      </c>
      <c r="N56" s="2070">
        <v>0</v>
      </c>
      <c r="O56" s="2070">
        <v>0</v>
      </c>
      <c r="P56" s="2070">
        <v>0</v>
      </c>
      <c r="Q56" s="2070">
        <v>0</v>
      </c>
      <c r="R56" s="2070">
        <v>0</v>
      </c>
      <c r="S56" s="2070">
        <v>0</v>
      </c>
      <c r="T56" s="2070">
        <v>0</v>
      </c>
      <c r="U56" s="2070">
        <v>0</v>
      </c>
      <c r="V56" s="2070">
        <v>0</v>
      </c>
      <c r="W56" s="2070">
        <v>0</v>
      </c>
      <c r="X56" s="2070">
        <v>0</v>
      </c>
    </row>
    <row r="57" spans="1:24" ht="11.25" customHeight="1">
      <c r="A57" s="2074" t="s">
        <v>4617</v>
      </c>
      <c r="B57" s="2069" t="s">
        <v>5810</v>
      </c>
      <c r="C57" s="2070">
        <v>0.86638005159071363</v>
      </c>
      <c r="D57" s="2070">
        <v>0.88744625967325874</v>
      </c>
      <c r="E57" s="2070">
        <v>0.88744625967325874</v>
      </c>
      <c r="F57" s="2070">
        <v>0.91134995700773846</v>
      </c>
      <c r="G57" s="2070">
        <v>0.96036113499570086</v>
      </c>
      <c r="H57" s="2070">
        <v>0.96706792777300077</v>
      </c>
      <c r="I57" s="2070">
        <v>1.0386930352536543</v>
      </c>
      <c r="J57" s="2070">
        <v>1.141616509028375</v>
      </c>
      <c r="K57" s="2070">
        <v>1.4036113499570082</v>
      </c>
      <c r="L57" s="2070">
        <v>1.5272570937231298</v>
      </c>
      <c r="M57" s="2070">
        <v>8.2655202063628543</v>
      </c>
      <c r="N57" s="2070">
        <v>8.6653482373172821</v>
      </c>
      <c r="O57" s="2070">
        <v>9.4384350816852969</v>
      </c>
      <c r="P57" s="2070">
        <v>10.266466036113497</v>
      </c>
      <c r="Q57" s="2070">
        <v>10.966122098022357</v>
      </c>
      <c r="R57" s="2070">
        <v>11.610404127257093</v>
      </c>
      <c r="S57" s="2070">
        <v>12.235683576956143</v>
      </c>
      <c r="T57" s="2070">
        <v>12.772312983662943</v>
      </c>
      <c r="U57" s="2070">
        <v>13.75958727429062</v>
      </c>
      <c r="V57" s="2070">
        <v>14.56732588134135</v>
      </c>
      <c r="W57" s="2070">
        <v>13.451762682717114</v>
      </c>
      <c r="X57" s="2070">
        <v>14.525537403267409</v>
      </c>
    </row>
    <row r="58" spans="1:24" ht="11.25" customHeight="1">
      <c r="A58" s="2074" t="s">
        <v>3971</v>
      </c>
      <c r="B58" s="2069" t="s">
        <v>5811</v>
      </c>
      <c r="C58" s="2070">
        <v>9.5528804815133275E-2</v>
      </c>
      <c r="D58" s="2070">
        <v>0.5970765262252794</v>
      </c>
      <c r="E58" s="2070">
        <v>2.3903697334479789E-2</v>
      </c>
      <c r="F58" s="2070">
        <v>0.90765262252794487</v>
      </c>
      <c r="G58" s="2070">
        <v>0.47773000859845233</v>
      </c>
      <c r="H58" s="2070">
        <v>0.47773000859845233</v>
      </c>
      <c r="I58" s="2070">
        <v>0.42992261392949271</v>
      </c>
      <c r="J58" s="2070">
        <v>0.47773000859845233</v>
      </c>
      <c r="K58" s="2070">
        <v>0.19105760963026661</v>
      </c>
      <c r="L58" s="2070">
        <v>0</v>
      </c>
      <c r="M58" s="2070">
        <v>2.5556319862424761</v>
      </c>
      <c r="N58" s="2070">
        <v>2.9616509028374889</v>
      </c>
      <c r="O58" s="2070">
        <v>2.0301805674978501</v>
      </c>
      <c r="P58" s="2070">
        <v>2.4601031814273431</v>
      </c>
      <c r="Q58" s="2070">
        <v>2.07798796216681</v>
      </c>
      <c r="R58" s="2070">
        <v>2.07798796216681</v>
      </c>
      <c r="S58" s="2070">
        <v>2.5795356835769558</v>
      </c>
      <c r="T58" s="2070">
        <v>2.6852966466036108</v>
      </c>
      <c r="U58" s="2070">
        <v>1.5979363714531385</v>
      </c>
      <c r="V58" s="2070">
        <v>1.878761822871883</v>
      </c>
      <c r="W58" s="2070">
        <v>1.7386930352536545</v>
      </c>
      <c r="X58" s="2070">
        <v>1.7451418744625966</v>
      </c>
    </row>
    <row r="59" spans="1:24" ht="11.25" customHeight="1">
      <c r="A59" s="2074" t="s">
        <v>4669</v>
      </c>
      <c r="B59" s="2069" t="s">
        <v>5812</v>
      </c>
      <c r="C59" s="2070">
        <v>844.84565778159913</v>
      </c>
      <c r="D59" s="2070">
        <v>760.15107480653489</v>
      </c>
      <c r="E59" s="2070">
        <v>780.07067927773016</v>
      </c>
      <c r="F59" s="2070">
        <v>679.32562338778996</v>
      </c>
      <c r="G59" s="2070">
        <v>644.69286328460873</v>
      </c>
      <c r="H59" s="2070">
        <v>601.09914015477216</v>
      </c>
      <c r="I59" s="2070">
        <v>625.57781599312125</v>
      </c>
      <c r="J59" s="2070">
        <v>677.7055030094582</v>
      </c>
      <c r="K59" s="2070">
        <v>673.31435941530515</v>
      </c>
      <c r="L59" s="2070">
        <v>567.15907136715384</v>
      </c>
      <c r="M59" s="2070">
        <v>532.00395528804813</v>
      </c>
      <c r="N59" s="2070">
        <v>577.37721410146173</v>
      </c>
      <c r="O59" s="2070">
        <v>573.63121238177132</v>
      </c>
      <c r="P59" s="2070">
        <v>523.22261392949258</v>
      </c>
      <c r="Q59" s="2070">
        <v>604.92940670679275</v>
      </c>
      <c r="R59" s="2070">
        <v>605.8011177987961</v>
      </c>
      <c r="S59" s="2070">
        <v>565.81160791057607</v>
      </c>
      <c r="T59" s="2070">
        <v>521.91478933791916</v>
      </c>
      <c r="U59" s="2070">
        <v>553.12493551160799</v>
      </c>
      <c r="V59" s="2070">
        <v>546.43069647463449</v>
      </c>
      <c r="W59" s="2070">
        <v>474.58366294067071</v>
      </c>
      <c r="X59" s="2070">
        <v>500.3531384350818</v>
      </c>
    </row>
    <row r="60" spans="1:24" ht="11.25" customHeight="1">
      <c r="A60" s="2074" t="s">
        <v>4618</v>
      </c>
      <c r="B60" s="2069" t="s">
        <v>5813</v>
      </c>
      <c r="C60" s="2070">
        <v>0</v>
      </c>
      <c r="D60" s="2070">
        <v>0</v>
      </c>
      <c r="E60" s="2070">
        <v>0</v>
      </c>
      <c r="F60" s="2070">
        <v>0</v>
      </c>
      <c r="G60" s="2070">
        <v>0</v>
      </c>
      <c r="H60" s="2070">
        <v>0</v>
      </c>
      <c r="I60" s="2070">
        <v>0</v>
      </c>
      <c r="J60" s="2070">
        <v>0</v>
      </c>
      <c r="K60" s="2070">
        <v>0</v>
      </c>
      <c r="L60" s="2070">
        <v>0</v>
      </c>
      <c r="M60" s="2070">
        <v>0</v>
      </c>
      <c r="N60" s="2070">
        <v>0</v>
      </c>
      <c r="O60" s="2070">
        <v>0</v>
      </c>
      <c r="P60" s="2070">
        <v>0</v>
      </c>
      <c r="Q60" s="2070">
        <v>0</v>
      </c>
      <c r="R60" s="2070">
        <v>0</v>
      </c>
      <c r="S60" s="2070">
        <v>0</v>
      </c>
      <c r="T60" s="2070">
        <v>0.35227858985382632</v>
      </c>
      <c r="U60" s="2070">
        <v>0</v>
      </c>
      <c r="V60" s="2070">
        <v>0</v>
      </c>
      <c r="W60" s="2070">
        <v>0</v>
      </c>
      <c r="X60" s="2070">
        <v>0</v>
      </c>
    </row>
    <row r="61" spans="1:24" ht="11.25" customHeight="1">
      <c r="A61" s="2074" t="s">
        <v>4670</v>
      </c>
      <c r="B61" s="2069" t="s">
        <v>5814</v>
      </c>
      <c r="C61" s="2070">
        <v>122.95786758383494</v>
      </c>
      <c r="D61" s="2070">
        <v>305.03018056749784</v>
      </c>
      <c r="E61" s="2070">
        <v>427.58194325021498</v>
      </c>
      <c r="F61" s="2070">
        <v>4.2036973344797932</v>
      </c>
      <c r="G61" s="2070">
        <v>3.1766981943250205</v>
      </c>
      <c r="H61" s="2070">
        <v>3.1049871023215814</v>
      </c>
      <c r="I61" s="2070">
        <v>2.9378331900257946</v>
      </c>
      <c r="J61" s="2070">
        <v>2.8184006878761823</v>
      </c>
      <c r="K61" s="2070">
        <v>2.8667239896818564</v>
      </c>
      <c r="L61" s="2070">
        <v>7.2422184006878751</v>
      </c>
      <c r="M61" s="2070">
        <v>6.9229578675838344</v>
      </c>
      <c r="N61" s="2070">
        <v>7.6484092863284596</v>
      </c>
      <c r="O61" s="2070">
        <v>10.164402407566635</v>
      </c>
      <c r="P61" s="2070">
        <v>10.557781599312124</v>
      </c>
      <c r="Q61" s="2070">
        <v>8.5772141014617347</v>
      </c>
      <c r="R61" s="2070">
        <v>7.139122957867583</v>
      </c>
      <c r="S61" s="2070">
        <v>7.9555460017196911</v>
      </c>
      <c r="T61" s="2070">
        <v>9.2460017196904563</v>
      </c>
      <c r="U61" s="2070">
        <v>10.088736027515047</v>
      </c>
      <c r="V61" s="2070">
        <v>9.9169389509888219</v>
      </c>
      <c r="W61" s="2070">
        <v>11.698796216680996</v>
      </c>
      <c r="X61" s="2070">
        <v>15.410404127257095</v>
      </c>
    </row>
    <row r="62" spans="1:24" ht="11.25" customHeight="1">
      <c r="A62" s="2074" t="s">
        <v>5815</v>
      </c>
      <c r="B62" s="2069" t="s">
        <v>5816</v>
      </c>
      <c r="C62" s="2070">
        <v>0.62106620808254509</v>
      </c>
      <c r="D62" s="2070">
        <v>0.74041272570937222</v>
      </c>
      <c r="E62" s="2070">
        <v>0.52545141874462586</v>
      </c>
      <c r="F62" s="2070">
        <v>0.64488392089423896</v>
      </c>
      <c r="G62" s="2070">
        <v>0.62098022355975924</v>
      </c>
      <c r="H62" s="2070">
        <v>1.8152192605331039</v>
      </c>
      <c r="I62" s="2070">
        <v>1.4808254514187451</v>
      </c>
      <c r="J62" s="2070">
        <v>1.5047291487532239</v>
      </c>
      <c r="K62" s="2070">
        <v>7.9535683576956142</v>
      </c>
      <c r="L62" s="2070">
        <v>3.8214961306964752</v>
      </c>
      <c r="M62" s="2070">
        <v>6.0428202923473773</v>
      </c>
      <c r="N62" s="2070">
        <v>2.3903697334479789E-2</v>
      </c>
      <c r="O62" s="2070">
        <v>5.6835769561478927E-2</v>
      </c>
      <c r="P62" s="2070">
        <v>9.8968185726569222E-2</v>
      </c>
      <c r="Q62" s="2070">
        <v>2.1840068787618232E-2</v>
      </c>
      <c r="R62" s="2070">
        <v>2.5021496130696472E-2</v>
      </c>
      <c r="S62" s="2070">
        <v>5.0472914875322433E-2</v>
      </c>
      <c r="T62" s="2070">
        <v>0.28744625967325876</v>
      </c>
      <c r="U62" s="2070">
        <v>0.52605331040412728</v>
      </c>
      <c r="V62" s="2070">
        <v>0.28675838349097166</v>
      </c>
      <c r="W62" s="2070">
        <v>3.6629406706792773E-2</v>
      </c>
      <c r="X62" s="2070">
        <v>6.7067927773000843E-2</v>
      </c>
    </row>
    <row r="63" spans="1:24" ht="11.25" customHeight="1">
      <c r="A63" s="2074" t="s">
        <v>5817</v>
      </c>
      <c r="B63" s="2069" t="s">
        <v>5818</v>
      </c>
      <c r="C63" s="2070">
        <v>0</v>
      </c>
      <c r="D63" s="2070">
        <v>0</v>
      </c>
      <c r="E63" s="2070">
        <v>0</v>
      </c>
      <c r="F63" s="2070">
        <v>0</v>
      </c>
      <c r="G63" s="2070">
        <v>0</v>
      </c>
      <c r="H63" s="2070">
        <v>0</v>
      </c>
      <c r="I63" s="2070">
        <v>0</v>
      </c>
      <c r="J63" s="2070">
        <v>0</v>
      </c>
      <c r="K63" s="2070">
        <v>0</v>
      </c>
      <c r="L63" s="2070">
        <v>0</v>
      </c>
      <c r="M63" s="2070">
        <v>0</v>
      </c>
      <c r="N63" s="2070">
        <v>0</v>
      </c>
      <c r="O63" s="2070">
        <v>2.5795356835769559E-3</v>
      </c>
      <c r="P63" s="2070">
        <v>0</v>
      </c>
      <c r="Q63" s="2070">
        <v>0</v>
      </c>
      <c r="R63" s="2070">
        <v>0</v>
      </c>
      <c r="S63" s="2070">
        <v>0</v>
      </c>
      <c r="T63" s="2070">
        <v>0</v>
      </c>
      <c r="U63" s="2070">
        <v>0</v>
      </c>
      <c r="V63" s="2070">
        <v>0</v>
      </c>
      <c r="W63" s="2070">
        <v>0</v>
      </c>
      <c r="X63" s="2070">
        <v>0</v>
      </c>
    </row>
    <row r="64" spans="1:24" ht="11.25" customHeight="1">
      <c r="A64" s="2074" t="s">
        <v>5819</v>
      </c>
      <c r="B64" s="2069" t="s">
        <v>5820</v>
      </c>
      <c r="C64" s="2070">
        <v>0</v>
      </c>
      <c r="D64" s="2070">
        <v>0</v>
      </c>
      <c r="E64" s="2070">
        <v>0</v>
      </c>
      <c r="F64" s="2070">
        <v>0</v>
      </c>
      <c r="G64" s="2070">
        <v>0</v>
      </c>
      <c r="H64" s="2070">
        <v>0</v>
      </c>
      <c r="I64" s="2070">
        <v>0</v>
      </c>
      <c r="J64" s="2070">
        <v>0</v>
      </c>
      <c r="K64" s="2070">
        <v>0</v>
      </c>
      <c r="L64" s="2070">
        <v>0</v>
      </c>
      <c r="M64" s="2070">
        <v>0</v>
      </c>
      <c r="N64" s="2070">
        <v>0</v>
      </c>
      <c r="O64" s="2070">
        <v>0</v>
      </c>
      <c r="P64" s="2070">
        <v>0</v>
      </c>
      <c r="Q64" s="2070">
        <v>0</v>
      </c>
      <c r="R64" s="2070">
        <v>0</v>
      </c>
      <c r="S64" s="2070">
        <v>0</v>
      </c>
      <c r="T64" s="2070">
        <v>0</v>
      </c>
      <c r="U64" s="2070">
        <v>3.169647463456577</v>
      </c>
      <c r="V64" s="2070">
        <v>3.1791917454858116</v>
      </c>
      <c r="W64" s="2070">
        <v>3.1969045571797068</v>
      </c>
      <c r="X64" s="2070">
        <v>3.2054170249355107</v>
      </c>
    </row>
    <row r="65" spans="1:24" ht="11.25" customHeight="1">
      <c r="A65" s="2074" t="s">
        <v>5821</v>
      </c>
      <c r="B65" s="2069" t="s">
        <v>5822</v>
      </c>
      <c r="C65" s="2070">
        <v>0</v>
      </c>
      <c r="D65" s="2070">
        <v>0</v>
      </c>
      <c r="E65" s="2070">
        <v>0</v>
      </c>
      <c r="F65" s="2070">
        <v>0</v>
      </c>
      <c r="G65" s="2070">
        <v>0</v>
      </c>
      <c r="H65" s="2070">
        <v>0</v>
      </c>
      <c r="I65" s="2070">
        <v>8.5984522785898529E-4</v>
      </c>
      <c r="J65" s="2070">
        <v>8.5984522785898529E-4</v>
      </c>
      <c r="K65" s="2070">
        <v>9.888220120378332E-3</v>
      </c>
      <c r="L65" s="2070">
        <v>2.063628546861565E-2</v>
      </c>
      <c r="M65" s="2070">
        <v>0.5680137575236458</v>
      </c>
      <c r="N65" s="2070">
        <v>1.7592433361994841</v>
      </c>
      <c r="O65" s="2070">
        <v>0.3280309544282029</v>
      </c>
      <c r="P65" s="2070">
        <v>0.16672398968185725</v>
      </c>
      <c r="Q65" s="2070">
        <v>0.77721410146173686</v>
      </c>
      <c r="R65" s="2070">
        <v>0.83817712811693901</v>
      </c>
      <c r="S65" s="2070">
        <v>1.2138435081685297</v>
      </c>
      <c r="T65" s="2070">
        <v>3.4806534823731727</v>
      </c>
      <c r="U65" s="2070">
        <v>2.0498710232158208</v>
      </c>
      <c r="V65" s="2070">
        <v>3.318486672398969</v>
      </c>
      <c r="W65" s="2070">
        <v>5.967841788478073</v>
      </c>
      <c r="X65" s="2070">
        <v>2.4300085984522788</v>
      </c>
    </row>
    <row r="66" spans="1:24" ht="11.25" customHeight="1">
      <c r="A66" s="2074" t="s">
        <v>5823</v>
      </c>
      <c r="B66" s="2069" t="s">
        <v>5824</v>
      </c>
      <c r="C66" s="2070">
        <v>0</v>
      </c>
      <c r="D66" s="2070">
        <v>0</v>
      </c>
      <c r="E66" s="2070">
        <v>0</v>
      </c>
      <c r="F66" s="2070">
        <v>0</v>
      </c>
      <c r="G66" s="2070">
        <v>0</v>
      </c>
      <c r="H66" s="2070">
        <v>1.805674978503869E-3</v>
      </c>
      <c r="I66" s="2070">
        <v>7.0507308684436797E-3</v>
      </c>
      <c r="J66" s="2070">
        <v>1.6766981943250211E-2</v>
      </c>
      <c r="K66" s="2070">
        <v>0.32871883061049012</v>
      </c>
      <c r="L66" s="2070">
        <v>1.2196044711951848</v>
      </c>
      <c r="M66" s="2070">
        <v>1.2134995700773861</v>
      </c>
      <c r="N66" s="2070">
        <v>0.36466036113499573</v>
      </c>
      <c r="O66" s="2070">
        <v>7.6584694754944103</v>
      </c>
      <c r="P66" s="2070">
        <v>2.6242476354256237</v>
      </c>
      <c r="Q66" s="2070">
        <v>2.8312123817712811</v>
      </c>
      <c r="R66" s="2070">
        <v>2.1859845227858989</v>
      </c>
      <c r="S66" s="2070">
        <v>3.7386930352536547</v>
      </c>
      <c r="T66" s="2070">
        <v>3.0402407566637999</v>
      </c>
      <c r="U66" s="2070">
        <v>49.814703353396382</v>
      </c>
      <c r="V66" s="2070">
        <v>49.641100601891658</v>
      </c>
      <c r="W66" s="2070">
        <v>78.214703353396388</v>
      </c>
      <c r="X66" s="2070">
        <v>69.627858985382616</v>
      </c>
    </row>
    <row r="67" spans="1:24" ht="11.25" customHeight="1">
      <c r="A67" s="2074" t="s">
        <v>5825</v>
      </c>
      <c r="B67" s="2069" t="s">
        <v>5826</v>
      </c>
      <c r="C67" s="2070">
        <v>0</v>
      </c>
      <c r="D67" s="2070">
        <v>0</v>
      </c>
      <c r="E67" s="2070">
        <v>0</v>
      </c>
      <c r="F67" s="2070">
        <v>0</v>
      </c>
      <c r="G67" s="2070">
        <v>0</v>
      </c>
      <c r="H67" s="2070">
        <v>0</v>
      </c>
      <c r="I67" s="2070">
        <v>0</v>
      </c>
      <c r="J67" s="2070">
        <v>0</v>
      </c>
      <c r="K67" s="2070">
        <v>0</v>
      </c>
      <c r="L67" s="2070">
        <v>0</v>
      </c>
      <c r="M67" s="2070">
        <v>0</v>
      </c>
      <c r="N67" s="2070">
        <v>0</v>
      </c>
      <c r="O67" s="2070">
        <v>0</v>
      </c>
      <c r="P67" s="2070">
        <v>0</v>
      </c>
      <c r="Q67" s="2070">
        <v>0</v>
      </c>
      <c r="R67" s="2070">
        <v>0</v>
      </c>
      <c r="S67" s="2070">
        <v>0</v>
      </c>
      <c r="T67" s="2070">
        <v>0</v>
      </c>
      <c r="U67" s="2070">
        <v>0</v>
      </c>
      <c r="V67" s="2070">
        <v>0</v>
      </c>
      <c r="W67" s="2070">
        <v>0</v>
      </c>
      <c r="X67" s="2070">
        <v>0</v>
      </c>
    </row>
    <row r="68" spans="1:24" ht="11.25" customHeight="1">
      <c r="A68" s="2074" t="s">
        <v>5827</v>
      </c>
      <c r="B68" s="2069" t="s">
        <v>5828</v>
      </c>
      <c r="C68" s="2070">
        <v>0</v>
      </c>
      <c r="D68" s="2070">
        <v>0</v>
      </c>
      <c r="E68" s="2070">
        <v>0</v>
      </c>
      <c r="F68" s="2070">
        <v>0</v>
      </c>
      <c r="G68" s="2070">
        <v>0</v>
      </c>
      <c r="H68" s="2070">
        <v>0</v>
      </c>
      <c r="I68" s="2070">
        <v>0</v>
      </c>
      <c r="J68" s="2070">
        <v>0</v>
      </c>
      <c r="K68" s="2070">
        <v>0</v>
      </c>
      <c r="L68" s="2070">
        <v>0</v>
      </c>
      <c r="M68" s="2070">
        <v>0</v>
      </c>
      <c r="N68" s="2070">
        <v>0</v>
      </c>
      <c r="O68" s="2070">
        <v>0</v>
      </c>
      <c r="P68" s="2070">
        <v>0</v>
      </c>
      <c r="Q68" s="2070">
        <v>0</v>
      </c>
      <c r="R68" s="2070">
        <v>0</v>
      </c>
      <c r="S68" s="2070">
        <v>0</v>
      </c>
      <c r="T68" s="2070">
        <v>0</v>
      </c>
      <c r="U68" s="2070">
        <v>0</v>
      </c>
      <c r="V68" s="2070">
        <v>0</v>
      </c>
      <c r="W68" s="2070">
        <v>0</v>
      </c>
      <c r="X68" s="2070">
        <v>0</v>
      </c>
    </row>
    <row r="69" spans="1:24" ht="11.25" customHeight="1">
      <c r="A69" s="2074" t="s">
        <v>4619</v>
      </c>
      <c r="B69" s="2069" t="s">
        <v>5829</v>
      </c>
      <c r="C69" s="2070">
        <v>0</v>
      </c>
      <c r="D69" s="2070">
        <v>0</v>
      </c>
      <c r="E69" s="2070">
        <v>0</v>
      </c>
      <c r="F69" s="2070">
        <v>0.49036973344797941</v>
      </c>
      <c r="G69" s="2070">
        <v>9.6018056749785021</v>
      </c>
      <c r="H69" s="2070">
        <v>10.26990541702494</v>
      </c>
      <c r="I69" s="2070">
        <v>25.317282889079959</v>
      </c>
      <c r="J69" s="2070">
        <v>31.885726569217539</v>
      </c>
      <c r="K69" s="2070">
        <v>32.889079965606193</v>
      </c>
      <c r="L69" s="2070">
        <v>31.966723989681849</v>
      </c>
      <c r="M69" s="2070">
        <v>14.907652622527944</v>
      </c>
      <c r="N69" s="2070">
        <v>0.8596732588134135</v>
      </c>
      <c r="O69" s="2070">
        <v>0</v>
      </c>
      <c r="P69" s="2070">
        <v>0</v>
      </c>
      <c r="Q69" s="2070">
        <v>0</v>
      </c>
      <c r="R69" s="2070">
        <v>0</v>
      </c>
      <c r="S69" s="2070">
        <v>0</v>
      </c>
      <c r="T69" s="2070">
        <v>0</v>
      </c>
      <c r="U69" s="2070">
        <v>0</v>
      </c>
      <c r="V69" s="2070">
        <v>0</v>
      </c>
      <c r="W69" s="2070">
        <v>3.6456577815993119</v>
      </c>
      <c r="X69" s="2070">
        <v>16.40541702493551</v>
      </c>
    </row>
    <row r="70" spans="1:24" ht="11.25" customHeight="1">
      <c r="A70" s="2074" t="s">
        <v>5830</v>
      </c>
      <c r="B70" s="2069" t="s">
        <v>5831</v>
      </c>
      <c r="C70" s="2070">
        <v>1.790659621684715</v>
      </c>
      <c r="D70" s="2070">
        <v>1.8093304173152722</v>
      </c>
      <c r="E70" s="2070">
        <v>1.9183348783022782</v>
      </c>
      <c r="F70" s="2070">
        <v>2.2215875253756585</v>
      </c>
      <c r="G70" s="2070">
        <v>2.2385444701827444</v>
      </c>
      <c r="H70" s="2070">
        <v>2.3860774706907559</v>
      </c>
      <c r="I70" s="2070">
        <v>2.6014812718804574</v>
      </c>
      <c r="J70" s="2070">
        <v>2.5067370870050385</v>
      </c>
      <c r="K70" s="2070">
        <v>2.4363688365031235</v>
      </c>
      <c r="L70" s="2070">
        <v>2.6683609010451743</v>
      </c>
      <c r="M70" s="2070">
        <v>2.9993226429617286</v>
      </c>
      <c r="N70" s="2070">
        <v>3.2596688482744014</v>
      </c>
      <c r="O70" s="2070">
        <v>3.437108885297957</v>
      </c>
      <c r="P70" s="2070">
        <v>3.6004625859689674</v>
      </c>
      <c r="Q70" s="2070">
        <v>11.315128896357164</v>
      </c>
      <c r="R70" s="2070">
        <v>11.419754618394194</v>
      </c>
      <c r="S70" s="2070">
        <v>11.427962327271203</v>
      </c>
      <c r="T70" s="2070">
        <v>12.627633499935106</v>
      </c>
      <c r="U70" s="2070">
        <v>14.277373522546675</v>
      </c>
      <c r="V70" s="2070">
        <v>13.993280324685095</v>
      </c>
      <c r="W70" s="2070">
        <v>17.125664608012073</v>
      </c>
      <c r="X70" s="2070">
        <v>18.578841183263897</v>
      </c>
    </row>
    <row r="71" spans="1:24" ht="11.25" customHeight="1">
      <c r="A71" s="2071" t="s">
        <v>5832</v>
      </c>
      <c r="B71" s="2072" t="s">
        <v>5833</v>
      </c>
      <c r="C71" s="2073">
        <v>99.765864144454</v>
      </c>
      <c r="D71" s="2073">
        <v>72.418056749785038</v>
      </c>
      <c r="E71" s="2073">
        <v>74.830266552020632</v>
      </c>
      <c r="F71" s="2073">
        <v>76.693465176268262</v>
      </c>
      <c r="G71" s="2073">
        <v>78.508598452278576</v>
      </c>
      <c r="H71" s="2073">
        <v>77.882889079965608</v>
      </c>
      <c r="I71" s="2073">
        <v>77.403095442820288</v>
      </c>
      <c r="J71" s="2073">
        <v>77.447635425623389</v>
      </c>
      <c r="K71" s="2073">
        <v>66.652622527944956</v>
      </c>
      <c r="L71" s="2073">
        <v>65.654256233877902</v>
      </c>
      <c r="M71" s="2073">
        <v>9.9973344797936363</v>
      </c>
      <c r="N71" s="2073">
        <v>4.5528804815133279</v>
      </c>
      <c r="O71" s="2073">
        <v>8.7033533963886498</v>
      </c>
      <c r="P71" s="2073">
        <v>11.344282029234737</v>
      </c>
      <c r="Q71" s="2073">
        <v>22.491057609630261</v>
      </c>
      <c r="R71" s="2073">
        <v>26.378245915735167</v>
      </c>
      <c r="S71" s="2073">
        <v>39.506104901117794</v>
      </c>
      <c r="T71" s="2073">
        <v>33.551590713671537</v>
      </c>
      <c r="U71" s="2073">
        <v>20.325623387790198</v>
      </c>
      <c r="V71" s="2073">
        <v>36.022012037833186</v>
      </c>
      <c r="W71" s="2073">
        <v>141.96964746345657</v>
      </c>
      <c r="X71" s="2073">
        <v>94.092089423903687</v>
      </c>
    </row>
    <row r="72" spans="1:24" ht="11.25" customHeight="1">
      <c r="A72" s="2074" t="s">
        <v>5834</v>
      </c>
      <c r="B72" s="2069" t="s">
        <v>5835</v>
      </c>
      <c r="C72" s="2070">
        <v>98.23731728288908</v>
      </c>
      <c r="D72" s="2070">
        <v>70.746173688736022</v>
      </c>
      <c r="E72" s="2070">
        <v>73.683834909716253</v>
      </c>
      <c r="F72" s="2070">
        <v>75.546947549441086</v>
      </c>
      <c r="G72" s="2070">
        <v>77.553224419604462</v>
      </c>
      <c r="H72" s="2070">
        <v>75.876612209802232</v>
      </c>
      <c r="I72" s="2070">
        <v>75.5639724849527</v>
      </c>
      <c r="J72" s="2070">
        <v>75.417454858125538</v>
      </c>
      <c r="K72" s="2070">
        <v>66.652622527944956</v>
      </c>
      <c r="L72" s="2070">
        <v>65.654256233877902</v>
      </c>
      <c r="M72" s="2070">
        <v>3.8828890799656062</v>
      </c>
      <c r="N72" s="2070">
        <v>4.5289767841788482</v>
      </c>
      <c r="O72" s="2070">
        <v>8.6555460017196904</v>
      </c>
      <c r="P72" s="2070">
        <v>11.296474634565778</v>
      </c>
      <c r="Q72" s="2070">
        <v>22.467153912295782</v>
      </c>
      <c r="R72" s="2070">
        <v>26.357781599312123</v>
      </c>
      <c r="S72" s="2070">
        <v>39.464832330180563</v>
      </c>
      <c r="T72" s="2070">
        <v>33.31625107480653</v>
      </c>
      <c r="U72" s="2070">
        <v>19.894840928632846</v>
      </c>
      <c r="V72" s="2070">
        <v>35.78357695614789</v>
      </c>
      <c r="W72" s="2070">
        <v>141.93439380911434</v>
      </c>
      <c r="X72" s="2070">
        <v>94.02622527944969</v>
      </c>
    </row>
    <row r="73" spans="1:24" ht="11.25" customHeight="1">
      <c r="A73" s="2074" t="s">
        <v>5836</v>
      </c>
      <c r="B73" s="2069" t="s">
        <v>5837</v>
      </c>
      <c r="C73" s="2070">
        <v>1.528546861564918</v>
      </c>
      <c r="D73" s="2070">
        <v>1.671883061049011</v>
      </c>
      <c r="E73" s="2070">
        <v>1.1464316423043852</v>
      </c>
      <c r="F73" s="2070">
        <v>1.1465176268271711</v>
      </c>
      <c r="G73" s="2070">
        <v>0.95537403267411858</v>
      </c>
      <c r="H73" s="2070">
        <v>2.00627687016337</v>
      </c>
      <c r="I73" s="2070">
        <v>1.8391229578675843</v>
      </c>
      <c r="J73" s="2070">
        <v>2.0301805674978501</v>
      </c>
      <c r="K73" s="2070">
        <v>0</v>
      </c>
      <c r="L73" s="2070">
        <v>0</v>
      </c>
      <c r="M73" s="2070">
        <v>6.114445399828031</v>
      </c>
      <c r="N73" s="2070">
        <v>2.3903697334479789E-2</v>
      </c>
      <c r="O73" s="2070">
        <v>4.7807394668959578E-2</v>
      </c>
      <c r="P73" s="2070">
        <v>4.7807394668959578E-2</v>
      </c>
      <c r="Q73" s="2070">
        <v>2.3903697334479789E-2</v>
      </c>
      <c r="R73" s="2070">
        <v>2.046431642304385E-2</v>
      </c>
      <c r="S73" s="2070">
        <v>4.1272570937231287E-2</v>
      </c>
      <c r="T73" s="2070">
        <v>0.23533963886500428</v>
      </c>
      <c r="U73" s="2070">
        <v>0.43078245915735169</v>
      </c>
      <c r="V73" s="2070">
        <v>0.23843508168529662</v>
      </c>
      <c r="W73" s="2070">
        <v>3.5253654342218395E-2</v>
      </c>
      <c r="X73" s="2070">
        <v>6.5864144453998269E-2</v>
      </c>
    </row>
    <row r="74" spans="1:24" ht="11.25" customHeight="1">
      <c r="A74" s="2071" t="s">
        <v>4616</v>
      </c>
      <c r="B74" s="2072" t="s">
        <v>5838</v>
      </c>
      <c r="C74" s="2073">
        <v>0</v>
      </c>
      <c r="D74" s="2073">
        <v>0</v>
      </c>
      <c r="E74" s="2073">
        <v>0</v>
      </c>
      <c r="F74" s="2073">
        <v>0</v>
      </c>
      <c r="G74" s="2073">
        <v>0</v>
      </c>
      <c r="H74" s="2073">
        <v>0</v>
      </c>
      <c r="I74" s="2073">
        <v>0</v>
      </c>
      <c r="J74" s="2073">
        <v>0</v>
      </c>
      <c r="K74" s="2073">
        <v>0</v>
      </c>
      <c r="L74" s="2073">
        <v>0</v>
      </c>
      <c r="M74" s="2073">
        <v>0</v>
      </c>
      <c r="N74" s="2073">
        <v>0</v>
      </c>
      <c r="O74" s="2073">
        <v>0</v>
      </c>
      <c r="P74" s="2073">
        <v>0</v>
      </c>
      <c r="Q74" s="2073">
        <v>0</v>
      </c>
      <c r="R74" s="2073">
        <v>0</v>
      </c>
      <c r="S74" s="2073">
        <v>0</v>
      </c>
      <c r="T74" s="2073">
        <v>0</v>
      </c>
      <c r="U74" s="2073">
        <v>0</v>
      </c>
      <c r="V74" s="2073">
        <v>0</v>
      </c>
      <c r="W74" s="2073">
        <v>0</v>
      </c>
      <c r="X74" s="2073">
        <v>0</v>
      </c>
    </row>
    <row r="75" spans="1:24" ht="11.25" customHeight="1">
      <c r="A75" s="2071" t="s">
        <v>4671</v>
      </c>
      <c r="B75" s="2072" t="s">
        <v>5839</v>
      </c>
      <c r="C75" s="2073">
        <v>2334.6952708512467</v>
      </c>
      <c r="D75" s="2073">
        <v>2391.6194325021493</v>
      </c>
      <c r="E75" s="2073">
        <v>2743.0003439380907</v>
      </c>
      <c r="F75" s="2073">
        <v>2673.28856405847</v>
      </c>
      <c r="G75" s="2073">
        <v>2815.4601031814268</v>
      </c>
      <c r="H75" s="2073">
        <v>2674.1188306104905</v>
      </c>
      <c r="I75" s="2073">
        <v>3001.4729148753222</v>
      </c>
      <c r="J75" s="2073">
        <v>2617.0425623387787</v>
      </c>
      <c r="K75" s="2073">
        <v>3022.8270851246766</v>
      </c>
      <c r="L75" s="2073">
        <v>2741.1735167669817</v>
      </c>
      <c r="M75" s="2073">
        <v>2735.8346517626819</v>
      </c>
      <c r="N75" s="2073">
        <v>1071.9705932932075</v>
      </c>
      <c r="O75" s="2073">
        <v>1104.8767841788479</v>
      </c>
      <c r="P75" s="2073">
        <v>1118.67747205503</v>
      </c>
      <c r="Q75" s="2073">
        <v>1016.230438521066</v>
      </c>
      <c r="R75" s="2073">
        <v>985.52871883061039</v>
      </c>
      <c r="S75" s="2073">
        <v>999.56534823731715</v>
      </c>
      <c r="T75" s="2073">
        <v>1024.7375752364574</v>
      </c>
      <c r="U75" s="2073">
        <v>998.57678417884767</v>
      </c>
      <c r="V75" s="2073">
        <v>1260.3161650902834</v>
      </c>
      <c r="W75" s="2073">
        <v>635.42992261392942</v>
      </c>
      <c r="X75" s="2073">
        <v>588.25133276010308</v>
      </c>
    </row>
    <row r="76" spans="1:24" ht="11.25" customHeight="1">
      <c r="A76" s="2075" t="s">
        <v>4282</v>
      </c>
      <c r="B76" s="2076" t="s">
        <v>5840</v>
      </c>
      <c r="C76" s="2077">
        <v>7475.6012215570963</v>
      </c>
      <c r="D76" s="2077">
        <v>7662.216762942161</v>
      </c>
      <c r="E76" s="2077">
        <v>7769.3259673258799</v>
      </c>
      <c r="F76" s="2077">
        <v>7072.6633705932891</v>
      </c>
      <c r="G76" s="2077">
        <v>7564.9231298366312</v>
      </c>
      <c r="H76" s="2077">
        <v>7993.3182287188301</v>
      </c>
      <c r="I76" s="2077">
        <v>7489.3085984522786</v>
      </c>
      <c r="J76" s="2077">
        <v>7836.4363714531391</v>
      </c>
      <c r="K76" s="2077">
        <v>6522.0433361994828</v>
      </c>
      <c r="L76" s="2077">
        <v>5821.356663800515</v>
      </c>
      <c r="M76" s="2077">
        <v>6150.6936371453148</v>
      </c>
      <c r="N76" s="2077">
        <v>6655.6134995700777</v>
      </c>
      <c r="O76" s="2077">
        <v>6635.8037833190028</v>
      </c>
      <c r="P76" s="2077">
        <v>6347.2550300945823</v>
      </c>
      <c r="Q76" s="2077">
        <v>6258.9353907679479</v>
      </c>
      <c r="R76" s="2077">
        <v>6685.3777300085985</v>
      </c>
      <c r="S76" s="2077">
        <v>6845.6143594153036</v>
      </c>
      <c r="T76" s="2077">
        <v>6971.1461736887359</v>
      </c>
      <c r="U76" s="2077">
        <v>6712.8880481513334</v>
      </c>
      <c r="V76" s="2077">
        <v>6741.965434221841</v>
      </c>
      <c r="W76" s="2077">
        <v>6636.1549441100588</v>
      </c>
      <c r="X76" s="2077">
        <v>6951.2807394668944</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CAA2D-39C0-4897-8669-C840DF7CC5D7}">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baseColWidth="10" defaultColWidth="9.1640625" defaultRowHeight="11.25" customHeight="1"/>
  <cols>
    <col min="1" max="1" width="40.6640625" style="2059" bestFit="1" customWidth="1"/>
    <col min="2" max="2" width="16.1640625" style="2059" bestFit="1" customWidth="1"/>
    <col min="3" max="24" width="9.6640625" style="2059" customWidth="1"/>
    <col min="25" max="16384" width="9.1640625" style="2059"/>
  </cols>
  <sheetData>
    <row r="1" spans="1:24" ht="11.25" customHeight="1">
      <c r="A1" s="2057" t="s">
        <v>5863</v>
      </c>
      <c r="B1" s="2057" t="s">
        <v>5864</v>
      </c>
      <c r="C1" s="2058">
        <v>2000</v>
      </c>
      <c r="D1" s="2058">
        <v>2001</v>
      </c>
      <c r="E1" s="2058">
        <v>2002</v>
      </c>
      <c r="F1" s="2058">
        <v>2003</v>
      </c>
      <c r="G1" s="2058">
        <v>2004</v>
      </c>
      <c r="H1" s="2058">
        <v>2005</v>
      </c>
      <c r="I1" s="2058">
        <v>2006</v>
      </c>
      <c r="J1" s="2058">
        <v>2007</v>
      </c>
      <c r="K1" s="2058">
        <v>2008</v>
      </c>
      <c r="L1" s="2058">
        <v>2009</v>
      </c>
      <c r="M1" s="2058">
        <v>2010</v>
      </c>
      <c r="N1" s="2058">
        <v>2011</v>
      </c>
      <c r="O1" s="2058">
        <v>2012</v>
      </c>
      <c r="P1" s="2058">
        <v>2013</v>
      </c>
      <c r="Q1" s="2058">
        <v>2014</v>
      </c>
      <c r="R1" s="2058">
        <v>2015</v>
      </c>
      <c r="S1" s="2058">
        <v>2016</v>
      </c>
      <c r="T1" s="2058">
        <v>2017</v>
      </c>
      <c r="U1" s="2058">
        <v>2018</v>
      </c>
      <c r="V1" s="2058">
        <v>2019</v>
      </c>
      <c r="W1" s="2058">
        <v>2020</v>
      </c>
      <c r="X1" s="2058">
        <v>2021</v>
      </c>
    </row>
    <row r="2" spans="1:24" ht="11.25" customHeight="1">
      <c r="A2" s="2060" t="s">
        <v>1265</v>
      </c>
      <c r="B2" s="2060" t="s">
        <v>5738</v>
      </c>
      <c r="C2" s="2061">
        <v>29118.303394247152</v>
      </c>
      <c r="D2" s="2061">
        <v>28935.088905468903</v>
      </c>
      <c r="E2" s="2061">
        <v>28292.748793144863</v>
      </c>
      <c r="F2" s="2061">
        <v>29256.593657739202</v>
      </c>
      <c r="G2" s="2061">
        <v>30079.398389189271</v>
      </c>
      <c r="H2" s="2061">
        <v>30374.103428919629</v>
      </c>
      <c r="I2" s="2061">
        <v>28175.094167339263</v>
      </c>
      <c r="J2" s="2061">
        <v>27411.740665831603</v>
      </c>
      <c r="K2" s="2061">
        <v>27052.44884728927</v>
      </c>
      <c r="L2" s="2061">
        <v>26622.332175010666</v>
      </c>
      <c r="M2" s="2061">
        <v>27338.906792777292</v>
      </c>
      <c r="N2" s="2061">
        <v>26783.168357695613</v>
      </c>
      <c r="O2" s="2061">
        <v>26801.672570937226</v>
      </c>
      <c r="P2" s="2061">
        <v>27173.55417024935</v>
      </c>
      <c r="Q2" s="2061">
        <v>26536.530094582973</v>
      </c>
      <c r="R2" s="2061">
        <v>26607.532502149614</v>
      </c>
      <c r="S2" s="2061">
        <v>26927.030180567494</v>
      </c>
      <c r="T2" s="2061">
        <v>27238.440584694759</v>
      </c>
      <c r="U2" s="2061">
        <v>29919.201934651763</v>
      </c>
      <c r="V2" s="2061">
        <v>30068.046173688737</v>
      </c>
      <c r="W2" s="2061">
        <v>30411.895184866728</v>
      </c>
      <c r="X2" s="2061">
        <v>30430.465950128972</v>
      </c>
    </row>
    <row r="3" spans="1:24" ht="11.25" customHeight="1">
      <c r="A3" s="2062" t="s">
        <v>5739</v>
      </c>
      <c r="B3" s="2063" t="s">
        <v>5740</v>
      </c>
      <c r="C3" s="2064">
        <v>1060.730094582975</v>
      </c>
      <c r="D3" s="2064">
        <v>1143.9692175408427</v>
      </c>
      <c r="E3" s="2064">
        <v>982.47085124677551</v>
      </c>
      <c r="F3" s="2064">
        <v>963.72373172828873</v>
      </c>
      <c r="G3" s="2064">
        <v>992.85743766122084</v>
      </c>
      <c r="H3" s="2064">
        <v>1053.3196044711951</v>
      </c>
      <c r="I3" s="2064">
        <v>1209.9196044711948</v>
      </c>
      <c r="J3" s="2064">
        <v>1076.8704213241615</v>
      </c>
      <c r="K3" s="2064">
        <v>1187.3792777300087</v>
      </c>
      <c r="L3" s="2064">
        <v>1152.7313843508168</v>
      </c>
      <c r="M3" s="2064">
        <v>1262.2282029234736</v>
      </c>
      <c r="N3" s="2064">
        <v>1108.7524505588992</v>
      </c>
      <c r="O3" s="2064">
        <v>1146.3707652622525</v>
      </c>
      <c r="P3" s="2064">
        <v>1134.1629406706791</v>
      </c>
      <c r="Q3" s="2064">
        <v>1070.4025795356836</v>
      </c>
      <c r="R3" s="2064">
        <v>974.03172828890797</v>
      </c>
      <c r="S3" s="2064">
        <v>1035.7666380051589</v>
      </c>
      <c r="T3" s="2064">
        <v>1020.9477214101462</v>
      </c>
      <c r="U3" s="2064">
        <v>957.91779879621663</v>
      </c>
      <c r="V3" s="2064">
        <v>776.69828030954432</v>
      </c>
      <c r="W3" s="2064">
        <v>789.70515907136701</v>
      </c>
      <c r="X3" s="2064">
        <v>654.08667239896806</v>
      </c>
    </row>
    <row r="4" spans="1:24" ht="11.25" customHeight="1">
      <c r="A4" s="2065" t="s">
        <v>5741</v>
      </c>
      <c r="B4" s="2066" t="s">
        <v>5742</v>
      </c>
      <c r="C4" s="2067">
        <v>849.0165950128976</v>
      </c>
      <c r="D4" s="2067">
        <v>943.43817712811688</v>
      </c>
      <c r="E4" s="2067">
        <v>801.41272570937235</v>
      </c>
      <c r="F4" s="2067">
        <v>787.00464316423029</v>
      </c>
      <c r="G4" s="2067">
        <v>858.6839208942389</v>
      </c>
      <c r="H4" s="2067">
        <v>942.03422184006865</v>
      </c>
      <c r="I4" s="2067">
        <v>1084.3424763542557</v>
      </c>
      <c r="J4" s="2067">
        <v>985.82175408426474</v>
      </c>
      <c r="K4" s="2067">
        <v>1080.5842648323301</v>
      </c>
      <c r="L4" s="2067">
        <v>1050.2504729148752</v>
      </c>
      <c r="M4" s="2067">
        <v>1181.7185726569217</v>
      </c>
      <c r="N4" s="2067">
        <v>1037.0094582975064</v>
      </c>
      <c r="O4" s="2067">
        <v>1090.2245055889937</v>
      </c>
      <c r="P4" s="2067">
        <v>1051.6894239036972</v>
      </c>
      <c r="Q4" s="2067">
        <v>977.9423903697334</v>
      </c>
      <c r="R4" s="2067">
        <v>910.52364574376611</v>
      </c>
      <c r="S4" s="2067">
        <v>976.51943250214947</v>
      </c>
      <c r="T4" s="2067">
        <v>968.4858125537404</v>
      </c>
      <c r="U4" s="2067">
        <v>910.18753224419595</v>
      </c>
      <c r="V4" s="2067">
        <v>738.08572656921751</v>
      </c>
      <c r="W4" s="2067">
        <v>770.08374892519328</v>
      </c>
      <c r="X4" s="2067">
        <v>628.35245055889936</v>
      </c>
    </row>
    <row r="5" spans="1:24" ht="11.25" customHeight="1">
      <c r="A5" s="2068" t="s">
        <v>4613</v>
      </c>
      <c r="B5" s="2069" t="s">
        <v>5743</v>
      </c>
      <c r="C5" s="2070">
        <v>0</v>
      </c>
      <c r="D5" s="2070">
        <v>0</v>
      </c>
      <c r="E5" s="2070">
        <v>17.28099742046432</v>
      </c>
      <c r="F5" s="2070">
        <v>16.806792777300089</v>
      </c>
      <c r="G5" s="2070">
        <v>33.917970765262254</v>
      </c>
      <c r="H5" s="2070">
        <v>26.599828030954427</v>
      </c>
      <c r="I5" s="2070">
        <v>16.84230438521066</v>
      </c>
      <c r="J5" s="2070">
        <v>24.661908856405841</v>
      </c>
      <c r="K5" s="2070">
        <v>31.879965606190879</v>
      </c>
      <c r="L5" s="2070">
        <v>21.05279449699054</v>
      </c>
      <c r="M5" s="2070">
        <v>12.030180567497849</v>
      </c>
      <c r="N5" s="2070">
        <v>6.1855546001719688</v>
      </c>
      <c r="O5" s="2070">
        <v>7.1518486672398964</v>
      </c>
      <c r="P5" s="2070">
        <v>12.405073086844366</v>
      </c>
      <c r="Q5" s="2070">
        <v>10.338693035253655</v>
      </c>
      <c r="R5" s="2070">
        <v>14.214703353396384</v>
      </c>
      <c r="S5" s="2070">
        <v>16.345227858985385</v>
      </c>
      <c r="T5" s="2070">
        <v>17.252278589853827</v>
      </c>
      <c r="U5" s="2070">
        <v>15.961220980223558</v>
      </c>
      <c r="V5" s="2070">
        <v>12.716595012897681</v>
      </c>
      <c r="W5" s="2070">
        <v>10.73705932932072</v>
      </c>
      <c r="X5" s="2070">
        <v>10.862080825451418</v>
      </c>
    </row>
    <row r="6" spans="1:24" ht="11.25" customHeight="1">
      <c r="A6" s="2068" t="s">
        <v>4647</v>
      </c>
      <c r="B6" s="2069" t="s">
        <v>5744</v>
      </c>
      <c r="C6" s="2070">
        <v>0.69939810834049865</v>
      </c>
      <c r="D6" s="2070">
        <v>0.70232158211521911</v>
      </c>
      <c r="E6" s="2070">
        <v>0</v>
      </c>
      <c r="F6" s="2070">
        <v>0</v>
      </c>
      <c r="G6" s="2070">
        <v>0</v>
      </c>
      <c r="H6" s="2070">
        <v>0</v>
      </c>
      <c r="I6" s="2070">
        <v>0</v>
      </c>
      <c r="J6" s="2070">
        <v>0</v>
      </c>
      <c r="K6" s="2070">
        <v>0</v>
      </c>
      <c r="L6" s="2070">
        <v>0</v>
      </c>
      <c r="M6" s="2070">
        <v>0</v>
      </c>
      <c r="N6" s="2070">
        <v>0</v>
      </c>
      <c r="O6" s="2070">
        <v>0</v>
      </c>
      <c r="P6" s="2070">
        <v>0</v>
      </c>
      <c r="Q6" s="2070">
        <v>0</v>
      </c>
      <c r="R6" s="2070">
        <v>0</v>
      </c>
      <c r="S6" s="2070">
        <v>0</v>
      </c>
      <c r="T6" s="2070">
        <v>0</v>
      </c>
      <c r="U6" s="2070">
        <v>0</v>
      </c>
      <c r="V6" s="2070">
        <v>0</v>
      </c>
      <c r="W6" s="2070">
        <v>0</v>
      </c>
      <c r="X6" s="2070">
        <v>0</v>
      </c>
    </row>
    <row r="7" spans="1:24" ht="11.25" customHeight="1">
      <c r="A7" s="2068" t="s">
        <v>4648</v>
      </c>
      <c r="B7" s="2069" t="s">
        <v>5745</v>
      </c>
      <c r="C7" s="2070">
        <v>848.31719690455714</v>
      </c>
      <c r="D7" s="2070">
        <v>942.73585554600163</v>
      </c>
      <c r="E7" s="2070">
        <v>784.13172828890799</v>
      </c>
      <c r="F7" s="2070">
        <v>770.19785038693021</v>
      </c>
      <c r="G7" s="2070">
        <v>824.76595012897667</v>
      </c>
      <c r="H7" s="2070">
        <v>915.43439380911423</v>
      </c>
      <c r="I7" s="2070">
        <v>1067.5001719690451</v>
      </c>
      <c r="J7" s="2070">
        <v>961.15984522785891</v>
      </c>
      <c r="K7" s="2070">
        <v>1048.7042992261393</v>
      </c>
      <c r="L7" s="2070">
        <v>1029.1976784178846</v>
      </c>
      <c r="M7" s="2070">
        <v>1169.6883920894238</v>
      </c>
      <c r="N7" s="2070">
        <v>1030.8239036973343</v>
      </c>
      <c r="O7" s="2070">
        <v>1083.0726569217538</v>
      </c>
      <c r="P7" s="2070">
        <v>1039.2843508168528</v>
      </c>
      <c r="Q7" s="2070">
        <v>967.60369733447976</v>
      </c>
      <c r="R7" s="2070">
        <v>896.30894239036968</v>
      </c>
      <c r="S7" s="2070">
        <v>960.1742046431641</v>
      </c>
      <c r="T7" s="2070">
        <v>951.23353396388654</v>
      </c>
      <c r="U7" s="2070">
        <v>894.22631126397243</v>
      </c>
      <c r="V7" s="2070">
        <v>725.36913155631987</v>
      </c>
      <c r="W7" s="2070">
        <v>759.34668959587259</v>
      </c>
      <c r="X7" s="2070">
        <v>617.49036973344789</v>
      </c>
    </row>
    <row r="8" spans="1:24" ht="11.25" customHeight="1">
      <c r="A8" s="2065" t="s">
        <v>5746</v>
      </c>
      <c r="B8" s="2066" t="s">
        <v>5747</v>
      </c>
      <c r="C8" s="2067">
        <v>99.932416165090274</v>
      </c>
      <c r="D8" s="2067">
        <v>83.926913155631979</v>
      </c>
      <c r="E8" s="2067">
        <v>84.34419604471195</v>
      </c>
      <c r="F8" s="2067">
        <v>90.033705932932065</v>
      </c>
      <c r="G8" s="2067">
        <v>69.74256233877901</v>
      </c>
      <c r="H8" s="2067">
        <v>72.346947549441111</v>
      </c>
      <c r="I8" s="2067">
        <v>81.758555460017192</v>
      </c>
      <c r="J8" s="2067">
        <v>63.427429062768695</v>
      </c>
      <c r="K8" s="2067">
        <v>79.096216680997415</v>
      </c>
      <c r="L8" s="2067">
        <v>75.276268271711089</v>
      </c>
      <c r="M8" s="2067">
        <v>53.610060189165942</v>
      </c>
      <c r="N8" s="2067">
        <v>43.713499570077374</v>
      </c>
      <c r="O8" s="2067">
        <v>42.002751504729147</v>
      </c>
      <c r="P8" s="2067">
        <v>49.135081685296647</v>
      </c>
      <c r="Q8" s="2067">
        <v>42.148925193465175</v>
      </c>
      <c r="R8" s="2067">
        <v>37.720550300945817</v>
      </c>
      <c r="S8" s="2067">
        <v>35.166036113499572</v>
      </c>
      <c r="T8" s="2067">
        <v>28.091573516766982</v>
      </c>
      <c r="U8" s="2067">
        <v>25.319948409286336</v>
      </c>
      <c r="V8" s="2067">
        <v>21.770335339638869</v>
      </c>
      <c r="W8" s="2067">
        <v>13.360103181427343</v>
      </c>
      <c r="X8" s="2067">
        <v>13.282029234737747</v>
      </c>
    </row>
    <row r="9" spans="1:24" ht="11.25" customHeight="1">
      <c r="A9" s="2068" t="s">
        <v>4649</v>
      </c>
      <c r="B9" s="2069" t="s">
        <v>5748</v>
      </c>
      <c r="C9" s="2070">
        <v>11.394067067927772</v>
      </c>
      <c r="D9" s="2070">
        <v>3.9531384350816845</v>
      </c>
      <c r="E9" s="2070">
        <v>2.0449699054170249</v>
      </c>
      <c r="F9" s="2070">
        <v>1.5332760103181426</v>
      </c>
      <c r="G9" s="2070">
        <v>1.0163370593293206</v>
      </c>
      <c r="H9" s="2070">
        <v>1.0846087704213241</v>
      </c>
      <c r="I9" s="2070">
        <v>1.0846087704213241</v>
      </c>
      <c r="J9" s="2070">
        <v>2.1425623387790202</v>
      </c>
      <c r="K9" s="2070">
        <v>0.54230438521066204</v>
      </c>
      <c r="L9" s="2070">
        <v>3.9988822012037826</v>
      </c>
      <c r="M9" s="2070">
        <v>2.2915735167669813</v>
      </c>
      <c r="N9" s="2070">
        <v>0.902493551160791</v>
      </c>
      <c r="O9" s="2070">
        <v>0.87781599312123815</v>
      </c>
      <c r="P9" s="2070">
        <v>0.86294067067927771</v>
      </c>
      <c r="Q9" s="2070">
        <v>0.45520206362854682</v>
      </c>
      <c r="R9" s="2070">
        <v>0.44780739466895958</v>
      </c>
      <c r="S9" s="2070">
        <v>0.43387790197764398</v>
      </c>
      <c r="T9" s="2070">
        <v>0.1116079105760963</v>
      </c>
      <c r="U9" s="2070">
        <v>0.16216680997420463</v>
      </c>
      <c r="V9" s="2070">
        <v>0.38993981083404994</v>
      </c>
      <c r="W9" s="2070">
        <v>0.19071367153912294</v>
      </c>
      <c r="X9" s="2070">
        <v>0.13869303525365437</v>
      </c>
    </row>
    <row r="10" spans="1:24" ht="11.25" customHeight="1">
      <c r="A10" s="2068" t="s">
        <v>4290</v>
      </c>
      <c r="B10" s="2069" t="s">
        <v>5749</v>
      </c>
      <c r="C10" s="2070">
        <v>88.538349097162495</v>
      </c>
      <c r="D10" s="2070">
        <v>79.973774720550296</v>
      </c>
      <c r="E10" s="2070">
        <v>82.29922613929493</v>
      </c>
      <c r="F10" s="2070">
        <v>88.500429922613918</v>
      </c>
      <c r="G10" s="2070">
        <v>68.726225279449693</v>
      </c>
      <c r="H10" s="2070">
        <v>71.262338779019785</v>
      </c>
      <c r="I10" s="2070">
        <v>80.673946689595866</v>
      </c>
      <c r="J10" s="2070">
        <v>61.284866723989673</v>
      </c>
      <c r="K10" s="2070">
        <v>78.553912295786759</v>
      </c>
      <c r="L10" s="2070">
        <v>71.277386070507305</v>
      </c>
      <c r="M10" s="2070">
        <v>51.318486672398961</v>
      </c>
      <c r="N10" s="2070">
        <v>42.811006018916586</v>
      </c>
      <c r="O10" s="2070">
        <v>41.124935511607909</v>
      </c>
      <c r="P10" s="2070">
        <v>48.272141014617368</v>
      </c>
      <c r="Q10" s="2070">
        <v>41.693723129836627</v>
      </c>
      <c r="R10" s="2070">
        <v>37.272742906276861</v>
      </c>
      <c r="S10" s="2070">
        <v>34.732158211521927</v>
      </c>
      <c r="T10" s="2070">
        <v>27.979965606190884</v>
      </c>
      <c r="U10" s="2070">
        <v>25.157781599312131</v>
      </c>
      <c r="V10" s="2070">
        <v>21.380395528804819</v>
      </c>
      <c r="W10" s="2070">
        <v>13.169389509888219</v>
      </c>
      <c r="X10" s="2070">
        <v>13.143336199484093</v>
      </c>
    </row>
    <row r="11" spans="1:24" ht="11.25" customHeight="1">
      <c r="A11" s="2065" t="s">
        <v>5750</v>
      </c>
      <c r="B11" s="2066" t="s">
        <v>5751</v>
      </c>
      <c r="C11" s="2067">
        <v>111.7810834049871</v>
      </c>
      <c r="D11" s="2067">
        <v>116.60412725709372</v>
      </c>
      <c r="E11" s="2067">
        <v>96.713929492691307</v>
      </c>
      <c r="F11" s="2067">
        <v>86.685382631126387</v>
      </c>
      <c r="G11" s="2067">
        <v>64.430954428202924</v>
      </c>
      <c r="H11" s="2067">
        <v>38.938435081685284</v>
      </c>
      <c r="I11" s="2067">
        <v>43.818572656921759</v>
      </c>
      <c r="J11" s="2067">
        <v>27.621238177128117</v>
      </c>
      <c r="K11" s="2067">
        <v>27.698796216680993</v>
      </c>
      <c r="L11" s="2067">
        <v>27.204643164230433</v>
      </c>
      <c r="M11" s="2067">
        <v>26.899570077386066</v>
      </c>
      <c r="N11" s="2067">
        <v>28.029492691315557</v>
      </c>
      <c r="O11" s="2067">
        <v>14.143508168529664</v>
      </c>
      <c r="P11" s="2067">
        <v>33.338435081685297</v>
      </c>
      <c r="Q11" s="2067">
        <v>50.311263972484944</v>
      </c>
      <c r="R11" s="2067">
        <v>25.787532244196044</v>
      </c>
      <c r="S11" s="2067">
        <v>24.081169389509888</v>
      </c>
      <c r="T11" s="2067">
        <v>24.370335339638864</v>
      </c>
      <c r="U11" s="2067">
        <v>22.410318142734305</v>
      </c>
      <c r="V11" s="2067">
        <v>16.842218400687877</v>
      </c>
      <c r="W11" s="2067">
        <v>6.2613069647463444</v>
      </c>
      <c r="X11" s="2067">
        <v>12.452192605331041</v>
      </c>
    </row>
    <row r="12" spans="1:24" ht="11.25" customHeight="1">
      <c r="A12" s="2068" t="s">
        <v>4650</v>
      </c>
      <c r="B12" s="2069" t="s">
        <v>5752</v>
      </c>
      <c r="C12" s="2070">
        <v>4.0202923473774721</v>
      </c>
      <c r="D12" s="2070">
        <v>2.9335339638865001</v>
      </c>
      <c r="E12" s="2070">
        <v>0</v>
      </c>
      <c r="F12" s="2070">
        <v>0</v>
      </c>
      <c r="G12" s="2070">
        <v>0.54471195184866716</v>
      </c>
      <c r="H12" s="2070">
        <v>0</v>
      </c>
      <c r="I12" s="2070">
        <v>0</v>
      </c>
      <c r="J12" s="2070">
        <v>0</v>
      </c>
      <c r="K12" s="2070">
        <v>1.107996560619088</v>
      </c>
      <c r="L12" s="2070">
        <v>0.55391229578675838</v>
      </c>
      <c r="M12" s="2070">
        <v>0.57695614789337912</v>
      </c>
      <c r="N12" s="2070">
        <v>1.8674978503869299</v>
      </c>
      <c r="O12" s="2070">
        <v>4.6587274290627683</v>
      </c>
      <c r="P12" s="2070">
        <v>6.3277730008598443</v>
      </c>
      <c r="Q12" s="2070">
        <v>5.7514187446259672</v>
      </c>
      <c r="R12" s="2070">
        <v>3.5742046431642298</v>
      </c>
      <c r="S12" s="2070">
        <v>7.9588993981083398</v>
      </c>
      <c r="T12" s="2070">
        <v>7.3907996560619091</v>
      </c>
      <c r="U12" s="2070">
        <v>7.592691315563199</v>
      </c>
      <c r="V12" s="2070">
        <v>5.3341358555460019</v>
      </c>
      <c r="W12" s="2070">
        <v>0.26337059329320722</v>
      </c>
      <c r="X12" s="2070">
        <v>0.44393809114359406</v>
      </c>
    </row>
    <row r="13" spans="1:24" ht="11.25" customHeight="1">
      <c r="A13" s="2068" t="s">
        <v>4651</v>
      </c>
      <c r="B13" s="2069" t="s">
        <v>5753</v>
      </c>
      <c r="C13" s="2070">
        <v>104.71220980223559</v>
      </c>
      <c r="D13" s="2070">
        <v>110.54350816852966</v>
      </c>
      <c r="E13" s="2070">
        <v>90.265434221840053</v>
      </c>
      <c r="F13" s="2070">
        <v>81.157007738607035</v>
      </c>
      <c r="G13" s="2070">
        <v>58.761049011177981</v>
      </c>
      <c r="H13" s="2070">
        <v>33.46749785038692</v>
      </c>
      <c r="I13" s="2070">
        <v>37.63551160791058</v>
      </c>
      <c r="J13" s="2070">
        <v>22.759759243336202</v>
      </c>
      <c r="K13" s="2070">
        <v>21.447979363714527</v>
      </c>
      <c r="L13" s="2070">
        <v>21.850472914875319</v>
      </c>
      <c r="M13" s="2070">
        <v>24.163456577815989</v>
      </c>
      <c r="N13" s="2070">
        <v>24.15838349097162</v>
      </c>
      <c r="O13" s="2070">
        <v>7.8692175408426479</v>
      </c>
      <c r="P13" s="2070">
        <v>14.382201203783321</v>
      </c>
      <c r="Q13" s="2070">
        <v>15.759587274290624</v>
      </c>
      <c r="R13" s="2070">
        <v>6.8020636285468612</v>
      </c>
      <c r="S13" s="2070">
        <v>7.5552020636285455</v>
      </c>
      <c r="T13" s="2070">
        <v>6.373430782459157</v>
      </c>
      <c r="U13" s="2070">
        <v>5.6741186586414436</v>
      </c>
      <c r="V13" s="2070">
        <v>2.9856405846947549</v>
      </c>
      <c r="W13" s="2070">
        <v>4.1852966466036108</v>
      </c>
      <c r="X13" s="2070">
        <v>11.567497850386932</v>
      </c>
    </row>
    <row r="14" spans="1:24" ht="11.25" customHeight="1">
      <c r="A14" s="2068" t="s">
        <v>4652</v>
      </c>
      <c r="B14" s="2069" t="s">
        <v>5754</v>
      </c>
      <c r="C14" s="2070">
        <v>0</v>
      </c>
      <c r="D14" s="2070">
        <v>0</v>
      </c>
      <c r="E14" s="2070">
        <v>0</v>
      </c>
      <c r="F14" s="2070">
        <v>0</v>
      </c>
      <c r="G14" s="2070">
        <v>0</v>
      </c>
      <c r="H14" s="2070">
        <v>0</v>
      </c>
      <c r="I14" s="2070">
        <v>0</v>
      </c>
      <c r="J14" s="2070">
        <v>0</v>
      </c>
      <c r="K14" s="2070">
        <v>0</v>
      </c>
      <c r="L14" s="2070">
        <v>0</v>
      </c>
      <c r="M14" s="2070">
        <v>0</v>
      </c>
      <c r="N14" s="2070">
        <v>0</v>
      </c>
      <c r="O14" s="2070">
        <v>0</v>
      </c>
      <c r="P14" s="2070">
        <v>0</v>
      </c>
      <c r="Q14" s="2070">
        <v>0</v>
      </c>
      <c r="R14" s="2070">
        <v>0</v>
      </c>
      <c r="S14" s="2070">
        <v>0</v>
      </c>
      <c r="T14" s="2070">
        <v>0</v>
      </c>
      <c r="U14" s="2070">
        <v>0</v>
      </c>
      <c r="V14" s="2070">
        <v>0</v>
      </c>
      <c r="W14" s="2070">
        <v>0</v>
      </c>
      <c r="X14" s="2070">
        <v>0</v>
      </c>
    </row>
    <row r="15" spans="1:24" ht="11.25" customHeight="1">
      <c r="A15" s="2068" t="s">
        <v>4653</v>
      </c>
      <c r="B15" s="2069" t="s">
        <v>5755</v>
      </c>
      <c r="C15" s="2070">
        <v>0</v>
      </c>
      <c r="D15" s="2070">
        <v>0</v>
      </c>
      <c r="E15" s="2070">
        <v>0</v>
      </c>
      <c r="F15" s="2070">
        <v>0</v>
      </c>
      <c r="G15" s="2070">
        <v>0</v>
      </c>
      <c r="H15" s="2070">
        <v>0</v>
      </c>
      <c r="I15" s="2070">
        <v>0</v>
      </c>
      <c r="J15" s="2070">
        <v>0</v>
      </c>
      <c r="K15" s="2070">
        <v>0</v>
      </c>
      <c r="L15" s="2070">
        <v>0</v>
      </c>
      <c r="M15" s="2070">
        <v>0</v>
      </c>
      <c r="N15" s="2070">
        <v>0</v>
      </c>
      <c r="O15" s="2070">
        <v>0</v>
      </c>
      <c r="P15" s="2070">
        <v>0</v>
      </c>
      <c r="Q15" s="2070">
        <v>0</v>
      </c>
      <c r="R15" s="2070">
        <v>0</v>
      </c>
      <c r="S15" s="2070">
        <v>0</v>
      </c>
      <c r="T15" s="2070">
        <v>0</v>
      </c>
      <c r="U15" s="2070">
        <v>0</v>
      </c>
      <c r="V15" s="2070">
        <v>0</v>
      </c>
      <c r="W15" s="2070">
        <v>0</v>
      </c>
      <c r="X15" s="2070">
        <v>0</v>
      </c>
    </row>
    <row r="16" spans="1:24" ht="11.25" customHeight="1">
      <c r="A16" s="2068" t="s">
        <v>5756</v>
      </c>
      <c r="B16" s="2069" t="s">
        <v>5757</v>
      </c>
      <c r="C16" s="2070">
        <v>3.0485812553740321</v>
      </c>
      <c r="D16" s="2070">
        <v>3.1270851246775577</v>
      </c>
      <c r="E16" s="2070">
        <v>6.4484952708512466</v>
      </c>
      <c r="F16" s="2070">
        <v>5.5283748925193468</v>
      </c>
      <c r="G16" s="2070">
        <v>5.1251934651762685</v>
      </c>
      <c r="H16" s="2070">
        <v>5.4709372312983655</v>
      </c>
      <c r="I16" s="2070">
        <v>6.1830610490111777</v>
      </c>
      <c r="J16" s="2070">
        <v>4.8614789337919158</v>
      </c>
      <c r="K16" s="2070">
        <v>5.1428202923473778</v>
      </c>
      <c r="L16" s="2070">
        <v>4.8002579535683569</v>
      </c>
      <c r="M16" s="2070">
        <v>2.1591573516766975</v>
      </c>
      <c r="N16" s="2070">
        <v>2.0036113499570076</v>
      </c>
      <c r="O16" s="2070">
        <v>1.6155631986242474</v>
      </c>
      <c r="P16" s="2070">
        <v>12.62846087704213</v>
      </c>
      <c r="Q16" s="2070">
        <v>28.800257953568355</v>
      </c>
      <c r="R16" s="2070">
        <v>15.411263972484951</v>
      </c>
      <c r="S16" s="2070">
        <v>8.5670679277730013</v>
      </c>
      <c r="T16" s="2070">
        <v>10.606104901117797</v>
      </c>
      <c r="U16" s="2070">
        <v>9.1435081685296637</v>
      </c>
      <c r="V16" s="2070">
        <v>8.5224419604471198</v>
      </c>
      <c r="W16" s="2070">
        <v>1.8126397248495265</v>
      </c>
      <c r="X16" s="2070">
        <v>0.44075666380051592</v>
      </c>
    </row>
    <row r="17" spans="1:24" ht="11.25" customHeight="1">
      <c r="A17" s="2071" t="s">
        <v>5758</v>
      </c>
      <c r="B17" s="2072" t="s">
        <v>5759</v>
      </c>
      <c r="C17" s="2073">
        <v>0.10748065348237321</v>
      </c>
      <c r="D17" s="2073">
        <v>8.5984522785898534E-2</v>
      </c>
      <c r="E17" s="2073">
        <v>0.10748065348237318</v>
      </c>
      <c r="F17" s="2073">
        <v>0</v>
      </c>
      <c r="G17" s="2073">
        <v>0</v>
      </c>
      <c r="H17" s="2073">
        <v>0</v>
      </c>
      <c r="I17" s="2073">
        <v>0</v>
      </c>
      <c r="J17" s="2073">
        <v>0</v>
      </c>
      <c r="K17" s="2073">
        <v>0</v>
      </c>
      <c r="L17" s="2073">
        <v>0</v>
      </c>
      <c r="M17" s="2073">
        <v>0</v>
      </c>
      <c r="N17" s="2073">
        <v>0</v>
      </c>
      <c r="O17" s="2073">
        <v>0</v>
      </c>
      <c r="P17" s="2073">
        <v>0</v>
      </c>
      <c r="Q17" s="2073">
        <v>0</v>
      </c>
      <c r="R17" s="2073">
        <v>0</v>
      </c>
      <c r="S17" s="2073">
        <v>0</v>
      </c>
      <c r="T17" s="2073">
        <v>0</v>
      </c>
      <c r="U17" s="2073">
        <v>0</v>
      </c>
      <c r="V17" s="2073">
        <v>0</v>
      </c>
      <c r="W17" s="2073">
        <v>0</v>
      </c>
      <c r="X17" s="2073">
        <v>0</v>
      </c>
    </row>
    <row r="18" spans="1:24" ht="11.25" customHeight="1">
      <c r="A18" s="2074" t="s">
        <v>4654</v>
      </c>
      <c r="B18" s="2069" t="s">
        <v>5760</v>
      </c>
      <c r="C18" s="2070">
        <v>0.10748065348237321</v>
      </c>
      <c r="D18" s="2070">
        <v>8.5984522785898534E-2</v>
      </c>
      <c r="E18" s="2070">
        <v>0.10748065348237318</v>
      </c>
      <c r="F18" s="2070">
        <v>0</v>
      </c>
      <c r="G18" s="2070">
        <v>0</v>
      </c>
      <c r="H18" s="2070">
        <v>0</v>
      </c>
      <c r="I18" s="2070">
        <v>0</v>
      </c>
      <c r="J18" s="2070">
        <v>0</v>
      </c>
      <c r="K18" s="2070">
        <v>0</v>
      </c>
      <c r="L18" s="2070">
        <v>0</v>
      </c>
      <c r="M18" s="2070">
        <v>0</v>
      </c>
      <c r="N18" s="2070">
        <v>0</v>
      </c>
      <c r="O18" s="2070">
        <v>0</v>
      </c>
      <c r="P18" s="2070">
        <v>0</v>
      </c>
      <c r="Q18" s="2070">
        <v>0</v>
      </c>
      <c r="R18" s="2070">
        <v>0</v>
      </c>
      <c r="S18" s="2070">
        <v>0</v>
      </c>
      <c r="T18" s="2070">
        <v>0</v>
      </c>
      <c r="U18" s="2070">
        <v>0</v>
      </c>
      <c r="V18" s="2070">
        <v>0</v>
      </c>
      <c r="W18" s="2070">
        <v>0</v>
      </c>
      <c r="X18" s="2070">
        <v>0</v>
      </c>
    </row>
    <row r="19" spans="1:24" ht="11.25" customHeight="1">
      <c r="A19" s="2074" t="s">
        <v>4655</v>
      </c>
      <c r="B19" s="2069" t="s">
        <v>5761</v>
      </c>
      <c r="C19" s="2070">
        <v>0</v>
      </c>
      <c r="D19" s="2070">
        <v>0</v>
      </c>
      <c r="E19" s="2070">
        <v>0</v>
      </c>
      <c r="F19" s="2070">
        <v>0</v>
      </c>
      <c r="G19" s="2070">
        <v>0</v>
      </c>
      <c r="H19" s="2070">
        <v>0</v>
      </c>
      <c r="I19" s="2070">
        <v>0</v>
      </c>
      <c r="J19" s="2070">
        <v>0</v>
      </c>
      <c r="K19" s="2070">
        <v>0</v>
      </c>
      <c r="L19" s="2070">
        <v>0</v>
      </c>
      <c r="M19" s="2070">
        <v>0</v>
      </c>
      <c r="N19" s="2070">
        <v>0</v>
      </c>
      <c r="O19" s="2070">
        <v>0</v>
      </c>
      <c r="P19" s="2070">
        <v>0</v>
      </c>
      <c r="Q19" s="2070">
        <v>0</v>
      </c>
      <c r="R19" s="2070">
        <v>0</v>
      </c>
      <c r="S19" s="2070">
        <v>0</v>
      </c>
      <c r="T19" s="2070">
        <v>0</v>
      </c>
      <c r="U19" s="2070">
        <v>0</v>
      </c>
      <c r="V19" s="2070">
        <v>0</v>
      </c>
      <c r="W19" s="2070">
        <v>0</v>
      </c>
      <c r="X19" s="2070">
        <v>0</v>
      </c>
    </row>
    <row r="20" spans="1:24" ht="11.25" customHeight="1">
      <c r="A20" s="2074" t="s">
        <v>4656</v>
      </c>
      <c r="B20" s="2069" t="s">
        <v>5762</v>
      </c>
      <c r="C20" s="2070">
        <v>0</v>
      </c>
      <c r="D20" s="2070">
        <v>0</v>
      </c>
      <c r="E20" s="2070">
        <v>0</v>
      </c>
      <c r="F20" s="2070">
        <v>0</v>
      </c>
      <c r="G20" s="2070">
        <v>0</v>
      </c>
      <c r="H20" s="2070">
        <v>0</v>
      </c>
      <c r="I20" s="2070">
        <v>0</v>
      </c>
      <c r="J20" s="2070">
        <v>0</v>
      </c>
      <c r="K20" s="2070">
        <v>0</v>
      </c>
      <c r="L20" s="2070">
        <v>0</v>
      </c>
      <c r="M20" s="2070">
        <v>0</v>
      </c>
      <c r="N20" s="2070">
        <v>0</v>
      </c>
      <c r="O20" s="2070">
        <v>0</v>
      </c>
      <c r="P20" s="2070">
        <v>0</v>
      </c>
      <c r="Q20" s="2070">
        <v>0</v>
      </c>
      <c r="R20" s="2070">
        <v>0</v>
      </c>
      <c r="S20" s="2070">
        <v>0</v>
      </c>
      <c r="T20" s="2070">
        <v>0</v>
      </c>
      <c r="U20" s="2070">
        <v>0</v>
      </c>
      <c r="V20" s="2070">
        <v>0</v>
      </c>
      <c r="W20" s="2070">
        <v>0</v>
      </c>
      <c r="X20" s="2070">
        <v>0</v>
      </c>
    </row>
    <row r="21" spans="1:24" ht="11.25" customHeight="1">
      <c r="A21" s="2074" t="s">
        <v>4615</v>
      </c>
      <c r="B21" s="2069" t="s">
        <v>5763</v>
      </c>
      <c r="C21" s="2070">
        <v>0</v>
      </c>
      <c r="D21" s="2070">
        <v>0</v>
      </c>
      <c r="E21" s="2070">
        <v>0</v>
      </c>
      <c r="F21" s="2070">
        <v>0</v>
      </c>
      <c r="G21" s="2070">
        <v>0</v>
      </c>
      <c r="H21" s="2070">
        <v>0</v>
      </c>
      <c r="I21" s="2070">
        <v>0</v>
      </c>
      <c r="J21" s="2070">
        <v>0</v>
      </c>
      <c r="K21" s="2070">
        <v>0</v>
      </c>
      <c r="L21" s="2070">
        <v>0</v>
      </c>
      <c r="M21" s="2070">
        <v>0</v>
      </c>
      <c r="N21" s="2070">
        <v>0</v>
      </c>
      <c r="O21" s="2070">
        <v>0</v>
      </c>
      <c r="P21" s="2070">
        <v>0</v>
      </c>
      <c r="Q21" s="2070">
        <v>0</v>
      </c>
      <c r="R21" s="2070">
        <v>0</v>
      </c>
      <c r="S21" s="2070">
        <v>0</v>
      </c>
      <c r="T21" s="2070">
        <v>0</v>
      </c>
      <c r="U21" s="2070">
        <v>0</v>
      </c>
      <c r="V21" s="2070">
        <v>0</v>
      </c>
      <c r="W21" s="2070">
        <v>0</v>
      </c>
      <c r="X21" s="2070">
        <v>0</v>
      </c>
    </row>
    <row r="22" spans="1:24" ht="11.25" customHeight="1">
      <c r="A22" s="2071" t="s">
        <v>4741</v>
      </c>
      <c r="B22" s="2072" t="s">
        <v>5764</v>
      </c>
      <c r="C22" s="2073">
        <v>19.788220120378334</v>
      </c>
      <c r="D22" s="2073">
        <v>23.024849527085131</v>
      </c>
      <c r="E22" s="2073">
        <v>28.115907136715393</v>
      </c>
      <c r="F22" s="2073">
        <v>31.977214101461733</v>
      </c>
      <c r="G22" s="2073">
        <v>33.053052450558894</v>
      </c>
      <c r="H22" s="2073">
        <v>30.270335339638862</v>
      </c>
      <c r="I22" s="2073">
        <v>32.330180567497848</v>
      </c>
      <c r="J22" s="2073">
        <v>35.468787618228724</v>
      </c>
      <c r="K22" s="2073">
        <v>44.30515907136715</v>
      </c>
      <c r="L22" s="2073">
        <v>50.636887360275146</v>
      </c>
      <c r="M22" s="2073">
        <v>59.221152192605338</v>
      </c>
      <c r="N22" s="2073">
        <v>49.690283748925182</v>
      </c>
      <c r="O22" s="2073">
        <v>47.712983662940673</v>
      </c>
      <c r="P22" s="2073">
        <v>51.890799656061908</v>
      </c>
      <c r="Q22" s="2073">
        <v>48.031298366294067</v>
      </c>
      <c r="R22" s="2073">
        <v>51.232674118658636</v>
      </c>
      <c r="S22" s="2073">
        <v>58.732932072226987</v>
      </c>
      <c r="T22" s="2073">
        <v>61.824505588993979</v>
      </c>
      <c r="U22" s="2073">
        <v>64.552020636285476</v>
      </c>
      <c r="V22" s="2073">
        <v>63.736543422183999</v>
      </c>
      <c r="W22" s="2073">
        <v>47.322355975924332</v>
      </c>
      <c r="X22" s="2073">
        <v>46.597162510748063</v>
      </c>
    </row>
    <row r="23" spans="1:24" ht="11.25" customHeight="1">
      <c r="A23" s="2074" t="s">
        <v>559</v>
      </c>
      <c r="B23" s="2069" t="s">
        <v>5765</v>
      </c>
      <c r="C23" s="2070">
        <v>19.788220120378334</v>
      </c>
      <c r="D23" s="2070">
        <v>23.024849527085131</v>
      </c>
      <c r="E23" s="2070">
        <v>28.115907136715393</v>
      </c>
      <c r="F23" s="2070">
        <v>31.977214101461733</v>
      </c>
      <c r="G23" s="2070">
        <v>32.288822012037826</v>
      </c>
      <c r="H23" s="2070">
        <v>30.270335339638862</v>
      </c>
      <c r="I23" s="2070">
        <v>32.330180567497848</v>
      </c>
      <c r="J23" s="2070">
        <v>35.151160791057613</v>
      </c>
      <c r="K23" s="2070">
        <v>43.987532244196039</v>
      </c>
      <c r="L23" s="2070">
        <v>50.636887360275146</v>
      </c>
      <c r="M23" s="2070">
        <v>58.903525365434227</v>
      </c>
      <c r="N23" s="2070">
        <v>49.372656921754071</v>
      </c>
      <c r="O23" s="2070">
        <v>47.395356835769562</v>
      </c>
      <c r="P23" s="2070">
        <v>51.255460017196903</v>
      </c>
      <c r="Q23" s="2070">
        <v>47.713671539122956</v>
      </c>
      <c r="R23" s="2070">
        <v>50.915047291487525</v>
      </c>
      <c r="S23" s="2070">
        <v>58.415305245055876</v>
      </c>
      <c r="T23" s="2070">
        <v>61.347979363714529</v>
      </c>
      <c r="U23" s="2070">
        <v>63.901117798796221</v>
      </c>
      <c r="V23" s="2070">
        <v>63.291057609630258</v>
      </c>
      <c r="W23" s="2070">
        <v>47.163542562338776</v>
      </c>
      <c r="X23" s="2070">
        <v>46.311263972484952</v>
      </c>
    </row>
    <row r="24" spans="1:24" ht="11.25" customHeight="1">
      <c r="A24" s="2074" t="s">
        <v>4657</v>
      </c>
      <c r="B24" s="2069" t="s">
        <v>5766</v>
      </c>
      <c r="C24" s="2070">
        <v>0</v>
      </c>
      <c r="D24" s="2070">
        <v>0</v>
      </c>
      <c r="E24" s="2070">
        <v>0</v>
      </c>
      <c r="F24" s="2070">
        <v>0</v>
      </c>
      <c r="G24" s="2070">
        <v>0.7642304385210662</v>
      </c>
      <c r="H24" s="2070">
        <v>0</v>
      </c>
      <c r="I24" s="2070">
        <v>0</v>
      </c>
      <c r="J24" s="2070">
        <v>0.31762682717110918</v>
      </c>
      <c r="K24" s="2070">
        <v>0.31762682717110918</v>
      </c>
      <c r="L24" s="2070">
        <v>0</v>
      </c>
      <c r="M24" s="2070">
        <v>0.31762682717110918</v>
      </c>
      <c r="N24" s="2070">
        <v>0.31762682717110918</v>
      </c>
      <c r="O24" s="2070">
        <v>0.31762682717110918</v>
      </c>
      <c r="P24" s="2070">
        <v>0.63533963886500433</v>
      </c>
      <c r="Q24" s="2070">
        <v>0.31762682717110918</v>
      </c>
      <c r="R24" s="2070">
        <v>0.31762682717110918</v>
      </c>
      <c r="S24" s="2070">
        <v>0.31762682717110918</v>
      </c>
      <c r="T24" s="2070">
        <v>0.47652622527944971</v>
      </c>
      <c r="U24" s="2070">
        <v>0.65090283748925193</v>
      </c>
      <c r="V24" s="2070">
        <v>0.44548581255374026</v>
      </c>
      <c r="W24" s="2070">
        <v>0.15881341358555459</v>
      </c>
      <c r="X24" s="2070">
        <v>0.28589853826311262</v>
      </c>
    </row>
    <row r="25" spans="1:24" ht="11.25" customHeight="1">
      <c r="A25" s="2071" t="s">
        <v>4658</v>
      </c>
      <c r="B25" s="2072" t="s">
        <v>5767</v>
      </c>
      <c r="C25" s="2073">
        <v>0</v>
      </c>
      <c r="D25" s="2073">
        <v>0</v>
      </c>
      <c r="E25" s="2073">
        <v>0</v>
      </c>
      <c r="F25" s="2073">
        <v>0</v>
      </c>
      <c r="G25" s="2073">
        <v>0</v>
      </c>
      <c r="H25" s="2073">
        <v>0</v>
      </c>
      <c r="I25" s="2073">
        <v>0</v>
      </c>
      <c r="J25" s="2073">
        <v>0</v>
      </c>
      <c r="K25" s="2073">
        <v>0</v>
      </c>
      <c r="L25" s="2073">
        <v>0</v>
      </c>
      <c r="M25" s="2073">
        <v>0</v>
      </c>
      <c r="N25" s="2073">
        <v>0</v>
      </c>
      <c r="O25" s="2073">
        <v>0</v>
      </c>
      <c r="P25" s="2073">
        <v>0</v>
      </c>
      <c r="Q25" s="2073">
        <v>0</v>
      </c>
      <c r="R25" s="2073">
        <v>0</v>
      </c>
      <c r="S25" s="2073">
        <v>0</v>
      </c>
      <c r="T25" s="2073">
        <v>0</v>
      </c>
      <c r="U25" s="2073">
        <v>0</v>
      </c>
      <c r="V25" s="2073">
        <v>0</v>
      </c>
      <c r="W25" s="2073">
        <v>0</v>
      </c>
      <c r="X25" s="2073">
        <v>0</v>
      </c>
    </row>
    <row r="26" spans="1:24" ht="11.25" customHeight="1">
      <c r="A26" s="2071" t="s">
        <v>3872</v>
      </c>
      <c r="B26" s="2072" t="s">
        <v>5768</v>
      </c>
      <c r="C26" s="2073">
        <v>18711.639122309691</v>
      </c>
      <c r="D26" s="2073">
        <v>18471.166026612529</v>
      </c>
      <c r="E26" s="2073">
        <v>18313.625625853365</v>
      </c>
      <c r="F26" s="2073">
        <v>18667.363162653477</v>
      </c>
      <c r="G26" s="2073">
        <v>18621.563583416271</v>
      </c>
      <c r="H26" s="2073">
        <v>18967.23118185049</v>
      </c>
      <c r="I26" s="2073">
        <v>17129.153847911122</v>
      </c>
      <c r="J26" s="2073">
        <v>16465.314109208364</v>
      </c>
      <c r="K26" s="2073">
        <v>16068.011693895098</v>
      </c>
      <c r="L26" s="2073">
        <v>15549.768099742045</v>
      </c>
      <c r="M26" s="2073">
        <v>15334.651160791054</v>
      </c>
      <c r="N26" s="2073">
        <v>14965.722785898539</v>
      </c>
      <c r="O26" s="2073">
        <v>14617.138005159071</v>
      </c>
      <c r="P26" s="2073">
        <v>14849.372828890795</v>
      </c>
      <c r="Q26" s="2073">
        <v>14450.563714531383</v>
      </c>
      <c r="R26" s="2073">
        <v>14661.37248495271</v>
      </c>
      <c r="S26" s="2073">
        <v>14571.02003439381</v>
      </c>
      <c r="T26" s="2073">
        <v>14744.475064488393</v>
      </c>
      <c r="U26" s="2073">
        <v>17310.845227858987</v>
      </c>
      <c r="V26" s="2073">
        <v>17418.860361134997</v>
      </c>
      <c r="W26" s="2073">
        <v>17978.171625107483</v>
      </c>
      <c r="X26" s="2073">
        <v>17661.681943250212</v>
      </c>
    </row>
    <row r="27" spans="1:24" ht="11.25" customHeight="1">
      <c r="A27" s="2065" t="s">
        <v>5769</v>
      </c>
      <c r="B27" s="2066" t="s">
        <v>5770</v>
      </c>
      <c r="C27" s="2067">
        <v>0</v>
      </c>
      <c r="D27" s="2067">
        <v>0</v>
      </c>
      <c r="E27" s="2067">
        <v>0</v>
      </c>
      <c r="F27" s="2067">
        <v>0</v>
      </c>
      <c r="G27" s="2067">
        <v>0</v>
      </c>
      <c r="H27" s="2067">
        <v>0</v>
      </c>
      <c r="I27" s="2067">
        <v>0</v>
      </c>
      <c r="J27" s="2067">
        <v>0</v>
      </c>
      <c r="K27" s="2067">
        <v>0</v>
      </c>
      <c r="L27" s="2067">
        <v>0</v>
      </c>
      <c r="M27" s="2067">
        <v>0</v>
      </c>
      <c r="N27" s="2067">
        <v>0</v>
      </c>
      <c r="O27" s="2067">
        <v>0</v>
      </c>
      <c r="P27" s="2067">
        <v>0</v>
      </c>
      <c r="Q27" s="2067">
        <v>0</v>
      </c>
      <c r="R27" s="2067">
        <v>0</v>
      </c>
      <c r="S27" s="2067">
        <v>0</v>
      </c>
      <c r="T27" s="2067">
        <v>0</v>
      </c>
      <c r="U27" s="2067">
        <v>0</v>
      </c>
      <c r="V27" s="2067">
        <v>0</v>
      </c>
      <c r="W27" s="2067">
        <v>0</v>
      </c>
      <c r="X27" s="2067">
        <v>0</v>
      </c>
    </row>
    <row r="28" spans="1:24" ht="11.25" customHeight="1">
      <c r="A28" s="2068" t="s">
        <v>4659</v>
      </c>
      <c r="B28" s="2069" t="s">
        <v>5771</v>
      </c>
      <c r="C28" s="2070">
        <v>0</v>
      </c>
      <c r="D28" s="2070">
        <v>0</v>
      </c>
      <c r="E28" s="2070">
        <v>0</v>
      </c>
      <c r="F28" s="2070">
        <v>0</v>
      </c>
      <c r="G28" s="2070">
        <v>0</v>
      </c>
      <c r="H28" s="2070">
        <v>0</v>
      </c>
      <c r="I28" s="2070">
        <v>0</v>
      </c>
      <c r="J28" s="2070">
        <v>0</v>
      </c>
      <c r="K28" s="2070">
        <v>0</v>
      </c>
      <c r="L28" s="2070">
        <v>0</v>
      </c>
      <c r="M28" s="2070">
        <v>0</v>
      </c>
      <c r="N28" s="2070">
        <v>0</v>
      </c>
      <c r="O28" s="2070">
        <v>0</v>
      </c>
      <c r="P28" s="2070">
        <v>0</v>
      </c>
      <c r="Q28" s="2070">
        <v>0</v>
      </c>
      <c r="R28" s="2070">
        <v>0</v>
      </c>
      <c r="S28" s="2070">
        <v>0</v>
      </c>
      <c r="T28" s="2070">
        <v>0</v>
      </c>
      <c r="U28" s="2070">
        <v>0</v>
      </c>
      <c r="V28" s="2070">
        <v>0</v>
      </c>
      <c r="W28" s="2070">
        <v>0</v>
      </c>
      <c r="X28" s="2070">
        <v>0</v>
      </c>
    </row>
    <row r="29" spans="1:24" ht="11.25" customHeight="1">
      <c r="A29" s="2068" t="s">
        <v>4660</v>
      </c>
      <c r="B29" s="2069" t="s">
        <v>5772</v>
      </c>
      <c r="C29" s="2070">
        <v>0</v>
      </c>
      <c r="D29" s="2070">
        <v>0</v>
      </c>
      <c r="E29" s="2070">
        <v>0</v>
      </c>
      <c r="F29" s="2070">
        <v>0</v>
      </c>
      <c r="G29" s="2070">
        <v>0</v>
      </c>
      <c r="H29" s="2070">
        <v>0</v>
      </c>
      <c r="I29" s="2070">
        <v>0</v>
      </c>
      <c r="J29" s="2070">
        <v>0</v>
      </c>
      <c r="K29" s="2070">
        <v>0</v>
      </c>
      <c r="L29" s="2070">
        <v>0</v>
      </c>
      <c r="M29" s="2070">
        <v>0</v>
      </c>
      <c r="N29" s="2070">
        <v>0</v>
      </c>
      <c r="O29" s="2070">
        <v>0</v>
      </c>
      <c r="P29" s="2070">
        <v>0</v>
      </c>
      <c r="Q29" s="2070">
        <v>0</v>
      </c>
      <c r="R29" s="2070">
        <v>0</v>
      </c>
      <c r="S29" s="2070">
        <v>0</v>
      </c>
      <c r="T29" s="2070">
        <v>0</v>
      </c>
      <c r="U29" s="2070">
        <v>0</v>
      </c>
      <c r="V29" s="2070">
        <v>0</v>
      </c>
      <c r="W29" s="2070">
        <v>0</v>
      </c>
      <c r="X29" s="2070">
        <v>0</v>
      </c>
    </row>
    <row r="30" spans="1:24" ht="11.25" customHeight="1">
      <c r="A30" s="2068" t="s">
        <v>4661</v>
      </c>
      <c r="B30" s="2069" t="s">
        <v>5773</v>
      </c>
      <c r="C30" s="2070">
        <v>0</v>
      </c>
      <c r="D30" s="2070">
        <v>0</v>
      </c>
      <c r="E30" s="2070">
        <v>0</v>
      </c>
      <c r="F30" s="2070">
        <v>0</v>
      </c>
      <c r="G30" s="2070">
        <v>0</v>
      </c>
      <c r="H30" s="2070">
        <v>0</v>
      </c>
      <c r="I30" s="2070">
        <v>0</v>
      </c>
      <c r="J30" s="2070">
        <v>0</v>
      </c>
      <c r="K30" s="2070">
        <v>0</v>
      </c>
      <c r="L30" s="2070">
        <v>0</v>
      </c>
      <c r="M30" s="2070">
        <v>0</v>
      </c>
      <c r="N30" s="2070">
        <v>0</v>
      </c>
      <c r="O30" s="2070">
        <v>0</v>
      </c>
      <c r="P30" s="2070">
        <v>0</v>
      </c>
      <c r="Q30" s="2070">
        <v>0</v>
      </c>
      <c r="R30" s="2070">
        <v>0</v>
      </c>
      <c r="S30" s="2070">
        <v>0</v>
      </c>
      <c r="T30" s="2070">
        <v>0</v>
      </c>
      <c r="U30" s="2070">
        <v>0</v>
      </c>
      <c r="V30" s="2070">
        <v>0</v>
      </c>
      <c r="W30" s="2070">
        <v>0</v>
      </c>
      <c r="X30" s="2070">
        <v>0</v>
      </c>
    </row>
    <row r="31" spans="1:24" ht="11.25" customHeight="1">
      <c r="A31" s="2068" t="s">
        <v>5774</v>
      </c>
      <c r="B31" s="2069" t="s">
        <v>5775</v>
      </c>
      <c r="C31" s="2070">
        <v>0</v>
      </c>
      <c r="D31" s="2070">
        <v>0</v>
      </c>
      <c r="E31" s="2070">
        <v>0</v>
      </c>
      <c r="F31" s="2070">
        <v>0</v>
      </c>
      <c r="G31" s="2070">
        <v>0</v>
      </c>
      <c r="H31" s="2070">
        <v>0</v>
      </c>
      <c r="I31" s="2070">
        <v>0</v>
      </c>
      <c r="J31" s="2070">
        <v>0</v>
      </c>
      <c r="K31" s="2070">
        <v>0</v>
      </c>
      <c r="L31" s="2070">
        <v>0</v>
      </c>
      <c r="M31" s="2070">
        <v>0</v>
      </c>
      <c r="N31" s="2070">
        <v>0</v>
      </c>
      <c r="O31" s="2070">
        <v>0</v>
      </c>
      <c r="P31" s="2070">
        <v>0</v>
      </c>
      <c r="Q31" s="2070">
        <v>0</v>
      </c>
      <c r="R31" s="2070">
        <v>0</v>
      </c>
      <c r="S31" s="2070">
        <v>0</v>
      </c>
      <c r="T31" s="2070">
        <v>0</v>
      </c>
      <c r="U31" s="2070">
        <v>0</v>
      </c>
      <c r="V31" s="2070">
        <v>0</v>
      </c>
      <c r="W31" s="2070">
        <v>0</v>
      </c>
      <c r="X31" s="2070">
        <v>0</v>
      </c>
    </row>
    <row r="32" spans="1:24" ht="11.25" customHeight="1">
      <c r="A32" s="2068" t="s">
        <v>4662</v>
      </c>
      <c r="B32" s="2069" t="s">
        <v>5776</v>
      </c>
      <c r="C32" s="2070">
        <v>0</v>
      </c>
      <c r="D32" s="2070">
        <v>0</v>
      </c>
      <c r="E32" s="2070">
        <v>0</v>
      </c>
      <c r="F32" s="2070">
        <v>0</v>
      </c>
      <c r="G32" s="2070">
        <v>0</v>
      </c>
      <c r="H32" s="2070">
        <v>0</v>
      </c>
      <c r="I32" s="2070">
        <v>0</v>
      </c>
      <c r="J32" s="2070">
        <v>0</v>
      </c>
      <c r="K32" s="2070">
        <v>0</v>
      </c>
      <c r="L32" s="2070">
        <v>0</v>
      </c>
      <c r="M32" s="2070">
        <v>0</v>
      </c>
      <c r="N32" s="2070">
        <v>0</v>
      </c>
      <c r="O32" s="2070">
        <v>0</v>
      </c>
      <c r="P32" s="2070">
        <v>0</v>
      </c>
      <c r="Q32" s="2070">
        <v>0</v>
      </c>
      <c r="R32" s="2070">
        <v>0</v>
      </c>
      <c r="S32" s="2070">
        <v>0</v>
      </c>
      <c r="T32" s="2070">
        <v>0</v>
      </c>
      <c r="U32" s="2070">
        <v>0</v>
      </c>
      <c r="V32" s="2070">
        <v>0</v>
      </c>
      <c r="W32" s="2070">
        <v>0</v>
      </c>
      <c r="X32" s="2070">
        <v>0</v>
      </c>
    </row>
    <row r="33" spans="1:24" ht="11.25" customHeight="1">
      <c r="A33" s="2065" t="s">
        <v>5777</v>
      </c>
      <c r="B33" s="2066" t="s">
        <v>5778</v>
      </c>
      <c r="C33" s="2067">
        <v>18711.639122309691</v>
      </c>
      <c r="D33" s="2067">
        <v>18471.166026612529</v>
      </c>
      <c r="E33" s="2067">
        <v>18313.625625853365</v>
      </c>
      <c r="F33" s="2067">
        <v>18667.363162653477</v>
      </c>
      <c r="G33" s="2067">
        <v>18621.563583416271</v>
      </c>
      <c r="H33" s="2067">
        <v>18967.23118185049</v>
      </c>
      <c r="I33" s="2067">
        <v>17129.153847911122</v>
      </c>
      <c r="J33" s="2067">
        <v>16465.314109208364</v>
      </c>
      <c r="K33" s="2067">
        <v>16068.011693895098</v>
      </c>
      <c r="L33" s="2067">
        <v>15549.768099742045</v>
      </c>
      <c r="M33" s="2067">
        <v>15334.651160791054</v>
      </c>
      <c r="N33" s="2067">
        <v>14965.722785898539</v>
      </c>
      <c r="O33" s="2067">
        <v>14617.138005159071</v>
      </c>
      <c r="P33" s="2067">
        <v>14849.372828890795</v>
      </c>
      <c r="Q33" s="2067">
        <v>14450.563714531383</v>
      </c>
      <c r="R33" s="2067">
        <v>14661.37248495271</v>
      </c>
      <c r="S33" s="2067">
        <v>14571.02003439381</v>
      </c>
      <c r="T33" s="2067">
        <v>14744.475064488393</v>
      </c>
      <c r="U33" s="2067">
        <v>17310.845227858987</v>
      </c>
      <c r="V33" s="2067">
        <v>17418.860361134997</v>
      </c>
      <c r="W33" s="2067">
        <v>17978.171625107483</v>
      </c>
      <c r="X33" s="2067">
        <v>17661.681943250212</v>
      </c>
    </row>
    <row r="34" spans="1:24" ht="11.25" customHeight="1">
      <c r="A34" s="2068" t="s">
        <v>4607</v>
      </c>
      <c r="B34" s="2069" t="s">
        <v>5779</v>
      </c>
      <c r="C34" s="2070">
        <v>0</v>
      </c>
      <c r="D34" s="2070">
        <v>0</v>
      </c>
      <c r="E34" s="2070">
        <v>0</v>
      </c>
      <c r="F34" s="2070">
        <v>0</v>
      </c>
      <c r="G34" s="2070">
        <v>0</v>
      </c>
      <c r="H34" s="2070">
        <v>0</v>
      </c>
      <c r="I34" s="2070">
        <v>0</v>
      </c>
      <c r="J34" s="2070">
        <v>0</v>
      </c>
      <c r="K34" s="2070">
        <v>0</v>
      </c>
      <c r="L34" s="2070">
        <v>0</v>
      </c>
      <c r="M34" s="2070">
        <v>0</v>
      </c>
      <c r="N34" s="2070">
        <v>0</v>
      </c>
      <c r="O34" s="2070">
        <v>0</v>
      </c>
      <c r="P34" s="2070">
        <v>0</v>
      </c>
      <c r="Q34" s="2070">
        <v>0</v>
      </c>
      <c r="R34" s="2070">
        <v>0</v>
      </c>
      <c r="S34" s="2070">
        <v>0</v>
      </c>
      <c r="T34" s="2070">
        <v>0</v>
      </c>
      <c r="U34" s="2070">
        <v>0</v>
      </c>
      <c r="V34" s="2070">
        <v>0</v>
      </c>
      <c r="W34" s="2070">
        <v>0</v>
      </c>
      <c r="X34" s="2070">
        <v>0</v>
      </c>
    </row>
    <row r="35" spans="1:24" ht="11.25" customHeight="1">
      <c r="A35" s="2068" t="s">
        <v>587</v>
      </c>
      <c r="B35" s="2069" t="s">
        <v>5780</v>
      </c>
      <c r="C35" s="2070">
        <v>0</v>
      </c>
      <c r="D35" s="2070">
        <v>0</v>
      </c>
      <c r="E35" s="2070">
        <v>0</v>
      </c>
      <c r="F35" s="2070">
        <v>0</v>
      </c>
      <c r="G35" s="2070">
        <v>0</v>
      </c>
      <c r="H35" s="2070">
        <v>0</v>
      </c>
      <c r="I35" s="2070">
        <v>0</v>
      </c>
      <c r="J35" s="2070">
        <v>0</v>
      </c>
      <c r="K35" s="2070">
        <v>0</v>
      </c>
      <c r="L35" s="2070">
        <v>0</v>
      </c>
      <c r="M35" s="2070">
        <v>0</v>
      </c>
      <c r="N35" s="2070">
        <v>0</v>
      </c>
      <c r="O35" s="2070">
        <v>0</v>
      </c>
      <c r="P35" s="2070">
        <v>0</v>
      </c>
      <c r="Q35" s="2070">
        <v>0</v>
      </c>
      <c r="R35" s="2070">
        <v>0</v>
      </c>
      <c r="S35" s="2070">
        <v>0</v>
      </c>
      <c r="T35" s="2070">
        <v>0</v>
      </c>
      <c r="U35" s="2070">
        <v>0</v>
      </c>
      <c r="V35" s="2070">
        <v>0</v>
      </c>
      <c r="W35" s="2070">
        <v>0</v>
      </c>
      <c r="X35" s="2070">
        <v>0</v>
      </c>
    </row>
    <row r="36" spans="1:24" ht="11.25" customHeight="1">
      <c r="A36" s="2068" t="s">
        <v>5781</v>
      </c>
      <c r="B36" s="2069" t="s">
        <v>5782</v>
      </c>
      <c r="C36" s="2070">
        <v>771.04582975064477</v>
      </c>
      <c r="D36" s="2070">
        <v>774.97962166809975</v>
      </c>
      <c r="E36" s="2070">
        <v>640.81607910576065</v>
      </c>
      <c r="F36" s="2070">
        <v>587.51934651762667</v>
      </c>
      <c r="G36" s="2070">
        <v>649.00077386070495</v>
      </c>
      <c r="H36" s="2070">
        <v>667.16758383490969</v>
      </c>
      <c r="I36" s="2070">
        <v>625.02080825451424</v>
      </c>
      <c r="J36" s="2070">
        <v>591.17721410146169</v>
      </c>
      <c r="K36" s="2070">
        <v>627.81418744625955</v>
      </c>
      <c r="L36" s="2070">
        <v>585.70601891659499</v>
      </c>
      <c r="M36" s="2070">
        <v>614.20447119518485</v>
      </c>
      <c r="N36" s="2070">
        <v>582.20644883920897</v>
      </c>
      <c r="O36" s="2070">
        <v>658.67196904557159</v>
      </c>
      <c r="P36" s="2070">
        <v>661.41771281169383</v>
      </c>
      <c r="Q36" s="2070">
        <v>573.05227858985381</v>
      </c>
      <c r="R36" s="2070">
        <v>609.25425623387775</v>
      </c>
      <c r="S36" s="2070">
        <v>569.99140154772135</v>
      </c>
      <c r="T36" s="2070">
        <v>547.2269991401547</v>
      </c>
      <c r="U36" s="2070">
        <v>767.72123817712827</v>
      </c>
      <c r="V36" s="2070">
        <v>819.97033533963872</v>
      </c>
      <c r="W36" s="2070">
        <v>822.27592433362008</v>
      </c>
      <c r="X36" s="2070">
        <v>813.26534823731731</v>
      </c>
    </row>
    <row r="37" spans="1:24" ht="11.25" customHeight="1">
      <c r="A37" s="2068" t="s">
        <v>5783</v>
      </c>
      <c r="B37" s="2069" t="s">
        <v>5784</v>
      </c>
      <c r="C37" s="2070">
        <v>314.84840928632843</v>
      </c>
      <c r="D37" s="2070">
        <v>267.37962166809973</v>
      </c>
      <c r="E37" s="2070">
        <v>238.81779879621666</v>
      </c>
      <c r="F37" s="2070">
        <v>362.9209802235597</v>
      </c>
      <c r="G37" s="2070">
        <v>350.52502149613071</v>
      </c>
      <c r="H37" s="2070">
        <v>380.54101461736889</v>
      </c>
      <c r="I37" s="2070">
        <v>363.12691315563188</v>
      </c>
      <c r="J37" s="2070">
        <v>324.35563198624243</v>
      </c>
      <c r="K37" s="2070">
        <v>318.23705932932069</v>
      </c>
      <c r="L37" s="2070">
        <v>305.23697334479789</v>
      </c>
      <c r="M37" s="2070">
        <v>226.46552020636278</v>
      </c>
      <c r="N37" s="2070">
        <v>207.76655202063631</v>
      </c>
      <c r="O37" s="2070">
        <v>259.60094582975069</v>
      </c>
      <c r="P37" s="2070">
        <v>226.83499570077385</v>
      </c>
      <c r="Q37" s="2070">
        <v>198.50851246775582</v>
      </c>
      <c r="R37" s="2070">
        <v>202.59630266552023</v>
      </c>
      <c r="S37" s="2070">
        <v>180.70111779879619</v>
      </c>
      <c r="T37" s="2070">
        <v>176.33310404127255</v>
      </c>
      <c r="U37" s="2070">
        <v>224.2486672398968</v>
      </c>
      <c r="V37" s="2070">
        <v>224.30748065348234</v>
      </c>
      <c r="W37" s="2070">
        <v>216.23215821152189</v>
      </c>
      <c r="X37" s="2070">
        <v>254.00799656061906</v>
      </c>
    </row>
    <row r="38" spans="1:24" ht="11.25" customHeight="1">
      <c r="A38" s="2068" t="s">
        <v>4663</v>
      </c>
      <c r="B38" s="2069" t="s">
        <v>5785</v>
      </c>
      <c r="C38" s="2070">
        <v>4.2180567497850383</v>
      </c>
      <c r="D38" s="2070">
        <v>4.2180567497850383</v>
      </c>
      <c r="E38" s="2070">
        <v>4.2180567497850383</v>
      </c>
      <c r="F38" s="2070">
        <v>5.2259673258813413</v>
      </c>
      <c r="G38" s="2070">
        <v>6.2768701633705923</v>
      </c>
      <c r="H38" s="2070">
        <v>4.1822012037833192</v>
      </c>
      <c r="I38" s="2070">
        <v>5.2259673258813413</v>
      </c>
      <c r="J38" s="2070">
        <v>5.2259673258813413</v>
      </c>
      <c r="K38" s="2070">
        <v>4.1822012037833192</v>
      </c>
      <c r="L38" s="2070">
        <v>3.1455717970765251</v>
      </c>
      <c r="M38" s="2070">
        <v>3.1455717970765251</v>
      </c>
      <c r="N38" s="2070">
        <v>2.101805674978503</v>
      </c>
      <c r="O38" s="2070">
        <v>2.101805674978503</v>
      </c>
      <c r="P38" s="2070">
        <v>2.101805674978503</v>
      </c>
      <c r="Q38" s="2070">
        <v>2.101805674978503</v>
      </c>
      <c r="R38" s="2070">
        <v>1.050902837489252</v>
      </c>
      <c r="S38" s="2070">
        <v>1.050902837489252</v>
      </c>
      <c r="T38" s="2070">
        <v>1.050902837489252</v>
      </c>
      <c r="U38" s="2070">
        <v>1.0676698194325021</v>
      </c>
      <c r="V38" s="2070">
        <v>1.0044711951848666</v>
      </c>
      <c r="W38" s="2070">
        <v>0.87317282889079961</v>
      </c>
      <c r="X38" s="2070">
        <v>0.97188306104901101</v>
      </c>
    </row>
    <row r="39" spans="1:24" ht="11.25" customHeight="1">
      <c r="A39" s="2068" t="s">
        <v>5786</v>
      </c>
      <c r="B39" s="2069" t="s">
        <v>5787</v>
      </c>
      <c r="C39" s="2070">
        <v>0</v>
      </c>
      <c r="D39" s="2070">
        <v>0</v>
      </c>
      <c r="E39" s="2070">
        <v>0</v>
      </c>
      <c r="F39" s="2070">
        <v>0</v>
      </c>
      <c r="G39" s="2070">
        <v>0</v>
      </c>
      <c r="H39" s="2070">
        <v>0</v>
      </c>
      <c r="I39" s="2070">
        <v>0</v>
      </c>
      <c r="J39" s="2070">
        <v>0</v>
      </c>
      <c r="K39" s="2070">
        <v>0</v>
      </c>
      <c r="L39" s="2070">
        <v>0</v>
      </c>
      <c r="M39" s="2070">
        <v>0</v>
      </c>
      <c r="N39" s="2070">
        <v>0</v>
      </c>
      <c r="O39" s="2070">
        <v>0</v>
      </c>
      <c r="P39" s="2070">
        <v>0</v>
      </c>
      <c r="Q39" s="2070">
        <v>0</v>
      </c>
      <c r="R39" s="2070">
        <v>0</v>
      </c>
      <c r="S39" s="2070">
        <v>0</v>
      </c>
      <c r="T39" s="2070">
        <v>0</v>
      </c>
      <c r="U39" s="2070">
        <v>0</v>
      </c>
      <c r="V39" s="2070">
        <v>0</v>
      </c>
      <c r="W39" s="2070">
        <v>0</v>
      </c>
      <c r="X39" s="2070">
        <v>0</v>
      </c>
    </row>
    <row r="40" spans="1:24" ht="11.25" customHeight="1">
      <c r="A40" s="2068" t="s">
        <v>5788</v>
      </c>
      <c r="B40" s="2069" t="s">
        <v>5789</v>
      </c>
      <c r="C40" s="2070">
        <v>67.347377472055015</v>
      </c>
      <c r="D40" s="2070">
        <v>43.484264832330183</v>
      </c>
      <c r="E40" s="2070">
        <v>59.035511607910564</v>
      </c>
      <c r="F40" s="2070">
        <v>57.984608770421325</v>
      </c>
      <c r="G40" s="2070">
        <v>73.626569217540847</v>
      </c>
      <c r="H40" s="2070">
        <v>106.78082545141874</v>
      </c>
      <c r="I40" s="2070">
        <v>76.6408426483233</v>
      </c>
      <c r="J40" s="2070">
        <v>95.316165090283747</v>
      </c>
      <c r="K40" s="2070">
        <v>76.608426483233018</v>
      </c>
      <c r="L40" s="2070">
        <v>84.910662080825446</v>
      </c>
      <c r="M40" s="2070">
        <v>87.986070507308682</v>
      </c>
      <c r="N40" s="2070">
        <v>82.899570077386059</v>
      </c>
      <c r="O40" s="2070">
        <v>208.00799656061906</v>
      </c>
      <c r="P40" s="2070">
        <v>351.08099742046431</v>
      </c>
      <c r="Q40" s="2070">
        <v>328.96388650042991</v>
      </c>
      <c r="R40" s="2070">
        <v>253.2218400687876</v>
      </c>
      <c r="S40" s="2070">
        <v>239.06483233018054</v>
      </c>
      <c r="T40" s="2070">
        <v>235.1941530524505</v>
      </c>
      <c r="U40" s="2070">
        <v>213.78185726569217</v>
      </c>
      <c r="V40" s="2070">
        <v>247.08736027515047</v>
      </c>
      <c r="W40" s="2070">
        <v>274.30816852966467</v>
      </c>
      <c r="X40" s="2070">
        <v>191.22631126397246</v>
      </c>
    </row>
    <row r="41" spans="1:24" ht="11.25" customHeight="1">
      <c r="A41" s="2068" t="s">
        <v>4664</v>
      </c>
      <c r="B41" s="2069" t="s">
        <v>5790</v>
      </c>
      <c r="C41" s="2070">
        <v>90.18091143594151</v>
      </c>
      <c r="D41" s="2070">
        <v>80.627171109200333</v>
      </c>
      <c r="E41" s="2070">
        <v>40.393551160791056</v>
      </c>
      <c r="F41" s="2070">
        <v>24.796904557179701</v>
      </c>
      <c r="G41" s="2070">
        <v>15.410404127257092</v>
      </c>
      <c r="H41" s="2070">
        <v>57.498796216680994</v>
      </c>
      <c r="I41" s="2070">
        <v>25.667153912295777</v>
      </c>
      <c r="J41" s="2070">
        <v>12.319690455717968</v>
      </c>
      <c r="K41" s="2070">
        <v>21.599054170249353</v>
      </c>
      <c r="L41" s="2070">
        <v>18.485984522785891</v>
      </c>
      <c r="M41" s="2070">
        <v>12.328030954428202</v>
      </c>
      <c r="N41" s="2070">
        <v>11.301031814273429</v>
      </c>
      <c r="O41" s="2070">
        <v>9.2469475494410993</v>
      </c>
      <c r="P41" s="2070">
        <v>8.2246775580395521</v>
      </c>
      <c r="Q41" s="2070">
        <v>7.1975924333619945</v>
      </c>
      <c r="R41" s="2070">
        <v>10.274032674118658</v>
      </c>
      <c r="S41" s="2070">
        <v>9.2517626827171089</v>
      </c>
      <c r="T41" s="2070">
        <v>10.812209802235595</v>
      </c>
      <c r="U41" s="2070">
        <v>9.0075666380051587</v>
      </c>
      <c r="V41" s="2070">
        <v>10.271281169389507</v>
      </c>
      <c r="W41" s="2070">
        <v>8.7729148753224386</v>
      </c>
      <c r="X41" s="2070">
        <v>8.4907996560619061</v>
      </c>
    </row>
    <row r="42" spans="1:24" ht="11.25" customHeight="1">
      <c r="A42" s="2068" t="s">
        <v>4611</v>
      </c>
      <c r="B42" s="2069" t="s">
        <v>5791</v>
      </c>
      <c r="C42" s="2070">
        <v>0</v>
      </c>
      <c r="D42" s="2070">
        <v>0</v>
      </c>
      <c r="E42" s="2070">
        <v>0</v>
      </c>
      <c r="F42" s="2070">
        <v>0</v>
      </c>
      <c r="G42" s="2070">
        <v>0</v>
      </c>
      <c r="H42" s="2070">
        <v>0</v>
      </c>
      <c r="I42" s="2070">
        <v>0</v>
      </c>
      <c r="J42" s="2070">
        <v>0</v>
      </c>
      <c r="K42" s="2070">
        <v>0</v>
      </c>
      <c r="L42" s="2070">
        <v>0</v>
      </c>
      <c r="M42" s="2070">
        <v>0</v>
      </c>
      <c r="N42" s="2070">
        <v>0</v>
      </c>
      <c r="O42" s="2070">
        <v>0</v>
      </c>
      <c r="P42" s="2070">
        <v>0</v>
      </c>
      <c r="Q42" s="2070">
        <v>0</v>
      </c>
      <c r="R42" s="2070">
        <v>0</v>
      </c>
      <c r="S42" s="2070">
        <v>0</v>
      </c>
      <c r="T42" s="2070">
        <v>0</v>
      </c>
      <c r="U42" s="2070">
        <v>0</v>
      </c>
      <c r="V42" s="2070">
        <v>0</v>
      </c>
      <c r="W42" s="2070">
        <v>0</v>
      </c>
      <c r="X42" s="2070">
        <v>0</v>
      </c>
    </row>
    <row r="43" spans="1:24" ht="11.25" customHeight="1">
      <c r="A43" s="2068" t="s">
        <v>5792</v>
      </c>
      <c r="B43" s="2069" t="s">
        <v>5793</v>
      </c>
      <c r="C43" s="2070">
        <v>16538.439638216827</v>
      </c>
      <c r="D43" s="2070">
        <v>16438.532234695078</v>
      </c>
      <c r="E43" s="2070">
        <v>16591.4514212102</v>
      </c>
      <c r="F43" s="2070">
        <v>16700.456025938085</v>
      </c>
      <c r="G43" s="2070">
        <v>16772.891356417134</v>
      </c>
      <c r="H43" s="2070">
        <v>17040.294208505693</v>
      </c>
      <c r="I43" s="2070">
        <v>15482.028224523332</v>
      </c>
      <c r="J43" s="2070">
        <v>14974.583498718255</v>
      </c>
      <c r="K43" s="2070">
        <v>14659.814531384351</v>
      </c>
      <c r="L43" s="2070">
        <v>14234.467153912296</v>
      </c>
      <c r="M43" s="2070">
        <v>14138.403267411864</v>
      </c>
      <c r="N43" s="2070">
        <v>13861.978331900258</v>
      </c>
      <c r="O43" s="2070">
        <v>13298.714101461737</v>
      </c>
      <c r="P43" s="2070">
        <v>13407.252794496986</v>
      </c>
      <c r="Q43" s="2070">
        <v>13186.329750644883</v>
      </c>
      <c r="R43" s="2070">
        <v>13461.692949269134</v>
      </c>
      <c r="S43" s="2070">
        <v>13454.615477214102</v>
      </c>
      <c r="T43" s="2070">
        <v>13660.015133276011</v>
      </c>
      <c r="U43" s="2070">
        <v>15993.063628546863</v>
      </c>
      <c r="V43" s="2070">
        <v>16029.198022355977</v>
      </c>
      <c r="W43" s="2070">
        <v>16586.604815133276</v>
      </c>
      <c r="X43" s="2070">
        <v>16330.050644883919</v>
      </c>
    </row>
    <row r="44" spans="1:24" ht="11.25" customHeight="1">
      <c r="A44" s="2068" t="s">
        <v>4665</v>
      </c>
      <c r="B44" s="2069" t="s">
        <v>5794</v>
      </c>
      <c r="C44" s="2070">
        <v>924.79458297506426</v>
      </c>
      <c r="D44" s="2070">
        <v>859.06509028374887</v>
      </c>
      <c r="E44" s="2070">
        <v>735.05322441960436</v>
      </c>
      <c r="F44" s="2070">
        <v>926.53938091143596</v>
      </c>
      <c r="G44" s="2070">
        <v>747.11263972484949</v>
      </c>
      <c r="H44" s="2070">
        <v>704.04660361134984</v>
      </c>
      <c r="I44" s="2070">
        <v>545.68400687876181</v>
      </c>
      <c r="J44" s="2070">
        <v>457.53594153052444</v>
      </c>
      <c r="K44" s="2070">
        <v>354.95623387790187</v>
      </c>
      <c r="L44" s="2070">
        <v>315.89578675838345</v>
      </c>
      <c r="M44" s="2070">
        <v>250.19828030954432</v>
      </c>
      <c r="N44" s="2070">
        <v>214.58907996560617</v>
      </c>
      <c r="O44" s="2070">
        <v>178.874290627687</v>
      </c>
      <c r="P44" s="2070">
        <v>165.69991401547719</v>
      </c>
      <c r="Q44" s="2070">
        <v>152.48993981083404</v>
      </c>
      <c r="R44" s="2070">
        <v>120.59793637145313</v>
      </c>
      <c r="S44" s="2070">
        <v>115.38452278589853</v>
      </c>
      <c r="T44" s="2070">
        <v>112.86947549441098</v>
      </c>
      <c r="U44" s="2070">
        <v>100.94892519346517</v>
      </c>
      <c r="V44" s="2070">
        <v>86.780567497850384</v>
      </c>
      <c r="W44" s="2070">
        <v>68.834307824591576</v>
      </c>
      <c r="X44" s="2070">
        <v>63.341358555460019</v>
      </c>
    </row>
    <row r="45" spans="1:24" ht="11.25" customHeight="1">
      <c r="A45" s="2068" t="s">
        <v>5795</v>
      </c>
      <c r="B45" s="2069" t="s">
        <v>5796</v>
      </c>
      <c r="C45" s="2070">
        <v>0</v>
      </c>
      <c r="D45" s="2070">
        <v>0</v>
      </c>
      <c r="E45" s="2070">
        <v>0</v>
      </c>
      <c r="F45" s="2070">
        <v>0</v>
      </c>
      <c r="G45" s="2070">
        <v>0</v>
      </c>
      <c r="H45" s="2070">
        <v>0</v>
      </c>
      <c r="I45" s="2070">
        <v>0</v>
      </c>
      <c r="J45" s="2070">
        <v>0</v>
      </c>
      <c r="K45" s="2070">
        <v>0</v>
      </c>
      <c r="L45" s="2070">
        <v>0</v>
      </c>
      <c r="M45" s="2070">
        <v>0</v>
      </c>
      <c r="N45" s="2070">
        <v>0</v>
      </c>
      <c r="O45" s="2070">
        <v>0</v>
      </c>
      <c r="P45" s="2070">
        <v>0</v>
      </c>
      <c r="Q45" s="2070">
        <v>0</v>
      </c>
      <c r="R45" s="2070">
        <v>0</v>
      </c>
      <c r="S45" s="2070">
        <v>0</v>
      </c>
      <c r="T45" s="2070">
        <v>0</v>
      </c>
      <c r="U45" s="2070">
        <v>0</v>
      </c>
      <c r="V45" s="2070">
        <v>0</v>
      </c>
      <c r="W45" s="2070">
        <v>0</v>
      </c>
      <c r="X45" s="2070">
        <v>0</v>
      </c>
    </row>
    <row r="46" spans="1:24" ht="11.25" customHeight="1">
      <c r="A46" s="2068" t="s">
        <v>595</v>
      </c>
      <c r="B46" s="2069" t="s">
        <v>5797</v>
      </c>
      <c r="C46" s="2070">
        <v>0</v>
      </c>
      <c r="D46" s="2070">
        <v>0</v>
      </c>
      <c r="E46" s="2070">
        <v>0</v>
      </c>
      <c r="F46" s="2070">
        <v>0</v>
      </c>
      <c r="G46" s="2070">
        <v>0</v>
      </c>
      <c r="H46" s="2070">
        <v>0</v>
      </c>
      <c r="I46" s="2070">
        <v>0</v>
      </c>
      <c r="J46" s="2070">
        <v>0</v>
      </c>
      <c r="K46" s="2070">
        <v>0</v>
      </c>
      <c r="L46" s="2070">
        <v>0</v>
      </c>
      <c r="M46" s="2070">
        <v>0</v>
      </c>
      <c r="N46" s="2070">
        <v>0</v>
      </c>
      <c r="O46" s="2070">
        <v>0</v>
      </c>
      <c r="P46" s="2070">
        <v>0</v>
      </c>
      <c r="Q46" s="2070">
        <v>0</v>
      </c>
      <c r="R46" s="2070">
        <v>0</v>
      </c>
      <c r="S46" s="2070">
        <v>0</v>
      </c>
      <c r="T46" s="2070">
        <v>0</v>
      </c>
      <c r="U46" s="2070">
        <v>0</v>
      </c>
      <c r="V46" s="2070">
        <v>0</v>
      </c>
      <c r="W46" s="2070">
        <v>0</v>
      </c>
      <c r="X46" s="2070">
        <v>0</v>
      </c>
    </row>
    <row r="47" spans="1:24" ht="11.25" customHeight="1">
      <c r="A47" s="2068" t="s">
        <v>4614</v>
      </c>
      <c r="B47" s="2069" t="s">
        <v>5798</v>
      </c>
      <c r="C47" s="2070">
        <v>0</v>
      </c>
      <c r="D47" s="2070">
        <v>2.8799656061908849</v>
      </c>
      <c r="E47" s="2070">
        <v>3.839982803095443</v>
      </c>
      <c r="F47" s="2070">
        <v>1.9199484092863279</v>
      </c>
      <c r="G47" s="2070">
        <v>6.7199484092863289</v>
      </c>
      <c r="H47" s="2070">
        <v>6.7199484092863289</v>
      </c>
      <c r="I47" s="2070">
        <v>5.7599312123817707</v>
      </c>
      <c r="J47" s="2070">
        <v>4.8</v>
      </c>
      <c r="K47" s="2070">
        <v>4.8</v>
      </c>
      <c r="L47" s="2070">
        <v>1.9199484092863279</v>
      </c>
      <c r="M47" s="2070">
        <v>1.9199484092863279</v>
      </c>
      <c r="N47" s="2070">
        <v>2.8799656061908849</v>
      </c>
      <c r="O47" s="2070">
        <v>1.9199484092863279</v>
      </c>
      <c r="P47" s="2070">
        <v>1.9199484092863279</v>
      </c>
      <c r="Q47" s="2070">
        <v>1.9199484092863279</v>
      </c>
      <c r="R47" s="2070">
        <v>1.9199484092863279</v>
      </c>
      <c r="S47" s="2070">
        <v>0.960017196904557</v>
      </c>
      <c r="T47" s="2070">
        <v>0.960017196904557</v>
      </c>
      <c r="U47" s="2070">
        <v>0</v>
      </c>
      <c r="V47" s="2070">
        <v>0</v>
      </c>
      <c r="W47" s="2070">
        <v>0</v>
      </c>
      <c r="X47" s="2070">
        <v>0</v>
      </c>
    </row>
    <row r="48" spans="1:24" ht="11.25" customHeight="1">
      <c r="A48" s="2068" t="s">
        <v>4667</v>
      </c>
      <c r="B48" s="2069" t="s">
        <v>5799</v>
      </c>
      <c r="C48" s="2070">
        <v>0.76431642304385194</v>
      </c>
      <c r="D48" s="2070">
        <v>0</v>
      </c>
      <c r="E48" s="2070">
        <v>0</v>
      </c>
      <c r="F48" s="2070">
        <v>0</v>
      </c>
      <c r="G48" s="2070">
        <v>0</v>
      </c>
      <c r="H48" s="2070">
        <v>0</v>
      </c>
      <c r="I48" s="2070">
        <v>0</v>
      </c>
      <c r="J48" s="2070">
        <v>0</v>
      </c>
      <c r="K48" s="2070">
        <v>0</v>
      </c>
      <c r="L48" s="2070">
        <v>0</v>
      </c>
      <c r="M48" s="2070">
        <v>0</v>
      </c>
      <c r="N48" s="2070">
        <v>0</v>
      </c>
      <c r="O48" s="2070">
        <v>0</v>
      </c>
      <c r="P48" s="2070">
        <v>11.464574376612211</v>
      </c>
      <c r="Q48" s="2070">
        <v>0</v>
      </c>
      <c r="R48" s="2070">
        <v>0.76431642304385194</v>
      </c>
      <c r="S48" s="2070">
        <v>0</v>
      </c>
      <c r="T48" s="2070">
        <v>0</v>
      </c>
      <c r="U48" s="2070">
        <v>0.96380051590713667</v>
      </c>
      <c r="V48" s="2070">
        <v>0</v>
      </c>
      <c r="W48" s="2070">
        <v>0</v>
      </c>
      <c r="X48" s="2070">
        <v>0</v>
      </c>
    </row>
    <row r="49" spans="1:24" ht="11.25" customHeight="1">
      <c r="A49" s="2068" t="s">
        <v>4666</v>
      </c>
      <c r="B49" s="2069" t="s">
        <v>5800</v>
      </c>
      <c r="C49" s="2070">
        <v>0</v>
      </c>
      <c r="D49" s="2070">
        <v>0</v>
      </c>
      <c r="E49" s="2070">
        <v>0</v>
      </c>
      <c r="F49" s="2070">
        <v>0</v>
      </c>
      <c r="G49" s="2070">
        <v>0</v>
      </c>
      <c r="H49" s="2070">
        <v>0</v>
      </c>
      <c r="I49" s="2070">
        <v>0</v>
      </c>
      <c r="J49" s="2070">
        <v>0</v>
      </c>
      <c r="K49" s="2070">
        <v>0</v>
      </c>
      <c r="L49" s="2070">
        <v>0</v>
      </c>
      <c r="M49" s="2070">
        <v>0</v>
      </c>
      <c r="N49" s="2070">
        <v>0</v>
      </c>
      <c r="O49" s="2070">
        <v>0</v>
      </c>
      <c r="P49" s="2070">
        <v>0</v>
      </c>
      <c r="Q49" s="2070">
        <v>0</v>
      </c>
      <c r="R49" s="2070">
        <v>0</v>
      </c>
      <c r="S49" s="2070">
        <v>0</v>
      </c>
      <c r="T49" s="2070">
        <v>0</v>
      </c>
      <c r="U49" s="2070">
        <v>0</v>
      </c>
      <c r="V49" s="2070">
        <v>0</v>
      </c>
      <c r="W49" s="2070">
        <v>0</v>
      </c>
      <c r="X49" s="2070">
        <v>0</v>
      </c>
    </row>
    <row r="50" spans="1:24" ht="11.25" customHeight="1">
      <c r="A50" s="2068" t="s">
        <v>4668</v>
      </c>
      <c r="B50" s="2069" t="s">
        <v>5801</v>
      </c>
      <c r="C50" s="2070">
        <v>0</v>
      </c>
      <c r="D50" s="2070">
        <v>0</v>
      </c>
      <c r="E50" s="2070">
        <v>0</v>
      </c>
      <c r="F50" s="2070">
        <v>0</v>
      </c>
      <c r="G50" s="2070">
        <v>0</v>
      </c>
      <c r="H50" s="2070">
        <v>0</v>
      </c>
      <c r="I50" s="2070">
        <v>0</v>
      </c>
      <c r="J50" s="2070">
        <v>0</v>
      </c>
      <c r="K50" s="2070">
        <v>0</v>
      </c>
      <c r="L50" s="2070">
        <v>0</v>
      </c>
      <c r="M50" s="2070">
        <v>0</v>
      </c>
      <c r="N50" s="2070">
        <v>0</v>
      </c>
      <c r="O50" s="2070">
        <v>0</v>
      </c>
      <c r="P50" s="2070">
        <v>13.375408426483229</v>
      </c>
      <c r="Q50" s="2070">
        <v>0</v>
      </c>
      <c r="R50" s="2070">
        <v>0</v>
      </c>
      <c r="S50" s="2070">
        <v>0</v>
      </c>
      <c r="T50" s="2070">
        <v>1.3069647463456577E-2</v>
      </c>
      <c r="U50" s="2070">
        <v>4.1874462596732581E-2</v>
      </c>
      <c r="V50" s="2070">
        <v>0.24084264832330179</v>
      </c>
      <c r="W50" s="2070">
        <v>0.27016337059329315</v>
      </c>
      <c r="X50" s="2070">
        <v>0.32760103181427336</v>
      </c>
    </row>
    <row r="51" spans="1:24" ht="11.25" customHeight="1">
      <c r="A51" s="2071" t="s">
        <v>3875</v>
      </c>
      <c r="B51" s="2072" t="s">
        <v>5802</v>
      </c>
      <c r="C51" s="2073">
        <v>4233.5447119518485</v>
      </c>
      <c r="D51" s="2073">
        <v>4167.908082545142</v>
      </c>
      <c r="E51" s="2073">
        <v>3969.7187446259668</v>
      </c>
      <c r="F51" s="2073">
        <v>4396.874897807229</v>
      </c>
      <c r="G51" s="2073">
        <v>4798.3998294411158</v>
      </c>
      <c r="H51" s="2073">
        <v>4697.7883905693952</v>
      </c>
      <c r="I51" s="2073">
        <v>4037.4385223550103</v>
      </c>
      <c r="J51" s="2073">
        <v>3862.484377457447</v>
      </c>
      <c r="K51" s="2073">
        <v>3826.2736553063442</v>
      </c>
      <c r="L51" s="2073">
        <v>3638.9326201913941</v>
      </c>
      <c r="M51" s="2073">
        <v>4340.4877901977643</v>
      </c>
      <c r="N51" s="2073">
        <v>4236.6018916595003</v>
      </c>
      <c r="O51" s="2073">
        <v>4404.0534823731714</v>
      </c>
      <c r="P51" s="2073">
        <v>4340.025193465176</v>
      </c>
      <c r="Q51" s="2073">
        <v>4021.084952708512</v>
      </c>
      <c r="R51" s="2073">
        <v>3675.321152192606</v>
      </c>
      <c r="S51" s="2073">
        <v>3718.8524505588994</v>
      </c>
      <c r="T51" s="2073">
        <v>3660.3150472914876</v>
      </c>
      <c r="U51" s="2073">
        <v>3744.5846517626828</v>
      </c>
      <c r="V51" s="2073">
        <v>3767.0429922613926</v>
      </c>
      <c r="W51" s="2073">
        <v>3637.4120378331895</v>
      </c>
      <c r="X51" s="2073">
        <v>3776.8791917454855</v>
      </c>
    </row>
    <row r="52" spans="1:24" ht="11.25" customHeight="1">
      <c r="A52" s="2071" t="s">
        <v>5803</v>
      </c>
      <c r="B52" s="2072" t="s">
        <v>5804</v>
      </c>
      <c r="C52" s="2073">
        <v>1228.3041272570938</v>
      </c>
      <c r="D52" s="2073">
        <v>1270.5229578675837</v>
      </c>
      <c r="E52" s="2073">
        <v>1250.0771281169389</v>
      </c>
      <c r="F52" s="2073">
        <v>1439.5748065348234</v>
      </c>
      <c r="G52" s="2073">
        <v>1507.5666380051587</v>
      </c>
      <c r="H52" s="2073">
        <v>1322.1206362854682</v>
      </c>
      <c r="I52" s="2073">
        <v>1434.9061908856404</v>
      </c>
      <c r="J52" s="2073">
        <v>1622.5704213241615</v>
      </c>
      <c r="K52" s="2073">
        <v>1637.3731728288908</v>
      </c>
      <c r="L52" s="2073">
        <v>1796.7032674118657</v>
      </c>
      <c r="M52" s="2073">
        <v>1955.7125537403267</v>
      </c>
      <c r="N52" s="2073">
        <v>2054.39845227859</v>
      </c>
      <c r="O52" s="2073">
        <v>2141.7642304385208</v>
      </c>
      <c r="P52" s="2073">
        <v>2381.0733447979364</v>
      </c>
      <c r="Q52" s="2073">
        <v>2409.5172828890804</v>
      </c>
      <c r="R52" s="2073">
        <v>2573.5190025795355</v>
      </c>
      <c r="S52" s="2073">
        <v>2826.6787618228714</v>
      </c>
      <c r="T52" s="2073">
        <v>2958.4054170249356</v>
      </c>
      <c r="U52" s="2073">
        <v>3048.4623387790198</v>
      </c>
      <c r="V52" s="2073">
        <v>3123.6799656061908</v>
      </c>
      <c r="W52" s="2073">
        <v>3196.7999140154766</v>
      </c>
      <c r="X52" s="2073">
        <v>3396.2447979363706</v>
      </c>
    </row>
    <row r="53" spans="1:24" ht="11.25" customHeight="1">
      <c r="A53" s="2074" t="s">
        <v>3973</v>
      </c>
      <c r="B53" s="2069" t="s">
        <v>5805</v>
      </c>
      <c r="C53" s="2070">
        <v>0</v>
      </c>
      <c r="D53" s="2070">
        <v>0</v>
      </c>
      <c r="E53" s="2070">
        <v>0</v>
      </c>
      <c r="F53" s="2070">
        <v>0</v>
      </c>
      <c r="G53" s="2070">
        <v>0</v>
      </c>
      <c r="H53" s="2070">
        <v>0</v>
      </c>
      <c r="I53" s="2070">
        <v>0</v>
      </c>
      <c r="J53" s="2070">
        <v>0</v>
      </c>
      <c r="K53" s="2070">
        <v>0</v>
      </c>
      <c r="L53" s="2070">
        <v>0</v>
      </c>
      <c r="M53" s="2070">
        <v>0</v>
      </c>
      <c r="N53" s="2070">
        <v>0</v>
      </c>
      <c r="O53" s="2070">
        <v>0</v>
      </c>
      <c r="P53" s="2070">
        <v>0</v>
      </c>
      <c r="Q53" s="2070">
        <v>0</v>
      </c>
      <c r="R53" s="2070">
        <v>0</v>
      </c>
      <c r="S53" s="2070">
        <v>0</v>
      </c>
      <c r="T53" s="2070">
        <v>0</v>
      </c>
      <c r="U53" s="2070">
        <v>0</v>
      </c>
      <c r="V53" s="2070">
        <v>0</v>
      </c>
      <c r="W53" s="2070">
        <v>0</v>
      </c>
      <c r="X53" s="2070">
        <v>0</v>
      </c>
    </row>
    <row r="54" spans="1:24" ht="11.25" customHeight="1">
      <c r="A54" s="2074" t="s">
        <v>5806</v>
      </c>
      <c r="B54" s="2069" t="s">
        <v>5807</v>
      </c>
      <c r="C54" s="2070">
        <v>0</v>
      </c>
      <c r="D54" s="2070">
        <v>0</v>
      </c>
      <c r="E54" s="2070">
        <v>0</v>
      </c>
      <c r="F54" s="2070">
        <v>0</v>
      </c>
      <c r="G54" s="2070">
        <v>0</v>
      </c>
      <c r="H54" s="2070">
        <v>0</v>
      </c>
      <c r="I54" s="2070">
        <v>0</v>
      </c>
      <c r="J54" s="2070">
        <v>0</v>
      </c>
      <c r="K54" s="2070">
        <v>0</v>
      </c>
      <c r="L54" s="2070">
        <v>0</v>
      </c>
      <c r="M54" s="2070">
        <v>0</v>
      </c>
      <c r="N54" s="2070">
        <v>0</v>
      </c>
      <c r="O54" s="2070">
        <v>0</v>
      </c>
      <c r="P54" s="2070">
        <v>0</v>
      </c>
      <c r="Q54" s="2070">
        <v>0</v>
      </c>
      <c r="R54" s="2070">
        <v>0</v>
      </c>
      <c r="S54" s="2070">
        <v>0</v>
      </c>
      <c r="T54" s="2070">
        <v>0</v>
      </c>
      <c r="U54" s="2070">
        <v>0</v>
      </c>
      <c r="V54" s="2070">
        <v>0</v>
      </c>
      <c r="W54" s="2070">
        <v>0</v>
      </c>
      <c r="X54" s="2070">
        <v>0</v>
      </c>
    </row>
    <row r="55" spans="1:24" ht="11.25" customHeight="1">
      <c r="A55" s="2074" t="s">
        <v>3965</v>
      </c>
      <c r="B55" s="2069" t="s">
        <v>5808</v>
      </c>
      <c r="C55" s="2070">
        <v>0</v>
      </c>
      <c r="D55" s="2070">
        <v>0</v>
      </c>
      <c r="E55" s="2070">
        <v>0</v>
      </c>
      <c r="F55" s="2070">
        <v>0</v>
      </c>
      <c r="G55" s="2070">
        <v>0</v>
      </c>
      <c r="H55" s="2070">
        <v>0</v>
      </c>
      <c r="I55" s="2070">
        <v>0</v>
      </c>
      <c r="J55" s="2070">
        <v>0</v>
      </c>
      <c r="K55" s="2070">
        <v>0</v>
      </c>
      <c r="L55" s="2070">
        <v>0</v>
      </c>
      <c r="M55" s="2070">
        <v>0</v>
      </c>
      <c r="N55" s="2070">
        <v>0</v>
      </c>
      <c r="O55" s="2070">
        <v>0</v>
      </c>
      <c r="P55" s="2070">
        <v>0</v>
      </c>
      <c r="Q55" s="2070">
        <v>0</v>
      </c>
      <c r="R55" s="2070">
        <v>0</v>
      </c>
      <c r="S55" s="2070">
        <v>0</v>
      </c>
      <c r="T55" s="2070">
        <v>0</v>
      </c>
      <c r="U55" s="2070">
        <v>0</v>
      </c>
      <c r="V55" s="2070">
        <v>0</v>
      </c>
      <c r="W55" s="2070">
        <v>0</v>
      </c>
      <c r="X55" s="2070">
        <v>0</v>
      </c>
    </row>
    <row r="56" spans="1:24" ht="11.25" customHeight="1">
      <c r="A56" s="2074" t="s">
        <v>5636</v>
      </c>
      <c r="B56" s="2069" t="s">
        <v>5809</v>
      </c>
      <c r="C56" s="2070">
        <v>0</v>
      </c>
      <c r="D56" s="2070">
        <v>0</v>
      </c>
      <c r="E56" s="2070">
        <v>0</v>
      </c>
      <c r="F56" s="2070">
        <v>0</v>
      </c>
      <c r="G56" s="2070">
        <v>0</v>
      </c>
      <c r="H56" s="2070">
        <v>0</v>
      </c>
      <c r="I56" s="2070">
        <v>0</v>
      </c>
      <c r="J56" s="2070">
        <v>0</v>
      </c>
      <c r="K56" s="2070">
        <v>0</v>
      </c>
      <c r="L56" s="2070">
        <v>0</v>
      </c>
      <c r="M56" s="2070">
        <v>0</v>
      </c>
      <c r="N56" s="2070">
        <v>0</v>
      </c>
      <c r="O56" s="2070">
        <v>0</v>
      </c>
      <c r="P56" s="2070">
        <v>0</v>
      </c>
      <c r="Q56" s="2070">
        <v>0</v>
      </c>
      <c r="R56" s="2070">
        <v>0</v>
      </c>
      <c r="S56" s="2070">
        <v>0</v>
      </c>
      <c r="T56" s="2070">
        <v>0</v>
      </c>
      <c r="U56" s="2070">
        <v>0</v>
      </c>
      <c r="V56" s="2070">
        <v>0</v>
      </c>
      <c r="W56" s="2070">
        <v>0</v>
      </c>
      <c r="X56" s="2070">
        <v>0</v>
      </c>
    </row>
    <row r="57" spans="1:24" ht="11.25" customHeight="1">
      <c r="A57" s="2074" t="s">
        <v>4617</v>
      </c>
      <c r="B57" s="2069" t="s">
        <v>5810</v>
      </c>
      <c r="C57" s="2070">
        <v>1.0613929492691314</v>
      </c>
      <c r="D57" s="2070">
        <v>1.1004299226139294</v>
      </c>
      <c r="E57" s="2070">
        <v>1.1527944969905415</v>
      </c>
      <c r="F57" s="2070">
        <v>2.2708512467755804</v>
      </c>
      <c r="G57" s="2070">
        <v>2.396302665520206</v>
      </c>
      <c r="H57" s="2070">
        <v>3.0321582115219261</v>
      </c>
      <c r="I57" s="2070">
        <v>3.4576956147893383</v>
      </c>
      <c r="J57" s="2070">
        <v>3.8392949269131549</v>
      </c>
      <c r="K57" s="2070">
        <v>4.2333619948409282</v>
      </c>
      <c r="L57" s="2070">
        <v>5.3410146173688737</v>
      </c>
      <c r="M57" s="2070">
        <v>6.1448839208942392</v>
      </c>
      <c r="N57" s="2070">
        <v>6.8878761822871875</v>
      </c>
      <c r="O57" s="2070">
        <v>6.1347377472055022</v>
      </c>
      <c r="P57" s="2070">
        <v>6.7208942390369728</v>
      </c>
      <c r="Q57" s="2070">
        <v>7.0564918314703347</v>
      </c>
      <c r="R57" s="2070">
        <v>7.8653482373172832</v>
      </c>
      <c r="S57" s="2070">
        <v>7.9850386930352535</v>
      </c>
      <c r="T57" s="2070">
        <v>8.1883061049011161</v>
      </c>
      <c r="U57" s="2070">
        <v>8.1212381771281166</v>
      </c>
      <c r="V57" s="2070">
        <v>8.2650902837489255</v>
      </c>
      <c r="W57" s="2070">
        <v>8.9445399828030947</v>
      </c>
      <c r="X57" s="2070">
        <v>8.919690455717971</v>
      </c>
    </row>
    <row r="58" spans="1:24" ht="11.25" customHeight="1">
      <c r="A58" s="2074" t="s">
        <v>3971</v>
      </c>
      <c r="B58" s="2069" t="s">
        <v>5811</v>
      </c>
      <c r="C58" s="2070">
        <v>89.2987102321582</v>
      </c>
      <c r="D58" s="2070">
        <v>95.771539122957861</v>
      </c>
      <c r="E58" s="2070">
        <v>95.28340498710233</v>
      </c>
      <c r="F58" s="2070">
        <v>92.784264832330194</v>
      </c>
      <c r="G58" s="2070">
        <v>107.35554600171967</v>
      </c>
      <c r="H58" s="2070">
        <v>107.57007738607049</v>
      </c>
      <c r="I58" s="2070">
        <v>108.26165090283747</v>
      </c>
      <c r="J58" s="2070">
        <v>107.50447119518485</v>
      </c>
      <c r="K58" s="2070">
        <v>110.22734307824589</v>
      </c>
      <c r="L58" s="2070">
        <v>111.91960447119517</v>
      </c>
      <c r="M58" s="2070">
        <v>86.179191745485809</v>
      </c>
      <c r="N58" s="2070">
        <v>94.704815133276</v>
      </c>
      <c r="O58" s="2070">
        <v>97.101461736887359</v>
      </c>
      <c r="P58" s="2070">
        <v>107.59398108340498</v>
      </c>
      <c r="Q58" s="2070">
        <v>143.05546001719691</v>
      </c>
      <c r="R58" s="2070">
        <v>160.88134135855543</v>
      </c>
      <c r="S58" s="2070">
        <v>181.50782459157347</v>
      </c>
      <c r="T58" s="2070">
        <v>191.23516766981945</v>
      </c>
      <c r="U58" s="2070">
        <v>212.20687876182285</v>
      </c>
      <c r="V58" s="2070">
        <v>256.93233018056748</v>
      </c>
      <c r="W58" s="2070">
        <v>263.6662080825451</v>
      </c>
      <c r="X58" s="2070">
        <v>261.60421324161643</v>
      </c>
    </row>
    <row r="59" spans="1:24" ht="11.25" customHeight="1">
      <c r="A59" s="2074" t="s">
        <v>4669</v>
      </c>
      <c r="B59" s="2069" t="s">
        <v>5812</v>
      </c>
      <c r="C59" s="2070">
        <v>1132.2250214961307</v>
      </c>
      <c r="D59" s="2070">
        <v>1167.6220980223559</v>
      </c>
      <c r="E59" s="2070">
        <v>1148.0128116938949</v>
      </c>
      <c r="F59" s="2070">
        <v>1292.0368873602749</v>
      </c>
      <c r="G59" s="2070">
        <v>1330.3239036973341</v>
      </c>
      <c r="H59" s="2070">
        <v>1124.8556319862421</v>
      </c>
      <c r="I59" s="2070">
        <v>1172.2355116079104</v>
      </c>
      <c r="J59" s="2070">
        <v>1205.0511607910576</v>
      </c>
      <c r="K59" s="2070">
        <v>1207.8582115219263</v>
      </c>
      <c r="L59" s="2070">
        <v>1262.4228718830609</v>
      </c>
      <c r="M59" s="2070">
        <v>1382.9462596732585</v>
      </c>
      <c r="N59" s="2070">
        <v>1418.3445399828026</v>
      </c>
      <c r="O59" s="2070">
        <v>1400.7949269131555</v>
      </c>
      <c r="P59" s="2070">
        <v>1509.3811693895098</v>
      </c>
      <c r="Q59" s="2070">
        <v>1416.6031814273431</v>
      </c>
      <c r="R59" s="2070">
        <v>1473.8011177987958</v>
      </c>
      <c r="S59" s="2070">
        <v>1532.083834909716</v>
      </c>
      <c r="T59" s="2070">
        <v>1576.0459157351677</v>
      </c>
      <c r="U59" s="2070">
        <v>1545.6134135855546</v>
      </c>
      <c r="V59" s="2070">
        <v>1563.9211521926052</v>
      </c>
      <c r="W59" s="2070">
        <v>1564.9414445399827</v>
      </c>
      <c r="X59" s="2070">
        <v>1709.16698194325</v>
      </c>
    </row>
    <row r="60" spans="1:24" ht="11.25" customHeight="1">
      <c r="A60" s="2074" t="s">
        <v>4618</v>
      </c>
      <c r="B60" s="2069" t="s">
        <v>5813</v>
      </c>
      <c r="C60" s="2070">
        <v>0</v>
      </c>
      <c r="D60" s="2070">
        <v>0</v>
      </c>
      <c r="E60" s="2070">
        <v>0</v>
      </c>
      <c r="F60" s="2070">
        <v>0</v>
      </c>
      <c r="G60" s="2070">
        <v>0</v>
      </c>
      <c r="H60" s="2070">
        <v>0</v>
      </c>
      <c r="I60" s="2070">
        <v>0</v>
      </c>
      <c r="J60" s="2070">
        <v>0</v>
      </c>
      <c r="K60" s="2070">
        <v>0</v>
      </c>
      <c r="L60" s="2070">
        <v>0</v>
      </c>
      <c r="M60" s="2070">
        <v>0</v>
      </c>
      <c r="N60" s="2070">
        <v>0</v>
      </c>
      <c r="O60" s="2070">
        <v>0</v>
      </c>
      <c r="P60" s="2070">
        <v>0</v>
      </c>
      <c r="Q60" s="2070">
        <v>0</v>
      </c>
      <c r="R60" s="2070">
        <v>0</v>
      </c>
      <c r="S60" s="2070">
        <v>0</v>
      </c>
      <c r="T60" s="2070">
        <v>0</v>
      </c>
      <c r="U60" s="2070">
        <v>0</v>
      </c>
      <c r="V60" s="2070">
        <v>0</v>
      </c>
      <c r="W60" s="2070">
        <v>0</v>
      </c>
      <c r="X60" s="2070">
        <v>0</v>
      </c>
    </row>
    <row r="61" spans="1:24" ht="11.25" customHeight="1">
      <c r="A61" s="2074" t="s">
        <v>4670</v>
      </c>
      <c r="B61" s="2069" t="s">
        <v>5814</v>
      </c>
      <c r="C61" s="2070">
        <v>3.9529664660361123</v>
      </c>
      <c r="D61" s="2070">
        <v>4.188564058469475</v>
      </c>
      <c r="E61" s="2070">
        <v>3.9374892519346507</v>
      </c>
      <c r="F61" s="2070">
        <v>14.730610490111777</v>
      </c>
      <c r="G61" s="2070">
        <v>21.735081685296645</v>
      </c>
      <c r="H61" s="2070">
        <v>35.618572656921749</v>
      </c>
      <c r="I61" s="2070">
        <v>78.431986242476356</v>
      </c>
      <c r="J61" s="2070">
        <v>180.39019776440233</v>
      </c>
      <c r="K61" s="2070">
        <v>200.67437661220978</v>
      </c>
      <c r="L61" s="2070">
        <v>304.90404127257096</v>
      </c>
      <c r="M61" s="2070">
        <v>391.63095442820293</v>
      </c>
      <c r="N61" s="2070">
        <v>471.82596732588138</v>
      </c>
      <c r="O61" s="2070">
        <v>562.12708512467759</v>
      </c>
      <c r="P61" s="2070">
        <v>669.31306964746352</v>
      </c>
      <c r="Q61" s="2070">
        <v>739.88882201203796</v>
      </c>
      <c r="R61" s="2070">
        <v>818.64892519346517</v>
      </c>
      <c r="S61" s="2070">
        <v>896.36474634565764</v>
      </c>
      <c r="T61" s="2070">
        <v>908.35348237317294</v>
      </c>
      <c r="U61" s="2070">
        <v>857.27652622527967</v>
      </c>
      <c r="V61" s="2070">
        <v>846.16087704213226</v>
      </c>
      <c r="W61" s="2070">
        <v>868.7175408426483</v>
      </c>
      <c r="X61" s="2070">
        <v>910.84926913155607</v>
      </c>
    </row>
    <row r="62" spans="1:24" ht="11.25" customHeight="1">
      <c r="A62" s="2074" t="s">
        <v>5815</v>
      </c>
      <c r="B62" s="2069" t="s">
        <v>5816</v>
      </c>
      <c r="C62" s="2070">
        <v>0.31049011177987962</v>
      </c>
      <c r="D62" s="2070">
        <v>0.23886500429922611</v>
      </c>
      <c r="E62" s="2070">
        <v>0</v>
      </c>
      <c r="F62" s="2070">
        <v>0</v>
      </c>
      <c r="G62" s="2070">
        <v>0</v>
      </c>
      <c r="H62" s="2070">
        <v>0</v>
      </c>
      <c r="I62" s="2070">
        <v>0</v>
      </c>
      <c r="J62" s="2070">
        <v>0</v>
      </c>
      <c r="K62" s="2070">
        <v>0</v>
      </c>
      <c r="L62" s="2070">
        <v>0</v>
      </c>
      <c r="M62" s="2070">
        <v>0</v>
      </c>
      <c r="N62" s="2070">
        <v>0</v>
      </c>
      <c r="O62" s="2070">
        <v>0</v>
      </c>
      <c r="P62" s="2070">
        <v>0</v>
      </c>
      <c r="Q62" s="2070">
        <v>0</v>
      </c>
      <c r="R62" s="2070">
        <v>0</v>
      </c>
      <c r="S62" s="2070">
        <v>0</v>
      </c>
      <c r="T62" s="2070">
        <v>5.2913155631986237</v>
      </c>
      <c r="U62" s="2070">
        <v>2.7803095442820291</v>
      </c>
      <c r="V62" s="2070">
        <v>2.5668099742046429</v>
      </c>
      <c r="W62" s="2070">
        <v>0.29793637145313839</v>
      </c>
      <c r="X62" s="2070">
        <v>1.3015477214101461</v>
      </c>
    </row>
    <row r="63" spans="1:24" ht="11.25" customHeight="1">
      <c r="A63" s="2074" t="s">
        <v>5817</v>
      </c>
      <c r="B63" s="2069" t="s">
        <v>5818</v>
      </c>
      <c r="C63" s="2070">
        <v>0</v>
      </c>
      <c r="D63" s="2070">
        <v>0</v>
      </c>
      <c r="E63" s="2070">
        <v>0</v>
      </c>
      <c r="F63" s="2070">
        <v>0</v>
      </c>
      <c r="G63" s="2070">
        <v>0</v>
      </c>
      <c r="H63" s="2070">
        <v>0</v>
      </c>
      <c r="I63" s="2070">
        <v>0</v>
      </c>
      <c r="J63" s="2070">
        <v>0</v>
      </c>
      <c r="K63" s="2070">
        <v>0</v>
      </c>
      <c r="L63" s="2070">
        <v>0</v>
      </c>
      <c r="M63" s="2070">
        <v>0</v>
      </c>
      <c r="N63" s="2070">
        <v>0</v>
      </c>
      <c r="O63" s="2070">
        <v>0</v>
      </c>
      <c r="P63" s="2070">
        <v>0</v>
      </c>
      <c r="Q63" s="2070">
        <v>0</v>
      </c>
      <c r="R63" s="2070">
        <v>0</v>
      </c>
      <c r="S63" s="2070">
        <v>0</v>
      </c>
      <c r="T63" s="2070">
        <v>0</v>
      </c>
      <c r="U63" s="2070">
        <v>0</v>
      </c>
      <c r="V63" s="2070">
        <v>0</v>
      </c>
      <c r="W63" s="2070">
        <v>0</v>
      </c>
      <c r="X63" s="2070">
        <v>0</v>
      </c>
    </row>
    <row r="64" spans="1:24" ht="11.25" customHeight="1">
      <c r="A64" s="2074" t="s">
        <v>5819</v>
      </c>
      <c r="B64" s="2069" t="s">
        <v>5820</v>
      </c>
      <c r="C64" s="2070">
        <v>0</v>
      </c>
      <c r="D64" s="2070">
        <v>0</v>
      </c>
      <c r="E64" s="2070">
        <v>0</v>
      </c>
      <c r="F64" s="2070">
        <v>0</v>
      </c>
      <c r="G64" s="2070">
        <v>0</v>
      </c>
      <c r="H64" s="2070">
        <v>0.43086844368013755</v>
      </c>
      <c r="I64" s="2070">
        <v>0.46173688736027507</v>
      </c>
      <c r="J64" s="2070">
        <v>0.61272570937231297</v>
      </c>
      <c r="K64" s="2070">
        <v>3.9699914015477207</v>
      </c>
      <c r="L64" s="2070">
        <v>3.830438521066208</v>
      </c>
      <c r="M64" s="2070">
        <v>0.69226139294926903</v>
      </c>
      <c r="N64" s="2070">
        <v>0.70189165950128973</v>
      </c>
      <c r="O64" s="2070">
        <v>2.0216680997420462</v>
      </c>
      <c r="P64" s="2070">
        <v>2.524333619948409</v>
      </c>
      <c r="Q64" s="2070">
        <v>2.4943250214961301</v>
      </c>
      <c r="R64" s="2070">
        <v>2.418572656921754</v>
      </c>
      <c r="S64" s="2070">
        <v>1.762596732588134</v>
      </c>
      <c r="T64" s="2070">
        <v>2.3782459157351674</v>
      </c>
      <c r="U64" s="2070">
        <v>4.1699054170249337</v>
      </c>
      <c r="V64" s="2070">
        <v>3.4840928632846078</v>
      </c>
      <c r="W64" s="2070">
        <v>3.571281169389509</v>
      </c>
      <c r="X64" s="2070">
        <v>5.6229578675838354</v>
      </c>
    </row>
    <row r="65" spans="1:24" ht="11.25" customHeight="1">
      <c r="A65" s="2074" t="s">
        <v>5821</v>
      </c>
      <c r="B65" s="2069" t="s">
        <v>5822</v>
      </c>
      <c r="C65" s="2070">
        <v>1.45554600171969</v>
      </c>
      <c r="D65" s="2070">
        <v>1.60146173688736</v>
      </c>
      <c r="E65" s="2070">
        <v>1.690627687016337</v>
      </c>
      <c r="F65" s="2070">
        <v>27.455288048151335</v>
      </c>
      <c r="G65" s="2070">
        <v>28.951074806534827</v>
      </c>
      <c r="H65" s="2070">
        <v>29.110490111779882</v>
      </c>
      <c r="I65" s="2070">
        <v>29.633877901977645</v>
      </c>
      <c r="J65" s="2070">
        <v>68.317626827171111</v>
      </c>
      <c r="K65" s="2070">
        <v>58.348753224419596</v>
      </c>
      <c r="L65" s="2070">
        <v>32.567927773000854</v>
      </c>
      <c r="M65" s="2070">
        <v>17.097678417884779</v>
      </c>
      <c r="N65" s="2070">
        <v>8.2001719690455701</v>
      </c>
      <c r="O65" s="2070">
        <v>9.2350816852966453</v>
      </c>
      <c r="P65" s="2070">
        <v>7.3890799656061894</v>
      </c>
      <c r="Q65" s="2070">
        <v>16.131642304385206</v>
      </c>
      <c r="R65" s="2070">
        <v>15.518056749785043</v>
      </c>
      <c r="S65" s="2070">
        <v>20.069905417024934</v>
      </c>
      <c r="T65" s="2070">
        <v>34.302063628546861</v>
      </c>
      <c r="U65" s="2070">
        <v>31.369733447979357</v>
      </c>
      <c r="V65" s="2070">
        <v>22.215477214101458</v>
      </c>
      <c r="W65" s="2070">
        <v>23.19552880481513</v>
      </c>
      <c r="X65" s="2070">
        <v>24.237145313843502</v>
      </c>
    </row>
    <row r="66" spans="1:24" ht="11.25" customHeight="1">
      <c r="A66" s="2074" t="s">
        <v>5823</v>
      </c>
      <c r="B66" s="2069" t="s">
        <v>5824</v>
      </c>
      <c r="C66" s="2070">
        <v>0</v>
      </c>
      <c r="D66" s="2070">
        <v>0</v>
      </c>
      <c r="E66" s="2070">
        <v>0</v>
      </c>
      <c r="F66" s="2070">
        <v>0</v>
      </c>
      <c r="G66" s="2070">
        <v>0</v>
      </c>
      <c r="H66" s="2070">
        <v>3.1869303525365433</v>
      </c>
      <c r="I66" s="2070">
        <v>13.915993121238177</v>
      </c>
      <c r="J66" s="2070">
        <v>23.543336199484088</v>
      </c>
      <c r="K66" s="2070">
        <v>24.84883920894239</v>
      </c>
      <c r="L66" s="2070">
        <v>32.541530524505582</v>
      </c>
      <c r="M66" s="2070">
        <v>33.133447979363723</v>
      </c>
      <c r="N66" s="2070">
        <v>34.849441100601894</v>
      </c>
      <c r="O66" s="2070">
        <v>56.898968185726559</v>
      </c>
      <c r="P66" s="2070">
        <v>72.674290627687014</v>
      </c>
      <c r="Q66" s="2070">
        <v>78.375924333619963</v>
      </c>
      <c r="R66" s="2070">
        <v>87.698882201203787</v>
      </c>
      <c r="S66" s="2070">
        <v>179.80524505588991</v>
      </c>
      <c r="T66" s="2070">
        <v>224.89991401547712</v>
      </c>
      <c r="U66" s="2070">
        <v>377.57755803955291</v>
      </c>
      <c r="V66" s="2070">
        <v>409.19587274290626</v>
      </c>
      <c r="W66" s="2070">
        <v>452.01530524505586</v>
      </c>
      <c r="X66" s="2070">
        <v>467.02785898538252</v>
      </c>
    </row>
    <row r="67" spans="1:24" ht="11.25" customHeight="1">
      <c r="A67" s="2074" t="s">
        <v>5825</v>
      </c>
      <c r="B67" s="2069" t="s">
        <v>5826</v>
      </c>
      <c r="C67" s="2070">
        <v>0</v>
      </c>
      <c r="D67" s="2070">
        <v>0</v>
      </c>
      <c r="E67" s="2070">
        <v>0</v>
      </c>
      <c r="F67" s="2070">
        <v>0</v>
      </c>
      <c r="G67" s="2070">
        <v>0</v>
      </c>
      <c r="H67" s="2070">
        <v>0</v>
      </c>
      <c r="I67" s="2070">
        <v>0</v>
      </c>
      <c r="J67" s="2070">
        <v>0</v>
      </c>
      <c r="K67" s="2070">
        <v>0</v>
      </c>
      <c r="L67" s="2070">
        <v>0</v>
      </c>
      <c r="M67" s="2070">
        <v>0</v>
      </c>
      <c r="N67" s="2070">
        <v>0</v>
      </c>
      <c r="O67" s="2070">
        <v>0</v>
      </c>
      <c r="P67" s="2070">
        <v>0</v>
      </c>
      <c r="Q67" s="2070">
        <v>0</v>
      </c>
      <c r="R67" s="2070">
        <v>0</v>
      </c>
      <c r="S67" s="2070">
        <v>0</v>
      </c>
      <c r="T67" s="2070">
        <v>0</v>
      </c>
      <c r="U67" s="2070">
        <v>0</v>
      </c>
      <c r="V67" s="2070">
        <v>0</v>
      </c>
      <c r="W67" s="2070">
        <v>0</v>
      </c>
      <c r="X67" s="2070">
        <v>0</v>
      </c>
    </row>
    <row r="68" spans="1:24" ht="11.25" customHeight="1">
      <c r="A68" s="2074" t="s">
        <v>5827</v>
      </c>
      <c r="B68" s="2069" t="s">
        <v>5828</v>
      </c>
      <c r="C68" s="2070">
        <v>0</v>
      </c>
      <c r="D68" s="2070">
        <v>0</v>
      </c>
      <c r="E68" s="2070">
        <v>0</v>
      </c>
      <c r="F68" s="2070">
        <v>0</v>
      </c>
      <c r="G68" s="2070">
        <v>0</v>
      </c>
      <c r="H68" s="2070">
        <v>0</v>
      </c>
      <c r="I68" s="2070">
        <v>0</v>
      </c>
      <c r="J68" s="2070">
        <v>0</v>
      </c>
      <c r="K68" s="2070">
        <v>0</v>
      </c>
      <c r="L68" s="2070">
        <v>0</v>
      </c>
      <c r="M68" s="2070">
        <v>0</v>
      </c>
      <c r="N68" s="2070">
        <v>0</v>
      </c>
      <c r="O68" s="2070">
        <v>0</v>
      </c>
      <c r="P68" s="2070">
        <v>0</v>
      </c>
      <c r="Q68" s="2070">
        <v>0</v>
      </c>
      <c r="R68" s="2070">
        <v>0</v>
      </c>
      <c r="S68" s="2070">
        <v>0</v>
      </c>
      <c r="T68" s="2070">
        <v>0</v>
      </c>
      <c r="U68" s="2070">
        <v>0</v>
      </c>
      <c r="V68" s="2070">
        <v>0</v>
      </c>
      <c r="W68" s="2070">
        <v>0</v>
      </c>
      <c r="X68" s="2070">
        <v>0</v>
      </c>
    </row>
    <row r="69" spans="1:24" ht="11.25" customHeight="1">
      <c r="A69" s="2074" t="s">
        <v>4619</v>
      </c>
      <c r="B69" s="2069" t="s">
        <v>5829</v>
      </c>
      <c r="C69" s="2070">
        <v>0</v>
      </c>
      <c r="D69" s="2070">
        <v>0</v>
      </c>
      <c r="E69" s="2070">
        <v>0</v>
      </c>
      <c r="F69" s="2070">
        <v>10.29690455717971</v>
      </c>
      <c r="G69" s="2070">
        <v>16.804729148753221</v>
      </c>
      <c r="H69" s="2070">
        <v>18.315907136715396</v>
      </c>
      <c r="I69" s="2070">
        <v>28.507738607050733</v>
      </c>
      <c r="J69" s="2070">
        <v>33.311607910576093</v>
      </c>
      <c r="K69" s="2070">
        <v>27.212295786758379</v>
      </c>
      <c r="L69" s="2070">
        <v>43.175838349097162</v>
      </c>
      <c r="M69" s="2070">
        <v>37.887876182287187</v>
      </c>
      <c r="N69" s="2070">
        <v>18.883748925193462</v>
      </c>
      <c r="O69" s="2070">
        <v>7.45030094582975</v>
      </c>
      <c r="P69" s="2070">
        <v>5.4765262252794491</v>
      </c>
      <c r="Q69" s="2070">
        <v>5.9114359415305238</v>
      </c>
      <c r="R69" s="2070">
        <v>6.6867583834909707</v>
      </c>
      <c r="S69" s="2070">
        <v>7.0995700773860699</v>
      </c>
      <c r="T69" s="2070">
        <v>7.7110060189165939</v>
      </c>
      <c r="U69" s="2070">
        <v>9.3467755803955281</v>
      </c>
      <c r="V69" s="2070">
        <v>10.938263112639721</v>
      </c>
      <c r="W69" s="2070">
        <v>11.450128976784182</v>
      </c>
      <c r="X69" s="2070">
        <v>7.5151332760103173</v>
      </c>
    </row>
    <row r="70" spans="1:24" ht="11.25" customHeight="1">
      <c r="A70" s="2074" t="s">
        <v>5830</v>
      </c>
      <c r="B70" s="2069" t="s">
        <v>5831</v>
      </c>
      <c r="C70" s="2070">
        <v>0</v>
      </c>
      <c r="D70" s="2070">
        <v>0</v>
      </c>
      <c r="E70" s="2070">
        <v>0</v>
      </c>
      <c r="F70" s="2070">
        <v>0</v>
      </c>
      <c r="G70" s="2070">
        <v>0</v>
      </c>
      <c r="H70" s="2070">
        <v>0</v>
      </c>
      <c r="I70" s="2070">
        <v>0</v>
      </c>
      <c r="J70" s="2070">
        <v>0</v>
      </c>
      <c r="K70" s="2070">
        <v>0</v>
      </c>
      <c r="L70" s="2070">
        <v>0</v>
      </c>
      <c r="M70" s="2070">
        <v>0</v>
      </c>
      <c r="N70" s="2070">
        <v>0</v>
      </c>
      <c r="O70" s="2070">
        <v>0</v>
      </c>
      <c r="P70" s="2070">
        <v>0</v>
      </c>
      <c r="Q70" s="2070">
        <v>0</v>
      </c>
      <c r="R70" s="2070">
        <v>0</v>
      </c>
      <c r="S70" s="2070">
        <v>0</v>
      </c>
      <c r="T70" s="2070">
        <v>0</v>
      </c>
      <c r="U70" s="2070">
        <v>0</v>
      </c>
      <c r="V70" s="2070">
        <v>0</v>
      </c>
      <c r="W70" s="2070">
        <v>0</v>
      </c>
      <c r="X70" s="2070">
        <v>0</v>
      </c>
    </row>
    <row r="71" spans="1:24" ht="11.25" customHeight="1">
      <c r="A71" s="2071" t="s">
        <v>5832</v>
      </c>
      <c r="B71" s="2072" t="s">
        <v>5833</v>
      </c>
      <c r="C71" s="2073">
        <v>19.32261392949269</v>
      </c>
      <c r="D71" s="2073">
        <v>16.695356835769559</v>
      </c>
      <c r="E71" s="2073">
        <v>5.7801375752364565</v>
      </c>
      <c r="F71" s="2073">
        <v>5.135167669819432</v>
      </c>
      <c r="G71" s="2073">
        <v>4.8246775580395527</v>
      </c>
      <c r="H71" s="2073">
        <v>1.2420464316423048</v>
      </c>
      <c r="I71" s="2073">
        <v>1.7913155631986242</v>
      </c>
      <c r="J71" s="2073">
        <v>2.3903697334479789E-2</v>
      </c>
      <c r="K71" s="2073">
        <v>2.3903697334479789E-2</v>
      </c>
      <c r="L71" s="2073">
        <v>0</v>
      </c>
      <c r="M71" s="2073">
        <v>0</v>
      </c>
      <c r="N71" s="2073">
        <v>0</v>
      </c>
      <c r="O71" s="2073">
        <v>0</v>
      </c>
      <c r="P71" s="2073">
        <v>0</v>
      </c>
      <c r="Q71" s="2073">
        <v>0</v>
      </c>
      <c r="R71" s="2073">
        <v>0</v>
      </c>
      <c r="S71" s="2073">
        <v>1.9585554600171964</v>
      </c>
      <c r="T71" s="2073">
        <v>5.5503869303525359</v>
      </c>
      <c r="U71" s="2073">
        <v>3.0425623387790197</v>
      </c>
      <c r="V71" s="2073">
        <v>2.8492691315563197</v>
      </c>
      <c r="W71" s="2073">
        <v>0.56070507308684436</v>
      </c>
      <c r="X71" s="2073">
        <v>1.8031814273430782</v>
      </c>
    </row>
    <row r="72" spans="1:24" ht="11.25" customHeight="1">
      <c r="A72" s="2074" t="s">
        <v>5834</v>
      </c>
      <c r="B72" s="2069" t="s">
        <v>5835</v>
      </c>
      <c r="C72" s="2070">
        <v>19.036027515047291</v>
      </c>
      <c r="D72" s="2070">
        <v>16.432588134135852</v>
      </c>
      <c r="E72" s="2070">
        <v>5.7801375752364565</v>
      </c>
      <c r="F72" s="2070">
        <v>5.135167669819432</v>
      </c>
      <c r="G72" s="2070">
        <v>4.8246775580395527</v>
      </c>
      <c r="H72" s="2070">
        <v>1.2420464316423048</v>
      </c>
      <c r="I72" s="2070">
        <v>1.7913155631986242</v>
      </c>
      <c r="J72" s="2070">
        <v>2.3903697334479789E-2</v>
      </c>
      <c r="K72" s="2070">
        <v>2.3903697334479789E-2</v>
      </c>
      <c r="L72" s="2070">
        <v>0</v>
      </c>
      <c r="M72" s="2070">
        <v>0</v>
      </c>
      <c r="N72" s="2070">
        <v>0</v>
      </c>
      <c r="O72" s="2070">
        <v>0</v>
      </c>
      <c r="P72" s="2070">
        <v>0</v>
      </c>
      <c r="Q72" s="2070">
        <v>0</v>
      </c>
      <c r="R72" s="2070">
        <v>0</v>
      </c>
      <c r="S72" s="2070">
        <v>1.9585554600171964</v>
      </c>
      <c r="T72" s="2070">
        <v>0.25907136715391232</v>
      </c>
      <c r="U72" s="2070">
        <v>0.26225279449699052</v>
      </c>
      <c r="V72" s="2070">
        <v>0.2824591573516767</v>
      </c>
      <c r="W72" s="2070">
        <v>0.26276870163370591</v>
      </c>
      <c r="X72" s="2070">
        <v>0.50163370593293199</v>
      </c>
    </row>
    <row r="73" spans="1:24" ht="11.25" customHeight="1">
      <c r="A73" s="2074" t="s">
        <v>5836</v>
      </c>
      <c r="B73" s="2069" t="s">
        <v>5837</v>
      </c>
      <c r="C73" s="2070">
        <v>0.28658641444539978</v>
      </c>
      <c r="D73" s="2070">
        <v>0.26276870163370591</v>
      </c>
      <c r="E73" s="2070">
        <v>0</v>
      </c>
      <c r="F73" s="2070">
        <v>0</v>
      </c>
      <c r="G73" s="2070">
        <v>0</v>
      </c>
      <c r="H73" s="2070">
        <v>0</v>
      </c>
      <c r="I73" s="2070">
        <v>0</v>
      </c>
      <c r="J73" s="2070">
        <v>0</v>
      </c>
      <c r="K73" s="2070">
        <v>0</v>
      </c>
      <c r="L73" s="2070">
        <v>0</v>
      </c>
      <c r="M73" s="2070">
        <v>0</v>
      </c>
      <c r="N73" s="2070">
        <v>0</v>
      </c>
      <c r="O73" s="2070">
        <v>0</v>
      </c>
      <c r="P73" s="2070">
        <v>0</v>
      </c>
      <c r="Q73" s="2070">
        <v>0</v>
      </c>
      <c r="R73" s="2070">
        <v>0</v>
      </c>
      <c r="S73" s="2070">
        <v>0</v>
      </c>
      <c r="T73" s="2070">
        <v>5.2913155631986237</v>
      </c>
      <c r="U73" s="2070">
        <v>2.7803095442820291</v>
      </c>
      <c r="V73" s="2070">
        <v>2.5668099742046429</v>
      </c>
      <c r="W73" s="2070">
        <v>0.29793637145313839</v>
      </c>
      <c r="X73" s="2070">
        <v>1.3015477214101461</v>
      </c>
    </row>
    <row r="74" spans="1:24" ht="11.25" customHeight="1">
      <c r="A74" s="2071" t="s">
        <v>4616</v>
      </c>
      <c r="B74" s="2072" t="s">
        <v>5838</v>
      </c>
      <c r="C74" s="2073">
        <v>0</v>
      </c>
      <c r="D74" s="2073">
        <v>0</v>
      </c>
      <c r="E74" s="2073">
        <v>0</v>
      </c>
      <c r="F74" s="2073">
        <v>0</v>
      </c>
      <c r="G74" s="2073">
        <v>0</v>
      </c>
      <c r="H74" s="2073">
        <v>0</v>
      </c>
      <c r="I74" s="2073">
        <v>0</v>
      </c>
      <c r="J74" s="2073">
        <v>0</v>
      </c>
      <c r="K74" s="2073">
        <v>0</v>
      </c>
      <c r="L74" s="2073">
        <v>0</v>
      </c>
      <c r="M74" s="2073">
        <v>0</v>
      </c>
      <c r="N74" s="2073">
        <v>0</v>
      </c>
      <c r="O74" s="2073">
        <v>0</v>
      </c>
      <c r="P74" s="2073">
        <v>0</v>
      </c>
      <c r="Q74" s="2073">
        <v>0</v>
      </c>
      <c r="R74" s="2073">
        <v>0</v>
      </c>
      <c r="S74" s="2073">
        <v>0</v>
      </c>
      <c r="T74" s="2073">
        <v>0</v>
      </c>
      <c r="U74" s="2073">
        <v>0</v>
      </c>
      <c r="V74" s="2073">
        <v>0</v>
      </c>
      <c r="W74" s="2073">
        <v>0</v>
      </c>
      <c r="X74" s="2073">
        <v>0</v>
      </c>
    </row>
    <row r="75" spans="1:24" ht="11.25" customHeight="1">
      <c r="A75" s="2071" t="s">
        <v>4671</v>
      </c>
      <c r="B75" s="2072" t="s">
        <v>5839</v>
      </c>
      <c r="C75" s="2073">
        <v>545.38056749785039</v>
      </c>
      <c r="D75" s="2073">
        <v>517.72235597592419</v>
      </c>
      <c r="E75" s="2073">
        <v>469.33215821152186</v>
      </c>
      <c r="F75" s="2073">
        <v>443.72777300085988</v>
      </c>
      <c r="G75" s="2073">
        <v>384.54686156491823</v>
      </c>
      <c r="H75" s="2073">
        <v>377.67601031814263</v>
      </c>
      <c r="I75" s="2073">
        <v>353.85262252794496</v>
      </c>
      <c r="J75" s="2073">
        <v>328.95331040412725</v>
      </c>
      <c r="K75" s="2073">
        <v>292.07987962166811</v>
      </c>
      <c r="L75" s="2073">
        <v>294.1150472914876</v>
      </c>
      <c r="M75" s="2073">
        <v>303.22536543422189</v>
      </c>
      <c r="N75" s="2073">
        <v>287.72158211521923</v>
      </c>
      <c r="O75" s="2073">
        <v>283.52820292347383</v>
      </c>
      <c r="P75" s="2073">
        <v>278.313241616509</v>
      </c>
      <c r="Q75" s="2073">
        <v>281.80481513327601</v>
      </c>
      <c r="R75" s="2073">
        <v>240.02975064488393</v>
      </c>
      <c r="S75" s="2073">
        <v>256.80619088564055</v>
      </c>
      <c r="T75" s="2073">
        <v>254.29036973344799</v>
      </c>
      <c r="U75" s="2073">
        <v>248.77858985382628</v>
      </c>
      <c r="V75" s="2073">
        <v>262.86190885640576</v>
      </c>
      <c r="W75" s="2073">
        <v>254.06276870163367</v>
      </c>
      <c r="X75" s="2073">
        <v>271.73069647463456</v>
      </c>
    </row>
    <row r="76" spans="1:24" ht="11.25" customHeight="1">
      <c r="A76" s="2075" t="s">
        <v>4282</v>
      </c>
      <c r="B76" s="2076" t="s">
        <v>5840</v>
      </c>
      <c r="C76" s="2077">
        <v>3299.4864559443431</v>
      </c>
      <c r="D76" s="2077">
        <v>3323.9940740412376</v>
      </c>
      <c r="E76" s="2077">
        <v>3273.5207597248614</v>
      </c>
      <c r="F76" s="2077">
        <v>3308.2169042432433</v>
      </c>
      <c r="G76" s="2077">
        <v>3736.586309091987</v>
      </c>
      <c r="H76" s="2077">
        <v>3924.4552236536533</v>
      </c>
      <c r="I76" s="2077">
        <v>3975.7018830576512</v>
      </c>
      <c r="J76" s="2077">
        <v>4020.055334797778</v>
      </c>
      <c r="K76" s="2077">
        <v>3997.002105138557</v>
      </c>
      <c r="L76" s="2077">
        <v>4139.4448686627793</v>
      </c>
      <c r="M76" s="2077">
        <v>4083.3805674978507</v>
      </c>
      <c r="N76" s="2077">
        <v>4080.2809114359411</v>
      </c>
      <c r="O76" s="2077">
        <v>4161.1049011177984</v>
      </c>
      <c r="P76" s="2077">
        <v>4138.7158211521919</v>
      </c>
      <c r="Q76" s="2077">
        <v>4255.125451418744</v>
      </c>
      <c r="R76" s="2077">
        <v>4432.0257093723121</v>
      </c>
      <c r="S76" s="2077">
        <v>4457.2146173688734</v>
      </c>
      <c r="T76" s="2077">
        <v>4532.6320722269984</v>
      </c>
      <c r="U76" s="2077">
        <v>4541.0187446259679</v>
      </c>
      <c r="V76" s="2077">
        <v>4652.3168529664672</v>
      </c>
      <c r="W76" s="2077">
        <v>4507.8606190885639</v>
      </c>
      <c r="X76" s="2077">
        <v>4621.4423043852112</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1BFB5-B81D-4D45-83B0-3A5C42F03B6F}">
  <sheetPr>
    <pageSetUpPr fitToPage="1"/>
  </sheetPr>
  <dimension ref="A1:X76"/>
  <sheetViews>
    <sheetView showGridLines="0" workbookViewId="0">
      <pane xSplit="2" ySplit="2" topLeftCell="K3" activePane="bottomRight" state="frozen"/>
      <selection pane="topRight"/>
      <selection pane="bottomLeft"/>
      <selection pane="bottomRight"/>
    </sheetView>
  </sheetViews>
  <sheetFormatPr baseColWidth="10" defaultColWidth="9.1640625" defaultRowHeight="11.25" customHeight="1"/>
  <cols>
    <col min="1" max="1" width="40.6640625" style="2059" bestFit="1" customWidth="1"/>
    <col min="2" max="2" width="16.1640625" style="2059" bestFit="1" customWidth="1"/>
    <col min="3" max="24" width="9.6640625" style="2059" customWidth="1"/>
    <col min="25" max="16384" width="9.1640625" style="2059"/>
  </cols>
  <sheetData>
    <row r="1" spans="1:24" ht="11.25" customHeight="1">
      <c r="A1" s="2057" t="s">
        <v>5869</v>
      </c>
      <c r="B1" s="2057" t="s">
        <v>5870</v>
      </c>
      <c r="C1" s="2058">
        <v>2000</v>
      </c>
      <c r="D1" s="2058">
        <v>2001</v>
      </c>
      <c r="E1" s="2058">
        <v>2002</v>
      </c>
      <c r="F1" s="2058">
        <v>2003</v>
      </c>
      <c r="G1" s="2058">
        <v>2004</v>
      </c>
      <c r="H1" s="2058">
        <v>2005</v>
      </c>
      <c r="I1" s="2058">
        <v>2006</v>
      </c>
      <c r="J1" s="2058">
        <v>2007</v>
      </c>
      <c r="K1" s="2058">
        <v>2008</v>
      </c>
      <c r="L1" s="2058">
        <v>2009</v>
      </c>
      <c r="M1" s="2058">
        <v>2010</v>
      </c>
      <c r="N1" s="2058">
        <v>2011</v>
      </c>
      <c r="O1" s="2058">
        <v>2012</v>
      </c>
      <c r="P1" s="2058">
        <v>2013</v>
      </c>
      <c r="Q1" s="2058">
        <v>2014</v>
      </c>
      <c r="R1" s="2058">
        <v>2015</v>
      </c>
      <c r="S1" s="2058">
        <v>2016</v>
      </c>
      <c r="T1" s="2058">
        <v>2017</v>
      </c>
      <c r="U1" s="2058">
        <v>2018</v>
      </c>
      <c r="V1" s="2058">
        <v>2019</v>
      </c>
      <c r="W1" s="2058">
        <v>2020</v>
      </c>
      <c r="X1" s="2058">
        <v>2021</v>
      </c>
    </row>
    <row r="2" spans="1:24" ht="11.25" customHeight="1">
      <c r="A2" s="2060" t="s">
        <v>1265</v>
      </c>
      <c r="B2" s="2060" t="s">
        <v>5738</v>
      </c>
      <c r="C2" s="2061">
        <v>76239.28709696373</v>
      </c>
      <c r="D2" s="2061">
        <v>76594.247751351329</v>
      </c>
      <c r="E2" s="2061">
        <v>75853.251250571571</v>
      </c>
      <c r="F2" s="2061">
        <v>75729.977654837887</v>
      </c>
      <c r="G2" s="2061">
        <v>76710.206790145952</v>
      </c>
      <c r="H2" s="2061">
        <v>77972.239985124164</v>
      </c>
      <c r="I2" s="2061">
        <v>77057.807288896947</v>
      </c>
      <c r="J2" s="2061">
        <v>78083.764481033693</v>
      </c>
      <c r="K2" s="2061">
        <v>75827.561701238534</v>
      </c>
      <c r="L2" s="2061">
        <v>68132.160573993344</v>
      </c>
      <c r="M2" s="2061">
        <v>72693.256902036548</v>
      </c>
      <c r="N2" s="2061">
        <v>71202.080829141123</v>
      </c>
      <c r="O2" s="2061">
        <v>70379.176787939039</v>
      </c>
      <c r="P2" s="2061">
        <v>69197.853305542696</v>
      </c>
      <c r="Q2" s="2061">
        <v>72448.882888599313</v>
      </c>
      <c r="R2" s="2061">
        <v>69109.574303970076</v>
      </c>
      <c r="S2" s="2061">
        <v>69167.982226182008</v>
      </c>
      <c r="T2" s="2061">
        <v>75756.250646900386</v>
      </c>
      <c r="U2" s="2061">
        <v>72319.575295113507</v>
      </c>
      <c r="V2" s="2061">
        <v>71629.818553216857</v>
      </c>
      <c r="W2" s="2061">
        <v>71097.670386347585</v>
      </c>
      <c r="X2" s="2061">
        <v>72031.899736361403</v>
      </c>
    </row>
    <row r="3" spans="1:24" ht="11.25" customHeight="1">
      <c r="A3" s="2062" t="s">
        <v>5739</v>
      </c>
      <c r="B3" s="2063" t="s">
        <v>5740</v>
      </c>
      <c r="C3" s="2064">
        <v>261.91696515818228</v>
      </c>
      <c r="D3" s="2064">
        <v>269.68033979175277</v>
      </c>
      <c r="E3" s="2064">
        <v>257.49101351120123</v>
      </c>
      <c r="F3" s="2064">
        <v>278.13320225856808</v>
      </c>
      <c r="G3" s="2064">
        <v>305.64940889544221</v>
      </c>
      <c r="H3" s="2064">
        <v>334.88415013864051</v>
      </c>
      <c r="I3" s="2064">
        <v>386.46524726691769</v>
      </c>
      <c r="J3" s="2064">
        <v>407.41564721008632</v>
      </c>
      <c r="K3" s="2064">
        <v>417.88413476038357</v>
      </c>
      <c r="L3" s="2064">
        <v>287.23678492689078</v>
      </c>
      <c r="M3" s="2064">
        <v>638.33500479166537</v>
      </c>
      <c r="N3" s="2064">
        <v>613.46045243414846</v>
      </c>
      <c r="O3" s="2064">
        <v>650.23430981826175</v>
      </c>
      <c r="P3" s="2064">
        <v>661.72043873064229</v>
      </c>
      <c r="Q3" s="2064">
        <v>636.36310023047542</v>
      </c>
      <c r="R3" s="2064">
        <v>694.9485286235755</v>
      </c>
      <c r="S3" s="2064">
        <v>706.65419723846367</v>
      </c>
      <c r="T3" s="2064">
        <v>702.30841391390254</v>
      </c>
      <c r="U3" s="2064">
        <v>685.55447699263357</v>
      </c>
      <c r="V3" s="2064">
        <v>679.56351317623182</v>
      </c>
      <c r="W3" s="2064">
        <v>591.7408222392171</v>
      </c>
      <c r="X3" s="2064">
        <v>625.85026314312381</v>
      </c>
    </row>
    <row r="4" spans="1:24" ht="11.25" customHeight="1">
      <c r="A4" s="2065" t="s">
        <v>5741</v>
      </c>
      <c r="B4" s="2066" t="s">
        <v>5742</v>
      </c>
      <c r="C4" s="2067">
        <v>1.3522033533963884</v>
      </c>
      <c r="D4" s="2067">
        <v>0.66852966466036112</v>
      </c>
      <c r="E4" s="2067">
        <v>1.9308684436801378</v>
      </c>
      <c r="F4" s="2067">
        <v>9.3754944110060201</v>
      </c>
      <c r="G4" s="2067">
        <v>12.841874462596733</v>
      </c>
      <c r="H4" s="2067">
        <v>37.058558535095855</v>
      </c>
      <c r="I4" s="2067">
        <v>44.073774720550304</v>
      </c>
      <c r="J4" s="2067">
        <v>61.903535466138159</v>
      </c>
      <c r="K4" s="2067">
        <v>63.697248495270848</v>
      </c>
      <c r="L4" s="2067">
        <v>23.261736887360275</v>
      </c>
      <c r="M4" s="2067">
        <v>43.277386070507305</v>
      </c>
      <c r="N4" s="2067">
        <v>39.187688031740997</v>
      </c>
      <c r="O4" s="2067">
        <v>34.966575238654073</v>
      </c>
      <c r="P4" s="2067">
        <v>32.8431691128824</v>
      </c>
      <c r="Q4" s="2067">
        <v>24.386402036150411</v>
      </c>
      <c r="R4" s="2067">
        <v>23.30871778952574</v>
      </c>
      <c r="S4" s="2067">
        <v>24.82565037689864</v>
      </c>
      <c r="T4" s="2067">
        <v>22.861842067514683</v>
      </c>
      <c r="U4" s="2067">
        <v>20.680652149911829</v>
      </c>
      <c r="V4" s="2067">
        <v>20.455545109848778</v>
      </c>
      <c r="W4" s="2067">
        <v>26.212518064193929</v>
      </c>
      <c r="X4" s="2067">
        <v>23.706703046400939</v>
      </c>
    </row>
    <row r="5" spans="1:24" ht="11.25" customHeight="1">
      <c r="A5" s="2068" t="s">
        <v>4613</v>
      </c>
      <c r="B5" s="2069" t="s">
        <v>5743</v>
      </c>
      <c r="C5" s="2070">
        <v>0.66741186586414436</v>
      </c>
      <c r="D5" s="2070">
        <v>0.66852966466036112</v>
      </c>
      <c r="E5" s="2070">
        <v>1.9308684436801378</v>
      </c>
      <c r="F5" s="2070">
        <v>1.3136715391229581</v>
      </c>
      <c r="G5" s="2070">
        <v>4.2876182287188307</v>
      </c>
      <c r="H5" s="2070">
        <v>31.207311759515463</v>
      </c>
      <c r="I5" s="2070">
        <v>38.463714531384355</v>
      </c>
      <c r="J5" s="2070">
        <v>58.303697334479793</v>
      </c>
      <c r="K5" s="2070">
        <v>63.697248495270848</v>
      </c>
      <c r="L5" s="2070">
        <v>23.261736887360275</v>
      </c>
      <c r="M5" s="2070">
        <v>26.214789337919179</v>
      </c>
      <c r="N5" s="2070">
        <v>30.513241616509031</v>
      </c>
      <c r="O5" s="2070">
        <v>26.229062768701631</v>
      </c>
      <c r="P5" s="2070">
        <v>25.52020636285469</v>
      </c>
      <c r="Q5" s="2070">
        <v>21.281169389509891</v>
      </c>
      <c r="R5" s="2070">
        <v>17.734307824591571</v>
      </c>
      <c r="S5" s="2070">
        <v>19.86242476354256</v>
      </c>
      <c r="T5" s="2070">
        <v>18.443680137575239</v>
      </c>
      <c r="U5" s="2070">
        <v>18.443680137575239</v>
      </c>
      <c r="V5" s="2070">
        <v>17.274634565778161</v>
      </c>
      <c r="W5" s="2070">
        <v>13.749097162510751</v>
      </c>
      <c r="X5" s="2070">
        <v>10.62708512467756</v>
      </c>
    </row>
    <row r="6" spans="1:24" ht="11.25" customHeight="1">
      <c r="A6" s="2068" t="s">
        <v>4647</v>
      </c>
      <c r="B6" s="2069" t="s">
        <v>5744</v>
      </c>
      <c r="C6" s="2070">
        <v>0.68479148753224417</v>
      </c>
      <c r="D6" s="2070">
        <v>0</v>
      </c>
      <c r="E6" s="2070">
        <v>0</v>
      </c>
      <c r="F6" s="2070">
        <v>0</v>
      </c>
      <c r="G6" s="2070">
        <v>0</v>
      </c>
      <c r="H6" s="2070">
        <v>0</v>
      </c>
      <c r="I6" s="2070">
        <v>0</v>
      </c>
      <c r="J6" s="2070">
        <v>0</v>
      </c>
      <c r="K6" s="2070">
        <v>0</v>
      </c>
      <c r="L6" s="2070">
        <v>0</v>
      </c>
      <c r="M6" s="2070">
        <v>0</v>
      </c>
      <c r="N6" s="2070">
        <v>0</v>
      </c>
      <c r="O6" s="2070">
        <v>0</v>
      </c>
      <c r="P6" s="2070">
        <v>0</v>
      </c>
      <c r="Q6" s="2070">
        <v>0</v>
      </c>
      <c r="R6" s="2070">
        <v>0</v>
      </c>
      <c r="S6" s="2070">
        <v>0</v>
      </c>
      <c r="T6" s="2070">
        <v>0</v>
      </c>
      <c r="U6" s="2070">
        <v>0</v>
      </c>
      <c r="V6" s="2070">
        <v>0</v>
      </c>
      <c r="W6" s="2070">
        <v>0</v>
      </c>
      <c r="X6" s="2070">
        <v>0</v>
      </c>
    </row>
    <row r="7" spans="1:24" ht="11.25" customHeight="1">
      <c r="A7" s="2068" t="s">
        <v>4648</v>
      </c>
      <c r="B7" s="2069" t="s">
        <v>5745</v>
      </c>
      <c r="C7" s="2070">
        <v>0</v>
      </c>
      <c r="D7" s="2070">
        <v>0</v>
      </c>
      <c r="E7" s="2070">
        <v>0</v>
      </c>
      <c r="F7" s="2070">
        <v>8.0618228718830611</v>
      </c>
      <c r="G7" s="2070">
        <v>8.5542562338779025</v>
      </c>
      <c r="H7" s="2070">
        <v>5.8512467755803952</v>
      </c>
      <c r="I7" s="2070">
        <v>5.6100601891659503</v>
      </c>
      <c r="J7" s="2070">
        <v>3.599838131658363</v>
      </c>
      <c r="K7" s="2070">
        <v>0</v>
      </c>
      <c r="L7" s="2070">
        <v>0</v>
      </c>
      <c r="M7" s="2070">
        <v>17.06259673258813</v>
      </c>
      <c r="N7" s="2070">
        <v>8.6744464152319658</v>
      </c>
      <c r="O7" s="2070">
        <v>8.737512469952442</v>
      </c>
      <c r="P7" s="2070">
        <v>7.3229627500277079</v>
      </c>
      <c r="Q7" s="2070">
        <v>3.1052326466405211</v>
      </c>
      <c r="R7" s="2070">
        <v>5.5744099649341692</v>
      </c>
      <c r="S7" s="2070">
        <v>4.963225613356081</v>
      </c>
      <c r="T7" s="2070">
        <v>4.4181619299394432</v>
      </c>
      <c r="U7" s="2070">
        <v>2.2369720123365902</v>
      </c>
      <c r="V7" s="2070">
        <v>3.1809105440706174</v>
      </c>
      <c r="W7" s="2070">
        <v>12.463420901683177</v>
      </c>
      <c r="X7" s="2070">
        <v>13.079617921723379</v>
      </c>
    </row>
    <row r="8" spans="1:24" ht="11.25" customHeight="1">
      <c r="A8" s="2065" t="s">
        <v>5746</v>
      </c>
      <c r="B8" s="2066" t="s">
        <v>5747</v>
      </c>
      <c r="C8" s="2067">
        <v>0</v>
      </c>
      <c r="D8" s="2067">
        <v>0</v>
      </c>
      <c r="E8" s="2067">
        <v>0</v>
      </c>
      <c r="F8" s="2067">
        <v>0</v>
      </c>
      <c r="G8" s="2067">
        <v>0</v>
      </c>
      <c r="H8" s="2067">
        <v>0</v>
      </c>
      <c r="I8" s="2067">
        <v>0</v>
      </c>
      <c r="J8" s="2067">
        <v>0</v>
      </c>
      <c r="K8" s="2067">
        <v>0</v>
      </c>
      <c r="L8" s="2067">
        <v>0</v>
      </c>
      <c r="M8" s="2067">
        <v>0</v>
      </c>
      <c r="N8" s="2067">
        <v>0</v>
      </c>
      <c r="O8" s="2067">
        <v>0</v>
      </c>
      <c r="P8" s="2067">
        <v>0</v>
      </c>
      <c r="Q8" s="2067">
        <v>0</v>
      </c>
      <c r="R8" s="2067">
        <v>0</v>
      </c>
      <c r="S8" s="2067">
        <v>0</v>
      </c>
      <c r="T8" s="2067">
        <v>0.12347377472055029</v>
      </c>
      <c r="U8" s="2067">
        <v>0</v>
      </c>
      <c r="V8" s="2067">
        <v>0</v>
      </c>
      <c r="W8" s="2067">
        <v>0</v>
      </c>
      <c r="X8" s="2067">
        <v>0</v>
      </c>
    </row>
    <row r="9" spans="1:24" ht="11.25" customHeight="1">
      <c r="A9" s="2068" t="s">
        <v>4649</v>
      </c>
      <c r="B9" s="2069" t="s">
        <v>5748</v>
      </c>
      <c r="C9" s="2070">
        <v>0</v>
      </c>
      <c r="D9" s="2070">
        <v>0</v>
      </c>
      <c r="E9" s="2070">
        <v>0</v>
      </c>
      <c r="F9" s="2070">
        <v>0</v>
      </c>
      <c r="G9" s="2070">
        <v>0</v>
      </c>
      <c r="H9" s="2070">
        <v>0</v>
      </c>
      <c r="I9" s="2070">
        <v>0</v>
      </c>
      <c r="J9" s="2070">
        <v>0</v>
      </c>
      <c r="K9" s="2070">
        <v>0</v>
      </c>
      <c r="L9" s="2070">
        <v>0</v>
      </c>
      <c r="M9" s="2070">
        <v>0</v>
      </c>
      <c r="N9" s="2070">
        <v>0</v>
      </c>
      <c r="O9" s="2070">
        <v>0</v>
      </c>
      <c r="P9" s="2070">
        <v>0</v>
      </c>
      <c r="Q9" s="2070">
        <v>0</v>
      </c>
      <c r="R9" s="2070">
        <v>0</v>
      </c>
      <c r="S9" s="2070">
        <v>0</v>
      </c>
      <c r="T9" s="2070">
        <v>0</v>
      </c>
      <c r="U9" s="2070">
        <v>0</v>
      </c>
      <c r="V9" s="2070">
        <v>0</v>
      </c>
      <c r="W9" s="2070">
        <v>0</v>
      </c>
      <c r="X9" s="2070">
        <v>0</v>
      </c>
    </row>
    <row r="10" spans="1:24" ht="11.25" customHeight="1">
      <c r="A10" s="2068" t="s">
        <v>4290</v>
      </c>
      <c r="B10" s="2069" t="s">
        <v>5749</v>
      </c>
      <c r="C10" s="2070">
        <v>0</v>
      </c>
      <c r="D10" s="2070">
        <v>0</v>
      </c>
      <c r="E10" s="2070">
        <v>0</v>
      </c>
      <c r="F10" s="2070">
        <v>0</v>
      </c>
      <c r="G10" s="2070">
        <v>0</v>
      </c>
      <c r="H10" s="2070">
        <v>0</v>
      </c>
      <c r="I10" s="2070">
        <v>0</v>
      </c>
      <c r="J10" s="2070">
        <v>0</v>
      </c>
      <c r="K10" s="2070">
        <v>0</v>
      </c>
      <c r="L10" s="2070">
        <v>0</v>
      </c>
      <c r="M10" s="2070">
        <v>0</v>
      </c>
      <c r="N10" s="2070">
        <v>0</v>
      </c>
      <c r="O10" s="2070">
        <v>0</v>
      </c>
      <c r="P10" s="2070">
        <v>0</v>
      </c>
      <c r="Q10" s="2070">
        <v>0</v>
      </c>
      <c r="R10" s="2070">
        <v>0</v>
      </c>
      <c r="S10" s="2070">
        <v>0</v>
      </c>
      <c r="T10" s="2070">
        <v>0.12347377472055029</v>
      </c>
      <c r="U10" s="2070">
        <v>0</v>
      </c>
      <c r="V10" s="2070">
        <v>0</v>
      </c>
      <c r="W10" s="2070">
        <v>0</v>
      </c>
      <c r="X10" s="2070">
        <v>0</v>
      </c>
    </row>
    <row r="11" spans="1:24" ht="11.25" customHeight="1">
      <c r="A11" s="2065" t="s">
        <v>5750</v>
      </c>
      <c r="B11" s="2066" t="s">
        <v>5751</v>
      </c>
      <c r="C11" s="2067">
        <v>260.56476180478592</v>
      </c>
      <c r="D11" s="2067">
        <v>269.01181012709242</v>
      </c>
      <c r="E11" s="2067">
        <v>255.56014506752109</v>
      </c>
      <c r="F11" s="2067">
        <v>268.75770784756207</v>
      </c>
      <c r="G11" s="2067">
        <v>292.8075344328455</v>
      </c>
      <c r="H11" s="2067">
        <v>297.82559160354464</v>
      </c>
      <c r="I11" s="2067">
        <v>342.39147254636737</v>
      </c>
      <c r="J11" s="2067">
        <v>345.51211174394814</v>
      </c>
      <c r="K11" s="2067">
        <v>354.18688626511272</v>
      </c>
      <c r="L11" s="2067">
        <v>263.97504803953052</v>
      </c>
      <c r="M11" s="2067">
        <v>595.05761872115806</v>
      </c>
      <c r="N11" s="2067">
        <v>574.27276440240746</v>
      </c>
      <c r="O11" s="2067">
        <v>615.26773457960769</v>
      </c>
      <c r="P11" s="2067">
        <v>628.87726961775991</v>
      </c>
      <c r="Q11" s="2067">
        <v>611.97669819432497</v>
      </c>
      <c r="R11" s="2067">
        <v>671.63981083404974</v>
      </c>
      <c r="S11" s="2067">
        <v>681.82854686156497</v>
      </c>
      <c r="T11" s="2067">
        <v>679.32309807166735</v>
      </c>
      <c r="U11" s="2067">
        <v>664.87382484272177</v>
      </c>
      <c r="V11" s="2067">
        <v>659.10796806638302</v>
      </c>
      <c r="W11" s="2067">
        <v>565.52830417502321</v>
      </c>
      <c r="X11" s="2067">
        <v>602.14356009672292</v>
      </c>
    </row>
    <row r="12" spans="1:24" ht="11.25" customHeight="1">
      <c r="A12" s="2068" t="s">
        <v>4650</v>
      </c>
      <c r="B12" s="2069" t="s">
        <v>5752</v>
      </c>
      <c r="C12" s="2070">
        <v>0</v>
      </c>
      <c r="D12" s="2070">
        <v>0</v>
      </c>
      <c r="E12" s="2070">
        <v>0</v>
      </c>
      <c r="F12" s="2070">
        <v>0</v>
      </c>
      <c r="G12" s="2070">
        <v>0</v>
      </c>
      <c r="H12" s="2070">
        <v>0</v>
      </c>
      <c r="I12" s="2070">
        <v>0</v>
      </c>
      <c r="J12" s="2070">
        <v>0</v>
      </c>
      <c r="K12" s="2070">
        <v>0</v>
      </c>
      <c r="L12" s="2070">
        <v>0</v>
      </c>
      <c r="M12" s="2070">
        <v>0</v>
      </c>
      <c r="N12" s="2070">
        <v>0</v>
      </c>
      <c r="O12" s="2070">
        <v>0</v>
      </c>
      <c r="P12" s="2070">
        <v>0</v>
      </c>
      <c r="Q12" s="2070">
        <v>0</v>
      </c>
      <c r="R12" s="2070">
        <v>0</v>
      </c>
      <c r="S12" s="2070">
        <v>0</v>
      </c>
      <c r="T12" s="2070">
        <v>0</v>
      </c>
      <c r="U12" s="2070">
        <v>0</v>
      </c>
      <c r="V12" s="2070">
        <v>0</v>
      </c>
      <c r="W12" s="2070">
        <v>0</v>
      </c>
      <c r="X12" s="2070">
        <v>0</v>
      </c>
    </row>
    <row r="13" spans="1:24" ht="11.25" customHeight="1">
      <c r="A13" s="2068" t="s">
        <v>4651</v>
      </c>
      <c r="B13" s="2069" t="s">
        <v>5753</v>
      </c>
      <c r="C13" s="2070">
        <v>50.428764815125113</v>
      </c>
      <c r="D13" s="2070">
        <v>52.492335630103724</v>
      </c>
      <c r="E13" s="2070">
        <v>60.029958893814936</v>
      </c>
      <c r="F13" s="2070">
        <v>67.412502261278277</v>
      </c>
      <c r="G13" s="2070">
        <v>74.780189858647049</v>
      </c>
      <c r="H13" s="2070">
        <v>72.438377997194564</v>
      </c>
      <c r="I13" s="2070">
        <v>71.142371377907438</v>
      </c>
      <c r="J13" s="2070">
        <v>71.293154392701382</v>
      </c>
      <c r="K13" s="2070">
        <v>60.821050367098103</v>
      </c>
      <c r="L13" s="2070">
        <v>34.533689484070507</v>
      </c>
      <c r="M13" s="2070">
        <v>30.122623020384207</v>
      </c>
      <c r="N13" s="2070">
        <v>38.234415305245051</v>
      </c>
      <c r="O13" s="2070">
        <v>32.055610761894904</v>
      </c>
      <c r="P13" s="2070">
        <v>18.385124677558039</v>
      </c>
      <c r="Q13" s="2070">
        <v>16.606706792777299</v>
      </c>
      <c r="R13" s="2070">
        <v>19.48306104901118</v>
      </c>
      <c r="S13" s="2070">
        <v>12.583576956147891</v>
      </c>
      <c r="T13" s="2070">
        <v>35.598796216681002</v>
      </c>
      <c r="U13" s="2070">
        <v>22.982889079965609</v>
      </c>
      <c r="V13" s="2070">
        <v>21.414789337919171</v>
      </c>
      <c r="W13" s="2070">
        <v>20.877730008598451</v>
      </c>
      <c r="X13" s="2070">
        <v>37.018658641444539</v>
      </c>
    </row>
    <row r="14" spans="1:24" ht="11.25" customHeight="1">
      <c r="A14" s="2068" t="s">
        <v>4652</v>
      </c>
      <c r="B14" s="2069" t="s">
        <v>5754</v>
      </c>
      <c r="C14" s="2070">
        <v>0</v>
      </c>
      <c r="D14" s="2070">
        <v>0</v>
      </c>
      <c r="E14" s="2070">
        <v>0</v>
      </c>
      <c r="F14" s="2070">
        <v>0</v>
      </c>
      <c r="G14" s="2070">
        <v>0</v>
      </c>
      <c r="H14" s="2070">
        <v>0</v>
      </c>
      <c r="I14" s="2070">
        <v>0</v>
      </c>
      <c r="J14" s="2070">
        <v>0</v>
      </c>
      <c r="K14" s="2070">
        <v>0</v>
      </c>
      <c r="L14" s="2070">
        <v>0</v>
      </c>
      <c r="M14" s="2070">
        <v>0</v>
      </c>
      <c r="N14" s="2070">
        <v>0</v>
      </c>
      <c r="O14" s="2070">
        <v>0</v>
      </c>
      <c r="P14" s="2070">
        <v>0</v>
      </c>
      <c r="Q14" s="2070">
        <v>0</v>
      </c>
      <c r="R14" s="2070">
        <v>0</v>
      </c>
      <c r="S14" s="2070">
        <v>0</v>
      </c>
      <c r="T14" s="2070">
        <v>0</v>
      </c>
      <c r="U14" s="2070">
        <v>0</v>
      </c>
      <c r="V14" s="2070">
        <v>0</v>
      </c>
      <c r="W14" s="2070">
        <v>0</v>
      </c>
      <c r="X14" s="2070">
        <v>0</v>
      </c>
    </row>
    <row r="15" spans="1:24" ht="11.25" customHeight="1">
      <c r="A15" s="2068" t="s">
        <v>4653</v>
      </c>
      <c r="B15" s="2069" t="s">
        <v>5755</v>
      </c>
      <c r="C15" s="2070">
        <v>210.13599698966081</v>
      </c>
      <c r="D15" s="2070">
        <v>216.51947449698869</v>
      </c>
      <c r="E15" s="2070">
        <v>195.53018617370614</v>
      </c>
      <c r="F15" s="2070">
        <v>201.34520558628378</v>
      </c>
      <c r="G15" s="2070">
        <v>218.02734457419845</v>
      </c>
      <c r="H15" s="2070">
        <v>225.38721360635009</v>
      </c>
      <c r="I15" s="2070">
        <v>271.24910116845996</v>
      </c>
      <c r="J15" s="2070">
        <v>274.21895735124673</v>
      </c>
      <c r="K15" s="2070">
        <v>293.36583589801461</v>
      </c>
      <c r="L15" s="2070">
        <v>229.44135855546</v>
      </c>
      <c r="M15" s="2070">
        <v>564.93499570077381</v>
      </c>
      <c r="N15" s="2070">
        <v>536.03834909716238</v>
      </c>
      <c r="O15" s="2070">
        <v>583.21212381771284</v>
      </c>
      <c r="P15" s="2070">
        <v>610.49214494020191</v>
      </c>
      <c r="Q15" s="2070">
        <v>595.36999140154762</v>
      </c>
      <c r="R15" s="2070">
        <v>652.15674978503853</v>
      </c>
      <c r="S15" s="2070">
        <v>669.24496990541707</v>
      </c>
      <c r="T15" s="2070">
        <v>643.72430185498638</v>
      </c>
      <c r="U15" s="2070">
        <v>641.89093576275616</v>
      </c>
      <c r="V15" s="2070">
        <v>637.69317872846386</v>
      </c>
      <c r="W15" s="2070">
        <v>544.6505741664248</v>
      </c>
      <c r="X15" s="2070">
        <v>565.1249014552784</v>
      </c>
    </row>
    <row r="16" spans="1:24" ht="11.25" customHeight="1">
      <c r="A16" s="2068" t="s">
        <v>5756</v>
      </c>
      <c r="B16" s="2069" t="s">
        <v>5757</v>
      </c>
      <c r="C16" s="2070">
        <v>0</v>
      </c>
      <c r="D16" s="2070">
        <v>0</v>
      </c>
      <c r="E16" s="2070">
        <v>0</v>
      </c>
      <c r="F16" s="2070">
        <v>0</v>
      </c>
      <c r="G16" s="2070">
        <v>0</v>
      </c>
      <c r="H16" s="2070">
        <v>0</v>
      </c>
      <c r="I16" s="2070">
        <v>0</v>
      </c>
      <c r="J16" s="2070">
        <v>0</v>
      </c>
      <c r="K16" s="2070">
        <v>0</v>
      </c>
      <c r="L16" s="2070">
        <v>0</v>
      </c>
      <c r="M16" s="2070">
        <v>0</v>
      </c>
      <c r="N16" s="2070">
        <v>0</v>
      </c>
      <c r="O16" s="2070">
        <v>0</v>
      </c>
      <c r="P16" s="2070">
        <v>0</v>
      </c>
      <c r="Q16" s="2070">
        <v>0</v>
      </c>
      <c r="R16" s="2070">
        <v>0</v>
      </c>
      <c r="S16" s="2070">
        <v>0</v>
      </c>
      <c r="T16" s="2070">
        <v>0</v>
      </c>
      <c r="U16" s="2070">
        <v>0</v>
      </c>
      <c r="V16" s="2070">
        <v>0</v>
      </c>
      <c r="W16" s="2070">
        <v>0</v>
      </c>
      <c r="X16" s="2070">
        <v>0</v>
      </c>
    </row>
    <row r="17" spans="1:24" ht="11.25" customHeight="1">
      <c r="A17" s="2071" t="s">
        <v>5758</v>
      </c>
      <c r="B17" s="2072" t="s">
        <v>5759</v>
      </c>
      <c r="C17" s="2073">
        <v>0</v>
      </c>
      <c r="D17" s="2073">
        <v>0</v>
      </c>
      <c r="E17" s="2073">
        <v>0</v>
      </c>
      <c r="F17" s="2073">
        <v>0</v>
      </c>
      <c r="G17" s="2073">
        <v>0</v>
      </c>
      <c r="H17" s="2073">
        <v>0</v>
      </c>
      <c r="I17" s="2073">
        <v>0</v>
      </c>
      <c r="J17" s="2073">
        <v>0</v>
      </c>
      <c r="K17" s="2073">
        <v>0</v>
      </c>
      <c r="L17" s="2073">
        <v>0</v>
      </c>
      <c r="M17" s="2073">
        <v>0</v>
      </c>
      <c r="N17" s="2073">
        <v>0</v>
      </c>
      <c r="O17" s="2073">
        <v>0</v>
      </c>
      <c r="P17" s="2073">
        <v>0</v>
      </c>
      <c r="Q17" s="2073">
        <v>0</v>
      </c>
      <c r="R17" s="2073">
        <v>0</v>
      </c>
      <c r="S17" s="2073">
        <v>0</v>
      </c>
      <c r="T17" s="2073">
        <v>0</v>
      </c>
      <c r="U17" s="2073">
        <v>0</v>
      </c>
      <c r="V17" s="2073">
        <v>0</v>
      </c>
      <c r="W17" s="2073">
        <v>0</v>
      </c>
      <c r="X17" s="2073">
        <v>0</v>
      </c>
    </row>
    <row r="18" spans="1:24" ht="11.25" customHeight="1">
      <c r="A18" s="2074" t="s">
        <v>4654</v>
      </c>
      <c r="B18" s="2069" t="s">
        <v>5760</v>
      </c>
      <c r="C18" s="2070">
        <v>0</v>
      </c>
      <c r="D18" s="2070">
        <v>0</v>
      </c>
      <c r="E18" s="2070">
        <v>0</v>
      </c>
      <c r="F18" s="2070">
        <v>0</v>
      </c>
      <c r="G18" s="2070">
        <v>0</v>
      </c>
      <c r="H18" s="2070">
        <v>0</v>
      </c>
      <c r="I18" s="2070">
        <v>0</v>
      </c>
      <c r="J18" s="2070">
        <v>0</v>
      </c>
      <c r="K18" s="2070">
        <v>0</v>
      </c>
      <c r="L18" s="2070">
        <v>0</v>
      </c>
      <c r="M18" s="2070">
        <v>0</v>
      </c>
      <c r="N18" s="2070">
        <v>0</v>
      </c>
      <c r="O18" s="2070">
        <v>0</v>
      </c>
      <c r="P18" s="2070">
        <v>0</v>
      </c>
      <c r="Q18" s="2070">
        <v>0</v>
      </c>
      <c r="R18" s="2070">
        <v>0</v>
      </c>
      <c r="S18" s="2070">
        <v>0</v>
      </c>
      <c r="T18" s="2070">
        <v>0</v>
      </c>
      <c r="U18" s="2070">
        <v>0</v>
      </c>
      <c r="V18" s="2070">
        <v>0</v>
      </c>
      <c r="W18" s="2070">
        <v>0</v>
      </c>
      <c r="X18" s="2070">
        <v>0</v>
      </c>
    </row>
    <row r="19" spans="1:24" ht="11.25" customHeight="1">
      <c r="A19" s="2074" t="s">
        <v>4655</v>
      </c>
      <c r="B19" s="2069" t="s">
        <v>5761</v>
      </c>
      <c r="C19" s="2070">
        <v>0</v>
      </c>
      <c r="D19" s="2070">
        <v>0</v>
      </c>
      <c r="E19" s="2070">
        <v>0</v>
      </c>
      <c r="F19" s="2070">
        <v>0</v>
      </c>
      <c r="G19" s="2070">
        <v>0</v>
      </c>
      <c r="H19" s="2070">
        <v>0</v>
      </c>
      <c r="I19" s="2070">
        <v>0</v>
      </c>
      <c r="J19" s="2070">
        <v>0</v>
      </c>
      <c r="K19" s="2070">
        <v>0</v>
      </c>
      <c r="L19" s="2070">
        <v>0</v>
      </c>
      <c r="M19" s="2070">
        <v>0</v>
      </c>
      <c r="N19" s="2070">
        <v>0</v>
      </c>
      <c r="O19" s="2070">
        <v>0</v>
      </c>
      <c r="P19" s="2070">
        <v>0</v>
      </c>
      <c r="Q19" s="2070">
        <v>0</v>
      </c>
      <c r="R19" s="2070">
        <v>0</v>
      </c>
      <c r="S19" s="2070">
        <v>0</v>
      </c>
      <c r="T19" s="2070">
        <v>0</v>
      </c>
      <c r="U19" s="2070">
        <v>0</v>
      </c>
      <c r="V19" s="2070">
        <v>0</v>
      </c>
      <c r="W19" s="2070">
        <v>0</v>
      </c>
      <c r="X19" s="2070">
        <v>0</v>
      </c>
    </row>
    <row r="20" spans="1:24" ht="11.25" customHeight="1">
      <c r="A20" s="2074" t="s">
        <v>4656</v>
      </c>
      <c r="B20" s="2069" t="s">
        <v>5762</v>
      </c>
      <c r="C20" s="2070">
        <v>0</v>
      </c>
      <c r="D20" s="2070">
        <v>0</v>
      </c>
      <c r="E20" s="2070">
        <v>0</v>
      </c>
      <c r="F20" s="2070">
        <v>0</v>
      </c>
      <c r="G20" s="2070">
        <v>0</v>
      </c>
      <c r="H20" s="2070">
        <v>0</v>
      </c>
      <c r="I20" s="2070">
        <v>0</v>
      </c>
      <c r="J20" s="2070">
        <v>0</v>
      </c>
      <c r="K20" s="2070">
        <v>0</v>
      </c>
      <c r="L20" s="2070">
        <v>0</v>
      </c>
      <c r="M20" s="2070">
        <v>0</v>
      </c>
      <c r="N20" s="2070">
        <v>0</v>
      </c>
      <c r="O20" s="2070">
        <v>0</v>
      </c>
      <c r="P20" s="2070">
        <v>0</v>
      </c>
      <c r="Q20" s="2070">
        <v>0</v>
      </c>
      <c r="R20" s="2070">
        <v>0</v>
      </c>
      <c r="S20" s="2070">
        <v>0</v>
      </c>
      <c r="T20" s="2070">
        <v>0</v>
      </c>
      <c r="U20" s="2070">
        <v>0</v>
      </c>
      <c r="V20" s="2070">
        <v>0</v>
      </c>
      <c r="W20" s="2070">
        <v>0</v>
      </c>
      <c r="X20" s="2070">
        <v>0</v>
      </c>
    </row>
    <row r="21" spans="1:24" ht="11.25" customHeight="1">
      <c r="A21" s="2074" t="s">
        <v>4615</v>
      </c>
      <c r="B21" s="2069" t="s">
        <v>5763</v>
      </c>
      <c r="C21" s="2070">
        <v>0</v>
      </c>
      <c r="D21" s="2070">
        <v>0</v>
      </c>
      <c r="E21" s="2070">
        <v>0</v>
      </c>
      <c r="F21" s="2070">
        <v>0</v>
      </c>
      <c r="G21" s="2070">
        <v>0</v>
      </c>
      <c r="H21" s="2070">
        <v>0</v>
      </c>
      <c r="I21" s="2070">
        <v>0</v>
      </c>
      <c r="J21" s="2070">
        <v>0</v>
      </c>
      <c r="K21" s="2070">
        <v>0</v>
      </c>
      <c r="L21" s="2070">
        <v>0</v>
      </c>
      <c r="M21" s="2070">
        <v>0</v>
      </c>
      <c r="N21" s="2070">
        <v>0</v>
      </c>
      <c r="O21" s="2070">
        <v>0</v>
      </c>
      <c r="P21" s="2070">
        <v>0</v>
      </c>
      <c r="Q21" s="2070">
        <v>0</v>
      </c>
      <c r="R21" s="2070">
        <v>0</v>
      </c>
      <c r="S21" s="2070">
        <v>0</v>
      </c>
      <c r="T21" s="2070">
        <v>0</v>
      </c>
      <c r="U21" s="2070">
        <v>0</v>
      </c>
      <c r="V21" s="2070">
        <v>0</v>
      </c>
      <c r="W21" s="2070">
        <v>0</v>
      </c>
      <c r="X21" s="2070">
        <v>0</v>
      </c>
    </row>
    <row r="22" spans="1:24" ht="11.25" customHeight="1">
      <c r="A22" s="2071" t="s">
        <v>4741</v>
      </c>
      <c r="B22" s="2072" t="s">
        <v>5764</v>
      </c>
      <c r="C22" s="2073">
        <v>0</v>
      </c>
      <c r="D22" s="2073">
        <v>0</v>
      </c>
      <c r="E22" s="2073">
        <v>0</v>
      </c>
      <c r="F22" s="2073">
        <v>0</v>
      </c>
      <c r="G22" s="2073">
        <v>0</v>
      </c>
      <c r="H22" s="2073">
        <v>0</v>
      </c>
      <c r="I22" s="2073">
        <v>0</v>
      </c>
      <c r="J22" s="2073">
        <v>0</v>
      </c>
      <c r="K22" s="2073">
        <v>0</v>
      </c>
      <c r="L22" s="2073">
        <v>0</v>
      </c>
      <c r="M22" s="2073">
        <v>0</v>
      </c>
      <c r="N22" s="2073">
        <v>0</v>
      </c>
      <c r="O22" s="2073">
        <v>0</v>
      </c>
      <c r="P22" s="2073">
        <v>0</v>
      </c>
      <c r="Q22" s="2073">
        <v>0</v>
      </c>
      <c r="R22" s="2073">
        <v>0</v>
      </c>
      <c r="S22" s="2073">
        <v>0</v>
      </c>
      <c r="T22" s="2073">
        <v>0</v>
      </c>
      <c r="U22" s="2073">
        <v>0</v>
      </c>
      <c r="V22" s="2073">
        <v>0</v>
      </c>
      <c r="W22" s="2073">
        <v>0</v>
      </c>
      <c r="X22" s="2073">
        <v>0</v>
      </c>
    </row>
    <row r="23" spans="1:24" ht="11.25" customHeight="1">
      <c r="A23" s="2074" t="s">
        <v>559</v>
      </c>
      <c r="B23" s="2069" t="s">
        <v>5765</v>
      </c>
      <c r="C23" s="2070">
        <v>0</v>
      </c>
      <c r="D23" s="2070">
        <v>0</v>
      </c>
      <c r="E23" s="2070">
        <v>0</v>
      </c>
      <c r="F23" s="2070">
        <v>0</v>
      </c>
      <c r="G23" s="2070">
        <v>0</v>
      </c>
      <c r="H23" s="2070">
        <v>0</v>
      </c>
      <c r="I23" s="2070">
        <v>0</v>
      </c>
      <c r="J23" s="2070">
        <v>0</v>
      </c>
      <c r="K23" s="2070">
        <v>0</v>
      </c>
      <c r="L23" s="2070">
        <v>0</v>
      </c>
      <c r="M23" s="2070">
        <v>0</v>
      </c>
      <c r="N23" s="2070">
        <v>0</v>
      </c>
      <c r="O23" s="2070">
        <v>0</v>
      </c>
      <c r="P23" s="2070">
        <v>0</v>
      </c>
      <c r="Q23" s="2070">
        <v>0</v>
      </c>
      <c r="R23" s="2070">
        <v>0</v>
      </c>
      <c r="S23" s="2070">
        <v>0</v>
      </c>
      <c r="T23" s="2070">
        <v>0</v>
      </c>
      <c r="U23" s="2070">
        <v>0</v>
      </c>
      <c r="V23" s="2070">
        <v>0</v>
      </c>
      <c r="W23" s="2070">
        <v>0</v>
      </c>
      <c r="X23" s="2070">
        <v>0</v>
      </c>
    </row>
    <row r="24" spans="1:24" ht="11.25" customHeight="1">
      <c r="A24" s="2074" t="s">
        <v>4657</v>
      </c>
      <c r="B24" s="2069" t="s">
        <v>5766</v>
      </c>
      <c r="C24" s="2070">
        <v>0</v>
      </c>
      <c r="D24" s="2070">
        <v>0</v>
      </c>
      <c r="E24" s="2070">
        <v>0</v>
      </c>
      <c r="F24" s="2070">
        <v>0</v>
      </c>
      <c r="G24" s="2070">
        <v>0</v>
      </c>
      <c r="H24" s="2070">
        <v>0</v>
      </c>
      <c r="I24" s="2070">
        <v>0</v>
      </c>
      <c r="J24" s="2070">
        <v>0</v>
      </c>
      <c r="K24" s="2070">
        <v>0</v>
      </c>
      <c r="L24" s="2070">
        <v>0</v>
      </c>
      <c r="M24" s="2070">
        <v>0</v>
      </c>
      <c r="N24" s="2070">
        <v>0</v>
      </c>
      <c r="O24" s="2070">
        <v>0</v>
      </c>
      <c r="P24" s="2070">
        <v>0</v>
      </c>
      <c r="Q24" s="2070">
        <v>0</v>
      </c>
      <c r="R24" s="2070">
        <v>0</v>
      </c>
      <c r="S24" s="2070">
        <v>0</v>
      </c>
      <c r="T24" s="2070">
        <v>0</v>
      </c>
      <c r="U24" s="2070">
        <v>0</v>
      </c>
      <c r="V24" s="2070">
        <v>0</v>
      </c>
      <c r="W24" s="2070">
        <v>0</v>
      </c>
      <c r="X24" s="2070">
        <v>0</v>
      </c>
    </row>
    <row r="25" spans="1:24" ht="11.25" customHeight="1">
      <c r="A25" s="2071" t="s">
        <v>4658</v>
      </c>
      <c r="B25" s="2072" t="s">
        <v>5767</v>
      </c>
      <c r="C25" s="2073">
        <v>0</v>
      </c>
      <c r="D25" s="2073">
        <v>0</v>
      </c>
      <c r="E25" s="2073">
        <v>0</v>
      </c>
      <c r="F25" s="2073">
        <v>0</v>
      </c>
      <c r="G25" s="2073">
        <v>0</v>
      </c>
      <c r="H25" s="2073">
        <v>0</v>
      </c>
      <c r="I25" s="2073">
        <v>0</v>
      </c>
      <c r="J25" s="2073">
        <v>0</v>
      </c>
      <c r="K25" s="2073">
        <v>0</v>
      </c>
      <c r="L25" s="2073">
        <v>0</v>
      </c>
      <c r="M25" s="2073">
        <v>0</v>
      </c>
      <c r="N25" s="2073">
        <v>0</v>
      </c>
      <c r="O25" s="2073">
        <v>0</v>
      </c>
      <c r="P25" s="2073">
        <v>0</v>
      </c>
      <c r="Q25" s="2073">
        <v>0</v>
      </c>
      <c r="R25" s="2073">
        <v>0</v>
      </c>
      <c r="S25" s="2073">
        <v>0</v>
      </c>
      <c r="T25" s="2073">
        <v>0</v>
      </c>
      <c r="U25" s="2073">
        <v>0</v>
      </c>
      <c r="V25" s="2073">
        <v>0</v>
      </c>
      <c r="W25" s="2073">
        <v>0</v>
      </c>
      <c r="X25" s="2073">
        <v>0</v>
      </c>
    </row>
    <row r="26" spans="1:24" ht="11.25" customHeight="1">
      <c r="A26" s="2071" t="s">
        <v>3872</v>
      </c>
      <c r="B26" s="2072" t="s">
        <v>5768</v>
      </c>
      <c r="C26" s="2073">
        <v>61860.711404376489</v>
      </c>
      <c r="D26" s="2073">
        <v>62862.157351370406</v>
      </c>
      <c r="E26" s="2073">
        <v>63445.779927516087</v>
      </c>
      <c r="F26" s="2073">
        <v>62452.630695055668</v>
      </c>
      <c r="G26" s="2073">
        <v>62789.98575614304</v>
      </c>
      <c r="H26" s="2073">
        <v>63545.091092509057</v>
      </c>
      <c r="I26" s="2073">
        <v>63845.014582920056</v>
      </c>
      <c r="J26" s="2073">
        <v>63975.820861143671</v>
      </c>
      <c r="K26" s="2073">
        <v>62119.289491761243</v>
      </c>
      <c r="L26" s="2073">
        <v>56361.834818761774</v>
      </c>
      <c r="M26" s="2073">
        <v>59302.376477102458</v>
      </c>
      <c r="N26" s="2073">
        <v>57121.015273214798</v>
      </c>
      <c r="O26" s="2073">
        <v>56545.230868845385</v>
      </c>
      <c r="P26" s="2073">
        <v>55122.876204833367</v>
      </c>
      <c r="Q26" s="2073">
        <v>57881.581214344478</v>
      </c>
      <c r="R26" s="2073">
        <v>54726.467465483154</v>
      </c>
      <c r="S26" s="2073">
        <v>54922.457182702725</v>
      </c>
      <c r="T26" s="2073">
        <v>60311.998049786125</v>
      </c>
      <c r="U26" s="2073">
        <v>57028.049413545217</v>
      </c>
      <c r="V26" s="2073">
        <v>55758.46714191643</v>
      </c>
      <c r="W26" s="2073">
        <v>55831.85453860477</v>
      </c>
      <c r="X26" s="2073">
        <v>57457.688591200014</v>
      </c>
    </row>
    <row r="27" spans="1:24" ht="11.25" customHeight="1">
      <c r="A27" s="2065" t="s">
        <v>5769</v>
      </c>
      <c r="B27" s="2066" t="s">
        <v>5770</v>
      </c>
      <c r="C27" s="2067">
        <v>2787.2362854686162</v>
      </c>
      <c r="D27" s="2067">
        <v>2802.0866723989684</v>
      </c>
      <c r="E27" s="2067">
        <v>3445.1362854686158</v>
      </c>
      <c r="F27" s="2067">
        <v>3079.1118658641449</v>
      </c>
      <c r="G27" s="2067">
        <v>3033.0369733447978</v>
      </c>
      <c r="H27" s="2067">
        <v>3358.8422184006877</v>
      </c>
      <c r="I27" s="2067">
        <v>3659.3102321582105</v>
      </c>
      <c r="J27" s="2067">
        <v>3013.9121238177131</v>
      </c>
      <c r="K27" s="2067">
        <v>2933.0036973344795</v>
      </c>
      <c r="L27" s="2067">
        <v>2836.7970765262257</v>
      </c>
      <c r="M27" s="2067">
        <v>2796.814187446259</v>
      </c>
      <c r="N27" s="2067">
        <v>2885.5687016337051</v>
      </c>
      <c r="O27" s="2067">
        <v>2579.846087704213</v>
      </c>
      <c r="P27" s="2067">
        <v>2669.7482373172829</v>
      </c>
      <c r="Q27" s="2067">
        <v>2718.4721410146171</v>
      </c>
      <c r="R27" s="2067">
        <v>2205.9370593293211</v>
      </c>
      <c r="S27" s="2067">
        <v>2304.3441960447117</v>
      </c>
      <c r="T27" s="2067">
        <v>2165.577042132416</v>
      </c>
      <c r="U27" s="2067">
        <v>1747.5969045571801</v>
      </c>
      <c r="V27" s="2067">
        <v>1468.4280309544281</v>
      </c>
      <c r="W27" s="2067">
        <v>1626.267067927773</v>
      </c>
      <c r="X27" s="2067">
        <v>1433.622269991401</v>
      </c>
    </row>
    <row r="28" spans="1:24" ht="11.25" customHeight="1">
      <c r="A28" s="2068" t="s">
        <v>4659</v>
      </c>
      <c r="B28" s="2069" t="s">
        <v>5771</v>
      </c>
      <c r="C28" s="2070">
        <v>0</v>
      </c>
      <c r="D28" s="2070">
        <v>0</v>
      </c>
      <c r="E28" s="2070">
        <v>0</v>
      </c>
      <c r="F28" s="2070">
        <v>0</v>
      </c>
      <c r="G28" s="2070">
        <v>0</v>
      </c>
      <c r="H28" s="2070">
        <v>0</v>
      </c>
      <c r="I28" s="2070">
        <v>0</v>
      </c>
      <c r="J28" s="2070">
        <v>0</v>
      </c>
      <c r="K28" s="2070">
        <v>0</v>
      </c>
      <c r="L28" s="2070">
        <v>0</v>
      </c>
      <c r="M28" s="2070">
        <v>0</v>
      </c>
      <c r="N28" s="2070">
        <v>0</v>
      </c>
      <c r="O28" s="2070">
        <v>0</v>
      </c>
      <c r="P28" s="2070">
        <v>0</v>
      </c>
      <c r="Q28" s="2070">
        <v>0</v>
      </c>
      <c r="R28" s="2070">
        <v>0</v>
      </c>
      <c r="S28" s="2070">
        <v>0</v>
      </c>
      <c r="T28" s="2070">
        <v>0</v>
      </c>
      <c r="U28" s="2070">
        <v>0</v>
      </c>
      <c r="V28" s="2070">
        <v>0</v>
      </c>
      <c r="W28" s="2070">
        <v>0</v>
      </c>
      <c r="X28" s="2070">
        <v>0</v>
      </c>
    </row>
    <row r="29" spans="1:24" ht="11.25" customHeight="1">
      <c r="A29" s="2068" t="s">
        <v>4660</v>
      </c>
      <c r="B29" s="2069" t="s">
        <v>5772</v>
      </c>
      <c r="C29" s="2070">
        <v>2787.2362854686162</v>
      </c>
      <c r="D29" s="2070">
        <v>2802.0866723989684</v>
      </c>
      <c r="E29" s="2070">
        <v>3445.1362854686158</v>
      </c>
      <c r="F29" s="2070">
        <v>3079.1118658641449</v>
      </c>
      <c r="G29" s="2070">
        <v>3033.0369733447978</v>
      </c>
      <c r="H29" s="2070">
        <v>3358.8422184006877</v>
      </c>
      <c r="I29" s="2070">
        <v>3659.3102321582105</v>
      </c>
      <c r="J29" s="2070">
        <v>3013.9121238177131</v>
      </c>
      <c r="K29" s="2070">
        <v>2933.0036973344795</v>
      </c>
      <c r="L29" s="2070">
        <v>2836.7970765262257</v>
      </c>
      <c r="M29" s="2070">
        <v>2796.814187446259</v>
      </c>
      <c r="N29" s="2070">
        <v>2885.5687016337051</v>
      </c>
      <c r="O29" s="2070">
        <v>2579.846087704213</v>
      </c>
      <c r="P29" s="2070">
        <v>2669.7482373172829</v>
      </c>
      <c r="Q29" s="2070">
        <v>2718.4721410146171</v>
      </c>
      <c r="R29" s="2070">
        <v>2205.9370593293211</v>
      </c>
      <c r="S29" s="2070">
        <v>2304.3441960447117</v>
      </c>
      <c r="T29" s="2070">
        <v>2165.577042132416</v>
      </c>
      <c r="U29" s="2070">
        <v>1747.5969045571801</v>
      </c>
      <c r="V29" s="2070">
        <v>1468.4280309544281</v>
      </c>
      <c r="W29" s="2070">
        <v>1626.267067927773</v>
      </c>
      <c r="X29" s="2070">
        <v>1433.622269991401</v>
      </c>
    </row>
    <row r="30" spans="1:24" ht="11.25" customHeight="1">
      <c r="A30" s="2068" t="s">
        <v>4661</v>
      </c>
      <c r="B30" s="2069" t="s">
        <v>5773</v>
      </c>
      <c r="C30" s="2070">
        <v>0</v>
      </c>
      <c r="D30" s="2070">
        <v>0</v>
      </c>
      <c r="E30" s="2070">
        <v>0</v>
      </c>
      <c r="F30" s="2070">
        <v>0</v>
      </c>
      <c r="G30" s="2070">
        <v>0</v>
      </c>
      <c r="H30" s="2070">
        <v>0</v>
      </c>
      <c r="I30" s="2070">
        <v>0</v>
      </c>
      <c r="J30" s="2070">
        <v>0</v>
      </c>
      <c r="K30" s="2070">
        <v>0</v>
      </c>
      <c r="L30" s="2070">
        <v>0</v>
      </c>
      <c r="M30" s="2070">
        <v>0</v>
      </c>
      <c r="N30" s="2070">
        <v>0</v>
      </c>
      <c r="O30" s="2070">
        <v>0</v>
      </c>
      <c r="P30" s="2070">
        <v>0</v>
      </c>
      <c r="Q30" s="2070">
        <v>0</v>
      </c>
      <c r="R30" s="2070">
        <v>0</v>
      </c>
      <c r="S30" s="2070">
        <v>0</v>
      </c>
      <c r="T30" s="2070">
        <v>0</v>
      </c>
      <c r="U30" s="2070">
        <v>0</v>
      </c>
      <c r="V30" s="2070">
        <v>0</v>
      </c>
      <c r="W30" s="2070">
        <v>0</v>
      </c>
      <c r="X30" s="2070">
        <v>0</v>
      </c>
    </row>
    <row r="31" spans="1:24" ht="11.25" customHeight="1">
      <c r="A31" s="2068" t="s">
        <v>5774</v>
      </c>
      <c r="B31" s="2069" t="s">
        <v>5775</v>
      </c>
      <c r="C31" s="2070">
        <v>0</v>
      </c>
      <c r="D31" s="2070">
        <v>0</v>
      </c>
      <c r="E31" s="2070">
        <v>0</v>
      </c>
      <c r="F31" s="2070">
        <v>0</v>
      </c>
      <c r="G31" s="2070">
        <v>0</v>
      </c>
      <c r="H31" s="2070">
        <v>0</v>
      </c>
      <c r="I31" s="2070">
        <v>0</v>
      </c>
      <c r="J31" s="2070">
        <v>0</v>
      </c>
      <c r="K31" s="2070">
        <v>0</v>
      </c>
      <c r="L31" s="2070">
        <v>0</v>
      </c>
      <c r="M31" s="2070">
        <v>0</v>
      </c>
      <c r="N31" s="2070">
        <v>0</v>
      </c>
      <c r="O31" s="2070">
        <v>0</v>
      </c>
      <c r="P31" s="2070">
        <v>0</v>
      </c>
      <c r="Q31" s="2070">
        <v>0</v>
      </c>
      <c r="R31" s="2070">
        <v>0</v>
      </c>
      <c r="S31" s="2070">
        <v>0</v>
      </c>
      <c r="T31" s="2070">
        <v>0</v>
      </c>
      <c r="U31" s="2070">
        <v>0</v>
      </c>
      <c r="V31" s="2070">
        <v>0</v>
      </c>
      <c r="W31" s="2070">
        <v>0</v>
      </c>
      <c r="X31" s="2070">
        <v>0</v>
      </c>
    </row>
    <row r="32" spans="1:24" ht="11.25" customHeight="1">
      <c r="A32" s="2068" t="s">
        <v>4662</v>
      </c>
      <c r="B32" s="2069" t="s">
        <v>5776</v>
      </c>
      <c r="C32" s="2070">
        <v>0</v>
      </c>
      <c r="D32" s="2070">
        <v>0</v>
      </c>
      <c r="E32" s="2070">
        <v>0</v>
      </c>
      <c r="F32" s="2070">
        <v>0</v>
      </c>
      <c r="G32" s="2070">
        <v>0</v>
      </c>
      <c r="H32" s="2070">
        <v>0</v>
      </c>
      <c r="I32" s="2070">
        <v>0</v>
      </c>
      <c r="J32" s="2070">
        <v>0</v>
      </c>
      <c r="K32" s="2070">
        <v>0</v>
      </c>
      <c r="L32" s="2070">
        <v>0</v>
      </c>
      <c r="M32" s="2070">
        <v>0</v>
      </c>
      <c r="N32" s="2070">
        <v>0</v>
      </c>
      <c r="O32" s="2070">
        <v>0</v>
      </c>
      <c r="P32" s="2070">
        <v>0</v>
      </c>
      <c r="Q32" s="2070">
        <v>0</v>
      </c>
      <c r="R32" s="2070">
        <v>0</v>
      </c>
      <c r="S32" s="2070">
        <v>0</v>
      </c>
      <c r="T32" s="2070">
        <v>0</v>
      </c>
      <c r="U32" s="2070">
        <v>0</v>
      </c>
      <c r="V32" s="2070">
        <v>0</v>
      </c>
      <c r="W32" s="2070">
        <v>0</v>
      </c>
      <c r="X32" s="2070">
        <v>0</v>
      </c>
    </row>
    <row r="33" spans="1:24" ht="11.25" customHeight="1">
      <c r="A33" s="2065" t="s">
        <v>5777</v>
      </c>
      <c r="B33" s="2066" t="s">
        <v>5778</v>
      </c>
      <c r="C33" s="2067">
        <v>59073.475118907874</v>
      </c>
      <c r="D33" s="2067">
        <v>60060.070678971439</v>
      </c>
      <c r="E33" s="2067">
        <v>60000.643642047471</v>
      </c>
      <c r="F33" s="2067">
        <v>59373.518829191526</v>
      </c>
      <c r="G33" s="2067">
        <v>59756.948782798245</v>
      </c>
      <c r="H33" s="2067">
        <v>60186.248874108373</v>
      </c>
      <c r="I33" s="2067">
        <v>60185.704350761844</v>
      </c>
      <c r="J33" s="2067">
        <v>60961.908737325961</v>
      </c>
      <c r="K33" s="2067">
        <v>59186.285794426767</v>
      </c>
      <c r="L33" s="2067">
        <v>53525.037742235545</v>
      </c>
      <c r="M33" s="2067">
        <v>56505.562289656198</v>
      </c>
      <c r="N33" s="2067">
        <v>54235.446571581095</v>
      </c>
      <c r="O33" s="2067">
        <v>53965.384781141169</v>
      </c>
      <c r="P33" s="2067">
        <v>52453.127967516084</v>
      </c>
      <c r="Q33" s="2067">
        <v>55163.109073329862</v>
      </c>
      <c r="R33" s="2067">
        <v>52520.530406153834</v>
      </c>
      <c r="S33" s="2067">
        <v>52618.112986658016</v>
      </c>
      <c r="T33" s="2067">
        <v>58146.421007653706</v>
      </c>
      <c r="U33" s="2067">
        <v>55280.452508988034</v>
      </c>
      <c r="V33" s="2067">
        <v>54290.039110962003</v>
      </c>
      <c r="W33" s="2067">
        <v>54205.587470676997</v>
      </c>
      <c r="X33" s="2067">
        <v>56024.066321208615</v>
      </c>
    </row>
    <row r="34" spans="1:24" ht="11.25" customHeight="1">
      <c r="A34" s="2068" t="s">
        <v>4607</v>
      </c>
      <c r="B34" s="2069" t="s">
        <v>5779</v>
      </c>
      <c r="C34" s="2070">
        <v>612.35838349097162</v>
      </c>
      <c r="D34" s="2070">
        <v>1002.8528804815131</v>
      </c>
      <c r="E34" s="2070">
        <v>971.47919174548565</v>
      </c>
      <c r="F34" s="2070">
        <v>387.57325881341353</v>
      </c>
      <c r="G34" s="2070">
        <v>335.23215821152189</v>
      </c>
      <c r="H34" s="2070">
        <v>470.5380911435941</v>
      </c>
      <c r="I34" s="2070">
        <v>728.58280309544273</v>
      </c>
      <c r="J34" s="2070">
        <v>908.01745485812557</v>
      </c>
      <c r="K34" s="2070">
        <v>784.3516766981943</v>
      </c>
      <c r="L34" s="2070">
        <v>286.66104901117797</v>
      </c>
      <c r="M34" s="2070">
        <v>147.19329320722269</v>
      </c>
      <c r="N34" s="2070">
        <v>394.84299226139296</v>
      </c>
      <c r="O34" s="2070">
        <v>382.00627687016345</v>
      </c>
      <c r="P34" s="2070">
        <v>356.07987962166806</v>
      </c>
      <c r="Q34" s="2070">
        <v>347.42527944969896</v>
      </c>
      <c r="R34" s="2070">
        <v>375.99914015477214</v>
      </c>
      <c r="S34" s="2070">
        <v>253.20361134995699</v>
      </c>
      <c r="T34" s="2070">
        <v>223.43009458297502</v>
      </c>
      <c r="U34" s="2070">
        <v>234.1912295786758</v>
      </c>
      <c r="V34" s="2070">
        <v>173.88847807394666</v>
      </c>
      <c r="W34" s="2070">
        <v>231.0064488392089</v>
      </c>
      <c r="X34" s="2070">
        <v>87.621840068787606</v>
      </c>
    </row>
    <row r="35" spans="1:24" ht="11.25" customHeight="1">
      <c r="A35" s="2068" t="s">
        <v>587</v>
      </c>
      <c r="B35" s="2069" t="s">
        <v>5780</v>
      </c>
      <c r="C35" s="2070">
        <v>178.33654342218401</v>
      </c>
      <c r="D35" s="2070">
        <v>380.77162510748065</v>
      </c>
      <c r="E35" s="2070">
        <v>469.54840928632842</v>
      </c>
      <c r="F35" s="2070">
        <v>432.60687876182283</v>
      </c>
      <c r="G35" s="2070">
        <v>416.99088564058462</v>
      </c>
      <c r="H35" s="2070">
        <v>497.90412725709371</v>
      </c>
      <c r="I35" s="2070">
        <v>480.73774720550296</v>
      </c>
      <c r="J35" s="2070">
        <v>490.65442820292344</v>
      </c>
      <c r="K35" s="2070">
        <v>451.35769561478929</v>
      </c>
      <c r="L35" s="2070">
        <v>395.61934651762687</v>
      </c>
      <c r="M35" s="2070">
        <v>442.12141014617373</v>
      </c>
      <c r="N35" s="2070">
        <v>451.31384350816842</v>
      </c>
      <c r="O35" s="2070">
        <v>387.22192605331043</v>
      </c>
      <c r="P35" s="2070">
        <v>361.3646603611349</v>
      </c>
      <c r="Q35" s="2070">
        <v>390.84290627687011</v>
      </c>
      <c r="R35" s="2070">
        <v>293.83310404127252</v>
      </c>
      <c r="S35" s="2070">
        <v>417.29260533104036</v>
      </c>
      <c r="T35" s="2070">
        <v>527.71926053310403</v>
      </c>
      <c r="U35" s="2070">
        <v>493.6553740326741</v>
      </c>
      <c r="V35" s="2070">
        <v>496.99828030954433</v>
      </c>
      <c r="W35" s="2070">
        <v>174.30782459157354</v>
      </c>
      <c r="X35" s="2070">
        <v>443.69088564058472</v>
      </c>
    </row>
    <row r="36" spans="1:24" ht="11.25" customHeight="1">
      <c r="A36" s="2068" t="s">
        <v>5781</v>
      </c>
      <c r="B36" s="2069" t="s">
        <v>5782</v>
      </c>
      <c r="C36" s="2070">
        <v>2843.253912295786</v>
      </c>
      <c r="D36" s="2070">
        <v>3403.8380911435934</v>
      </c>
      <c r="E36" s="2070">
        <v>3543.6628546861566</v>
      </c>
      <c r="F36" s="2070">
        <v>3229.9532244196043</v>
      </c>
      <c r="G36" s="2070">
        <v>3682.7002579535683</v>
      </c>
      <c r="H36" s="2070">
        <v>4076.3671539122943</v>
      </c>
      <c r="I36" s="2070">
        <v>5131.7844368013757</v>
      </c>
      <c r="J36" s="2070">
        <v>5590.2232158211509</v>
      </c>
      <c r="K36" s="2070">
        <v>5678.1146173688721</v>
      </c>
      <c r="L36" s="2070">
        <v>5739.653224419606</v>
      </c>
      <c r="M36" s="2070">
        <v>5708.4558899398098</v>
      </c>
      <c r="N36" s="2070">
        <v>6261.5361134995701</v>
      </c>
      <c r="O36" s="2070">
        <v>5920.1582115219253</v>
      </c>
      <c r="P36" s="2070">
        <v>8620.9101898059398</v>
      </c>
      <c r="Q36" s="2070">
        <v>10227.535249640094</v>
      </c>
      <c r="R36" s="2070">
        <v>10513.091215647124</v>
      </c>
      <c r="S36" s="2070">
        <v>10167.308786346166</v>
      </c>
      <c r="T36" s="2070">
        <v>10903.227431640682</v>
      </c>
      <c r="U36" s="2070">
        <v>11324.020453007128</v>
      </c>
      <c r="V36" s="2070">
        <v>12014.581327862043</v>
      </c>
      <c r="W36" s="2070">
        <v>10841.333369491194</v>
      </c>
      <c r="X36" s="2070">
        <v>10403.470022661188</v>
      </c>
    </row>
    <row r="37" spans="1:24" ht="11.25" customHeight="1">
      <c r="A37" s="2068" t="s">
        <v>5783</v>
      </c>
      <c r="B37" s="2069" t="s">
        <v>5784</v>
      </c>
      <c r="C37" s="2070">
        <v>69.360877042132415</v>
      </c>
      <c r="D37" s="2070">
        <v>615.84024075666377</v>
      </c>
      <c r="E37" s="2070">
        <v>241.71203783319001</v>
      </c>
      <c r="F37" s="2070">
        <v>132.42338779019778</v>
      </c>
      <c r="G37" s="2070">
        <v>137.67076526225279</v>
      </c>
      <c r="H37" s="2070">
        <v>150.2818572656922</v>
      </c>
      <c r="I37" s="2070">
        <v>149.23095442820289</v>
      </c>
      <c r="J37" s="2070">
        <v>136.61986242476351</v>
      </c>
      <c r="K37" s="2070">
        <v>155.5364574376612</v>
      </c>
      <c r="L37" s="2070">
        <v>105.0921754084265</v>
      </c>
      <c r="M37" s="2070">
        <v>141.8744625967326</v>
      </c>
      <c r="N37" s="2070">
        <v>911.14935511607905</v>
      </c>
      <c r="O37" s="2070">
        <v>375.17910576096301</v>
      </c>
      <c r="P37" s="2070">
        <v>267.98512467755802</v>
      </c>
      <c r="Q37" s="2070">
        <v>404.6049871023215</v>
      </c>
      <c r="R37" s="2070">
        <v>22.069389509888222</v>
      </c>
      <c r="S37" s="2070">
        <v>21.018400687876181</v>
      </c>
      <c r="T37" s="2070">
        <v>36.782287188306107</v>
      </c>
      <c r="U37" s="2070">
        <v>2683.9485613372876</v>
      </c>
      <c r="V37" s="2070">
        <v>2677.0438318700653</v>
      </c>
      <c r="W37" s="2070">
        <v>2828.2831000226624</v>
      </c>
      <c r="X37" s="2070">
        <v>2811.4903653784086</v>
      </c>
    </row>
    <row r="38" spans="1:24" ht="11.25" customHeight="1">
      <c r="A38" s="2068" t="s">
        <v>4663</v>
      </c>
      <c r="B38" s="2069" t="s">
        <v>5785</v>
      </c>
      <c r="C38" s="2070">
        <v>0</v>
      </c>
      <c r="D38" s="2070">
        <v>0</v>
      </c>
      <c r="E38" s="2070">
        <v>0</v>
      </c>
      <c r="F38" s="2070">
        <v>0</v>
      </c>
      <c r="G38" s="2070">
        <v>0</v>
      </c>
      <c r="H38" s="2070">
        <v>0</v>
      </c>
      <c r="I38" s="2070">
        <v>0</v>
      </c>
      <c r="J38" s="2070">
        <v>0</v>
      </c>
      <c r="K38" s="2070">
        <v>0</v>
      </c>
      <c r="L38" s="2070">
        <v>0</v>
      </c>
      <c r="M38" s="2070">
        <v>0</v>
      </c>
      <c r="N38" s="2070">
        <v>0</v>
      </c>
      <c r="O38" s="2070">
        <v>0</v>
      </c>
      <c r="P38" s="2070">
        <v>0</v>
      </c>
      <c r="Q38" s="2070">
        <v>0</v>
      </c>
      <c r="R38" s="2070">
        <v>0</v>
      </c>
      <c r="S38" s="2070">
        <v>0</v>
      </c>
      <c r="T38" s="2070">
        <v>0</v>
      </c>
      <c r="U38" s="2070">
        <v>0</v>
      </c>
      <c r="V38" s="2070">
        <v>0</v>
      </c>
      <c r="W38" s="2070">
        <v>0</v>
      </c>
      <c r="X38" s="2070">
        <v>0</v>
      </c>
    </row>
    <row r="39" spans="1:24" ht="11.25" customHeight="1">
      <c r="A39" s="2068" t="s">
        <v>5786</v>
      </c>
      <c r="B39" s="2069" t="s">
        <v>5787</v>
      </c>
      <c r="C39" s="2070">
        <v>0</v>
      </c>
      <c r="D39" s="2070">
        <v>0</v>
      </c>
      <c r="E39" s="2070">
        <v>0</v>
      </c>
      <c r="F39" s="2070">
        <v>0</v>
      </c>
      <c r="G39" s="2070">
        <v>0</v>
      </c>
      <c r="H39" s="2070">
        <v>0</v>
      </c>
      <c r="I39" s="2070">
        <v>0</v>
      </c>
      <c r="J39" s="2070">
        <v>0</v>
      </c>
      <c r="K39" s="2070">
        <v>0</v>
      </c>
      <c r="L39" s="2070">
        <v>0</v>
      </c>
      <c r="M39" s="2070">
        <v>0</v>
      </c>
      <c r="N39" s="2070">
        <v>0</v>
      </c>
      <c r="O39" s="2070">
        <v>0</v>
      </c>
      <c r="P39" s="2070">
        <v>0</v>
      </c>
      <c r="Q39" s="2070">
        <v>0</v>
      </c>
      <c r="R39" s="2070">
        <v>0</v>
      </c>
      <c r="S39" s="2070">
        <v>0</v>
      </c>
      <c r="T39" s="2070">
        <v>0</v>
      </c>
      <c r="U39" s="2070">
        <v>0</v>
      </c>
      <c r="V39" s="2070">
        <v>0</v>
      </c>
      <c r="W39" s="2070">
        <v>0</v>
      </c>
      <c r="X39" s="2070">
        <v>0</v>
      </c>
    </row>
    <row r="40" spans="1:24" ht="11.25" customHeight="1">
      <c r="A40" s="2068" t="s">
        <v>5788</v>
      </c>
      <c r="B40" s="2069" t="s">
        <v>5789</v>
      </c>
      <c r="C40" s="2070">
        <v>0</v>
      </c>
      <c r="D40" s="2070">
        <v>0</v>
      </c>
      <c r="E40" s="2070">
        <v>0</v>
      </c>
      <c r="F40" s="2070">
        <v>0</v>
      </c>
      <c r="G40" s="2070">
        <v>0</v>
      </c>
      <c r="H40" s="2070">
        <v>0</v>
      </c>
      <c r="I40" s="2070">
        <v>0</v>
      </c>
      <c r="J40" s="2070">
        <v>0</v>
      </c>
      <c r="K40" s="2070">
        <v>0</v>
      </c>
      <c r="L40" s="2070">
        <v>0</v>
      </c>
      <c r="M40" s="2070">
        <v>0</v>
      </c>
      <c r="N40" s="2070">
        <v>0</v>
      </c>
      <c r="O40" s="2070">
        <v>0</v>
      </c>
      <c r="P40" s="2070">
        <v>0</v>
      </c>
      <c r="Q40" s="2070">
        <v>0</v>
      </c>
      <c r="R40" s="2070">
        <v>0</v>
      </c>
      <c r="S40" s="2070">
        <v>0</v>
      </c>
      <c r="T40" s="2070">
        <v>0</v>
      </c>
      <c r="U40" s="2070">
        <v>0</v>
      </c>
      <c r="V40" s="2070">
        <v>0</v>
      </c>
      <c r="W40" s="2070">
        <v>0</v>
      </c>
      <c r="X40" s="2070">
        <v>0</v>
      </c>
    </row>
    <row r="41" spans="1:24" ht="11.25" customHeight="1">
      <c r="A41" s="2068" t="s">
        <v>4664</v>
      </c>
      <c r="B41" s="2069" t="s">
        <v>5790</v>
      </c>
      <c r="C41" s="2070">
        <v>344.2844704802082</v>
      </c>
      <c r="D41" s="2070">
        <v>366.93898783933184</v>
      </c>
      <c r="E41" s="2070">
        <v>274.48178244427083</v>
      </c>
      <c r="F41" s="2070">
        <v>291.94145354773752</v>
      </c>
      <c r="G41" s="2070">
        <v>300.11221070825292</v>
      </c>
      <c r="H41" s="2070">
        <v>325.82639116826351</v>
      </c>
      <c r="I41" s="2070">
        <v>297.02152215691376</v>
      </c>
      <c r="J41" s="2070">
        <v>276.45455865413766</v>
      </c>
      <c r="K41" s="2070">
        <v>314.46934482094878</v>
      </c>
      <c r="L41" s="2070">
        <v>392.59824678740529</v>
      </c>
      <c r="M41" s="2070">
        <v>348.35913436735763</v>
      </c>
      <c r="N41" s="2070">
        <v>616.33950299049548</v>
      </c>
      <c r="O41" s="2070">
        <v>333.96624941171149</v>
      </c>
      <c r="P41" s="2070">
        <v>330.88275916186478</v>
      </c>
      <c r="Q41" s="2070">
        <v>665.69696441207361</v>
      </c>
      <c r="R41" s="2070">
        <v>208.22166809974206</v>
      </c>
      <c r="S41" s="2070">
        <v>275.76225279449699</v>
      </c>
      <c r="T41" s="2070">
        <v>260.83379191745485</v>
      </c>
      <c r="U41" s="2070">
        <v>232.2306104901117</v>
      </c>
      <c r="V41" s="2070">
        <v>217.04806534823734</v>
      </c>
      <c r="W41" s="2070">
        <v>96.368099742046425</v>
      </c>
      <c r="X41" s="2070">
        <v>173.14247635425616</v>
      </c>
    </row>
    <row r="42" spans="1:24" ht="11.25" customHeight="1">
      <c r="A42" s="2068" t="s">
        <v>4611</v>
      </c>
      <c r="B42" s="2069" t="s">
        <v>5791</v>
      </c>
      <c r="C42" s="2070">
        <v>43467.659157351671</v>
      </c>
      <c r="D42" s="2070">
        <v>42313.421410146184</v>
      </c>
      <c r="E42" s="2070">
        <v>42664.248839208936</v>
      </c>
      <c r="F42" s="2070">
        <v>43742.778847807385</v>
      </c>
      <c r="G42" s="2070">
        <v>43152.68770421324</v>
      </c>
      <c r="H42" s="2070">
        <v>43140.832071098455</v>
      </c>
      <c r="I42" s="2070">
        <v>41171.384006878754</v>
      </c>
      <c r="J42" s="2070">
        <v>41751.885468615641</v>
      </c>
      <c r="K42" s="2070">
        <v>39841.856921754079</v>
      </c>
      <c r="L42" s="2070">
        <v>35852.766552020628</v>
      </c>
      <c r="M42" s="2070">
        <v>38293.870937231302</v>
      </c>
      <c r="N42" s="2070">
        <v>34993.561994840929</v>
      </c>
      <c r="O42" s="2070">
        <v>36031.186242476346</v>
      </c>
      <c r="P42" s="2070">
        <v>33611.871367153908</v>
      </c>
      <c r="Q42" s="2070">
        <v>34693.879793637141</v>
      </c>
      <c r="R42" s="2070">
        <v>32526.776698194328</v>
      </c>
      <c r="S42" s="2070">
        <v>31980.557695614785</v>
      </c>
      <c r="T42" s="2070">
        <v>36193.340883472985</v>
      </c>
      <c r="U42" s="2070">
        <v>31117.752311784418</v>
      </c>
      <c r="V42" s="2070">
        <v>30241.894474025492</v>
      </c>
      <c r="W42" s="2070">
        <v>31775.965484526721</v>
      </c>
      <c r="X42" s="2070">
        <v>34407.716559466309</v>
      </c>
    </row>
    <row r="43" spans="1:24" ht="11.25" customHeight="1">
      <c r="A43" s="2068" t="s">
        <v>5792</v>
      </c>
      <c r="B43" s="2069" t="s">
        <v>5793</v>
      </c>
      <c r="C43" s="2070">
        <v>3737.4300945829746</v>
      </c>
      <c r="D43" s="2070">
        <v>3219.17067927773</v>
      </c>
      <c r="E43" s="2070">
        <v>3192.9123817712803</v>
      </c>
      <c r="F43" s="2070">
        <v>2998.894239036973</v>
      </c>
      <c r="G43" s="2070">
        <v>3153.7650902837486</v>
      </c>
      <c r="H43" s="2070">
        <v>3355.7601891659497</v>
      </c>
      <c r="I43" s="2070">
        <v>3114.6769561478932</v>
      </c>
      <c r="J43" s="2070">
        <v>3353.6666380051583</v>
      </c>
      <c r="K43" s="2070">
        <v>3044.2454858125534</v>
      </c>
      <c r="L43" s="2070">
        <v>2683.6432502149614</v>
      </c>
      <c r="M43" s="2070">
        <v>3403.57901977644</v>
      </c>
      <c r="N43" s="2070">
        <v>2743.9889079965601</v>
      </c>
      <c r="O43" s="2070">
        <v>2436.5606490316191</v>
      </c>
      <c r="P43" s="2070">
        <v>2028.3850986903535</v>
      </c>
      <c r="Q43" s="2070">
        <v>1648.2330180567494</v>
      </c>
      <c r="R43" s="2070">
        <v>1551.2434221840069</v>
      </c>
      <c r="S43" s="2070">
        <v>1731.011263972485</v>
      </c>
      <c r="T43" s="2070">
        <v>1753.4719505762505</v>
      </c>
      <c r="U43" s="2070">
        <v>1584.7934145728264</v>
      </c>
      <c r="V43" s="2070">
        <v>1250.478698628101</v>
      </c>
      <c r="W43" s="2070">
        <v>1468.92488618886</v>
      </c>
      <c r="X43" s="2070">
        <v>1549.7757773562346</v>
      </c>
    </row>
    <row r="44" spans="1:24" ht="11.25" customHeight="1">
      <c r="A44" s="2068" t="s">
        <v>4665</v>
      </c>
      <c r="B44" s="2069" t="s">
        <v>5794</v>
      </c>
      <c r="C44" s="2070">
        <v>3078.2293289797722</v>
      </c>
      <c r="D44" s="2070">
        <v>3232.865090283748</v>
      </c>
      <c r="E44" s="2070">
        <v>3417.5885640584693</v>
      </c>
      <c r="F44" s="2070">
        <v>2267.1408426483235</v>
      </c>
      <c r="G44" s="2070">
        <v>1986.7914015477215</v>
      </c>
      <c r="H44" s="2070">
        <v>2092.5616509028378</v>
      </c>
      <c r="I44" s="2070">
        <v>2201.3465176268273</v>
      </c>
      <c r="J44" s="2070">
        <v>2085.5172828890804</v>
      </c>
      <c r="K44" s="2070">
        <v>2204.5430782459152</v>
      </c>
      <c r="L44" s="2070">
        <v>2029.7865934922861</v>
      </c>
      <c r="M44" s="2070">
        <v>1944.0623387790197</v>
      </c>
      <c r="N44" s="2070">
        <v>1965.0281169389505</v>
      </c>
      <c r="O44" s="2070">
        <v>2096.3980223559761</v>
      </c>
      <c r="P44" s="2070">
        <v>1587.0556418952795</v>
      </c>
      <c r="Q44" s="2070">
        <v>1564.7638865004301</v>
      </c>
      <c r="R44" s="2070">
        <v>1634.1937231298359</v>
      </c>
      <c r="S44" s="2070">
        <v>1003.6564918314705</v>
      </c>
      <c r="T44" s="2070">
        <v>960.19019776440234</v>
      </c>
      <c r="U44" s="2070">
        <v>968.20192281212076</v>
      </c>
      <c r="V44" s="2070">
        <v>824.83627214488217</v>
      </c>
      <c r="W44" s="2070">
        <v>704.20017171901395</v>
      </c>
      <c r="X44" s="2070">
        <v>523.25017563237816</v>
      </c>
    </row>
    <row r="45" spans="1:24" ht="11.25" customHeight="1">
      <c r="A45" s="2068" t="s">
        <v>5795</v>
      </c>
      <c r="B45" s="2069" t="s">
        <v>5796</v>
      </c>
      <c r="C45" s="2070">
        <v>246.10124433408706</v>
      </c>
      <c r="D45" s="2070">
        <v>285.71735537926975</v>
      </c>
      <c r="E45" s="2070">
        <v>269.3116222891062</v>
      </c>
      <c r="F45" s="2070">
        <v>310.74230159703473</v>
      </c>
      <c r="G45" s="2070">
        <v>258.65614351109764</v>
      </c>
      <c r="H45" s="2070">
        <v>287.06217092227092</v>
      </c>
      <c r="I45" s="2070">
        <v>274.56687045645441</v>
      </c>
      <c r="J45" s="2070">
        <v>287.57024709941368</v>
      </c>
      <c r="K45" s="2070">
        <v>264.93533140143143</v>
      </c>
      <c r="L45" s="2070">
        <v>247.3839858528533</v>
      </c>
      <c r="M45" s="2070">
        <v>252.58001833025651</v>
      </c>
      <c r="N45" s="2070">
        <v>90.134462505557281</v>
      </c>
      <c r="O45" s="2070">
        <v>98.960358487652229</v>
      </c>
      <c r="P45" s="2070">
        <v>154.20569781132303</v>
      </c>
      <c r="Q45" s="2070">
        <v>174.20105433500999</v>
      </c>
      <c r="R45" s="2070">
        <v>151.29195647782171</v>
      </c>
      <c r="S45" s="2070">
        <v>138.29789366720914</v>
      </c>
      <c r="T45" s="2070">
        <v>159.0065435392338</v>
      </c>
      <c r="U45" s="2070">
        <v>231.8986921022549</v>
      </c>
      <c r="V45" s="2070">
        <v>204.4687686414176</v>
      </c>
      <c r="W45" s="2070">
        <v>192.44607011324919</v>
      </c>
      <c r="X45" s="2070">
        <v>222.3630049632408</v>
      </c>
    </row>
    <row r="46" spans="1:24" ht="11.25" customHeight="1">
      <c r="A46" s="2068" t="s">
        <v>595</v>
      </c>
      <c r="B46" s="2069" t="s">
        <v>5797</v>
      </c>
      <c r="C46" s="2070">
        <v>270.43088463060866</v>
      </c>
      <c r="D46" s="2070">
        <v>162.72095594851731</v>
      </c>
      <c r="E46" s="2070">
        <v>104.24201012101233</v>
      </c>
      <c r="F46" s="2070">
        <v>25.374986305986866</v>
      </c>
      <c r="G46" s="2070">
        <v>16.694455341738237</v>
      </c>
      <c r="H46" s="2070">
        <v>69.201388142596628</v>
      </c>
      <c r="I46" s="2070">
        <v>120.80447527322512</v>
      </c>
      <c r="J46" s="2070">
        <v>101.46954516314901</v>
      </c>
      <c r="K46" s="2070">
        <v>87.380835709925861</v>
      </c>
      <c r="L46" s="2070">
        <v>78.76483433085815</v>
      </c>
      <c r="M46" s="2070">
        <v>125.76139168054048</v>
      </c>
      <c r="N46" s="2070">
        <v>93.678203819649752</v>
      </c>
      <c r="O46" s="2070">
        <v>78.986250649899731</v>
      </c>
      <c r="P46" s="2070">
        <v>88.222899707501099</v>
      </c>
      <c r="Q46" s="2070">
        <v>82.728163754077286</v>
      </c>
      <c r="R46" s="2070">
        <v>70.596478998894199</v>
      </c>
      <c r="S46" s="2070">
        <v>83.74346870850863</v>
      </c>
      <c r="T46" s="2070">
        <v>92.7748346162156</v>
      </c>
      <c r="U46" s="2070">
        <v>62.679059856837739</v>
      </c>
      <c r="V46" s="2070">
        <v>55.034656078985911</v>
      </c>
      <c r="W46" s="2070">
        <v>45.390897844963838</v>
      </c>
      <c r="X46" s="2070">
        <v>48.576190170645233</v>
      </c>
    </row>
    <row r="47" spans="1:24" ht="11.25" customHeight="1">
      <c r="A47" s="2068" t="s">
        <v>4614</v>
      </c>
      <c r="B47" s="2069" t="s">
        <v>5798</v>
      </c>
      <c r="C47" s="2070">
        <v>6.7211310361167529</v>
      </c>
      <c r="D47" s="2070">
        <v>3.811984358330748</v>
      </c>
      <c r="E47" s="2070">
        <v>3.8406463885233242</v>
      </c>
      <c r="F47" s="2070">
        <v>8.6414539052170465</v>
      </c>
      <c r="G47" s="2070">
        <v>23.970121585431475</v>
      </c>
      <c r="H47" s="2070">
        <v>29.643909922020217</v>
      </c>
      <c r="I47" s="2070">
        <v>22.981300499356692</v>
      </c>
      <c r="J47" s="2070">
        <v>15.83549722864999</v>
      </c>
      <c r="K47" s="2070">
        <v>5.5889994605349305</v>
      </c>
      <c r="L47" s="2070">
        <v>2.7944999487330198</v>
      </c>
      <c r="M47" s="2070">
        <v>0.9315000517861961</v>
      </c>
      <c r="N47" s="2070">
        <v>4.6574989745071464</v>
      </c>
      <c r="O47" s="2070">
        <v>8.3834990033792618</v>
      </c>
      <c r="P47" s="2070">
        <v>33.347697284627507</v>
      </c>
      <c r="Q47" s="2070">
        <v>12.128606963340637</v>
      </c>
      <c r="R47" s="2070">
        <v>12.099946714862057</v>
      </c>
      <c r="S47" s="2070">
        <v>5.6176612155345849</v>
      </c>
      <c r="T47" s="2070">
        <v>2.2968614827811327</v>
      </c>
      <c r="U47" s="2070">
        <v>98.002670082520325</v>
      </c>
      <c r="V47" s="2070">
        <v>47.79627324668671</v>
      </c>
      <c r="W47" s="2070">
        <v>49.131120098257384</v>
      </c>
      <c r="X47" s="2070">
        <v>50.251937229699635</v>
      </c>
    </row>
    <row r="48" spans="1:24" ht="11.25" customHeight="1">
      <c r="A48" s="2068" t="s">
        <v>4667</v>
      </c>
      <c r="B48" s="2069" t="s">
        <v>5799</v>
      </c>
      <c r="C48" s="2070">
        <v>58.347130681600973</v>
      </c>
      <c r="D48" s="2070">
        <v>71.707339337009188</v>
      </c>
      <c r="E48" s="2070">
        <v>83.630969660882272</v>
      </c>
      <c r="F48" s="2070">
        <v>124.51339165818675</v>
      </c>
      <c r="G48" s="2070">
        <v>140.16524952414517</v>
      </c>
      <c r="H48" s="2070">
        <v>130.96256556303462</v>
      </c>
      <c r="I48" s="2070">
        <v>157.93127552580881</v>
      </c>
      <c r="J48" s="2070">
        <v>110.19938223736625</v>
      </c>
      <c r="K48" s="2070">
        <v>116.88033312819837</v>
      </c>
      <c r="L48" s="2070">
        <v>109.71023861882038</v>
      </c>
      <c r="M48" s="2070">
        <v>130.32218454021452</v>
      </c>
      <c r="N48" s="2070">
        <v>124.7321844211546</v>
      </c>
      <c r="O48" s="2070">
        <v>108.48291998208519</v>
      </c>
      <c r="P48" s="2070">
        <v>116.75408353970522</v>
      </c>
      <c r="Q48" s="2070">
        <v>111.9600626133994</v>
      </c>
      <c r="R48" s="2070">
        <v>554.52973956421499</v>
      </c>
      <c r="S48" s="2070">
        <v>589.3799133951502</v>
      </c>
      <c r="T48" s="2070">
        <v>652.37268688380345</v>
      </c>
      <c r="U48" s="2070">
        <v>406.23266625548916</v>
      </c>
      <c r="V48" s="2070">
        <v>310.48027304622622</v>
      </c>
      <c r="W48" s="2070">
        <v>302.87419818053826</v>
      </c>
      <c r="X48" s="2070">
        <v>298.07763982097094</v>
      </c>
    </row>
    <row r="49" spans="1:24" ht="11.25" customHeight="1">
      <c r="A49" s="2068" t="s">
        <v>4666</v>
      </c>
      <c r="B49" s="2069" t="s">
        <v>5800</v>
      </c>
      <c r="C49" s="2070">
        <v>84.302657826657651</v>
      </c>
      <c r="D49" s="2070">
        <v>62.651473934803342</v>
      </c>
      <c r="E49" s="2070">
        <v>65.398227669631211</v>
      </c>
      <c r="F49" s="2070">
        <v>61.636342766863457</v>
      </c>
      <c r="G49" s="2070">
        <v>97.201824556497982</v>
      </c>
      <c r="H49" s="2070">
        <v>82.590201025551394</v>
      </c>
      <c r="I49" s="2070">
        <v>104.19221859467505</v>
      </c>
      <c r="J49" s="2070">
        <v>85.473284338149611</v>
      </c>
      <c r="K49" s="2070">
        <v>87.343328599163598</v>
      </c>
      <c r="L49" s="2070">
        <v>161.06079992084437</v>
      </c>
      <c r="M49" s="2070">
        <v>444.09077840797573</v>
      </c>
      <c r="N49" s="2070">
        <v>293.99035450629248</v>
      </c>
      <c r="O49" s="2070">
        <v>198.47827340932156</v>
      </c>
      <c r="P49" s="2070">
        <v>252.00116507663387</v>
      </c>
      <c r="Q49" s="2070">
        <v>306.84500688723955</v>
      </c>
      <c r="R49" s="2070">
        <v>86.029840455101166</v>
      </c>
      <c r="S49" s="2070">
        <v>83.72926493861091</v>
      </c>
      <c r="T49" s="2070">
        <v>132.18514191503996</v>
      </c>
      <c r="U49" s="2070">
        <v>199.37812360147296</v>
      </c>
      <c r="V49" s="2070">
        <v>92.390571264505724</v>
      </c>
      <c r="W49" s="2070">
        <v>81.733518451654703</v>
      </c>
      <c r="X49" s="2070">
        <v>190.33846847768052</v>
      </c>
    </row>
    <row r="50" spans="1:24" ht="11.25" customHeight="1">
      <c r="A50" s="2068" t="s">
        <v>4668</v>
      </c>
      <c r="B50" s="2069" t="s">
        <v>5801</v>
      </c>
      <c r="C50" s="2070">
        <v>4076.6593027531048</v>
      </c>
      <c r="D50" s="2070">
        <v>4937.7625649772499</v>
      </c>
      <c r="E50" s="2070">
        <v>4698.5861048841898</v>
      </c>
      <c r="F50" s="2070">
        <v>5359.2982201327795</v>
      </c>
      <c r="G50" s="2070">
        <v>6054.3105144584406</v>
      </c>
      <c r="H50" s="2070">
        <v>5476.7171066187157</v>
      </c>
      <c r="I50" s="2070">
        <v>6230.4632660714142</v>
      </c>
      <c r="J50" s="2070">
        <v>5768.3218717882501</v>
      </c>
      <c r="K50" s="2070">
        <v>6149.6816883745059</v>
      </c>
      <c r="L50" s="2070">
        <v>5439.5029456913207</v>
      </c>
      <c r="M50" s="2070">
        <v>5122.3599306013602</v>
      </c>
      <c r="N50" s="2070">
        <v>5290.4930402017972</v>
      </c>
      <c r="O50" s="2070">
        <v>5509.4167961268104</v>
      </c>
      <c r="P50" s="2070">
        <v>4644.0617027285825</v>
      </c>
      <c r="Q50" s="2070">
        <v>4532.2640937014139</v>
      </c>
      <c r="R50" s="2070">
        <v>4520.5540829819702</v>
      </c>
      <c r="S50" s="2070">
        <v>5867.5336768047346</v>
      </c>
      <c r="T50" s="2070">
        <v>6248.7890415404663</v>
      </c>
      <c r="U50" s="2070">
        <v>5643.4674194742138</v>
      </c>
      <c r="V50" s="2070">
        <v>5683.0991404218703</v>
      </c>
      <c r="W50" s="2070">
        <v>5413.6222808670491</v>
      </c>
      <c r="X50" s="2070">
        <v>4814.3009779882332</v>
      </c>
    </row>
    <row r="51" spans="1:24" ht="11.25" customHeight="1">
      <c r="A51" s="2071" t="s">
        <v>3875</v>
      </c>
      <c r="B51" s="2072" t="s">
        <v>5802</v>
      </c>
      <c r="C51" s="2073">
        <v>14116.658727429061</v>
      </c>
      <c r="D51" s="2073">
        <v>13462.410060189164</v>
      </c>
      <c r="E51" s="2073">
        <v>12149.980309544278</v>
      </c>
      <c r="F51" s="2073">
        <v>12999.213757523643</v>
      </c>
      <c r="G51" s="2073">
        <v>13614.571625107477</v>
      </c>
      <c r="H51" s="2073">
        <v>14092.264742476469</v>
      </c>
      <c r="I51" s="2073">
        <v>12826.327458709979</v>
      </c>
      <c r="J51" s="2073">
        <v>13700.527972679929</v>
      </c>
      <c r="K51" s="2073">
        <v>13290.388074716904</v>
      </c>
      <c r="L51" s="2073">
        <v>11483.088970304671</v>
      </c>
      <c r="M51" s="2073">
        <v>12752.545420142429</v>
      </c>
      <c r="N51" s="2073">
        <v>13467.60510349218</v>
      </c>
      <c r="O51" s="2073">
        <v>13183.711609275395</v>
      </c>
      <c r="P51" s="2073">
        <v>13413.256661978692</v>
      </c>
      <c r="Q51" s="2073">
        <v>13930.938574024358</v>
      </c>
      <c r="R51" s="2073">
        <v>13688.158309863353</v>
      </c>
      <c r="S51" s="2073">
        <v>13538.870846240823</v>
      </c>
      <c r="T51" s="2073">
        <v>14741.944183200358</v>
      </c>
      <c r="U51" s="2073">
        <v>14605.971404575661</v>
      </c>
      <c r="V51" s="2073">
        <v>15191.787898124201</v>
      </c>
      <c r="W51" s="2073">
        <v>14674.075025503595</v>
      </c>
      <c r="X51" s="2073">
        <v>13948.360882018256</v>
      </c>
    </row>
    <row r="52" spans="1:24" ht="11.25" customHeight="1">
      <c r="A52" s="2071" t="s">
        <v>5803</v>
      </c>
      <c r="B52" s="2072" t="s">
        <v>5804</v>
      </c>
      <c r="C52" s="2073">
        <v>0</v>
      </c>
      <c r="D52" s="2073">
        <v>0</v>
      </c>
      <c r="E52" s="2073">
        <v>0</v>
      </c>
      <c r="F52" s="2073">
        <v>0</v>
      </c>
      <c r="G52" s="2073">
        <v>0</v>
      </c>
      <c r="H52" s="2073">
        <v>0</v>
      </c>
      <c r="I52" s="2073">
        <v>0</v>
      </c>
      <c r="J52" s="2073">
        <v>0</v>
      </c>
      <c r="K52" s="2073">
        <v>0</v>
      </c>
      <c r="L52" s="2073">
        <v>0</v>
      </c>
      <c r="M52" s="2073">
        <v>0</v>
      </c>
      <c r="N52" s="2073">
        <v>0</v>
      </c>
      <c r="O52" s="2073">
        <v>0</v>
      </c>
      <c r="P52" s="2073">
        <v>0</v>
      </c>
      <c r="Q52" s="2073">
        <v>0</v>
      </c>
      <c r="R52" s="2073">
        <v>0</v>
      </c>
      <c r="S52" s="2073">
        <v>0</v>
      </c>
      <c r="T52" s="2073">
        <v>0</v>
      </c>
      <c r="U52" s="2073">
        <v>0</v>
      </c>
      <c r="V52" s="2073">
        <v>0</v>
      </c>
      <c r="W52" s="2073">
        <v>0</v>
      </c>
      <c r="X52" s="2073">
        <v>0</v>
      </c>
    </row>
    <row r="53" spans="1:24" ht="11.25" customHeight="1">
      <c r="A53" s="2074" t="s">
        <v>3973</v>
      </c>
      <c r="B53" s="2069" t="s">
        <v>5805</v>
      </c>
      <c r="C53" s="2070">
        <v>0</v>
      </c>
      <c r="D53" s="2070">
        <v>0</v>
      </c>
      <c r="E53" s="2070">
        <v>0</v>
      </c>
      <c r="F53" s="2070">
        <v>0</v>
      </c>
      <c r="G53" s="2070">
        <v>0</v>
      </c>
      <c r="H53" s="2070">
        <v>0</v>
      </c>
      <c r="I53" s="2070">
        <v>0</v>
      </c>
      <c r="J53" s="2070">
        <v>0</v>
      </c>
      <c r="K53" s="2070">
        <v>0</v>
      </c>
      <c r="L53" s="2070">
        <v>0</v>
      </c>
      <c r="M53" s="2070">
        <v>0</v>
      </c>
      <c r="N53" s="2070">
        <v>0</v>
      </c>
      <c r="O53" s="2070">
        <v>0</v>
      </c>
      <c r="P53" s="2070">
        <v>0</v>
      </c>
      <c r="Q53" s="2070">
        <v>0</v>
      </c>
      <c r="R53" s="2070">
        <v>0</v>
      </c>
      <c r="S53" s="2070">
        <v>0</v>
      </c>
      <c r="T53" s="2070">
        <v>0</v>
      </c>
      <c r="U53" s="2070">
        <v>0</v>
      </c>
      <c r="V53" s="2070">
        <v>0</v>
      </c>
      <c r="W53" s="2070">
        <v>0</v>
      </c>
      <c r="X53" s="2070">
        <v>0</v>
      </c>
    </row>
    <row r="54" spans="1:24" ht="11.25" customHeight="1">
      <c r="A54" s="2074" t="s">
        <v>5806</v>
      </c>
      <c r="B54" s="2069" t="s">
        <v>5807</v>
      </c>
      <c r="C54" s="2070">
        <v>0</v>
      </c>
      <c r="D54" s="2070">
        <v>0</v>
      </c>
      <c r="E54" s="2070">
        <v>0</v>
      </c>
      <c r="F54" s="2070">
        <v>0</v>
      </c>
      <c r="G54" s="2070">
        <v>0</v>
      </c>
      <c r="H54" s="2070">
        <v>0</v>
      </c>
      <c r="I54" s="2070">
        <v>0</v>
      </c>
      <c r="J54" s="2070">
        <v>0</v>
      </c>
      <c r="K54" s="2070">
        <v>0</v>
      </c>
      <c r="L54" s="2070">
        <v>0</v>
      </c>
      <c r="M54" s="2070">
        <v>0</v>
      </c>
      <c r="N54" s="2070">
        <v>0</v>
      </c>
      <c r="O54" s="2070">
        <v>0</v>
      </c>
      <c r="P54" s="2070">
        <v>0</v>
      </c>
      <c r="Q54" s="2070">
        <v>0</v>
      </c>
      <c r="R54" s="2070">
        <v>0</v>
      </c>
      <c r="S54" s="2070">
        <v>0</v>
      </c>
      <c r="T54" s="2070">
        <v>0</v>
      </c>
      <c r="U54" s="2070">
        <v>0</v>
      </c>
      <c r="V54" s="2070">
        <v>0</v>
      </c>
      <c r="W54" s="2070">
        <v>0</v>
      </c>
      <c r="X54" s="2070">
        <v>0</v>
      </c>
    </row>
    <row r="55" spans="1:24" ht="11.25" customHeight="1">
      <c r="A55" s="2074" t="s">
        <v>3965</v>
      </c>
      <c r="B55" s="2069" t="s">
        <v>5808</v>
      </c>
      <c r="C55" s="2070">
        <v>0</v>
      </c>
      <c r="D55" s="2070">
        <v>0</v>
      </c>
      <c r="E55" s="2070">
        <v>0</v>
      </c>
      <c r="F55" s="2070">
        <v>0</v>
      </c>
      <c r="G55" s="2070">
        <v>0</v>
      </c>
      <c r="H55" s="2070">
        <v>0</v>
      </c>
      <c r="I55" s="2070">
        <v>0</v>
      </c>
      <c r="J55" s="2070">
        <v>0</v>
      </c>
      <c r="K55" s="2070">
        <v>0</v>
      </c>
      <c r="L55" s="2070">
        <v>0</v>
      </c>
      <c r="M55" s="2070">
        <v>0</v>
      </c>
      <c r="N55" s="2070">
        <v>0</v>
      </c>
      <c r="O55" s="2070">
        <v>0</v>
      </c>
      <c r="P55" s="2070">
        <v>0</v>
      </c>
      <c r="Q55" s="2070">
        <v>0</v>
      </c>
      <c r="R55" s="2070">
        <v>0</v>
      </c>
      <c r="S55" s="2070">
        <v>0</v>
      </c>
      <c r="T55" s="2070">
        <v>0</v>
      </c>
      <c r="U55" s="2070">
        <v>0</v>
      </c>
      <c r="V55" s="2070">
        <v>0</v>
      </c>
      <c r="W55" s="2070">
        <v>0</v>
      </c>
      <c r="X55" s="2070">
        <v>0</v>
      </c>
    </row>
    <row r="56" spans="1:24" ht="11.25" customHeight="1">
      <c r="A56" s="2074" t="s">
        <v>5636</v>
      </c>
      <c r="B56" s="2069" t="s">
        <v>5809</v>
      </c>
      <c r="C56" s="2070">
        <v>0</v>
      </c>
      <c r="D56" s="2070">
        <v>0</v>
      </c>
      <c r="E56" s="2070">
        <v>0</v>
      </c>
      <c r="F56" s="2070">
        <v>0</v>
      </c>
      <c r="G56" s="2070">
        <v>0</v>
      </c>
      <c r="H56" s="2070">
        <v>0</v>
      </c>
      <c r="I56" s="2070">
        <v>0</v>
      </c>
      <c r="J56" s="2070">
        <v>0</v>
      </c>
      <c r="K56" s="2070">
        <v>0</v>
      </c>
      <c r="L56" s="2070">
        <v>0</v>
      </c>
      <c r="M56" s="2070">
        <v>0</v>
      </c>
      <c r="N56" s="2070">
        <v>0</v>
      </c>
      <c r="O56" s="2070">
        <v>0</v>
      </c>
      <c r="P56" s="2070">
        <v>0</v>
      </c>
      <c r="Q56" s="2070">
        <v>0</v>
      </c>
      <c r="R56" s="2070">
        <v>0</v>
      </c>
      <c r="S56" s="2070">
        <v>0</v>
      </c>
      <c r="T56" s="2070">
        <v>0</v>
      </c>
      <c r="U56" s="2070">
        <v>0</v>
      </c>
      <c r="V56" s="2070">
        <v>0</v>
      </c>
      <c r="W56" s="2070">
        <v>0</v>
      </c>
      <c r="X56" s="2070">
        <v>0</v>
      </c>
    </row>
    <row r="57" spans="1:24" ht="11.25" customHeight="1">
      <c r="A57" s="2074" t="s">
        <v>4617</v>
      </c>
      <c r="B57" s="2069" t="s">
        <v>5810</v>
      </c>
      <c r="C57" s="2070">
        <v>0</v>
      </c>
      <c r="D57" s="2070">
        <v>0</v>
      </c>
      <c r="E57" s="2070">
        <v>0</v>
      </c>
      <c r="F57" s="2070">
        <v>0</v>
      </c>
      <c r="G57" s="2070">
        <v>0</v>
      </c>
      <c r="H57" s="2070">
        <v>0</v>
      </c>
      <c r="I57" s="2070">
        <v>0</v>
      </c>
      <c r="J57" s="2070">
        <v>0</v>
      </c>
      <c r="K57" s="2070">
        <v>0</v>
      </c>
      <c r="L57" s="2070">
        <v>0</v>
      </c>
      <c r="M57" s="2070">
        <v>0</v>
      </c>
      <c r="N57" s="2070">
        <v>0</v>
      </c>
      <c r="O57" s="2070">
        <v>0</v>
      </c>
      <c r="P57" s="2070">
        <v>0</v>
      </c>
      <c r="Q57" s="2070">
        <v>0</v>
      </c>
      <c r="R57" s="2070">
        <v>0</v>
      </c>
      <c r="S57" s="2070">
        <v>0</v>
      </c>
      <c r="T57" s="2070">
        <v>0</v>
      </c>
      <c r="U57" s="2070">
        <v>0</v>
      </c>
      <c r="V57" s="2070">
        <v>0</v>
      </c>
      <c r="W57" s="2070">
        <v>0</v>
      </c>
      <c r="X57" s="2070">
        <v>0</v>
      </c>
    </row>
    <row r="58" spans="1:24" ht="11.25" customHeight="1">
      <c r="A58" s="2074" t="s">
        <v>3971</v>
      </c>
      <c r="B58" s="2069" t="s">
        <v>5811</v>
      </c>
      <c r="C58" s="2070">
        <v>0</v>
      </c>
      <c r="D58" s="2070">
        <v>0</v>
      </c>
      <c r="E58" s="2070">
        <v>0</v>
      </c>
      <c r="F58" s="2070">
        <v>0</v>
      </c>
      <c r="G58" s="2070">
        <v>0</v>
      </c>
      <c r="H58" s="2070">
        <v>0</v>
      </c>
      <c r="I58" s="2070">
        <v>0</v>
      </c>
      <c r="J58" s="2070">
        <v>0</v>
      </c>
      <c r="K58" s="2070">
        <v>0</v>
      </c>
      <c r="L58" s="2070">
        <v>0</v>
      </c>
      <c r="M58" s="2070">
        <v>0</v>
      </c>
      <c r="N58" s="2070">
        <v>0</v>
      </c>
      <c r="O58" s="2070">
        <v>0</v>
      </c>
      <c r="P58" s="2070">
        <v>0</v>
      </c>
      <c r="Q58" s="2070">
        <v>0</v>
      </c>
      <c r="R58" s="2070">
        <v>0</v>
      </c>
      <c r="S58" s="2070">
        <v>0</v>
      </c>
      <c r="T58" s="2070">
        <v>0</v>
      </c>
      <c r="U58" s="2070">
        <v>0</v>
      </c>
      <c r="V58" s="2070">
        <v>0</v>
      </c>
      <c r="W58" s="2070">
        <v>0</v>
      </c>
      <c r="X58" s="2070">
        <v>0</v>
      </c>
    </row>
    <row r="59" spans="1:24" ht="11.25" customHeight="1">
      <c r="A59" s="2074" t="s">
        <v>4669</v>
      </c>
      <c r="B59" s="2069" t="s">
        <v>5812</v>
      </c>
      <c r="C59" s="2070">
        <v>0</v>
      </c>
      <c r="D59" s="2070">
        <v>0</v>
      </c>
      <c r="E59" s="2070">
        <v>0</v>
      </c>
      <c r="F59" s="2070">
        <v>0</v>
      </c>
      <c r="G59" s="2070">
        <v>0</v>
      </c>
      <c r="H59" s="2070">
        <v>0</v>
      </c>
      <c r="I59" s="2070">
        <v>0</v>
      </c>
      <c r="J59" s="2070">
        <v>0</v>
      </c>
      <c r="K59" s="2070">
        <v>0</v>
      </c>
      <c r="L59" s="2070">
        <v>0</v>
      </c>
      <c r="M59" s="2070">
        <v>0</v>
      </c>
      <c r="N59" s="2070">
        <v>0</v>
      </c>
      <c r="O59" s="2070">
        <v>0</v>
      </c>
      <c r="P59" s="2070">
        <v>0</v>
      </c>
      <c r="Q59" s="2070">
        <v>0</v>
      </c>
      <c r="R59" s="2070">
        <v>0</v>
      </c>
      <c r="S59" s="2070">
        <v>0</v>
      </c>
      <c r="T59" s="2070">
        <v>0</v>
      </c>
      <c r="U59" s="2070">
        <v>0</v>
      </c>
      <c r="V59" s="2070">
        <v>0</v>
      </c>
      <c r="W59" s="2070">
        <v>0</v>
      </c>
      <c r="X59" s="2070">
        <v>0</v>
      </c>
    </row>
    <row r="60" spans="1:24" ht="11.25" customHeight="1">
      <c r="A60" s="2074" t="s">
        <v>4618</v>
      </c>
      <c r="B60" s="2069" t="s">
        <v>5813</v>
      </c>
      <c r="C60" s="2070">
        <v>0</v>
      </c>
      <c r="D60" s="2070">
        <v>0</v>
      </c>
      <c r="E60" s="2070">
        <v>0</v>
      </c>
      <c r="F60" s="2070">
        <v>0</v>
      </c>
      <c r="G60" s="2070">
        <v>0</v>
      </c>
      <c r="H60" s="2070">
        <v>0</v>
      </c>
      <c r="I60" s="2070">
        <v>0</v>
      </c>
      <c r="J60" s="2070">
        <v>0</v>
      </c>
      <c r="K60" s="2070">
        <v>0</v>
      </c>
      <c r="L60" s="2070">
        <v>0</v>
      </c>
      <c r="M60" s="2070">
        <v>0</v>
      </c>
      <c r="N60" s="2070">
        <v>0</v>
      </c>
      <c r="O60" s="2070">
        <v>0</v>
      </c>
      <c r="P60" s="2070">
        <v>0</v>
      </c>
      <c r="Q60" s="2070">
        <v>0</v>
      </c>
      <c r="R60" s="2070">
        <v>0</v>
      </c>
      <c r="S60" s="2070">
        <v>0</v>
      </c>
      <c r="T60" s="2070">
        <v>0</v>
      </c>
      <c r="U60" s="2070">
        <v>0</v>
      </c>
      <c r="V60" s="2070">
        <v>0</v>
      </c>
      <c r="W60" s="2070">
        <v>0</v>
      </c>
      <c r="X60" s="2070">
        <v>0</v>
      </c>
    </row>
    <row r="61" spans="1:24" ht="11.25" customHeight="1">
      <c r="A61" s="2074" t="s">
        <v>4670</v>
      </c>
      <c r="B61" s="2069" t="s">
        <v>5814</v>
      </c>
      <c r="C61" s="2070">
        <v>0</v>
      </c>
      <c r="D61" s="2070">
        <v>0</v>
      </c>
      <c r="E61" s="2070">
        <v>0</v>
      </c>
      <c r="F61" s="2070">
        <v>0</v>
      </c>
      <c r="G61" s="2070">
        <v>0</v>
      </c>
      <c r="H61" s="2070">
        <v>0</v>
      </c>
      <c r="I61" s="2070">
        <v>0</v>
      </c>
      <c r="J61" s="2070">
        <v>0</v>
      </c>
      <c r="K61" s="2070">
        <v>0</v>
      </c>
      <c r="L61" s="2070">
        <v>0</v>
      </c>
      <c r="M61" s="2070">
        <v>0</v>
      </c>
      <c r="N61" s="2070">
        <v>0</v>
      </c>
      <c r="O61" s="2070">
        <v>0</v>
      </c>
      <c r="P61" s="2070">
        <v>0</v>
      </c>
      <c r="Q61" s="2070">
        <v>0</v>
      </c>
      <c r="R61" s="2070">
        <v>0</v>
      </c>
      <c r="S61" s="2070">
        <v>0</v>
      </c>
      <c r="T61" s="2070">
        <v>0</v>
      </c>
      <c r="U61" s="2070">
        <v>0</v>
      </c>
      <c r="V61" s="2070">
        <v>0</v>
      </c>
      <c r="W61" s="2070">
        <v>0</v>
      </c>
      <c r="X61" s="2070">
        <v>0</v>
      </c>
    </row>
    <row r="62" spans="1:24" ht="11.25" customHeight="1">
      <c r="A62" s="2074" t="s">
        <v>5815</v>
      </c>
      <c r="B62" s="2069" t="s">
        <v>5816</v>
      </c>
      <c r="C62" s="2070">
        <v>0</v>
      </c>
      <c r="D62" s="2070">
        <v>0</v>
      </c>
      <c r="E62" s="2070">
        <v>0</v>
      </c>
      <c r="F62" s="2070">
        <v>0</v>
      </c>
      <c r="G62" s="2070">
        <v>0</v>
      </c>
      <c r="H62" s="2070">
        <v>0</v>
      </c>
      <c r="I62" s="2070">
        <v>0</v>
      </c>
      <c r="J62" s="2070">
        <v>0</v>
      </c>
      <c r="K62" s="2070">
        <v>0</v>
      </c>
      <c r="L62" s="2070">
        <v>0</v>
      </c>
      <c r="M62" s="2070">
        <v>0</v>
      </c>
      <c r="N62" s="2070">
        <v>0</v>
      </c>
      <c r="O62" s="2070">
        <v>0</v>
      </c>
      <c r="P62" s="2070">
        <v>0</v>
      </c>
      <c r="Q62" s="2070">
        <v>0</v>
      </c>
      <c r="R62" s="2070">
        <v>0</v>
      </c>
      <c r="S62" s="2070">
        <v>0</v>
      </c>
      <c r="T62" s="2070">
        <v>0</v>
      </c>
      <c r="U62" s="2070">
        <v>0</v>
      </c>
      <c r="V62" s="2070">
        <v>0</v>
      </c>
      <c r="W62" s="2070">
        <v>0</v>
      </c>
      <c r="X62" s="2070">
        <v>0</v>
      </c>
    </row>
    <row r="63" spans="1:24" ht="11.25" customHeight="1">
      <c r="A63" s="2074" t="s">
        <v>5817</v>
      </c>
      <c r="B63" s="2069" t="s">
        <v>5818</v>
      </c>
      <c r="C63" s="2070">
        <v>0</v>
      </c>
      <c r="D63" s="2070">
        <v>0</v>
      </c>
      <c r="E63" s="2070">
        <v>0</v>
      </c>
      <c r="F63" s="2070">
        <v>0</v>
      </c>
      <c r="G63" s="2070">
        <v>0</v>
      </c>
      <c r="H63" s="2070">
        <v>0</v>
      </c>
      <c r="I63" s="2070">
        <v>0</v>
      </c>
      <c r="J63" s="2070">
        <v>0</v>
      </c>
      <c r="K63" s="2070">
        <v>0</v>
      </c>
      <c r="L63" s="2070">
        <v>0</v>
      </c>
      <c r="M63" s="2070">
        <v>0</v>
      </c>
      <c r="N63" s="2070">
        <v>0</v>
      </c>
      <c r="O63" s="2070">
        <v>0</v>
      </c>
      <c r="P63" s="2070">
        <v>0</v>
      </c>
      <c r="Q63" s="2070">
        <v>0</v>
      </c>
      <c r="R63" s="2070">
        <v>0</v>
      </c>
      <c r="S63" s="2070">
        <v>0</v>
      </c>
      <c r="T63" s="2070">
        <v>0</v>
      </c>
      <c r="U63" s="2070">
        <v>0</v>
      </c>
      <c r="V63" s="2070">
        <v>0</v>
      </c>
      <c r="W63" s="2070">
        <v>0</v>
      </c>
      <c r="X63" s="2070">
        <v>0</v>
      </c>
    </row>
    <row r="64" spans="1:24" ht="11.25" customHeight="1">
      <c r="A64" s="2074" t="s">
        <v>5819</v>
      </c>
      <c r="B64" s="2069" t="s">
        <v>5820</v>
      </c>
      <c r="C64" s="2070">
        <v>0</v>
      </c>
      <c r="D64" s="2070">
        <v>0</v>
      </c>
      <c r="E64" s="2070">
        <v>0</v>
      </c>
      <c r="F64" s="2070">
        <v>0</v>
      </c>
      <c r="G64" s="2070">
        <v>0</v>
      </c>
      <c r="H64" s="2070">
        <v>0</v>
      </c>
      <c r="I64" s="2070">
        <v>0</v>
      </c>
      <c r="J64" s="2070">
        <v>0</v>
      </c>
      <c r="K64" s="2070">
        <v>0</v>
      </c>
      <c r="L64" s="2070">
        <v>0</v>
      </c>
      <c r="M64" s="2070">
        <v>0</v>
      </c>
      <c r="N64" s="2070">
        <v>0</v>
      </c>
      <c r="O64" s="2070">
        <v>0</v>
      </c>
      <c r="P64" s="2070">
        <v>0</v>
      </c>
      <c r="Q64" s="2070">
        <v>0</v>
      </c>
      <c r="R64" s="2070">
        <v>0</v>
      </c>
      <c r="S64" s="2070">
        <v>0</v>
      </c>
      <c r="T64" s="2070">
        <v>0</v>
      </c>
      <c r="U64" s="2070">
        <v>0</v>
      </c>
      <c r="V64" s="2070">
        <v>0</v>
      </c>
      <c r="W64" s="2070">
        <v>0</v>
      </c>
      <c r="X64" s="2070">
        <v>0</v>
      </c>
    </row>
    <row r="65" spans="1:24" ht="11.25" customHeight="1">
      <c r="A65" s="2074" t="s">
        <v>5821</v>
      </c>
      <c r="B65" s="2069" t="s">
        <v>5822</v>
      </c>
      <c r="C65" s="2070">
        <v>0</v>
      </c>
      <c r="D65" s="2070">
        <v>0</v>
      </c>
      <c r="E65" s="2070">
        <v>0</v>
      </c>
      <c r="F65" s="2070">
        <v>0</v>
      </c>
      <c r="G65" s="2070">
        <v>0</v>
      </c>
      <c r="H65" s="2070">
        <v>0</v>
      </c>
      <c r="I65" s="2070">
        <v>0</v>
      </c>
      <c r="J65" s="2070">
        <v>0</v>
      </c>
      <c r="K65" s="2070">
        <v>0</v>
      </c>
      <c r="L65" s="2070">
        <v>0</v>
      </c>
      <c r="M65" s="2070">
        <v>0</v>
      </c>
      <c r="N65" s="2070">
        <v>0</v>
      </c>
      <c r="O65" s="2070">
        <v>0</v>
      </c>
      <c r="P65" s="2070">
        <v>0</v>
      </c>
      <c r="Q65" s="2070">
        <v>0</v>
      </c>
      <c r="R65" s="2070">
        <v>0</v>
      </c>
      <c r="S65" s="2070">
        <v>0</v>
      </c>
      <c r="T65" s="2070">
        <v>0</v>
      </c>
      <c r="U65" s="2070">
        <v>0</v>
      </c>
      <c r="V65" s="2070">
        <v>0</v>
      </c>
      <c r="W65" s="2070">
        <v>0</v>
      </c>
      <c r="X65" s="2070">
        <v>0</v>
      </c>
    </row>
    <row r="66" spans="1:24" ht="11.25" customHeight="1">
      <c r="A66" s="2074" t="s">
        <v>5823</v>
      </c>
      <c r="B66" s="2069" t="s">
        <v>5824</v>
      </c>
      <c r="C66" s="2070">
        <v>0</v>
      </c>
      <c r="D66" s="2070">
        <v>0</v>
      </c>
      <c r="E66" s="2070">
        <v>0</v>
      </c>
      <c r="F66" s="2070">
        <v>0</v>
      </c>
      <c r="G66" s="2070">
        <v>0</v>
      </c>
      <c r="H66" s="2070">
        <v>0</v>
      </c>
      <c r="I66" s="2070">
        <v>0</v>
      </c>
      <c r="J66" s="2070">
        <v>0</v>
      </c>
      <c r="K66" s="2070">
        <v>0</v>
      </c>
      <c r="L66" s="2070">
        <v>0</v>
      </c>
      <c r="M66" s="2070">
        <v>0</v>
      </c>
      <c r="N66" s="2070">
        <v>0</v>
      </c>
      <c r="O66" s="2070">
        <v>0</v>
      </c>
      <c r="P66" s="2070">
        <v>0</v>
      </c>
      <c r="Q66" s="2070">
        <v>0</v>
      </c>
      <c r="R66" s="2070">
        <v>0</v>
      </c>
      <c r="S66" s="2070">
        <v>0</v>
      </c>
      <c r="T66" s="2070">
        <v>0</v>
      </c>
      <c r="U66" s="2070">
        <v>0</v>
      </c>
      <c r="V66" s="2070">
        <v>0</v>
      </c>
      <c r="W66" s="2070">
        <v>0</v>
      </c>
      <c r="X66" s="2070">
        <v>0</v>
      </c>
    </row>
    <row r="67" spans="1:24" ht="11.25" customHeight="1">
      <c r="A67" s="2074" t="s">
        <v>5825</v>
      </c>
      <c r="B67" s="2069" t="s">
        <v>5826</v>
      </c>
      <c r="C67" s="2070">
        <v>0</v>
      </c>
      <c r="D67" s="2070">
        <v>0</v>
      </c>
      <c r="E67" s="2070">
        <v>0</v>
      </c>
      <c r="F67" s="2070">
        <v>0</v>
      </c>
      <c r="G67" s="2070">
        <v>0</v>
      </c>
      <c r="H67" s="2070">
        <v>0</v>
      </c>
      <c r="I67" s="2070">
        <v>0</v>
      </c>
      <c r="J67" s="2070">
        <v>0</v>
      </c>
      <c r="K67" s="2070">
        <v>0</v>
      </c>
      <c r="L67" s="2070">
        <v>0</v>
      </c>
      <c r="M67" s="2070">
        <v>0</v>
      </c>
      <c r="N67" s="2070">
        <v>0</v>
      </c>
      <c r="O67" s="2070">
        <v>0</v>
      </c>
      <c r="P67" s="2070">
        <v>0</v>
      </c>
      <c r="Q67" s="2070">
        <v>0</v>
      </c>
      <c r="R67" s="2070">
        <v>0</v>
      </c>
      <c r="S67" s="2070">
        <v>0</v>
      </c>
      <c r="T67" s="2070">
        <v>0</v>
      </c>
      <c r="U67" s="2070">
        <v>0</v>
      </c>
      <c r="V67" s="2070">
        <v>0</v>
      </c>
      <c r="W67" s="2070">
        <v>0</v>
      </c>
      <c r="X67" s="2070">
        <v>0</v>
      </c>
    </row>
    <row r="68" spans="1:24" ht="11.25" customHeight="1">
      <c r="A68" s="2074" t="s">
        <v>5827</v>
      </c>
      <c r="B68" s="2069" t="s">
        <v>5828</v>
      </c>
      <c r="C68" s="2070">
        <v>0</v>
      </c>
      <c r="D68" s="2070">
        <v>0</v>
      </c>
      <c r="E68" s="2070">
        <v>0</v>
      </c>
      <c r="F68" s="2070">
        <v>0</v>
      </c>
      <c r="G68" s="2070">
        <v>0</v>
      </c>
      <c r="H68" s="2070">
        <v>0</v>
      </c>
      <c r="I68" s="2070">
        <v>0</v>
      </c>
      <c r="J68" s="2070">
        <v>0</v>
      </c>
      <c r="K68" s="2070">
        <v>0</v>
      </c>
      <c r="L68" s="2070">
        <v>0</v>
      </c>
      <c r="M68" s="2070">
        <v>0</v>
      </c>
      <c r="N68" s="2070">
        <v>0</v>
      </c>
      <c r="O68" s="2070">
        <v>0</v>
      </c>
      <c r="P68" s="2070">
        <v>0</v>
      </c>
      <c r="Q68" s="2070">
        <v>0</v>
      </c>
      <c r="R68" s="2070">
        <v>0</v>
      </c>
      <c r="S68" s="2070">
        <v>0</v>
      </c>
      <c r="T68" s="2070">
        <v>0</v>
      </c>
      <c r="U68" s="2070">
        <v>0</v>
      </c>
      <c r="V68" s="2070">
        <v>0</v>
      </c>
      <c r="W68" s="2070">
        <v>0</v>
      </c>
      <c r="X68" s="2070">
        <v>0</v>
      </c>
    </row>
    <row r="69" spans="1:24" ht="11.25" customHeight="1">
      <c r="A69" s="2074" t="s">
        <v>4619</v>
      </c>
      <c r="B69" s="2069" t="s">
        <v>5829</v>
      </c>
      <c r="C69" s="2070">
        <v>0</v>
      </c>
      <c r="D69" s="2070">
        <v>0</v>
      </c>
      <c r="E69" s="2070">
        <v>0</v>
      </c>
      <c r="F69" s="2070">
        <v>0</v>
      </c>
      <c r="G69" s="2070">
        <v>0</v>
      </c>
      <c r="H69" s="2070">
        <v>0</v>
      </c>
      <c r="I69" s="2070">
        <v>0</v>
      </c>
      <c r="J69" s="2070">
        <v>0</v>
      </c>
      <c r="K69" s="2070">
        <v>0</v>
      </c>
      <c r="L69" s="2070">
        <v>0</v>
      </c>
      <c r="M69" s="2070">
        <v>0</v>
      </c>
      <c r="N69" s="2070">
        <v>0</v>
      </c>
      <c r="O69" s="2070">
        <v>0</v>
      </c>
      <c r="P69" s="2070">
        <v>0</v>
      </c>
      <c r="Q69" s="2070">
        <v>0</v>
      </c>
      <c r="R69" s="2070">
        <v>0</v>
      </c>
      <c r="S69" s="2070">
        <v>0</v>
      </c>
      <c r="T69" s="2070">
        <v>0</v>
      </c>
      <c r="U69" s="2070">
        <v>0</v>
      </c>
      <c r="V69" s="2070">
        <v>0</v>
      </c>
      <c r="W69" s="2070">
        <v>0</v>
      </c>
      <c r="X69" s="2070">
        <v>0</v>
      </c>
    </row>
    <row r="70" spans="1:24" ht="11.25" customHeight="1">
      <c r="A70" s="2074" t="s">
        <v>5830</v>
      </c>
      <c r="B70" s="2069" t="s">
        <v>5831</v>
      </c>
      <c r="C70" s="2070">
        <v>0</v>
      </c>
      <c r="D70" s="2070">
        <v>0</v>
      </c>
      <c r="E70" s="2070">
        <v>0</v>
      </c>
      <c r="F70" s="2070">
        <v>0</v>
      </c>
      <c r="G70" s="2070">
        <v>0</v>
      </c>
      <c r="H70" s="2070">
        <v>0</v>
      </c>
      <c r="I70" s="2070">
        <v>0</v>
      </c>
      <c r="J70" s="2070">
        <v>0</v>
      </c>
      <c r="K70" s="2070">
        <v>0</v>
      </c>
      <c r="L70" s="2070">
        <v>0</v>
      </c>
      <c r="M70" s="2070">
        <v>0</v>
      </c>
      <c r="N70" s="2070">
        <v>0</v>
      </c>
      <c r="O70" s="2070">
        <v>0</v>
      </c>
      <c r="P70" s="2070">
        <v>0</v>
      </c>
      <c r="Q70" s="2070">
        <v>0</v>
      </c>
      <c r="R70" s="2070">
        <v>0</v>
      </c>
      <c r="S70" s="2070">
        <v>0</v>
      </c>
      <c r="T70" s="2070">
        <v>0</v>
      </c>
      <c r="U70" s="2070">
        <v>0</v>
      </c>
      <c r="V70" s="2070">
        <v>0</v>
      </c>
      <c r="W70" s="2070">
        <v>0</v>
      </c>
      <c r="X70" s="2070">
        <v>0</v>
      </c>
    </row>
    <row r="71" spans="1:24" ht="11.25" customHeight="1">
      <c r="A71" s="2071" t="s">
        <v>5832</v>
      </c>
      <c r="B71" s="2072" t="s">
        <v>5833</v>
      </c>
      <c r="C71" s="2073">
        <v>0</v>
      </c>
      <c r="D71" s="2073">
        <v>0</v>
      </c>
      <c r="E71" s="2073">
        <v>0</v>
      </c>
      <c r="F71" s="2073">
        <v>0</v>
      </c>
      <c r="G71" s="2073">
        <v>0</v>
      </c>
      <c r="H71" s="2073">
        <v>0</v>
      </c>
      <c r="I71" s="2073">
        <v>0</v>
      </c>
      <c r="J71" s="2073">
        <v>0</v>
      </c>
      <c r="K71" s="2073">
        <v>0</v>
      </c>
      <c r="L71" s="2073">
        <v>0</v>
      </c>
      <c r="M71" s="2073">
        <v>0</v>
      </c>
      <c r="N71" s="2073">
        <v>0</v>
      </c>
      <c r="O71" s="2073">
        <v>0</v>
      </c>
      <c r="P71" s="2073">
        <v>0</v>
      </c>
      <c r="Q71" s="2073">
        <v>0</v>
      </c>
      <c r="R71" s="2073">
        <v>0</v>
      </c>
      <c r="S71" s="2073">
        <v>0</v>
      </c>
      <c r="T71" s="2073">
        <v>0</v>
      </c>
      <c r="U71" s="2073">
        <v>0</v>
      </c>
      <c r="V71" s="2073">
        <v>0</v>
      </c>
      <c r="W71" s="2073">
        <v>0</v>
      </c>
      <c r="X71" s="2073">
        <v>0</v>
      </c>
    </row>
    <row r="72" spans="1:24" ht="11.25" customHeight="1">
      <c r="A72" s="2074" t="s">
        <v>5834</v>
      </c>
      <c r="B72" s="2069" t="s">
        <v>5835</v>
      </c>
      <c r="C72" s="2070">
        <v>0</v>
      </c>
      <c r="D72" s="2070">
        <v>0</v>
      </c>
      <c r="E72" s="2070">
        <v>0</v>
      </c>
      <c r="F72" s="2070">
        <v>0</v>
      </c>
      <c r="G72" s="2070">
        <v>0</v>
      </c>
      <c r="H72" s="2070">
        <v>0</v>
      </c>
      <c r="I72" s="2070">
        <v>0</v>
      </c>
      <c r="J72" s="2070">
        <v>0</v>
      </c>
      <c r="K72" s="2070">
        <v>0</v>
      </c>
      <c r="L72" s="2070">
        <v>0</v>
      </c>
      <c r="M72" s="2070">
        <v>0</v>
      </c>
      <c r="N72" s="2070">
        <v>0</v>
      </c>
      <c r="O72" s="2070">
        <v>0</v>
      </c>
      <c r="P72" s="2070">
        <v>0</v>
      </c>
      <c r="Q72" s="2070">
        <v>0</v>
      </c>
      <c r="R72" s="2070">
        <v>0</v>
      </c>
      <c r="S72" s="2070">
        <v>0</v>
      </c>
      <c r="T72" s="2070">
        <v>0</v>
      </c>
      <c r="U72" s="2070">
        <v>0</v>
      </c>
      <c r="V72" s="2070">
        <v>0</v>
      </c>
      <c r="W72" s="2070">
        <v>0</v>
      </c>
      <c r="X72" s="2070">
        <v>0</v>
      </c>
    </row>
    <row r="73" spans="1:24" ht="11.25" customHeight="1">
      <c r="A73" s="2074" t="s">
        <v>5836</v>
      </c>
      <c r="B73" s="2069" t="s">
        <v>5837</v>
      </c>
      <c r="C73" s="2070">
        <v>0</v>
      </c>
      <c r="D73" s="2070">
        <v>0</v>
      </c>
      <c r="E73" s="2070">
        <v>0</v>
      </c>
      <c r="F73" s="2070">
        <v>0</v>
      </c>
      <c r="G73" s="2070">
        <v>0</v>
      </c>
      <c r="H73" s="2070">
        <v>0</v>
      </c>
      <c r="I73" s="2070">
        <v>0</v>
      </c>
      <c r="J73" s="2070">
        <v>0</v>
      </c>
      <c r="K73" s="2070">
        <v>0</v>
      </c>
      <c r="L73" s="2070">
        <v>0</v>
      </c>
      <c r="M73" s="2070">
        <v>0</v>
      </c>
      <c r="N73" s="2070">
        <v>0</v>
      </c>
      <c r="O73" s="2070">
        <v>0</v>
      </c>
      <c r="P73" s="2070">
        <v>0</v>
      </c>
      <c r="Q73" s="2070">
        <v>0</v>
      </c>
      <c r="R73" s="2070">
        <v>0</v>
      </c>
      <c r="S73" s="2070">
        <v>0</v>
      </c>
      <c r="T73" s="2070">
        <v>0</v>
      </c>
      <c r="U73" s="2070">
        <v>0</v>
      </c>
      <c r="V73" s="2070">
        <v>0</v>
      </c>
      <c r="W73" s="2070">
        <v>0</v>
      </c>
      <c r="X73" s="2070">
        <v>0</v>
      </c>
    </row>
    <row r="74" spans="1:24" ht="11.25" customHeight="1">
      <c r="A74" s="2071" t="s">
        <v>4616</v>
      </c>
      <c r="B74" s="2072" t="s">
        <v>5838</v>
      </c>
      <c r="C74" s="2073">
        <v>0</v>
      </c>
      <c r="D74" s="2073">
        <v>0</v>
      </c>
      <c r="E74" s="2073">
        <v>0</v>
      </c>
      <c r="F74" s="2073">
        <v>0</v>
      </c>
      <c r="G74" s="2073">
        <v>0</v>
      </c>
      <c r="H74" s="2073">
        <v>0</v>
      </c>
      <c r="I74" s="2073">
        <v>0</v>
      </c>
      <c r="J74" s="2073">
        <v>0</v>
      </c>
      <c r="K74" s="2073">
        <v>0</v>
      </c>
      <c r="L74" s="2073">
        <v>0</v>
      </c>
      <c r="M74" s="2073">
        <v>0</v>
      </c>
      <c r="N74" s="2073">
        <v>0</v>
      </c>
      <c r="O74" s="2073">
        <v>0</v>
      </c>
      <c r="P74" s="2073">
        <v>0</v>
      </c>
      <c r="Q74" s="2073">
        <v>0</v>
      </c>
      <c r="R74" s="2073">
        <v>0</v>
      </c>
      <c r="S74" s="2073">
        <v>0</v>
      </c>
      <c r="T74" s="2073">
        <v>0</v>
      </c>
      <c r="U74" s="2073">
        <v>0</v>
      </c>
      <c r="V74" s="2073">
        <v>0</v>
      </c>
      <c r="W74" s="2073">
        <v>0</v>
      </c>
      <c r="X74" s="2073">
        <v>0</v>
      </c>
    </row>
    <row r="75" spans="1:24" ht="11.25" customHeight="1">
      <c r="A75" s="2071" t="s">
        <v>4671</v>
      </c>
      <c r="B75" s="2072" t="s">
        <v>5839</v>
      </c>
      <c r="C75" s="2073">
        <v>0</v>
      </c>
      <c r="D75" s="2073">
        <v>0</v>
      </c>
      <c r="E75" s="2073">
        <v>0</v>
      </c>
      <c r="F75" s="2073">
        <v>0</v>
      </c>
      <c r="G75" s="2073">
        <v>0</v>
      </c>
      <c r="H75" s="2073">
        <v>0</v>
      </c>
      <c r="I75" s="2073">
        <v>0</v>
      </c>
      <c r="J75" s="2073">
        <v>0</v>
      </c>
      <c r="K75" s="2073">
        <v>0</v>
      </c>
      <c r="L75" s="2073">
        <v>0</v>
      </c>
      <c r="M75" s="2073">
        <v>0</v>
      </c>
      <c r="N75" s="2073">
        <v>0</v>
      </c>
      <c r="O75" s="2073">
        <v>0</v>
      </c>
      <c r="P75" s="2073">
        <v>0</v>
      </c>
      <c r="Q75" s="2073">
        <v>0</v>
      </c>
      <c r="R75" s="2073">
        <v>0</v>
      </c>
      <c r="S75" s="2073">
        <v>0</v>
      </c>
      <c r="T75" s="2073">
        <v>0</v>
      </c>
      <c r="U75" s="2073">
        <v>0</v>
      </c>
      <c r="V75" s="2073">
        <v>0</v>
      </c>
      <c r="W75" s="2073">
        <v>0</v>
      </c>
      <c r="X75" s="2073">
        <v>0</v>
      </c>
    </row>
    <row r="76" spans="1:24" ht="11.25" customHeight="1">
      <c r="A76" s="2075" t="s">
        <v>4282</v>
      </c>
      <c r="B76" s="2076" t="s">
        <v>5840</v>
      </c>
      <c r="C76" s="2077">
        <v>0</v>
      </c>
      <c r="D76" s="2077">
        <v>0</v>
      </c>
      <c r="E76" s="2077">
        <v>0</v>
      </c>
      <c r="F76" s="2077">
        <v>0</v>
      </c>
      <c r="G76" s="2077">
        <v>0</v>
      </c>
      <c r="H76" s="2077">
        <v>0</v>
      </c>
      <c r="I76" s="2077">
        <v>0</v>
      </c>
      <c r="J76" s="2077">
        <v>0</v>
      </c>
      <c r="K76" s="2077">
        <v>0</v>
      </c>
      <c r="L76" s="2077">
        <v>0</v>
      </c>
      <c r="M76" s="2077">
        <v>0</v>
      </c>
      <c r="N76" s="2077">
        <v>0</v>
      </c>
      <c r="O76" s="2077">
        <v>0</v>
      </c>
      <c r="P76" s="2077">
        <v>0</v>
      </c>
      <c r="Q76" s="2077">
        <v>0</v>
      </c>
      <c r="R76" s="2077">
        <v>0</v>
      </c>
      <c r="S76" s="2077">
        <v>0</v>
      </c>
      <c r="T76" s="2077">
        <v>0</v>
      </c>
      <c r="U76" s="2077">
        <v>0</v>
      </c>
      <c r="V76" s="2077">
        <v>0</v>
      </c>
      <c r="W76" s="2077">
        <v>0</v>
      </c>
      <c r="X76" s="2077">
        <v>0</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3B1C3-E66A-4393-8B63-81A79AA660DA}">
  <sheetPr>
    <pageSetUpPr fitToPage="1"/>
  </sheetPr>
  <dimension ref="A1:X76"/>
  <sheetViews>
    <sheetView showGridLines="0" workbookViewId="0">
      <pane xSplit="2" ySplit="2" topLeftCell="I3" activePane="bottomRight" state="frozen"/>
      <selection activeCell="W2" sqref="W2"/>
      <selection pane="topRight" activeCell="W2" sqref="W2"/>
      <selection pane="bottomLeft" activeCell="W2" sqref="W2"/>
      <selection pane="bottomRight"/>
    </sheetView>
  </sheetViews>
  <sheetFormatPr baseColWidth="10" defaultColWidth="9.1640625" defaultRowHeight="11.25" customHeight="1"/>
  <cols>
    <col min="1" max="1" width="40.6640625" style="2059" bestFit="1" customWidth="1"/>
    <col min="2" max="2" width="16.1640625" style="2059" bestFit="1" customWidth="1"/>
    <col min="3" max="24" width="9.6640625" style="2059" customWidth="1"/>
    <col min="25" max="16384" width="9.1640625" style="2059"/>
  </cols>
  <sheetData>
    <row r="1" spans="1:24" ht="11.25" customHeight="1">
      <c r="A1" s="2057" t="s">
        <v>5867</v>
      </c>
      <c r="B1" s="2057" t="s">
        <v>5868</v>
      </c>
      <c r="C1" s="2058">
        <v>2000</v>
      </c>
      <c r="D1" s="2058">
        <v>2001</v>
      </c>
      <c r="E1" s="2058">
        <v>2002</v>
      </c>
      <c r="F1" s="2058">
        <v>2003</v>
      </c>
      <c r="G1" s="2058">
        <v>2004</v>
      </c>
      <c r="H1" s="2058">
        <v>2005</v>
      </c>
      <c r="I1" s="2058">
        <v>2006</v>
      </c>
      <c r="J1" s="2058">
        <v>2007</v>
      </c>
      <c r="K1" s="2058">
        <v>2008</v>
      </c>
      <c r="L1" s="2058">
        <v>2009</v>
      </c>
      <c r="M1" s="2058">
        <v>2010</v>
      </c>
      <c r="N1" s="2058">
        <v>2011</v>
      </c>
      <c r="O1" s="2058">
        <v>2012</v>
      </c>
      <c r="P1" s="2058">
        <v>2013</v>
      </c>
      <c r="Q1" s="2058">
        <v>2014</v>
      </c>
      <c r="R1" s="2058">
        <v>2015</v>
      </c>
      <c r="S1" s="2058">
        <v>2016</v>
      </c>
      <c r="T1" s="2058">
        <v>2017</v>
      </c>
      <c r="U1" s="2058">
        <v>2018</v>
      </c>
      <c r="V1" s="2058">
        <v>2019</v>
      </c>
      <c r="W1" s="2058">
        <v>2020</v>
      </c>
      <c r="X1" s="2058">
        <v>2021</v>
      </c>
    </row>
    <row r="2" spans="1:24" ht="11.25" customHeight="1">
      <c r="A2" s="2060" t="s">
        <v>1265</v>
      </c>
      <c r="B2" s="2060" t="s">
        <v>5738</v>
      </c>
      <c r="C2" s="2061">
        <v>98557.05176268272</v>
      </c>
      <c r="D2" s="2061">
        <v>98645.897076526249</v>
      </c>
      <c r="E2" s="2061">
        <v>98006.469733447972</v>
      </c>
      <c r="F2" s="2061">
        <v>96755.171023215808</v>
      </c>
      <c r="G2" s="2061">
        <v>98286.285898538248</v>
      </c>
      <c r="H2" s="2061">
        <v>100159.62055030094</v>
      </c>
      <c r="I2" s="2061">
        <v>100028.01332760105</v>
      </c>
      <c r="J2" s="2061">
        <v>100119.04711951848</v>
      </c>
      <c r="K2" s="2061">
        <v>97508.479621668084</v>
      </c>
      <c r="L2" s="2061">
        <v>88569.504901117805</v>
      </c>
      <c r="M2" s="2061">
        <v>93214.569389509881</v>
      </c>
      <c r="N2" s="2061">
        <v>91250.169045571805</v>
      </c>
      <c r="O2" s="2061">
        <v>87860.123473774715</v>
      </c>
      <c r="P2" s="2061">
        <v>85120.677386070514</v>
      </c>
      <c r="Q2" s="2061">
        <v>87033.581255374025</v>
      </c>
      <c r="R2" s="2061">
        <v>84277.30662080826</v>
      </c>
      <c r="S2" s="2061">
        <v>84030.634393809101</v>
      </c>
      <c r="T2" s="2061">
        <v>90631.23834909717</v>
      </c>
      <c r="U2" s="2061">
        <v>87051.117970765248</v>
      </c>
      <c r="V2" s="2061">
        <v>86646.959587274279</v>
      </c>
      <c r="W2" s="2061">
        <v>86179.823559759228</v>
      </c>
      <c r="X2" s="2061">
        <v>87711.73430782459</v>
      </c>
    </row>
    <row r="3" spans="1:24" ht="11.25" customHeight="1">
      <c r="A3" s="2062" t="s">
        <v>5739</v>
      </c>
      <c r="B3" s="2063" t="s">
        <v>5740</v>
      </c>
      <c r="C3" s="2064">
        <v>0</v>
      </c>
      <c r="D3" s="2064">
        <v>0</v>
      </c>
      <c r="E3" s="2064">
        <v>0</v>
      </c>
      <c r="F3" s="2064">
        <v>0</v>
      </c>
      <c r="G3" s="2064">
        <v>0</v>
      </c>
      <c r="H3" s="2064">
        <v>0</v>
      </c>
      <c r="I3" s="2064">
        <v>0</v>
      </c>
      <c r="J3" s="2064">
        <v>0</v>
      </c>
      <c r="K3" s="2064">
        <v>0</v>
      </c>
      <c r="L3" s="2064">
        <v>0</v>
      </c>
      <c r="M3" s="2064">
        <v>0</v>
      </c>
      <c r="N3" s="2064">
        <v>0</v>
      </c>
      <c r="O3" s="2064">
        <v>0</v>
      </c>
      <c r="P3" s="2064">
        <v>0</v>
      </c>
      <c r="Q3" s="2064">
        <v>0</v>
      </c>
      <c r="R3" s="2064">
        <v>0</v>
      </c>
      <c r="S3" s="2064">
        <v>0</v>
      </c>
      <c r="T3" s="2064">
        <v>0</v>
      </c>
      <c r="U3" s="2064">
        <v>0</v>
      </c>
      <c r="V3" s="2064">
        <v>0</v>
      </c>
      <c r="W3" s="2064">
        <v>0</v>
      </c>
      <c r="X3" s="2064">
        <v>0</v>
      </c>
    </row>
    <row r="4" spans="1:24" ht="11.25" customHeight="1">
      <c r="A4" s="2065" t="s">
        <v>5741</v>
      </c>
      <c r="B4" s="2066" t="s">
        <v>5742</v>
      </c>
      <c r="C4" s="2067">
        <v>0</v>
      </c>
      <c r="D4" s="2067">
        <v>0</v>
      </c>
      <c r="E4" s="2067">
        <v>0</v>
      </c>
      <c r="F4" s="2067">
        <v>0</v>
      </c>
      <c r="G4" s="2067">
        <v>0</v>
      </c>
      <c r="H4" s="2067">
        <v>0</v>
      </c>
      <c r="I4" s="2067">
        <v>0</v>
      </c>
      <c r="J4" s="2067">
        <v>0</v>
      </c>
      <c r="K4" s="2067">
        <v>0</v>
      </c>
      <c r="L4" s="2067">
        <v>0</v>
      </c>
      <c r="M4" s="2067">
        <v>0</v>
      </c>
      <c r="N4" s="2067">
        <v>0</v>
      </c>
      <c r="O4" s="2067">
        <v>0</v>
      </c>
      <c r="P4" s="2067">
        <v>0</v>
      </c>
      <c r="Q4" s="2067">
        <v>0</v>
      </c>
      <c r="R4" s="2067">
        <v>0</v>
      </c>
      <c r="S4" s="2067">
        <v>0</v>
      </c>
      <c r="T4" s="2067">
        <v>0</v>
      </c>
      <c r="U4" s="2067">
        <v>0</v>
      </c>
      <c r="V4" s="2067">
        <v>0</v>
      </c>
      <c r="W4" s="2067">
        <v>0</v>
      </c>
      <c r="X4" s="2067">
        <v>0</v>
      </c>
    </row>
    <row r="5" spans="1:24" ht="11.25" customHeight="1">
      <c r="A5" s="2068" t="s">
        <v>4613</v>
      </c>
      <c r="B5" s="2069" t="s">
        <v>5743</v>
      </c>
      <c r="C5" s="2070">
        <v>0</v>
      </c>
      <c r="D5" s="2070">
        <v>0</v>
      </c>
      <c r="E5" s="2070">
        <v>0</v>
      </c>
      <c r="F5" s="2070">
        <v>0</v>
      </c>
      <c r="G5" s="2070">
        <v>0</v>
      </c>
      <c r="H5" s="2070">
        <v>0</v>
      </c>
      <c r="I5" s="2070">
        <v>0</v>
      </c>
      <c r="J5" s="2070">
        <v>0</v>
      </c>
      <c r="K5" s="2070">
        <v>0</v>
      </c>
      <c r="L5" s="2070">
        <v>0</v>
      </c>
      <c r="M5" s="2070">
        <v>0</v>
      </c>
      <c r="N5" s="2070">
        <v>0</v>
      </c>
      <c r="O5" s="2070">
        <v>0</v>
      </c>
      <c r="P5" s="2070">
        <v>0</v>
      </c>
      <c r="Q5" s="2070">
        <v>0</v>
      </c>
      <c r="R5" s="2070">
        <v>0</v>
      </c>
      <c r="S5" s="2070">
        <v>0</v>
      </c>
      <c r="T5" s="2070">
        <v>0</v>
      </c>
      <c r="U5" s="2070">
        <v>0</v>
      </c>
      <c r="V5" s="2070">
        <v>0</v>
      </c>
      <c r="W5" s="2070">
        <v>0</v>
      </c>
      <c r="X5" s="2070">
        <v>0</v>
      </c>
    </row>
    <row r="6" spans="1:24" ht="11.25" customHeight="1">
      <c r="A6" s="2068" t="s">
        <v>4647</v>
      </c>
      <c r="B6" s="2069" t="s">
        <v>5744</v>
      </c>
      <c r="C6" s="2070">
        <v>0</v>
      </c>
      <c r="D6" s="2070">
        <v>0</v>
      </c>
      <c r="E6" s="2070">
        <v>0</v>
      </c>
      <c r="F6" s="2070">
        <v>0</v>
      </c>
      <c r="G6" s="2070">
        <v>0</v>
      </c>
      <c r="H6" s="2070">
        <v>0</v>
      </c>
      <c r="I6" s="2070">
        <v>0</v>
      </c>
      <c r="J6" s="2070">
        <v>0</v>
      </c>
      <c r="K6" s="2070">
        <v>0</v>
      </c>
      <c r="L6" s="2070">
        <v>0</v>
      </c>
      <c r="M6" s="2070">
        <v>0</v>
      </c>
      <c r="N6" s="2070">
        <v>0</v>
      </c>
      <c r="O6" s="2070">
        <v>0</v>
      </c>
      <c r="P6" s="2070">
        <v>0</v>
      </c>
      <c r="Q6" s="2070">
        <v>0</v>
      </c>
      <c r="R6" s="2070">
        <v>0</v>
      </c>
      <c r="S6" s="2070">
        <v>0</v>
      </c>
      <c r="T6" s="2070">
        <v>0</v>
      </c>
      <c r="U6" s="2070">
        <v>0</v>
      </c>
      <c r="V6" s="2070">
        <v>0</v>
      </c>
      <c r="W6" s="2070">
        <v>0</v>
      </c>
      <c r="X6" s="2070">
        <v>0</v>
      </c>
    </row>
    <row r="7" spans="1:24" ht="11.25" customHeight="1">
      <c r="A7" s="2068" t="s">
        <v>4648</v>
      </c>
      <c r="B7" s="2069" t="s">
        <v>5745</v>
      </c>
      <c r="C7" s="2070">
        <v>0</v>
      </c>
      <c r="D7" s="2070">
        <v>0</v>
      </c>
      <c r="E7" s="2070">
        <v>0</v>
      </c>
      <c r="F7" s="2070">
        <v>0</v>
      </c>
      <c r="G7" s="2070">
        <v>0</v>
      </c>
      <c r="H7" s="2070">
        <v>0</v>
      </c>
      <c r="I7" s="2070">
        <v>0</v>
      </c>
      <c r="J7" s="2070">
        <v>0</v>
      </c>
      <c r="K7" s="2070">
        <v>0</v>
      </c>
      <c r="L7" s="2070">
        <v>0</v>
      </c>
      <c r="M7" s="2070">
        <v>0</v>
      </c>
      <c r="N7" s="2070">
        <v>0</v>
      </c>
      <c r="O7" s="2070">
        <v>0</v>
      </c>
      <c r="P7" s="2070">
        <v>0</v>
      </c>
      <c r="Q7" s="2070">
        <v>0</v>
      </c>
      <c r="R7" s="2070">
        <v>0</v>
      </c>
      <c r="S7" s="2070">
        <v>0</v>
      </c>
      <c r="T7" s="2070">
        <v>0</v>
      </c>
      <c r="U7" s="2070">
        <v>0</v>
      </c>
      <c r="V7" s="2070">
        <v>0</v>
      </c>
      <c r="W7" s="2070">
        <v>0</v>
      </c>
      <c r="X7" s="2070">
        <v>0</v>
      </c>
    </row>
    <row r="8" spans="1:24" ht="11.25" customHeight="1">
      <c r="A8" s="2065" t="s">
        <v>5746</v>
      </c>
      <c r="B8" s="2066" t="s">
        <v>5747</v>
      </c>
      <c r="C8" s="2067">
        <v>0</v>
      </c>
      <c r="D8" s="2067">
        <v>0</v>
      </c>
      <c r="E8" s="2067">
        <v>0</v>
      </c>
      <c r="F8" s="2067">
        <v>0</v>
      </c>
      <c r="G8" s="2067">
        <v>0</v>
      </c>
      <c r="H8" s="2067">
        <v>0</v>
      </c>
      <c r="I8" s="2067">
        <v>0</v>
      </c>
      <c r="J8" s="2067">
        <v>0</v>
      </c>
      <c r="K8" s="2067">
        <v>0</v>
      </c>
      <c r="L8" s="2067">
        <v>0</v>
      </c>
      <c r="M8" s="2067">
        <v>0</v>
      </c>
      <c r="N8" s="2067">
        <v>0</v>
      </c>
      <c r="O8" s="2067">
        <v>0</v>
      </c>
      <c r="P8" s="2067">
        <v>0</v>
      </c>
      <c r="Q8" s="2067">
        <v>0</v>
      </c>
      <c r="R8" s="2067">
        <v>0</v>
      </c>
      <c r="S8" s="2067">
        <v>0</v>
      </c>
      <c r="T8" s="2067">
        <v>0</v>
      </c>
      <c r="U8" s="2067">
        <v>0</v>
      </c>
      <c r="V8" s="2067">
        <v>0</v>
      </c>
      <c r="W8" s="2067">
        <v>0</v>
      </c>
      <c r="X8" s="2067">
        <v>0</v>
      </c>
    </row>
    <row r="9" spans="1:24" ht="11.25" customHeight="1">
      <c r="A9" s="2068" t="s">
        <v>4649</v>
      </c>
      <c r="B9" s="2069" t="s">
        <v>5748</v>
      </c>
      <c r="C9" s="2070">
        <v>0</v>
      </c>
      <c r="D9" s="2070">
        <v>0</v>
      </c>
      <c r="E9" s="2070">
        <v>0</v>
      </c>
      <c r="F9" s="2070">
        <v>0</v>
      </c>
      <c r="G9" s="2070">
        <v>0</v>
      </c>
      <c r="H9" s="2070">
        <v>0</v>
      </c>
      <c r="I9" s="2070">
        <v>0</v>
      </c>
      <c r="J9" s="2070">
        <v>0</v>
      </c>
      <c r="K9" s="2070">
        <v>0</v>
      </c>
      <c r="L9" s="2070">
        <v>0</v>
      </c>
      <c r="M9" s="2070">
        <v>0</v>
      </c>
      <c r="N9" s="2070">
        <v>0</v>
      </c>
      <c r="O9" s="2070">
        <v>0</v>
      </c>
      <c r="P9" s="2070">
        <v>0</v>
      </c>
      <c r="Q9" s="2070">
        <v>0</v>
      </c>
      <c r="R9" s="2070">
        <v>0</v>
      </c>
      <c r="S9" s="2070">
        <v>0</v>
      </c>
      <c r="T9" s="2070">
        <v>0</v>
      </c>
      <c r="U9" s="2070">
        <v>0</v>
      </c>
      <c r="V9" s="2070">
        <v>0</v>
      </c>
      <c r="W9" s="2070">
        <v>0</v>
      </c>
      <c r="X9" s="2070">
        <v>0</v>
      </c>
    </row>
    <row r="10" spans="1:24" ht="11.25" customHeight="1">
      <c r="A10" s="2068" t="s">
        <v>4290</v>
      </c>
      <c r="B10" s="2069" t="s">
        <v>5749</v>
      </c>
      <c r="C10" s="2070">
        <v>0</v>
      </c>
      <c r="D10" s="2070">
        <v>0</v>
      </c>
      <c r="E10" s="2070">
        <v>0</v>
      </c>
      <c r="F10" s="2070">
        <v>0</v>
      </c>
      <c r="G10" s="2070">
        <v>0</v>
      </c>
      <c r="H10" s="2070">
        <v>0</v>
      </c>
      <c r="I10" s="2070">
        <v>0</v>
      </c>
      <c r="J10" s="2070">
        <v>0</v>
      </c>
      <c r="K10" s="2070">
        <v>0</v>
      </c>
      <c r="L10" s="2070">
        <v>0</v>
      </c>
      <c r="M10" s="2070">
        <v>0</v>
      </c>
      <c r="N10" s="2070">
        <v>0</v>
      </c>
      <c r="O10" s="2070">
        <v>0</v>
      </c>
      <c r="P10" s="2070">
        <v>0</v>
      </c>
      <c r="Q10" s="2070">
        <v>0</v>
      </c>
      <c r="R10" s="2070">
        <v>0</v>
      </c>
      <c r="S10" s="2070">
        <v>0</v>
      </c>
      <c r="T10" s="2070">
        <v>0</v>
      </c>
      <c r="U10" s="2070">
        <v>0</v>
      </c>
      <c r="V10" s="2070">
        <v>0</v>
      </c>
      <c r="W10" s="2070">
        <v>0</v>
      </c>
      <c r="X10" s="2070">
        <v>0</v>
      </c>
    </row>
    <row r="11" spans="1:24" ht="11.25" customHeight="1">
      <c r="A11" s="2065" t="s">
        <v>5750</v>
      </c>
      <c r="B11" s="2066" t="s">
        <v>5751</v>
      </c>
      <c r="C11" s="2067">
        <v>0</v>
      </c>
      <c r="D11" s="2067">
        <v>0</v>
      </c>
      <c r="E11" s="2067">
        <v>0</v>
      </c>
      <c r="F11" s="2067">
        <v>0</v>
      </c>
      <c r="G11" s="2067">
        <v>0</v>
      </c>
      <c r="H11" s="2067">
        <v>0</v>
      </c>
      <c r="I11" s="2067">
        <v>0</v>
      </c>
      <c r="J11" s="2067">
        <v>0</v>
      </c>
      <c r="K11" s="2067">
        <v>0</v>
      </c>
      <c r="L11" s="2067">
        <v>0</v>
      </c>
      <c r="M11" s="2067">
        <v>0</v>
      </c>
      <c r="N11" s="2067">
        <v>0</v>
      </c>
      <c r="O11" s="2067">
        <v>0</v>
      </c>
      <c r="P11" s="2067">
        <v>0</v>
      </c>
      <c r="Q11" s="2067">
        <v>0</v>
      </c>
      <c r="R11" s="2067">
        <v>0</v>
      </c>
      <c r="S11" s="2067">
        <v>0</v>
      </c>
      <c r="T11" s="2067">
        <v>0</v>
      </c>
      <c r="U11" s="2067">
        <v>0</v>
      </c>
      <c r="V11" s="2067">
        <v>0</v>
      </c>
      <c r="W11" s="2067">
        <v>0</v>
      </c>
      <c r="X11" s="2067">
        <v>0</v>
      </c>
    </row>
    <row r="12" spans="1:24" ht="11.25" customHeight="1">
      <c r="A12" s="2068" t="s">
        <v>4650</v>
      </c>
      <c r="B12" s="2069" t="s">
        <v>5752</v>
      </c>
      <c r="C12" s="2070">
        <v>0</v>
      </c>
      <c r="D12" s="2070">
        <v>0</v>
      </c>
      <c r="E12" s="2070">
        <v>0</v>
      </c>
      <c r="F12" s="2070">
        <v>0</v>
      </c>
      <c r="G12" s="2070">
        <v>0</v>
      </c>
      <c r="H12" s="2070">
        <v>0</v>
      </c>
      <c r="I12" s="2070">
        <v>0</v>
      </c>
      <c r="J12" s="2070">
        <v>0</v>
      </c>
      <c r="K12" s="2070">
        <v>0</v>
      </c>
      <c r="L12" s="2070">
        <v>0</v>
      </c>
      <c r="M12" s="2070">
        <v>0</v>
      </c>
      <c r="N12" s="2070">
        <v>0</v>
      </c>
      <c r="O12" s="2070">
        <v>0</v>
      </c>
      <c r="P12" s="2070">
        <v>0</v>
      </c>
      <c r="Q12" s="2070">
        <v>0</v>
      </c>
      <c r="R12" s="2070">
        <v>0</v>
      </c>
      <c r="S12" s="2070">
        <v>0</v>
      </c>
      <c r="T12" s="2070">
        <v>0</v>
      </c>
      <c r="U12" s="2070">
        <v>0</v>
      </c>
      <c r="V12" s="2070">
        <v>0</v>
      </c>
      <c r="W12" s="2070">
        <v>0</v>
      </c>
      <c r="X12" s="2070">
        <v>0</v>
      </c>
    </row>
    <row r="13" spans="1:24" ht="11.25" customHeight="1">
      <c r="A13" s="2068" t="s">
        <v>4651</v>
      </c>
      <c r="B13" s="2069" t="s">
        <v>5753</v>
      </c>
      <c r="C13" s="2070">
        <v>0</v>
      </c>
      <c r="D13" s="2070">
        <v>0</v>
      </c>
      <c r="E13" s="2070">
        <v>0</v>
      </c>
      <c r="F13" s="2070">
        <v>0</v>
      </c>
      <c r="G13" s="2070">
        <v>0</v>
      </c>
      <c r="H13" s="2070">
        <v>0</v>
      </c>
      <c r="I13" s="2070">
        <v>0</v>
      </c>
      <c r="J13" s="2070">
        <v>0</v>
      </c>
      <c r="K13" s="2070">
        <v>0</v>
      </c>
      <c r="L13" s="2070">
        <v>0</v>
      </c>
      <c r="M13" s="2070">
        <v>0</v>
      </c>
      <c r="N13" s="2070">
        <v>0</v>
      </c>
      <c r="O13" s="2070">
        <v>0</v>
      </c>
      <c r="P13" s="2070">
        <v>0</v>
      </c>
      <c r="Q13" s="2070">
        <v>0</v>
      </c>
      <c r="R13" s="2070">
        <v>0</v>
      </c>
      <c r="S13" s="2070">
        <v>0</v>
      </c>
      <c r="T13" s="2070">
        <v>0</v>
      </c>
      <c r="U13" s="2070">
        <v>0</v>
      </c>
      <c r="V13" s="2070">
        <v>0</v>
      </c>
      <c r="W13" s="2070">
        <v>0</v>
      </c>
      <c r="X13" s="2070">
        <v>0</v>
      </c>
    </row>
    <row r="14" spans="1:24" ht="11.25" customHeight="1">
      <c r="A14" s="2068" t="s">
        <v>4652</v>
      </c>
      <c r="B14" s="2069" t="s">
        <v>5754</v>
      </c>
      <c r="C14" s="2070">
        <v>0</v>
      </c>
      <c r="D14" s="2070">
        <v>0</v>
      </c>
      <c r="E14" s="2070">
        <v>0</v>
      </c>
      <c r="F14" s="2070">
        <v>0</v>
      </c>
      <c r="G14" s="2070">
        <v>0</v>
      </c>
      <c r="H14" s="2070">
        <v>0</v>
      </c>
      <c r="I14" s="2070">
        <v>0</v>
      </c>
      <c r="J14" s="2070">
        <v>0</v>
      </c>
      <c r="K14" s="2070">
        <v>0</v>
      </c>
      <c r="L14" s="2070">
        <v>0</v>
      </c>
      <c r="M14" s="2070">
        <v>0</v>
      </c>
      <c r="N14" s="2070">
        <v>0</v>
      </c>
      <c r="O14" s="2070">
        <v>0</v>
      </c>
      <c r="P14" s="2070">
        <v>0</v>
      </c>
      <c r="Q14" s="2070">
        <v>0</v>
      </c>
      <c r="R14" s="2070">
        <v>0</v>
      </c>
      <c r="S14" s="2070">
        <v>0</v>
      </c>
      <c r="T14" s="2070">
        <v>0</v>
      </c>
      <c r="U14" s="2070">
        <v>0</v>
      </c>
      <c r="V14" s="2070">
        <v>0</v>
      </c>
      <c r="W14" s="2070">
        <v>0</v>
      </c>
      <c r="X14" s="2070">
        <v>0</v>
      </c>
    </row>
    <row r="15" spans="1:24" ht="11.25" customHeight="1">
      <c r="A15" s="2068" t="s">
        <v>4653</v>
      </c>
      <c r="B15" s="2069" t="s">
        <v>5755</v>
      </c>
      <c r="C15" s="2070">
        <v>0</v>
      </c>
      <c r="D15" s="2070">
        <v>0</v>
      </c>
      <c r="E15" s="2070">
        <v>0</v>
      </c>
      <c r="F15" s="2070">
        <v>0</v>
      </c>
      <c r="G15" s="2070">
        <v>0</v>
      </c>
      <c r="H15" s="2070">
        <v>0</v>
      </c>
      <c r="I15" s="2070">
        <v>0</v>
      </c>
      <c r="J15" s="2070">
        <v>0</v>
      </c>
      <c r="K15" s="2070">
        <v>0</v>
      </c>
      <c r="L15" s="2070">
        <v>0</v>
      </c>
      <c r="M15" s="2070">
        <v>0</v>
      </c>
      <c r="N15" s="2070">
        <v>0</v>
      </c>
      <c r="O15" s="2070">
        <v>0</v>
      </c>
      <c r="P15" s="2070">
        <v>0</v>
      </c>
      <c r="Q15" s="2070">
        <v>0</v>
      </c>
      <c r="R15" s="2070">
        <v>0</v>
      </c>
      <c r="S15" s="2070">
        <v>0</v>
      </c>
      <c r="T15" s="2070">
        <v>0</v>
      </c>
      <c r="U15" s="2070">
        <v>0</v>
      </c>
      <c r="V15" s="2070">
        <v>0</v>
      </c>
      <c r="W15" s="2070">
        <v>0</v>
      </c>
      <c r="X15" s="2070">
        <v>0</v>
      </c>
    </row>
    <row r="16" spans="1:24" ht="11.25" customHeight="1">
      <c r="A16" s="2068" t="s">
        <v>5756</v>
      </c>
      <c r="B16" s="2069" t="s">
        <v>5757</v>
      </c>
      <c r="C16" s="2070">
        <v>0</v>
      </c>
      <c r="D16" s="2070">
        <v>0</v>
      </c>
      <c r="E16" s="2070">
        <v>0</v>
      </c>
      <c r="F16" s="2070">
        <v>0</v>
      </c>
      <c r="G16" s="2070">
        <v>0</v>
      </c>
      <c r="H16" s="2070">
        <v>0</v>
      </c>
      <c r="I16" s="2070">
        <v>0</v>
      </c>
      <c r="J16" s="2070">
        <v>0</v>
      </c>
      <c r="K16" s="2070">
        <v>0</v>
      </c>
      <c r="L16" s="2070">
        <v>0</v>
      </c>
      <c r="M16" s="2070">
        <v>0</v>
      </c>
      <c r="N16" s="2070">
        <v>0</v>
      </c>
      <c r="O16" s="2070">
        <v>0</v>
      </c>
      <c r="P16" s="2070">
        <v>0</v>
      </c>
      <c r="Q16" s="2070">
        <v>0</v>
      </c>
      <c r="R16" s="2070">
        <v>0</v>
      </c>
      <c r="S16" s="2070">
        <v>0</v>
      </c>
      <c r="T16" s="2070">
        <v>0</v>
      </c>
      <c r="U16" s="2070">
        <v>0</v>
      </c>
      <c r="V16" s="2070">
        <v>0</v>
      </c>
      <c r="W16" s="2070">
        <v>0</v>
      </c>
      <c r="X16" s="2070">
        <v>0</v>
      </c>
    </row>
    <row r="17" spans="1:24" ht="11.25" customHeight="1">
      <c r="A17" s="2071" t="s">
        <v>5758</v>
      </c>
      <c r="B17" s="2072" t="s">
        <v>5759</v>
      </c>
      <c r="C17" s="2073">
        <v>0</v>
      </c>
      <c r="D17" s="2073">
        <v>0</v>
      </c>
      <c r="E17" s="2073">
        <v>0</v>
      </c>
      <c r="F17" s="2073">
        <v>0</v>
      </c>
      <c r="G17" s="2073">
        <v>0</v>
      </c>
      <c r="H17" s="2073">
        <v>0</v>
      </c>
      <c r="I17" s="2073">
        <v>0</v>
      </c>
      <c r="J17" s="2073">
        <v>0</v>
      </c>
      <c r="K17" s="2073">
        <v>0</v>
      </c>
      <c r="L17" s="2073">
        <v>0</v>
      </c>
      <c r="M17" s="2073">
        <v>0</v>
      </c>
      <c r="N17" s="2073">
        <v>0</v>
      </c>
      <c r="O17" s="2073">
        <v>0</v>
      </c>
      <c r="P17" s="2073">
        <v>0</v>
      </c>
      <c r="Q17" s="2073">
        <v>0</v>
      </c>
      <c r="R17" s="2073">
        <v>0</v>
      </c>
      <c r="S17" s="2073">
        <v>0</v>
      </c>
      <c r="T17" s="2073">
        <v>0</v>
      </c>
      <c r="U17" s="2073">
        <v>0</v>
      </c>
      <c r="V17" s="2073">
        <v>0</v>
      </c>
      <c r="W17" s="2073">
        <v>0</v>
      </c>
      <c r="X17" s="2073">
        <v>0</v>
      </c>
    </row>
    <row r="18" spans="1:24" ht="11.25" customHeight="1">
      <c r="A18" s="2074" t="s">
        <v>4654</v>
      </c>
      <c r="B18" s="2069" t="s">
        <v>5760</v>
      </c>
      <c r="C18" s="2070">
        <v>0</v>
      </c>
      <c r="D18" s="2070">
        <v>0</v>
      </c>
      <c r="E18" s="2070">
        <v>0</v>
      </c>
      <c r="F18" s="2070">
        <v>0</v>
      </c>
      <c r="G18" s="2070">
        <v>0</v>
      </c>
      <c r="H18" s="2070">
        <v>0</v>
      </c>
      <c r="I18" s="2070">
        <v>0</v>
      </c>
      <c r="J18" s="2070">
        <v>0</v>
      </c>
      <c r="K18" s="2070">
        <v>0</v>
      </c>
      <c r="L18" s="2070">
        <v>0</v>
      </c>
      <c r="M18" s="2070">
        <v>0</v>
      </c>
      <c r="N18" s="2070">
        <v>0</v>
      </c>
      <c r="O18" s="2070">
        <v>0</v>
      </c>
      <c r="P18" s="2070">
        <v>0</v>
      </c>
      <c r="Q18" s="2070">
        <v>0</v>
      </c>
      <c r="R18" s="2070">
        <v>0</v>
      </c>
      <c r="S18" s="2070">
        <v>0</v>
      </c>
      <c r="T18" s="2070">
        <v>0</v>
      </c>
      <c r="U18" s="2070">
        <v>0</v>
      </c>
      <c r="V18" s="2070">
        <v>0</v>
      </c>
      <c r="W18" s="2070">
        <v>0</v>
      </c>
      <c r="X18" s="2070">
        <v>0</v>
      </c>
    </row>
    <row r="19" spans="1:24" ht="11.25" customHeight="1">
      <c r="A19" s="2074" t="s">
        <v>4655</v>
      </c>
      <c r="B19" s="2069" t="s">
        <v>5761</v>
      </c>
      <c r="C19" s="2070">
        <v>0</v>
      </c>
      <c r="D19" s="2070">
        <v>0</v>
      </c>
      <c r="E19" s="2070">
        <v>0</v>
      </c>
      <c r="F19" s="2070">
        <v>0</v>
      </c>
      <c r="G19" s="2070">
        <v>0</v>
      </c>
      <c r="H19" s="2070">
        <v>0</v>
      </c>
      <c r="I19" s="2070">
        <v>0</v>
      </c>
      <c r="J19" s="2070">
        <v>0</v>
      </c>
      <c r="K19" s="2070">
        <v>0</v>
      </c>
      <c r="L19" s="2070">
        <v>0</v>
      </c>
      <c r="M19" s="2070">
        <v>0</v>
      </c>
      <c r="N19" s="2070">
        <v>0</v>
      </c>
      <c r="O19" s="2070">
        <v>0</v>
      </c>
      <c r="P19" s="2070">
        <v>0</v>
      </c>
      <c r="Q19" s="2070">
        <v>0</v>
      </c>
      <c r="R19" s="2070">
        <v>0</v>
      </c>
      <c r="S19" s="2070">
        <v>0</v>
      </c>
      <c r="T19" s="2070">
        <v>0</v>
      </c>
      <c r="U19" s="2070">
        <v>0</v>
      </c>
      <c r="V19" s="2070">
        <v>0</v>
      </c>
      <c r="W19" s="2070">
        <v>0</v>
      </c>
      <c r="X19" s="2070">
        <v>0</v>
      </c>
    </row>
    <row r="20" spans="1:24" ht="11.25" customHeight="1">
      <c r="A20" s="2074" t="s">
        <v>4656</v>
      </c>
      <c r="B20" s="2069" t="s">
        <v>5762</v>
      </c>
      <c r="C20" s="2070">
        <v>0</v>
      </c>
      <c r="D20" s="2070">
        <v>0</v>
      </c>
      <c r="E20" s="2070">
        <v>0</v>
      </c>
      <c r="F20" s="2070">
        <v>0</v>
      </c>
      <c r="G20" s="2070">
        <v>0</v>
      </c>
      <c r="H20" s="2070">
        <v>0</v>
      </c>
      <c r="I20" s="2070">
        <v>0</v>
      </c>
      <c r="J20" s="2070">
        <v>0</v>
      </c>
      <c r="K20" s="2070">
        <v>0</v>
      </c>
      <c r="L20" s="2070">
        <v>0</v>
      </c>
      <c r="M20" s="2070">
        <v>0</v>
      </c>
      <c r="N20" s="2070">
        <v>0</v>
      </c>
      <c r="O20" s="2070">
        <v>0</v>
      </c>
      <c r="P20" s="2070">
        <v>0</v>
      </c>
      <c r="Q20" s="2070">
        <v>0</v>
      </c>
      <c r="R20" s="2070">
        <v>0</v>
      </c>
      <c r="S20" s="2070">
        <v>0</v>
      </c>
      <c r="T20" s="2070">
        <v>0</v>
      </c>
      <c r="U20" s="2070">
        <v>0</v>
      </c>
      <c r="V20" s="2070">
        <v>0</v>
      </c>
      <c r="W20" s="2070">
        <v>0</v>
      </c>
      <c r="X20" s="2070">
        <v>0</v>
      </c>
    </row>
    <row r="21" spans="1:24" ht="11.25" customHeight="1">
      <c r="A21" s="2074" t="s">
        <v>4615</v>
      </c>
      <c r="B21" s="2069" t="s">
        <v>5763</v>
      </c>
      <c r="C21" s="2070">
        <v>0</v>
      </c>
      <c r="D21" s="2070">
        <v>0</v>
      </c>
      <c r="E21" s="2070">
        <v>0</v>
      </c>
      <c r="F21" s="2070">
        <v>0</v>
      </c>
      <c r="G21" s="2070">
        <v>0</v>
      </c>
      <c r="H21" s="2070">
        <v>0</v>
      </c>
      <c r="I21" s="2070">
        <v>0</v>
      </c>
      <c r="J21" s="2070">
        <v>0</v>
      </c>
      <c r="K21" s="2070">
        <v>0</v>
      </c>
      <c r="L21" s="2070">
        <v>0</v>
      </c>
      <c r="M21" s="2070">
        <v>0</v>
      </c>
      <c r="N21" s="2070">
        <v>0</v>
      </c>
      <c r="O21" s="2070">
        <v>0</v>
      </c>
      <c r="P21" s="2070">
        <v>0</v>
      </c>
      <c r="Q21" s="2070">
        <v>0</v>
      </c>
      <c r="R21" s="2070">
        <v>0</v>
      </c>
      <c r="S21" s="2070">
        <v>0</v>
      </c>
      <c r="T21" s="2070">
        <v>0</v>
      </c>
      <c r="U21" s="2070">
        <v>0</v>
      </c>
      <c r="V21" s="2070">
        <v>0</v>
      </c>
      <c r="W21" s="2070">
        <v>0</v>
      </c>
      <c r="X21" s="2070">
        <v>0</v>
      </c>
    </row>
    <row r="22" spans="1:24" ht="11.25" customHeight="1">
      <c r="A22" s="2071" t="s">
        <v>4741</v>
      </c>
      <c r="B22" s="2072" t="s">
        <v>5764</v>
      </c>
      <c r="C22" s="2073">
        <v>0</v>
      </c>
      <c r="D22" s="2073">
        <v>0</v>
      </c>
      <c r="E22" s="2073">
        <v>0</v>
      </c>
      <c r="F22" s="2073">
        <v>0</v>
      </c>
      <c r="G22" s="2073">
        <v>0</v>
      </c>
      <c r="H22" s="2073">
        <v>0</v>
      </c>
      <c r="I22" s="2073">
        <v>0</v>
      </c>
      <c r="J22" s="2073">
        <v>0</v>
      </c>
      <c r="K22" s="2073">
        <v>0</v>
      </c>
      <c r="L22" s="2073">
        <v>0</v>
      </c>
      <c r="M22" s="2073">
        <v>0</v>
      </c>
      <c r="N22" s="2073">
        <v>0</v>
      </c>
      <c r="O22" s="2073">
        <v>0</v>
      </c>
      <c r="P22" s="2073">
        <v>0</v>
      </c>
      <c r="Q22" s="2073">
        <v>0</v>
      </c>
      <c r="R22" s="2073">
        <v>0</v>
      </c>
      <c r="S22" s="2073">
        <v>0</v>
      </c>
      <c r="T22" s="2073">
        <v>0</v>
      </c>
      <c r="U22" s="2073">
        <v>0</v>
      </c>
      <c r="V22" s="2073">
        <v>0</v>
      </c>
      <c r="W22" s="2073">
        <v>0</v>
      </c>
      <c r="X22" s="2073">
        <v>0</v>
      </c>
    </row>
    <row r="23" spans="1:24" ht="11.25" customHeight="1">
      <c r="A23" s="2074" t="s">
        <v>559</v>
      </c>
      <c r="B23" s="2069" t="s">
        <v>5765</v>
      </c>
      <c r="C23" s="2070">
        <v>0</v>
      </c>
      <c r="D23" s="2070">
        <v>0</v>
      </c>
      <c r="E23" s="2070">
        <v>0</v>
      </c>
      <c r="F23" s="2070">
        <v>0</v>
      </c>
      <c r="G23" s="2070">
        <v>0</v>
      </c>
      <c r="H23" s="2070">
        <v>0</v>
      </c>
      <c r="I23" s="2070">
        <v>0</v>
      </c>
      <c r="J23" s="2070">
        <v>0</v>
      </c>
      <c r="K23" s="2070">
        <v>0</v>
      </c>
      <c r="L23" s="2070">
        <v>0</v>
      </c>
      <c r="M23" s="2070">
        <v>0</v>
      </c>
      <c r="N23" s="2070">
        <v>0</v>
      </c>
      <c r="O23" s="2070">
        <v>0</v>
      </c>
      <c r="P23" s="2070">
        <v>0</v>
      </c>
      <c r="Q23" s="2070">
        <v>0</v>
      </c>
      <c r="R23" s="2070">
        <v>0</v>
      </c>
      <c r="S23" s="2070">
        <v>0</v>
      </c>
      <c r="T23" s="2070">
        <v>0</v>
      </c>
      <c r="U23" s="2070">
        <v>0</v>
      </c>
      <c r="V23" s="2070">
        <v>0</v>
      </c>
      <c r="W23" s="2070">
        <v>0</v>
      </c>
      <c r="X23" s="2070">
        <v>0</v>
      </c>
    </row>
    <row r="24" spans="1:24" ht="11.25" customHeight="1">
      <c r="A24" s="2074" t="s">
        <v>4657</v>
      </c>
      <c r="B24" s="2069" t="s">
        <v>5766</v>
      </c>
      <c r="C24" s="2070">
        <v>0</v>
      </c>
      <c r="D24" s="2070">
        <v>0</v>
      </c>
      <c r="E24" s="2070">
        <v>0</v>
      </c>
      <c r="F24" s="2070">
        <v>0</v>
      </c>
      <c r="G24" s="2070">
        <v>0</v>
      </c>
      <c r="H24" s="2070">
        <v>0</v>
      </c>
      <c r="I24" s="2070">
        <v>0</v>
      </c>
      <c r="J24" s="2070">
        <v>0</v>
      </c>
      <c r="K24" s="2070">
        <v>0</v>
      </c>
      <c r="L24" s="2070">
        <v>0</v>
      </c>
      <c r="M24" s="2070">
        <v>0</v>
      </c>
      <c r="N24" s="2070">
        <v>0</v>
      </c>
      <c r="O24" s="2070">
        <v>0</v>
      </c>
      <c r="P24" s="2070">
        <v>0</v>
      </c>
      <c r="Q24" s="2070">
        <v>0</v>
      </c>
      <c r="R24" s="2070">
        <v>0</v>
      </c>
      <c r="S24" s="2070">
        <v>0</v>
      </c>
      <c r="T24" s="2070">
        <v>0</v>
      </c>
      <c r="U24" s="2070">
        <v>0</v>
      </c>
      <c r="V24" s="2070">
        <v>0</v>
      </c>
      <c r="W24" s="2070">
        <v>0</v>
      </c>
      <c r="X24" s="2070">
        <v>0</v>
      </c>
    </row>
    <row r="25" spans="1:24" ht="11.25" customHeight="1">
      <c r="A25" s="2071" t="s">
        <v>4658</v>
      </c>
      <c r="B25" s="2072" t="s">
        <v>5767</v>
      </c>
      <c r="C25" s="2073">
        <v>0</v>
      </c>
      <c r="D25" s="2073">
        <v>0</v>
      </c>
      <c r="E25" s="2073">
        <v>0</v>
      </c>
      <c r="F25" s="2073">
        <v>0</v>
      </c>
      <c r="G25" s="2073">
        <v>0</v>
      </c>
      <c r="H25" s="2073">
        <v>0</v>
      </c>
      <c r="I25" s="2073">
        <v>0</v>
      </c>
      <c r="J25" s="2073">
        <v>0</v>
      </c>
      <c r="K25" s="2073">
        <v>0</v>
      </c>
      <c r="L25" s="2073">
        <v>0</v>
      </c>
      <c r="M25" s="2073">
        <v>0</v>
      </c>
      <c r="N25" s="2073">
        <v>0</v>
      </c>
      <c r="O25" s="2073">
        <v>0</v>
      </c>
      <c r="P25" s="2073">
        <v>0</v>
      </c>
      <c r="Q25" s="2073">
        <v>0</v>
      </c>
      <c r="R25" s="2073">
        <v>0</v>
      </c>
      <c r="S25" s="2073">
        <v>0</v>
      </c>
      <c r="T25" s="2073">
        <v>0</v>
      </c>
      <c r="U25" s="2073">
        <v>0</v>
      </c>
      <c r="V25" s="2073">
        <v>0</v>
      </c>
      <c r="W25" s="2073">
        <v>0</v>
      </c>
      <c r="X25" s="2073">
        <v>0</v>
      </c>
    </row>
    <row r="26" spans="1:24" ht="11.25" customHeight="1">
      <c r="A26" s="2071" t="s">
        <v>3872</v>
      </c>
      <c r="B26" s="2072" t="s">
        <v>5768</v>
      </c>
      <c r="C26" s="2073">
        <v>84057.675924333627</v>
      </c>
      <c r="D26" s="2073">
        <v>84732.154256233902</v>
      </c>
      <c r="E26" s="2073">
        <v>85504.941702493554</v>
      </c>
      <c r="F26" s="2073">
        <v>83755.828288907986</v>
      </c>
      <c r="G26" s="2073">
        <v>84671.714273430771</v>
      </c>
      <c r="H26" s="2073">
        <v>86067.334307824582</v>
      </c>
      <c r="I26" s="2073">
        <v>87190.185468615658</v>
      </c>
      <c r="J26" s="2073">
        <v>86408.673946689581</v>
      </c>
      <c r="K26" s="2073">
        <v>84203.796646603601</v>
      </c>
      <c r="L26" s="2073">
        <v>77078.505331040418</v>
      </c>
      <c r="M26" s="2073">
        <v>80456.026569217531</v>
      </c>
      <c r="N26" s="2073">
        <v>77777.25434221841</v>
      </c>
      <c r="O26" s="2073">
        <v>74671.897764402398</v>
      </c>
      <c r="P26" s="2073">
        <v>71703.444024075667</v>
      </c>
      <c r="Q26" s="2073">
        <v>73096.881685296641</v>
      </c>
      <c r="R26" s="2073">
        <v>70585.654772141017</v>
      </c>
      <c r="S26" s="2073">
        <v>70490.624247635409</v>
      </c>
      <c r="T26" s="2073">
        <v>75888.11186586415</v>
      </c>
      <c r="U26" s="2073">
        <v>72444.24376612209</v>
      </c>
      <c r="V26" s="2073">
        <v>71454.182889079952</v>
      </c>
      <c r="W26" s="2073">
        <v>71448.525107480644</v>
      </c>
      <c r="X26" s="2073">
        <v>73706.177730008596</v>
      </c>
    </row>
    <row r="27" spans="1:24" ht="11.25" customHeight="1">
      <c r="A27" s="2065" t="s">
        <v>5769</v>
      </c>
      <c r="B27" s="2066" t="s">
        <v>5770</v>
      </c>
      <c r="C27" s="2067">
        <v>2787.2362854686162</v>
      </c>
      <c r="D27" s="2067">
        <v>2802.0866723989684</v>
      </c>
      <c r="E27" s="2067">
        <v>3445.1362854686158</v>
      </c>
      <c r="F27" s="2067">
        <v>3079.1118658641449</v>
      </c>
      <c r="G27" s="2067">
        <v>3033.0369733447978</v>
      </c>
      <c r="H27" s="2067">
        <v>3358.8422184006877</v>
      </c>
      <c r="I27" s="2067">
        <v>3659.3102321582105</v>
      </c>
      <c r="J27" s="2067">
        <v>3013.9121238177131</v>
      </c>
      <c r="K27" s="2067">
        <v>2933.0036973344795</v>
      </c>
      <c r="L27" s="2067">
        <v>2836.7970765262257</v>
      </c>
      <c r="M27" s="2067">
        <v>2796.814187446259</v>
      </c>
      <c r="N27" s="2067">
        <v>2885.5687016337051</v>
      </c>
      <c r="O27" s="2067">
        <v>2579.846087704213</v>
      </c>
      <c r="P27" s="2067">
        <v>2669.7482373172829</v>
      </c>
      <c r="Q27" s="2067">
        <v>2718.4721410146171</v>
      </c>
      <c r="R27" s="2067">
        <v>2205.9370593293211</v>
      </c>
      <c r="S27" s="2067">
        <v>2304.3441960447117</v>
      </c>
      <c r="T27" s="2067">
        <v>2165.577042132416</v>
      </c>
      <c r="U27" s="2067">
        <v>1747.5969045571801</v>
      </c>
      <c r="V27" s="2067">
        <v>1468.4280309544281</v>
      </c>
      <c r="W27" s="2067">
        <v>1626.267067927773</v>
      </c>
      <c r="X27" s="2067">
        <v>1433.622269991401</v>
      </c>
    </row>
    <row r="28" spans="1:24" ht="11.25" customHeight="1">
      <c r="A28" s="2068" t="s">
        <v>4659</v>
      </c>
      <c r="B28" s="2069" t="s">
        <v>5771</v>
      </c>
      <c r="C28" s="2070">
        <v>0</v>
      </c>
      <c r="D28" s="2070">
        <v>0</v>
      </c>
      <c r="E28" s="2070">
        <v>0</v>
      </c>
      <c r="F28" s="2070">
        <v>0</v>
      </c>
      <c r="G28" s="2070">
        <v>0</v>
      </c>
      <c r="H28" s="2070">
        <v>0</v>
      </c>
      <c r="I28" s="2070">
        <v>0</v>
      </c>
      <c r="J28" s="2070">
        <v>0</v>
      </c>
      <c r="K28" s="2070">
        <v>0</v>
      </c>
      <c r="L28" s="2070">
        <v>0</v>
      </c>
      <c r="M28" s="2070">
        <v>0</v>
      </c>
      <c r="N28" s="2070">
        <v>0</v>
      </c>
      <c r="O28" s="2070">
        <v>0</v>
      </c>
      <c r="P28" s="2070">
        <v>0</v>
      </c>
      <c r="Q28" s="2070">
        <v>0</v>
      </c>
      <c r="R28" s="2070">
        <v>0</v>
      </c>
      <c r="S28" s="2070">
        <v>0</v>
      </c>
      <c r="T28" s="2070">
        <v>0</v>
      </c>
      <c r="U28" s="2070">
        <v>0</v>
      </c>
      <c r="V28" s="2070">
        <v>0</v>
      </c>
      <c r="W28" s="2070">
        <v>0</v>
      </c>
      <c r="X28" s="2070">
        <v>0</v>
      </c>
    </row>
    <row r="29" spans="1:24" ht="11.25" customHeight="1">
      <c r="A29" s="2068" t="s">
        <v>4660</v>
      </c>
      <c r="B29" s="2069" t="s">
        <v>5772</v>
      </c>
      <c r="C29" s="2070">
        <v>2787.2362854686162</v>
      </c>
      <c r="D29" s="2070">
        <v>2802.0866723989684</v>
      </c>
      <c r="E29" s="2070">
        <v>3445.1362854686158</v>
      </c>
      <c r="F29" s="2070">
        <v>3079.1118658641449</v>
      </c>
      <c r="G29" s="2070">
        <v>3033.0369733447978</v>
      </c>
      <c r="H29" s="2070">
        <v>3358.8422184006877</v>
      </c>
      <c r="I29" s="2070">
        <v>3659.3102321582105</v>
      </c>
      <c r="J29" s="2070">
        <v>3013.9121238177131</v>
      </c>
      <c r="K29" s="2070">
        <v>2933.0036973344795</v>
      </c>
      <c r="L29" s="2070">
        <v>2836.7970765262257</v>
      </c>
      <c r="M29" s="2070">
        <v>2796.814187446259</v>
      </c>
      <c r="N29" s="2070">
        <v>2885.5687016337051</v>
      </c>
      <c r="O29" s="2070">
        <v>2579.846087704213</v>
      </c>
      <c r="P29" s="2070">
        <v>2669.7482373172829</v>
      </c>
      <c r="Q29" s="2070">
        <v>2718.4721410146171</v>
      </c>
      <c r="R29" s="2070">
        <v>2205.9370593293211</v>
      </c>
      <c r="S29" s="2070">
        <v>2304.3441960447117</v>
      </c>
      <c r="T29" s="2070">
        <v>2165.577042132416</v>
      </c>
      <c r="U29" s="2070">
        <v>1747.5969045571801</v>
      </c>
      <c r="V29" s="2070">
        <v>1468.4280309544281</v>
      </c>
      <c r="W29" s="2070">
        <v>1626.267067927773</v>
      </c>
      <c r="X29" s="2070">
        <v>1433.622269991401</v>
      </c>
    </row>
    <row r="30" spans="1:24" ht="11.25" customHeight="1">
      <c r="A30" s="2068" t="s">
        <v>4661</v>
      </c>
      <c r="B30" s="2069" t="s">
        <v>5773</v>
      </c>
      <c r="C30" s="2070">
        <v>0</v>
      </c>
      <c r="D30" s="2070">
        <v>0</v>
      </c>
      <c r="E30" s="2070">
        <v>0</v>
      </c>
      <c r="F30" s="2070">
        <v>0</v>
      </c>
      <c r="G30" s="2070">
        <v>0</v>
      </c>
      <c r="H30" s="2070">
        <v>0</v>
      </c>
      <c r="I30" s="2070">
        <v>0</v>
      </c>
      <c r="J30" s="2070">
        <v>0</v>
      </c>
      <c r="K30" s="2070">
        <v>0</v>
      </c>
      <c r="L30" s="2070">
        <v>0</v>
      </c>
      <c r="M30" s="2070">
        <v>0</v>
      </c>
      <c r="N30" s="2070">
        <v>0</v>
      </c>
      <c r="O30" s="2070">
        <v>0</v>
      </c>
      <c r="P30" s="2070">
        <v>0</v>
      </c>
      <c r="Q30" s="2070">
        <v>0</v>
      </c>
      <c r="R30" s="2070">
        <v>0</v>
      </c>
      <c r="S30" s="2070">
        <v>0</v>
      </c>
      <c r="T30" s="2070">
        <v>0</v>
      </c>
      <c r="U30" s="2070">
        <v>0</v>
      </c>
      <c r="V30" s="2070">
        <v>0</v>
      </c>
      <c r="W30" s="2070">
        <v>0</v>
      </c>
      <c r="X30" s="2070">
        <v>0</v>
      </c>
    </row>
    <row r="31" spans="1:24" ht="11.25" customHeight="1">
      <c r="A31" s="2068" t="s">
        <v>5774</v>
      </c>
      <c r="B31" s="2069" t="s">
        <v>5775</v>
      </c>
      <c r="C31" s="2070">
        <v>0</v>
      </c>
      <c r="D31" s="2070">
        <v>0</v>
      </c>
      <c r="E31" s="2070">
        <v>0</v>
      </c>
      <c r="F31" s="2070">
        <v>0</v>
      </c>
      <c r="G31" s="2070">
        <v>0</v>
      </c>
      <c r="H31" s="2070">
        <v>0</v>
      </c>
      <c r="I31" s="2070">
        <v>0</v>
      </c>
      <c r="J31" s="2070">
        <v>0</v>
      </c>
      <c r="K31" s="2070">
        <v>0</v>
      </c>
      <c r="L31" s="2070">
        <v>0</v>
      </c>
      <c r="M31" s="2070">
        <v>0</v>
      </c>
      <c r="N31" s="2070">
        <v>0</v>
      </c>
      <c r="O31" s="2070">
        <v>0</v>
      </c>
      <c r="P31" s="2070">
        <v>0</v>
      </c>
      <c r="Q31" s="2070">
        <v>0</v>
      </c>
      <c r="R31" s="2070">
        <v>0</v>
      </c>
      <c r="S31" s="2070">
        <v>0</v>
      </c>
      <c r="T31" s="2070">
        <v>0</v>
      </c>
      <c r="U31" s="2070">
        <v>0</v>
      </c>
      <c r="V31" s="2070">
        <v>0</v>
      </c>
      <c r="W31" s="2070">
        <v>0</v>
      </c>
      <c r="X31" s="2070">
        <v>0</v>
      </c>
    </row>
    <row r="32" spans="1:24" ht="11.25" customHeight="1">
      <c r="A32" s="2068" t="s">
        <v>4662</v>
      </c>
      <c r="B32" s="2069" t="s">
        <v>5776</v>
      </c>
      <c r="C32" s="2070">
        <v>0</v>
      </c>
      <c r="D32" s="2070">
        <v>0</v>
      </c>
      <c r="E32" s="2070">
        <v>0</v>
      </c>
      <c r="F32" s="2070">
        <v>0</v>
      </c>
      <c r="G32" s="2070">
        <v>0</v>
      </c>
      <c r="H32" s="2070">
        <v>0</v>
      </c>
      <c r="I32" s="2070">
        <v>0</v>
      </c>
      <c r="J32" s="2070">
        <v>0</v>
      </c>
      <c r="K32" s="2070">
        <v>0</v>
      </c>
      <c r="L32" s="2070">
        <v>0</v>
      </c>
      <c r="M32" s="2070">
        <v>0</v>
      </c>
      <c r="N32" s="2070">
        <v>0</v>
      </c>
      <c r="O32" s="2070">
        <v>0</v>
      </c>
      <c r="P32" s="2070">
        <v>0</v>
      </c>
      <c r="Q32" s="2070">
        <v>0</v>
      </c>
      <c r="R32" s="2070">
        <v>0</v>
      </c>
      <c r="S32" s="2070">
        <v>0</v>
      </c>
      <c r="T32" s="2070">
        <v>0</v>
      </c>
      <c r="U32" s="2070">
        <v>0</v>
      </c>
      <c r="V32" s="2070">
        <v>0</v>
      </c>
      <c r="W32" s="2070">
        <v>0</v>
      </c>
      <c r="X32" s="2070">
        <v>0</v>
      </c>
    </row>
    <row r="33" spans="1:24" ht="11.25" customHeight="1">
      <c r="A33" s="2065" t="s">
        <v>5777</v>
      </c>
      <c r="B33" s="2066" t="s">
        <v>5778</v>
      </c>
      <c r="C33" s="2067">
        <v>81270.439638865006</v>
      </c>
      <c r="D33" s="2067">
        <v>81930.067583834927</v>
      </c>
      <c r="E33" s="2067">
        <v>82059.805417024938</v>
      </c>
      <c r="F33" s="2067">
        <v>80676.716423043836</v>
      </c>
      <c r="G33" s="2067">
        <v>81638.677300085968</v>
      </c>
      <c r="H33" s="2067">
        <v>82708.492089423889</v>
      </c>
      <c r="I33" s="2067">
        <v>83530.875236457447</v>
      </c>
      <c r="J33" s="2067">
        <v>83394.761822871864</v>
      </c>
      <c r="K33" s="2067">
        <v>81270.792949269118</v>
      </c>
      <c r="L33" s="2067">
        <v>74241.708254514189</v>
      </c>
      <c r="M33" s="2067">
        <v>77659.212381771271</v>
      </c>
      <c r="N33" s="2067">
        <v>74891.685640584707</v>
      </c>
      <c r="O33" s="2067">
        <v>72092.051676698189</v>
      </c>
      <c r="P33" s="2067">
        <v>69033.695786758384</v>
      </c>
      <c r="Q33" s="2067">
        <v>70378.409544282025</v>
      </c>
      <c r="R33" s="2067">
        <v>68379.717712811689</v>
      </c>
      <c r="S33" s="2067">
        <v>68186.2800515907</v>
      </c>
      <c r="T33" s="2067">
        <v>73722.534823731738</v>
      </c>
      <c r="U33" s="2067">
        <v>70696.646861564906</v>
      </c>
      <c r="V33" s="2067">
        <v>69985.754858125525</v>
      </c>
      <c r="W33" s="2067">
        <v>69822.258039552864</v>
      </c>
      <c r="X33" s="2067">
        <v>72272.555460017189</v>
      </c>
    </row>
    <row r="34" spans="1:24" ht="11.25" customHeight="1">
      <c r="A34" s="2068" t="s">
        <v>4607</v>
      </c>
      <c r="B34" s="2069" t="s">
        <v>5779</v>
      </c>
      <c r="C34" s="2070">
        <v>612.35838349097162</v>
      </c>
      <c r="D34" s="2070">
        <v>1002.8528804815131</v>
      </c>
      <c r="E34" s="2070">
        <v>971.47919174548565</v>
      </c>
      <c r="F34" s="2070">
        <v>387.57325881341353</v>
      </c>
      <c r="G34" s="2070">
        <v>335.23215821152189</v>
      </c>
      <c r="H34" s="2070">
        <v>470.5380911435941</v>
      </c>
      <c r="I34" s="2070">
        <v>728.58280309544273</v>
      </c>
      <c r="J34" s="2070">
        <v>908.01745485812557</v>
      </c>
      <c r="K34" s="2070">
        <v>784.3516766981943</v>
      </c>
      <c r="L34" s="2070">
        <v>286.66104901117797</v>
      </c>
      <c r="M34" s="2070">
        <v>147.19329320722269</v>
      </c>
      <c r="N34" s="2070">
        <v>394.84299226139296</v>
      </c>
      <c r="O34" s="2070">
        <v>382.00627687016345</v>
      </c>
      <c r="P34" s="2070">
        <v>356.07987962166806</v>
      </c>
      <c r="Q34" s="2070">
        <v>347.42527944969896</v>
      </c>
      <c r="R34" s="2070">
        <v>375.99914015477214</v>
      </c>
      <c r="S34" s="2070">
        <v>253.20361134995699</v>
      </c>
      <c r="T34" s="2070">
        <v>223.43009458297502</v>
      </c>
      <c r="U34" s="2070">
        <v>234.1912295786758</v>
      </c>
      <c r="V34" s="2070">
        <v>173.88847807394666</v>
      </c>
      <c r="W34" s="2070">
        <v>231.0064488392089</v>
      </c>
      <c r="X34" s="2070">
        <v>87.621840068787606</v>
      </c>
    </row>
    <row r="35" spans="1:24" ht="11.25" customHeight="1">
      <c r="A35" s="2068" t="s">
        <v>587</v>
      </c>
      <c r="B35" s="2069" t="s">
        <v>5780</v>
      </c>
      <c r="C35" s="2070">
        <v>178.33654342218401</v>
      </c>
      <c r="D35" s="2070">
        <v>380.77162510748065</v>
      </c>
      <c r="E35" s="2070">
        <v>469.54840928632842</v>
      </c>
      <c r="F35" s="2070">
        <v>432.60687876182283</v>
      </c>
      <c r="G35" s="2070">
        <v>416.99088564058462</v>
      </c>
      <c r="H35" s="2070">
        <v>497.90412725709371</v>
      </c>
      <c r="I35" s="2070">
        <v>480.73774720550296</v>
      </c>
      <c r="J35" s="2070">
        <v>490.65442820292344</v>
      </c>
      <c r="K35" s="2070">
        <v>451.35769561478929</v>
      </c>
      <c r="L35" s="2070">
        <v>395.61934651762687</v>
      </c>
      <c r="M35" s="2070">
        <v>442.12141014617373</v>
      </c>
      <c r="N35" s="2070">
        <v>451.31384350816842</v>
      </c>
      <c r="O35" s="2070">
        <v>387.22192605331043</v>
      </c>
      <c r="P35" s="2070">
        <v>361.3646603611349</v>
      </c>
      <c r="Q35" s="2070">
        <v>390.84290627687011</v>
      </c>
      <c r="R35" s="2070">
        <v>293.83310404127252</v>
      </c>
      <c r="S35" s="2070">
        <v>417.29260533104036</v>
      </c>
      <c r="T35" s="2070">
        <v>527.71926053310403</v>
      </c>
      <c r="U35" s="2070">
        <v>493.6553740326741</v>
      </c>
      <c r="V35" s="2070">
        <v>496.99828030954433</v>
      </c>
      <c r="W35" s="2070">
        <v>174.30782459157354</v>
      </c>
      <c r="X35" s="2070">
        <v>443.69088564058472</v>
      </c>
    </row>
    <row r="36" spans="1:24" ht="11.25" customHeight="1">
      <c r="A36" s="2068" t="s">
        <v>5781</v>
      </c>
      <c r="B36" s="2069" t="s">
        <v>5782</v>
      </c>
      <c r="C36" s="2070">
        <v>2843.253912295786</v>
      </c>
      <c r="D36" s="2070">
        <v>3403.8380911435934</v>
      </c>
      <c r="E36" s="2070">
        <v>3543.6628546861566</v>
      </c>
      <c r="F36" s="2070">
        <v>3229.9532244196043</v>
      </c>
      <c r="G36" s="2070">
        <v>3682.7002579535683</v>
      </c>
      <c r="H36" s="2070">
        <v>4076.3671539122943</v>
      </c>
      <c r="I36" s="2070">
        <v>5131.7844368013757</v>
      </c>
      <c r="J36" s="2070">
        <v>5590.2232158211509</v>
      </c>
      <c r="K36" s="2070">
        <v>5678.1146173688721</v>
      </c>
      <c r="L36" s="2070">
        <v>5739.653224419606</v>
      </c>
      <c r="M36" s="2070">
        <v>5708.4558899398098</v>
      </c>
      <c r="N36" s="2070">
        <v>6261.5361134995701</v>
      </c>
      <c r="O36" s="2070">
        <v>5920.1582115219253</v>
      </c>
      <c r="P36" s="2070">
        <v>8622.0096302665497</v>
      </c>
      <c r="Q36" s="2070">
        <v>10228.633447979364</v>
      </c>
      <c r="R36" s="2070">
        <v>10657.29226139295</v>
      </c>
      <c r="S36" s="2070">
        <v>10177.184522785899</v>
      </c>
      <c r="T36" s="2070">
        <v>10919.019604471196</v>
      </c>
      <c r="U36" s="2070">
        <v>11343.468873602755</v>
      </c>
      <c r="V36" s="2070">
        <v>12030.60773860705</v>
      </c>
      <c r="W36" s="2070">
        <v>10857.895958727431</v>
      </c>
      <c r="X36" s="2070">
        <v>10418.533705932932</v>
      </c>
    </row>
    <row r="37" spans="1:24" ht="11.25" customHeight="1">
      <c r="A37" s="2068" t="s">
        <v>5783</v>
      </c>
      <c r="B37" s="2069" t="s">
        <v>5784</v>
      </c>
      <c r="C37" s="2070">
        <v>69.360877042132415</v>
      </c>
      <c r="D37" s="2070">
        <v>615.84024075666377</v>
      </c>
      <c r="E37" s="2070">
        <v>241.71203783319001</v>
      </c>
      <c r="F37" s="2070">
        <v>132.42338779019778</v>
      </c>
      <c r="G37" s="2070">
        <v>137.67076526225279</v>
      </c>
      <c r="H37" s="2070">
        <v>150.2818572656922</v>
      </c>
      <c r="I37" s="2070">
        <v>149.23095442820289</v>
      </c>
      <c r="J37" s="2070">
        <v>136.61986242476351</v>
      </c>
      <c r="K37" s="2070">
        <v>155.5364574376612</v>
      </c>
      <c r="L37" s="2070">
        <v>105.0921754084265</v>
      </c>
      <c r="M37" s="2070">
        <v>141.8744625967326</v>
      </c>
      <c r="N37" s="2070">
        <v>911.14935511607905</v>
      </c>
      <c r="O37" s="2070">
        <v>375.17910576096301</v>
      </c>
      <c r="P37" s="2070">
        <v>267.98512467755802</v>
      </c>
      <c r="Q37" s="2070">
        <v>404.6049871023215</v>
      </c>
      <c r="R37" s="2070">
        <v>22.069389509888222</v>
      </c>
      <c r="S37" s="2070">
        <v>21.018400687876181</v>
      </c>
      <c r="T37" s="2070">
        <v>36.782287188306107</v>
      </c>
      <c r="U37" s="2070">
        <v>2776.8560619088566</v>
      </c>
      <c r="V37" s="2070">
        <v>2786.1091143594153</v>
      </c>
      <c r="W37" s="2070">
        <v>2943.6068787618224</v>
      </c>
      <c r="X37" s="2070">
        <v>2926.2560619088558</v>
      </c>
    </row>
    <row r="38" spans="1:24" ht="11.25" customHeight="1">
      <c r="A38" s="2068" t="s">
        <v>4663</v>
      </c>
      <c r="B38" s="2069" t="s">
        <v>5785</v>
      </c>
      <c r="C38" s="2070">
        <v>0</v>
      </c>
      <c r="D38" s="2070">
        <v>0</v>
      </c>
      <c r="E38" s="2070">
        <v>0</v>
      </c>
      <c r="F38" s="2070">
        <v>0</v>
      </c>
      <c r="G38" s="2070">
        <v>0</v>
      </c>
      <c r="H38" s="2070">
        <v>0</v>
      </c>
      <c r="I38" s="2070">
        <v>0</v>
      </c>
      <c r="J38" s="2070">
        <v>0</v>
      </c>
      <c r="K38" s="2070">
        <v>0</v>
      </c>
      <c r="L38" s="2070">
        <v>0</v>
      </c>
      <c r="M38" s="2070">
        <v>0</v>
      </c>
      <c r="N38" s="2070">
        <v>0</v>
      </c>
      <c r="O38" s="2070">
        <v>0</v>
      </c>
      <c r="P38" s="2070">
        <v>0</v>
      </c>
      <c r="Q38" s="2070">
        <v>0</v>
      </c>
      <c r="R38" s="2070">
        <v>0</v>
      </c>
      <c r="S38" s="2070">
        <v>0</v>
      </c>
      <c r="T38" s="2070">
        <v>0</v>
      </c>
      <c r="U38" s="2070">
        <v>0</v>
      </c>
      <c r="V38" s="2070">
        <v>0</v>
      </c>
      <c r="W38" s="2070">
        <v>0</v>
      </c>
      <c r="X38" s="2070">
        <v>0</v>
      </c>
    </row>
    <row r="39" spans="1:24" ht="11.25" customHeight="1">
      <c r="A39" s="2068" t="s">
        <v>5786</v>
      </c>
      <c r="B39" s="2069" t="s">
        <v>5787</v>
      </c>
      <c r="C39" s="2070">
        <v>0</v>
      </c>
      <c r="D39" s="2070">
        <v>0</v>
      </c>
      <c r="E39" s="2070">
        <v>0</v>
      </c>
      <c r="F39" s="2070">
        <v>0</v>
      </c>
      <c r="G39" s="2070">
        <v>0</v>
      </c>
      <c r="H39" s="2070">
        <v>0</v>
      </c>
      <c r="I39" s="2070">
        <v>0</v>
      </c>
      <c r="J39" s="2070">
        <v>0</v>
      </c>
      <c r="K39" s="2070">
        <v>0</v>
      </c>
      <c r="L39" s="2070">
        <v>0</v>
      </c>
      <c r="M39" s="2070">
        <v>0</v>
      </c>
      <c r="N39" s="2070">
        <v>0</v>
      </c>
      <c r="O39" s="2070">
        <v>0</v>
      </c>
      <c r="P39" s="2070">
        <v>0</v>
      </c>
      <c r="Q39" s="2070">
        <v>0</v>
      </c>
      <c r="R39" s="2070">
        <v>0</v>
      </c>
      <c r="S39" s="2070">
        <v>0</v>
      </c>
      <c r="T39" s="2070">
        <v>0</v>
      </c>
      <c r="U39" s="2070">
        <v>0</v>
      </c>
      <c r="V39" s="2070">
        <v>0</v>
      </c>
      <c r="W39" s="2070">
        <v>0</v>
      </c>
      <c r="X39" s="2070">
        <v>0</v>
      </c>
    </row>
    <row r="40" spans="1:24" ht="11.25" customHeight="1">
      <c r="A40" s="2068" t="s">
        <v>5788</v>
      </c>
      <c r="B40" s="2069" t="s">
        <v>5789</v>
      </c>
      <c r="C40" s="2070">
        <v>0</v>
      </c>
      <c r="D40" s="2070">
        <v>0</v>
      </c>
      <c r="E40" s="2070">
        <v>0</v>
      </c>
      <c r="F40" s="2070">
        <v>0</v>
      </c>
      <c r="G40" s="2070">
        <v>0</v>
      </c>
      <c r="H40" s="2070">
        <v>0</v>
      </c>
      <c r="I40" s="2070">
        <v>0</v>
      </c>
      <c r="J40" s="2070">
        <v>0</v>
      </c>
      <c r="K40" s="2070">
        <v>0</v>
      </c>
      <c r="L40" s="2070">
        <v>0</v>
      </c>
      <c r="M40" s="2070">
        <v>0</v>
      </c>
      <c r="N40" s="2070">
        <v>0</v>
      </c>
      <c r="O40" s="2070">
        <v>0</v>
      </c>
      <c r="P40" s="2070">
        <v>0</v>
      </c>
      <c r="Q40" s="2070">
        <v>0</v>
      </c>
      <c r="R40" s="2070">
        <v>0</v>
      </c>
      <c r="S40" s="2070">
        <v>0</v>
      </c>
      <c r="T40" s="2070">
        <v>0</v>
      </c>
      <c r="U40" s="2070">
        <v>0</v>
      </c>
      <c r="V40" s="2070">
        <v>0</v>
      </c>
      <c r="W40" s="2070">
        <v>0</v>
      </c>
      <c r="X40" s="2070">
        <v>0</v>
      </c>
    </row>
    <row r="41" spans="1:24" ht="11.25" customHeight="1">
      <c r="A41" s="2068" t="s">
        <v>4664</v>
      </c>
      <c r="B41" s="2069" t="s">
        <v>5790</v>
      </c>
      <c r="C41" s="2070">
        <v>360.87231298366288</v>
      </c>
      <c r="D41" s="2070">
        <v>395.96354256233883</v>
      </c>
      <c r="E41" s="2070">
        <v>301.44746345657779</v>
      </c>
      <c r="F41" s="2070">
        <v>312.48693035253655</v>
      </c>
      <c r="G41" s="2070">
        <v>324.73963886500428</v>
      </c>
      <c r="H41" s="2070">
        <v>352.62123817712808</v>
      </c>
      <c r="I41" s="2070">
        <v>319.92312983662941</v>
      </c>
      <c r="J41" s="2070">
        <v>293.49105760963027</v>
      </c>
      <c r="K41" s="2070">
        <v>330.83576956147897</v>
      </c>
      <c r="L41" s="2070">
        <v>412.78890799656062</v>
      </c>
      <c r="M41" s="2070">
        <v>371.2429062768702</v>
      </c>
      <c r="N41" s="2070">
        <v>635.09501289767843</v>
      </c>
      <c r="O41" s="2070">
        <v>346.35984522785907</v>
      </c>
      <c r="P41" s="2070">
        <v>341.01255374032667</v>
      </c>
      <c r="Q41" s="2070">
        <v>673.70765262252792</v>
      </c>
      <c r="R41" s="2070">
        <v>215.21040412725711</v>
      </c>
      <c r="S41" s="2070">
        <v>290.68684436801374</v>
      </c>
      <c r="T41" s="2070">
        <v>275.18228718830613</v>
      </c>
      <c r="U41" s="2070">
        <v>247.47824591573507</v>
      </c>
      <c r="V41" s="2070">
        <v>231.14187446259675</v>
      </c>
      <c r="W41" s="2070">
        <v>109.17979363714531</v>
      </c>
      <c r="X41" s="2070">
        <v>191.19492691315557</v>
      </c>
    </row>
    <row r="42" spans="1:24" ht="11.25" customHeight="1">
      <c r="A42" s="2068" t="s">
        <v>4611</v>
      </c>
      <c r="B42" s="2069" t="s">
        <v>5791</v>
      </c>
      <c r="C42" s="2070">
        <v>43467.659157351671</v>
      </c>
      <c r="D42" s="2070">
        <v>42313.421410146184</v>
      </c>
      <c r="E42" s="2070">
        <v>42664.248839208936</v>
      </c>
      <c r="F42" s="2070">
        <v>43742.778847807385</v>
      </c>
      <c r="G42" s="2070">
        <v>43152.68770421324</v>
      </c>
      <c r="H42" s="2070">
        <v>43141.881771281165</v>
      </c>
      <c r="I42" s="2070">
        <v>41176.698366294062</v>
      </c>
      <c r="J42" s="2070">
        <v>41751.885468615641</v>
      </c>
      <c r="K42" s="2070">
        <v>39841.856921754079</v>
      </c>
      <c r="L42" s="2070">
        <v>35852.766552020628</v>
      </c>
      <c r="M42" s="2070">
        <v>38293.870937231302</v>
      </c>
      <c r="N42" s="2070">
        <v>34993.561994840929</v>
      </c>
      <c r="O42" s="2070">
        <v>36031.186242476346</v>
      </c>
      <c r="P42" s="2070">
        <v>33611.871367153908</v>
      </c>
      <c r="Q42" s="2070">
        <v>34693.879793637141</v>
      </c>
      <c r="R42" s="2070">
        <v>32526.776698194328</v>
      </c>
      <c r="S42" s="2070">
        <v>31980.557695614785</v>
      </c>
      <c r="T42" s="2070">
        <v>36193.873172828899</v>
      </c>
      <c r="U42" s="2070">
        <v>31118.357007738603</v>
      </c>
      <c r="V42" s="2070">
        <v>30242.460361134988</v>
      </c>
      <c r="W42" s="2070">
        <v>31776.276784178845</v>
      </c>
      <c r="X42" s="2070">
        <v>34408.099570077378</v>
      </c>
    </row>
    <row r="43" spans="1:24" ht="11.25" customHeight="1">
      <c r="A43" s="2068" t="s">
        <v>5792</v>
      </c>
      <c r="B43" s="2069" t="s">
        <v>5793</v>
      </c>
      <c r="C43" s="2070">
        <v>3737.4300945829746</v>
      </c>
      <c r="D43" s="2070">
        <v>3219.17067927773</v>
      </c>
      <c r="E43" s="2070">
        <v>3192.9123817712803</v>
      </c>
      <c r="F43" s="2070">
        <v>2998.894239036973</v>
      </c>
      <c r="G43" s="2070">
        <v>3153.7650902837486</v>
      </c>
      <c r="H43" s="2070">
        <v>3355.7601891659497</v>
      </c>
      <c r="I43" s="2070">
        <v>3116.711951848667</v>
      </c>
      <c r="J43" s="2070">
        <v>3354.6840928632837</v>
      </c>
      <c r="K43" s="2070">
        <v>3044.2454858125534</v>
      </c>
      <c r="L43" s="2070">
        <v>2688.7593293207224</v>
      </c>
      <c r="M43" s="2070">
        <v>3405.6331040412724</v>
      </c>
      <c r="N43" s="2070">
        <v>2748.0970765262246</v>
      </c>
      <c r="O43" s="2070">
        <v>2442.7082545141875</v>
      </c>
      <c r="P43" s="2070">
        <v>2029.4097162510752</v>
      </c>
      <c r="Q43" s="2070">
        <v>1648.2330180567494</v>
      </c>
      <c r="R43" s="2070">
        <v>1551.2434221840069</v>
      </c>
      <c r="S43" s="2070">
        <v>1731.011263972485</v>
      </c>
      <c r="T43" s="2070">
        <v>1753.7104041272571</v>
      </c>
      <c r="U43" s="2070">
        <v>1585.4633705932929</v>
      </c>
      <c r="V43" s="2070">
        <v>1250.6461736887361</v>
      </c>
      <c r="W43" s="2070">
        <v>1495.8954428202924</v>
      </c>
      <c r="X43" s="2070">
        <v>1572.4337059329318</v>
      </c>
    </row>
    <row r="44" spans="1:24" ht="11.25" customHeight="1">
      <c r="A44" s="2068" t="s">
        <v>4665</v>
      </c>
      <c r="B44" s="2069" t="s">
        <v>5794</v>
      </c>
      <c r="C44" s="2070">
        <v>3081.1670679277727</v>
      </c>
      <c r="D44" s="2070">
        <v>3232.865090283748</v>
      </c>
      <c r="E44" s="2070">
        <v>3417.5885640584693</v>
      </c>
      <c r="F44" s="2070">
        <v>2267.1408426483235</v>
      </c>
      <c r="G44" s="2070">
        <v>1987.7706792777301</v>
      </c>
      <c r="H44" s="2070">
        <v>2092.5616509028378</v>
      </c>
      <c r="I44" s="2070">
        <v>2201.3465176268273</v>
      </c>
      <c r="J44" s="2070">
        <v>2085.5172828890804</v>
      </c>
      <c r="K44" s="2070">
        <v>2204.5430782459152</v>
      </c>
      <c r="L44" s="2070">
        <v>2033.7036113499564</v>
      </c>
      <c r="M44" s="2070">
        <v>1944.0623387790197</v>
      </c>
      <c r="N44" s="2070">
        <v>1965.0281169389505</v>
      </c>
      <c r="O44" s="2070">
        <v>2096.3980223559761</v>
      </c>
      <c r="P44" s="2070">
        <v>1589.0141014617366</v>
      </c>
      <c r="Q44" s="2070">
        <v>1565.7431642304387</v>
      </c>
      <c r="R44" s="2070">
        <v>1634.1937231298359</v>
      </c>
      <c r="S44" s="2070">
        <v>1003.6564918314705</v>
      </c>
      <c r="T44" s="2070">
        <v>960.19019776440234</v>
      </c>
      <c r="U44" s="2070">
        <v>977.83774720550286</v>
      </c>
      <c r="V44" s="2070">
        <v>828.69054170249353</v>
      </c>
      <c r="W44" s="2070">
        <v>707.35683576956148</v>
      </c>
      <c r="X44" s="2070">
        <v>525.95339638865005</v>
      </c>
    </row>
    <row r="45" spans="1:24" ht="11.25" customHeight="1">
      <c r="A45" s="2068" t="s">
        <v>5795</v>
      </c>
      <c r="B45" s="2069" t="s">
        <v>5796</v>
      </c>
      <c r="C45" s="2070">
        <v>867.98245915735151</v>
      </c>
      <c r="D45" s="2070">
        <v>855.33250214961288</v>
      </c>
      <c r="E45" s="2070">
        <v>923.21478933791911</v>
      </c>
      <c r="F45" s="2070">
        <v>856.41349957007742</v>
      </c>
      <c r="G45" s="2070">
        <v>822.63018056749775</v>
      </c>
      <c r="H45" s="2070">
        <v>899.13284608770414</v>
      </c>
      <c r="I45" s="2070">
        <v>749.93920894239056</v>
      </c>
      <c r="J45" s="2070">
        <v>796.38727429062772</v>
      </c>
      <c r="K45" s="2070">
        <v>767.01728288907998</v>
      </c>
      <c r="L45" s="2070">
        <v>839.50756663800496</v>
      </c>
      <c r="M45" s="2070">
        <v>754.72459157351682</v>
      </c>
      <c r="N45" s="2070">
        <v>648.26027515047281</v>
      </c>
      <c r="O45" s="2070">
        <v>546.06534823731727</v>
      </c>
      <c r="P45" s="2070">
        <v>572.46835769561483</v>
      </c>
      <c r="Q45" s="2070">
        <v>582.16792777300088</v>
      </c>
      <c r="R45" s="2070">
        <v>431.18409286328449</v>
      </c>
      <c r="S45" s="2070">
        <v>650.64411006018918</v>
      </c>
      <c r="T45" s="2070">
        <v>635.49750644883932</v>
      </c>
      <c r="U45" s="2070">
        <v>668.58366294067048</v>
      </c>
      <c r="V45" s="2070">
        <v>606.9019776440241</v>
      </c>
      <c r="W45" s="2070">
        <v>533.09544282029242</v>
      </c>
      <c r="X45" s="2070">
        <v>740.26044711951863</v>
      </c>
    </row>
    <row r="46" spans="1:24" ht="11.25" customHeight="1">
      <c r="A46" s="2068" t="s">
        <v>595</v>
      </c>
      <c r="B46" s="2069" t="s">
        <v>5797</v>
      </c>
      <c r="C46" s="2070">
        <v>2500.3860705073093</v>
      </c>
      <c r="D46" s="2070">
        <v>2278.448323301805</v>
      </c>
      <c r="E46" s="2070">
        <v>2259.5311263972485</v>
      </c>
      <c r="F46" s="2070">
        <v>2079.1736887360271</v>
      </c>
      <c r="G46" s="2070">
        <v>2143.8023215821145</v>
      </c>
      <c r="H46" s="2070">
        <v>2076.6110060189158</v>
      </c>
      <c r="I46" s="2070">
        <v>2294.9909716251072</v>
      </c>
      <c r="J46" s="2070">
        <v>2197.1323301805674</v>
      </c>
      <c r="K46" s="2070">
        <v>2222.3148753224414</v>
      </c>
      <c r="L46" s="2070">
        <v>1629.0755803955287</v>
      </c>
      <c r="M46" s="2070">
        <v>1901.1620808254518</v>
      </c>
      <c r="N46" s="2070">
        <v>1873.8067927772995</v>
      </c>
      <c r="O46" s="2070">
        <v>1832.7951848667242</v>
      </c>
      <c r="P46" s="2070">
        <v>1716.1431642304385</v>
      </c>
      <c r="Q46" s="2070">
        <v>1780.3049871023215</v>
      </c>
      <c r="R46" s="2070">
        <v>1807.9625967325881</v>
      </c>
      <c r="S46" s="2070">
        <v>1766.7010318142732</v>
      </c>
      <c r="T46" s="2070">
        <v>1856.9313843508169</v>
      </c>
      <c r="U46" s="2070">
        <v>1721.3711951848668</v>
      </c>
      <c r="V46" s="2070">
        <v>1762.6987962166809</v>
      </c>
      <c r="W46" s="2070">
        <v>1597.1190885640581</v>
      </c>
      <c r="X46" s="2070">
        <v>1709.6606190885641</v>
      </c>
    </row>
    <row r="47" spans="1:24" ht="11.25" customHeight="1">
      <c r="A47" s="2068" t="s">
        <v>4614</v>
      </c>
      <c r="B47" s="2069" t="s">
        <v>5798</v>
      </c>
      <c r="C47" s="2070">
        <v>16413.845915735168</v>
      </c>
      <c r="D47" s="2070">
        <v>15881.589337919175</v>
      </c>
      <c r="E47" s="2070">
        <v>16066.915047291486</v>
      </c>
      <c r="F47" s="2070">
        <v>15761.757437661219</v>
      </c>
      <c r="G47" s="2070">
        <v>16737.453654342215</v>
      </c>
      <c r="H47" s="2070">
        <v>17398.043078245915</v>
      </c>
      <c r="I47" s="2070">
        <v>18024.810318142729</v>
      </c>
      <c r="J47" s="2070">
        <v>17295.004557179709</v>
      </c>
      <c r="K47" s="2070">
        <v>17000.375924333621</v>
      </c>
      <c r="L47" s="2070">
        <v>16306.485812553743</v>
      </c>
      <c r="M47" s="2070">
        <v>15974.724935511606</v>
      </c>
      <c r="N47" s="2070">
        <v>15480.853740326736</v>
      </c>
      <c r="O47" s="2070">
        <v>13107.465520206364</v>
      </c>
      <c r="P47" s="2070">
        <v>12470.904643164229</v>
      </c>
      <c r="Q47" s="2070">
        <v>11360.340498710231</v>
      </c>
      <c r="R47" s="2070">
        <v>11929.717540842648</v>
      </c>
      <c r="S47" s="2070">
        <v>11689.848839208937</v>
      </c>
      <c r="T47" s="2070">
        <v>11693.05425623388</v>
      </c>
      <c r="U47" s="2070">
        <v>11815.455374032672</v>
      </c>
      <c r="V47" s="2070">
        <v>12084.295012897677</v>
      </c>
      <c r="W47" s="2070">
        <v>12159.2241616509</v>
      </c>
      <c r="X47" s="2070">
        <v>12421.382115219261</v>
      </c>
    </row>
    <row r="48" spans="1:24" ht="11.25" customHeight="1">
      <c r="A48" s="2068" t="s">
        <v>4667</v>
      </c>
      <c r="B48" s="2069" t="s">
        <v>5799</v>
      </c>
      <c r="C48" s="2070">
        <v>1319.6699914015476</v>
      </c>
      <c r="D48" s="2070">
        <v>1574.7558899398105</v>
      </c>
      <c r="E48" s="2070">
        <v>1688.9897678417885</v>
      </c>
      <c r="F48" s="2070">
        <v>1544.8037833190024</v>
      </c>
      <c r="G48" s="2070">
        <v>1759.2395528804811</v>
      </c>
      <c r="H48" s="2070">
        <v>1765.334995700774</v>
      </c>
      <c r="I48" s="2070">
        <v>1877.9920894239035</v>
      </c>
      <c r="J48" s="2070">
        <v>1749.5564058469474</v>
      </c>
      <c r="K48" s="2070">
        <v>1616.6411006018916</v>
      </c>
      <c r="L48" s="2070">
        <v>1248.9104901117798</v>
      </c>
      <c r="M48" s="2070">
        <v>1534.7121238177126</v>
      </c>
      <c r="N48" s="2070">
        <v>1411.1322441960447</v>
      </c>
      <c r="O48" s="2070">
        <v>1230.8467755803954</v>
      </c>
      <c r="P48" s="2070">
        <v>1080.2965606190883</v>
      </c>
      <c r="Q48" s="2070">
        <v>690.96182287188299</v>
      </c>
      <c r="R48" s="2070">
        <v>1159.4511607910574</v>
      </c>
      <c r="S48" s="2070">
        <v>1273.9595872742907</v>
      </c>
      <c r="T48" s="2070">
        <v>1359.4207222699911</v>
      </c>
      <c r="U48" s="2070">
        <v>1271.0708512467756</v>
      </c>
      <c r="V48" s="2070">
        <v>1171.5001719690454</v>
      </c>
      <c r="W48" s="2070">
        <v>1066.8137575236456</v>
      </c>
      <c r="X48" s="2070">
        <v>1139.5208082545143</v>
      </c>
    </row>
    <row r="49" spans="1:24" ht="11.25" customHeight="1">
      <c r="A49" s="2068" t="s">
        <v>4666</v>
      </c>
      <c r="B49" s="2069" t="s">
        <v>5800</v>
      </c>
      <c r="C49" s="2070">
        <v>984.64686156491837</v>
      </c>
      <c r="D49" s="2070">
        <v>919.23920894239052</v>
      </c>
      <c r="E49" s="2070">
        <v>711.62966466036107</v>
      </c>
      <c r="F49" s="2070">
        <v>705.05202063628565</v>
      </c>
      <c r="G49" s="2070">
        <v>797.68770421324155</v>
      </c>
      <c r="H49" s="2070">
        <v>897.00558899398118</v>
      </c>
      <c r="I49" s="2070">
        <v>953.68529664660343</v>
      </c>
      <c r="J49" s="2070">
        <v>881.29208942390346</v>
      </c>
      <c r="K49" s="2070">
        <v>804.28882201203794</v>
      </c>
      <c r="L49" s="2070">
        <v>620.31040412725724</v>
      </c>
      <c r="M49" s="2070">
        <v>1067.440068787618</v>
      </c>
      <c r="N49" s="2070">
        <v>1035.0352536543421</v>
      </c>
      <c r="O49" s="2070">
        <v>730.79320722269995</v>
      </c>
      <c r="P49" s="2070">
        <v>758.62184006878761</v>
      </c>
      <c r="Q49" s="2070">
        <v>932.86715391229575</v>
      </c>
      <c r="R49" s="2070">
        <v>705.96809974204643</v>
      </c>
      <c r="S49" s="2070">
        <v>624.49501289767829</v>
      </c>
      <c r="T49" s="2070">
        <v>682.76500429922601</v>
      </c>
      <c r="U49" s="2070">
        <v>628.6629406706794</v>
      </c>
      <c r="V49" s="2070">
        <v>507.48048151332767</v>
      </c>
      <c r="W49" s="2070">
        <v>521.21685296646604</v>
      </c>
      <c r="X49" s="2070">
        <v>698.14832330180559</v>
      </c>
    </row>
    <row r="50" spans="1:24" ht="11.25" customHeight="1">
      <c r="A50" s="2068" t="s">
        <v>4668</v>
      </c>
      <c r="B50" s="2069" t="s">
        <v>5801</v>
      </c>
      <c r="C50" s="2070">
        <v>4833.4699914015482</v>
      </c>
      <c r="D50" s="2070">
        <v>5855.9787618228729</v>
      </c>
      <c r="E50" s="2070">
        <v>5606.9252794496988</v>
      </c>
      <c r="F50" s="2070">
        <v>6225.6583834909716</v>
      </c>
      <c r="G50" s="2070">
        <v>6186.3067067927786</v>
      </c>
      <c r="H50" s="2070">
        <v>5534.4484952708508</v>
      </c>
      <c r="I50" s="2070">
        <v>6324.4414445399816</v>
      </c>
      <c r="J50" s="2070">
        <v>5864.2963026655207</v>
      </c>
      <c r="K50" s="2070">
        <v>6369.313241616509</v>
      </c>
      <c r="L50" s="2070">
        <v>6082.3742046431635</v>
      </c>
      <c r="M50" s="2070">
        <v>5971.9942390369752</v>
      </c>
      <c r="N50" s="2070">
        <v>6081.9728288908009</v>
      </c>
      <c r="O50" s="2070">
        <v>6662.8677558039535</v>
      </c>
      <c r="P50" s="2070">
        <v>5256.5141874462588</v>
      </c>
      <c r="Q50" s="2070">
        <v>5078.6969045571786</v>
      </c>
      <c r="R50" s="2070">
        <v>5068.8160791057617</v>
      </c>
      <c r="S50" s="2070">
        <v>6306.0200343938095</v>
      </c>
      <c r="T50" s="2070">
        <v>6604.9586414445394</v>
      </c>
      <c r="U50" s="2070">
        <v>5814.1949269131528</v>
      </c>
      <c r="V50" s="2070">
        <v>5812.3358555459999</v>
      </c>
      <c r="W50" s="2070">
        <v>5649.262768701632</v>
      </c>
      <c r="X50" s="2070">
        <v>4989.7990541702493</v>
      </c>
    </row>
    <row r="51" spans="1:24" ht="11.25" customHeight="1">
      <c r="A51" s="2071" t="s">
        <v>3875</v>
      </c>
      <c r="B51" s="2072" t="s">
        <v>5802</v>
      </c>
      <c r="C51" s="2073">
        <v>14499.375838349095</v>
      </c>
      <c r="D51" s="2073">
        <v>13913.742820292346</v>
      </c>
      <c r="E51" s="2073">
        <v>12501.528030954425</v>
      </c>
      <c r="F51" s="2073">
        <v>12999.342734307822</v>
      </c>
      <c r="G51" s="2073">
        <v>13614.571625107477</v>
      </c>
      <c r="H51" s="2073">
        <v>14092.286242476353</v>
      </c>
      <c r="I51" s="2073">
        <v>12837.82785898538</v>
      </c>
      <c r="J51" s="2073">
        <v>13710.373172828891</v>
      </c>
      <c r="K51" s="2073">
        <v>13304.682975064488</v>
      </c>
      <c r="L51" s="2073">
        <v>11490.999570077387</v>
      </c>
      <c r="M51" s="2073">
        <v>12758.542820292345</v>
      </c>
      <c r="N51" s="2073">
        <v>13472.914703353397</v>
      </c>
      <c r="O51" s="2073">
        <v>13188.225709372313</v>
      </c>
      <c r="P51" s="2073">
        <v>13417.23336199484</v>
      </c>
      <c r="Q51" s="2073">
        <v>13936.699570077386</v>
      </c>
      <c r="R51" s="2073">
        <v>13691.651848667239</v>
      </c>
      <c r="S51" s="2073">
        <v>13540.01014617369</v>
      </c>
      <c r="T51" s="2073">
        <v>14743.12648323302</v>
      </c>
      <c r="U51" s="2073">
        <v>14606.874204643163</v>
      </c>
      <c r="V51" s="2073">
        <v>15192.776698194322</v>
      </c>
      <c r="W51" s="2073">
        <v>14731.29845227859</v>
      </c>
      <c r="X51" s="2073">
        <v>14005.556577815991</v>
      </c>
    </row>
    <row r="52" spans="1:24" ht="11.25" customHeight="1">
      <c r="A52" s="2071" t="s">
        <v>5803</v>
      </c>
      <c r="B52" s="2072" t="s">
        <v>5804</v>
      </c>
      <c r="C52" s="2073">
        <v>0</v>
      </c>
      <c r="D52" s="2073">
        <v>0</v>
      </c>
      <c r="E52" s="2073">
        <v>0</v>
      </c>
      <c r="F52" s="2073">
        <v>0</v>
      </c>
      <c r="G52" s="2073">
        <v>0</v>
      </c>
      <c r="H52" s="2073">
        <v>0</v>
      </c>
      <c r="I52" s="2073">
        <v>0</v>
      </c>
      <c r="J52" s="2073">
        <v>0</v>
      </c>
      <c r="K52" s="2073">
        <v>0</v>
      </c>
      <c r="L52" s="2073">
        <v>0</v>
      </c>
      <c r="M52" s="2073">
        <v>0</v>
      </c>
      <c r="N52" s="2073">
        <v>0</v>
      </c>
      <c r="O52" s="2073">
        <v>0</v>
      </c>
      <c r="P52" s="2073">
        <v>0</v>
      </c>
      <c r="Q52" s="2073">
        <v>0</v>
      </c>
      <c r="R52" s="2073">
        <v>0</v>
      </c>
      <c r="S52" s="2073">
        <v>0</v>
      </c>
      <c r="T52" s="2073">
        <v>0</v>
      </c>
      <c r="U52" s="2073">
        <v>0</v>
      </c>
      <c r="V52" s="2073">
        <v>0</v>
      </c>
      <c r="W52" s="2073">
        <v>0</v>
      </c>
      <c r="X52" s="2073">
        <v>0</v>
      </c>
    </row>
    <row r="53" spans="1:24" ht="11.25" customHeight="1">
      <c r="A53" s="2074" t="s">
        <v>3973</v>
      </c>
      <c r="B53" s="2069" t="s">
        <v>5805</v>
      </c>
      <c r="C53" s="2070">
        <v>0</v>
      </c>
      <c r="D53" s="2070">
        <v>0</v>
      </c>
      <c r="E53" s="2070">
        <v>0</v>
      </c>
      <c r="F53" s="2070">
        <v>0</v>
      </c>
      <c r="G53" s="2070">
        <v>0</v>
      </c>
      <c r="H53" s="2070">
        <v>0</v>
      </c>
      <c r="I53" s="2070">
        <v>0</v>
      </c>
      <c r="J53" s="2070">
        <v>0</v>
      </c>
      <c r="K53" s="2070">
        <v>0</v>
      </c>
      <c r="L53" s="2070">
        <v>0</v>
      </c>
      <c r="M53" s="2070">
        <v>0</v>
      </c>
      <c r="N53" s="2070">
        <v>0</v>
      </c>
      <c r="O53" s="2070">
        <v>0</v>
      </c>
      <c r="P53" s="2070">
        <v>0</v>
      </c>
      <c r="Q53" s="2070">
        <v>0</v>
      </c>
      <c r="R53" s="2070">
        <v>0</v>
      </c>
      <c r="S53" s="2070">
        <v>0</v>
      </c>
      <c r="T53" s="2070">
        <v>0</v>
      </c>
      <c r="U53" s="2070">
        <v>0</v>
      </c>
      <c r="V53" s="2070">
        <v>0</v>
      </c>
      <c r="W53" s="2070">
        <v>0</v>
      </c>
      <c r="X53" s="2070">
        <v>0</v>
      </c>
    </row>
    <row r="54" spans="1:24" ht="11.25" customHeight="1">
      <c r="A54" s="2074" t="s">
        <v>5806</v>
      </c>
      <c r="B54" s="2069" t="s">
        <v>5807</v>
      </c>
      <c r="C54" s="2070">
        <v>0</v>
      </c>
      <c r="D54" s="2070">
        <v>0</v>
      </c>
      <c r="E54" s="2070">
        <v>0</v>
      </c>
      <c r="F54" s="2070">
        <v>0</v>
      </c>
      <c r="G54" s="2070">
        <v>0</v>
      </c>
      <c r="H54" s="2070">
        <v>0</v>
      </c>
      <c r="I54" s="2070">
        <v>0</v>
      </c>
      <c r="J54" s="2070">
        <v>0</v>
      </c>
      <c r="K54" s="2070">
        <v>0</v>
      </c>
      <c r="L54" s="2070">
        <v>0</v>
      </c>
      <c r="M54" s="2070">
        <v>0</v>
      </c>
      <c r="N54" s="2070">
        <v>0</v>
      </c>
      <c r="O54" s="2070">
        <v>0</v>
      </c>
      <c r="P54" s="2070">
        <v>0</v>
      </c>
      <c r="Q54" s="2070">
        <v>0</v>
      </c>
      <c r="R54" s="2070">
        <v>0</v>
      </c>
      <c r="S54" s="2070">
        <v>0</v>
      </c>
      <c r="T54" s="2070">
        <v>0</v>
      </c>
      <c r="U54" s="2070">
        <v>0</v>
      </c>
      <c r="V54" s="2070">
        <v>0</v>
      </c>
      <c r="W54" s="2070">
        <v>0</v>
      </c>
      <c r="X54" s="2070">
        <v>0</v>
      </c>
    </row>
    <row r="55" spans="1:24" ht="11.25" customHeight="1">
      <c r="A55" s="2074" t="s">
        <v>3965</v>
      </c>
      <c r="B55" s="2069" t="s">
        <v>5808</v>
      </c>
      <c r="C55" s="2070">
        <v>0</v>
      </c>
      <c r="D55" s="2070">
        <v>0</v>
      </c>
      <c r="E55" s="2070">
        <v>0</v>
      </c>
      <c r="F55" s="2070">
        <v>0</v>
      </c>
      <c r="G55" s="2070">
        <v>0</v>
      </c>
      <c r="H55" s="2070">
        <v>0</v>
      </c>
      <c r="I55" s="2070">
        <v>0</v>
      </c>
      <c r="J55" s="2070">
        <v>0</v>
      </c>
      <c r="K55" s="2070">
        <v>0</v>
      </c>
      <c r="L55" s="2070">
        <v>0</v>
      </c>
      <c r="M55" s="2070">
        <v>0</v>
      </c>
      <c r="N55" s="2070">
        <v>0</v>
      </c>
      <c r="O55" s="2070">
        <v>0</v>
      </c>
      <c r="P55" s="2070">
        <v>0</v>
      </c>
      <c r="Q55" s="2070">
        <v>0</v>
      </c>
      <c r="R55" s="2070">
        <v>0</v>
      </c>
      <c r="S55" s="2070">
        <v>0</v>
      </c>
      <c r="T55" s="2070">
        <v>0</v>
      </c>
      <c r="U55" s="2070">
        <v>0</v>
      </c>
      <c r="V55" s="2070">
        <v>0</v>
      </c>
      <c r="W55" s="2070">
        <v>0</v>
      </c>
      <c r="X55" s="2070">
        <v>0</v>
      </c>
    </row>
    <row r="56" spans="1:24" ht="11.25" customHeight="1">
      <c r="A56" s="2074" t="s">
        <v>5636</v>
      </c>
      <c r="B56" s="2069" t="s">
        <v>5809</v>
      </c>
      <c r="C56" s="2070">
        <v>0</v>
      </c>
      <c r="D56" s="2070">
        <v>0</v>
      </c>
      <c r="E56" s="2070">
        <v>0</v>
      </c>
      <c r="F56" s="2070">
        <v>0</v>
      </c>
      <c r="G56" s="2070">
        <v>0</v>
      </c>
      <c r="H56" s="2070">
        <v>0</v>
      </c>
      <c r="I56" s="2070">
        <v>0</v>
      </c>
      <c r="J56" s="2070">
        <v>0</v>
      </c>
      <c r="K56" s="2070">
        <v>0</v>
      </c>
      <c r="L56" s="2070">
        <v>0</v>
      </c>
      <c r="M56" s="2070">
        <v>0</v>
      </c>
      <c r="N56" s="2070">
        <v>0</v>
      </c>
      <c r="O56" s="2070">
        <v>0</v>
      </c>
      <c r="P56" s="2070">
        <v>0</v>
      </c>
      <c r="Q56" s="2070">
        <v>0</v>
      </c>
      <c r="R56" s="2070">
        <v>0</v>
      </c>
      <c r="S56" s="2070">
        <v>0</v>
      </c>
      <c r="T56" s="2070">
        <v>0</v>
      </c>
      <c r="U56" s="2070">
        <v>0</v>
      </c>
      <c r="V56" s="2070">
        <v>0</v>
      </c>
      <c r="W56" s="2070">
        <v>0</v>
      </c>
      <c r="X56" s="2070">
        <v>0</v>
      </c>
    </row>
    <row r="57" spans="1:24" ht="11.25" customHeight="1">
      <c r="A57" s="2074" t="s">
        <v>4617</v>
      </c>
      <c r="B57" s="2069" t="s">
        <v>5810</v>
      </c>
      <c r="C57" s="2070">
        <v>0</v>
      </c>
      <c r="D57" s="2070">
        <v>0</v>
      </c>
      <c r="E57" s="2070">
        <v>0</v>
      </c>
      <c r="F57" s="2070">
        <v>0</v>
      </c>
      <c r="G57" s="2070">
        <v>0</v>
      </c>
      <c r="H57" s="2070">
        <v>0</v>
      </c>
      <c r="I57" s="2070">
        <v>0</v>
      </c>
      <c r="J57" s="2070">
        <v>0</v>
      </c>
      <c r="K57" s="2070">
        <v>0</v>
      </c>
      <c r="L57" s="2070">
        <v>0</v>
      </c>
      <c r="M57" s="2070">
        <v>0</v>
      </c>
      <c r="N57" s="2070">
        <v>0</v>
      </c>
      <c r="O57" s="2070">
        <v>0</v>
      </c>
      <c r="P57" s="2070">
        <v>0</v>
      </c>
      <c r="Q57" s="2070">
        <v>0</v>
      </c>
      <c r="R57" s="2070">
        <v>0</v>
      </c>
      <c r="S57" s="2070">
        <v>0</v>
      </c>
      <c r="T57" s="2070">
        <v>0</v>
      </c>
      <c r="U57" s="2070">
        <v>0</v>
      </c>
      <c r="V57" s="2070">
        <v>0</v>
      </c>
      <c r="W57" s="2070">
        <v>0</v>
      </c>
      <c r="X57" s="2070">
        <v>0</v>
      </c>
    </row>
    <row r="58" spans="1:24" ht="11.25" customHeight="1">
      <c r="A58" s="2074" t="s">
        <v>3971</v>
      </c>
      <c r="B58" s="2069" t="s">
        <v>5811</v>
      </c>
      <c r="C58" s="2070">
        <v>0</v>
      </c>
      <c r="D58" s="2070">
        <v>0</v>
      </c>
      <c r="E58" s="2070">
        <v>0</v>
      </c>
      <c r="F58" s="2070">
        <v>0</v>
      </c>
      <c r="G58" s="2070">
        <v>0</v>
      </c>
      <c r="H58" s="2070">
        <v>0</v>
      </c>
      <c r="I58" s="2070">
        <v>0</v>
      </c>
      <c r="J58" s="2070">
        <v>0</v>
      </c>
      <c r="K58" s="2070">
        <v>0</v>
      </c>
      <c r="L58" s="2070">
        <v>0</v>
      </c>
      <c r="M58" s="2070">
        <v>0</v>
      </c>
      <c r="N58" s="2070">
        <v>0</v>
      </c>
      <c r="O58" s="2070">
        <v>0</v>
      </c>
      <c r="P58" s="2070">
        <v>0</v>
      </c>
      <c r="Q58" s="2070">
        <v>0</v>
      </c>
      <c r="R58" s="2070">
        <v>0</v>
      </c>
      <c r="S58" s="2070">
        <v>0</v>
      </c>
      <c r="T58" s="2070">
        <v>0</v>
      </c>
      <c r="U58" s="2070">
        <v>0</v>
      </c>
      <c r="V58" s="2070">
        <v>0</v>
      </c>
      <c r="W58" s="2070">
        <v>0</v>
      </c>
      <c r="X58" s="2070">
        <v>0</v>
      </c>
    </row>
    <row r="59" spans="1:24" ht="11.25" customHeight="1">
      <c r="A59" s="2074" t="s">
        <v>4669</v>
      </c>
      <c r="B59" s="2069" t="s">
        <v>5812</v>
      </c>
      <c r="C59" s="2070">
        <v>0</v>
      </c>
      <c r="D59" s="2070">
        <v>0</v>
      </c>
      <c r="E59" s="2070">
        <v>0</v>
      </c>
      <c r="F59" s="2070">
        <v>0</v>
      </c>
      <c r="G59" s="2070">
        <v>0</v>
      </c>
      <c r="H59" s="2070">
        <v>0</v>
      </c>
      <c r="I59" s="2070">
        <v>0</v>
      </c>
      <c r="J59" s="2070">
        <v>0</v>
      </c>
      <c r="K59" s="2070">
        <v>0</v>
      </c>
      <c r="L59" s="2070">
        <v>0</v>
      </c>
      <c r="M59" s="2070">
        <v>0</v>
      </c>
      <c r="N59" s="2070">
        <v>0</v>
      </c>
      <c r="O59" s="2070">
        <v>0</v>
      </c>
      <c r="P59" s="2070">
        <v>0</v>
      </c>
      <c r="Q59" s="2070">
        <v>0</v>
      </c>
      <c r="R59" s="2070">
        <v>0</v>
      </c>
      <c r="S59" s="2070">
        <v>0</v>
      </c>
      <c r="T59" s="2070">
        <v>0</v>
      </c>
      <c r="U59" s="2070">
        <v>0</v>
      </c>
      <c r="V59" s="2070">
        <v>0</v>
      </c>
      <c r="W59" s="2070">
        <v>0</v>
      </c>
      <c r="X59" s="2070">
        <v>0</v>
      </c>
    </row>
    <row r="60" spans="1:24" ht="11.25" customHeight="1">
      <c r="A60" s="2074" t="s">
        <v>4618</v>
      </c>
      <c r="B60" s="2069" t="s">
        <v>5813</v>
      </c>
      <c r="C60" s="2070">
        <v>0</v>
      </c>
      <c r="D60" s="2070">
        <v>0</v>
      </c>
      <c r="E60" s="2070">
        <v>0</v>
      </c>
      <c r="F60" s="2070">
        <v>0</v>
      </c>
      <c r="G60" s="2070">
        <v>0</v>
      </c>
      <c r="H60" s="2070">
        <v>0</v>
      </c>
      <c r="I60" s="2070">
        <v>0</v>
      </c>
      <c r="J60" s="2070">
        <v>0</v>
      </c>
      <c r="K60" s="2070">
        <v>0</v>
      </c>
      <c r="L60" s="2070">
        <v>0</v>
      </c>
      <c r="M60" s="2070">
        <v>0</v>
      </c>
      <c r="N60" s="2070">
        <v>0</v>
      </c>
      <c r="O60" s="2070">
        <v>0</v>
      </c>
      <c r="P60" s="2070">
        <v>0</v>
      </c>
      <c r="Q60" s="2070">
        <v>0</v>
      </c>
      <c r="R60" s="2070">
        <v>0</v>
      </c>
      <c r="S60" s="2070">
        <v>0</v>
      </c>
      <c r="T60" s="2070">
        <v>0</v>
      </c>
      <c r="U60" s="2070">
        <v>0</v>
      </c>
      <c r="V60" s="2070">
        <v>0</v>
      </c>
      <c r="W60" s="2070">
        <v>0</v>
      </c>
      <c r="X60" s="2070">
        <v>0</v>
      </c>
    </row>
    <row r="61" spans="1:24" ht="11.25" customHeight="1">
      <c r="A61" s="2074" t="s">
        <v>4670</v>
      </c>
      <c r="B61" s="2069" t="s">
        <v>5814</v>
      </c>
      <c r="C61" s="2070">
        <v>0</v>
      </c>
      <c r="D61" s="2070">
        <v>0</v>
      </c>
      <c r="E61" s="2070">
        <v>0</v>
      </c>
      <c r="F61" s="2070">
        <v>0</v>
      </c>
      <c r="G61" s="2070">
        <v>0</v>
      </c>
      <c r="H61" s="2070">
        <v>0</v>
      </c>
      <c r="I61" s="2070">
        <v>0</v>
      </c>
      <c r="J61" s="2070">
        <v>0</v>
      </c>
      <c r="K61" s="2070">
        <v>0</v>
      </c>
      <c r="L61" s="2070">
        <v>0</v>
      </c>
      <c r="M61" s="2070">
        <v>0</v>
      </c>
      <c r="N61" s="2070">
        <v>0</v>
      </c>
      <c r="O61" s="2070">
        <v>0</v>
      </c>
      <c r="P61" s="2070">
        <v>0</v>
      </c>
      <c r="Q61" s="2070">
        <v>0</v>
      </c>
      <c r="R61" s="2070">
        <v>0</v>
      </c>
      <c r="S61" s="2070">
        <v>0</v>
      </c>
      <c r="T61" s="2070">
        <v>0</v>
      </c>
      <c r="U61" s="2070">
        <v>0</v>
      </c>
      <c r="V61" s="2070">
        <v>0</v>
      </c>
      <c r="W61" s="2070">
        <v>0</v>
      </c>
      <c r="X61" s="2070">
        <v>0</v>
      </c>
    </row>
    <row r="62" spans="1:24" ht="11.25" customHeight="1">
      <c r="A62" s="2074" t="s">
        <v>5815</v>
      </c>
      <c r="B62" s="2069" t="s">
        <v>5816</v>
      </c>
      <c r="C62" s="2070">
        <v>0</v>
      </c>
      <c r="D62" s="2070">
        <v>0</v>
      </c>
      <c r="E62" s="2070">
        <v>0</v>
      </c>
      <c r="F62" s="2070">
        <v>0</v>
      </c>
      <c r="G62" s="2070">
        <v>0</v>
      </c>
      <c r="H62" s="2070">
        <v>0</v>
      </c>
      <c r="I62" s="2070">
        <v>0</v>
      </c>
      <c r="J62" s="2070">
        <v>0</v>
      </c>
      <c r="K62" s="2070">
        <v>0</v>
      </c>
      <c r="L62" s="2070">
        <v>0</v>
      </c>
      <c r="M62" s="2070">
        <v>0</v>
      </c>
      <c r="N62" s="2070">
        <v>0</v>
      </c>
      <c r="O62" s="2070">
        <v>0</v>
      </c>
      <c r="P62" s="2070">
        <v>0</v>
      </c>
      <c r="Q62" s="2070">
        <v>0</v>
      </c>
      <c r="R62" s="2070">
        <v>0</v>
      </c>
      <c r="S62" s="2070">
        <v>0</v>
      </c>
      <c r="T62" s="2070">
        <v>0</v>
      </c>
      <c r="U62" s="2070">
        <v>0</v>
      </c>
      <c r="V62" s="2070">
        <v>0</v>
      </c>
      <c r="W62" s="2070">
        <v>0</v>
      </c>
      <c r="X62" s="2070">
        <v>0</v>
      </c>
    </row>
    <row r="63" spans="1:24" ht="11.25" customHeight="1">
      <c r="A63" s="2074" t="s">
        <v>5817</v>
      </c>
      <c r="B63" s="2069" t="s">
        <v>5818</v>
      </c>
      <c r="C63" s="2070">
        <v>0</v>
      </c>
      <c r="D63" s="2070">
        <v>0</v>
      </c>
      <c r="E63" s="2070">
        <v>0</v>
      </c>
      <c r="F63" s="2070">
        <v>0</v>
      </c>
      <c r="G63" s="2070">
        <v>0</v>
      </c>
      <c r="H63" s="2070">
        <v>0</v>
      </c>
      <c r="I63" s="2070">
        <v>0</v>
      </c>
      <c r="J63" s="2070">
        <v>0</v>
      </c>
      <c r="K63" s="2070">
        <v>0</v>
      </c>
      <c r="L63" s="2070">
        <v>0</v>
      </c>
      <c r="M63" s="2070">
        <v>0</v>
      </c>
      <c r="N63" s="2070">
        <v>0</v>
      </c>
      <c r="O63" s="2070">
        <v>0</v>
      </c>
      <c r="P63" s="2070">
        <v>0</v>
      </c>
      <c r="Q63" s="2070">
        <v>0</v>
      </c>
      <c r="R63" s="2070">
        <v>0</v>
      </c>
      <c r="S63" s="2070">
        <v>0</v>
      </c>
      <c r="T63" s="2070">
        <v>0</v>
      </c>
      <c r="U63" s="2070">
        <v>0</v>
      </c>
      <c r="V63" s="2070">
        <v>0</v>
      </c>
      <c r="W63" s="2070">
        <v>0</v>
      </c>
      <c r="X63" s="2070">
        <v>0</v>
      </c>
    </row>
    <row r="64" spans="1:24" ht="11.25" customHeight="1">
      <c r="A64" s="2074" t="s">
        <v>5819</v>
      </c>
      <c r="B64" s="2069" t="s">
        <v>5820</v>
      </c>
      <c r="C64" s="2070">
        <v>0</v>
      </c>
      <c r="D64" s="2070">
        <v>0</v>
      </c>
      <c r="E64" s="2070">
        <v>0</v>
      </c>
      <c r="F64" s="2070">
        <v>0</v>
      </c>
      <c r="G64" s="2070">
        <v>0</v>
      </c>
      <c r="H64" s="2070">
        <v>0</v>
      </c>
      <c r="I64" s="2070">
        <v>0</v>
      </c>
      <c r="J64" s="2070">
        <v>0</v>
      </c>
      <c r="K64" s="2070">
        <v>0</v>
      </c>
      <c r="L64" s="2070">
        <v>0</v>
      </c>
      <c r="M64" s="2070">
        <v>0</v>
      </c>
      <c r="N64" s="2070">
        <v>0</v>
      </c>
      <c r="O64" s="2070">
        <v>0</v>
      </c>
      <c r="P64" s="2070">
        <v>0</v>
      </c>
      <c r="Q64" s="2070">
        <v>0</v>
      </c>
      <c r="R64" s="2070">
        <v>0</v>
      </c>
      <c r="S64" s="2070">
        <v>0</v>
      </c>
      <c r="T64" s="2070">
        <v>0</v>
      </c>
      <c r="U64" s="2070">
        <v>0</v>
      </c>
      <c r="V64" s="2070">
        <v>0</v>
      </c>
      <c r="W64" s="2070">
        <v>0</v>
      </c>
      <c r="X64" s="2070">
        <v>0</v>
      </c>
    </row>
    <row r="65" spans="1:24" ht="11.25" customHeight="1">
      <c r="A65" s="2074" t="s">
        <v>5821</v>
      </c>
      <c r="B65" s="2069" t="s">
        <v>5822</v>
      </c>
      <c r="C65" s="2070">
        <v>0</v>
      </c>
      <c r="D65" s="2070">
        <v>0</v>
      </c>
      <c r="E65" s="2070">
        <v>0</v>
      </c>
      <c r="F65" s="2070">
        <v>0</v>
      </c>
      <c r="G65" s="2070">
        <v>0</v>
      </c>
      <c r="H65" s="2070">
        <v>0</v>
      </c>
      <c r="I65" s="2070">
        <v>0</v>
      </c>
      <c r="J65" s="2070">
        <v>0</v>
      </c>
      <c r="K65" s="2070">
        <v>0</v>
      </c>
      <c r="L65" s="2070">
        <v>0</v>
      </c>
      <c r="M65" s="2070">
        <v>0</v>
      </c>
      <c r="N65" s="2070">
        <v>0</v>
      </c>
      <c r="O65" s="2070">
        <v>0</v>
      </c>
      <c r="P65" s="2070">
        <v>0</v>
      </c>
      <c r="Q65" s="2070">
        <v>0</v>
      </c>
      <c r="R65" s="2070">
        <v>0</v>
      </c>
      <c r="S65" s="2070">
        <v>0</v>
      </c>
      <c r="T65" s="2070">
        <v>0</v>
      </c>
      <c r="U65" s="2070">
        <v>0</v>
      </c>
      <c r="V65" s="2070">
        <v>0</v>
      </c>
      <c r="W65" s="2070">
        <v>0</v>
      </c>
      <c r="X65" s="2070">
        <v>0</v>
      </c>
    </row>
    <row r="66" spans="1:24" ht="11.25" customHeight="1">
      <c r="A66" s="2074" t="s">
        <v>5823</v>
      </c>
      <c r="B66" s="2069" t="s">
        <v>5824</v>
      </c>
      <c r="C66" s="2070">
        <v>0</v>
      </c>
      <c r="D66" s="2070">
        <v>0</v>
      </c>
      <c r="E66" s="2070">
        <v>0</v>
      </c>
      <c r="F66" s="2070">
        <v>0</v>
      </c>
      <c r="G66" s="2070">
        <v>0</v>
      </c>
      <c r="H66" s="2070">
        <v>0</v>
      </c>
      <c r="I66" s="2070">
        <v>0</v>
      </c>
      <c r="J66" s="2070">
        <v>0</v>
      </c>
      <c r="K66" s="2070">
        <v>0</v>
      </c>
      <c r="L66" s="2070">
        <v>0</v>
      </c>
      <c r="M66" s="2070">
        <v>0</v>
      </c>
      <c r="N66" s="2070">
        <v>0</v>
      </c>
      <c r="O66" s="2070">
        <v>0</v>
      </c>
      <c r="P66" s="2070">
        <v>0</v>
      </c>
      <c r="Q66" s="2070">
        <v>0</v>
      </c>
      <c r="R66" s="2070">
        <v>0</v>
      </c>
      <c r="S66" s="2070">
        <v>0</v>
      </c>
      <c r="T66" s="2070">
        <v>0</v>
      </c>
      <c r="U66" s="2070">
        <v>0</v>
      </c>
      <c r="V66" s="2070">
        <v>0</v>
      </c>
      <c r="W66" s="2070">
        <v>0</v>
      </c>
      <c r="X66" s="2070">
        <v>0</v>
      </c>
    </row>
    <row r="67" spans="1:24" ht="11.25" customHeight="1">
      <c r="A67" s="2074" t="s">
        <v>5825</v>
      </c>
      <c r="B67" s="2069" t="s">
        <v>5826</v>
      </c>
      <c r="C67" s="2070">
        <v>0</v>
      </c>
      <c r="D67" s="2070">
        <v>0</v>
      </c>
      <c r="E67" s="2070">
        <v>0</v>
      </c>
      <c r="F67" s="2070">
        <v>0</v>
      </c>
      <c r="G67" s="2070">
        <v>0</v>
      </c>
      <c r="H67" s="2070">
        <v>0</v>
      </c>
      <c r="I67" s="2070">
        <v>0</v>
      </c>
      <c r="J67" s="2070">
        <v>0</v>
      </c>
      <c r="K67" s="2070">
        <v>0</v>
      </c>
      <c r="L67" s="2070">
        <v>0</v>
      </c>
      <c r="M67" s="2070">
        <v>0</v>
      </c>
      <c r="N67" s="2070">
        <v>0</v>
      </c>
      <c r="O67" s="2070">
        <v>0</v>
      </c>
      <c r="P67" s="2070">
        <v>0</v>
      </c>
      <c r="Q67" s="2070">
        <v>0</v>
      </c>
      <c r="R67" s="2070">
        <v>0</v>
      </c>
      <c r="S67" s="2070">
        <v>0</v>
      </c>
      <c r="T67" s="2070">
        <v>0</v>
      </c>
      <c r="U67" s="2070">
        <v>0</v>
      </c>
      <c r="V67" s="2070">
        <v>0</v>
      </c>
      <c r="W67" s="2070">
        <v>0</v>
      </c>
      <c r="X67" s="2070">
        <v>0</v>
      </c>
    </row>
    <row r="68" spans="1:24" ht="11.25" customHeight="1">
      <c r="A68" s="2074" t="s">
        <v>5827</v>
      </c>
      <c r="B68" s="2069" t="s">
        <v>5828</v>
      </c>
      <c r="C68" s="2070">
        <v>0</v>
      </c>
      <c r="D68" s="2070">
        <v>0</v>
      </c>
      <c r="E68" s="2070">
        <v>0</v>
      </c>
      <c r="F68" s="2070">
        <v>0</v>
      </c>
      <c r="G68" s="2070">
        <v>0</v>
      </c>
      <c r="H68" s="2070">
        <v>0</v>
      </c>
      <c r="I68" s="2070">
        <v>0</v>
      </c>
      <c r="J68" s="2070">
        <v>0</v>
      </c>
      <c r="K68" s="2070">
        <v>0</v>
      </c>
      <c r="L68" s="2070">
        <v>0</v>
      </c>
      <c r="M68" s="2070">
        <v>0</v>
      </c>
      <c r="N68" s="2070">
        <v>0</v>
      </c>
      <c r="O68" s="2070">
        <v>0</v>
      </c>
      <c r="P68" s="2070">
        <v>0</v>
      </c>
      <c r="Q68" s="2070">
        <v>0</v>
      </c>
      <c r="R68" s="2070">
        <v>0</v>
      </c>
      <c r="S68" s="2070">
        <v>0</v>
      </c>
      <c r="T68" s="2070">
        <v>0</v>
      </c>
      <c r="U68" s="2070">
        <v>0</v>
      </c>
      <c r="V68" s="2070">
        <v>0</v>
      </c>
      <c r="W68" s="2070">
        <v>0</v>
      </c>
      <c r="X68" s="2070">
        <v>0</v>
      </c>
    </row>
    <row r="69" spans="1:24" ht="11.25" customHeight="1">
      <c r="A69" s="2074" t="s">
        <v>4619</v>
      </c>
      <c r="B69" s="2069" t="s">
        <v>5829</v>
      </c>
      <c r="C69" s="2070">
        <v>0</v>
      </c>
      <c r="D69" s="2070">
        <v>0</v>
      </c>
      <c r="E69" s="2070">
        <v>0</v>
      </c>
      <c r="F69" s="2070">
        <v>0</v>
      </c>
      <c r="G69" s="2070">
        <v>0</v>
      </c>
      <c r="H69" s="2070">
        <v>0</v>
      </c>
      <c r="I69" s="2070">
        <v>0</v>
      </c>
      <c r="J69" s="2070">
        <v>0</v>
      </c>
      <c r="K69" s="2070">
        <v>0</v>
      </c>
      <c r="L69" s="2070">
        <v>0</v>
      </c>
      <c r="M69" s="2070">
        <v>0</v>
      </c>
      <c r="N69" s="2070">
        <v>0</v>
      </c>
      <c r="O69" s="2070">
        <v>0</v>
      </c>
      <c r="P69" s="2070">
        <v>0</v>
      </c>
      <c r="Q69" s="2070">
        <v>0</v>
      </c>
      <c r="R69" s="2070">
        <v>0</v>
      </c>
      <c r="S69" s="2070">
        <v>0</v>
      </c>
      <c r="T69" s="2070">
        <v>0</v>
      </c>
      <c r="U69" s="2070">
        <v>0</v>
      </c>
      <c r="V69" s="2070">
        <v>0</v>
      </c>
      <c r="W69" s="2070">
        <v>0</v>
      </c>
      <c r="X69" s="2070">
        <v>0</v>
      </c>
    </row>
    <row r="70" spans="1:24" ht="11.25" customHeight="1">
      <c r="A70" s="2074" t="s">
        <v>5830</v>
      </c>
      <c r="B70" s="2069" t="s">
        <v>5831</v>
      </c>
      <c r="C70" s="2070">
        <v>0</v>
      </c>
      <c r="D70" s="2070">
        <v>0</v>
      </c>
      <c r="E70" s="2070">
        <v>0</v>
      </c>
      <c r="F70" s="2070">
        <v>0</v>
      </c>
      <c r="G70" s="2070">
        <v>0</v>
      </c>
      <c r="H70" s="2070">
        <v>0</v>
      </c>
      <c r="I70" s="2070">
        <v>0</v>
      </c>
      <c r="J70" s="2070">
        <v>0</v>
      </c>
      <c r="K70" s="2070">
        <v>0</v>
      </c>
      <c r="L70" s="2070">
        <v>0</v>
      </c>
      <c r="M70" s="2070">
        <v>0</v>
      </c>
      <c r="N70" s="2070">
        <v>0</v>
      </c>
      <c r="O70" s="2070">
        <v>0</v>
      </c>
      <c r="P70" s="2070">
        <v>0</v>
      </c>
      <c r="Q70" s="2070">
        <v>0</v>
      </c>
      <c r="R70" s="2070">
        <v>0</v>
      </c>
      <c r="S70" s="2070">
        <v>0</v>
      </c>
      <c r="T70" s="2070">
        <v>0</v>
      </c>
      <c r="U70" s="2070">
        <v>0</v>
      </c>
      <c r="V70" s="2070">
        <v>0</v>
      </c>
      <c r="W70" s="2070">
        <v>0</v>
      </c>
      <c r="X70" s="2070">
        <v>0</v>
      </c>
    </row>
    <row r="71" spans="1:24" ht="11.25" customHeight="1">
      <c r="A71" s="2071" t="s">
        <v>5832</v>
      </c>
      <c r="B71" s="2072" t="s">
        <v>5833</v>
      </c>
      <c r="C71" s="2073">
        <v>0</v>
      </c>
      <c r="D71" s="2073">
        <v>0</v>
      </c>
      <c r="E71" s="2073">
        <v>0</v>
      </c>
      <c r="F71" s="2073">
        <v>0</v>
      </c>
      <c r="G71" s="2073">
        <v>0</v>
      </c>
      <c r="H71" s="2073">
        <v>0</v>
      </c>
      <c r="I71" s="2073">
        <v>0</v>
      </c>
      <c r="J71" s="2073">
        <v>0</v>
      </c>
      <c r="K71" s="2073">
        <v>0</v>
      </c>
      <c r="L71" s="2073">
        <v>0</v>
      </c>
      <c r="M71" s="2073">
        <v>0</v>
      </c>
      <c r="N71" s="2073">
        <v>0</v>
      </c>
      <c r="O71" s="2073">
        <v>0</v>
      </c>
      <c r="P71" s="2073">
        <v>0</v>
      </c>
      <c r="Q71" s="2073">
        <v>0</v>
      </c>
      <c r="R71" s="2073">
        <v>0</v>
      </c>
      <c r="S71" s="2073">
        <v>0</v>
      </c>
      <c r="T71" s="2073">
        <v>0</v>
      </c>
      <c r="U71" s="2073">
        <v>0</v>
      </c>
      <c r="V71" s="2073">
        <v>0</v>
      </c>
      <c r="W71" s="2073">
        <v>0</v>
      </c>
      <c r="X71" s="2073">
        <v>0</v>
      </c>
    </row>
    <row r="72" spans="1:24" ht="11.25" customHeight="1">
      <c r="A72" s="2074" t="s">
        <v>5834</v>
      </c>
      <c r="B72" s="2069" t="s">
        <v>5835</v>
      </c>
      <c r="C72" s="2070">
        <v>0</v>
      </c>
      <c r="D72" s="2070">
        <v>0</v>
      </c>
      <c r="E72" s="2070">
        <v>0</v>
      </c>
      <c r="F72" s="2070">
        <v>0</v>
      </c>
      <c r="G72" s="2070">
        <v>0</v>
      </c>
      <c r="H72" s="2070">
        <v>0</v>
      </c>
      <c r="I72" s="2070">
        <v>0</v>
      </c>
      <c r="J72" s="2070">
        <v>0</v>
      </c>
      <c r="K72" s="2070">
        <v>0</v>
      </c>
      <c r="L72" s="2070">
        <v>0</v>
      </c>
      <c r="M72" s="2070">
        <v>0</v>
      </c>
      <c r="N72" s="2070">
        <v>0</v>
      </c>
      <c r="O72" s="2070">
        <v>0</v>
      </c>
      <c r="P72" s="2070">
        <v>0</v>
      </c>
      <c r="Q72" s="2070">
        <v>0</v>
      </c>
      <c r="R72" s="2070">
        <v>0</v>
      </c>
      <c r="S72" s="2070">
        <v>0</v>
      </c>
      <c r="T72" s="2070">
        <v>0</v>
      </c>
      <c r="U72" s="2070">
        <v>0</v>
      </c>
      <c r="V72" s="2070">
        <v>0</v>
      </c>
      <c r="W72" s="2070">
        <v>0</v>
      </c>
      <c r="X72" s="2070">
        <v>0</v>
      </c>
    </row>
    <row r="73" spans="1:24" ht="11.25" customHeight="1">
      <c r="A73" s="2074" t="s">
        <v>5836</v>
      </c>
      <c r="B73" s="2069" t="s">
        <v>5837</v>
      </c>
      <c r="C73" s="2070">
        <v>0</v>
      </c>
      <c r="D73" s="2070">
        <v>0</v>
      </c>
      <c r="E73" s="2070">
        <v>0</v>
      </c>
      <c r="F73" s="2070">
        <v>0</v>
      </c>
      <c r="G73" s="2070">
        <v>0</v>
      </c>
      <c r="H73" s="2070">
        <v>0</v>
      </c>
      <c r="I73" s="2070">
        <v>0</v>
      </c>
      <c r="J73" s="2070">
        <v>0</v>
      </c>
      <c r="K73" s="2070">
        <v>0</v>
      </c>
      <c r="L73" s="2070">
        <v>0</v>
      </c>
      <c r="M73" s="2070">
        <v>0</v>
      </c>
      <c r="N73" s="2070">
        <v>0</v>
      </c>
      <c r="O73" s="2070">
        <v>0</v>
      </c>
      <c r="P73" s="2070">
        <v>0</v>
      </c>
      <c r="Q73" s="2070">
        <v>0</v>
      </c>
      <c r="R73" s="2070">
        <v>0</v>
      </c>
      <c r="S73" s="2070">
        <v>0</v>
      </c>
      <c r="T73" s="2070">
        <v>0</v>
      </c>
      <c r="U73" s="2070">
        <v>0</v>
      </c>
      <c r="V73" s="2070">
        <v>0</v>
      </c>
      <c r="W73" s="2070">
        <v>0</v>
      </c>
      <c r="X73" s="2070">
        <v>0</v>
      </c>
    </row>
    <row r="74" spans="1:24" ht="11.25" customHeight="1">
      <c r="A74" s="2071" t="s">
        <v>4616</v>
      </c>
      <c r="B74" s="2072" t="s">
        <v>5838</v>
      </c>
      <c r="C74" s="2073">
        <v>0</v>
      </c>
      <c r="D74" s="2073">
        <v>0</v>
      </c>
      <c r="E74" s="2073">
        <v>0</v>
      </c>
      <c r="F74" s="2073">
        <v>0</v>
      </c>
      <c r="G74" s="2073">
        <v>0</v>
      </c>
      <c r="H74" s="2073">
        <v>0</v>
      </c>
      <c r="I74" s="2073">
        <v>0</v>
      </c>
      <c r="J74" s="2073">
        <v>0</v>
      </c>
      <c r="K74" s="2073">
        <v>0</v>
      </c>
      <c r="L74" s="2073">
        <v>0</v>
      </c>
      <c r="M74" s="2073">
        <v>0</v>
      </c>
      <c r="N74" s="2073">
        <v>0</v>
      </c>
      <c r="O74" s="2073">
        <v>0</v>
      </c>
      <c r="P74" s="2073">
        <v>0</v>
      </c>
      <c r="Q74" s="2073">
        <v>0</v>
      </c>
      <c r="R74" s="2073">
        <v>0</v>
      </c>
      <c r="S74" s="2073">
        <v>0</v>
      </c>
      <c r="T74" s="2073">
        <v>0</v>
      </c>
      <c r="U74" s="2073">
        <v>0</v>
      </c>
      <c r="V74" s="2073">
        <v>0</v>
      </c>
      <c r="W74" s="2073">
        <v>0</v>
      </c>
      <c r="X74" s="2073">
        <v>0</v>
      </c>
    </row>
    <row r="75" spans="1:24" ht="11.25" customHeight="1">
      <c r="A75" s="2071" t="s">
        <v>4671</v>
      </c>
      <c r="B75" s="2072" t="s">
        <v>5839</v>
      </c>
      <c r="C75" s="2073">
        <v>0</v>
      </c>
      <c r="D75" s="2073">
        <v>0</v>
      </c>
      <c r="E75" s="2073">
        <v>0</v>
      </c>
      <c r="F75" s="2073">
        <v>0</v>
      </c>
      <c r="G75" s="2073">
        <v>0</v>
      </c>
      <c r="H75" s="2073">
        <v>0</v>
      </c>
      <c r="I75" s="2073">
        <v>0</v>
      </c>
      <c r="J75" s="2073">
        <v>0</v>
      </c>
      <c r="K75" s="2073">
        <v>0</v>
      </c>
      <c r="L75" s="2073">
        <v>0</v>
      </c>
      <c r="M75" s="2073">
        <v>0</v>
      </c>
      <c r="N75" s="2073">
        <v>0</v>
      </c>
      <c r="O75" s="2073">
        <v>0</v>
      </c>
      <c r="P75" s="2073">
        <v>0</v>
      </c>
      <c r="Q75" s="2073">
        <v>0</v>
      </c>
      <c r="R75" s="2073">
        <v>0</v>
      </c>
      <c r="S75" s="2073">
        <v>0</v>
      </c>
      <c r="T75" s="2073">
        <v>0</v>
      </c>
      <c r="U75" s="2073">
        <v>0</v>
      </c>
      <c r="V75" s="2073">
        <v>0</v>
      </c>
      <c r="W75" s="2073">
        <v>0</v>
      </c>
      <c r="X75" s="2073">
        <v>0</v>
      </c>
    </row>
    <row r="76" spans="1:24" ht="11.25" customHeight="1">
      <c r="A76" s="2075" t="s">
        <v>4282</v>
      </c>
      <c r="B76" s="2076" t="s">
        <v>5840</v>
      </c>
      <c r="C76" s="2077">
        <v>0</v>
      </c>
      <c r="D76" s="2077">
        <v>0</v>
      </c>
      <c r="E76" s="2077">
        <v>0</v>
      </c>
      <c r="F76" s="2077">
        <v>0</v>
      </c>
      <c r="G76" s="2077">
        <v>0</v>
      </c>
      <c r="H76" s="2077">
        <v>0</v>
      </c>
      <c r="I76" s="2077">
        <v>0</v>
      </c>
      <c r="J76" s="2077">
        <v>0</v>
      </c>
      <c r="K76" s="2077">
        <v>0</v>
      </c>
      <c r="L76" s="2077">
        <v>0</v>
      </c>
      <c r="M76" s="2077">
        <v>0</v>
      </c>
      <c r="N76" s="2077">
        <v>0</v>
      </c>
      <c r="O76" s="2077">
        <v>0</v>
      </c>
      <c r="P76" s="2077">
        <v>0</v>
      </c>
      <c r="Q76" s="2077">
        <v>0</v>
      </c>
      <c r="R76" s="2077">
        <v>0</v>
      </c>
      <c r="S76" s="2077">
        <v>0</v>
      </c>
      <c r="T76" s="2077">
        <v>0</v>
      </c>
      <c r="U76" s="2077">
        <v>0</v>
      </c>
      <c r="V76" s="2077">
        <v>0</v>
      </c>
      <c r="W76" s="2077">
        <v>0</v>
      </c>
      <c r="X76" s="2077">
        <v>0</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EA755-7101-4839-B2E5-822B7C84FE30}">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baseColWidth="10" defaultColWidth="9.1640625" defaultRowHeight="11.25" customHeight="1"/>
  <cols>
    <col min="1" max="1" width="40.6640625" style="2059" bestFit="1" customWidth="1"/>
    <col min="2" max="2" width="16.1640625" style="2059" bestFit="1" customWidth="1"/>
    <col min="3" max="24" width="9.6640625" style="2059" customWidth="1"/>
    <col min="25" max="16384" width="9.1640625" style="2059"/>
  </cols>
  <sheetData>
    <row r="1" spans="1:24" ht="11.25" customHeight="1">
      <c r="A1" s="2057" t="s">
        <v>5871</v>
      </c>
      <c r="B1" s="2057" t="s">
        <v>5872</v>
      </c>
      <c r="C1" s="2058">
        <v>2000</v>
      </c>
      <c r="D1" s="2058">
        <v>2001</v>
      </c>
      <c r="E1" s="2058">
        <v>2002</v>
      </c>
      <c r="F1" s="2058">
        <v>2003</v>
      </c>
      <c r="G1" s="2058">
        <v>2004</v>
      </c>
      <c r="H1" s="2058">
        <v>2005</v>
      </c>
      <c r="I1" s="2058">
        <v>2006</v>
      </c>
      <c r="J1" s="2058">
        <v>2007</v>
      </c>
      <c r="K1" s="2058">
        <v>2008</v>
      </c>
      <c r="L1" s="2058">
        <v>2009</v>
      </c>
      <c r="M1" s="2058">
        <v>2010</v>
      </c>
      <c r="N1" s="2058">
        <v>2011</v>
      </c>
      <c r="O1" s="2058">
        <v>2012</v>
      </c>
      <c r="P1" s="2058">
        <v>2013</v>
      </c>
      <c r="Q1" s="2058">
        <v>2014</v>
      </c>
      <c r="R1" s="2058">
        <v>2015</v>
      </c>
      <c r="S1" s="2058">
        <v>2016</v>
      </c>
      <c r="T1" s="2058">
        <v>2017</v>
      </c>
      <c r="U1" s="2058">
        <v>2018</v>
      </c>
      <c r="V1" s="2058">
        <v>2019</v>
      </c>
      <c r="W1" s="2058">
        <v>2020</v>
      </c>
      <c r="X1" s="2058">
        <v>2021</v>
      </c>
    </row>
    <row r="2" spans="1:24" ht="11.25" customHeight="1">
      <c r="A2" s="2060" t="s">
        <v>1265</v>
      </c>
      <c r="B2" s="2060" t="s">
        <v>5738</v>
      </c>
      <c r="C2" s="2061">
        <v>262163.17701604188</v>
      </c>
      <c r="D2" s="2061">
        <v>267033.88053653733</v>
      </c>
      <c r="E2" s="2061">
        <v>269861.29746678495</v>
      </c>
      <c r="F2" s="2061">
        <v>273578.68577536586</v>
      </c>
      <c r="G2" s="2061">
        <v>280423.64304689917</v>
      </c>
      <c r="H2" s="2061">
        <v>280830.16295003338</v>
      </c>
      <c r="I2" s="2061">
        <v>286479.83708217822</v>
      </c>
      <c r="J2" s="2061">
        <v>291190.78340135154</v>
      </c>
      <c r="K2" s="2061">
        <v>287207.40210084734</v>
      </c>
      <c r="L2" s="2061">
        <v>279992.6548012406</v>
      </c>
      <c r="M2" s="2061">
        <v>279371.33230105118</v>
      </c>
      <c r="N2" s="2061">
        <v>278253.32643023785</v>
      </c>
      <c r="O2" s="2061">
        <v>268517.79120853962</v>
      </c>
      <c r="P2" s="2061">
        <v>264813.50756618468</v>
      </c>
      <c r="Q2" s="2061">
        <v>268209.65335626574</v>
      </c>
      <c r="R2" s="2061">
        <v>271843.09371107194</v>
      </c>
      <c r="S2" s="2061">
        <v>278125.21269335685</v>
      </c>
      <c r="T2" s="2061">
        <v>283989.00729053427</v>
      </c>
      <c r="U2" s="2061">
        <v>285450.72905298066</v>
      </c>
      <c r="V2" s="2061">
        <v>288174.16275709966</v>
      </c>
      <c r="W2" s="2061">
        <v>251037.93508991378</v>
      </c>
      <c r="X2" s="2061">
        <v>271864.738069946</v>
      </c>
    </row>
    <row r="3" spans="1:24" ht="11.25" customHeight="1">
      <c r="A3" s="2062" t="s">
        <v>5739</v>
      </c>
      <c r="B3" s="2063" t="s">
        <v>5740</v>
      </c>
      <c r="C3" s="2064">
        <v>9.7640584694754953</v>
      </c>
      <c r="D3" s="2064">
        <v>31.593637145313842</v>
      </c>
      <c r="E3" s="2064">
        <v>29.307480653482369</v>
      </c>
      <c r="F3" s="2064">
        <v>5.3061908856405848</v>
      </c>
      <c r="G3" s="2064">
        <v>5.4327601031814261</v>
      </c>
      <c r="H3" s="2064">
        <v>5.4888220120378328</v>
      </c>
      <c r="I3" s="2064">
        <v>1.1159931212381771</v>
      </c>
      <c r="J3" s="2064">
        <v>0.99312123817712805</v>
      </c>
      <c r="K3" s="2064">
        <v>1.0212381771281169</v>
      </c>
      <c r="L3" s="2064">
        <v>0.48288907996560604</v>
      </c>
      <c r="M3" s="2064">
        <v>0.4760103181427342</v>
      </c>
      <c r="N3" s="2064">
        <v>0.46956147893379191</v>
      </c>
      <c r="O3" s="2064">
        <v>0.477042132416165</v>
      </c>
      <c r="P3" s="2064">
        <v>0.48787618228718815</v>
      </c>
      <c r="Q3" s="2064">
        <v>1.1544282029234734</v>
      </c>
      <c r="R3" s="2064">
        <v>1.1916595012897679</v>
      </c>
      <c r="S3" s="2064">
        <v>1.1585554600171968</v>
      </c>
      <c r="T3" s="2064">
        <v>1.3567497850386929</v>
      </c>
      <c r="U3" s="2064">
        <v>0.99939810834049858</v>
      </c>
      <c r="V3" s="2064">
        <v>0.58065348237317271</v>
      </c>
      <c r="W3" s="2064">
        <v>0.35098882201203779</v>
      </c>
      <c r="X3" s="2064">
        <v>0.41195184866723983</v>
      </c>
    </row>
    <row r="4" spans="1:24" ht="11.25" customHeight="1">
      <c r="A4" s="2065" t="s">
        <v>5741</v>
      </c>
      <c r="B4" s="2066" t="s">
        <v>5742</v>
      </c>
      <c r="C4" s="2067">
        <v>7.9341358555460015</v>
      </c>
      <c r="D4" s="2067">
        <v>25.405159071367152</v>
      </c>
      <c r="E4" s="2067">
        <v>22.750042992261388</v>
      </c>
      <c r="F4" s="2067">
        <v>0.65683576956147893</v>
      </c>
      <c r="G4" s="2067">
        <v>0.57257093723129826</v>
      </c>
      <c r="H4" s="2067">
        <v>0.23774720550300948</v>
      </c>
      <c r="I4" s="2067">
        <v>0.74582975064488388</v>
      </c>
      <c r="J4" s="2067">
        <v>0.68263112639724843</v>
      </c>
      <c r="K4" s="2067">
        <v>0.69871023215821149</v>
      </c>
      <c r="L4" s="2067">
        <v>0.15184866723989679</v>
      </c>
      <c r="M4" s="2067">
        <v>0.1068787618228719</v>
      </c>
      <c r="N4" s="2067">
        <v>0.1093723129836629</v>
      </c>
      <c r="O4" s="2067">
        <v>0.11453138435081679</v>
      </c>
      <c r="P4" s="2067">
        <v>0.11650902837489252</v>
      </c>
      <c r="Q4" s="2067">
        <v>0.79174548581255355</v>
      </c>
      <c r="R4" s="2067">
        <v>0.82089423903697334</v>
      </c>
      <c r="S4" s="2067">
        <v>0.77300085984522782</v>
      </c>
      <c r="T4" s="2067">
        <v>0.80730868443680137</v>
      </c>
      <c r="U4" s="2067">
        <v>0.82467755803955278</v>
      </c>
      <c r="V4" s="2067">
        <v>0.47979363714531376</v>
      </c>
      <c r="W4" s="2067">
        <v>0.35098882201203779</v>
      </c>
      <c r="X4" s="2067">
        <v>0.41195184866723983</v>
      </c>
    </row>
    <row r="5" spans="1:24" ht="11.25" customHeight="1">
      <c r="A5" s="2068" t="s">
        <v>4613</v>
      </c>
      <c r="B5" s="2069" t="s">
        <v>5743</v>
      </c>
      <c r="C5" s="2070">
        <v>0</v>
      </c>
      <c r="D5" s="2070">
        <v>0</v>
      </c>
      <c r="E5" s="2070">
        <v>0</v>
      </c>
      <c r="F5" s="2070">
        <v>0</v>
      </c>
      <c r="G5" s="2070">
        <v>0</v>
      </c>
      <c r="H5" s="2070">
        <v>0</v>
      </c>
      <c r="I5" s="2070">
        <v>0</v>
      </c>
      <c r="J5" s="2070">
        <v>0</v>
      </c>
      <c r="K5" s="2070">
        <v>0</v>
      </c>
      <c r="L5" s="2070">
        <v>0</v>
      </c>
      <c r="M5" s="2070">
        <v>0</v>
      </c>
      <c r="N5" s="2070">
        <v>0</v>
      </c>
      <c r="O5" s="2070">
        <v>0</v>
      </c>
      <c r="P5" s="2070">
        <v>0</v>
      </c>
      <c r="Q5" s="2070">
        <v>0</v>
      </c>
      <c r="R5" s="2070">
        <v>0</v>
      </c>
      <c r="S5" s="2070">
        <v>0</v>
      </c>
      <c r="T5" s="2070">
        <v>0</v>
      </c>
      <c r="U5" s="2070">
        <v>0</v>
      </c>
      <c r="V5" s="2070">
        <v>0</v>
      </c>
      <c r="W5" s="2070">
        <v>0</v>
      </c>
      <c r="X5" s="2070">
        <v>0</v>
      </c>
    </row>
    <row r="6" spans="1:24" ht="11.25" customHeight="1">
      <c r="A6" s="2068" t="s">
        <v>4647</v>
      </c>
      <c r="B6" s="2069" t="s">
        <v>5744</v>
      </c>
      <c r="C6" s="2070">
        <v>0</v>
      </c>
      <c r="D6" s="2070">
        <v>0</v>
      </c>
      <c r="E6" s="2070">
        <v>0</v>
      </c>
      <c r="F6" s="2070">
        <v>0</v>
      </c>
      <c r="G6" s="2070">
        <v>0</v>
      </c>
      <c r="H6" s="2070">
        <v>0</v>
      </c>
      <c r="I6" s="2070">
        <v>0</v>
      </c>
      <c r="J6" s="2070">
        <v>0</v>
      </c>
      <c r="K6" s="2070">
        <v>0</v>
      </c>
      <c r="L6" s="2070">
        <v>0</v>
      </c>
      <c r="M6" s="2070">
        <v>0</v>
      </c>
      <c r="N6" s="2070">
        <v>0</v>
      </c>
      <c r="O6" s="2070">
        <v>0</v>
      </c>
      <c r="P6" s="2070">
        <v>0</v>
      </c>
      <c r="Q6" s="2070">
        <v>0</v>
      </c>
      <c r="R6" s="2070">
        <v>0</v>
      </c>
      <c r="S6" s="2070">
        <v>0</v>
      </c>
      <c r="T6" s="2070">
        <v>0</v>
      </c>
      <c r="U6" s="2070">
        <v>0</v>
      </c>
      <c r="V6" s="2070">
        <v>0</v>
      </c>
      <c r="W6" s="2070">
        <v>0</v>
      </c>
      <c r="X6" s="2070">
        <v>0</v>
      </c>
    </row>
    <row r="7" spans="1:24" ht="11.25" customHeight="1">
      <c r="A7" s="2068" t="s">
        <v>4648</v>
      </c>
      <c r="B7" s="2069" t="s">
        <v>5745</v>
      </c>
      <c r="C7" s="2070">
        <v>7.9341358555460015</v>
      </c>
      <c r="D7" s="2070">
        <v>25.405159071367152</v>
      </c>
      <c r="E7" s="2070">
        <v>22.750042992261388</v>
      </c>
      <c r="F7" s="2070">
        <v>0.65683576956147893</v>
      </c>
      <c r="G7" s="2070">
        <v>0.57257093723129826</v>
      </c>
      <c r="H7" s="2070">
        <v>0.23774720550300948</v>
      </c>
      <c r="I7" s="2070">
        <v>0.74582975064488388</v>
      </c>
      <c r="J7" s="2070">
        <v>0.68263112639724843</v>
      </c>
      <c r="K7" s="2070">
        <v>0.69871023215821149</v>
      </c>
      <c r="L7" s="2070">
        <v>0.15184866723989679</v>
      </c>
      <c r="M7" s="2070">
        <v>0.1068787618228719</v>
      </c>
      <c r="N7" s="2070">
        <v>0.1093723129836629</v>
      </c>
      <c r="O7" s="2070">
        <v>0.11453138435081679</v>
      </c>
      <c r="P7" s="2070">
        <v>0.11650902837489252</v>
      </c>
      <c r="Q7" s="2070">
        <v>0.79174548581255355</v>
      </c>
      <c r="R7" s="2070">
        <v>0.82089423903697334</v>
      </c>
      <c r="S7" s="2070">
        <v>0.77300085984522782</v>
      </c>
      <c r="T7" s="2070">
        <v>0.80730868443680137</v>
      </c>
      <c r="U7" s="2070">
        <v>0.82467755803955278</v>
      </c>
      <c r="V7" s="2070">
        <v>0.47979363714531376</v>
      </c>
      <c r="W7" s="2070">
        <v>0.35098882201203779</v>
      </c>
      <c r="X7" s="2070">
        <v>0.41195184866723983</v>
      </c>
    </row>
    <row r="8" spans="1:24" ht="11.25" customHeight="1">
      <c r="A8" s="2065" t="s">
        <v>5746</v>
      </c>
      <c r="B8" s="2066" t="s">
        <v>5747</v>
      </c>
      <c r="C8" s="2067">
        <v>0.41556319862424762</v>
      </c>
      <c r="D8" s="2067">
        <v>2.8529664660361131</v>
      </c>
      <c r="E8" s="2067">
        <v>3.6913155631986241</v>
      </c>
      <c r="F8" s="2067">
        <v>1.7832330180567502</v>
      </c>
      <c r="G8" s="2067">
        <v>2.0901117798796216</v>
      </c>
      <c r="H8" s="2067">
        <v>2.8625967325881345</v>
      </c>
      <c r="I8" s="2067">
        <v>0.37016337059329318</v>
      </c>
      <c r="J8" s="2067">
        <v>0.31049011177987962</v>
      </c>
      <c r="K8" s="2067">
        <v>0.32252794496990533</v>
      </c>
      <c r="L8" s="2067">
        <v>0.33104041272570928</v>
      </c>
      <c r="M8" s="2067">
        <v>0.36913155631986233</v>
      </c>
      <c r="N8" s="2067">
        <v>0.36018916595012901</v>
      </c>
      <c r="O8" s="2067">
        <v>0.36251074806534822</v>
      </c>
      <c r="P8" s="2067">
        <v>0.37136715391229563</v>
      </c>
      <c r="Q8" s="2067">
        <v>0.36268271711091993</v>
      </c>
      <c r="R8" s="2067">
        <v>0.37076526225279449</v>
      </c>
      <c r="S8" s="2067">
        <v>0.38555460017196902</v>
      </c>
      <c r="T8" s="2067">
        <v>0.54944110060189155</v>
      </c>
      <c r="U8" s="2067">
        <v>0.17472055030094583</v>
      </c>
      <c r="V8" s="2067">
        <v>0.100859845227859</v>
      </c>
      <c r="W8" s="2067">
        <v>0</v>
      </c>
      <c r="X8" s="2067">
        <v>0</v>
      </c>
    </row>
    <row r="9" spans="1:24" ht="11.25" customHeight="1">
      <c r="A9" s="2068" t="s">
        <v>4649</v>
      </c>
      <c r="B9" s="2069" t="s">
        <v>5748</v>
      </c>
      <c r="C9" s="2070">
        <v>0</v>
      </c>
      <c r="D9" s="2070">
        <v>0</v>
      </c>
      <c r="E9" s="2070">
        <v>3.6913155631986241</v>
      </c>
      <c r="F9" s="2070">
        <v>0</v>
      </c>
      <c r="G9" s="2070">
        <v>2.0901117798796216</v>
      </c>
      <c r="H9" s="2070">
        <v>2.53585554600172</v>
      </c>
      <c r="I9" s="2070">
        <v>0</v>
      </c>
      <c r="J9" s="2070">
        <v>0</v>
      </c>
      <c r="K9" s="2070">
        <v>0</v>
      </c>
      <c r="L9" s="2070">
        <v>0</v>
      </c>
      <c r="M9" s="2070">
        <v>0</v>
      </c>
      <c r="N9" s="2070">
        <v>0</v>
      </c>
      <c r="O9" s="2070">
        <v>0</v>
      </c>
      <c r="P9" s="2070">
        <v>0</v>
      </c>
      <c r="Q9" s="2070">
        <v>0</v>
      </c>
      <c r="R9" s="2070">
        <v>0</v>
      </c>
      <c r="S9" s="2070">
        <v>0</v>
      </c>
      <c r="T9" s="2070">
        <v>0.20309544282029229</v>
      </c>
      <c r="U9" s="2070">
        <v>0.17472055030094583</v>
      </c>
      <c r="V9" s="2070">
        <v>0.100859845227859</v>
      </c>
      <c r="W9" s="2070">
        <v>0</v>
      </c>
      <c r="X9" s="2070">
        <v>0</v>
      </c>
    </row>
    <row r="10" spans="1:24" ht="11.25" customHeight="1">
      <c r="A10" s="2068" t="s">
        <v>4290</v>
      </c>
      <c r="B10" s="2069" t="s">
        <v>5749</v>
      </c>
      <c r="C10" s="2070">
        <v>0.41556319862424762</v>
      </c>
      <c r="D10" s="2070">
        <v>2.8529664660361131</v>
      </c>
      <c r="E10" s="2070">
        <v>0</v>
      </c>
      <c r="F10" s="2070">
        <v>1.7832330180567502</v>
      </c>
      <c r="G10" s="2070">
        <v>0</v>
      </c>
      <c r="H10" s="2070">
        <v>0.32674118658641438</v>
      </c>
      <c r="I10" s="2070">
        <v>0.37016337059329318</v>
      </c>
      <c r="J10" s="2070">
        <v>0.31049011177987962</v>
      </c>
      <c r="K10" s="2070">
        <v>0.32252794496990533</v>
      </c>
      <c r="L10" s="2070">
        <v>0.33104041272570928</v>
      </c>
      <c r="M10" s="2070">
        <v>0.36913155631986233</v>
      </c>
      <c r="N10" s="2070">
        <v>0.36018916595012901</v>
      </c>
      <c r="O10" s="2070">
        <v>0.36251074806534822</v>
      </c>
      <c r="P10" s="2070">
        <v>0.37136715391229563</v>
      </c>
      <c r="Q10" s="2070">
        <v>0.36268271711091993</v>
      </c>
      <c r="R10" s="2070">
        <v>0.37076526225279449</v>
      </c>
      <c r="S10" s="2070">
        <v>0.38555460017196902</v>
      </c>
      <c r="T10" s="2070">
        <v>0.34634565778159931</v>
      </c>
      <c r="U10" s="2070">
        <v>0</v>
      </c>
      <c r="V10" s="2070">
        <v>0</v>
      </c>
      <c r="W10" s="2070">
        <v>0</v>
      </c>
      <c r="X10" s="2070">
        <v>0</v>
      </c>
    </row>
    <row r="11" spans="1:24" ht="11.25" customHeight="1">
      <c r="A11" s="2065" t="s">
        <v>5750</v>
      </c>
      <c r="B11" s="2066" t="s">
        <v>5751</v>
      </c>
      <c r="C11" s="2067">
        <v>1.414359415305245</v>
      </c>
      <c r="D11" s="2067">
        <v>3.335511607910576</v>
      </c>
      <c r="E11" s="2067">
        <v>2.8661220980223558</v>
      </c>
      <c r="F11" s="2067">
        <v>2.8661220980223558</v>
      </c>
      <c r="G11" s="2067">
        <v>2.7700773860705068</v>
      </c>
      <c r="H11" s="2067">
        <v>2.3884780739466889</v>
      </c>
      <c r="I11" s="2067">
        <v>0</v>
      </c>
      <c r="J11" s="2067">
        <v>0</v>
      </c>
      <c r="K11" s="2067">
        <v>0</v>
      </c>
      <c r="L11" s="2067">
        <v>0</v>
      </c>
      <c r="M11" s="2067">
        <v>0</v>
      </c>
      <c r="N11" s="2067">
        <v>0</v>
      </c>
      <c r="O11" s="2067">
        <v>0</v>
      </c>
      <c r="P11" s="2067">
        <v>0</v>
      </c>
      <c r="Q11" s="2067">
        <v>0</v>
      </c>
      <c r="R11" s="2067">
        <v>0</v>
      </c>
      <c r="S11" s="2067">
        <v>0</v>
      </c>
      <c r="T11" s="2067">
        <v>0</v>
      </c>
      <c r="U11" s="2067">
        <v>0</v>
      </c>
      <c r="V11" s="2067">
        <v>0</v>
      </c>
      <c r="W11" s="2067">
        <v>0</v>
      </c>
      <c r="X11" s="2067">
        <v>0</v>
      </c>
    </row>
    <row r="12" spans="1:24" ht="11.25" customHeight="1">
      <c r="A12" s="2068" t="s">
        <v>4650</v>
      </c>
      <c r="B12" s="2069" t="s">
        <v>5752</v>
      </c>
      <c r="C12" s="2070">
        <v>0</v>
      </c>
      <c r="D12" s="2070">
        <v>0</v>
      </c>
      <c r="E12" s="2070">
        <v>0</v>
      </c>
      <c r="F12" s="2070">
        <v>0</v>
      </c>
      <c r="G12" s="2070">
        <v>0</v>
      </c>
      <c r="H12" s="2070">
        <v>0</v>
      </c>
      <c r="I12" s="2070">
        <v>0</v>
      </c>
      <c r="J12" s="2070">
        <v>0</v>
      </c>
      <c r="K12" s="2070">
        <v>0</v>
      </c>
      <c r="L12" s="2070">
        <v>0</v>
      </c>
      <c r="M12" s="2070">
        <v>0</v>
      </c>
      <c r="N12" s="2070">
        <v>0</v>
      </c>
      <c r="O12" s="2070">
        <v>0</v>
      </c>
      <c r="P12" s="2070">
        <v>0</v>
      </c>
      <c r="Q12" s="2070">
        <v>0</v>
      </c>
      <c r="R12" s="2070">
        <v>0</v>
      </c>
      <c r="S12" s="2070">
        <v>0</v>
      </c>
      <c r="T12" s="2070">
        <v>0</v>
      </c>
      <c r="U12" s="2070">
        <v>0</v>
      </c>
      <c r="V12" s="2070">
        <v>0</v>
      </c>
      <c r="W12" s="2070">
        <v>0</v>
      </c>
      <c r="X12" s="2070">
        <v>0</v>
      </c>
    </row>
    <row r="13" spans="1:24" ht="11.25" customHeight="1">
      <c r="A13" s="2068" t="s">
        <v>4651</v>
      </c>
      <c r="B13" s="2069" t="s">
        <v>5753</v>
      </c>
      <c r="C13" s="2070">
        <v>0</v>
      </c>
      <c r="D13" s="2070">
        <v>0</v>
      </c>
      <c r="E13" s="2070">
        <v>0</v>
      </c>
      <c r="F13" s="2070">
        <v>0</v>
      </c>
      <c r="G13" s="2070">
        <v>0</v>
      </c>
      <c r="H13" s="2070">
        <v>0</v>
      </c>
      <c r="I13" s="2070">
        <v>0</v>
      </c>
      <c r="J13" s="2070">
        <v>0</v>
      </c>
      <c r="K13" s="2070">
        <v>0</v>
      </c>
      <c r="L13" s="2070">
        <v>0</v>
      </c>
      <c r="M13" s="2070">
        <v>0</v>
      </c>
      <c r="N13" s="2070">
        <v>0</v>
      </c>
      <c r="O13" s="2070">
        <v>0</v>
      </c>
      <c r="P13" s="2070">
        <v>0</v>
      </c>
      <c r="Q13" s="2070">
        <v>0</v>
      </c>
      <c r="R13" s="2070">
        <v>0</v>
      </c>
      <c r="S13" s="2070">
        <v>0</v>
      </c>
      <c r="T13" s="2070">
        <v>0</v>
      </c>
      <c r="U13" s="2070">
        <v>0</v>
      </c>
      <c r="V13" s="2070">
        <v>0</v>
      </c>
      <c r="W13" s="2070">
        <v>0</v>
      </c>
      <c r="X13" s="2070">
        <v>0</v>
      </c>
    </row>
    <row r="14" spans="1:24" ht="11.25" customHeight="1">
      <c r="A14" s="2068" t="s">
        <v>4652</v>
      </c>
      <c r="B14" s="2069" t="s">
        <v>5754</v>
      </c>
      <c r="C14" s="2070">
        <v>0</v>
      </c>
      <c r="D14" s="2070">
        <v>0</v>
      </c>
      <c r="E14" s="2070">
        <v>0</v>
      </c>
      <c r="F14" s="2070">
        <v>0</v>
      </c>
      <c r="G14" s="2070">
        <v>0</v>
      </c>
      <c r="H14" s="2070">
        <v>0</v>
      </c>
      <c r="I14" s="2070">
        <v>0</v>
      </c>
      <c r="J14" s="2070">
        <v>0</v>
      </c>
      <c r="K14" s="2070">
        <v>0</v>
      </c>
      <c r="L14" s="2070">
        <v>0</v>
      </c>
      <c r="M14" s="2070">
        <v>0</v>
      </c>
      <c r="N14" s="2070">
        <v>0</v>
      </c>
      <c r="O14" s="2070">
        <v>0</v>
      </c>
      <c r="P14" s="2070">
        <v>0</v>
      </c>
      <c r="Q14" s="2070">
        <v>0</v>
      </c>
      <c r="R14" s="2070">
        <v>0</v>
      </c>
      <c r="S14" s="2070">
        <v>0</v>
      </c>
      <c r="T14" s="2070">
        <v>0</v>
      </c>
      <c r="U14" s="2070">
        <v>0</v>
      </c>
      <c r="V14" s="2070">
        <v>0</v>
      </c>
      <c r="W14" s="2070">
        <v>0</v>
      </c>
      <c r="X14" s="2070">
        <v>0</v>
      </c>
    </row>
    <row r="15" spans="1:24" ht="11.25" customHeight="1">
      <c r="A15" s="2068" t="s">
        <v>4653</v>
      </c>
      <c r="B15" s="2069" t="s">
        <v>5755</v>
      </c>
      <c r="C15" s="2070">
        <v>0</v>
      </c>
      <c r="D15" s="2070">
        <v>0</v>
      </c>
      <c r="E15" s="2070">
        <v>0</v>
      </c>
      <c r="F15" s="2070">
        <v>0</v>
      </c>
      <c r="G15" s="2070">
        <v>0</v>
      </c>
      <c r="H15" s="2070">
        <v>0</v>
      </c>
      <c r="I15" s="2070">
        <v>0</v>
      </c>
      <c r="J15" s="2070">
        <v>0</v>
      </c>
      <c r="K15" s="2070">
        <v>0</v>
      </c>
      <c r="L15" s="2070">
        <v>0</v>
      </c>
      <c r="M15" s="2070">
        <v>0</v>
      </c>
      <c r="N15" s="2070">
        <v>0</v>
      </c>
      <c r="O15" s="2070">
        <v>0</v>
      </c>
      <c r="P15" s="2070">
        <v>0</v>
      </c>
      <c r="Q15" s="2070">
        <v>0</v>
      </c>
      <c r="R15" s="2070">
        <v>0</v>
      </c>
      <c r="S15" s="2070">
        <v>0</v>
      </c>
      <c r="T15" s="2070">
        <v>0</v>
      </c>
      <c r="U15" s="2070">
        <v>0</v>
      </c>
      <c r="V15" s="2070">
        <v>0</v>
      </c>
      <c r="W15" s="2070">
        <v>0</v>
      </c>
      <c r="X15" s="2070">
        <v>0</v>
      </c>
    </row>
    <row r="16" spans="1:24" ht="11.25" customHeight="1">
      <c r="A16" s="2068" t="s">
        <v>5756</v>
      </c>
      <c r="B16" s="2069" t="s">
        <v>5757</v>
      </c>
      <c r="C16" s="2070">
        <v>1.414359415305245</v>
      </c>
      <c r="D16" s="2070">
        <v>3.335511607910576</v>
      </c>
      <c r="E16" s="2070">
        <v>2.8661220980223558</v>
      </c>
      <c r="F16" s="2070">
        <v>2.8661220980223558</v>
      </c>
      <c r="G16" s="2070">
        <v>2.7700773860705068</v>
      </c>
      <c r="H16" s="2070">
        <v>2.3884780739466889</v>
      </c>
      <c r="I16" s="2070">
        <v>0</v>
      </c>
      <c r="J16" s="2070">
        <v>0</v>
      </c>
      <c r="K16" s="2070">
        <v>0</v>
      </c>
      <c r="L16" s="2070">
        <v>0</v>
      </c>
      <c r="M16" s="2070">
        <v>0</v>
      </c>
      <c r="N16" s="2070">
        <v>0</v>
      </c>
      <c r="O16" s="2070">
        <v>0</v>
      </c>
      <c r="P16" s="2070">
        <v>0</v>
      </c>
      <c r="Q16" s="2070">
        <v>0</v>
      </c>
      <c r="R16" s="2070">
        <v>0</v>
      </c>
      <c r="S16" s="2070">
        <v>0</v>
      </c>
      <c r="T16" s="2070">
        <v>0</v>
      </c>
      <c r="U16" s="2070">
        <v>0</v>
      </c>
      <c r="V16" s="2070">
        <v>0</v>
      </c>
      <c r="W16" s="2070">
        <v>0</v>
      </c>
      <c r="X16" s="2070">
        <v>0</v>
      </c>
    </row>
    <row r="17" spans="1:24" ht="11.25" customHeight="1">
      <c r="A17" s="2071" t="s">
        <v>5758</v>
      </c>
      <c r="B17" s="2072" t="s">
        <v>5759</v>
      </c>
      <c r="C17" s="2073">
        <v>0</v>
      </c>
      <c r="D17" s="2073">
        <v>0</v>
      </c>
      <c r="E17" s="2073">
        <v>0</v>
      </c>
      <c r="F17" s="2073">
        <v>0</v>
      </c>
      <c r="G17" s="2073">
        <v>0</v>
      </c>
      <c r="H17" s="2073">
        <v>0</v>
      </c>
      <c r="I17" s="2073">
        <v>0</v>
      </c>
      <c r="J17" s="2073">
        <v>0</v>
      </c>
      <c r="K17" s="2073">
        <v>0</v>
      </c>
      <c r="L17" s="2073">
        <v>0</v>
      </c>
      <c r="M17" s="2073">
        <v>0</v>
      </c>
      <c r="N17" s="2073">
        <v>0</v>
      </c>
      <c r="O17" s="2073">
        <v>0</v>
      </c>
      <c r="P17" s="2073">
        <v>0</v>
      </c>
      <c r="Q17" s="2073">
        <v>0</v>
      </c>
      <c r="R17" s="2073">
        <v>0</v>
      </c>
      <c r="S17" s="2073">
        <v>0</v>
      </c>
      <c r="T17" s="2073">
        <v>0</v>
      </c>
      <c r="U17" s="2073">
        <v>0</v>
      </c>
      <c r="V17" s="2073">
        <v>0</v>
      </c>
      <c r="W17" s="2073">
        <v>0</v>
      </c>
      <c r="X17" s="2073">
        <v>0</v>
      </c>
    </row>
    <row r="18" spans="1:24" ht="11.25" customHeight="1">
      <c r="A18" s="2074" t="s">
        <v>4654</v>
      </c>
      <c r="B18" s="2069" t="s">
        <v>5760</v>
      </c>
      <c r="C18" s="2070">
        <v>0</v>
      </c>
      <c r="D18" s="2070">
        <v>0</v>
      </c>
      <c r="E18" s="2070">
        <v>0</v>
      </c>
      <c r="F18" s="2070">
        <v>0</v>
      </c>
      <c r="G18" s="2070">
        <v>0</v>
      </c>
      <c r="H18" s="2070">
        <v>0</v>
      </c>
      <c r="I18" s="2070">
        <v>0</v>
      </c>
      <c r="J18" s="2070">
        <v>0</v>
      </c>
      <c r="K18" s="2070">
        <v>0</v>
      </c>
      <c r="L18" s="2070">
        <v>0</v>
      </c>
      <c r="M18" s="2070">
        <v>0</v>
      </c>
      <c r="N18" s="2070">
        <v>0</v>
      </c>
      <c r="O18" s="2070">
        <v>0</v>
      </c>
      <c r="P18" s="2070">
        <v>0</v>
      </c>
      <c r="Q18" s="2070">
        <v>0</v>
      </c>
      <c r="R18" s="2070">
        <v>0</v>
      </c>
      <c r="S18" s="2070">
        <v>0</v>
      </c>
      <c r="T18" s="2070">
        <v>0</v>
      </c>
      <c r="U18" s="2070">
        <v>0</v>
      </c>
      <c r="V18" s="2070">
        <v>0</v>
      </c>
      <c r="W18" s="2070">
        <v>0</v>
      </c>
      <c r="X18" s="2070">
        <v>0</v>
      </c>
    </row>
    <row r="19" spans="1:24" ht="11.25" customHeight="1">
      <c r="A19" s="2074" t="s">
        <v>4655</v>
      </c>
      <c r="B19" s="2069" t="s">
        <v>5761</v>
      </c>
      <c r="C19" s="2070">
        <v>0</v>
      </c>
      <c r="D19" s="2070">
        <v>0</v>
      </c>
      <c r="E19" s="2070">
        <v>0</v>
      </c>
      <c r="F19" s="2070">
        <v>0</v>
      </c>
      <c r="G19" s="2070">
        <v>0</v>
      </c>
      <c r="H19" s="2070">
        <v>0</v>
      </c>
      <c r="I19" s="2070">
        <v>0</v>
      </c>
      <c r="J19" s="2070">
        <v>0</v>
      </c>
      <c r="K19" s="2070">
        <v>0</v>
      </c>
      <c r="L19" s="2070">
        <v>0</v>
      </c>
      <c r="M19" s="2070">
        <v>0</v>
      </c>
      <c r="N19" s="2070">
        <v>0</v>
      </c>
      <c r="O19" s="2070">
        <v>0</v>
      </c>
      <c r="P19" s="2070">
        <v>0</v>
      </c>
      <c r="Q19" s="2070">
        <v>0</v>
      </c>
      <c r="R19" s="2070">
        <v>0</v>
      </c>
      <c r="S19" s="2070">
        <v>0</v>
      </c>
      <c r="T19" s="2070">
        <v>0</v>
      </c>
      <c r="U19" s="2070">
        <v>0</v>
      </c>
      <c r="V19" s="2070">
        <v>0</v>
      </c>
      <c r="W19" s="2070">
        <v>0</v>
      </c>
      <c r="X19" s="2070">
        <v>0</v>
      </c>
    </row>
    <row r="20" spans="1:24" ht="11.25" customHeight="1">
      <c r="A20" s="2074" t="s">
        <v>4656</v>
      </c>
      <c r="B20" s="2069" t="s">
        <v>5762</v>
      </c>
      <c r="C20" s="2070">
        <v>0</v>
      </c>
      <c r="D20" s="2070">
        <v>0</v>
      </c>
      <c r="E20" s="2070">
        <v>0</v>
      </c>
      <c r="F20" s="2070">
        <v>0</v>
      </c>
      <c r="G20" s="2070">
        <v>0</v>
      </c>
      <c r="H20" s="2070">
        <v>0</v>
      </c>
      <c r="I20" s="2070">
        <v>0</v>
      </c>
      <c r="J20" s="2070">
        <v>0</v>
      </c>
      <c r="K20" s="2070">
        <v>0</v>
      </c>
      <c r="L20" s="2070">
        <v>0</v>
      </c>
      <c r="M20" s="2070">
        <v>0</v>
      </c>
      <c r="N20" s="2070">
        <v>0</v>
      </c>
      <c r="O20" s="2070">
        <v>0</v>
      </c>
      <c r="P20" s="2070">
        <v>0</v>
      </c>
      <c r="Q20" s="2070">
        <v>0</v>
      </c>
      <c r="R20" s="2070">
        <v>0</v>
      </c>
      <c r="S20" s="2070">
        <v>0</v>
      </c>
      <c r="T20" s="2070">
        <v>0</v>
      </c>
      <c r="U20" s="2070">
        <v>0</v>
      </c>
      <c r="V20" s="2070">
        <v>0</v>
      </c>
      <c r="W20" s="2070">
        <v>0</v>
      </c>
      <c r="X20" s="2070">
        <v>0</v>
      </c>
    </row>
    <row r="21" spans="1:24" ht="11.25" customHeight="1">
      <c r="A21" s="2074" t="s">
        <v>4615</v>
      </c>
      <c r="B21" s="2069" t="s">
        <v>5763</v>
      </c>
      <c r="C21" s="2070">
        <v>0</v>
      </c>
      <c r="D21" s="2070">
        <v>0</v>
      </c>
      <c r="E21" s="2070">
        <v>0</v>
      </c>
      <c r="F21" s="2070">
        <v>0</v>
      </c>
      <c r="G21" s="2070">
        <v>0</v>
      </c>
      <c r="H21" s="2070">
        <v>0</v>
      </c>
      <c r="I21" s="2070">
        <v>0</v>
      </c>
      <c r="J21" s="2070">
        <v>0</v>
      </c>
      <c r="K21" s="2070">
        <v>0</v>
      </c>
      <c r="L21" s="2070">
        <v>0</v>
      </c>
      <c r="M21" s="2070">
        <v>0</v>
      </c>
      <c r="N21" s="2070">
        <v>0</v>
      </c>
      <c r="O21" s="2070">
        <v>0</v>
      </c>
      <c r="P21" s="2070">
        <v>0</v>
      </c>
      <c r="Q21" s="2070">
        <v>0</v>
      </c>
      <c r="R21" s="2070">
        <v>0</v>
      </c>
      <c r="S21" s="2070">
        <v>0</v>
      </c>
      <c r="T21" s="2070">
        <v>0</v>
      </c>
      <c r="U21" s="2070">
        <v>0</v>
      </c>
      <c r="V21" s="2070">
        <v>0</v>
      </c>
      <c r="W21" s="2070">
        <v>0</v>
      </c>
      <c r="X21" s="2070">
        <v>0</v>
      </c>
    </row>
    <row r="22" spans="1:24" ht="11.25" customHeight="1">
      <c r="A22" s="2071" t="s">
        <v>4741</v>
      </c>
      <c r="B22" s="2072" t="s">
        <v>5764</v>
      </c>
      <c r="C22" s="2073">
        <v>0</v>
      </c>
      <c r="D22" s="2073">
        <v>0</v>
      </c>
      <c r="E22" s="2073">
        <v>0</v>
      </c>
      <c r="F22" s="2073">
        <v>0</v>
      </c>
      <c r="G22" s="2073">
        <v>0</v>
      </c>
      <c r="H22" s="2073">
        <v>0</v>
      </c>
      <c r="I22" s="2073">
        <v>0</v>
      </c>
      <c r="J22" s="2073">
        <v>0</v>
      </c>
      <c r="K22" s="2073">
        <v>0</v>
      </c>
      <c r="L22" s="2073">
        <v>0</v>
      </c>
      <c r="M22" s="2073">
        <v>0</v>
      </c>
      <c r="N22" s="2073">
        <v>0</v>
      </c>
      <c r="O22" s="2073">
        <v>0</v>
      </c>
      <c r="P22" s="2073">
        <v>0</v>
      </c>
      <c r="Q22" s="2073">
        <v>0</v>
      </c>
      <c r="R22" s="2073">
        <v>0</v>
      </c>
      <c r="S22" s="2073">
        <v>0</v>
      </c>
      <c r="T22" s="2073">
        <v>0</v>
      </c>
      <c r="U22" s="2073">
        <v>0</v>
      </c>
      <c r="V22" s="2073">
        <v>0</v>
      </c>
      <c r="W22" s="2073">
        <v>0</v>
      </c>
      <c r="X22" s="2073">
        <v>0</v>
      </c>
    </row>
    <row r="23" spans="1:24" ht="11.25" customHeight="1">
      <c r="A23" s="2074" t="s">
        <v>559</v>
      </c>
      <c r="B23" s="2069" t="s">
        <v>5765</v>
      </c>
      <c r="C23" s="2070">
        <v>0</v>
      </c>
      <c r="D23" s="2070">
        <v>0</v>
      </c>
      <c r="E23" s="2070">
        <v>0</v>
      </c>
      <c r="F23" s="2070">
        <v>0</v>
      </c>
      <c r="G23" s="2070">
        <v>0</v>
      </c>
      <c r="H23" s="2070">
        <v>0</v>
      </c>
      <c r="I23" s="2070">
        <v>0</v>
      </c>
      <c r="J23" s="2070">
        <v>0</v>
      </c>
      <c r="K23" s="2070">
        <v>0</v>
      </c>
      <c r="L23" s="2070">
        <v>0</v>
      </c>
      <c r="M23" s="2070">
        <v>0</v>
      </c>
      <c r="N23" s="2070">
        <v>0</v>
      </c>
      <c r="O23" s="2070">
        <v>0</v>
      </c>
      <c r="P23" s="2070">
        <v>0</v>
      </c>
      <c r="Q23" s="2070">
        <v>0</v>
      </c>
      <c r="R23" s="2070">
        <v>0</v>
      </c>
      <c r="S23" s="2070">
        <v>0</v>
      </c>
      <c r="T23" s="2070">
        <v>0</v>
      </c>
      <c r="U23" s="2070">
        <v>0</v>
      </c>
      <c r="V23" s="2070">
        <v>0</v>
      </c>
      <c r="W23" s="2070">
        <v>0</v>
      </c>
      <c r="X23" s="2070">
        <v>0</v>
      </c>
    </row>
    <row r="24" spans="1:24" ht="11.25" customHeight="1">
      <c r="A24" s="2074" t="s">
        <v>4657</v>
      </c>
      <c r="B24" s="2069" t="s">
        <v>5766</v>
      </c>
      <c r="C24" s="2070">
        <v>0</v>
      </c>
      <c r="D24" s="2070">
        <v>0</v>
      </c>
      <c r="E24" s="2070">
        <v>0</v>
      </c>
      <c r="F24" s="2070">
        <v>0</v>
      </c>
      <c r="G24" s="2070">
        <v>0</v>
      </c>
      <c r="H24" s="2070">
        <v>0</v>
      </c>
      <c r="I24" s="2070">
        <v>0</v>
      </c>
      <c r="J24" s="2070">
        <v>0</v>
      </c>
      <c r="K24" s="2070">
        <v>0</v>
      </c>
      <c r="L24" s="2070">
        <v>0</v>
      </c>
      <c r="M24" s="2070">
        <v>0</v>
      </c>
      <c r="N24" s="2070">
        <v>0</v>
      </c>
      <c r="O24" s="2070">
        <v>0</v>
      </c>
      <c r="P24" s="2070">
        <v>0</v>
      </c>
      <c r="Q24" s="2070">
        <v>0</v>
      </c>
      <c r="R24" s="2070">
        <v>0</v>
      </c>
      <c r="S24" s="2070">
        <v>0</v>
      </c>
      <c r="T24" s="2070">
        <v>0</v>
      </c>
      <c r="U24" s="2070">
        <v>0</v>
      </c>
      <c r="V24" s="2070">
        <v>0</v>
      </c>
      <c r="W24" s="2070">
        <v>0</v>
      </c>
      <c r="X24" s="2070">
        <v>0</v>
      </c>
    </row>
    <row r="25" spans="1:24" ht="11.25" customHeight="1">
      <c r="A25" s="2071" t="s">
        <v>4658</v>
      </c>
      <c r="B25" s="2072" t="s">
        <v>5767</v>
      </c>
      <c r="C25" s="2073">
        <v>0</v>
      </c>
      <c r="D25" s="2073">
        <v>0</v>
      </c>
      <c r="E25" s="2073">
        <v>0</v>
      </c>
      <c r="F25" s="2073">
        <v>0</v>
      </c>
      <c r="G25" s="2073">
        <v>0</v>
      </c>
      <c r="H25" s="2073">
        <v>0</v>
      </c>
      <c r="I25" s="2073">
        <v>0</v>
      </c>
      <c r="J25" s="2073">
        <v>0</v>
      </c>
      <c r="K25" s="2073">
        <v>0</v>
      </c>
      <c r="L25" s="2073">
        <v>0</v>
      </c>
      <c r="M25" s="2073">
        <v>0</v>
      </c>
      <c r="N25" s="2073">
        <v>0</v>
      </c>
      <c r="O25" s="2073">
        <v>0</v>
      </c>
      <c r="P25" s="2073">
        <v>0</v>
      </c>
      <c r="Q25" s="2073">
        <v>0</v>
      </c>
      <c r="R25" s="2073">
        <v>0</v>
      </c>
      <c r="S25" s="2073">
        <v>0</v>
      </c>
      <c r="T25" s="2073">
        <v>0</v>
      </c>
      <c r="U25" s="2073">
        <v>0</v>
      </c>
      <c r="V25" s="2073">
        <v>0</v>
      </c>
      <c r="W25" s="2073">
        <v>0</v>
      </c>
      <c r="X25" s="2073">
        <v>0</v>
      </c>
    </row>
    <row r="26" spans="1:24" ht="11.25" customHeight="1">
      <c r="A26" s="2071" t="s">
        <v>3872</v>
      </c>
      <c r="B26" s="2072" t="s">
        <v>5768</v>
      </c>
      <c r="C26" s="2073">
        <v>256020.3097162511</v>
      </c>
      <c r="D26" s="2073">
        <v>259915.87059329319</v>
      </c>
      <c r="E26" s="2073">
        <v>262601.0038693035</v>
      </c>
      <c r="F26" s="2073">
        <v>265363.4059329321</v>
      </c>
      <c r="G26" s="2073">
        <v>271356.07239896816</v>
      </c>
      <c r="H26" s="2073">
        <v>270467.83869303524</v>
      </c>
      <c r="I26" s="2073">
        <v>274342.91246775573</v>
      </c>
      <c r="J26" s="2073">
        <v>276890.00464316423</v>
      </c>
      <c r="K26" s="2073">
        <v>271176.60653482372</v>
      </c>
      <c r="L26" s="2073">
        <v>262749.63095442817</v>
      </c>
      <c r="M26" s="2073">
        <v>260490.35141874463</v>
      </c>
      <c r="N26" s="2073">
        <v>258190.36491831474</v>
      </c>
      <c r="O26" s="2073">
        <v>247818.17523645738</v>
      </c>
      <c r="P26" s="2073">
        <v>245282.28263112641</v>
      </c>
      <c r="Q26" s="2073">
        <v>247937.79088564054</v>
      </c>
      <c r="R26" s="2073">
        <v>251524.45150472914</v>
      </c>
      <c r="S26" s="2073">
        <v>257843.68503869302</v>
      </c>
      <c r="T26" s="2073">
        <v>262370.747549441</v>
      </c>
      <c r="U26" s="2073">
        <v>262119.2905417025</v>
      </c>
      <c r="V26" s="2073">
        <v>264103.13903697336</v>
      </c>
      <c r="W26" s="2073">
        <v>227686.60017196904</v>
      </c>
      <c r="X26" s="2073">
        <v>246752.73336199482</v>
      </c>
    </row>
    <row r="27" spans="1:24" ht="11.25" customHeight="1">
      <c r="A27" s="2065" t="s">
        <v>5769</v>
      </c>
      <c r="B27" s="2066" t="s">
        <v>5770</v>
      </c>
      <c r="C27" s="2067">
        <v>0</v>
      </c>
      <c r="D27" s="2067">
        <v>0</v>
      </c>
      <c r="E27" s="2067">
        <v>0</v>
      </c>
      <c r="F27" s="2067">
        <v>0</v>
      </c>
      <c r="G27" s="2067">
        <v>0</v>
      </c>
      <c r="H27" s="2067">
        <v>0</v>
      </c>
      <c r="I27" s="2067">
        <v>0</v>
      </c>
      <c r="J27" s="2067">
        <v>0</v>
      </c>
      <c r="K27" s="2067">
        <v>0</v>
      </c>
      <c r="L27" s="2067">
        <v>0</v>
      </c>
      <c r="M27" s="2067">
        <v>0</v>
      </c>
      <c r="N27" s="2067">
        <v>0</v>
      </c>
      <c r="O27" s="2067">
        <v>0</v>
      </c>
      <c r="P27" s="2067">
        <v>0</v>
      </c>
      <c r="Q27" s="2067">
        <v>0</v>
      </c>
      <c r="R27" s="2067">
        <v>0</v>
      </c>
      <c r="S27" s="2067">
        <v>0</v>
      </c>
      <c r="T27" s="2067">
        <v>0</v>
      </c>
      <c r="U27" s="2067">
        <v>0</v>
      </c>
      <c r="V27" s="2067">
        <v>0</v>
      </c>
      <c r="W27" s="2067">
        <v>0</v>
      </c>
      <c r="X27" s="2067">
        <v>0</v>
      </c>
    </row>
    <row r="28" spans="1:24" ht="11.25" customHeight="1">
      <c r="A28" s="2068" t="s">
        <v>4659</v>
      </c>
      <c r="B28" s="2069" t="s">
        <v>5771</v>
      </c>
      <c r="C28" s="2070">
        <v>0</v>
      </c>
      <c r="D28" s="2070">
        <v>0</v>
      </c>
      <c r="E28" s="2070">
        <v>0</v>
      </c>
      <c r="F28" s="2070">
        <v>0</v>
      </c>
      <c r="G28" s="2070">
        <v>0</v>
      </c>
      <c r="H28" s="2070">
        <v>0</v>
      </c>
      <c r="I28" s="2070">
        <v>0</v>
      </c>
      <c r="J28" s="2070">
        <v>0</v>
      </c>
      <c r="K28" s="2070">
        <v>0</v>
      </c>
      <c r="L28" s="2070">
        <v>0</v>
      </c>
      <c r="M28" s="2070">
        <v>0</v>
      </c>
      <c r="N28" s="2070">
        <v>0</v>
      </c>
      <c r="O28" s="2070">
        <v>0</v>
      </c>
      <c r="P28" s="2070">
        <v>0</v>
      </c>
      <c r="Q28" s="2070">
        <v>0</v>
      </c>
      <c r="R28" s="2070">
        <v>0</v>
      </c>
      <c r="S28" s="2070">
        <v>0</v>
      </c>
      <c r="T28" s="2070">
        <v>0</v>
      </c>
      <c r="U28" s="2070">
        <v>0</v>
      </c>
      <c r="V28" s="2070">
        <v>0</v>
      </c>
      <c r="W28" s="2070">
        <v>0</v>
      </c>
      <c r="X28" s="2070">
        <v>0</v>
      </c>
    </row>
    <row r="29" spans="1:24" ht="11.25" customHeight="1">
      <c r="A29" s="2068" t="s">
        <v>4660</v>
      </c>
      <c r="B29" s="2069" t="s">
        <v>5772</v>
      </c>
      <c r="C29" s="2070">
        <v>0</v>
      </c>
      <c r="D29" s="2070">
        <v>0</v>
      </c>
      <c r="E29" s="2070">
        <v>0</v>
      </c>
      <c r="F29" s="2070">
        <v>0</v>
      </c>
      <c r="G29" s="2070">
        <v>0</v>
      </c>
      <c r="H29" s="2070">
        <v>0</v>
      </c>
      <c r="I29" s="2070">
        <v>0</v>
      </c>
      <c r="J29" s="2070">
        <v>0</v>
      </c>
      <c r="K29" s="2070">
        <v>0</v>
      </c>
      <c r="L29" s="2070">
        <v>0</v>
      </c>
      <c r="M29" s="2070">
        <v>0</v>
      </c>
      <c r="N29" s="2070">
        <v>0</v>
      </c>
      <c r="O29" s="2070">
        <v>0</v>
      </c>
      <c r="P29" s="2070">
        <v>0</v>
      </c>
      <c r="Q29" s="2070">
        <v>0</v>
      </c>
      <c r="R29" s="2070">
        <v>0</v>
      </c>
      <c r="S29" s="2070">
        <v>0</v>
      </c>
      <c r="T29" s="2070">
        <v>0</v>
      </c>
      <c r="U29" s="2070">
        <v>0</v>
      </c>
      <c r="V29" s="2070">
        <v>0</v>
      </c>
      <c r="W29" s="2070">
        <v>0</v>
      </c>
      <c r="X29" s="2070">
        <v>0</v>
      </c>
    </row>
    <row r="30" spans="1:24" ht="11.25" customHeight="1">
      <c r="A30" s="2068" t="s">
        <v>4661</v>
      </c>
      <c r="B30" s="2069" t="s">
        <v>5773</v>
      </c>
      <c r="C30" s="2070">
        <v>0</v>
      </c>
      <c r="D30" s="2070">
        <v>0</v>
      </c>
      <c r="E30" s="2070">
        <v>0</v>
      </c>
      <c r="F30" s="2070">
        <v>0</v>
      </c>
      <c r="G30" s="2070">
        <v>0</v>
      </c>
      <c r="H30" s="2070">
        <v>0</v>
      </c>
      <c r="I30" s="2070">
        <v>0</v>
      </c>
      <c r="J30" s="2070">
        <v>0</v>
      </c>
      <c r="K30" s="2070">
        <v>0</v>
      </c>
      <c r="L30" s="2070">
        <v>0</v>
      </c>
      <c r="M30" s="2070">
        <v>0</v>
      </c>
      <c r="N30" s="2070">
        <v>0</v>
      </c>
      <c r="O30" s="2070">
        <v>0</v>
      </c>
      <c r="P30" s="2070">
        <v>0</v>
      </c>
      <c r="Q30" s="2070">
        <v>0</v>
      </c>
      <c r="R30" s="2070">
        <v>0</v>
      </c>
      <c r="S30" s="2070">
        <v>0</v>
      </c>
      <c r="T30" s="2070">
        <v>0</v>
      </c>
      <c r="U30" s="2070">
        <v>0</v>
      </c>
      <c r="V30" s="2070">
        <v>0</v>
      </c>
      <c r="W30" s="2070">
        <v>0</v>
      </c>
      <c r="X30" s="2070">
        <v>0</v>
      </c>
    </row>
    <row r="31" spans="1:24" ht="11.25" customHeight="1">
      <c r="A31" s="2068" t="s">
        <v>5774</v>
      </c>
      <c r="B31" s="2069" t="s">
        <v>5775</v>
      </c>
      <c r="C31" s="2070">
        <v>0</v>
      </c>
      <c r="D31" s="2070">
        <v>0</v>
      </c>
      <c r="E31" s="2070">
        <v>0</v>
      </c>
      <c r="F31" s="2070">
        <v>0</v>
      </c>
      <c r="G31" s="2070">
        <v>0</v>
      </c>
      <c r="H31" s="2070">
        <v>0</v>
      </c>
      <c r="I31" s="2070">
        <v>0</v>
      </c>
      <c r="J31" s="2070">
        <v>0</v>
      </c>
      <c r="K31" s="2070">
        <v>0</v>
      </c>
      <c r="L31" s="2070">
        <v>0</v>
      </c>
      <c r="M31" s="2070">
        <v>0</v>
      </c>
      <c r="N31" s="2070">
        <v>0</v>
      </c>
      <c r="O31" s="2070">
        <v>0</v>
      </c>
      <c r="P31" s="2070">
        <v>0</v>
      </c>
      <c r="Q31" s="2070">
        <v>0</v>
      </c>
      <c r="R31" s="2070">
        <v>0</v>
      </c>
      <c r="S31" s="2070">
        <v>0</v>
      </c>
      <c r="T31" s="2070">
        <v>0</v>
      </c>
      <c r="U31" s="2070">
        <v>0</v>
      </c>
      <c r="V31" s="2070">
        <v>0</v>
      </c>
      <c r="W31" s="2070">
        <v>0</v>
      </c>
      <c r="X31" s="2070">
        <v>0</v>
      </c>
    </row>
    <row r="32" spans="1:24" ht="11.25" customHeight="1">
      <c r="A32" s="2068" t="s">
        <v>4662</v>
      </c>
      <c r="B32" s="2069" t="s">
        <v>5776</v>
      </c>
      <c r="C32" s="2070">
        <v>0</v>
      </c>
      <c r="D32" s="2070">
        <v>0</v>
      </c>
      <c r="E32" s="2070">
        <v>0</v>
      </c>
      <c r="F32" s="2070">
        <v>0</v>
      </c>
      <c r="G32" s="2070">
        <v>0</v>
      </c>
      <c r="H32" s="2070">
        <v>0</v>
      </c>
      <c r="I32" s="2070">
        <v>0</v>
      </c>
      <c r="J32" s="2070">
        <v>0</v>
      </c>
      <c r="K32" s="2070">
        <v>0</v>
      </c>
      <c r="L32" s="2070">
        <v>0</v>
      </c>
      <c r="M32" s="2070">
        <v>0</v>
      </c>
      <c r="N32" s="2070">
        <v>0</v>
      </c>
      <c r="O32" s="2070">
        <v>0</v>
      </c>
      <c r="P32" s="2070">
        <v>0</v>
      </c>
      <c r="Q32" s="2070">
        <v>0</v>
      </c>
      <c r="R32" s="2070">
        <v>0</v>
      </c>
      <c r="S32" s="2070">
        <v>0</v>
      </c>
      <c r="T32" s="2070">
        <v>0</v>
      </c>
      <c r="U32" s="2070">
        <v>0</v>
      </c>
      <c r="V32" s="2070">
        <v>0</v>
      </c>
      <c r="W32" s="2070">
        <v>0</v>
      </c>
      <c r="X32" s="2070">
        <v>0</v>
      </c>
    </row>
    <row r="33" spans="1:24" ht="11.25" customHeight="1">
      <c r="A33" s="2065" t="s">
        <v>5777</v>
      </c>
      <c r="B33" s="2066" t="s">
        <v>5778</v>
      </c>
      <c r="C33" s="2067">
        <v>256020.3097162511</v>
      </c>
      <c r="D33" s="2067">
        <v>259915.87059329319</v>
      </c>
      <c r="E33" s="2067">
        <v>262601.0038693035</v>
      </c>
      <c r="F33" s="2067">
        <v>265363.4059329321</v>
      </c>
      <c r="G33" s="2067">
        <v>271356.07239896816</v>
      </c>
      <c r="H33" s="2067">
        <v>270467.83869303524</v>
      </c>
      <c r="I33" s="2067">
        <v>274342.91246775573</v>
      </c>
      <c r="J33" s="2067">
        <v>276890.00464316423</v>
      </c>
      <c r="K33" s="2067">
        <v>271176.60653482372</v>
      </c>
      <c r="L33" s="2067">
        <v>262749.63095442817</v>
      </c>
      <c r="M33" s="2067">
        <v>260490.35141874463</v>
      </c>
      <c r="N33" s="2067">
        <v>258190.36491831474</v>
      </c>
      <c r="O33" s="2067">
        <v>247818.17523645738</v>
      </c>
      <c r="P33" s="2067">
        <v>245282.28263112641</v>
      </c>
      <c r="Q33" s="2067">
        <v>247937.79088564054</v>
      </c>
      <c r="R33" s="2067">
        <v>251524.45150472914</v>
      </c>
      <c r="S33" s="2067">
        <v>257843.68503869302</v>
      </c>
      <c r="T33" s="2067">
        <v>262370.747549441</v>
      </c>
      <c r="U33" s="2067">
        <v>262119.2905417025</v>
      </c>
      <c r="V33" s="2067">
        <v>264103.13903697336</v>
      </c>
      <c r="W33" s="2067">
        <v>227686.60017196904</v>
      </c>
      <c r="X33" s="2067">
        <v>246752.73336199482</v>
      </c>
    </row>
    <row r="34" spans="1:24" ht="11.25" customHeight="1">
      <c r="A34" s="2068" t="s">
        <v>4607</v>
      </c>
      <c r="B34" s="2069" t="s">
        <v>5779</v>
      </c>
      <c r="C34" s="2070">
        <v>0</v>
      </c>
      <c r="D34" s="2070">
        <v>0</v>
      </c>
      <c r="E34" s="2070">
        <v>0</v>
      </c>
      <c r="F34" s="2070">
        <v>0</v>
      </c>
      <c r="G34" s="2070">
        <v>0</v>
      </c>
      <c r="H34" s="2070">
        <v>0</v>
      </c>
      <c r="I34" s="2070">
        <v>0</v>
      </c>
      <c r="J34" s="2070">
        <v>0</v>
      </c>
      <c r="K34" s="2070">
        <v>0</v>
      </c>
      <c r="L34" s="2070">
        <v>0</v>
      </c>
      <c r="M34" s="2070">
        <v>0</v>
      </c>
      <c r="N34" s="2070">
        <v>0</v>
      </c>
      <c r="O34" s="2070">
        <v>0</v>
      </c>
      <c r="P34" s="2070">
        <v>0</v>
      </c>
      <c r="Q34" s="2070">
        <v>0</v>
      </c>
      <c r="R34" s="2070">
        <v>0</v>
      </c>
      <c r="S34" s="2070">
        <v>0</v>
      </c>
      <c r="T34" s="2070">
        <v>0</v>
      </c>
      <c r="U34" s="2070">
        <v>0</v>
      </c>
      <c r="V34" s="2070">
        <v>0</v>
      </c>
      <c r="W34" s="2070">
        <v>0</v>
      </c>
      <c r="X34" s="2070">
        <v>0</v>
      </c>
    </row>
    <row r="35" spans="1:24" ht="11.25" customHeight="1">
      <c r="A35" s="2068" t="s">
        <v>587</v>
      </c>
      <c r="B35" s="2069" t="s">
        <v>5780</v>
      </c>
      <c r="C35" s="2070">
        <v>0</v>
      </c>
      <c r="D35" s="2070">
        <v>0</v>
      </c>
      <c r="E35" s="2070">
        <v>0</v>
      </c>
      <c r="F35" s="2070">
        <v>0</v>
      </c>
      <c r="G35" s="2070">
        <v>0</v>
      </c>
      <c r="H35" s="2070">
        <v>0</v>
      </c>
      <c r="I35" s="2070">
        <v>0</v>
      </c>
      <c r="J35" s="2070">
        <v>0</v>
      </c>
      <c r="K35" s="2070">
        <v>0</v>
      </c>
      <c r="L35" s="2070">
        <v>0</v>
      </c>
      <c r="M35" s="2070">
        <v>0</v>
      </c>
      <c r="N35" s="2070">
        <v>0</v>
      </c>
      <c r="O35" s="2070">
        <v>0</v>
      </c>
      <c r="P35" s="2070">
        <v>0</v>
      </c>
      <c r="Q35" s="2070">
        <v>0</v>
      </c>
      <c r="R35" s="2070">
        <v>0</v>
      </c>
      <c r="S35" s="2070">
        <v>0</v>
      </c>
      <c r="T35" s="2070">
        <v>0</v>
      </c>
      <c r="U35" s="2070">
        <v>0</v>
      </c>
      <c r="V35" s="2070">
        <v>0</v>
      </c>
      <c r="W35" s="2070">
        <v>0</v>
      </c>
      <c r="X35" s="2070">
        <v>0</v>
      </c>
    </row>
    <row r="36" spans="1:24" ht="11.25" customHeight="1">
      <c r="A36" s="2068" t="s">
        <v>5781</v>
      </c>
      <c r="B36" s="2069" t="s">
        <v>5782</v>
      </c>
      <c r="C36" s="2070">
        <v>3657.1116938950986</v>
      </c>
      <c r="D36" s="2070">
        <v>3848.4730868443676</v>
      </c>
      <c r="E36" s="2070">
        <v>4080.7446259673252</v>
      </c>
      <c r="F36" s="2070">
        <v>4223.0121238177126</v>
      </c>
      <c r="G36" s="2070">
        <v>4550.9928632846086</v>
      </c>
      <c r="H36" s="2070">
        <v>4686.8214961306967</v>
      </c>
      <c r="I36" s="2070">
        <v>4841.7960447119513</v>
      </c>
      <c r="J36" s="2070">
        <v>4822.7722269991391</v>
      </c>
      <c r="K36" s="2070">
        <v>4969.551332760102</v>
      </c>
      <c r="L36" s="2070">
        <v>5152.769217540842</v>
      </c>
      <c r="M36" s="2070">
        <v>5199.6279449699059</v>
      </c>
      <c r="N36" s="2070">
        <v>5404.6846947549448</v>
      </c>
      <c r="O36" s="2070">
        <v>5379.718916595014</v>
      </c>
      <c r="P36" s="2070">
        <v>5688.2838349097165</v>
      </c>
      <c r="Q36" s="2070">
        <v>5767.1035253654336</v>
      </c>
      <c r="R36" s="2070">
        <v>5899.8538263112623</v>
      </c>
      <c r="S36" s="2070">
        <v>5912.2981943250225</v>
      </c>
      <c r="T36" s="2070">
        <v>5998.5307824591573</v>
      </c>
      <c r="U36" s="2070">
        <v>5960.1446259673248</v>
      </c>
      <c r="V36" s="2070">
        <v>5993.767755803955</v>
      </c>
      <c r="W36" s="2070">
        <v>5060.673860705072</v>
      </c>
      <c r="X36" s="2070">
        <v>5262.4261392949256</v>
      </c>
    </row>
    <row r="37" spans="1:24" ht="11.25" customHeight="1">
      <c r="A37" s="2068" t="s">
        <v>5783</v>
      </c>
      <c r="B37" s="2069" t="s">
        <v>5784</v>
      </c>
      <c r="C37" s="2070">
        <v>109602.79200343939</v>
      </c>
      <c r="D37" s="2070">
        <v>107991.20584694752</v>
      </c>
      <c r="E37" s="2070">
        <v>106121.86182287186</v>
      </c>
      <c r="F37" s="2070">
        <v>102382.1566638005</v>
      </c>
      <c r="G37" s="2070">
        <v>99144.731212381739</v>
      </c>
      <c r="H37" s="2070">
        <v>94407.241702493542</v>
      </c>
      <c r="I37" s="2070">
        <v>91139.489165950115</v>
      </c>
      <c r="J37" s="2070">
        <v>87988.96208082544</v>
      </c>
      <c r="K37" s="2070">
        <v>83541.498280309534</v>
      </c>
      <c r="L37" s="2070">
        <v>80377.990627687017</v>
      </c>
      <c r="M37" s="2070">
        <v>75798.54092863285</v>
      </c>
      <c r="N37" s="2070">
        <v>72990.860877042112</v>
      </c>
      <c r="O37" s="2070">
        <v>67780.002751504711</v>
      </c>
      <c r="P37" s="2070">
        <v>65687.461134995712</v>
      </c>
      <c r="Q37" s="2070">
        <v>65428.793809114359</v>
      </c>
      <c r="R37" s="2070">
        <v>64473.069561478944</v>
      </c>
      <c r="S37" s="2070">
        <v>64689.344539982798</v>
      </c>
      <c r="T37" s="2070">
        <v>65131.042648323295</v>
      </c>
      <c r="U37" s="2070">
        <v>65157.3935511608</v>
      </c>
      <c r="V37" s="2070">
        <v>66583.478503869293</v>
      </c>
      <c r="W37" s="2070">
        <v>57244.031298366295</v>
      </c>
      <c r="X37" s="2070">
        <v>62414.078761822871</v>
      </c>
    </row>
    <row r="38" spans="1:24" ht="11.25" customHeight="1">
      <c r="A38" s="2068" t="s">
        <v>4663</v>
      </c>
      <c r="B38" s="2069" t="s">
        <v>5785</v>
      </c>
      <c r="C38" s="2070">
        <v>98.22037833190025</v>
      </c>
      <c r="D38" s="2070">
        <v>98.172656921754054</v>
      </c>
      <c r="E38" s="2070">
        <v>97.583834909716259</v>
      </c>
      <c r="F38" s="2070">
        <v>91.841702493551153</v>
      </c>
      <c r="G38" s="2070">
        <v>87.647807394668945</v>
      </c>
      <c r="H38" s="2070">
        <v>96.222871883061046</v>
      </c>
      <c r="I38" s="2070">
        <v>86.543680137575222</v>
      </c>
      <c r="J38" s="2070">
        <v>86.247979363714521</v>
      </c>
      <c r="K38" s="2070">
        <v>79.73456577815989</v>
      </c>
      <c r="L38" s="2070">
        <v>98.91676698194324</v>
      </c>
      <c r="M38" s="2070">
        <v>91.131298366294061</v>
      </c>
      <c r="N38" s="2070">
        <v>83.264574376612202</v>
      </c>
      <c r="O38" s="2070">
        <v>68.23422184006877</v>
      </c>
      <c r="P38" s="2070">
        <v>62.843422184006855</v>
      </c>
      <c r="Q38" s="2070">
        <v>56.111779879621672</v>
      </c>
      <c r="R38" s="2070">
        <v>58.252966466036099</v>
      </c>
      <c r="S38" s="2070">
        <v>52.577128116938937</v>
      </c>
      <c r="T38" s="2070">
        <v>51.32020636285467</v>
      </c>
      <c r="U38" s="2070">
        <v>54.35786758383491</v>
      </c>
      <c r="V38" s="2070">
        <v>51.426569217540845</v>
      </c>
      <c r="W38" s="2070">
        <v>43.259243336199489</v>
      </c>
      <c r="X38" s="2070">
        <v>52.036371453138443</v>
      </c>
    </row>
    <row r="39" spans="1:24" ht="11.25" customHeight="1">
      <c r="A39" s="2068" t="s">
        <v>5786</v>
      </c>
      <c r="B39" s="2069" t="s">
        <v>5787</v>
      </c>
      <c r="C39" s="2070">
        <v>123.79621668099746</v>
      </c>
      <c r="D39" s="2070">
        <v>82.530868443680134</v>
      </c>
      <c r="E39" s="2070">
        <v>19.04557179707653</v>
      </c>
      <c r="F39" s="2070">
        <v>21.16173688736027</v>
      </c>
      <c r="G39" s="2070">
        <v>23.277901977644021</v>
      </c>
      <c r="H39" s="2070">
        <v>14.81324161650903</v>
      </c>
      <c r="I39" s="2070">
        <v>15.87128116938951</v>
      </c>
      <c r="J39" s="2070">
        <v>3.1742906276870162</v>
      </c>
      <c r="K39" s="2070">
        <v>1.058125537403267</v>
      </c>
      <c r="L39" s="2070">
        <v>0</v>
      </c>
      <c r="M39" s="2070">
        <v>0</v>
      </c>
      <c r="N39" s="2070">
        <v>0</v>
      </c>
      <c r="O39" s="2070">
        <v>0</v>
      </c>
      <c r="P39" s="2070">
        <v>0</v>
      </c>
      <c r="Q39" s="2070">
        <v>0</v>
      </c>
      <c r="R39" s="2070">
        <v>0</v>
      </c>
      <c r="S39" s="2070">
        <v>0</v>
      </c>
      <c r="T39" s="2070">
        <v>0</v>
      </c>
      <c r="U39" s="2070">
        <v>0</v>
      </c>
      <c r="V39" s="2070">
        <v>0</v>
      </c>
      <c r="W39" s="2070">
        <v>0</v>
      </c>
      <c r="X39" s="2070">
        <v>0</v>
      </c>
    </row>
    <row r="40" spans="1:24" ht="11.25" customHeight="1">
      <c r="A40" s="2068" t="s">
        <v>5788</v>
      </c>
      <c r="B40" s="2069" t="s">
        <v>5789</v>
      </c>
      <c r="C40" s="2070">
        <v>5463.3235597592438</v>
      </c>
      <c r="D40" s="2070">
        <v>5363.3132416165099</v>
      </c>
      <c r="E40" s="2070">
        <v>5083.0367153912293</v>
      </c>
      <c r="F40" s="2070">
        <v>5126.5919174548571</v>
      </c>
      <c r="G40" s="2070">
        <v>5309.3106620808248</v>
      </c>
      <c r="H40" s="2070">
        <v>5689.7041272570923</v>
      </c>
      <c r="I40" s="2070">
        <v>5830.985640584694</v>
      </c>
      <c r="J40" s="2070">
        <v>6129.9170249355102</v>
      </c>
      <c r="K40" s="2070">
        <v>5942.9731728288898</v>
      </c>
      <c r="L40" s="2070">
        <v>5363.611177987962</v>
      </c>
      <c r="M40" s="2070">
        <v>5530.3515907136707</v>
      </c>
      <c r="N40" s="2070">
        <v>5890.0218400687882</v>
      </c>
      <c r="O40" s="2070">
        <v>5462.5037833190036</v>
      </c>
      <c r="P40" s="2070">
        <v>5105.5249355116066</v>
      </c>
      <c r="Q40" s="2070">
        <v>5137.2416165090272</v>
      </c>
      <c r="R40" s="2070">
        <v>5336.8198624247634</v>
      </c>
      <c r="S40" s="2070">
        <v>5665.2568357695618</v>
      </c>
      <c r="T40" s="2070">
        <v>5925.4437661220973</v>
      </c>
      <c r="U40" s="2070">
        <v>6187.2114359415309</v>
      </c>
      <c r="V40" s="2070">
        <v>6428.9064488392078</v>
      </c>
      <c r="W40" s="2070">
        <v>2967.2815993121239</v>
      </c>
      <c r="X40" s="2070">
        <v>4203.3149613069654</v>
      </c>
    </row>
    <row r="41" spans="1:24" ht="11.25" customHeight="1">
      <c r="A41" s="2068" t="s">
        <v>4664</v>
      </c>
      <c r="B41" s="2069" t="s">
        <v>5790</v>
      </c>
      <c r="C41" s="2070">
        <v>22.836027515047292</v>
      </c>
      <c r="D41" s="2070">
        <v>22.855202063628546</v>
      </c>
      <c r="E41" s="2070">
        <v>17.777300085984525</v>
      </c>
      <c r="F41" s="2070">
        <v>17.538435081685297</v>
      </c>
      <c r="G41" s="2070">
        <v>4.184608770421324</v>
      </c>
      <c r="H41" s="2070">
        <v>2.0533963886500435</v>
      </c>
      <c r="I41" s="2070">
        <v>9.2420464316423043</v>
      </c>
      <c r="J41" s="2070">
        <v>11.298796216680998</v>
      </c>
      <c r="K41" s="2070">
        <v>8.2156491831470326</v>
      </c>
      <c r="L41" s="2070">
        <v>7.1901117798796204</v>
      </c>
      <c r="M41" s="2070">
        <v>7.1892519346517627</v>
      </c>
      <c r="N41" s="2070">
        <v>6.1622527944969905</v>
      </c>
      <c r="O41" s="2070">
        <v>5.135167669819432</v>
      </c>
      <c r="P41" s="2070">
        <v>4.1081685296646597</v>
      </c>
      <c r="Q41" s="2070">
        <v>2.0540842648323299</v>
      </c>
      <c r="R41" s="2070">
        <v>2.0540842648323294</v>
      </c>
      <c r="S41" s="2070">
        <v>3.0810834049871021</v>
      </c>
      <c r="T41" s="2070">
        <v>2.7750644883920894</v>
      </c>
      <c r="U41" s="2070">
        <v>1.1708512467755805</v>
      </c>
      <c r="V41" s="2070">
        <v>1.026999140154772</v>
      </c>
      <c r="W41" s="2070">
        <v>1.1190885640584689</v>
      </c>
      <c r="X41" s="2070">
        <v>1.1194325021496125</v>
      </c>
    </row>
    <row r="42" spans="1:24" ht="11.25" customHeight="1">
      <c r="A42" s="2068" t="s">
        <v>4611</v>
      </c>
      <c r="B42" s="2069" t="s">
        <v>5791</v>
      </c>
      <c r="C42" s="2070">
        <v>0</v>
      </c>
      <c r="D42" s="2070">
        <v>0</v>
      </c>
      <c r="E42" s="2070">
        <v>0</v>
      </c>
      <c r="F42" s="2070">
        <v>0</v>
      </c>
      <c r="G42" s="2070">
        <v>0</v>
      </c>
      <c r="H42" s="2070">
        <v>0</v>
      </c>
      <c r="I42" s="2070">
        <v>0</v>
      </c>
      <c r="J42" s="2070">
        <v>1.049785038693035</v>
      </c>
      <c r="K42" s="2070">
        <v>1.049785038693035</v>
      </c>
      <c r="L42" s="2070">
        <v>1.0496990541702489</v>
      </c>
      <c r="M42" s="2070">
        <v>0</v>
      </c>
      <c r="N42" s="2070">
        <v>0</v>
      </c>
      <c r="O42" s="2070">
        <v>0</v>
      </c>
      <c r="P42" s="2070">
        <v>0</v>
      </c>
      <c r="Q42" s="2070">
        <v>0</v>
      </c>
      <c r="R42" s="2070">
        <v>0</v>
      </c>
      <c r="S42" s="2070">
        <v>0</v>
      </c>
      <c r="T42" s="2070">
        <v>0</v>
      </c>
      <c r="U42" s="2070">
        <v>0</v>
      </c>
      <c r="V42" s="2070">
        <v>0</v>
      </c>
      <c r="W42" s="2070">
        <v>0</v>
      </c>
      <c r="X42" s="2070">
        <v>0</v>
      </c>
    </row>
    <row r="43" spans="1:24" ht="11.25" customHeight="1">
      <c r="A43" s="2068" t="s">
        <v>5792</v>
      </c>
      <c r="B43" s="2069" t="s">
        <v>5793</v>
      </c>
      <c r="C43" s="2070">
        <v>135737.62665520207</v>
      </c>
      <c r="D43" s="2070">
        <v>141086.60146173692</v>
      </c>
      <c r="E43" s="2070">
        <v>145746.57454858127</v>
      </c>
      <c r="F43" s="2070">
        <v>151922.64359415305</v>
      </c>
      <c r="G43" s="2070">
        <v>160755.02106620811</v>
      </c>
      <c r="H43" s="2070">
        <v>164191.95442820294</v>
      </c>
      <c r="I43" s="2070">
        <v>170868.48263112633</v>
      </c>
      <c r="J43" s="2070">
        <v>176211.96156491834</v>
      </c>
      <c r="K43" s="2070">
        <v>175065.90937231298</v>
      </c>
      <c r="L43" s="2070">
        <v>169962.70214961303</v>
      </c>
      <c r="M43" s="2070">
        <v>172441.6420464316</v>
      </c>
      <c r="N43" s="2070">
        <v>172666.73826311267</v>
      </c>
      <c r="O43" s="2070">
        <v>168089.29269131552</v>
      </c>
      <c r="P43" s="2070">
        <v>167786.9291487532</v>
      </c>
      <c r="Q43" s="2070">
        <v>170639.45812553741</v>
      </c>
      <c r="R43" s="2070">
        <v>174796.37515047289</v>
      </c>
      <c r="S43" s="2070">
        <v>180367.8959587274</v>
      </c>
      <c r="T43" s="2070">
        <v>183911.02080825446</v>
      </c>
      <c r="U43" s="2070">
        <v>183383.49664660363</v>
      </c>
      <c r="V43" s="2070">
        <v>183594.3357695615</v>
      </c>
      <c r="W43" s="2070">
        <v>161223.66655202062</v>
      </c>
      <c r="X43" s="2070">
        <v>173676.72596732585</v>
      </c>
    </row>
    <row r="44" spans="1:24" ht="11.25" customHeight="1">
      <c r="A44" s="2068" t="s">
        <v>4665</v>
      </c>
      <c r="B44" s="2069" t="s">
        <v>5794</v>
      </c>
      <c r="C44" s="2070">
        <v>1313.5498710232157</v>
      </c>
      <c r="D44" s="2070">
        <v>1421.6649183147033</v>
      </c>
      <c r="E44" s="2070">
        <v>1431.2195184866721</v>
      </c>
      <c r="F44" s="2070">
        <v>1576.3531384350817</v>
      </c>
      <c r="G44" s="2070">
        <v>1469.0499570077384</v>
      </c>
      <c r="H44" s="2070">
        <v>1375.0226999140154</v>
      </c>
      <c r="I44" s="2070">
        <v>1545.7578675838352</v>
      </c>
      <c r="J44" s="2070">
        <v>1632.1371453138431</v>
      </c>
      <c r="K44" s="2070">
        <v>1550.8018056749784</v>
      </c>
      <c r="L44" s="2070">
        <v>1781.3037833190026</v>
      </c>
      <c r="M44" s="2070">
        <v>1414.464660361135</v>
      </c>
      <c r="N44" s="2070">
        <v>1143.1067067927772</v>
      </c>
      <c r="O44" s="2070">
        <v>1027.1532244196044</v>
      </c>
      <c r="P44" s="2070">
        <v>936.93800515907128</v>
      </c>
      <c r="Q44" s="2070">
        <v>893.96792777300084</v>
      </c>
      <c r="R44" s="2070">
        <v>944.01066208082557</v>
      </c>
      <c r="S44" s="2070">
        <v>1139.1590713671535</v>
      </c>
      <c r="T44" s="2070">
        <v>1336.0480653482371</v>
      </c>
      <c r="U44" s="2070">
        <v>1361.145743766122</v>
      </c>
      <c r="V44" s="2070">
        <v>1436.7103181427342</v>
      </c>
      <c r="W44" s="2070">
        <v>1134.9012897678417</v>
      </c>
      <c r="X44" s="2070">
        <v>1130.0584694754943</v>
      </c>
    </row>
    <row r="45" spans="1:24" ht="11.25" customHeight="1">
      <c r="A45" s="2068" t="s">
        <v>5795</v>
      </c>
      <c r="B45" s="2069" t="s">
        <v>5796</v>
      </c>
      <c r="C45" s="2070">
        <v>1.053310404127257</v>
      </c>
      <c r="D45" s="2070">
        <v>1.053310404127257</v>
      </c>
      <c r="E45" s="2070">
        <v>3.1599312123817711</v>
      </c>
      <c r="F45" s="2070">
        <v>2.1066208082545139</v>
      </c>
      <c r="G45" s="2070">
        <v>4.2132416165090287</v>
      </c>
      <c r="H45" s="2070">
        <v>4.0047291487532233</v>
      </c>
      <c r="I45" s="2070">
        <v>4.7441100601891657</v>
      </c>
      <c r="J45" s="2070">
        <v>2.4837489251934648</v>
      </c>
      <c r="K45" s="2070">
        <v>15.814445399828029</v>
      </c>
      <c r="L45" s="2070">
        <v>4.0974204643164223</v>
      </c>
      <c r="M45" s="2070">
        <v>7.4036973344797934</v>
      </c>
      <c r="N45" s="2070">
        <v>5.525709372312984</v>
      </c>
      <c r="O45" s="2070">
        <v>6.1344797936371442</v>
      </c>
      <c r="P45" s="2070">
        <v>10.193981083404989</v>
      </c>
      <c r="Q45" s="2070">
        <v>13.06001719690456</v>
      </c>
      <c r="R45" s="2070">
        <v>14.015391229578681</v>
      </c>
      <c r="S45" s="2070">
        <v>14.072226999140153</v>
      </c>
      <c r="T45" s="2070">
        <v>14.566208082545142</v>
      </c>
      <c r="U45" s="2070">
        <v>13.666723989681858</v>
      </c>
      <c r="V45" s="2070">
        <v>13.19165950128977</v>
      </c>
      <c r="W45" s="2070">
        <v>11.592777300085981</v>
      </c>
      <c r="X45" s="2070">
        <v>12.867239896818569</v>
      </c>
    </row>
    <row r="46" spans="1:24" ht="11.25" customHeight="1">
      <c r="A46" s="2068" t="s">
        <v>595</v>
      </c>
      <c r="B46" s="2069" t="s">
        <v>5797</v>
      </c>
      <c r="C46" s="2070">
        <v>0</v>
      </c>
      <c r="D46" s="2070">
        <v>0</v>
      </c>
      <c r="E46" s="2070">
        <v>0</v>
      </c>
      <c r="F46" s="2070">
        <v>0</v>
      </c>
      <c r="G46" s="2070">
        <v>0</v>
      </c>
      <c r="H46" s="2070">
        <v>0</v>
      </c>
      <c r="I46" s="2070">
        <v>0</v>
      </c>
      <c r="J46" s="2070">
        <v>0</v>
      </c>
      <c r="K46" s="2070">
        <v>0</v>
      </c>
      <c r="L46" s="2070">
        <v>0</v>
      </c>
      <c r="M46" s="2070">
        <v>0</v>
      </c>
      <c r="N46" s="2070">
        <v>0</v>
      </c>
      <c r="O46" s="2070">
        <v>0</v>
      </c>
      <c r="P46" s="2070">
        <v>0</v>
      </c>
      <c r="Q46" s="2070">
        <v>0</v>
      </c>
      <c r="R46" s="2070">
        <v>0</v>
      </c>
      <c r="S46" s="2070">
        <v>0</v>
      </c>
      <c r="T46" s="2070">
        <v>0</v>
      </c>
      <c r="U46" s="2070">
        <v>0</v>
      </c>
      <c r="V46" s="2070">
        <v>0</v>
      </c>
      <c r="W46" s="2070">
        <v>0</v>
      </c>
      <c r="X46" s="2070">
        <v>0</v>
      </c>
    </row>
    <row r="47" spans="1:24" ht="11.25" customHeight="1">
      <c r="A47" s="2068" t="s">
        <v>4614</v>
      </c>
      <c r="B47" s="2069" t="s">
        <v>5798</v>
      </c>
      <c r="C47" s="2070">
        <v>0</v>
      </c>
      <c r="D47" s="2070">
        <v>0</v>
      </c>
      <c r="E47" s="2070">
        <v>0</v>
      </c>
      <c r="F47" s="2070">
        <v>0</v>
      </c>
      <c r="G47" s="2070">
        <v>0</v>
      </c>
      <c r="H47" s="2070">
        <v>0</v>
      </c>
      <c r="I47" s="2070">
        <v>0</v>
      </c>
      <c r="J47" s="2070">
        <v>0</v>
      </c>
      <c r="K47" s="2070">
        <v>0</v>
      </c>
      <c r="L47" s="2070">
        <v>0</v>
      </c>
      <c r="M47" s="2070">
        <v>0</v>
      </c>
      <c r="N47" s="2070">
        <v>0</v>
      </c>
      <c r="O47" s="2070">
        <v>0</v>
      </c>
      <c r="P47" s="2070">
        <v>0</v>
      </c>
      <c r="Q47" s="2070">
        <v>0</v>
      </c>
      <c r="R47" s="2070">
        <v>0</v>
      </c>
      <c r="S47" s="2070">
        <v>0</v>
      </c>
      <c r="T47" s="2070">
        <v>0</v>
      </c>
      <c r="U47" s="2070">
        <v>0</v>
      </c>
      <c r="V47" s="2070">
        <v>0</v>
      </c>
      <c r="W47" s="2070">
        <v>0</v>
      </c>
      <c r="X47" s="2070">
        <v>0</v>
      </c>
    </row>
    <row r="48" spans="1:24" ht="11.25" customHeight="1">
      <c r="A48" s="2068" t="s">
        <v>4667</v>
      </c>
      <c r="B48" s="2069" t="s">
        <v>5799</v>
      </c>
      <c r="C48" s="2070">
        <v>0</v>
      </c>
      <c r="D48" s="2070">
        <v>0</v>
      </c>
      <c r="E48" s="2070">
        <v>0</v>
      </c>
      <c r="F48" s="2070">
        <v>0</v>
      </c>
      <c r="G48" s="2070">
        <v>0</v>
      </c>
      <c r="H48" s="2070">
        <v>0</v>
      </c>
      <c r="I48" s="2070">
        <v>0</v>
      </c>
      <c r="J48" s="2070">
        <v>0</v>
      </c>
      <c r="K48" s="2070">
        <v>0</v>
      </c>
      <c r="L48" s="2070">
        <v>0</v>
      </c>
      <c r="M48" s="2070">
        <v>0</v>
      </c>
      <c r="N48" s="2070">
        <v>0</v>
      </c>
      <c r="O48" s="2070">
        <v>0</v>
      </c>
      <c r="P48" s="2070">
        <v>0</v>
      </c>
      <c r="Q48" s="2070">
        <v>0</v>
      </c>
      <c r="R48" s="2070">
        <v>0</v>
      </c>
      <c r="S48" s="2070">
        <v>0</v>
      </c>
      <c r="T48" s="2070">
        <v>0</v>
      </c>
      <c r="U48" s="2070">
        <v>0</v>
      </c>
      <c r="V48" s="2070">
        <v>0.24153052450558904</v>
      </c>
      <c r="W48" s="2070">
        <v>0</v>
      </c>
      <c r="X48" s="2070">
        <v>0</v>
      </c>
    </row>
    <row r="49" spans="1:24" ht="11.25" customHeight="1">
      <c r="A49" s="2068" t="s">
        <v>4666</v>
      </c>
      <c r="B49" s="2069" t="s">
        <v>5800</v>
      </c>
      <c r="C49" s="2070">
        <v>0</v>
      </c>
      <c r="D49" s="2070">
        <v>0</v>
      </c>
      <c r="E49" s="2070">
        <v>0</v>
      </c>
      <c r="F49" s="2070">
        <v>0</v>
      </c>
      <c r="G49" s="2070">
        <v>0</v>
      </c>
      <c r="H49" s="2070">
        <v>0</v>
      </c>
      <c r="I49" s="2070">
        <v>0</v>
      </c>
      <c r="J49" s="2070">
        <v>0</v>
      </c>
      <c r="K49" s="2070">
        <v>0</v>
      </c>
      <c r="L49" s="2070">
        <v>0</v>
      </c>
      <c r="M49" s="2070">
        <v>0</v>
      </c>
      <c r="N49" s="2070">
        <v>0</v>
      </c>
      <c r="O49" s="2070">
        <v>0</v>
      </c>
      <c r="P49" s="2070">
        <v>0</v>
      </c>
      <c r="Q49" s="2070">
        <v>0</v>
      </c>
      <c r="R49" s="2070">
        <v>0</v>
      </c>
      <c r="S49" s="2070">
        <v>0</v>
      </c>
      <c r="T49" s="2070">
        <v>0</v>
      </c>
      <c r="U49" s="2070">
        <v>0</v>
      </c>
      <c r="V49" s="2070">
        <v>0</v>
      </c>
      <c r="W49" s="2070">
        <v>0</v>
      </c>
      <c r="X49" s="2070">
        <v>0</v>
      </c>
    </row>
    <row r="50" spans="1:24" ht="11.25" customHeight="1">
      <c r="A50" s="2068" t="s">
        <v>4668</v>
      </c>
      <c r="B50" s="2069" t="s">
        <v>5801</v>
      </c>
      <c r="C50" s="2070">
        <v>0</v>
      </c>
      <c r="D50" s="2070">
        <v>0</v>
      </c>
      <c r="E50" s="2070">
        <v>0</v>
      </c>
      <c r="F50" s="2070">
        <v>0</v>
      </c>
      <c r="G50" s="2070">
        <v>7.643078245915734</v>
      </c>
      <c r="H50" s="2070">
        <v>0</v>
      </c>
      <c r="I50" s="2070">
        <v>0</v>
      </c>
      <c r="J50" s="2070">
        <v>0</v>
      </c>
      <c r="K50" s="2070">
        <v>0</v>
      </c>
      <c r="L50" s="2070">
        <v>0</v>
      </c>
      <c r="M50" s="2070">
        <v>0</v>
      </c>
      <c r="N50" s="2070">
        <v>0</v>
      </c>
      <c r="O50" s="2070">
        <v>0</v>
      </c>
      <c r="P50" s="2070">
        <v>0</v>
      </c>
      <c r="Q50" s="2070">
        <v>0</v>
      </c>
      <c r="R50" s="2070">
        <v>0</v>
      </c>
      <c r="S50" s="2070">
        <v>0</v>
      </c>
      <c r="T50" s="2070">
        <v>0</v>
      </c>
      <c r="U50" s="2070">
        <v>0.70309544282029224</v>
      </c>
      <c r="V50" s="2070">
        <v>5.3482373172828883E-2</v>
      </c>
      <c r="W50" s="2070">
        <v>7.4462596732588121E-2</v>
      </c>
      <c r="X50" s="2070">
        <v>0.1060189165950129</v>
      </c>
    </row>
    <row r="51" spans="1:24" ht="11.25" customHeight="1">
      <c r="A51" s="2071" t="s">
        <v>3875</v>
      </c>
      <c r="B51" s="2072" t="s">
        <v>5802</v>
      </c>
      <c r="C51" s="2073">
        <v>861.06801375752366</v>
      </c>
      <c r="D51" s="2073">
        <v>1663.4792777300083</v>
      </c>
      <c r="E51" s="2073">
        <v>1476.0961306964746</v>
      </c>
      <c r="F51" s="2073">
        <v>2416.863628546861</v>
      </c>
      <c r="G51" s="2073">
        <v>2726.580997420464</v>
      </c>
      <c r="H51" s="2073">
        <v>2787.8718830610487</v>
      </c>
      <c r="I51" s="2073">
        <v>2679.4705073086843</v>
      </c>
      <c r="J51" s="2073">
        <v>2770.7532244196045</v>
      </c>
      <c r="K51" s="2073">
        <v>2895.2593293207224</v>
      </c>
      <c r="L51" s="2073">
        <v>2537.4427343078246</v>
      </c>
      <c r="M51" s="2073">
        <v>2660.3515907136712</v>
      </c>
      <c r="N51" s="2073">
        <v>3032.0937231298367</v>
      </c>
      <c r="O51" s="2073">
        <v>2833.7889079965603</v>
      </c>
      <c r="P51" s="2073">
        <v>3119.9974204643158</v>
      </c>
      <c r="Q51" s="2073">
        <v>2993.7822871883059</v>
      </c>
      <c r="R51" s="2073">
        <v>2995.5055030094582</v>
      </c>
      <c r="S51" s="2073">
        <v>3162.4211521926049</v>
      </c>
      <c r="T51" s="2073">
        <v>3269.3335339638861</v>
      </c>
      <c r="U51" s="2073">
        <v>3488.1271711092004</v>
      </c>
      <c r="V51" s="2073">
        <v>3705.0936371453136</v>
      </c>
      <c r="W51" s="2073">
        <v>3066.8005159071363</v>
      </c>
      <c r="X51" s="2073">
        <v>3423.9291487532237</v>
      </c>
    </row>
    <row r="52" spans="1:24" ht="11.25" customHeight="1">
      <c r="A52" s="2071" t="s">
        <v>5803</v>
      </c>
      <c r="B52" s="2072" t="s">
        <v>5804</v>
      </c>
      <c r="C52" s="2073">
        <v>711.55614789337915</v>
      </c>
      <c r="D52" s="2073">
        <v>839.33628546861564</v>
      </c>
      <c r="E52" s="2073">
        <v>1115.2322441960446</v>
      </c>
      <c r="F52" s="2073">
        <v>1381.3637145313844</v>
      </c>
      <c r="G52" s="2073">
        <v>1882.6753224419601</v>
      </c>
      <c r="H52" s="2073">
        <v>3140.2379191745486</v>
      </c>
      <c r="I52" s="2073">
        <v>5195.2823731728286</v>
      </c>
      <c r="J52" s="2073">
        <v>7264.5393809114366</v>
      </c>
      <c r="K52" s="2073">
        <v>8956.1245055889922</v>
      </c>
      <c r="L52" s="2073">
        <v>10585.883662940669</v>
      </c>
      <c r="M52" s="2073">
        <v>12010.026397248497</v>
      </c>
      <c r="N52" s="2073">
        <v>12679.422441960447</v>
      </c>
      <c r="O52" s="2073">
        <v>13524.390541702494</v>
      </c>
      <c r="P52" s="2073">
        <v>12029.380223559758</v>
      </c>
      <c r="Q52" s="2073">
        <v>13007.507480653481</v>
      </c>
      <c r="R52" s="2073">
        <v>13003.617970765261</v>
      </c>
      <c r="S52" s="2073">
        <v>12685.377730008599</v>
      </c>
      <c r="T52" s="2073">
        <v>13833.322441960447</v>
      </c>
      <c r="U52" s="2073">
        <v>15265.77446259673</v>
      </c>
      <c r="V52" s="2073">
        <v>15790.161049011176</v>
      </c>
      <c r="W52" s="2073">
        <v>15983.058469475491</v>
      </c>
      <c r="X52" s="2073">
        <v>16679.663370593287</v>
      </c>
    </row>
    <row r="53" spans="1:24" ht="11.25" customHeight="1">
      <c r="A53" s="2074" t="s">
        <v>3973</v>
      </c>
      <c r="B53" s="2069" t="s">
        <v>5805</v>
      </c>
      <c r="C53" s="2070">
        <v>0</v>
      </c>
      <c r="D53" s="2070">
        <v>0</v>
      </c>
      <c r="E53" s="2070">
        <v>0</v>
      </c>
      <c r="F53" s="2070">
        <v>0</v>
      </c>
      <c r="G53" s="2070">
        <v>0</v>
      </c>
      <c r="H53" s="2070">
        <v>0</v>
      </c>
      <c r="I53" s="2070">
        <v>0</v>
      </c>
      <c r="J53" s="2070">
        <v>0</v>
      </c>
      <c r="K53" s="2070">
        <v>0</v>
      </c>
      <c r="L53" s="2070">
        <v>0</v>
      </c>
      <c r="M53" s="2070">
        <v>0</v>
      </c>
      <c r="N53" s="2070">
        <v>0</v>
      </c>
      <c r="O53" s="2070">
        <v>0</v>
      </c>
      <c r="P53" s="2070">
        <v>0</v>
      </c>
      <c r="Q53" s="2070">
        <v>0</v>
      </c>
      <c r="R53" s="2070">
        <v>0</v>
      </c>
      <c r="S53" s="2070">
        <v>0</v>
      </c>
      <c r="T53" s="2070">
        <v>0</v>
      </c>
      <c r="U53" s="2070">
        <v>0</v>
      </c>
      <c r="V53" s="2070">
        <v>0</v>
      </c>
      <c r="W53" s="2070">
        <v>0</v>
      </c>
      <c r="X53" s="2070">
        <v>0</v>
      </c>
    </row>
    <row r="54" spans="1:24" ht="11.25" customHeight="1">
      <c r="A54" s="2074" t="s">
        <v>5806</v>
      </c>
      <c r="B54" s="2069" t="s">
        <v>5807</v>
      </c>
      <c r="C54" s="2070">
        <v>0</v>
      </c>
      <c r="D54" s="2070">
        <v>0</v>
      </c>
      <c r="E54" s="2070">
        <v>0</v>
      </c>
      <c r="F54" s="2070">
        <v>0</v>
      </c>
      <c r="G54" s="2070">
        <v>0</v>
      </c>
      <c r="H54" s="2070">
        <v>0</v>
      </c>
      <c r="I54" s="2070">
        <v>0</v>
      </c>
      <c r="J54" s="2070">
        <v>0</v>
      </c>
      <c r="K54" s="2070">
        <v>0</v>
      </c>
      <c r="L54" s="2070">
        <v>0</v>
      </c>
      <c r="M54" s="2070">
        <v>0</v>
      </c>
      <c r="N54" s="2070">
        <v>0</v>
      </c>
      <c r="O54" s="2070">
        <v>0</v>
      </c>
      <c r="P54" s="2070">
        <v>0</v>
      </c>
      <c r="Q54" s="2070">
        <v>0</v>
      </c>
      <c r="R54" s="2070">
        <v>0</v>
      </c>
      <c r="S54" s="2070">
        <v>0</v>
      </c>
      <c r="T54" s="2070">
        <v>0</v>
      </c>
      <c r="U54" s="2070">
        <v>0</v>
      </c>
      <c r="V54" s="2070">
        <v>0</v>
      </c>
      <c r="W54" s="2070">
        <v>0</v>
      </c>
      <c r="X54" s="2070">
        <v>0</v>
      </c>
    </row>
    <row r="55" spans="1:24" ht="11.25" customHeight="1">
      <c r="A55" s="2074" t="s">
        <v>3965</v>
      </c>
      <c r="B55" s="2069" t="s">
        <v>5808</v>
      </c>
      <c r="C55" s="2070">
        <v>0</v>
      </c>
      <c r="D55" s="2070">
        <v>0</v>
      </c>
      <c r="E55" s="2070">
        <v>0</v>
      </c>
      <c r="F55" s="2070">
        <v>0</v>
      </c>
      <c r="G55" s="2070">
        <v>0</v>
      </c>
      <c r="H55" s="2070">
        <v>0</v>
      </c>
      <c r="I55" s="2070">
        <v>0</v>
      </c>
      <c r="J55" s="2070">
        <v>0</v>
      </c>
      <c r="K55" s="2070">
        <v>0</v>
      </c>
      <c r="L55" s="2070">
        <v>0</v>
      </c>
      <c r="M55" s="2070">
        <v>0</v>
      </c>
      <c r="N55" s="2070">
        <v>0</v>
      </c>
      <c r="O55" s="2070">
        <v>0</v>
      </c>
      <c r="P55" s="2070">
        <v>0</v>
      </c>
      <c r="Q55" s="2070">
        <v>0</v>
      </c>
      <c r="R55" s="2070">
        <v>0</v>
      </c>
      <c r="S55" s="2070">
        <v>0</v>
      </c>
      <c r="T55" s="2070">
        <v>0</v>
      </c>
      <c r="U55" s="2070">
        <v>0</v>
      </c>
      <c r="V55" s="2070">
        <v>0</v>
      </c>
      <c r="W55" s="2070">
        <v>0</v>
      </c>
      <c r="X55" s="2070">
        <v>0</v>
      </c>
    </row>
    <row r="56" spans="1:24" ht="11.25" customHeight="1">
      <c r="A56" s="2074" t="s">
        <v>5636</v>
      </c>
      <c r="B56" s="2069" t="s">
        <v>5809</v>
      </c>
      <c r="C56" s="2070">
        <v>0</v>
      </c>
      <c r="D56" s="2070">
        <v>0</v>
      </c>
      <c r="E56" s="2070">
        <v>0</v>
      </c>
      <c r="F56" s="2070">
        <v>0</v>
      </c>
      <c r="G56" s="2070">
        <v>0</v>
      </c>
      <c r="H56" s="2070">
        <v>0</v>
      </c>
      <c r="I56" s="2070">
        <v>0</v>
      </c>
      <c r="J56" s="2070">
        <v>0</v>
      </c>
      <c r="K56" s="2070">
        <v>0</v>
      </c>
      <c r="L56" s="2070">
        <v>0</v>
      </c>
      <c r="M56" s="2070">
        <v>0</v>
      </c>
      <c r="N56" s="2070">
        <v>0</v>
      </c>
      <c r="O56" s="2070">
        <v>0</v>
      </c>
      <c r="P56" s="2070">
        <v>0</v>
      </c>
      <c r="Q56" s="2070">
        <v>0</v>
      </c>
      <c r="R56" s="2070">
        <v>0</v>
      </c>
      <c r="S56" s="2070">
        <v>0</v>
      </c>
      <c r="T56" s="2070">
        <v>0</v>
      </c>
      <c r="U56" s="2070">
        <v>0</v>
      </c>
      <c r="V56" s="2070">
        <v>0</v>
      </c>
      <c r="W56" s="2070">
        <v>0</v>
      </c>
      <c r="X56" s="2070">
        <v>0</v>
      </c>
    </row>
    <row r="57" spans="1:24" ht="11.25" customHeight="1">
      <c r="A57" s="2074" t="s">
        <v>4617</v>
      </c>
      <c r="B57" s="2069" t="s">
        <v>5810</v>
      </c>
      <c r="C57" s="2070">
        <v>0</v>
      </c>
      <c r="D57" s="2070">
        <v>0</v>
      </c>
      <c r="E57" s="2070">
        <v>0</v>
      </c>
      <c r="F57" s="2070">
        <v>0</v>
      </c>
      <c r="G57" s="2070">
        <v>0</v>
      </c>
      <c r="H57" s="2070">
        <v>0</v>
      </c>
      <c r="I57" s="2070">
        <v>0</v>
      </c>
      <c r="J57" s="2070">
        <v>0</v>
      </c>
      <c r="K57" s="2070">
        <v>0</v>
      </c>
      <c r="L57" s="2070">
        <v>0</v>
      </c>
      <c r="M57" s="2070">
        <v>0</v>
      </c>
      <c r="N57" s="2070">
        <v>0</v>
      </c>
      <c r="O57" s="2070">
        <v>0</v>
      </c>
      <c r="P57" s="2070">
        <v>0</v>
      </c>
      <c r="Q57" s="2070">
        <v>0</v>
      </c>
      <c r="R57" s="2070">
        <v>0</v>
      </c>
      <c r="S57" s="2070">
        <v>0</v>
      </c>
      <c r="T57" s="2070">
        <v>0</v>
      </c>
      <c r="U57" s="2070">
        <v>0</v>
      </c>
      <c r="V57" s="2070">
        <v>0</v>
      </c>
      <c r="W57" s="2070">
        <v>0</v>
      </c>
      <c r="X57" s="2070">
        <v>0</v>
      </c>
    </row>
    <row r="58" spans="1:24" ht="11.25" customHeight="1">
      <c r="A58" s="2074" t="s">
        <v>3971</v>
      </c>
      <c r="B58" s="2069" t="s">
        <v>5811</v>
      </c>
      <c r="C58" s="2070">
        <v>0</v>
      </c>
      <c r="D58" s="2070">
        <v>0</v>
      </c>
      <c r="E58" s="2070">
        <v>0</v>
      </c>
      <c r="F58" s="2070">
        <v>0</v>
      </c>
      <c r="G58" s="2070">
        <v>0</v>
      </c>
      <c r="H58" s="2070">
        <v>0</v>
      </c>
      <c r="I58" s="2070">
        <v>0</v>
      </c>
      <c r="J58" s="2070">
        <v>0</v>
      </c>
      <c r="K58" s="2070">
        <v>0</v>
      </c>
      <c r="L58" s="2070">
        <v>0</v>
      </c>
      <c r="M58" s="2070">
        <v>0</v>
      </c>
      <c r="N58" s="2070">
        <v>0</v>
      </c>
      <c r="O58" s="2070">
        <v>0</v>
      </c>
      <c r="P58" s="2070">
        <v>0</v>
      </c>
      <c r="Q58" s="2070">
        <v>0</v>
      </c>
      <c r="R58" s="2070">
        <v>0</v>
      </c>
      <c r="S58" s="2070">
        <v>0</v>
      </c>
      <c r="T58" s="2070">
        <v>0</v>
      </c>
      <c r="U58" s="2070">
        <v>0</v>
      </c>
      <c r="V58" s="2070">
        <v>0</v>
      </c>
      <c r="W58" s="2070">
        <v>0</v>
      </c>
      <c r="X58" s="2070">
        <v>0</v>
      </c>
    </row>
    <row r="59" spans="1:24" ht="11.25" customHeight="1">
      <c r="A59" s="2074" t="s">
        <v>4669</v>
      </c>
      <c r="B59" s="2069" t="s">
        <v>5812</v>
      </c>
      <c r="C59" s="2070">
        <v>0.31049011177987962</v>
      </c>
      <c r="D59" s="2070">
        <v>1.385296646603611</v>
      </c>
      <c r="E59" s="2070">
        <v>3.6782459157351677</v>
      </c>
      <c r="F59" s="2070">
        <v>3.0810834049871021</v>
      </c>
      <c r="G59" s="2070">
        <v>9.5528804815133275E-2</v>
      </c>
      <c r="H59" s="2070">
        <v>0.67618228718830609</v>
      </c>
      <c r="I59" s="2070">
        <v>0.60447119518486669</v>
      </c>
      <c r="J59" s="2070">
        <v>1.3926913155631984</v>
      </c>
      <c r="K59" s="2070">
        <v>0.15073086844368005</v>
      </c>
      <c r="L59" s="2070">
        <v>7.9019776440240733E-2</v>
      </c>
      <c r="M59" s="2070">
        <v>7.3946689595872734E-3</v>
      </c>
      <c r="N59" s="2070">
        <v>3.1298366294067063E-2</v>
      </c>
      <c r="O59" s="2070">
        <v>3.1384350816852959E-2</v>
      </c>
      <c r="P59" s="2070">
        <v>0.31745485812553742</v>
      </c>
      <c r="Q59" s="2070">
        <v>0.31745485812553736</v>
      </c>
      <c r="R59" s="2070">
        <v>5.4772141014617373E-2</v>
      </c>
      <c r="S59" s="2070">
        <v>0.15030094582975057</v>
      </c>
      <c r="T59" s="2070">
        <v>0.12803095442820289</v>
      </c>
      <c r="U59" s="2070">
        <v>4.1960447119518483E-2</v>
      </c>
      <c r="V59" s="2070">
        <v>3.4995700773860702E-2</v>
      </c>
      <c r="W59" s="2070">
        <v>3.6371453138435081E-2</v>
      </c>
      <c r="X59" s="2070">
        <v>2.8718830610490111E-2</v>
      </c>
    </row>
    <row r="60" spans="1:24" ht="11.25" customHeight="1">
      <c r="A60" s="2074" t="s">
        <v>4618</v>
      </c>
      <c r="B60" s="2069" t="s">
        <v>5813</v>
      </c>
      <c r="C60" s="2070">
        <v>0</v>
      </c>
      <c r="D60" s="2070">
        <v>0</v>
      </c>
      <c r="E60" s="2070">
        <v>0</v>
      </c>
      <c r="F60" s="2070">
        <v>0</v>
      </c>
      <c r="G60" s="2070">
        <v>0</v>
      </c>
      <c r="H60" s="2070">
        <v>0</v>
      </c>
      <c r="I60" s="2070">
        <v>0</v>
      </c>
      <c r="J60" s="2070">
        <v>0</v>
      </c>
      <c r="K60" s="2070">
        <v>0</v>
      </c>
      <c r="L60" s="2070">
        <v>0</v>
      </c>
      <c r="M60" s="2070">
        <v>0</v>
      </c>
      <c r="N60" s="2070">
        <v>0</v>
      </c>
      <c r="O60" s="2070">
        <v>0</v>
      </c>
      <c r="P60" s="2070">
        <v>0</v>
      </c>
      <c r="Q60" s="2070">
        <v>0</v>
      </c>
      <c r="R60" s="2070">
        <v>0</v>
      </c>
      <c r="S60" s="2070">
        <v>0</v>
      </c>
      <c r="T60" s="2070">
        <v>0</v>
      </c>
      <c r="U60" s="2070">
        <v>0</v>
      </c>
      <c r="V60" s="2070">
        <v>0</v>
      </c>
      <c r="W60" s="2070">
        <v>0</v>
      </c>
      <c r="X60" s="2070">
        <v>0</v>
      </c>
    </row>
    <row r="61" spans="1:24" ht="11.25" customHeight="1">
      <c r="A61" s="2074" t="s">
        <v>4670</v>
      </c>
      <c r="B61" s="2069" t="s">
        <v>5814</v>
      </c>
      <c r="C61" s="2070">
        <v>0</v>
      </c>
      <c r="D61" s="2070">
        <v>0</v>
      </c>
      <c r="E61" s="2070">
        <v>0</v>
      </c>
      <c r="F61" s="2070">
        <v>0</v>
      </c>
      <c r="G61" s="2070">
        <v>0</v>
      </c>
      <c r="H61" s="2070">
        <v>0</v>
      </c>
      <c r="I61" s="2070">
        <v>0</v>
      </c>
      <c r="J61" s="2070">
        <v>0</v>
      </c>
      <c r="K61" s="2070">
        <v>19.060189165950128</v>
      </c>
      <c r="L61" s="2070">
        <v>22.285726569217537</v>
      </c>
      <c r="M61" s="2070">
        <v>27.66044711951848</v>
      </c>
      <c r="N61" s="2070">
        <v>70.705760963026663</v>
      </c>
      <c r="O61" s="2070">
        <v>98.272312983662928</v>
      </c>
      <c r="P61" s="2070">
        <v>116.57497850386929</v>
      </c>
      <c r="Q61" s="2070">
        <v>122.9090283748925</v>
      </c>
      <c r="R61" s="2070">
        <v>127.30971625107482</v>
      </c>
      <c r="S61" s="2070">
        <v>132.15932932072226</v>
      </c>
      <c r="T61" s="2070">
        <v>150.3487532244196</v>
      </c>
      <c r="U61" s="2070">
        <v>154.45563198624245</v>
      </c>
      <c r="V61" s="2070">
        <v>158.80386930352535</v>
      </c>
      <c r="W61" s="2070">
        <v>172.9438521066208</v>
      </c>
      <c r="X61" s="2070">
        <v>108.50980223559759</v>
      </c>
    </row>
    <row r="62" spans="1:24" ht="11.25" customHeight="1">
      <c r="A62" s="2074" t="s">
        <v>5815</v>
      </c>
      <c r="B62" s="2069" t="s">
        <v>5816</v>
      </c>
      <c r="C62" s="2070">
        <v>0</v>
      </c>
      <c r="D62" s="2070">
        <v>0</v>
      </c>
      <c r="E62" s="2070">
        <v>0</v>
      </c>
      <c r="F62" s="2070">
        <v>0</v>
      </c>
      <c r="G62" s="2070">
        <v>0</v>
      </c>
      <c r="H62" s="2070">
        <v>0</v>
      </c>
      <c r="I62" s="2070">
        <v>0</v>
      </c>
      <c r="J62" s="2070">
        <v>0</v>
      </c>
      <c r="K62" s="2070">
        <v>0</v>
      </c>
      <c r="L62" s="2070">
        <v>0</v>
      </c>
      <c r="M62" s="2070">
        <v>0</v>
      </c>
      <c r="N62" s="2070">
        <v>0</v>
      </c>
      <c r="O62" s="2070">
        <v>0</v>
      </c>
      <c r="P62" s="2070">
        <v>0</v>
      </c>
      <c r="Q62" s="2070">
        <v>0</v>
      </c>
      <c r="R62" s="2070">
        <v>0</v>
      </c>
      <c r="S62" s="2070">
        <v>0</v>
      </c>
      <c r="T62" s="2070">
        <v>0</v>
      </c>
      <c r="U62" s="2070">
        <v>0</v>
      </c>
      <c r="V62" s="2070">
        <v>0</v>
      </c>
      <c r="W62" s="2070">
        <v>0</v>
      </c>
      <c r="X62" s="2070">
        <v>0</v>
      </c>
    </row>
    <row r="63" spans="1:24" ht="11.25" customHeight="1">
      <c r="A63" s="2074" t="s">
        <v>5817</v>
      </c>
      <c r="B63" s="2069" t="s">
        <v>5818</v>
      </c>
      <c r="C63" s="2070">
        <v>0</v>
      </c>
      <c r="D63" s="2070">
        <v>0</v>
      </c>
      <c r="E63" s="2070">
        <v>0</v>
      </c>
      <c r="F63" s="2070">
        <v>0</v>
      </c>
      <c r="G63" s="2070">
        <v>13.50094582975064</v>
      </c>
      <c r="H63" s="2070">
        <v>7.9242476354256217</v>
      </c>
      <c r="I63" s="2070">
        <v>9.1719690455717942</v>
      </c>
      <c r="J63" s="2070">
        <v>14.341272570937226</v>
      </c>
      <c r="K63" s="2070">
        <v>16.250644883920891</v>
      </c>
      <c r="L63" s="2070">
        <v>16.194067067927769</v>
      </c>
      <c r="M63" s="2070">
        <v>22.884866723989685</v>
      </c>
      <c r="N63" s="2070">
        <v>27.815047291487531</v>
      </c>
      <c r="O63" s="2070">
        <v>29.08340498710232</v>
      </c>
      <c r="P63" s="2070">
        <v>25.11874462596732</v>
      </c>
      <c r="Q63" s="2070">
        <v>21.699054170249347</v>
      </c>
      <c r="R63" s="2070">
        <v>20.96723989681858</v>
      </c>
      <c r="S63" s="2070">
        <v>10.632244196044709</v>
      </c>
      <c r="T63" s="2070">
        <v>7.6145313843508156</v>
      </c>
      <c r="U63" s="2070">
        <v>5.985640584694754</v>
      </c>
      <c r="V63" s="2070">
        <v>3.7319002579535674</v>
      </c>
      <c r="W63" s="2070">
        <v>3.4571797076526223</v>
      </c>
      <c r="X63" s="2070">
        <v>2.5484952708512467</v>
      </c>
    </row>
    <row r="64" spans="1:24" ht="11.25" customHeight="1">
      <c r="A64" s="2074" t="s">
        <v>5819</v>
      </c>
      <c r="B64" s="2069" t="s">
        <v>5820</v>
      </c>
      <c r="C64" s="2070">
        <v>58.684436801375753</v>
      </c>
      <c r="D64" s="2070">
        <v>65.778159931212372</v>
      </c>
      <c r="E64" s="2070">
        <v>159.29939810834048</v>
      </c>
      <c r="F64" s="2070">
        <v>242.55485812553741</v>
      </c>
      <c r="G64" s="2070">
        <v>292.78177128116943</v>
      </c>
      <c r="H64" s="2070">
        <v>535.54617368873608</v>
      </c>
      <c r="I64" s="2070">
        <v>832.1007738607052</v>
      </c>
      <c r="J64" s="2070">
        <v>1076.6572656921753</v>
      </c>
      <c r="K64" s="2070">
        <v>1676.4882201203782</v>
      </c>
      <c r="L64" s="2070">
        <v>2053.8094582975064</v>
      </c>
      <c r="M64" s="2070">
        <v>2457.0844368013763</v>
      </c>
      <c r="N64" s="2070">
        <v>2507.189251934652</v>
      </c>
      <c r="O64" s="2070">
        <v>2441.2377472055032</v>
      </c>
      <c r="P64" s="2070">
        <v>2268.9557179707649</v>
      </c>
      <c r="Q64" s="2070">
        <v>2262.4674118658636</v>
      </c>
      <c r="R64" s="2070">
        <v>2306.080051590714</v>
      </c>
      <c r="S64" s="2070">
        <v>2281.3679277730007</v>
      </c>
      <c r="T64" s="2070">
        <v>2413.3611349957005</v>
      </c>
      <c r="U64" s="2070">
        <v>2593.8639724849527</v>
      </c>
      <c r="V64" s="2070">
        <v>2701.2625107480653</v>
      </c>
      <c r="W64" s="2070">
        <v>2662.7276010318142</v>
      </c>
      <c r="X64" s="2070">
        <v>3029.0404987102315</v>
      </c>
    </row>
    <row r="65" spans="1:24" ht="11.25" customHeight="1">
      <c r="A65" s="2074" t="s">
        <v>5821</v>
      </c>
      <c r="B65" s="2069" t="s">
        <v>5822</v>
      </c>
      <c r="C65" s="2070">
        <v>237.86268271711089</v>
      </c>
      <c r="D65" s="2070">
        <v>328.28693035253656</v>
      </c>
      <c r="E65" s="2070">
        <v>506.95511607910566</v>
      </c>
      <c r="F65" s="2070">
        <v>702.67635425623382</v>
      </c>
      <c r="G65" s="2070">
        <v>641.94591573516766</v>
      </c>
      <c r="H65" s="2070">
        <v>970.20567497850379</v>
      </c>
      <c r="I65" s="2070">
        <v>1686.667239896818</v>
      </c>
      <c r="J65" s="2070">
        <v>1679.7328460877045</v>
      </c>
      <c r="K65" s="2070">
        <v>1067.9777300085982</v>
      </c>
      <c r="L65" s="2070">
        <v>510.85227858985388</v>
      </c>
      <c r="M65" s="2070">
        <v>551.96405846947539</v>
      </c>
      <c r="N65" s="2070">
        <v>415.66251074806542</v>
      </c>
      <c r="O65" s="2070">
        <v>300.98839208942377</v>
      </c>
      <c r="P65" s="2070">
        <v>197.48985382631122</v>
      </c>
      <c r="Q65" s="2070">
        <v>358.68486672398961</v>
      </c>
      <c r="R65" s="2070">
        <v>416.44918314703347</v>
      </c>
      <c r="S65" s="2070">
        <v>326.28314703353391</v>
      </c>
      <c r="T65" s="2070">
        <v>501.44325021496127</v>
      </c>
      <c r="U65" s="2070">
        <v>488.57188306104905</v>
      </c>
      <c r="V65" s="2070">
        <v>462.86818572656921</v>
      </c>
      <c r="W65" s="2070">
        <v>433.12734307824581</v>
      </c>
      <c r="X65" s="2070">
        <v>460.45528804815132</v>
      </c>
    </row>
    <row r="66" spans="1:24" ht="11.25" customHeight="1">
      <c r="A66" s="2074" t="s">
        <v>5823</v>
      </c>
      <c r="B66" s="2069" t="s">
        <v>5824</v>
      </c>
      <c r="C66" s="2070">
        <v>400.32957867583832</v>
      </c>
      <c r="D66" s="2070">
        <v>425.92467755803955</v>
      </c>
      <c r="E66" s="2070">
        <v>423.74600171969053</v>
      </c>
      <c r="F66" s="2070">
        <v>429.61908856405853</v>
      </c>
      <c r="G66" s="2070">
        <v>924.66259673258799</v>
      </c>
      <c r="H66" s="2070">
        <v>1480.0292347377472</v>
      </c>
      <c r="I66" s="2070">
        <v>2060.5109200343936</v>
      </c>
      <c r="J66" s="2070">
        <v>3782.4656061908863</v>
      </c>
      <c r="K66" s="2070">
        <v>5887.5086844367997</v>
      </c>
      <c r="L66" s="2070">
        <v>7906.6999140154749</v>
      </c>
      <c r="M66" s="2070">
        <v>8898.6064488392112</v>
      </c>
      <c r="N66" s="2070">
        <v>9641.5374892519339</v>
      </c>
      <c r="O66" s="2070">
        <v>10638.838005159072</v>
      </c>
      <c r="P66" s="2070">
        <v>9416.7846947549424</v>
      </c>
      <c r="Q66" s="2070">
        <v>10233.632932072225</v>
      </c>
      <c r="R66" s="2070">
        <v>10128.865176268271</v>
      </c>
      <c r="S66" s="2070">
        <v>9930.9049011177976</v>
      </c>
      <c r="T66" s="2070">
        <v>10758.737317282888</v>
      </c>
      <c r="U66" s="2070">
        <v>12022.169733447976</v>
      </c>
      <c r="V66" s="2070">
        <v>12462.154342218399</v>
      </c>
      <c r="W66" s="2070">
        <v>12710.028890799653</v>
      </c>
      <c r="X66" s="2070">
        <v>13077.685124677553</v>
      </c>
    </row>
    <row r="67" spans="1:24" ht="11.25" customHeight="1">
      <c r="A67" s="2074" t="s">
        <v>5825</v>
      </c>
      <c r="B67" s="2069" t="s">
        <v>5826</v>
      </c>
      <c r="C67" s="2070">
        <v>0</v>
      </c>
      <c r="D67" s="2070">
        <v>0</v>
      </c>
      <c r="E67" s="2070">
        <v>0</v>
      </c>
      <c r="F67" s="2070">
        <v>0</v>
      </c>
      <c r="G67" s="2070">
        <v>0</v>
      </c>
      <c r="H67" s="2070">
        <v>0</v>
      </c>
      <c r="I67" s="2070">
        <v>0</v>
      </c>
      <c r="J67" s="2070">
        <v>0</v>
      </c>
      <c r="K67" s="2070">
        <v>0</v>
      </c>
      <c r="L67" s="2070">
        <v>0</v>
      </c>
      <c r="M67" s="2070">
        <v>0</v>
      </c>
      <c r="N67" s="2070">
        <v>0</v>
      </c>
      <c r="O67" s="2070">
        <v>0</v>
      </c>
      <c r="P67" s="2070">
        <v>0</v>
      </c>
      <c r="Q67" s="2070">
        <v>0</v>
      </c>
      <c r="R67" s="2070">
        <v>0</v>
      </c>
      <c r="S67" s="2070">
        <v>0</v>
      </c>
      <c r="T67" s="2070">
        <v>0</v>
      </c>
      <c r="U67" s="2070">
        <v>0</v>
      </c>
      <c r="V67" s="2070">
        <v>0</v>
      </c>
      <c r="W67" s="2070">
        <v>0</v>
      </c>
      <c r="X67" s="2070">
        <v>0</v>
      </c>
    </row>
    <row r="68" spans="1:24" ht="11.25" customHeight="1">
      <c r="A68" s="2074" t="s">
        <v>5827</v>
      </c>
      <c r="B68" s="2069" t="s">
        <v>5828</v>
      </c>
      <c r="C68" s="2070">
        <v>0</v>
      </c>
      <c r="D68" s="2070">
        <v>0</v>
      </c>
      <c r="E68" s="2070">
        <v>0</v>
      </c>
      <c r="F68" s="2070">
        <v>0</v>
      </c>
      <c r="G68" s="2070">
        <v>0</v>
      </c>
      <c r="H68" s="2070">
        <v>0</v>
      </c>
      <c r="I68" s="2070">
        <v>0</v>
      </c>
      <c r="J68" s="2070">
        <v>0</v>
      </c>
      <c r="K68" s="2070">
        <v>0</v>
      </c>
      <c r="L68" s="2070">
        <v>0</v>
      </c>
      <c r="M68" s="2070">
        <v>0</v>
      </c>
      <c r="N68" s="2070">
        <v>0</v>
      </c>
      <c r="O68" s="2070">
        <v>0</v>
      </c>
      <c r="P68" s="2070">
        <v>0</v>
      </c>
      <c r="Q68" s="2070">
        <v>0</v>
      </c>
      <c r="R68" s="2070">
        <v>0</v>
      </c>
      <c r="S68" s="2070">
        <v>0</v>
      </c>
      <c r="T68" s="2070">
        <v>0</v>
      </c>
      <c r="U68" s="2070">
        <v>0</v>
      </c>
      <c r="V68" s="2070">
        <v>0</v>
      </c>
      <c r="W68" s="2070">
        <v>0</v>
      </c>
      <c r="X68" s="2070">
        <v>0</v>
      </c>
    </row>
    <row r="69" spans="1:24" ht="11.25" customHeight="1">
      <c r="A69" s="2074" t="s">
        <v>4619</v>
      </c>
      <c r="B69" s="2069" t="s">
        <v>5829</v>
      </c>
      <c r="C69" s="2070">
        <v>14.368959587274292</v>
      </c>
      <c r="D69" s="2070">
        <v>17.961220980223562</v>
      </c>
      <c r="E69" s="2070">
        <v>21.553482373172827</v>
      </c>
      <c r="F69" s="2070">
        <v>3.4323301805674982</v>
      </c>
      <c r="G69" s="2070">
        <v>9.6885640584694777</v>
      </c>
      <c r="H69" s="2070">
        <v>145.85640584694752</v>
      </c>
      <c r="I69" s="2070">
        <v>606.2269991401547</v>
      </c>
      <c r="J69" s="2070">
        <v>709.94969905417008</v>
      </c>
      <c r="K69" s="2070">
        <v>288.68830610490113</v>
      </c>
      <c r="L69" s="2070">
        <v>75.963198624247639</v>
      </c>
      <c r="M69" s="2070">
        <v>51.818744625967341</v>
      </c>
      <c r="N69" s="2070">
        <v>16.4810834049871</v>
      </c>
      <c r="O69" s="2070">
        <v>15.939294926913156</v>
      </c>
      <c r="P69" s="2070">
        <v>4.1387790197764405</v>
      </c>
      <c r="Q69" s="2070">
        <v>7.7967325881341356</v>
      </c>
      <c r="R69" s="2070">
        <v>3.8918314703353385</v>
      </c>
      <c r="S69" s="2070">
        <v>3.8798796216681</v>
      </c>
      <c r="T69" s="2070">
        <v>1.6894239036973344</v>
      </c>
      <c r="U69" s="2070">
        <v>0.68564058469475497</v>
      </c>
      <c r="V69" s="2070">
        <v>1.3052450558899396</v>
      </c>
      <c r="W69" s="2070">
        <v>0.73723129836629409</v>
      </c>
      <c r="X69" s="2070">
        <v>1.395442820292347</v>
      </c>
    </row>
    <row r="70" spans="1:24" ht="11.25" customHeight="1">
      <c r="A70" s="2074" t="s">
        <v>5830</v>
      </c>
      <c r="B70" s="2069" t="s">
        <v>5831</v>
      </c>
      <c r="C70" s="2070">
        <v>0</v>
      </c>
      <c r="D70" s="2070">
        <v>0</v>
      </c>
      <c r="E70" s="2070">
        <v>0</v>
      </c>
      <c r="F70" s="2070">
        <v>0</v>
      </c>
      <c r="G70" s="2070">
        <v>0</v>
      </c>
      <c r="H70" s="2070">
        <v>0</v>
      </c>
      <c r="I70" s="2070">
        <v>0</v>
      </c>
      <c r="J70" s="2070">
        <v>0</v>
      </c>
      <c r="K70" s="2070">
        <v>0</v>
      </c>
      <c r="L70" s="2070">
        <v>0</v>
      </c>
      <c r="M70" s="2070">
        <v>0</v>
      </c>
      <c r="N70" s="2070">
        <v>0</v>
      </c>
      <c r="O70" s="2070">
        <v>0</v>
      </c>
      <c r="P70" s="2070">
        <v>0</v>
      </c>
      <c r="Q70" s="2070">
        <v>0</v>
      </c>
      <c r="R70" s="2070">
        <v>0</v>
      </c>
      <c r="S70" s="2070">
        <v>0</v>
      </c>
      <c r="T70" s="2070">
        <v>0</v>
      </c>
      <c r="U70" s="2070">
        <v>0</v>
      </c>
      <c r="V70" s="2070">
        <v>0</v>
      </c>
      <c r="W70" s="2070">
        <v>0</v>
      </c>
      <c r="X70" s="2070">
        <v>0</v>
      </c>
    </row>
    <row r="71" spans="1:24" ht="11.25" customHeight="1">
      <c r="A71" s="2071" t="s">
        <v>5832</v>
      </c>
      <c r="B71" s="2072" t="s">
        <v>5833</v>
      </c>
      <c r="C71" s="2073">
        <v>0</v>
      </c>
      <c r="D71" s="2073">
        <v>0</v>
      </c>
      <c r="E71" s="2073">
        <v>0</v>
      </c>
      <c r="F71" s="2073">
        <v>0</v>
      </c>
      <c r="G71" s="2073">
        <v>0</v>
      </c>
      <c r="H71" s="2073">
        <v>0</v>
      </c>
      <c r="I71" s="2073">
        <v>0</v>
      </c>
      <c r="J71" s="2073">
        <v>0</v>
      </c>
      <c r="K71" s="2073">
        <v>0</v>
      </c>
      <c r="L71" s="2073">
        <v>0</v>
      </c>
      <c r="M71" s="2073">
        <v>0</v>
      </c>
      <c r="N71" s="2073">
        <v>0</v>
      </c>
      <c r="O71" s="2073">
        <v>0</v>
      </c>
      <c r="P71" s="2073">
        <v>0</v>
      </c>
      <c r="Q71" s="2073">
        <v>0</v>
      </c>
      <c r="R71" s="2073">
        <v>0</v>
      </c>
      <c r="S71" s="2073">
        <v>0</v>
      </c>
      <c r="T71" s="2073">
        <v>0</v>
      </c>
      <c r="U71" s="2073">
        <v>0</v>
      </c>
      <c r="V71" s="2073">
        <v>0</v>
      </c>
      <c r="W71" s="2073">
        <v>0</v>
      </c>
      <c r="X71" s="2073">
        <v>0</v>
      </c>
    </row>
    <row r="72" spans="1:24" ht="11.25" customHeight="1">
      <c r="A72" s="2074" t="s">
        <v>5834</v>
      </c>
      <c r="B72" s="2069" t="s">
        <v>5835</v>
      </c>
      <c r="C72" s="2070">
        <v>0</v>
      </c>
      <c r="D72" s="2070">
        <v>0</v>
      </c>
      <c r="E72" s="2070">
        <v>0</v>
      </c>
      <c r="F72" s="2070">
        <v>0</v>
      </c>
      <c r="G72" s="2070">
        <v>0</v>
      </c>
      <c r="H72" s="2070">
        <v>0</v>
      </c>
      <c r="I72" s="2070">
        <v>0</v>
      </c>
      <c r="J72" s="2070">
        <v>0</v>
      </c>
      <c r="K72" s="2070">
        <v>0</v>
      </c>
      <c r="L72" s="2070">
        <v>0</v>
      </c>
      <c r="M72" s="2070">
        <v>0</v>
      </c>
      <c r="N72" s="2070">
        <v>0</v>
      </c>
      <c r="O72" s="2070">
        <v>0</v>
      </c>
      <c r="P72" s="2070">
        <v>0</v>
      </c>
      <c r="Q72" s="2070">
        <v>0</v>
      </c>
      <c r="R72" s="2070">
        <v>0</v>
      </c>
      <c r="S72" s="2070">
        <v>0</v>
      </c>
      <c r="T72" s="2070">
        <v>0</v>
      </c>
      <c r="U72" s="2070">
        <v>0</v>
      </c>
      <c r="V72" s="2070">
        <v>0</v>
      </c>
      <c r="W72" s="2070">
        <v>0</v>
      </c>
      <c r="X72" s="2070">
        <v>0</v>
      </c>
    </row>
    <row r="73" spans="1:24" ht="11.25" customHeight="1">
      <c r="A73" s="2074" t="s">
        <v>5836</v>
      </c>
      <c r="B73" s="2069" t="s">
        <v>5837</v>
      </c>
      <c r="C73" s="2070">
        <v>0</v>
      </c>
      <c r="D73" s="2070">
        <v>0</v>
      </c>
      <c r="E73" s="2070">
        <v>0</v>
      </c>
      <c r="F73" s="2070">
        <v>0</v>
      </c>
      <c r="G73" s="2070">
        <v>0</v>
      </c>
      <c r="H73" s="2070">
        <v>0</v>
      </c>
      <c r="I73" s="2070">
        <v>0</v>
      </c>
      <c r="J73" s="2070">
        <v>0</v>
      </c>
      <c r="K73" s="2070">
        <v>0</v>
      </c>
      <c r="L73" s="2070">
        <v>0</v>
      </c>
      <c r="M73" s="2070">
        <v>0</v>
      </c>
      <c r="N73" s="2070">
        <v>0</v>
      </c>
      <c r="O73" s="2070">
        <v>0</v>
      </c>
      <c r="P73" s="2070">
        <v>0</v>
      </c>
      <c r="Q73" s="2070">
        <v>0</v>
      </c>
      <c r="R73" s="2070">
        <v>0</v>
      </c>
      <c r="S73" s="2070">
        <v>0</v>
      </c>
      <c r="T73" s="2070">
        <v>0</v>
      </c>
      <c r="U73" s="2070">
        <v>0</v>
      </c>
      <c r="V73" s="2070">
        <v>0</v>
      </c>
      <c r="W73" s="2070">
        <v>0</v>
      </c>
      <c r="X73" s="2070">
        <v>0</v>
      </c>
    </row>
    <row r="74" spans="1:24" ht="11.25" customHeight="1">
      <c r="A74" s="2071" t="s">
        <v>4616</v>
      </c>
      <c r="B74" s="2072" t="s">
        <v>5838</v>
      </c>
      <c r="C74" s="2073">
        <v>0</v>
      </c>
      <c r="D74" s="2073">
        <v>0</v>
      </c>
      <c r="E74" s="2073">
        <v>0</v>
      </c>
      <c r="F74" s="2073">
        <v>0</v>
      </c>
      <c r="G74" s="2073">
        <v>0</v>
      </c>
      <c r="H74" s="2073">
        <v>0</v>
      </c>
      <c r="I74" s="2073">
        <v>0</v>
      </c>
      <c r="J74" s="2073">
        <v>0</v>
      </c>
      <c r="K74" s="2073">
        <v>0</v>
      </c>
      <c r="L74" s="2073">
        <v>0</v>
      </c>
      <c r="M74" s="2073">
        <v>0</v>
      </c>
      <c r="N74" s="2073">
        <v>0</v>
      </c>
      <c r="O74" s="2073">
        <v>0</v>
      </c>
      <c r="P74" s="2073">
        <v>0</v>
      </c>
      <c r="Q74" s="2073">
        <v>0</v>
      </c>
      <c r="R74" s="2073">
        <v>0</v>
      </c>
      <c r="S74" s="2073">
        <v>0</v>
      </c>
      <c r="T74" s="2073">
        <v>0</v>
      </c>
      <c r="U74" s="2073">
        <v>0</v>
      </c>
      <c r="V74" s="2073">
        <v>0</v>
      </c>
      <c r="W74" s="2073">
        <v>0</v>
      </c>
      <c r="X74" s="2073">
        <v>0</v>
      </c>
    </row>
    <row r="75" spans="1:24" ht="11.25" customHeight="1">
      <c r="A75" s="2071" t="s">
        <v>4671</v>
      </c>
      <c r="B75" s="2072" t="s">
        <v>5839</v>
      </c>
      <c r="C75" s="2073">
        <v>0</v>
      </c>
      <c r="D75" s="2073">
        <v>0</v>
      </c>
      <c r="E75" s="2073">
        <v>0</v>
      </c>
      <c r="F75" s="2073">
        <v>0</v>
      </c>
      <c r="G75" s="2073">
        <v>0</v>
      </c>
      <c r="H75" s="2073">
        <v>0</v>
      </c>
      <c r="I75" s="2073">
        <v>0</v>
      </c>
      <c r="J75" s="2073">
        <v>0</v>
      </c>
      <c r="K75" s="2073">
        <v>0</v>
      </c>
      <c r="L75" s="2073">
        <v>0</v>
      </c>
      <c r="M75" s="2073">
        <v>0</v>
      </c>
      <c r="N75" s="2073">
        <v>0</v>
      </c>
      <c r="O75" s="2073">
        <v>0</v>
      </c>
      <c r="P75" s="2073">
        <v>0</v>
      </c>
      <c r="Q75" s="2073">
        <v>0</v>
      </c>
      <c r="R75" s="2073">
        <v>0</v>
      </c>
      <c r="S75" s="2073">
        <v>0</v>
      </c>
      <c r="T75" s="2073">
        <v>0</v>
      </c>
      <c r="U75" s="2073">
        <v>0</v>
      </c>
      <c r="V75" s="2073">
        <v>0</v>
      </c>
      <c r="W75" s="2073">
        <v>0</v>
      </c>
      <c r="X75" s="2073">
        <v>0</v>
      </c>
    </row>
    <row r="76" spans="1:24" ht="11.25" customHeight="1">
      <c r="A76" s="2075" t="s">
        <v>4282</v>
      </c>
      <c r="B76" s="2076" t="s">
        <v>5840</v>
      </c>
      <c r="C76" s="2077">
        <v>4560.4790796703955</v>
      </c>
      <c r="D76" s="2077">
        <v>4583.6007429001565</v>
      </c>
      <c r="E76" s="2077">
        <v>4639.6577419354589</v>
      </c>
      <c r="F76" s="2077">
        <v>4411.7463084698129</v>
      </c>
      <c r="G76" s="2077">
        <v>4452.8815679653571</v>
      </c>
      <c r="H76" s="2077">
        <v>4428.7256327504783</v>
      </c>
      <c r="I76" s="2077">
        <v>4261.0557408197728</v>
      </c>
      <c r="J76" s="2077">
        <v>4264.4930316180626</v>
      </c>
      <c r="K76" s="2077">
        <v>4178.3904929367172</v>
      </c>
      <c r="L76" s="2077">
        <v>4119.2145604839825</v>
      </c>
      <c r="M76" s="2077">
        <v>4210.1268840261919</v>
      </c>
      <c r="N76" s="2077">
        <v>4350.9757853539359</v>
      </c>
      <c r="O76" s="2077">
        <v>4340.9594802507518</v>
      </c>
      <c r="P76" s="2077">
        <v>4381.3594148519051</v>
      </c>
      <c r="Q76" s="2077">
        <v>4269.4182745805292</v>
      </c>
      <c r="R76" s="2077">
        <v>4318.3270730667919</v>
      </c>
      <c r="S76" s="2077">
        <v>4432.5702170025907</v>
      </c>
      <c r="T76" s="2077">
        <v>4514.2470153839022</v>
      </c>
      <c r="U76" s="2077">
        <v>4576.5374794638583</v>
      </c>
      <c r="V76" s="2077">
        <v>4575.1883804875079</v>
      </c>
      <c r="W76" s="2077">
        <v>4301.1249437401239</v>
      </c>
      <c r="X76" s="2077">
        <v>5008.0002367559955</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DC1D9-B29D-4AF9-A66F-93C334C75F48}">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baseColWidth="10" defaultColWidth="9.1640625" defaultRowHeight="11.25" customHeight="1"/>
  <cols>
    <col min="1" max="1" width="40.6640625" style="2059" bestFit="1" customWidth="1"/>
    <col min="2" max="2" width="16.1640625" style="2059" bestFit="1" customWidth="1"/>
    <col min="3" max="24" width="9.6640625" style="2059" customWidth="1"/>
    <col min="25" max="16384" width="9.1640625" style="2059"/>
  </cols>
  <sheetData>
    <row r="1" spans="1:24" ht="11.25" customHeight="1">
      <c r="A1" s="2057" t="s">
        <v>5873</v>
      </c>
      <c r="B1" s="2057" t="s">
        <v>5874</v>
      </c>
      <c r="C1" s="2058">
        <v>2000</v>
      </c>
      <c r="D1" s="2058">
        <v>2001</v>
      </c>
      <c r="E1" s="2058">
        <v>2002</v>
      </c>
      <c r="F1" s="2058">
        <v>2003</v>
      </c>
      <c r="G1" s="2058">
        <v>2004</v>
      </c>
      <c r="H1" s="2058">
        <v>2005</v>
      </c>
      <c r="I1" s="2058">
        <v>2006</v>
      </c>
      <c r="J1" s="2058">
        <v>2007</v>
      </c>
      <c r="K1" s="2058">
        <v>2008</v>
      </c>
      <c r="L1" s="2058">
        <v>2009</v>
      </c>
      <c r="M1" s="2058">
        <v>2010</v>
      </c>
      <c r="N1" s="2058">
        <v>2011</v>
      </c>
      <c r="O1" s="2058">
        <v>2012</v>
      </c>
      <c r="P1" s="2058">
        <v>2013</v>
      </c>
      <c r="Q1" s="2058">
        <v>2014</v>
      </c>
      <c r="R1" s="2058">
        <v>2015</v>
      </c>
      <c r="S1" s="2058">
        <v>2016</v>
      </c>
      <c r="T1" s="2058">
        <v>2017</v>
      </c>
      <c r="U1" s="2058">
        <v>2018</v>
      </c>
      <c r="V1" s="2058">
        <v>2019</v>
      </c>
      <c r="W1" s="2058">
        <v>2020</v>
      </c>
      <c r="X1" s="2058">
        <v>2021</v>
      </c>
    </row>
    <row r="2" spans="1:24" ht="11.25" customHeight="1">
      <c r="A2" s="2060" t="s">
        <v>1265</v>
      </c>
      <c r="B2" s="2060" t="s">
        <v>5738</v>
      </c>
      <c r="C2" s="2061">
        <v>393134.71263595251</v>
      </c>
      <c r="D2" s="2061">
        <v>413087.2904456589</v>
      </c>
      <c r="E2" s="2061">
        <v>405575.49221867975</v>
      </c>
      <c r="F2" s="2061">
        <v>424011.54460220097</v>
      </c>
      <c r="G2" s="2061">
        <v>426259.22873325279</v>
      </c>
      <c r="H2" s="2061">
        <v>430755.26315180497</v>
      </c>
      <c r="I2" s="2061">
        <v>433915.8099729555</v>
      </c>
      <c r="J2" s="2061">
        <v>405874.95246194111</v>
      </c>
      <c r="K2" s="2061">
        <v>428367.5923961433</v>
      </c>
      <c r="L2" s="2061">
        <v>426039.68363384105</v>
      </c>
      <c r="M2" s="2061">
        <v>450724.77105234523</v>
      </c>
      <c r="N2" s="2061">
        <v>411956.66712092288</v>
      </c>
      <c r="O2" s="2061">
        <v>425613.14696858847</v>
      </c>
      <c r="P2" s="2061">
        <v>430520.74892564677</v>
      </c>
      <c r="Q2" s="2061">
        <v>388896.60451131803</v>
      </c>
      <c r="R2" s="2061">
        <v>404594.41626313259</v>
      </c>
      <c r="S2" s="2061">
        <v>412313.84018712462</v>
      </c>
      <c r="T2" s="2061">
        <v>417244.77413376712</v>
      </c>
      <c r="U2" s="2061">
        <v>415717.66630385513</v>
      </c>
      <c r="V2" s="2061">
        <v>410848.43715691578</v>
      </c>
      <c r="W2" s="2061">
        <v>403791.80153949291</v>
      </c>
      <c r="X2" s="2061">
        <v>423332.8291699508</v>
      </c>
    </row>
    <row r="3" spans="1:24" ht="11.25" customHeight="1">
      <c r="A3" s="2062" t="s">
        <v>5739</v>
      </c>
      <c r="B3" s="2063" t="s">
        <v>5740</v>
      </c>
      <c r="C3" s="2064">
        <v>10996.50799656062</v>
      </c>
      <c r="D3" s="2064">
        <v>11006.125795356835</v>
      </c>
      <c r="E3" s="2064">
        <v>11304.402321582114</v>
      </c>
      <c r="F3" s="2064">
        <v>11096.18950988822</v>
      </c>
      <c r="G3" s="2064">
        <v>11265.064144453994</v>
      </c>
      <c r="H3" s="2064">
        <v>11162.472398968182</v>
      </c>
      <c r="I3" s="2064">
        <v>12565.295700773859</v>
      </c>
      <c r="J3" s="2064">
        <v>11323.491057609628</v>
      </c>
      <c r="K3" s="2064">
        <v>12074.428030954428</v>
      </c>
      <c r="L3" s="2064">
        <v>12417.26087704213</v>
      </c>
      <c r="M3" s="2064">
        <v>14026.144196044712</v>
      </c>
      <c r="N3" s="2064">
        <v>12202.57987962166</v>
      </c>
      <c r="O3" s="2064">
        <v>12282.576096302666</v>
      </c>
      <c r="P3" s="2064">
        <v>11871.895012897678</v>
      </c>
      <c r="Q3" s="2064">
        <v>10634.794840928631</v>
      </c>
      <c r="R3" s="2064">
        <v>10539.802149613059</v>
      </c>
      <c r="S3" s="2064">
        <v>10753.545313843506</v>
      </c>
      <c r="T3" s="2064">
        <v>10727.007652622531</v>
      </c>
      <c r="U3" s="2064">
        <v>10050.334737747202</v>
      </c>
      <c r="V3" s="2064">
        <v>8144.2673258813347</v>
      </c>
      <c r="W3" s="2064">
        <v>8236.9719690455695</v>
      </c>
      <c r="X3" s="2064">
        <v>7966.2342218400699</v>
      </c>
    </row>
    <row r="4" spans="1:24" ht="11.25" customHeight="1">
      <c r="A4" s="2065" t="s">
        <v>5741</v>
      </c>
      <c r="B4" s="2066" t="s">
        <v>5742</v>
      </c>
      <c r="C4" s="2067">
        <v>6646.0256233877899</v>
      </c>
      <c r="D4" s="2067">
        <v>7316.21788478074</v>
      </c>
      <c r="E4" s="2067">
        <v>7690.1326741186585</v>
      </c>
      <c r="F4" s="2067">
        <v>7725.0184866723994</v>
      </c>
      <c r="G4" s="2067">
        <v>8152.6702493551138</v>
      </c>
      <c r="H4" s="2067">
        <v>8925.8920034393777</v>
      </c>
      <c r="I4" s="2067">
        <v>10018.412467755801</v>
      </c>
      <c r="J4" s="2067">
        <v>9424.7399828030921</v>
      </c>
      <c r="K4" s="2067">
        <v>9971.3768701633708</v>
      </c>
      <c r="L4" s="2067">
        <v>10261.666380051589</v>
      </c>
      <c r="M4" s="2067">
        <v>11447.095442820293</v>
      </c>
      <c r="N4" s="2067">
        <v>9823.71315563198</v>
      </c>
      <c r="O4" s="2067">
        <v>10242.416251074806</v>
      </c>
      <c r="P4" s="2067">
        <v>9759.6390369733435</v>
      </c>
      <c r="Q4" s="2067">
        <v>8909.5595872742888</v>
      </c>
      <c r="R4" s="2067">
        <v>8833.9239896818472</v>
      </c>
      <c r="S4" s="2067">
        <v>9109.3662080825434</v>
      </c>
      <c r="T4" s="2067">
        <v>9032.8510748065382</v>
      </c>
      <c r="U4" s="2067">
        <v>8483.6588993981059</v>
      </c>
      <c r="V4" s="2067">
        <v>6851.1999999999944</v>
      </c>
      <c r="W4" s="2067">
        <v>7062.2462596732576</v>
      </c>
      <c r="X4" s="2067">
        <v>6730.6623387790205</v>
      </c>
    </row>
    <row r="5" spans="1:24" ht="11.25" customHeight="1">
      <c r="A5" s="2068" t="s">
        <v>4613</v>
      </c>
      <c r="B5" s="2069" t="s">
        <v>5743</v>
      </c>
      <c r="C5" s="2070">
        <v>38.311435941530512</v>
      </c>
      <c r="D5" s="2070">
        <v>41.102837489251939</v>
      </c>
      <c r="E5" s="2070">
        <v>223.06732588134139</v>
      </c>
      <c r="F5" s="2070">
        <v>269.08650042992258</v>
      </c>
      <c r="G5" s="2070">
        <v>384.82072226999128</v>
      </c>
      <c r="H5" s="2070">
        <v>392.06139294926908</v>
      </c>
      <c r="I5" s="2070">
        <v>435.06569217540851</v>
      </c>
      <c r="J5" s="2070">
        <v>422.83766122098012</v>
      </c>
      <c r="K5" s="2070">
        <v>476.65743766122074</v>
      </c>
      <c r="L5" s="2070">
        <v>455.1349957007738</v>
      </c>
      <c r="M5" s="2070">
        <v>431.14772141014612</v>
      </c>
      <c r="N5" s="2070">
        <v>373.72312983662925</v>
      </c>
      <c r="O5" s="2070">
        <v>367.23095442820289</v>
      </c>
      <c r="P5" s="2070">
        <v>397.695958727429</v>
      </c>
      <c r="Q5" s="2070">
        <v>326.08779019776426</v>
      </c>
      <c r="R5" s="2070">
        <v>337.39191745485812</v>
      </c>
      <c r="S5" s="2070">
        <v>321.19484092863274</v>
      </c>
      <c r="T5" s="2070">
        <v>278.66706792777291</v>
      </c>
      <c r="U5" s="2070">
        <v>259.40593293207223</v>
      </c>
      <c r="V5" s="2070">
        <v>192.81238177128105</v>
      </c>
      <c r="W5" s="2070">
        <v>154.99105760963025</v>
      </c>
      <c r="X5" s="2070">
        <v>149.19294926913159</v>
      </c>
    </row>
    <row r="6" spans="1:24" ht="11.25" customHeight="1">
      <c r="A6" s="2068" t="s">
        <v>4647</v>
      </c>
      <c r="B6" s="2069" t="s">
        <v>5744</v>
      </c>
      <c r="C6" s="2070">
        <v>1.3987962166809975</v>
      </c>
      <c r="D6" s="2070">
        <v>1.4046431642304382</v>
      </c>
      <c r="E6" s="2070">
        <v>3.369991401547721</v>
      </c>
      <c r="F6" s="2070">
        <v>0</v>
      </c>
      <c r="G6" s="2070">
        <v>0</v>
      </c>
      <c r="H6" s="2070">
        <v>0</v>
      </c>
      <c r="I6" s="2070">
        <v>0</v>
      </c>
      <c r="J6" s="2070">
        <v>0</v>
      </c>
      <c r="K6" s="2070">
        <v>1.3680997420464325</v>
      </c>
      <c r="L6" s="2070">
        <v>1.3810834049871026</v>
      </c>
      <c r="M6" s="2070">
        <v>0.70008598452278603</v>
      </c>
      <c r="N6" s="2070">
        <v>0.68624247635425639</v>
      </c>
      <c r="O6" s="2070">
        <v>0.6995700773860708</v>
      </c>
      <c r="P6" s="2070">
        <v>0</v>
      </c>
      <c r="Q6" s="2070">
        <v>0</v>
      </c>
      <c r="R6" s="2070">
        <v>0</v>
      </c>
      <c r="S6" s="2070">
        <v>0</v>
      </c>
      <c r="T6" s="2070">
        <v>0</v>
      </c>
      <c r="U6" s="2070">
        <v>0</v>
      </c>
      <c r="V6" s="2070">
        <v>6.8787618228718705E-2</v>
      </c>
      <c r="W6" s="2070">
        <v>2.8374892519346514E-3</v>
      </c>
      <c r="X6" s="2070">
        <v>0.49260533104041226</v>
      </c>
    </row>
    <row r="7" spans="1:24" ht="11.25" customHeight="1">
      <c r="A7" s="2068" t="s">
        <v>4648</v>
      </c>
      <c r="B7" s="2069" t="s">
        <v>5745</v>
      </c>
      <c r="C7" s="2070">
        <v>6606.3153912295784</v>
      </c>
      <c r="D7" s="2070">
        <v>7273.7104041272578</v>
      </c>
      <c r="E7" s="2070">
        <v>7463.6953568357694</v>
      </c>
      <c r="F7" s="2070">
        <v>7455.9319862424763</v>
      </c>
      <c r="G7" s="2070">
        <v>7767.8495270851226</v>
      </c>
      <c r="H7" s="2070">
        <v>8533.8306104901094</v>
      </c>
      <c r="I7" s="2070">
        <v>9583.3467755803922</v>
      </c>
      <c r="J7" s="2070">
        <v>9001.9023215821126</v>
      </c>
      <c r="K7" s="2070">
        <v>9493.3513327601031</v>
      </c>
      <c r="L7" s="2070">
        <v>9805.1503009458283</v>
      </c>
      <c r="M7" s="2070">
        <v>11015.247635425625</v>
      </c>
      <c r="N7" s="2070">
        <v>9449.3037833189974</v>
      </c>
      <c r="O7" s="2070">
        <v>9874.4857265692171</v>
      </c>
      <c r="P7" s="2070">
        <v>9361.9430782459149</v>
      </c>
      <c r="Q7" s="2070">
        <v>8583.471797076525</v>
      </c>
      <c r="R7" s="2070">
        <v>8496.5320722269898</v>
      </c>
      <c r="S7" s="2070">
        <v>8788.171367153911</v>
      </c>
      <c r="T7" s="2070">
        <v>8754.184006878766</v>
      </c>
      <c r="U7" s="2070">
        <v>8224.2529664660342</v>
      </c>
      <c r="V7" s="2070">
        <v>6658.3188306104848</v>
      </c>
      <c r="W7" s="2070">
        <v>6907.252364574375</v>
      </c>
      <c r="X7" s="2070">
        <v>6580.9767841788489</v>
      </c>
    </row>
    <row r="8" spans="1:24" ht="11.25" customHeight="1">
      <c r="A8" s="2065" t="s">
        <v>5746</v>
      </c>
      <c r="B8" s="2066" t="s">
        <v>5747</v>
      </c>
      <c r="C8" s="2067">
        <v>1788.4813413585553</v>
      </c>
      <c r="D8" s="2067">
        <v>1396.5595872742906</v>
      </c>
      <c r="E8" s="2067">
        <v>1537.0141874462597</v>
      </c>
      <c r="F8" s="2067">
        <v>1560.3451418744623</v>
      </c>
      <c r="G8" s="2067">
        <v>1668.9415305245057</v>
      </c>
      <c r="H8" s="2067">
        <v>1073.6595872742901</v>
      </c>
      <c r="I8" s="2067">
        <v>1311.406706792777</v>
      </c>
      <c r="J8" s="2067">
        <v>930.83043852106584</v>
      </c>
      <c r="K8" s="2067">
        <v>1057.8176268271709</v>
      </c>
      <c r="L8" s="2067">
        <v>933.61711092003441</v>
      </c>
      <c r="M8" s="2067">
        <v>1115.5459157351677</v>
      </c>
      <c r="N8" s="2067">
        <v>1047.8607050730868</v>
      </c>
      <c r="O8" s="2067">
        <v>1001.3434221840064</v>
      </c>
      <c r="P8" s="2067">
        <v>1026.6211521926052</v>
      </c>
      <c r="Q8" s="2067">
        <v>894.31719690455714</v>
      </c>
      <c r="R8" s="2067">
        <v>876.30696474634556</v>
      </c>
      <c r="S8" s="2067">
        <v>877.25967325881379</v>
      </c>
      <c r="T8" s="2067">
        <v>836.88916595012893</v>
      </c>
      <c r="U8" s="2067">
        <v>715.37033533963836</v>
      </c>
      <c r="V8" s="2067">
        <v>630.57360275150427</v>
      </c>
      <c r="W8" s="2067">
        <v>564.59406706792765</v>
      </c>
      <c r="X8" s="2067">
        <v>542.98409286328467</v>
      </c>
    </row>
    <row r="9" spans="1:24" ht="11.25" customHeight="1">
      <c r="A9" s="2068" t="s">
        <v>4649</v>
      </c>
      <c r="B9" s="2069" t="s">
        <v>5748</v>
      </c>
      <c r="C9" s="2070">
        <v>176.87824591573516</v>
      </c>
      <c r="D9" s="2070">
        <v>151.43628546861564</v>
      </c>
      <c r="E9" s="2070">
        <v>167.88478073946689</v>
      </c>
      <c r="F9" s="2070">
        <v>185.76526225279449</v>
      </c>
      <c r="G9" s="2070">
        <v>178.86723989681855</v>
      </c>
      <c r="H9" s="2070">
        <v>208.22175408426475</v>
      </c>
      <c r="I9" s="2070">
        <v>228.26259673258809</v>
      </c>
      <c r="J9" s="2070">
        <v>166.45055889939809</v>
      </c>
      <c r="K9" s="2070">
        <v>210.31092003439372</v>
      </c>
      <c r="L9" s="2070">
        <v>129.10017196904559</v>
      </c>
      <c r="M9" s="2070">
        <v>145.70472914875322</v>
      </c>
      <c r="N9" s="2070">
        <v>76.415993121238188</v>
      </c>
      <c r="O9" s="2070">
        <v>59.941186586414481</v>
      </c>
      <c r="P9" s="2070">
        <v>37.072226999140156</v>
      </c>
      <c r="Q9" s="2070">
        <v>53.18632846087705</v>
      </c>
      <c r="R9" s="2070">
        <v>49.097936371453144</v>
      </c>
      <c r="S9" s="2070">
        <v>63.223817712811709</v>
      </c>
      <c r="T9" s="2070">
        <v>0.38271711092003435</v>
      </c>
      <c r="U9" s="2070">
        <v>0.21642304385210662</v>
      </c>
      <c r="V9" s="2070">
        <v>0.4441960447119519</v>
      </c>
      <c r="W9" s="2070">
        <v>0.29914015477214118</v>
      </c>
      <c r="X9" s="2070">
        <v>0.13869303525365437</v>
      </c>
    </row>
    <row r="10" spans="1:24" ht="11.25" customHeight="1">
      <c r="A10" s="2068" t="s">
        <v>4290</v>
      </c>
      <c r="B10" s="2069" t="s">
        <v>5749</v>
      </c>
      <c r="C10" s="2070">
        <v>1611.6030954428202</v>
      </c>
      <c r="D10" s="2070">
        <v>1245.1233018056751</v>
      </c>
      <c r="E10" s="2070">
        <v>1369.1294067067929</v>
      </c>
      <c r="F10" s="2070">
        <v>1374.5798796216679</v>
      </c>
      <c r="G10" s="2070">
        <v>1490.0742906276871</v>
      </c>
      <c r="H10" s="2070">
        <v>865.43783319002523</v>
      </c>
      <c r="I10" s="2070">
        <v>1083.144110060189</v>
      </c>
      <c r="J10" s="2070">
        <v>764.37987962166778</v>
      </c>
      <c r="K10" s="2070">
        <v>847.50670679277709</v>
      </c>
      <c r="L10" s="2070">
        <v>804.51693895098879</v>
      </c>
      <c r="M10" s="2070">
        <v>969.84118658641444</v>
      </c>
      <c r="N10" s="2070">
        <v>971.44471195184872</v>
      </c>
      <c r="O10" s="2070">
        <v>941.40223559759193</v>
      </c>
      <c r="P10" s="2070">
        <v>989.54892519346515</v>
      </c>
      <c r="Q10" s="2070">
        <v>841.13086844368013</v>
      </c>
      <c r="R10" s="2070">
        <v>827.20902837489245</v>
      </c>
      <c r="S10" s="2070">
        <v>814.03585554600204</v>
      </c>
      <c r="T10" s="2070">
        <v>836.50644883920893</v>
      </c>
      <c r="U10" s="2070">
        <v>715.1539122957862</v>
      </c>
      <c r="V10" s="2070">
        <v>630.12940670679234</v>
      </c>
      <c r="W10" s="2070">
        <v>564.29492691315556</v>
      </c>
      <c r="X10" s="2070">
        <v>542.84539982803096</v>
      </c>
    </row>
    <row r="11" spans="1:24" ht="11.25" customHeight="1">
      <c r="A11" s="2065" t="s">
        <v>5750</v>
      </c>
      <c r="B11" s="2066" t="s">
        <v>5751</v>
      </c>
      <c r="C11" s="2067">
        <v>2562.0010318142731</v>
      </c>
      <c r="D11" s="2067">
        <v>2293.348323301806</v>
      </c>
      <c r="E11" s="2067">
        <v>2077.255460017197</v>
      </c>
      <c r="F11" s="2067">
        <v>1810.8258813413586</v>
      </c>
      <c r="G11" s="2067">
        <v>1443.4523645743766</v>
      </c>
      <c r="H11" s="2067">
        <v>1162.9208082545138</v>
      </c>
      <c r="I11" s="2067">
        <v>1235.4765262252795</v>
      </c>
      <c r="J11" s="2067">
        <v>967.92063628546862</v>
      </c>
      <c r="K11" s="2067">
        <v>1045.2335339638862</v>
      </c>
      <c r="L11" s="2067">
        <v>1221.977386070507</v>
      </c>
      <c r="M11" s="2067">
        <v>1463.5028374892518</v>
      </c>
      <c r="N11" s="2067">
        <v>1331.0060189165947</v>
      </c>
      <c r="O11" s="2067">
        <v>1038.8164230438517</v>
      </c>
      <c r="P11" s="2067">
        <v>1085.6348237317284</v>
      </c>
      <c r="Q11" s="2067">
        <v>830.91805674978468</v>
      </c>
      <c r="R11" s="2067">
        <v>829.57119518486661</v>
      </c>
      <c r="S11" s="2067">
        <v>766.91943250214945</v>
      </c>
      <c r="T11" s="2067">
        <v>857.26741186586423</v>
      </c>
      <c r="U11" s="2067">
        <v>851.30550300945788</v>
      </c>
      <c r="V11" s="2067">
        <v>662.49372312983598</v>
      </c>
      <c r="W11" s="2067">
        <v>610.13164230438531</v>
      </c>
      <c r="X11" s="2067">
        <v>692.58779019776421</v>
      </c>
    </row>
    <row r="12" spans="1:24" ht="11.25" customHeight="1">
      <c r="A12" s="2068" t="s">
        <v>4650</v>
      </c>
      <c r="B12" s="2069" t="s">
        <v>5752</v>
      </c>
      <c r="C12" s="2070">
        <v>279.25356835769554</v>
      </c>
      <c r="D12" s="2070">
        <v>209.91358555460016</v>
      </c>
      <c r="E12" s="2070">
        <v>215.32226999140158</v>
      </c>
      <c r="F12" s="2070">
        <v>150.22975064488392</v>
      </c>
      <c r="G12" s="2070">
        <v>118.58263112639723</v>
      </c>
      <c r="H12" s="2070">
        <v>170.73766122098019</v>
      </c>
      <c r="I12" s="2070">
        <v>168.85717970765259</v>
      </c>
      <c r="J12" s="2070">
        <v>161.66251074806536</v>
      </c>
      <c r="K12" s="2070">
        <v>150.2791917454858</v>
      </c>
      <c r="L12" s="2070">
        <v>144.73387790197756</v>
      </c>
      <c r="M12" s="2070">
        <v>354.42510748065331</v>
      </c>
      <c r="N12" s="2070">
        <v>240.31453138435083</v>
      </c>
      <c r="O12" s="2070">
        <v>144.16044711951841</v>
      </c>
      <c r="P12" s="2070">
        <v>151.1625107480653</v>
      </c>
      <c r="Q12" s="2070">
        <v>117.20068787618226</v>
      </c>
      <c r="R12" s="2070">
        <v>151.28073946689597</v>
      </c>
      <c r="S12" s="2070">
        <v>141.98202923473767</v>
      </c>
      <c r="T12" s="2070">
        <v>124.28469475494413</v>
      </c>
      <c r="U12" s="2070">
        <v>106.13215821152187</v>
      </c>
      <c r="V12" s="2070">
        <v>73.626225279449642</v>
      </c>
      <c r="W12" s="2070">
        <v>59.253654342218432</v>
      </c>
      <c r="X12" s="2070">
        <v>64.390799656061887</v>
      </c>
    </row>
    <row r="13" spans="1:24" ht="11.25" customHeight="1">
      <c r="A13" s="2068" t="s">
        <v>4651</v>
      </c>
      <c r="B13" s="2069" t="s">
        <v>5753</v>
      </c>
      <c r="C13" s="2070">
        <v>1179.7570077386069</v>
      </c>
      <c r="D13" s="2070">
        <v>1070.8591573516767</v>
      </c>
      <c r="E13" s="2070">
        <v>872.24084264832322</v>
      </c>
      <c r="F13" s="2070">
        <v>802.36947549441106</v>
      </c>
      <c r="G13" s="2070">
        <v>635.42072226999142</v>
      </c>
      <c r="H13" s="2070">
        <v>332.50782459157347</v>
      </c>
      <c r="I13" s="2070">
        <v>319.8456577815993</v>
      </c>
      <c r="J13" s="2070">
        <v>261.49578675838347</v>
      </c>
      <c r="K13" s="2070">
        <v>210.40472914875323</v>
      </c>
      <c r="L13" s="2070">
        <v>377.22553740326737</v>
      </c>
      <c r="M13" s="2070">
        <v>332.87093723129834</v>
      </c>
      <c r="N13" s="2070">
        <v>426.57790197764399</v>
      </c>
      <c r="O13" s="2070">
        <v>240.86044711951848</v>
      </c>
      <c r="P13" s="2070">
        <v>236.99466895958727</v>
      </c>
      <c r="Q13" s="2070">
        <v>225.1715391229578</v>
      </c>
      <c r="R13" s="2070">
        <v>210.15064488392073</v>
      </c>
      <c r="S13" s="2070">
        <v>174.84221840068781</v>
      </c>
      <c r="T13" s="2070">
        <v>242.04428202923478</v>
      </c>
      <c r="U13" s="2070">
        <v>254.43344797936371</v>
      </c>
      <c r="V13" s="2070">
        <v>150.62175408426469</v>
      </c>
      <c r="W13" s="2070">
        <v>151.47678417884777</v>
      </c>
      <c r="X13" s="2070">
        <v>149.56663800515901</v>
      </c>
    </row>
    <row r="14" spans="1:24" ht="11.25" customHeight="1">
      <c r="A14" s="2068" t="s">
        <v>4652</v>
      </c>
      <c r="B14" s="2069" t="s">
        <v>5754</v>
      </c>
      <c r="C14" s="2070">
        <v>0</v>
      </c>
      <c r="D14" s="2070">
        <v>0</v>
      </c>
      <c r="E14" s="2070">
        <v>0</v>
      </c>
      <c r="F14" s="2070">
        <v>0</v>
      </c>
      <c r="G14" s="2070">
        <v>0</v>
      </c>
      <c r="H14" s="2070">
        <v>0</v>
      </c>
      <c r="I14" s="2070">
        <v>0</v>
      </c>
      <c r="J14" s="2070">
        <v>0</v>
      </c>
      <c r="K14" s="2070">
        <v>0</v>
      </c>
      <c r="L14" s="2070">
        <v>0</v>
      </c>
      <c r="M14" s="2070">
        <v>0</v>
      </c>
      <c r="N14" s="2070">
        <v>0</v>
      </c>
      <c r="O14" s="2070">
        <v>0</v>
      </c>
      <c r="P14" s="2070">
        <v>0</v>
      </c>
      <c r="Q14" s="2070">
        <v>0</v>
      </c>
      <c r="R14" s="2070">
        <v>0</v>
      </c>
      <c r="S14" s="2070">
        <v>0</v>
      </c>
      <c r="T14" s="2070">
        <v>0</v>
      </c>
      <c r="U14" s="2070">
        <v>0</v>
      </c>
      <c r="V14" s="2070">
        <v>0</v>
      </c>
      <c r="W14" s="2070">
        <v>0</v>
      </c>
      <c r="X14" s="2070">
        <v>0</v>
      </c>
    </row>
    <row r="15" spans="1:24" ht="11.25" customHeight="1">
      <c r="A15" s="2068" t="s">
        <v>4653</v>
      </c>
      <c r="B15" s="2069" t="s">
        <v>5755</v>
      </c>
      <c r="C15" s="2070">
        <v>0</v>
      </c>
      <c r="D15" s="2070">
        <v>0</v>
      </c>
      <c r="E15" s="2070">
        <v>0</v>
      </c>
      <c r="F15" s="2070">
        <v>0</v>
      </c>
      <c r="G15" s="2070">
        <v>0</v>
      </c>
      <c r="H15" s="2070">
        <v>0</v>
      </c>
      <c r="I15" s="2070">
        <v>0</v>
      </c>
      <c r="J15" s="2070">
        <v>0</v>
      </c>
      <c r="K15" s="2070">
        <v>0</v>
      </c>
      <c r="L15" s="2070">
        <v>0</v>
      </c>
      <c r="M15" s="2070">
        <v>0</v>
      </c>
      <c r="N15" s="2070">
        <v>0</v>
      </c>
      <c r="O15" s="2070">
        <v>0</v>
      </c>
      <c r="P15" s="2070">
        <v>0</v>
      </c>
      <c r="Q15" s="2070">
        <v>0</v>
      </c>
      <c r="R15" s="2070">
        <v>0</v>
      </c>
      <c r="S15" s="2070">
        <v>0</v>
      </c>
      <c r="T15" s="2070">
        <v>0</v>
      </c>
      <c r="U15" s="2070">
        <v>0</v>
      </c>
      <c r="V15" s="2070">
        <v>0</v>
      </c>
      <c r="W15" s="2070">
        <v>0</v>
      </c>
      <c r="X15" s="2070">
        <v>0</v>
      </c>
    </row>
    <row r="16" spans="1:24" ht="11.25" customHeight="1">
      <c r="A16" s="2068" t="s">
        <v>5756</v>
      </c>
      <c r="B16" s="2069" t="s">
        <v>5757</v>
      </c>
      <c r="C16" s="2070">
        <v>1102.9904557179707</v>
      </c>
      <c r="D16" s="2070">
        <v>1012.5755803955291</v>
      </c>
      <c r="E16" s="2070">
        <v>989.69234737747206</v>
      </c>
      <c r="F16" s="2070">
        <v>858.22665520206363</v>
      </c>
      <c r="G16" s="2070">
        <v>689.44901117798804</v>
      </c>
      <c r="H16" s="2070">
        <v>659.67532244196013</v>
      </c>
      <c r="I16" s="2070">
        <v>746.77368873602757</v>
      </c>
      <c r="J16" s="2070">
        <v>544.76233877901984</v>
      </c>
      <c r="K16" s="2070">
        <v>684.54961306964731</v>
      </c>
      <c r="L16" s="2070">
        <v>700.01797076526213</v>
      </c>
      <c r="M16" s="2070">
        <v>776.20679277729994</v>
      </c>
      <c r="N16" s="2070">
        <v>664.11358555460004</v>
      </c>
      <c r="O16" s="2070">
        <v>653.79552880481481</v>
      </c>
      <c r="P16" s="2070">
        <v>697.47764402407574</v>
      </c>
      <c r="Q16" s="2070">
        <v>488.5458297506446</v>
      </c>
      <c r="R16" s="2070">
        <v>468.13981083404997</v>
      </c>
      <c r="S16" s="2070">
        <v>450.09518486672397</v>
      </c>
      <c r="T16" s="2070">
        <v>490.93843508168527</v>
      </c>
      <c r="U16" s="2070">
        <v>490.73989681857233</v>
      </c>
      <c r="V16" s="2070">
        <v>438.24574376612168</v>
      </c>
      <c r="W16" s="2070">
        <v>399.40120378331909</v>
      </c>
      <c r="X16" s="2070">
        <v>478.63035253654328</v>
      </c>
    </row>
    <row r="17" spans="1:24" ht="11.25" customHeight="1">
      <c r="A17" s="2071" t="s">
        <v>5758</v>
      </c>
      <c r="B17" s="2072" t="s">
        <v>5759</v>
      </c>
      <c r="C17" s="2073">
        <v>185.68357695614787</v>
      </c>
      <c r="D17" s="2073">
        <v>91.40154772141014</v>
      </c>
      <c r="E17" s="2073">
        <v>85.576096302665533</v>
      </c>
      <c r="F17" s="2073">
        <v>79.471195184866744</v>
      </c>
      <c r="G17" s="2073">
        <v>79.213241616509009</v>
      </c>
      <c r="H17" s="2073">
        <v>84.995700773860705</v>
      </c>
      <c r="I17" s="2073">
        <v>81.083404987102327</v>
      </c>
      <c r="J17" s="2073">
        <v>70.098882201203779</v>
      </c>
      <c r="K17" s="2073">
        <v>66.466036113499555</v>
      </c>
      <c r="L17" s="2073">
        <v>59.845227858985382</v>
      </c>
      <c r="M17" s="2073">
        <v>50.515907136715377</v>
      </c>
      <c r="N17" s="2073">
        <v>8.1470335339638851</v>
      </c>
      <c r="O17" s="2073">
        <v>5.1375752364574385</v>
      </c>
      <c r="P17" s="2073">
        <v>3.4393809114359426</v>
      </c>
      <c r="Q17" s="2073">
        <v>2.1281169389509884</v>
      </c>
      <c r="R17" s="2073">
        <v>0.51590713671539135</v>
      </c>
      <c r="S17" s="2073">
        <v>0.30094582975064504</v>
      </c>
      <c r="T17" s="2073">
        <v>0</v>
      </c>
      <c r="U17" s="2073">
        <v>0</v>
      </c>
      <c r="V17" s="2073">
        <v>0</v>
      </c>
      <c r="W17" s="2073">
        <v>13.923731728288905</v>
      </c>
      <c r="X17" s="2073">
        <v>9.1873602751504677</v>
      </c>
    </row>
    <row r="18" spans="1:24" ht="11.25" customHeight="1">
      <c r="A18" s="2074" t="s">
        <v>4654</v>
      </c>
      <c r="B18" s="2069" t="s">
        <v>5760</v>
      </c>
      <c r="C18" s="2070">
        <v>185.68357695614787</v>
      </c>
      <c r="D18" s="2070">
        <v>91.40154772141014</v>
      </c>
      <c r="E18" s="2070">
        <v>85.576096302665533</v>
      </c>
      <c r="F18" s="2070">
        <v>79.471195184866744</v>
      </c>
      <c r="G18" s="2070">
        <v>79.213241616509009</v>
      </c>
      <c r="H18" s="2070">
        <v>84.995700773860705</v>
      </c>
      <c r="I18" s="2070">
        <v>81.06190885640585</v>
      </c>
      <c r="J18" s="2070">
        <v>69.797936371453133</v>
      </c>
      <c r="K18" s="2070">
        <v>66.444539982803079</v>
      </c>
      <c r="L18" s="2070">
        <v>59.802235597592436</v>
      </c>
      <c r="M18" s="2070">
        <v>50.4944110060189</v>
      </c>
      <c r="N18" s="2070">
        <v>8.1255374032674101</v>
      </c>
      <c r="O18" s="2070">
        <v>5.1160791057609636</v>
      </c>
      <c r="P18" s="2070">
        <v>3.4393809114359426</v>
      </c>
      <c r="Q18" s="2070">
        <v>2.1066208082545139</v>
      </c>
      <c r="R18" s="2070">
        <v>0.51590713671539135</v>
      </c>
      <c r="S18" s="2070">
        <v>0.30094582975064504</v>
      </c>
      <c r="T18" s="2070">
        <v>0</v>
      </c>
      <c r="U18" s="2070">
        <v>0</v>
      </c>
      <c r="V18" s="2070">
        <v>0</v>
      </c>
      <c r="W18" s="2070">
        <v>0</v>
      </c>
      <c r="X18" s="2070">
        <v>0</v>
      </c>
    </row>
    <row r="19" spans="1:24" ht="11.25" customHeight="1">
      <c r="A19" s="2074" t="s">
        <v>4655</v>
      </c>
      <c r="B19" s="2069" t="s">
        <v>5761</v>
      </c>
      <c r="C19" s="2070">
        <v>0</v>
      </c>
      <c r="D19" s="2070">
        <v>0</v>
      </c>
      <c r="E19" s="2070">
        <v>0</v>
      </c>
      <c r="F19" s="2070">
        <v>0</v>
      </c>
      <c r="G19" s="2070">
        <v>0</v>
      </c>
      <c r="H19" s="2070">
        <v>0</v>
      </c>
      <c r="I19" s="2070">
        <v>2.1496130696474623E-2</v>
      </c>
      <c r="J19" s="2070">
        <v>0.30094582975064477</v>
      </c>
      <c r="K19" s="2070">
        <v>2.1496130696474644E-2</v>
      </c>
      <c r="L19" s="2070">
        <v>4.2992261392949295E-2</v>
      </c>
      <c r="M19" s="2070">
        <v>2.1496130696474641E-2</v>
      </c>
      <c r="N19" s="2070">
        <v>2.149613069647463E-2</v>
      </c>
      <c r="O19" s="2070">
        <v>2.1496130696474644E-2</v>
      </c>
      <c r="P19" s="2070">
        <v>0</v>
      </c>
      <c r="Q19" s="2070">
        <v>2.149613069647463E-2</v>
      </c>
      <c r="R19" s="2070">
        <v>0</v>
      </c>
      <c r="S19" s="2070">
        <v>0</v>
      </c>
      <c r="T19" s="2070">
        <v>0</v>
      </c>
      <c r="U19" s="2070">
        <v>0</v>
      </c>
      <c r="V19" s="2070">
        <v>0</v>
      </c>
      <c r="W19" s="2070">
        <v>13.923731728288905</v>
      </c>
      <c r="X19" s="2070">
        <v>9.1873602751504677</v>
      </c>
    </row>
    <row r="20" spans="1:24" ht="11.25" customHeight="1">
      <c r="A20" s="2074" t="s">
        <v>4656</v>
      </c>
      <c r="B20" s="2069" t="s">
        <v>5762</v>
      </c>
      <c r="C20" s="2070">
        <v>0</v>
      </c>
      <c r="D20" s="2070">
        <v>0</v>
      </c>
      <c r="E20" s="2070">
        <v>0</v>
      </c>
      <c r="F20" s="2070">
        <v>0</v>
      </c>
      <c r="G20" s="2070">
        <v>0</v>
      </c>
      <c r="H20" s="2070">
        <v>0</v>
      </c>
      <c r="I20" s="2070">
        <v>0</v>
      </c>
      <c r="J20" s="2070">
        <v>0</v>
      </c>
      <c r="K20" s="2070">
        <v>0</v>
      </c>
      <c r="L20" s="2070">
        <v>0</v>
      </c>
      <c r="M20" s="2070">
        <v>0</v>
      </c>
      <c r="N20" s="2070">
        <v>0</v>
      </c>
      <c r="O20" s="2070">
        <v>0</v>
      </c>
      <c r="P20" s="2070">
        <v>0</v>
      </c>
      <c r="Q20" s="2070">
        <v>0</v>
      </c>
      <c r="R20" s="2070">
        <v>0</v>
      </c>
      <c r="S20" s="2070">
        <v>0</v>
      </c>
      <c r="T20" s="2070">
        <v>0</v>
      </c>
      <c r="U20" s="2070">
        <v>0</v>
      </c>
      <c r="V20" s="2070">
        <v>0</v>
      </c>
      <c r="W20" s="2070">
        <v>0</v>
      </c>
      <c r="X20" s="2070">
        <v>0</v>
      </c>
    </row>
    <row r="21" spans="1:24" ht="11.25" customHeight="1">
      <c r="A21" s="2074" t="s">
        <v>4615</v>
      </c>
      <c r="B21" s="2069" t="s">
        <v>5763</v>
      </c>
      <c r="C21" s="2070">
        <v>0</v>
      </c>
      <c r="D21" s="2070">
        <v>0</v>
      </c>
      <c r="E21" s="2070">
        <v>0</v>
      </c>
      <c r="F21" s="2070">
        <v>0</v>
      </c>
      <c r="G21" s="2070">
        <v>0</v>
      </c>
      <c r="H21" s="2070">
        <v>0</v>
      </c>
      <c r="I21" s="2070">
        <v>0</v>
      </c>
      <c r="J21" s="2070">
        <v>0</v>
      </c>
      <c r="K21" s="2070">
        <v>0</v>
      </c>
      <c r="L21" s="2070">
        <v>0</v>
      </c>
      <c r="M21" s="2070">
        <v>0</v>
      </c>
      <c r="N21" s="2070">
        <v>0</v>
      </c>
      <c r="O21" s="2070">
        <v>0</v>
      </c>
      <c r="P21" s="2070">
        <v>0</v>
      </c>
      <c r="Q21" s="2070">
        <v>0</v>
      </c>
      <c r="R21" s="2070">
        <v>0</v>
      </c>
      <c r="S21" s="2070">
        <v>0</v>
      </c>
      <c r="T21" s="2070">
        <v>0</v>
      </c>
      <c r="U21" s="2070">
        <v>0</v>
      </c>
      <c r="V21" s="2070">
        <v>0</v>
      </c>
      <c r="W21" s="2070">
        <v>0</v>
      </c>
      <c r="X21" s="2070">
        <v>0</v>
      </c>
    </row>
    <row r="22" spans="1:24" ht="11.25" customHeight="1">
      <c r="A22" s="2071" t="s">
        <v>4741</v>
      </c>
      <c r="B22" s="2072" t="s">
        <v>5764</v>
      </c>
      <c r="C22" s="2073">
        <v>356.5035253654342</v>
      </c>
      <c r="D22" s="2073">
        <v>345.15683576956144</v>
      </c>
      <c r="E22" s="2073">
        <v>350.77635425623379</v>
      </c>
      <c r="F22" s="2073">
        <v>332.98374892519337</v>
      </c>
      <c r="G22" s="2073">
        <v>328.16311263972477</v>
      </c>
      <c r="H22" s="2073">
        <v>334.78099742046425</v>
      </c>
      <c r="I22" s="2073">
        <v>347.06620808254524</v>
      </c>
      <c r="J22" s="2073">
        <v>337.79613069647456</v>
      </c>
      <c r="K22" s="2073">
        <v>356.94307824591567</v>
      </c>
      <c r="L22" s="2073">
        <v>353.03422184006865</v>
      </c>
      <c r="M22" s="2073">
        <v>347.49630266552026</v>
      </c>
      <c r="N22" s="2073">
        <v>327.04617368873596</v>
      </c>
      <c r="O22" s="2073">
        <v>303.25417024935501</v>
      </c>
      <c r="P22" s="2073">
        <v>309.08030954428199</v>
      </c>
      <c r="Q22" s="2073">
        <v>283.46208082545138</v>
      </c>
      <c r="R22" s="2073">
        <v>278.24282029234735</v>
      </c>
      <c r="S22" s="2073">
        <v>283.59922613929496</v>
      </c>
      <c r="T22" s="2073">
        <v>278.70902837489251</v>
      </c>
      <c r="U22" s="2073">
        <v>293.70412725709377</v>
      </c>
      <c r="V22" s="2073">
        <v>274.48366294067051</v>
      </c>
      <c r="W22" s="2073">
        <v>257.12063628546855</v>
      </c>
      <c r="X22" s="2073">
        <v>250.46182287188307</v>
      </c>
    </row>
    <row r="23" spans="1:24" ht="11.25" customHeight="1">
      <c r="A23" s="2074" t="s">
        <v>559</v>
      </c>
      <c r="B23" s="2069" t="s">
        <v>5765</v>
      </c>
      <c r="C23" s="2070">
        <v>217.84668959587273</v>
      </c>
      <c r="D23" s="2070">
        <v>222.84840928632849</v>
      </c>
      <c r="E23" s="2070">
        <v>224.78022355975918</v>
      </c>
      <c r="F23" s="2070">
        <v>227.04548581255366</v>
      </c>
      <c r="G23" s="2070">
        <v>227.1661220980223</v>
      </c>
      <c r="H23" s="2070">
        <v>233.65975924333617</v>
      </c>
      <c r="I23" s="2070">
        <v>245.98271711092011</v>
      </c>
      <c r="J23" s="2070">
        <v>236.78486672398964</v>
      </c>
      <c r="K23" s="2070">
        <v>229.36981943250211</v>
      </c>
      <c r="L23" s="2070">
        <v>230.5984522785898</v>
      </c>
      <c r="M23" s="2070">
        <v>238.75202063628552</v>
      </c>
      <c r="N23" s="2070">
        <v>225.11358555460018</v>
      </c>
      <c r="O23" s="2070">
        <v>189.47007738607044</v>
      </c>
      <c r="P23" s="2070">
        <v>190.65391229578674</v>
      </c>
      <c r="Q23" s="2070">
        <v>186.82794496990539</v>
      </c>
      <c r="R23" s="2070">
        <v>186.82966466036112</v>
      </c>
      <c r="S23" s="2070">
        <v>195.58435081685298</v>
      </c>
      <c r="T23" s="2070">
        <v>197.81754084264833</v>
      </c>
      <c r="U23" s="2070">
        <v>201.41298366294069</v>
      </c>
      <c r="V23" s="2070">
        <v>199.95030094582964</v>
      </c>
      <c r="W23" s="2070">
        <v>181.85064488392084</v>
      </c>
      <c r="X23" s="2070">
        <v>181.47790197764402</v>
      </c>
    </row>
    <row r="24" spans="1:24" ht="11.25" customHeight="1">
      <c r="A24" s="2074" t="s">
        <v>4657</v>
      </c>
      <c r="B24" s="2069" t="s">
        <v>5766</v>
      </c>
      <c r="C24" s="2070">
        <v>138.65683576956147</v>
      </c>
      <c r="D24" s="2070">
        <v>122.30842648323295</v>
      </c>
      <c r="E24" s="2070">
        <v>125.99613069647462</v>
      </c>
      <c r="F24" s="2070">
        <v>105.9382631126397</v>
      </c>
      <c r="G24" s="2070">
        <v>100.99699054170249</v>
      </c>
      <c r="H24" s="2070">
        <v>101.12123817712811</v>
      </c>
      <c r="I24" s="2070">
        <v>101.08349097162512</v>
      </c>
      <c r="J24" s="2070">
        <v>101.01126397248493</v>
      </c>
      <c r="K24" s="2070">
        <v>127.57325881341356</v>
      </c>
      <c r="L24" s="2070">
        <v>122.43576956147885</v>
      </c>
      <c r="M24" s="2070">
        <v>108.74428202923474</v>
      </c>
      <c r="N24" s="2070">
        <v>101.93258813413581</v>
      </c>
      <c r="O24" s="2070">
        <v>113.78409286328458</v>
      </c>
      <c r="P24" s="2070">
        <v>118.42639724849525</v>
      </c>
      <c r="Q24" s="2070">
        <v>96.634135855546006</v>
      </c>
      <c r="R24" s="2070">
        <v>91.413155631986243</v>
      </c>
      <c r="S24" s="2070">
        <v>88.014875322441966</v>
      </c>
      <c r="T24" s="2070">
        <v>80.891487532244199</v>
      </c>
      <c r="U24" s="2070">
        <v>92.29114359415307</v>
      </c>
      <c r="V24" s="2070">
        <v>74.533361994840888</v>
      </c>
      <c r="W24" s="2070">
        <v>75.269991401547728</v>
      </c>
      <c r="X24" s="2070">
        <v>68.983920894239048</v>
      </c>
    </row>
    <row r="25" spans="1:24" ht="11.25" customHeight="1">
      <c r="A25" s="2071" t="s">
        <v>4658</v>
      </c>
      <c r="B25" s="2072" t="s">
        <v>5767</v>
      </c>
      <c r="C25" s="2073">
        <v>0</v>
      </c>
      <c r="D25" s="2073">
        <v>0</v>
      </c>
      <c r="E25" s="2073">
        <v>0</v>
      </c>
      <c r="F25" s="2073">
        <v>0</v>
      </c>
      <c r="G25" s="2073">
        <v>0</v>
      </c>
      <c r="H25" s="2073">
        <v>0</v>
      </c>
      <c r="I25" s="2073">
        <v>0</v>
      </c>
      <c r="J25" s="2073">
        <v>0</v>
      </c>
      <c r="K25" s="2073">
        <v>0</v>
      </c>
      <c r="L25" s="2073">
        <v>0</v>
      </c>
      <c r="M25" s="2073">
        <v>0</v>
      </c>
      <c r="N25" s="2073">
        <v>0</v>
      </c>
      <c r="O25" s="2073">
        <v>0</v>
      </c>
      <c r="P25" s="2073">
        <v>0</v>
      </c>
      <c r="Q25" s="2073">
        <v>0</v>
      </c>
      <c r="R25" s="2073">
        <v>0</v>
      </c>
      <c r="S25" s="2073">
        <v>0</v>
      </c>
      <c r="T25" s="2073">
        <v>0</v>
      </c>
      <c r="U25" s="2073">
        <v>0</v>
      </c>
      <c r="V25" s="2073">
        <v>0</v>
      </c>
      <c r="W25" s="2073">
        <v>0</v>
      </c>
      <c r="X25" s="2073">
        <v>0</v>
      </c>
    </row>
    <row r="26" spans="1:24" ht="11.25" customHeight="1">
      <c r="A26" s="2071" t="s">
        <v>3872</v>
      </c>
      <c r="B26" s="2072" t="s">
        <v>5768</v>
      </c>
      <c r="C26" s="2073">
        <v>96035.428431014167</v>
      </c>
      <c r="D26" s="2073">
        <v>102636.73555657276</v>
      </c>
      <c r="E26" s="2073">
        <v>96117.868103349494</v>
      </c>
      <c r="F26" s="2073">
        <v>98272.683344032819</v>
      </c>
      <c r="G26" s="2073">
        <v>95402.137988234506</v>
      </c>
      <c r="H26" s="2073">
        <v>94853.350177504719</v>
      </c>
      <c r="I26" s="2073">
        <v>90011.095120482045</v>
      </c>
      <c r="J26" s="2073">
        <v>74701.772578683871</v>
      </c>
      <c r="K26" s="2073">
        <v>82494.552794496994</v>
      </c>
      <c r="L26" s="2073">
        <v>76251.569475494383</v>
      </c>
      <c r="M26" s="2073">
        <v>75164.905503009431</v>
      </c>
      <c r="N26" s="2073">
        <v>68066.350472914884</v>
      </c>
      <c r="O26" s="2073">
        <v>66921.119002579508</v>
      </c>
      <c r="P26" s="2073">
        <v>67897.87644024074</v>
      </c>
      <c r="Q26" s="2073">
        <v>61191.613241616498</v>
      </c>
      <c r="R26" s="2073">
        <v>62427.700601891658</v>
      </c>
      <c r="S26" s="2073">
        <v>60845.99948409287</v>
      </c>
      <c r="T26" s="2073">
        <v>60564.635710232156</v>
      </c>
      <c r="U26" s="2073">
        <v>57553.039982803086</v>
      </c>
      <c r="V26" s="2073">
        <v>58017.619604471198</v>
      </c>
      <c r="W26" s="2073">
        <v>58874.008942390363</v>
      </c>
      <c r="X26" s="2073">
        <v>54546.23052450559</v>
      </c>
    </row>
    <row r="27" spans="1:24" ht="11.25" customHeight="1">
      <c r="A27" s="2065" t="s">
        <v>5769</v>
      </c>
      <c r="B27" s="2066" t="s">
        <v>5770</v>
      </c>
      <c r="C27" s="2067">
        <v>0</v>
      </c>
      <c r="D27" s="2067">
        <v>0</v>
      </c>
      <c r="E27" s="2067">
        <v>0</v>
      </c>
      <c r="F27" s="2067">
        <v>0</v>
      </c>
      <c r="G27" s="2067">
        <v>0</v>
      </c>
      <c r="H27" s="2067">
        <v>0</v>
      </c>
      <c r="I27" s="2067">
        <v>0</v>
      </c>
      <c r="J27" s="2067">
        <v>0</v>
      </c>
      <c r="K27" s="2067">
        <v>0</v>
      </c>
      <c r="L27" s="2067">
        <v>0</v>
      </c>
      <c r="M27" s="2067">
        <v>0</v>
      </c>
      <c r="N27" s="2067">
        <v>0</v>
      </c>
      <c r="O27" s="2067">
        <v>0</v>
      </c>
      <c r="P27" s="2067">
        <v>0</v>
      </c>
      <c r="Q27" s="2067">
        <v>0</v>
      </c>
      <c r="R27" s="2067">
        <v>0</v>
      </c>
      <c r="S27" s="2067">
        <v>0</v>
      </c>
      <c r="T27" s="2067">
        <v>0</v>
      </c>
      <c r="U27" s="2067">
        <v>0</v>
      </c>
      <c r="V27" s="2067">
        <v>0</v>
      </c>
      <c r="W27" s="2067">
        <v>0</v>
      </c>
      <c r="X27" s="2067">
        <v>0</v>
      </c>
    </row>
    <row r="28" spans="1:24" ht="11.25" customHeight="1">
      <c r="A28" s="2068" t="s">
        <v>4659</v>
      </c>
      <c r="B28" s="2069" t="s">
        <v>5771</v>
      </c>
      <c r="C28" s="2070">
        <v>0</v>
      </c>
      <c r="D28" s="2070">
        <v>0</v>
      </c>
      <c r="E28" s="2070">
        <v>0</v>
      </c>
      <c r="F28" s="2070">
        <v>0</v>
      </c>
      <c r="G28" s="2070">
        <v>0</v>
      </c>
      <c r="H28" s="2070">
        <v>0</v>
      </c>
      <c r="I28" s="2070">
        <v>0</v>
      </c>
      <c r="J28" s="2070">
        <v>0</v>
      </c>
      <c r="K28" s="2070">
        <v>0</v>
      </c>
      <c r="L28" s="2070">
        <v>0</v>
      </c>
      <c r="M28" s="2070">
        <v>0</v>
      </c>
      <c r="N28" s="2070">
        <v>0</v>
      </c>
      <c r="O28" s="2070">
        <v>0</v>
      </c>
      <c r="P28" s="2070">
        <v>0</v>
      </c>
      <c r="Q28" s="2070">
        <v>0</v>
      </c>
      <c r="R28" s="2070">
        <v>0</v>
      </c>
      <c r="S28" s="2070">
        <v>0</v>
      </c>
      <c r="T28" s="2070">
        <v>0</v>
      </c>
      <c r="U28" s="2070">
        <v>0</v>
      </c>
      <c r="V28" s="2070">
        <v>0</v>
      </c>
      <c r="W28" s="2070">
        <v>0</v>
      </c>
      <c r="X28" s="2070">
        <v>0</v>
      </c>
    </row>
    <row r="29" spans="1:24" ht="11.25" customHeight="1">
      <c r="A29" s="2068" t="s">
        <v>4660</v>
      </c>
      <c r="B29" s="2069" t="s">
        <v>5772</v>
      </c>
      <c r="C29" s="2070">
        <v>0</v>
      </c>
      <c r="D29" s="2070">
        <v>0</v>
      </c>
      <c r="E29" s="2070">
        <v>0</v>
      </c>
      <c r="F29" s="2070">
        <v>0</v>
      </c>
      <c r="G29" s="2070">
        <v>0</v>
      </c>
      <c r="H29" s="2070">
        <v>0</v>
      </c>
      <c r="I29" s="2070">
        <v>0</v>
      </c>
      <c r="J29" s="2070">
        <v>0</v>
      </c>
      <c r="K29" s="2070">
        <v>0</v>
      </c>
      <c r="L29" s="2070">
        <v>0</v>
      </c>
      <c r="M29" s="2070">
        <v>0</v>
      </c>
      <c r="N29" s="2070">
        <v>0</v>
      </c>
      <c r="O29" s="2070">
        <v>0</v>
      </c>
      <c r="P29" s="2070">
        <v>0</v>
      </c>
      <c r="Q29" s="2070">
        <v>0</v>
      </c>
      <c r="R29" s="2070">
        <v>0</v>
      </c>
      <c r="S29" s="2070">
        <v>0</v>
      </c>
      <c r="T29" s="2070">
        <v>0</v>
      </c>
      <c r="U29" s="2070">
        <v>0</v>
      </c>
      <c r="V29" s="2070">
        <v>0</v>
      </c>
      <c r="W29" s="2070">
        <v>0</v>
      </c>
      <c r="X29" s="2070">
        <v>0</v>
      </c>
    </row>
    <row r="30" spans="1:24" ht="11.25" customHeight="1">
      <c r="A30" s="2068" t="s">
        <v>4661</v>
      </c>
      <c r="B30" s="2069" t="s">
        <v>5773</v>
      </c>
      <c r="C30" s="2070">
        <v>0</v>
      </c>
      <c r="D30" s="2070">
        <v>0</v>
      </c>
      <c r="E30" s="2070">
        <v>0</v>
      </c>
      <c r="F30" s="2070">
        <v>0</v>
      </c>
      <c r="G30" s="2070">
        <v>0</v>
      </c>
      <c r="H30" s="2070">
        <v>0</v>
      </c>
      <c r="I30" s="2070">
        <v>0</v>
      </c>
      <c r="J30" s="2070">
        <v>0</v>
      </c>
      <c r="K30" s="2070">
        <v>0</v>
      </c>
      <c r="L30" s="2070">
        <v>0</v>
      </c>
      <c r="M30" s="2070">
        <v>0</v>
      </c>
      <c r="N30" s="2070">
        <v>0</v>
      </c>
      <c r="O30" s="2070">
        <v>0</v>
      </c>
      <c r="P30" s="2070">
        <v>0</v>
      </c>
      <c r="Q30" s="2070">
        <v>0</v>
      </c>
      <c r="R30" s="2070">
        <v>0</v>
      </c>
      <c r="S30" s="2070">
        <v>0</v>
      </c>
      <c r="T30" s="2070">
        <v>0</v>
      </c>
      <c r="U30" s="2070">
        <v>0</v>
      </c>
      <c r="V30" s="2070">
        <v>0</v>
      </c>
      <c r="W30" s="2070">
        <v>0</v>
      </c>
      <c r="X30" s="2070">
        <v>0</v>
      </c>
    </row>
    <row r="31" spans="1:24" ht="11.25" customHeight="1">
      <c r="A31" s="2068" t="s">
        <v>5774</v>
      </c>
      <c r="B31" s="2069" t="s">
        <v>5775</v>
      </c>
      <c r="C31" s="2070">
        <v>0</v>
      </c>
      <c r="D31" s="2070">
        <v>0</v>
      </c>
      <c r="E31" s="2070">
        <v>0</v>
      </c>
      <c r="F31" s="2070">
        <v>0</v>
      </c>
      <c r="G31" s="2070">
        <v>0</v>
      </c>
      <c r="H31" s="2070">
        <v>0</v>
      </c>
      <c r="I31" s="2070">
        <v>0</v>
      </c>
      <c r="J31" s="2070">
        <v>0</v>
      </c>
      <c r="K31" s="2070">
        <v>0</v>
      </c>
      <c r="L31" s="2070">
        <v>0</v>
      </c>
      <c r="M31" s="2070">
        <v>0</v>
      </c>
      <c r="N31" s="2070">
        <v>0</v>
      </c>
      <c r="O31" s="2070">
        <v>0</v>
      </c>
      <c r="P31" s="2070">
        <v>0</v>
      </c>
      <c r="Q31" s="2070">
        <v>0</v>
      </c>
      <c r="R31" s="2070">
        <v>0</v>
      </c>
      <c r="S31" s="2070">
        <v>0</v>
      </c>
      <c r="T31" s="2070">
        <v>0</v>
      </c>
      <c r="U31" s="2070">
        <v>0</v>
      </c>
      <c r="V31" s="2070">
        <v>0</v>
      </c>
      <c r="W31" s="2070">
        <v>0</v>
      </c>
      <c r="X31" s="2070">
        <v>0</v>
      </c>
    </row>
    <row r="32" spans="1:24" ht="11.25" customHeight="1">
      <c r="A32" s="2068" t="s">
        <v>4662</v>
      </c>
      <c r="B32" s="2069" t="s">
        <v>5776</v>
      </c>
      <c r="C32" s="2070">
        <v>0</v>
      </c>
      <c r="D32" s="2070">
        <v>0</v>
      </c>
      <c r="E32" s="2070">
        <v>0</v>
      </c>
      <c r="F32" s="2070">
        <v>0</v>
      </c>
      <c r="G32" s="2070">
        <v>0</v>
      </c>
      <c r="H32" s="2070">
        <v>0</v>
      </c>
      <c r="I32" s="2070">
        <v>0</v>
      </c>
      <c r="J32" s="2070">
        <v>0</v>
      </c>
      <c r="K32" s="2070">
        <v>0</v>
      </c>
      <c r="L32" s="2070">
        <v>0</v>
      </c>
      <c r="M32" s="2070">
        <v>0</v>
      </c>
      <c r="N32" s="2070">
        <v>0</v>
      </c>
      <c r="O32" s="2070">
        <v>0</v>
      </c>
      <c r="P32" s="2070">
        <v>0</v>
      </c>
      <c r="Q32" s="2070">
        <v>0</v>
      </c>
      <c r="R32" s="2070">
        <v>0</v>
      </c>
      <c r="S32" s="2070">
        <v>0</v>
      </c>
      <c r="T32" s="2070">
        <v>0</v>
      </c>
      <c r="U32" s="2070">
        <v>0</v>
      </c>
      <c r="V32" s="2070">
        <v>0</v>
      </c>
      <c r="W32" s="2070">
        <v>0</v>
      </c>
      <c r="X32" s="2070">
        <v>0</v>
      </c>
    </row>
    <row r="33" spans="1:24" ht="11.25" customHeight="1">
      <c r="A33" s="2065" t="s">
        <v>5777</v>
      </c>
      <c r="B33" s="2066" t="s">
        <v>5778</v>
      </c>
      <c r="C33" s="2067">
        <v>96035.428431014167</v>
      </c>
      <c r="D33" s="2067">
        <v>102636.73555657276</v>
      </c>
      <c r="E33" s="2067">
        <v>96117.868103349494</v>
      </c>
      <c r="F33" s="2067">
        <v>98272.683344032819</v>
      </c>
      <c r="G33" s="2067">
        <v>95402.137988234506</v>
      </c>
      <c r="H33" s="2067">
        <v>94853.350177504719</v>
      </c>
      <c r="I33" s="2067">
        <v>90011.095120482045</v>
      </c>
      <c r="J33" s="2067">
        <v>74701.772578683871</v>
      </c>
      <c r="K33" s="2067">
        <v>82494.552794496994</v>
      </c>
      <c r="L33" s="2067">
        <v>76251.569475494383</v>
      </c>
      <c r="M33" s="2067">
        <v>75164.905503009431</v>
      </c>
      <c r="N33" s="2067">
        <v>68066.350472914884</v>
      </c>
      <c r="O33" s="2067">
        <v>66921.119002579508</v>
      </c>
      <c r="P33" s="2067">
        <v>67897.87644024074</v>
      </c>
      <c r="Q33" s="2067">
        <v>61191.613241616498</v>
      </c>
      <c r="R33" s="2067">
        <v>62427.700601891658</v>
      </c>
      <c r="S33" s="2067">
        <v>60845.99948409287</v>
      </c>
      <c r="T33" s="2067">
        <v>60564.635710232156</v>
      </c>
      <c r="U33" s="2067">
        <v>57553.039982803086</v>
      </c>
      <c r="V33" s="2067">
        <v>58017.619604471198</v>
      </c>
      <c r="W33" s="2067">
        <v>58874.008942390363</v>
      </c>
      <c r="X33" s="2067">
        <v>54546.23052450559</v>
      </c>
    </row>
    <row r="34" spans="1:24" ht="11.25" customHeight="1">
      <c r="A34" s="2068" t="s">
        <v>4607</v>
      </c>
      <c r="B34" s="2069" t="s">
        <v>5779</v>
      </c>
      <c r="C34" s="2070">
        <v>0</v>
      </c>
      <c r="D34" s="2070">
        <v>0</v>
      </c>
      <c r="E34" s="2070">
        <v>0</v>
      </c>
      <c r="F34" s="2070">
        <v>0</v>
      </c>
      <c r="G34" s="2070">
        <v>98.129836629406725</v>
      </c>
      <c r="H34" s="2070">
        <v>5.748667239896819</v>
      </c>
      <c r="I34" s="2070">
        <v>29.894926913155629</v>
      </c>
      <c r="J34" s="2070">
        <v>0</v>
      </c>
      <c r="K34" s="2070">
        <v>0</v>
      </c>
      <c r="L34" s="2070">
        <v>0</v>
      </c>
      <c r="M34" s="2070">
        <v>0</v>
      </c>
      <c r="N34" s="2070">
        <v>0</v>
      </c>
      <c r="O34" s="2070">
        <v>0</v>
      </c>
      <c r="P34" s="2070">
        <v>0</v>
      </c>
      <c r="Q34" s="2070">
        <v>0</v>
      </c>
      <c r="R34" s="2070">
        <v>0</v>
      </c>
      <c r="S34" s="2070">
        <v>0</v>
      </c>
      <c r="T34" s="2070">
        <v>0</v>
      </c>
      <c r="U34" s="2070">
        <v>0.42441960447119531</v>
      </c>
      <c r="V34" s="2070">
        <v>0.45279449699054175</v>
      </c>
      <c r="W34" s="2070">
        <v>0.47532244196044671</v>
      </c>
      <c r="X34" s="2070">
        <v>0.6006018916595014</v>
      </c>
    </row>
    <row r="35" spans="1:24" ht="11.25" customHeight="1">
      <c r="A35" s="2068" t="s">
        <v>587</v>
      </c>
      <c r="B35" s="2069" t="s">
        <v>5780</v>
      </c>
      <c r="C35" s="2070">
        <v>0</v>
      </c>
      <c r="D35" s="2070">
        <v>0</v>
      </c>
      <c r="E35" s="2070">
        <v>0</v>
      </c>
      <c r="F35" s="2070">
        <v>0</v>
      </c>
      <c r="G35" s="2070">
        <v>0</v>
      </c>
      <c r="H35" s="2070">
        <v>0</v>
      </c>
      <c r="I35" s="2070">
        <v>0</v>
      </c>
      <c r="J35" s="2070">
        <v>0</v>
      </c>
      <c r="K35" s="2070">
        <v>0</v>
      </c>
      <c r="L35" s="2070">
        <v>0</v>
      </c>
      <c r="M35" s="2070">
        <v>0</v>
      </c>
      <c r="N35" s="2070">
        <v>0</v>
      </c>
      <c r="O35" s="2070">
        <v>0</v>
      </c>
      <c r="P35" s="2070">
        <v>0</v>
      </c>
      <c r="Q35" s="2070">
        <v>0</v>
      </c>
      <c r="R35" s="2070">
        <v>0</v>
      </c>
      <c r="S35" s="2070">
        <v>0</v>
      </c>
      <c r="T35" s="2070">
        <v>0</v>
      </c>
      <c r="U35" s="2070">
        <v>0</v>
      </c>
      <c r="V35" s="2070">
        <v>0</v>
      </c>
      <c r="W35" s="2070">
        <v>0</v>
      </c>
      <c r="X35" s="2070">
        <v>0</v>
      </c>
    </row>
    <row r="36" spans="1:24" ht="11.25" customHeight="1">
      <c r="A36" s="2068" t="s">
        <v>5781</v>
      </c>
      <c r="B36" s="2069" t="s">
        <v>5782</v>
      </c>
      <c r="C36" s="2070">
        <v>11299.409286328462</v>
      </c>
      <c r="D36" s="2070">
        <v>10926.253740326742</v>
      </c>
      <c r="E36" s="2070">
        <v>10903.752020636282</v>
      </c>
      <c r="F36" s="2070">
        <v>11231.717626827171</v>
      </c>
      <c r="G36" s="2070">
        <v>11420.568443680135</v>
      </c>
      <c r="H36" s="2070">
        <v>11578.351074806533</v>
      </c>
      <c r="I36" s="2070">
        <v>10598.932244196043</v>
      </c>
      <c r="J36" s="2070">
        <v>10189.732674118659</v>
      </c>
      <c r="K36" s="2070">
        <v>10101.131556319862</v>
      </c>
      <c r="L36" s="2070">
        <v>9781.5130696474644</v>
      </c>
      <c r="M36" s="2070">
        <v>9954.8873602751482</v>
      </c>
      <c r="N36" s="2070">
        <v>9045.9546861564922</v>
      </c>
      <c r="O36" s="2070">
        <v>8712.3741186586412</v>
      </c>
      <c r="P36" s="2070">
        <v>8734.983576956145</v>
      </c>
      <c r="Q36" s="2070">
        <v>7903.9900257953559</v>
      </c>
      <c r="R36" s="2070">
        <v>7887.3350816852935</v>
      </c>
      <c r="S36" s="2070">
        <v>8221.8430782459163</v>
      </c>
      <c r="T36" s="2070">
        <v>7921.4540249355105</v>
      </c>
      <c r="U36" s="2070">
        <v>8304.1531384350801</v>
      </c>
      <c r="V36" s="2070">
        <v>8112.6748065348256</v>
      </c>
      <c r="W36" s="2070">
        <v>7788.0372312983636</v>
      </c>
      <c r="X36" s="2070">
        <v>7932.7443680137576</v>
      </c>
    </row>
    <row r="37" spans="1:24" ht="11.25" customHeight="1">
      <c r="A37" s="2068" t="s">
        <v>5783</v>
      </c>
      <c r="B37" s="2069" t="s">
        <v>5784</v>
      </c>
      <c r="C37" s="2070">
        <v>656.78856405846943</v>
      </c>
      <c r="D37" s="2070">
        <v>646.57489251934658</v>
      </c>
      <c r="E37" s="2070">
        <v>569.55838349097166</v>
      </c>
      <c r="F37" s="2070">
        <v>708.95984522785886</v>
      </c>
      <c r="G37" s="2070">
        <v>705.30550300945833</v>
      </c>
      <c r="H37" s="2070">
        <v>947.65528804815142</v>
      </c>
      <c r="I37" s="2070">
        <v>904.59114359415298</v>
      </c>
      <c r="J37" s="2070">
        <v>901.82777300085991</v>
      </c>
      <c r="K37" s="2070">
        <v>842.56173688736021</v>
      </c>
      <c r="L37" s="2070">
        <v>795.15657781599293</v>
      </c>
      <c r="M37" s="2070">
        <v>793.03439380911436</v>
      </c>
      <c r="N37" s="2070">
        <v>818.14548581255372</v>
      </c>
      <c r="O37" s="2070">
        <v>989.46663800515887</v>
      </c>
      <c r="P37" s="2070">
        <v>840.94342218400698</v>
      </c>
      <c r="Q37" s="2070">
        <v>806.24660361135</v>
      </c>
      <c r="R37" s="2070">
        <v>788.97403267411892</v>
      </c>
      <c r="S37" s="2070">
        <v>781.1529664660361</v>
      </c>
      <c r="T37" s="2070">
        <v>777.59423903697336</v>
      </c>
      <c r="U37" s="2070">
        <v>816.95038693035269</v>
      </c>
      <c r="V37" s="2070">
        <v>824.58993981083404</v>
      </c>
      <c r="W37" s="2070">
        <v>790.55133276010315</v>
      </c>
      <c r="X37" s="2070">
        <v>990.61023215821172</v>
      </c>
    </row>
    <row r="38" spans="1:24" ht="11.25" customHeight="1">
      <c r="A38" s="2068" t="s">
        <v>4663</v>
      </c>
      <c r="B38" s="2069" t="s">
        <v>5785</v>
      </c>
      <c r="C38" s="2070">
        <v>12.073430782459157</v>
      </c>
      <c r="D38" s="2070">
        <v>12.030868443680138</v>
      </c>
      <c r="E38" s="2070">
        <v>12.458383490971624</v>
      </c>
      <c r="F38" s="2070">
        <v>14.332932072226999</v>
      </c>
      <c r="G38" s="2070">
        <v>17.319776440240755</v>
      </c>
      <c r="H38" s="2070">
        <v>26.256233877901973</v>
      </c>
      <c r="I38" s="2070">
        <v>15.890885640584695</v>
      </c>
      <c r="J38" s="2070">
        <v>9.7590713671539095</v>
      </c>
      <c r="K38" s="2070">
        <v>11.040928632846086</v>
      </c>
      <c r="L38" s="2070">
        <v>8.1029234737747196</v>
      </c>
      <c r="M38" s="2070">
        <v>8.0373172828890791</v>
      </c>
      <c r="N38" s="2070">
        <v>7.1259673258813372</v>
      </c>
      <c r="O38" s="2070">
        <v>6.8149613069647437</v>
      </c>
      <c r="P38" s="2070">
        <v>5.542476354256233</v>
      </c>
      <c r="Q38" s="2070">
        <v>5.736027515047291</v>
      </c>
      <c r="R38" s="2070">
        <v>4.9937231298366296</v>
      </c>
      <c r="S38" s="2070">
        <v>5.8674118658641463</v>
      </c>
      <c r="T38" s="2070">
        <v>5.7920894239036969</v>
      </c>
      <c r="U38" s="2070">
        <v>6.0773860705073082</v>
      </c>
      <c r="V38" s="2070">
        <v>6.6264832330180568</v>
      </c>
      <c r="W38" s="2070">
        <v>5.4488392089423892</v>
      </c>
      <c r="X38" s="2070">
        <v>6.1755803955288036</v>
      </c>
    </row>
    <row r="39" spans="1:24" ht="11.25" customHeight="1">
      <c r="A39" s="2068" t="s">
        <v>5786</v>
      </c>
      <c r="B39" s="2069" t="s">
        <v>5787</v>
      </c>
      <c r="C39" s="2070">
        <v>0</v>
      </c>
      <c r="D39" s="2070">
        <v>2.085640584694755</v>
      </c>
      <c r="E39" s="2070">
        <v>0</v>
      </c>
      <c r="F39" s="2070">
        <v>0</v>
      </c>
      <c r="G39" s="2070">
        <v>1.0428202923473771</v>
      </c>
      <c r="H39" s="2070">
        <v>0</v>
      </c>
      <c r="I39" s="2070">
        <v>0</v>
      </c>
      <c r="J39" s="2070">
        <v>0</v>
      </c>
      <c r="K39" s="2070">
        <v>0</v>
      </c>
      <c r="L39" s="2070">
        <v>0</v>
      </c>
      <c r="M39" s="2070">
        <v>0</v>
      </c>
      <c r="N39" s="2070">
        <v>0</v>
      </c>
      <c r="O39" s="2070">
        <v>0</v>
      </c>
      <c r="P39" s="2070">
        <v>0</v>
      </c>
      <c r="Q39" s="2070">
        <v>0</v>
      </c>
      <c r="R39" s="2070">
        <v>0</v>
      </c>
      <c r="S39" s="2070">
        <v>0</v>
      </c>
      <c r="T39" s="2070">
        <v>0</v>
      </c>
      <c r="U39" s="2070">
        <v>0</v>
      </c>
      <c r="V39" s="2070">
        <v>0</v>
      </c>
      <c r="W39" s="2070">
        <v>0</v>
      </c>
      <c r="X39" s="2070">
        <v>0</v>
      </c>
    </row>
    <row r="40" spans="1:24" ht="11.25" customHeight="1">
      <c r="A40" s="2068" t="s">
        <v>5788</v>
      </c>
      <c r="B40" s="2069" t="s">
        <v>5789</v>
      </c>
      <c r="C40" s="2070">
        <v>1038.6039552880482</v>
      </c>
      <c r="D40" s="2070">
        <v>860.05090283748916</v>
      </c>
      <c r="E40" s="2070">
        <v>815.45124677558033</v>
      </c>
      <c r="F40" s="2070">
        <v>904.68959587274298</v>
      </c>
      <c r="G40" s="2070">
        <v>911.57128116938941</v>
      </c>
      <c r="H40" s="2070">
        <v>936.49260533104041</v>
      </c>
      <c r="I40" s="2070">
        <v>871.45709372312967</v>
      </c>
      <c r="J40" s="2070">
        <v>841.02055030094562</v>
      </c>
      <c r="K40" s="2070">
        <v>821.75864144453976</v>
      </c>
      <c r="L40" s="2070">
        <v>800.75073086844384</v>
      </c>
      <c r="M40" s="2070">
        <v>811.84849527085134</v>
      </c>
      <c r="N40" s="2070">
        <v>873.23413585554601</v>
      </c>
      <c r="O40" s="2070">
        <v>904.0879621668106</v>
      </c>
      <c r="P40" s="2070">
        <v>1031.6893379191742</v>
      </c>
      <c r="Q40" s="2070">
        <v>990.28925193465136</v>
      </c>
      <c r="R40" s="2070">
        <v>906.02046431642361</v>
      </c>
      <c r="S40" s="2070">
        <v>771.45692175408408</v>
      </c>
      <c r="T40" s="2070">
        <v>717.71900257953598</v>
      </c>
      <c r="U40" s="2070">
        <v>732.0891659501292</v>
      </c>
      <c r="V40" s="2070">
        <v>718.02527944969893</v>
      </c>
      <c r="W40" s="2070">
        <v>695.87420464316415</v>
      </c>
      <c r="X40" s="2070">
        <v>842.84634565778151</v>
      </c>
    </row>
    <row r="41" spans="1:24" ht="11.25" customHeight="1">
      <c r="A41" s="2068" t="s">
        <v>4664</v>
      </c>
      <c r="B41" s="2069" t="s">
        <v>5790</v>
      </c>
      <c r="C41" s="2070">
        <v>1047.9025795356833</v>
      </c>
      <c r="D41" s="2070">
        <v>1104.044110060189</v>
      </c>
      <c r="E41" s="2070">
        <v>1132.0778159931212</v>
      </c>
      <c r="F41" s="2070">
        <v>1191.6766981943251</v>
      </c>
      <c r="G41" s="2070">
        <v>1236.4374892519352</v>
      </c>
      <c r="H41" s="2070">
        <v>1256.6514187446257</v>
      </c>
      <c r="I41" s="2070">
        <v>1233.6194325021493</v>
      </c>
      <c r="J41" s="2070">
        <v>1178.3682717110921</v>
      </c>
      <c r="K41" s="2070">
        <v>1323.0955288048144</v>
      </c>
      <c r="L41" s="2070">
        <v>1465.0057609630258</v>
      </c>
      <c r="M41" s="2070">
        <v>1477.5116938950991</v>
      </c>
      <c r="N41" s="2070">
        <v>1194.1294067067931</v>
      </c>
      <c r="O41" s="2070">
        <v>1047.3955288048148</v>
      </c>
      <c r="P41" s="2070">
        <v>1066.8048151332753</v>
      </c>
      <c r="Q41" s="2070">
        <v>957.73172828890779</v>
      </c>
      <c r="R41" s="2070">
        <v>1107.7467755803955</v>
      </c>
      <c r="S41" s="2070">
        <v>1164.3509028374881</v>
      </c>
      <c r="T41" s="2070">
        <v>1115.98056749785</v>
      </c>
      <c r="U41" s="2070">
        <v>1185.2593293207212</v>
      </c>
      <c r="V41" s="2070">
        <v>1169.1996560619091</v>
      </c>
      <c r="W41" s="2070">
        <v>1306.3514187446267</v>
      </c>
      <c r="X41" s="2070">
        <v>1207.1135855546008</v>
      </c>
    </row>
    <row r="42" spans="1:24" ht="11.25" customHeight="1">
      <c r="A42" s="2068" t="s">
        <v>4611</v>
      </c>
      <c r="B42" s="2069" t="s">
        <v>5791</v>
      </c>
      <c r="C42" s="2070">
        <v>0</v>
      </c>
      <c r="D42" s="2070">
        <v>3.188564058469475</v>
      </c>
      <c r="E42" s="2070">
        <v>0</v>
      </c>
      <c r="F42" s="2070">
        <v>4.2514187446259681</v>
      </c>
      <c r="G42" s="2070">
        <v>14.880137575236464</v>
      </c>
      <c r="H42" s="2070">
        <v>41.989079965606194</v>
      </c>
      <c r="I42" s="2070">
        <v>0</v>
      </c>
      <c r="J42" s="2070">
        <v>8.3983662940670651</v>
      </c>
      <c r="K42" s="2070">
        <v>0</v>
      </c>
      <c r="L42" s="2070">
        <v>0</v>
      </c>
      <c r="M42" s="2070">
        <v>0</v>
      </c>
      <c r="N42" s="2070">
        <v>0</v>
      </c>
      <c r="O42" s="2070">
        <v>0</v>
      </c>
      <c r="P42" s="2070">
        <v>0</v>
      </c>
      <c r="Q42" s="2070">
        <v>0</v>
      </c>
      <c r="R42" s="2070">
        <v>0</v>
      </c>
      <c r="S42" s="2070">
        <v>0</v>
      </c>
      <c r="T42" s="2070">
        <v>0</v>
      </c>
      <c r="U42" s="2070">
        <v>0</v>
      </c>
      <c r="V42" s="2070">
        <v>0</v>
      </c>
      <c r="W42" s="2070">
        <v>0</v>
      </c>
      <c r="X42" s="2070">
        <v>0</v>
      </c>
    </row>
    <row r="43" spans="1:24" ht="11.25" customHeight="1">
      <c r="A43" s="2068" t="s">
        <v>5792</v>
      </c>
      <c r="B43" s="2069" t="s">
        <v>5793</v>
      </c>
      <c r="C43" s="2070">
        <v>78745.440554831875</v>
      </c>
      <c r="D43" s="2070">
        <v>85833.04690652978</v>
      </c>
      <c r="E43" s="2070">
        <v>79974.161912463867</v>
      </c>
      <c r="F43" s="2070">
        <v>81140.843533198771</v>
      </c>
      <c r="G43" s="2070">
        <v>78400.772296059105</v>
      </c>
      <c r="H43" s="2070">
        <v>77660.292653858982</v>
      </c>
      <c r="I43" s="2070">
        <v>74144.934157455398</v>
      </c>
      <c r="J43" s="2070">
        <v>60002.560626835191</v>
      </c>
      <c r="K43" s="2070">
        <v>67926.226999140155</v>
      </c>
      <c r="L43" s="2070">
        <v>62268.790971625094</v>
      </c>
      <c r="M43" s="2070">
        <v>61327.809802235584</v>
      </c>
      <c r="N43" s="2070">
        <v>55517.56921754084</v>
      </c>
      <c r="O43" s="2070">
        <v>54707.250214961299</v>
      </c>
      <c r="P43" s="2070">
        <v>55721.126311263964</v>
      </c>
      <c r="Q43" s="2070">
        <v>50123.381341358545</v>
      </c>
      <c r="R43" s="2070">
        <v>51372.772312983667</v>
      </c>
      <c r="S43" s="2070">
        <v>49502.204385210665</v>
      </c>
      <c r="T43" s="2070">
        <v>49711.135253654342</v>
      </c>
      <c r="U43" s="2070">
        <v>46254.689681857264</v>
      </c>
      <c r="V43" s="2070">
        <v>46950.641444539986</v>
      </c>
      <c r="W43" s="2070">
        <v>48043.604299226135</v>
      </c>
      <c r="X43" s="2070">
        <v>43330.938435081684</v>
      </c>
    </row>
    <row r="44" spans="1:24" ht="11.25" customHeight="1">
      <c r="A44" s="2068" t="s">
        <v>4665</v>
      </c>
      <c r="B44" s="2069" t="s">
        <v>5794</v>
      </c>
      <c r="C44" s="2070">
        <v>3136.7030954428196</v>
      </c>
      <c r="D44" s="2070">
        <v>3074.9193465176268</v>
      </c>
      <c r="E44" s="2070">
        <v>2606.0552020636278</v>
      </c>
      <c r="F44" s="2070">
        <v>2936.4771281169387</v>
      </c>
      <c r="G44" s="2070">
        <v>2475.0301805674981</v>
      </c>
      <c r="H44" s="2070">
        <v>2304.1777300085987</v>
      </c>
      <c r="I44" s="2070">
        <v>2085.4797076526224</v>
      </c>
      <c r="J44" s="2070">
        <v>1449.9897678417883</v>
      </c>
      <c r="K44" s="2070">
        <v>1344.8626827171108</v>
      </c>
      <c r="L44" s="2070">
        <v>1086.5303525365432</v>
      </c>
      <c r="M44" s="2070">
        <v>739.81582115219271</v>
      </c>
      <c r="N44" s="2070">
        <v>572.72098022355976</v>
      </c>
      <c r="O44" s="2070">
        <v>518.16440240756651</v>
      </c>
      <c r="P44" s="2070">
        <v>430.1647463456577</v>
      </c>
      <c r="Q44" s="2070">
        <v>355.54127257093728</v>
      </c>
      <c r="R44" s="2070">
        <v>302.73809114359415</v>
      </c>
      <c r="S44" s="2070">
        <v>304.80765262252794</v>
      </c>
      <c r="T44" s="2070">
        <v>275.14170249355112</v>
      </c>
      <c r="U44" s="2070">
        <v>203.8684436801376</v>
      </c>
      <c r="V44" s="2070">
        <v>175.22777300085986</v>
      </c>
      <c r="W44" s="2070">
        <v>179.02459157351672</v>
      </c>
      <c r="X44" s="2070">
        <v>178.61169389509877</v>
      </c>
    </row>
    <row r="45" spans="1:24" ht="11.25" customHeight="1">
      <c r="A45" s="2068" t="s">
        <v>5795</v>
      </c>
      <c r="B45" s="2069" t="s">
        <v>5796</v>
      </c>
      <c r="C45" s="2070">
        <v>0</v>
      </c>
      <c r="D45" s="2070">
        <v>0</v>
      </c>
      <c r="E45" s="2070">
        <v>0</v>
      </c>
      <c r="F45" s="2070">
        <v>0</v>
      </c>
      <c r="G45" s="2070">
        <v>0</v>
      </c>
      <c r="H45" s="2070">
        <v>0.26337059329320728</v>
      </c>
      <c r="I45" s="2070">
        <v>0.25494411006018908</v>
      </c>
      <c r="J45" s="2070">
        <v>0.29286328460877037</v>
      </c>
      <c r="K45" s="2070">
        <v>0.28443680137575222</v>
      </c>
      <c r="L45" s="2070">
        <v>0.63198624247635415</v>
      </c>
      <c r="M45" s="2070">
        <v>0.62992261392949278</v>
      </c>
      <c r="N45" s="2070">
        <v>0.58985382631126415</v>
      </c>
      <c r="O45" s="2070">
        <v>1.0079965606190888</v>
      </c>
      <c r="P45" s="2070">
        <v>0.29595872742906293</v>
      </c>
      <c r="Q45" s="2070">
        <v>1.3619088564058468</v>
      </c>
      <c r="R45" s="2070">
        <v>1.1881341358555457</v>
      </c>
      <c r="S45" s="2070">
        <v>0.26225279449699035</v>
      </c>
      <c r="T45" s="2070">
        <v>0.46380051590713628</v>
      </c>
      <c r="U45" s="2070">
        <v>0.35881341358555457</v>
      </c>
      <c r="V45" s="2070">
        <v>0.25073086844368003</v>
      </c>
      <c r="W45" s="2070">
        <v>0.2507308684436802</v>
      </c>
      <c r="X45" s="2070">
        <v>0.2507308684436802</v>
      </c>
    </row>
    <row r="46" spans="1:24" ht="11.25" customHeight="1">
      <c r="A46" s="2068" t="s">
        <v>595</v>
      </c>
      <c r="B46" s="2069" t="s">
        <v>5797</v>
      </c>
      <c r="C46" s="2070">
        <v>0</v>
      </c>
      <c r="D46" s="2070">
        <v>0</v>
      </c>
      <c r="E46" s="2070">
        <v>0</v>
      </c>
      <c r="F46" s="2070">
        <v>0</v>
      </c>
      <c r="G46" s="2070">
        <v>0</v>
      </c>
      <c r="H46" s="2070">
        <v>0</v>
      </c>
      <c r="I46" s="2070">
        <v>0</v>
      </c>
      <c r="J46" s="2070">
        <v>0</v>
      </c>
      <c r="K46" s="2070">
        <v>0</v>
      </c>
      <c r="L46" s="2070">
        <v>0</v>
      </c>
      <c r="M46" s="2070">
        <v>0</v>
      </c>
      <c r="N46" s="2070">
        <v>0</v>
      </c>
      <c r="O46" s="2070">
        <v>0</v>
      </c>
      <c r="P46" s="2070">
        <v>0</v>
      </c>
      <c r="Q46" s="2070">
        <v>0</v>
      </c>
      <c r="R46" s="2070">
        <v>0</v>
      </c>
      <c r="S46" s="2070">
        <v>0</v>
      </c>
      <c r="T46" s="2070">
        <v>0</v>
      </c>
      <c r="U46" s="2070">
        <v>0</v>
      </c>
      <c r="V46" s="2070">
        <v>0</v>
      </c>
      <c r="W46" s="2070">
        <v>0</v>
      </c>
      <c r="X46" s="2070">
        <v>0</v>
      </c>
    </row>
    <row r="47" spans="1:24" ht="11.25" customHeight="1">
      <c r="A47" s="2068" t="s">
        <v>4614</v>
      </c>
      <c r="B47" s="2069" t="s">
        <v>5798</v>
      </c>
      <c r="C47" s="2070">
        <v>0</v>
      </c>
      <c r="D47" s="2070">
        <v>2.8799656061908849</v>
      </c>
      <c r="E47" s="2070">
        <v>3.839982803095443</v>
      </c>
      <c r="F47" s="2070">
        <v>1.9199484092863279</v>
      </c>
      <c r="G47" s="2070">
        <v>6.7199484092863289</v>
      </c>
      <c r="H47" s="2070">
        <v>6.7199484092863289</v>
      </c>
      <c r="I47" s="2070">
        <v>5.7599312123817707</v>
      </c>
      <c r="J47" s="2070">
        <v>4.8</v>
      </c>
      <c r="K47" s="2070">
        <v>4.8</v>
      </c>
      <c r="L47" s="2070">
        <v>1.9199484092863279</v>
      </c>
      <c r="M47" s="2070">
        <v>1.9199484092863279</v>
      </c>
      <c r="N47" s="2070">
        <v>2.8799656061908849</v>
      </c>
      <c r="O47" s="2070">
        <v>1.9199484092863279</v>
      </c>
      <c r="P47" s="2070">
        <v>1.9199484092863279</v>
      </c>
      <c r="Q47" s="2070">
        <v>1.9199484092863279</v>
      </c>
      <c r="R47" s="2070">
        <v>1.9199484092863279</v>
      </c>
      <c r="S47" s="2070">
        <v>0.960017196904557</v>
      </c>
      <c r="T47" s="2070">
        <v>0.960017196904557</v>
      </c>
      <c r="U47" s="2070">
        <v>0</v>
      </c>
      <c r="V47" s="2070">
        <v>0</v>
      </c>
      <c r="W47" s="2070">
        <v>0</v>
      </c>
      <c r="X47" s="2070">
        <v>0</v>
      </c>
    </row>
    <row r="48" spans="1:24" ht="11.25" customHeight="1">
      <c r="A48" s="2068" t="s">
        <v>4667</v>
      </c>
      <c r="B48" s="2069" t="s">
        <v>5799</v>
      </c>
      <c r="C48" s="2070">
        <v>72.563800515907147</v>
      </c>
      <c r="D48" s="2070">
        <v>91.929062768701641</v>
      </c>
      <c r="E48" s="2070">
        <v>76.381771281169378</v>
      </c>
      <c r="F48" s="2070">
        <v>79.520980223559789</v>
      </c>
      <c r="G48" s="2070">
        <v>57.13026655202065</v>
      </c>
      <c r="H48" s="2070">
        <v>75.159415305245034</v>
      </c>
      <c r="I48" s="2070">
        <v>54.092347377472038</v>
      </c>
      <c r="J48" s="2070">
        <v>60.488478073946681</v>
      </c>
      <c r="K48" s="2070">
        <v>52.741186586414422</v>
      </c>
      <c r="L48" s="2070">
        <v>43.16715391229576</v>
      </c>
      <c r="M48" s="2070">
        <v>46.916423043852099</v>
      </c>
      <c r="N48" s="2070">
        <v>33.093121238177133</v>
      </c>
      <c r="O48" s="2070">
        <v>31.694153052450552</v>
      </c>
      <c r="P48" s="2070">
        <v>50.146689595872729</v>
      </c>
      <c r="Q48" s="2070">
        <v>45.415133276010309</v>
      </c>
      <c r="R48" s="2070">
        <v>45.413585554600175</v>
      </c>
      <c r="S48" s="2070">
        <v>34.887102321582091</v>
      </c>
      <c r="T48" s="2070">
        <v>35.485468615649175</v>
      </c>
      <c r="U48" s="2070">
        <v>47.844368013757503</v>
      </c>
      <c r="V48" s="2070">
        <v>58.226397248495246</v>
      </c>
      <c r="W48" s="2070">
        <v>60.590455717970762</v>
      </c>
      <c r="X48" s="2070">
        <v>54.5953568357696</v>
      </c>
    </row>
    <row r="49" spans="1:24" ht="11.25" customHeight="1">
      <c r="A49" s="2068" t="s">
        <v>4666</v>
      </c>
      <c r="B49" s="2069" t="s">
        <v>5800</v>
      </c>
      <c r="C49" s="2070">
        <v>0</v>
      </c>
      <c r="D49" s="2070">
        <v>0</v>
      </c>
      <c r="E49" s="2070">
        <v>0</v>
      </c>
      <c r="F49" s="2070">
        <v>0</v>
      </c>
      <c r="G49" s="2070">
        <v>0</v>
      </c>
      <c r="H49" s="2070">
        <v>0</v>
      </c>
      <c r="I49" s="2070">
        <v>0</v>
      </c>
      <c r="J49" s="2070">
        <v>0</v>
      </c>
      <c r="K49" s="2070">
        <v>0</v>
      </c>
      <c r="L49" s="2070">
        <v>0</v>
      </c>
      <c r="M49" s="2070">
        <v>0</v>
      </c>
      <c r="N49" s="2070">
        <v>0</v>
      </c>
      <c r="O49" s="2070">
        <v>0</v>
      </c>
      <c r="P49" s="2070">
        <v>0</v>
      </c>
      <c r="Q49" s="2070">
        <v>0</v>
      </c>
      <c r="R49" s="2070">
        <v>0</v>
      </c>
      <c r="S49" s="2070">
        <v>0</v>
      </c>
      <c r="T49" s="2070">
        <v>0</v>
      </c>
      <c r="U49" s="2070">
        <v>0</v>
      </c>
      <c r="V49" s="2070">
        <v>0</v>
      </c>
      <c r="W49" s="2070">
        <v>0</v>
      </c>
      <c r="X49" s="2070">
        <v>0</v>
      </c>
    </row>
    <row r="50" spans="1:24" ht="11.25" customHeight="1">
      <c r="A50" s="2068" t="s">
        <v>4668</v>
      </c>
      <c r="B50" s="2069" t="s">
        <v>5801</v>
      </c>
      <c r="C50" s="2070">
        <v>25.943164230438523</v>
      </c>
      <c r="D50" s="2070">
        <v>79.73155631986242</v>
      </c>
      <c r="E50" s="2070">
        <v>24.131384350816852</v>
      </c>
      <c r="F50" s="2070">
        <v>58.293637145313824</v>
      </c>
      <c r="G50" s="2070">
        <v>57.230008598452265</v>
      </c>
      <c r="H50" s="2070">
        <v>13.592691315563199</v>
      </c>
      <c r="I50" s="2070">
        <v>66.188306104901116</v>
      </c>
      <c r="J50" s="2070">
        <v>54.534135855545983</v>
      </c>
      <c r="K50" s="2070">
        <v>66.049097162510733</v>
      </c>
      <c r="L50" s="2070">
        <v>0</v>
      </c>
      <c r="M50" s="2070">
        <v>2.4943250214961314</v>
      </c>
      <c r="N50" s="2070">
        <v>0.90765262252794454</v>
      </c>
      <c r="O50" s="2070">
        <v>0.94307824591573519</v>
      </c>
      <c r="P50" s="2070">
        <v>14.259157351676695</v>
      </c>
      <c r="Q50" s="2070">
        <v>0</v>
      </c>
      <c r="R50" s="2070">
        <v>8.5984522785898552</v>
      </c>
      <c r="S50" s="2070">
        <v>58.206792777300087</v>
      </c>
      <c r="T50" s="2070">
        <v>2.9095442820292328</v>
      </c>
      <c r="U50" s="2070">
        <v>1.3248495270851248</v>
      </c>
      <c r="V50" s="2070">
        <v>1.7042992261392953</v>
      </c>
      <c r="W50" s="2070">
        <v>3.8005159071367158</v>
      </c>
      <c r="X50" s="2070">
        <v>1.7435941530524501</v>
      </c>
    </row>
    <row r="51" spans="1:24" ht="11.25" customHeight="1">
      <c r="A51" s="2071" t="s">
        <v>3875</v>
      </c>
      <c r="B51" s="2072" t="s">
        <v>5802</v>
      </c>
      <c r="C51" s="2073">
        <v>116706.57386070507</v>
      </c>
      <c r="D51" s="2073">
        <v>122696.81805674981</v>
      </c>
      <c r="E51" s="2073">
        <v>120452.51762682716</v>
      </c>
      <c r="F51" s="2073">
        <v>126495.11547721409</v>
      </c>
      <c r="G51" s="2073">
        <v>129013.57764402403</v>
      </c>
      <c r="H51" s="2073">
        <v>130210.89501289767</v>
      </c>
      <c r="I51" s="2073">
        <v>131729.24729148753</v>
      </c>
      <c r="J51" s="2073">
        <v>119861.31092003439</v>
      </c>
      <c r="K51" s="2073">
        <v>125752.55477214098</v>
      </c>
      <c r="L51" s="2073">
        <v>127023.82355975927</v>
      </c>
      <c r="M51" s="2073">
        <v>138022.43508168531</v>
      </c>
      <c r="N51" s="2073">
        <v>120660.30275150469</v>
      </c>
      <c r="O51" s="2073">
        <v>126372.20842648325</v>
      </c>
      <c r="P51" s="2073">
        <v>129827.05124677555</v>
      </c>
      <c r="Q51" s="2073">
        <v>108830.92416165088</v>
      </c>
      <c r="R51" s="2073">
        <v>116696.41582115219</v>
      </c>
      <c r="S51" s="2073">
        <v>122065.51960447119</v>
      </c>
      <c r="T51" s="2073">
        <v>121584.4247635426</v>
      </c>
      <c r="U51" s="2073">
        <v>122271.77944969905</v>
      </c>
      <c r="V51" s="2073">
        <v>119958.50937231297</v>
      </c>
      <c r="W51" s="2073">
        <v>117686.89079965604</v>
      </c>
      <c r="X51" s="2073">
        <v>127572.44247635425</v>
      </c>
    </row>
    <row r="52" spans="1:24" ht="11.25" customHeight="1">
      <c r="A52" s="2071" t="s">
        <v>5803</v>
      </c>
      <c r="B52" s="2072" t="s">
        <v>5804</v>
      </c>
      <c r="C52" s="2073">
        <v>32579.706190885641</v>
      </c>
      <c r="D52" s="2073">
        <v>33192.632674118657</v>
      </c>
      <c r="E52" s="2073">
        <v>33481.452622527941</v>
      </c>
      <c r="F52" s="2073">
        <v>37881.865434221843</v>
      </c>
      <c r="G52" s="2073">
        <v>37578.56758383492</v>
      </c>
      <c r="H52" s="2073">
        <v>39918.004213241606</v>
      </c>
      <c r="I52" s="2073">
        <v>41679.40318142734</v>
      </c>
      <c r="J52" s="2073">
        <v>44936.291315563205</v>
      </c>
      <c r="K52" s="2073">
        <v>49193.12459157352</v>
      </c>
      <c r="L52" s="2073">
        <v>50445.613843508167</v>
      </c>
      <c r="M52" s="2073">
        <v>54903.899484092843</v>
      </c>
      <c r="N52" s="2073">
        <v>51190.092777300073</v>
      </c>
      <c r="O52" s="2073">
        <v>57535.803697334479</v>
      </c>
      <c r="P52" s="2073">
        <v>59039.392089423884</v>
      </c>
      <c r="Q52" s="2073">
        <v>53981.893121238165</v>
      </c>
      <c r="R52" s="2073">
        <v>56774.000601891647</v>
      </c>
      <c r="S52" s="2073">
        <v>57551.520120378322</v>
      </c>
      <c r="T52" s="2073">
        <v>62271.992605331034</v>
      </c>
      <c r="U52" s="2073">
        <v>65119.466895958729</v>
      </c>
      <c r="V52" s="2073">
        <v>65629.736199484105</v>
      </c>
      <c r="W52" s="2073">
        <v>64692.622012037828</v>
      </c>
      <c r="X52" s="2073">
        <v>71144.280653482376</v>
      </c>
    </row>
    <row r="53" spans="1:24" ht="11.25" customHeight="1">
      <c r="A53" s="2074" t="s">
        <v>3973</v>
      </c>
      <c r="B53" s="2069" t="s">
        <v>5805</v>
      </c>
      <c r="C53" s="2070">
        <v>0</v>
      </c>
      <c r="D53" s="2070">
        <v>0</v>
      </c>
      <c r="E53" s="2070">
        <v>0</v>
      </c>
      <c r="F53" s="2070">
        <v>0</v>
      </c>
      <c r="G53" s="2070">
        <v>0</v>
      </c>
      <c r="H53" s="2070">
        <v>0</v>
      </c>
      <c r="I53" s="2070">
        <v>0</v>
      </c>
      <c r="J53" s="2070">
        <v>0</v>
      </c>
      <c r="K53" s="2070">
        <v>0</v>
      </c>
      <c r="L53" s="2070">
        <v>0</v>
      </c>
      <c r="M53" s="2070">
        <v>0</v>
      </c>
      <c r="N53" s="2070">
        <v>0</v>
      </c>
      <c r="O53" s="2070">
        <v>0</v>
      </c>
      <c r="P53" s="2070">
        <v>0</v>
      </c>
      <c r="Q53" s="2070">
        <v>0</v>
      </c>
      <c r="R53" s="2070">
        <v>0</v>
      </c>
      <c r="S53" s="2070">
        <v>0</v>
      </c>
      <c r="T53" s="2070">
        <v>0</v>
      </c>
      <c r="U53" s="2070">
        <v>0</v>
      </c>
      <c r="V53" s="2070">
        <v>0</v>
      </c>
      <c r="W53" s="2070">
        <v>0</v>
      </c>
      <c r="X53" s="2070">
        <v>0</v>
      </c>
    </row>
    <row r="54" spans="1:24" ht="11.25" customHeight="1">
      <c r="A54" s="2074" t="s">
        <v>5806</v>
      </c>
      <c r="B54" s="2069" t="s">
        <v>5807</v>
      </c>
      <c r="C54" s="2070">
        <v>0</v>
      </c>
      <c r="D54" s="2070">
        <v>0</v>
      </c>
      <c r="E54" s="2070">
        <v>0</v>
      </c>
      <c r="F54" s="2070">
        <v>0</v>
      </c>
      <c r="G54" s="2070">
        <v>0</v>
      </c>
      <c r="H54" s="2070">
        <v>0</v>
      </c>
      <c r="I54" s="2070">
        <v>0</v>
      </c>
      <c r="J54" s="2070">
        <v>0</v>
      </c>
      <c r="K54" s="2070">
        <v>0</v>
      </c>
      <c r="L54" s="2070">
        <v>0</v>
      </c>
      <c r="M54" s="2070">
        <v>0</v>
      </c>
      <c r="N54" s="2070">
        <v>0</v>
      </c>
      <c r="O54" s="2070">
        <v>0</v>
      </c>
      <c r="P54" s="2070">
        <v>0</v>
      </c>
      <c r="Q54" s="2070">
        <v>0</v>
      </c>
      <c r="R54" s="2070">
        <v>0</v>
      </c>
      <c r="S54" s="2070">
        <v>0</v>
      </c>
      <c r="T54" s="2070">
        <v>0</v>
      </c>
      <c r="U54" s="2070">
        <v>0</v>
      </c>
      <c r="V54" s="2070">
        <v>0</v>
      </c>
      <c r="W54" s="2070">
        <v>0</v>
      </c>
      <c r="X54" s="2070">
        <v>0</v>
      </c>
    </row>
    <row r="55" spans="1:24" ht="11.25" customHeight="1">
      <c r="A55" s="2074" t="s">
        <v>3965</v>
      </c>
      <c r="B55" s="2069" t="s">
        <v>5808</v>
      </c>
      <c r="C55" s="2070">
        <v>0</v>
      </c>
      <c r="D55" s="2070">
        <v>0</v>
      </c>
      <c r="E55" s="2070">
        <v>0</v>
      </c>
      <c r="F55" s="2070">
        <v>0</v>
      </c>
      <c r="G55" s="2070">
        <v>0</v>
      </c>
      <c r="H55" s="2070">
        <v>0</v>
      </c>
      <c r="I55" s="2070">
        <v>0</v>
      </c>
      <c r="J55" s="2070">
        <v>0</v>
      </c>
      <c r="K55" s="2070">
        <v>0</v>
      </c>
      <c r="L55" s="2070">
        <v>0</v>
      </c>
      <c r="M55" s="2070">
        <v>0</v>
      </c>
      <c r="N55" s="2070">
        <v>0</v>
      </c>
      <c r="O55" s="2070">
        <v>0</v>
      </c>
      <c r="P55" s="2070">
        <v>0</v>
      </c>
      <c r="Q55" s="2070">
        <v>0</v>
      </c>
      <c r="R55" s="2070">
        <v>0</v>
      </c>
      <c r="S55" s="2070">
        <v>0</v>
      </c>
      <c r="T55" s="2070">
        <v>0</v>
      </c>
      <c r="U55" s="2070">
        <v>0</v>
      </c>
      <c r="V55" s="2070">
        <v>0</v>
      </c>
      <c r="W55" s="2070">
        <v>0</v>
      </c>
      <c r="X55" s="2070">
        <v>0</v>
      </c>
    </row>
    <row r="56" spans="1:24" ht="11.25" customHeight="1">
      <c r="A56" s="2074" t="s">
        <v>5636</v>
      </c>
      <c r="B56" s="2069" t="s">
        <v>5809</v>
      </c>
      <c r="C56" s="2070">
        <v>0</v>
      </c>
      <c r="D56" s="2070">
        <v>0</v>
      </c>
      <c r="E56" s="2070">
        <v>0</v>
      </c>
      <c r="F56" s="2070">
        <v>0</v>
      </c>
      <c r="G56" s="2070">
        <v>0</v>
      </c>
      <c r="H56" s="2070">
        <v>0</v>
      </c>
      <c r="I56" s="2070">
        <v>0</v>
      </c>
      <c r="J56" s="2070">
        <v>0</v>
      </c>
      <c r="K56" s="2070">
        <v>0</v>
      </c>
      <c r="L56" s="2070">
        <v>0</v>
      </c>
      <c r="M56" s="2070">
        <v>0</v>
      </c>
      <c r="N56" s="2070">
        <v>0</v>
      </c>
      <c r="O56" s="2070">
        <v>0</v>
      </c>
      <c r="P56" s="2070">
        <v>0</v>
      </c>
      <c r="Q56" s="2070">
        <v>0</v>
      </c>
      <c r="R56" s="2070">
        <v>0</v>
      </c>
      <c r="S56" s="2070">
        <v>0</v>
      </c>
      <c r="T56" s="2070">
        <v>0</v>
      </c>
      <c r="U56" s="2070">
        <v>0</v>
      </c>
      <c r="V56" s="2070">
        <v>0</v>
      </c>
      <c r="W56" s="2070">
        <v>0</v>
      </c>
      <c r="X56" s="2070">
        <v>0</v>
      </c>
    </row>
    <row r="57" spans="1:24" ht="11.25" customHeight="1">
      <c r="A57" s="2074" t="s">
        <v>4617</v>
      </c>
      <c r="B57" s="2069" t="s">
        <v>5810</v>
      </c>
      <c r="C57" s="2070">
        <v>476.3455717970765</v>
      </c>
      <c r="D57" s="2070">
        <v>517.89071367153895</v>
      </c>
      <c r="E57" s="2070">
        <v>559.46663800515898</v>
      </c>
      <c r="F57" s="2070">
        <v>642.45270851246778</v>
      </c>
      <c r="G57" s="2070">
        <v>673.33723129836631</v>
      </c>
      <c r="H57" s="2070">
        <v>732.37033533963881</v>
      </c>
      <c r="I57" s="2070">
        <v>832.39355116079105</v>
      </c>
      <c r="J57" s="2070">
        <v>951.03972484952703</v>
      </c>
      <c r="K57" s="2070">
        <v>1110.9690455717966</v>
      </c>
      <c r="L57" s="2070">
        <v>1291.0359415305243</v>
      </c>
      <c r="M57" s="2070">
        <v>1483.3666380051591</v>
      </c>
      <c r="N57" s="2070">
        <v>1651.2030954428203</v>
      </c>
      <c r="O57" s="2070">
        <v>1749.497506448839</v>
      </c>
      <c r="P57" s="2070">
        <v>1831.1571797076519</v>
      </c>
      <c r="Q57" s="2070">
        <v>1948.3464316423044</v>
      </c>
      <c r="R57" s="2070">
        <v>2059.2616509028376</v>
      </c>
      <c r="S57" s="2070">
        <v>2114.7877901977645</v>
      </c>
      <c r="T57" s="2070">
        <v>2178.3143594153048</v>
      </c>
      <c r="U57" s="2070">
        <v>2327.994840928633</v>
      </c>
      <c r="V57" s="2070">
        <v>2359.0779019776442</v>
      </c>
      <c r="W57" s="2070">
        <v>2455.5621668099739</v>
      </c>
      <c r="X57" s="2070">
        <v>2470.3731728288908</v>
      </c>
    </row>
    <row r="58" spans="1:24" ht="11.25" customHeight="1">
      <c r="A58" s="2074" t="s">
        <v>3971</v>
      </c>
      <c r="B58" s="2069" t="s">
        <v>5811</v>
      </c>
      <c r="C58" s="2070">
        <v>440.1327601031814</v>
      </c>
      <c r="D58" s="2070">
        <v>444.52777300085984</v>
      </c>
      <c r="E58" s="2070">
        <v>459.37403267411867</v>
      </c>
      <c r="F58" s="2070">
        <v>495.74282029234746</v>
      </c>
      <c r="G58" s="2070">
        <v>500.18701633705933</v>
      </c>
      <c r="H58" s="2070">
        <v>438.10653482373164</v>
      </c>
      <c r="I58" s="2070">
        <v>436.21805674978498</v>
      </c>
      <c r="J58" s="2070">
        <v>437.70567497850379</v>
      </c>
      <c r="K58" s="2070">
        <v>460.91074806534817</v>
      </c>
      <c r="L58" s="2070">
        <v>475.56852966466028</v>
      </c>
      <c r="M58" s="2070">
        <v>413.40335339638858</v>
      </c>
      <c r="N58" s="2070">
        <v>436.39475494410999</v>
      </c>
      <c r="O58" s="2070">
        <v>447.25520206362859</v>
      </c>
      <c r="P58" s="2070">
        <v>467.57979363714531</v>
      </c>
      <c r="Q58" s="2070">
        <v>442.83783319002578</v>
      </c>
      <c r="R58" s="2070">
        <v>446.04092863284609</v>
      </c>
      <c r="S58" s="2070">
        <v>479.49750644883915</v>
      </c>
      <c r="T58" s="2070">
        <v>515.51315563198636</v>
      </c>
      <c r="U58" s="2070">
        <v>533.43267411865861</v>
      </c>
      <c r="V58" s="2070">
        <v>580.5477214101461</v>
      </c>
      <c r="W58" s="2070">
        <v>552.85932932072217</v>
      </c>
      <c r="X58" s="2070">
        <v>572.3276010318142</v>
      </c>
    </row>
    <row r="59" spans="1:24" ht="11.25" customHeight="1">
      <c r="A59" s="2074" t="s">
        <v>4669</v>
      </c>
      <c r="B59" s="2069" t="s">
        <v>5812</v>
      </c>
      <c r="C59" s="2070">
        <v>31156.122184006879</v>
      </c>
      <c r="D59" s="2070">
        <v>31672.442390369735</v>
      </c>
      <c r="E59" s="2070">
        <v>31870.657437661215</v>
      </c>
      <c r="F59" s="2070">
        <v>35572.436113499571</v>
      </c>
      <c r="G59" s="2070">
        <v>34989.152880481517</v>
      </c>
      <c r="H59" s="2070">
        <v>37252.579707652614</v>
      </c>
      <c r="I59" s="2070">
        <v>38498.294239036964</v>
      </c>
      <c r="J59" s="2070">
        <v>41010.0652622528</v>
      </c>
      <c r="K59" s="2070">
        <v>44663.026655202062</v>
      </c>
      <c r="L59" s="2070">
        <v>44962.270421324167</v>
      </c>
      <c r="M59" s="2070">
        <v>48692.702579535668</v>
      </c>
      <c r="N59" s="2070">
        <v>43609.201977644014</v>
      </c>
      <c r="O59" s="2070">
        <v>49039.404471195186</v>
      </c>
      <c r="P59" s="2070">
        <v>49755.102923473765</v>
      </c>
      <c r="Q59" s="2070">
        <v>43723.379449699052</v>
      </c>
      <c r="R59" s="2070">
        <v>45735.339810834041</v>
      </c>
      <c r="S59" s="2070">
        <v>45314.225279449696</v>
      </c>
      <c r="T59" s="2070">
        <v>45845.270851246758</v>
      </c>
      <c r="U59" s="2070">
        <v>47871.398022355985</v>
      </c>
      <c r="V59" s="2070">
        <v>47530.032502149625</v>
      </c>
      <c r="W59" s="2070">
        <v>45795.425193465169</v>
      </c>
      <c r="X59" s="2070">
        <v>50427.251676698193</v>
      </c>
    </row>
    <row r="60" spans="1:24" ht="11.25" customHeight="1">
      <c r="A60" s="2074" t="s">
        <v>4618</v>
      </c>
      <c r="B60" s="2069" t="s">
        <v>5813</v>
      </c>
      <c r="C60" s="2070">
        <v>82.848409286328462</v>
      </c>
      <c r="D60" s="2070">
        <v>72.554170249355124</v>
      </c>
      <c r="E60" s="2070">
        <v>65.871367153912274</v>
      </c>
      <c r="F60" s="2070">
        <v>191.28452278589853</v>
      </c>
      <c r="G60" s="2070">
        <v>200.30447119518485</v>
      </c>
      <c r="H60" s="2070">
        <v>214.01883061049011</v>
      </c>
      <c r="I60" s="2070">
        <v>213.761822871883</v>
      </c>
      <c r="J60" s="2070">
        <v>273.38409286328459</v>
      </c>
      <c r="K60" s="2070">
        <v>259.11298366294068</v>
      </c>
      <c r="L60" s="2070">
        <v>348.3193465176268</v>
      </c>
      <c r="M60" s="2070">
        <v>345.41470335339631</v>
      </c>
      <c r="N60" s="2070">
        <v>436.63568357695607</v>
      </c>
      <c r="O60" s="2070">
        <v>474.55769561478922</v>
      </c>
      <c r="P60" s="2070">
        <v>461.78125537403264</v>
      </c>
      <c r="Q60" s="2070">
        <v>461.76147893379175</v>
      </c>
      <c r="R60" s="2070">
        <v>487.0098022355977</v>
      </c>
      <c r="S60" s="2070">
        <v>453.9898538263111</v>
      </c>
      <c r="T60" s="2070">
        <v>454.93774720550289</v>
      </c>
      <c r="U60" s="2070">
        <v>487.90300945829745</v>
      </c>
      <c r="V60" s="2070">
        <v>438.70094582975059</v>
      </c>
      <c r="W60" s="2070">
        <v>407.84282029234731</v>
      </c>
      <c r="X60" s="2070">
        <v>385.6483233018057</v>
      </c>
    </row>
    <row r="61" spans="1:24" ht="11.25" customHeight="1">
      <c r="A61" s="2074" t="s">
        <v>4670</v>
      </c>
      <c r="B61" s="2069" t="s">
        <v>5814</v>
      </c>
      <c r="C61" s="2070">
        <v>149.4418744625967</v>
      </c>
      <c r="D61" s="2070">
        <v>163.54196044711949</v>
      </c>
      <c r="E61" s="2070">
        <v>169.59707652622527</v>
      </c>
      <c r="F61" s="2070">
        <v>364.2906276870163</v>
      </c>
      <c r="G61" s="2070">
        <v>407.48039552880471</v>
      </c>
      <c r="H61" s="2070">
        <v>406.42957867583829</v>
      </c>
      <c r="I61" s="2070">
        <v>497.26070507308674</v>
      </c>
      <c r="J61" s="2070">
        <v>651.63714531384335</v>
      </c>
      <c r="K61" s="2070">
        <v>713.78142734307801</v>
      </c>
      <c r="L61" s="2070">
        <v>881.57566638005164</v>
      </c>
      <c r="M61" s="2070">
        <v>1043.110060189166</v>
      </c>
      <c r="N61" s="2070">
        <v>1159.7483233018056</v>
      </c>
      <c r="O61" s="2070">
        <v>1396.9303525365435</v>
      </c>
      <c r="P61" s="2070">
        <v>1579.542992261393</v>
      </c>
      <c r="Q61" s="2070">
        <v>1728.8156491831469</v>
      </c>
      <c r="R61" s="2070">
        <v>1836.1421324161645</v>
      </c>
      <c r="S61" s="2070">
        <v>2028.5842648323301</v>
      </c>
      <c r="T61" s="2070">
        <v>2064.3089423903702</v>
      </c>
      <c r="U61" s="2070">
        <v>1997.4991401547725</v>
      </c>
      <c r="V61" s="2070">
        <v>1995.0758383490966</v>
      </c>
      <c r="W61" s="2070">
        <v>1992.7478073946688</v>
      </c>
      <c r="X61" s="2070">
        <v>1940.3231298366295</v>
      </c>
    </row>
    <row r="62" spans="1:24" ht="11.25" customHeight="1">
      <c r="A62" s="2074" t="s">
        <v>5815</v>
      </c>
      <c r="B62" s="2069" t="s">
        <v>5816</v>
      </c>
      <c r="C62" s="2070">
        <v>209.65889939810839</v>
      </c>
      <c r="D62" s="2070">
        <v>252.77059329320718</v>
      </c>
      <c r="E62" s="2070">
        <v>282.26809974204639</v>
      </c>
      <c r="F62" s="2070">
        <v>321.6061049011177</v>
      </c>
      <c r="G62" s="2070">
        <v>345.34729148753217</v>
      </c>
      <c r="H62" s="2070">
        <v>164.92312983662939</v>
      </c>
      <c r="I62" s="2070">
        <v>162.79742046431642</v>
      </c>
      <c r="J62" s="2070">
        <v>197.48916595012903</v>
      </c>
      <c r="K62" s="2070">
        <v>218.93430782459166</v>
      </c>
      <c r="L62" s="2070">
        <v>254.27059329320733</v>
      </c>
      <c r="M62" s="2070">
        <v>251.85288048151318</v>
      </c>
      <c r="N62" s="2070">
        <v>162.06328460877037</v>
      </c>
      <c r="O62" s="2070">
        <v>155.76818572656924</v>
      </c>
      <c r="P62" s="2070">
        <v>173.76216680997422</v>
      </c>
      <c r="Q62" s="2070">
        <v>155.61392949269131</v>
      </c>
      <c r="R62" s="2070">
        <v>127.11229578675835</v>
      </c>
      <c r="S62" s="2070">
        <v>143.11109200343947</v>
      </c>
      <c r="T62" s="2070">
        <v>161.32674118658636</v>
      </c>
      <c r="U62" s="2070">
        <v>141.64402407566635</v>
      </c>
      <c r="V62" s="2070">
        <v>154.02889079965604</v>
      </c>
      <c r="W62" s="2070">
        <v>163.01848667239895</v>
      </c>
      <c r="X62" s="2070">
        <v>190.10085984522794</v>
      </c>
    </row>
    <row r="63" spans="1:24" ht="11.25" customHeight="1">
      <c r="A63" s="2074" t="s">
        <v>5817</v>
      </c>
      <c r="B63" s="2069" t="s">
        <v>5818</v>
      </c>
      <c r="C63" s="2070">
        <v>0</v>
      </c>
      <c r="D63" s="2070">
        <v>0</v>
      </c>
      <c r="E63" s="2070">
        <v>0</v>
      </c>
      <c r="F63" s="2070">
        <v>0</v>
      </c>
      <c r="G63" s="2070">
        <v>0</v>
      </c>
      <c r="H63" s="2070">
        <v>0</v>
      </c>
      <c r="I63" s="2070">
        <v>0</v>
      </c>
      <c r="J63" s="2070">
        <v>0</v>
      </c>
      <c r="K63" s="2070">
        <v>0</v>
      </c>
      <c r="L63" s="2070">
        <v>0</v>
      </c>
      <c r="M63" s="2070">
        <v>0</v>
      </c>
      <c r="N63" s="2070">
        <v>0</v>
      </c>
      <c r="O63" s="2070">
        <v>0</v>
      </c>
      <c r="P63" s="2070">
        <v>0</v>
      </c>
      <c r="Q63" s="2070">
        <v>0</v>
      </c>
      <c r="R63" s="2070">
        <v>0</v>
      </c>
      <c r="S63" s="2070">
        <v>0</v>
      </c>
      <c r="T63" s="2070">
        <v>0</v>
      </c>
      <c r="U63" s="2070">
        <v>0</v>
      </c>
      <c r="V63" s="2070">
        <v>0</v>
      </c>
      <c r="W63" s="2070">
        <v>0</v>
      </c>
      <c r="X63" s="2070">
        <v>0</v>
      </c>
    </row>
    <row r="64" spans="1:24" ht="11.25" customHeight="1">
      <c r="A64" s="2074" t="s">
        <v>5819</v>
      </c>
      <c r="B64" s="2069" t="s">
        <v>5820</v>
      </c>
      <c r="C64" s="2070">
        <v>0</v>
      </c>
      <c r="D64" s="2070">
        <v>0</v>
      </c>
      <c r="E64" s="2070">
        <v>0</v>
      </c>
      <c r="F64" s="2070">
        <v>0</v>
      </c>
      <c r="G64" s="2070">
        <v>0</v>
      </c>
      <c r="H64" s="2070">
        <v>6.2368013757523624</v>
      </c>
      <c r="I64" s="2070">
        <v>7.4981083404987077</v>
      </c>
      <c r="J64" s="2070">
        <v>9.0116938950988832</v>
      </c>
      <c r="K64" s="2070">
        <v>14.108254514187443</v>
      </c>
      <c r="L64" s="2070">
        <v>13.841874462596731</v>
      </c>
      <c r="M64" s="2070">
        <v>15.28873602751505</v>
      </c>
      <c r="N64" s="2070">
        <v>17.155975924333614</v>
      </c>
      <c r="O64" s="2070">
        <v>19.520808254514179</v>
      </c>
      <c r="P64" s="2070">
        <v>18.420120378331902</v>
      </c>
      <c r="Q64" s="2070">
        <v>17.616852966466041</v>
      </c>
      <c r="R64" s="2070">
        <v>15.773688736027522</v>
      </c>
      <c r="S64" s="2070">
        <v>13.975666380051589</v>
      </c>
      <c r="T64" s="2070">
        <v>15.526999140154771</v>
      </c>
      <c r="U64" s="2070">
        <v>19.239294926913153</v>
      </c>
      <c r="V64" s="2070">
        <v>16.500429922613929</v>
      </c>
      <c r="W64" s="2070">
        <v>19.234393809114355</v>
      </c>
      <c r="X64" s="2070">
        <v>20.985640584694753</v>
      </c>
    </row>
    <row r="65" spans="1:24" ht="11.25" customHeight="1">
      <c r="A65" s="2074" t="s">
        <v>5821</v>
      </c>
      <c r="B65" s="2069" t="s">
        <v>5822</v>
      </c>
      <c r="C65" s="2070">
        <v>1.45554600171969</v>
      </c>
      <c r="D65" s="2070">
        <v>1.60146173688736</v>
      </c>
      <c r="E65" s="2070">
        <v>1.690627687016337</v>
      </c>
      <c r="F65" s="2070">
        <v>27.455288048151335</v>
      </c>
      <c r="G65" s="2070">
        <v>28.951074806534827</v>
      </c>
      <c r="H65" s="2070">
        <v>29.188392089423907</v>
      </c>
      <c r="I65" s="2070">
        <v>30.051418744625966</v>
      </c>
      <c r="J65" s="2070">
        <v>68.643164230438529</v>
      </c>
      <c r="K65" s="2070">
        <v>59.540068787618218</v>
      </c>
      <c r="L65" s="2070">
        <v>34.063886500429916</v>
      </c>
      <c r="M65" s="2070">
        <v>25.439036973344798</v>
      </c>
      <c r="N65" s="2070">
        <v>12.0006018916595</v>
      </c>
      <c r="O65" s="2070">
        <v>16.189595872742899</v>
      </c>
      <c r="P65" s="2070">
        <v>14.954342218400688</v>
      </c>
      <c r="Q65" s="2070">
        <v>23.375150472914871</v>
      </c>
      <c r="R65" s="2070">
        <v>23.576354256233884</v>
      </c>
      <c r="S65" s="2070">
        <v>30.754428202923471</v>
      </c>
      <c r="T65" s="2070">
        <v>55.060533104041269</v>
      </c>
      <c r="U65" s="2070">
        <v>50.838865004299223</v>
      </c>
      <c r="V65" s="2070">
        <v>36.721238177128114</v>
      </c>
      <c r="W65" s="2070">
        <v>39.916852966466024</v>
      </c>
      <c r="X65" s="2070">
        <v>39.362424763542563</v>
      </c>
    </row>
    <row r="66" spans="1:24" ht="11.25" customHeight="1">
      <c r="A66" s="2074" t="s">
        <v>5823</v>
      </c>
      <c r="B66" s="2069" t="s">
        <v>5824</v>
      </c>
      <c r="C66" s="2070">
        <v>0</v>
      </c>
      <c r="D66" s="2070">
        <v>0</v>
      </c>
      <c r="E66" s="2070">
        <v>0</v>
      </c>
      <c r="F66" s="2070">
        <v>0</v>
      </c>
      <c r="G66" s="2070">
        <v>17.743422184006878</v>
      </c>
      <c r="H66" s="2070">
        <v>49.115391229578677</v>
      </c>
      <c r="I66" s="2070">
        <v>115.7583834909716</v>
      </c>
      <c r="J66" s="2070">
        <v>163.6948409286328</v>
      </c>
      <c r="K66" s="2070">
        <v>138.97145313843509</v>
      </c>
      <c r="L66" s="2070">
        <v>192.33344797936377</v>
      </c>
      <c r="M66" s="2070">
        <v>184.67222699914024</v>
      </c>
      <c r="N66" s="2070">
        <v>190.72708512467753</v>
      </c>
      <c r="O66" s="2070">
        <v>231.5931212381771</v>
      </c>
      <c r="P66" s="2070">
        <v>234.68710232158219</v>
      </c>
      <c r="Q66" s="2070">
        <v>249.5792777300085</v>
      </c>
      <c r="R66" s="2070">
        <v>257.30868443680157</v>
      </c>
      <c r="S66" s="2070">
        <v>366.03164230438529</v>
      </c>
      <c r="T66" s="2070">
        <v>426.88297506448816</v>
      </c>
      <c r="U66" s="2070">
        <v>463.52261392949276</v>
      </c>
      <c r="V66" s="2070">
        <v>504.40309544282024</v>
      </c>
      <c r="W66" s="2070">
        <v>543.07291487532234</v>
      </c>
      <c r="X66" s="2070">
        <v>570.8561478933791</v>
      </c>
    </row>
    <row r="67" spans="1:24" ht="11.25" customHeight="1">
      <c r="A67" s="2074" t="s">
        <v>5825</v>
      </c>
      <c r="B67" s="2069" t="s">
        <v>5826</v>
      </c>
      <c r="C67" s="2070">
        <v>0</v>
      </c>
      <c r="D67" s="2070">
        <v>0</v>
      </c>
      <c r="E67" s="2070">
        <v>0</v>
      </c>
      <c r="F67" s="2070">
        <v>0</v>
      </c>
      <c r="G67" s="2070">
        <v>0</v>
      </c>
      <c r="H67" s="2070">
        <v>0</v>
      </c>
      <c r="I67" s="2070">
        <v>0</v>
      </c>
      <c r="J67" s="2070">
        <v>0</v>
      </c>
      <c r="K67" s="2070">
        <v>0</v>
      </c>
      <c r="L67" s="2070">
        <v>0</v>
      </c>
      <c r="M67" s="2070">
        <v>0</v>
      </c>
      <c r="N67" s="2070">
        <v>0</v>
      </c>
      <c r="O67" s="2070">
        <v>0</v>
      </c>
      <c r="P67" s="2070">
        <v>0</v>
      </c>
      <c r="Q67" s="2070">
        <v>0</v>
      </c>
      <c r="R67" s="2070">
        <v>0</v>
      </c>
      <c r="S67" s="2070">
        <v>0</v>
      </c>
      <c r="T67" s="2070">
        <v>0</v>
      </c>
      <c r="U67" s="2070">
        <v>0</v>
      </c>
      <c r="V67" s="2070">
        <v>0</v>
      </c>
      <c r="W67" s="2070">
        <v>0</v>
      </c>
      <c r="X67" s="2070">
        <v>0</v>
      </c>
    </row>
    <row r="68" spans="1:24" ht="11.25" customHeight="1">
      <c r="A68" s="2074" t="s">
        <v>5827</v>
      </c>
      <c r="B68" s="2069" t="s">
        <v>5828</v>
      </c>
      <c r="C68" s="2070">
        <v>0</v>
      </c>
      <c r="D68" s="2070">
        <v>0</v>
      </c>
      <c r="E68" s="2070">
        <v>0</v>
      </c>
      <c r="F68" s="2070">
        <v>0</v>
      </c>
      <c r="G68" s="2070">
        <v>0</v>
      </c>
      <c r="H68" s="2070">
        <v>0</v>
      </c>
      <c r="I68" s="2070">
        <v>0</v>
      </c>
      <c r="J68" s="2070">
        <v>0</v>
      </c>
      <c r="K68" s="2070">
        <v>0</v>
      </c>
      <c r="L68" s="2070">
        <v>0</v>
      </c>
      <c r="M68" s="2070">
        <v>0</v>
      </c>
      <c r="N68" s="2070">
        <v>0</v>
      </c>
      <c r="O68" s="2070">
        <v>0</v>
      </c>
      <c r="P68" s="2070">
        <v>0</v>
      </c>
      <c r="Q68" s="2070">
        <v>0</v>
      </c>
      <c r="R68" s="2070">
        <v>0</v>
      </c>
      <c r="S68" s="2070">
        <v>0</v>
      </c>
      <c r="T68" s="2070">
        <v>0</v>
      </c>
      <c r="U68" s="2070">
        <v>0</v>
      </c>
      <c r="V68" s="2070">
        <v>0</v>
      </c>
      <c r="W68" s="2070">
        <v>0</v>
      </c>
      <c r="X68" s="2070">
        <v>0</v>
      </c>
    </row>
    <row r="69" spans="1:24" ht="11.25" customHeight="1">
      <c r="A69" s="2074" t="s">
        <v>4619</v>
      </c>
      <c r="B69" s="2069" t="s">
        <v>5829</v>
      </c>
      <c r="C69" s="2070">
        <v>0</v>
      </c>
      <c r="D69" s="2070">
        <v>0</v>
      </c>
      <c r="E69" s="2070">
        <v>0</v>
      </c>
      <c r="F69" s="2070">
        <v>10.29690455717971</v>
      </c>
      <c r="G69" s="2070">
        <v>19.860103181427341</v>
      </c>
      <c r="H69" s="2070">
        <v>22.467755803955292</v>
      </c>
      <c r="I69" s="2070">
        <v>58.055374032674123</v>
      </c>
      <c r="J69" s="2070">
        <v>70.852450558899392</v>
      </c>
      <c r="K69" s="2070">
        <v>69.534135855545998</v>
      </c>
      <c r="L69" s="2070">
        <v>121.6390369733448</v>
      </c>
      <c r="M69" s="2070">
        <v>113.28907996560621</v>
      </c>
      <c r="N69" s="2070">
        <v>51.49054170249353</v>
      </c>
      <c r="O69" s="2070">
        <v>19.735683576956148</v>
      </c>
      <c r="P69" s="2070">
        <v>21.170851246775587</v>
      </c>
      <c r="Q69" s="2070">
        <v>22.412553740326725</v>
      </c>
      <c r="R69" s="2070">
        <v>26.158985382631155</v>
      </c>
      <c r="S69" s="2070">
        <v>27.603869303525393</v>
      </c>
      <c r="T69" s="2070">
        <v>29.905932932072204</v>
      </c>
      <c r="U69" s="2070">
        <v>45.957437661221007</v>
      </c>
      <c r="V69" s="2070">
        <v>52.66096302665521</v>
      </c>
      <c r="W69" s="2070">
        <v>55.410748065348201</v>
      </c>
      <c r="X69" s="2070">
        <v>38.611693895098895</v>
      </c>
    </row>
    <row r="70" spans="1:24" ht="11.25" customHeight="1">
      <c r="A70" s="2074" t="s">
        <v>5830</v>
      </c>
      <c r="B70" s="2069" t="s">
        <v>5831</v>
      </c>
      <c r="C70" s="2070">
        <v>63.700945829750644</v>
      </c>
      <c r="D70" s="2070">
        <v>67.303611349957009</v>
      </c>
      <c r="E70" s="2070">
        <v>72.52734307824592</v>
      </c>
      <c r="F70" s="2070">
        <v>256.30034393809115</v>
      </c>
      <c r="G70" s="2070">
        <v>396.20369733447967</v>
      </c>
      <c r="H70" s="2070">
        <v>602.56775580395527</v>
      </c>
      <c r="I70" s="2070">
        <v>827.31410146173675</v>
      </c>
      <c r="J70" s="2070">
        <v>1102.7680997420464</v>
      </c>
      <c r="K70" s="2070">
        <v>1484.2355116079102</v>
      </c>
      <c r="L70" s="2070">
        <v>1870.6950988822009</v>
      </c>
      <c r="M70" s="2070">
        <v>2335.36018916595</v>
      </c>
      <c r="N70" s="2070">
        <v>3463.4714531384348</v>
      </c>
      <c r="O70" s="2070">
        <v>3985.3510748065341</v>
      </c>
      <c r="P70" s="2070">
        <v>4481.2333619948404</v>
      </c>
      <c r="Q70" s="2070">
        <v>5208.1545141874449</v>
      </c>
      <c r="R70" s="2070">
        <v>5760.2762682717121</v>
      </c>
      <c r="S70" s="2070">
        <v>6578.9587274290616</v>
      </c>
      <c r="T70" s="2070">
        <v>10524.944368013756</v>
      </c>
      <c r="U70" s="2070">
        <v>11180.036973344797</v>
      </c>
      <c r="V70" s="2070">
        <v>11961.986672398967</v>
      </c>
      <c r="W70" s="2070">
        <v>12667.531298366295</v>
      </c>
      <c r="X70" s="2070">
        <v>14488.439982803095</v>
      </c>
    </row>
    <row r="71" spans="1:24" ht="11.25" customHeight="1">
      <c r="A71" s="2071" t="s">
        <v>5832</v>
      </c>
      <c r="B71" s="2072" t="s">
        <v>5833</v>
      </c>
      <c r="C71" s="2073">
        <v>241.28211521926059</v>
      </c>
      <c r="D71" s="2073">
        <v>285.70748065348238</v>
      </c>
      <c r="E71" s="2073">
        <v>303.21504729148756</v>
      </c>
      <c r="F71" s="2073">
        <v>346.94772141014613</v>
      </c>
      <c r="G71" s="2073">
        <v>370.11573516766975</v>
      </c>
      <c r="H71" s="2073">
        <v>203.33310404127255</v>
      </c>
      <c r="I71" s="2073">
        <v>191.98297506448841</v>
      </c>
      <c r="J71" s="2073">
        <v>223.63310404127262</v>
      </c>
      <c r="K71" s="2073">
        <v>239.74866723989695</v>
      </c>
      <c r="L71" s="2073">
        <v>272.85055889939821</v>
      </c>
      <c r="M71" s="2073">
        <v>256.47532244196032</v>
      </c>
      <c r="N71" s="2073">
        <v>164.43121238177122</v>
      </c>
      <c r="O71" s="2073">
        <v>159.94084264832335</v>
      </c>
      <c r="P71" s="2073">
        <v>206.34660361134996</v>
      </c>
      <c r="Q71" s="2073">
        <v>214.25726569217539</v>
      </c>
      <c r="R71" s="2073">
        <v>186.79793637145309</v>
      </c>
      <c r="S71" s="2073">
        <v>189.7059329320723</v>
      </c>
      <c r="T71" s="2073">
        <v>204.80713671539124</v>
      </c>
      <c r="U71" s="2073">
        <v>186.15778159931213</v>
      </c>
      <c r="V71" s="2073">
        <v>198.73336199484083</v>
      </c>
      <c r="W71" s="2073">
        <v>218.69681857265687</v>
      </c>
      <c r="X71" s="2073">
        <v>240.25546001719692</v>
      </c>
    </row>
    <row r="72" spans="1:24" ht="11.25" customHeight="1">
      <c r="A72" s="2074" t="s">
        <v>5834</v>
      </c>
      <c r="B72" s="2069" t="s">
        <v>5835</v>
      </c>
      <c r="C72" s="2070">
        <v>38.167583834909713</v>
      </c>
      <c r="D72" s="2070">
        <v>39.576784178847795</v>
      </c>
      <c r="E72" s="2070">
        <v>27.586844368013747</v>
      </c>
      <c r="F72" s="2070">
        <v>28.637661220980227</v>
      </c>
      <c r="G72" s="2070">
        <v>27.204643164230443</v>
      </c>
      <c r="H72" s="2070">
        <v>40.870077386070506</v>
      </c>
      <c r="I72" s="2070">
        <v>32.529406706792791</v>
      </c>
      <c r="J72" s="2070">
        <v>28.484608770421318</v>
      </c>
      <c r="K72" s="2070">
        <v>23.346087704213254</v>
      </c>
      <c r="L72" s="2070">
        <v>24.503353396388658</v>
      </c>
      <c r="M72" s="2070">
        <v>20.433963886500422</v>
      </c>
      <c r="N72" s="2070">
        <v>16.842046431642292</v>
      </c>
      <c r="O72" s="2070">
        <v>21.202321582115221</v>
      </c>
      <c r="P72" s="2070">
        <v>51.429406706792768</v>
      </c>
      <c r="Q72" s="2070">
        <v>47.107050730868437</v>
      </c>
      <c r="R72" s="2070">
        <v>60.011263972484954</v>
      </c>
      <c r="S72" s="2070">
        <v>56.838435081685319</v>
      </c>
      <c r="T72" s="2070">
        <v>53.90868443680143</v>
      </c>
      <c r="U72" s="2070">
        <v>55.4885640584695</v>
      </c>
      <c r="V72" s="2070">
        <v>58.52906276870155</v>
      </c>
      <c r="W72" s="2070">
        <v>58.69802235597593</v>
      </c>
      <c r="X72" s="2070">
        <v>58.652794496990502</v>
      </c>
    </row>
    <row r="73" spans="1:24" ht="11.25" customHeight="1">
      <c r="A73" s="2074" t="s">
        <v>5836</v>
      </c>
      <c r="B73" s="2069" t="s">
        <v>5837</v>
      </c>
      <c r="C73" s="2070">
        <v>203.11453138435087</v>
      </c>
      <c r="D73" s="2070">
        <v>246.13069647463459</v>
      </c>
      <c r="E73" s="2070">
        <v>275.62820292347379</v>
      </c>
      <c r="F73" s="2070">
        <v>318.31006018916588</v>
      </c>
      <c r="G73" s="2070">
        <v>342.91109200343931</v>
      </c>
      <c r="H73" s="2070">
        <v>162.46302665520204</v>
      </c>
      <c r="I73" s="2070">
        <v>159.45356835769562</v>
      </c>
      <c r="J73" s="2070">
        <v>195.1484952708513</v>
      </c>
      <c r="K73" s="2070">
        <v>216.40257953568369</v>
      </c>
      <c r="L73" s="2070">
        <v>248.34720550300958</v>
      </c>
      <c r="M73" s="2070">
        <v>236.04135855545991</v>
      </c>
      <c r="N73" s="2070">
        <v>147.58916595012892</v>
      </c>
      <c r="O73" s="2070">
        <v>138.73852106620814</v>
      </c>
      <c r="P73" s="2070">
        <v>154.91719690455719</v>
      </c>
      <c r="Q73" s="2070">
        <v>167.15021496130694</v>
      </c>
      <c r="R73" s="2070">
        <v>126.78667239896815</v>
      </c>
      <c r="S73" s="2070">
        <v>132.867497850387</v>
      </c>
      <c r="T73" s="2070">
        <v>150.89845227858982</v>
      </c>
      <c r="U73" s="2070">
        <v>130.66921754084262</v>
      </c>
      <c r="V73" s="2070">
        <v>140.20429922613928</v>
      </c>
      <c r="W73" s="2070">
        <v>159.99879621668094</v>
      </c>
      <c r="X73" s="2070">
        <v>181.60266552020641</v>
      </c>
    </row>
    <row r="74" spans="1:24" ht="11.25" customHeight="1">
      <c r="A74" s="2071" t="s">
        <v>4616</v>
      </c>
      <c r="B74" s="2072" t="s">
        <v>5838</v>
      </c>
      <c r="C74" s="2073">
        <v>0</v>
      </c>
      <c r="D74" s="2073">
        <v>0</v>
      </c>
      <c r="E74" s="2073">
        <v>0</v>
      </c>
      <c r="F74" s="2073">
        <v>0</v>
      </c>
      <c r="G74" s="2073">
        <v>0</v>
      </c>
      <c r="H74" s="2073">
        <v>0</v>
      </c>
      <c r="I74" s="2073">
        <v>0</v>
      </c>
      <c r="J74" s="2073">
        <v>0</v>
      </c>
      <c r="K74" s="2073">
        <v>0</v>
      </c>
      <c r="L74" s="2073">
        <v>0</v>
      </c>
      <c r="M74" s="2073">
        <v>0</v>
      </c>
      <c r="N74" s="2073">
        <v>0</v>
      </c>
      <c r="O74" s="2073">
        <v>0</v>
      </c>
      <c r="P74" s="2073">
        <v>0</v>
      </c>
      <c r="Q74" s="2073">
        <v>0</v>
      </c>
      <c r="R74" s="2073">
        <v>0</v>
      </c>
      <c r="S74" s="2073">
        <v>0</v>
      </c>
      <c r="T74" s="2073">
        <v>0</v>
      </c>
      <c r="U74" s="2073">
        <v>0</v>
      </c>
      <c r="V74" s="2073">
        <v>0</v>
      </c>
      <c r="W74" s="2073">
        <v>0</v>
      </c>
      <c r="X74" s="2073">
        <v>0</v>
      </c>
    </row>
    <row r="75" spans="1:24" ht="11.25" customHeight="1">
      <c r="A75" s="2071" t="s">
        <v>4671</v>
      </c>
      <c r="B75" s="2072" t="s">
        <v>5839</v>
      </c>
      <c r="C75" s="2073">
        <v>32911.835511607904</v>
      </c>
      <c r="D75" s="2073">
        <v>35847.18297506449</v>
      </c>
      <c r="E75" s="2073">
        <v>34596.706018916593</v>
      </c>
      <c r="F75" s="2073">
        <v>36031.083748925179</v>
      </c>
      <c r="G75" s="2073">
        <v>36452.704471195182</v>
      </c>
      <c r="H75" s="2073">
        <v>36239.258985382628</v>
      </c>
      <c r="I75" s="2073">
        <v>34848.295012897681</v>
      </c>
      <c r="J75" s="2073">
        <v>31429.627343078242</v>
      </c>
      <c r="K75" s="2073">
        <v>31863.539466895956</v>
      </c>
      <c r="L75" s="2073">
        <v>31890.546431642306</v>
      </c>
      <c r="M75" s="2073">
        <v>35880.031642304384</v>
      </c>
      <c r="N75" s="2073">
        <v>31368.434135855547</v>
      </c>
      <c r="O75" s="2073">
        <v>31911.992347377465</v>
      </c>
      <c r="P75" s="2073">
        <v>32054.091659501297</v>
      </c>
      <c r="Q75" s="2073">
        <v>29126.442734307828</v>
      </c>
      <c r="R75" s="2073">
        <v>29932.97446259674</v>
      </c>
      <c r="S75" s="2073">
        <v>31330.26440240756</v>
      </c>
      <c r="T75" s="2073">
        <v>31711.187072624751</v>
      </c>
      <c r="U75" s="2073">
        <v>30652.193551160792</v>
      </c>
      <c r="V75" s="2073">
        <v>30295.717110920032</v>
      </c>
      <c r="W75" s="2073">
        <v>29246.9366294067</v>
      </c>
      <c r="X75" s="2073">
        <v>32358.216337059333</v>
      </c>
    </row>
    <row r="76" spans="1:24" ht="11.25" customHeight="1">
      <c r="A76" s="2075" t="s">
        <v>4282</v>
      </c>
      <c r="B76" s="2076" t="s">
        <v>5840</v>
      </c>
      <c r="C76" s="2077">
        <v>103121.19142763829</v>
      </c>
      <c r="D76" s="2077">
        <v>106985.52952365187</v>
      </c>
      <c r="E76" s="2077">
        <v>108882.97802762603</v>
      </c>
      <c r="F76" s="2077">
        <v>113475.20442239862</v>
      </c>
      <c r="G76" s="2077">
        <v>115769.68481208621</v>
      </c>
      <c r="H76" s="2077">
        <v>117748.17256157454</v>
      </c>
      <c r="I76" s="2077">
        <v>122462.34107775288</v>
      </c>
      <c r="J76" s="2077">
        <v>122990.93113003283</v>
      </c>
      <c r="K76" s="2077">
        <v>126326.23495848203</v>
      </c>
      <c r="L76" s="2077">
        <v>127325.13943779632</v>
      </c>
      <c r="M76" s="2077">
        <v>132072.86761296436</v>
      </c>
      <c r="N76" s="2077">
        <v>127969.28268412156</v>
      </c>
      <c r="O76" s="2077">
        <v>130121.11481037692</v>
      </c>
      <c r="P76" s="2077">
        <v>129311.57618274052</v>
      </c>
      <c r="Q76" s="2077">
        <v>124631.0889481194</v>
      </c>
      <c r="R76" s="2077">
        <v>127757.96596218683</v>
      </c>
      <c r="S76" s="2077">
        <v>129293.38515703008</v>
      </c>
      <c r="T76" s="2077">
        <v>129902.01016432376</v>
      </c>
      <c r="U76" s="2077">
        <v>129590.98977762985</v>
      </c>
      <c r="V76" s="2077">
        <v>128329.3705189106</v>
      </c>
      <c r="W76" s="2077">
        <v>124564.63000036994</v>
      </c>
      <c r="X76" s="2077">
        <v>129245.52031354493</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56E34-1DA3-421A-8C32-632B818B2E89}">
  <sheetPr>
    <pageSetUpPr fitToPage="1"/>
  </sheetPr>
  <dimension ref="A1:DA55"/>
  <sheetViews>
    <sheetView showGridLines="0" workbookViewId="0">
      <pane xSplit="1" ySplit="1" topLeftCell="H2" activePane="bottomRight" state="frozen"/>
      <selection activeCell="B2" sqref="B2"/>
      <selection pane="topRight" activeCell="B2" sqref="B2"/>
      <selection pane="bottomLeft" activeCell="B2" sqref="B2"/>
      <selection pane="bottomRight"/>
    </sheetView>
  </sheetViews>
  <sheetFormatPr baseColWidth="10" defaultColWidth="9.1640625" defaultRowHeight="12" customHeight="1"/>
  <cols>
    <col min="1" max="1" width="50.6640625" style="1190" customWidth="1"/>
    <col min="2" max="23" width="9.33203125" style="1190" customWidth="1"/>
    <col min="24" max="103" width="9.1640625" style="1190" hidden="1" customWidth="1"/>
    <col min="104" max="104" width="2.6640625" style="1190" customWidth="1"/>
    <col min="105" max="105" width="9.33203125" style="2053" customWidth="1"/>
    <col min="106" max="16384" width="9.1640625" style="1190"/>
  </cols>
  <sheetData>
    <row r="1" spans="1:105" ht="15" customHeight="1">
      <c r="A1" s="2048" t="s">
        <v>5897</v>
      </c>
      <c r="B1" s="2049">
        <v>2000</v>
      </c>
      <c r="C1" s="2049">
        <v>2001</v>
      </c>
      <c r="D1" s="2049">
        <v>2002</v>
      </c>
      <c r="E1" s="2049">
        <v>2003</v>
      </c>
      <c r="F1" s="2049">
        <v>2004</v>
      </c>
      <c r="G1" s="2049">
        <v>2005</v>
      </c>
      <c r="H1" s="2049">
        <v>2006</v>
      </c>
      <c r="I1" s="2049">
        <v>2007</v>
      </c>
      <c r="J1" s="2049">
        <v>2008</v>
      </c>
      <c r="K1" s="2049">
        <v>2009</v>
      </c>
      <c r="L1" s="2049">
        <v>2010</v>
      </c>
      <c r="M1" s="2049">
        <v>2011</v>
      </c>
      <c r="N1" s="2049">
        <v>2012</v>
      </c>
      <c r="O1" s="2049">
        <v>2013</v>
      </c>
      <c r="P1" s="2049">
        <v>2014</v>
      </c>
      <c r="Q1" s="2049">
        <v>2015</v>
      </c>
      <c r="R1" s="2049">
        <v>2016</v>
      </c>
      <c r="S1" s="2049">
        <v>2017</v>
      </c>
      <c r="T1" s="2049">
        <v>2018</v>
      </c>
      <c r="U1" s="2049">
        <v>2019</v>
      </c>
      <c r="V1" s="2049">
        <v>2020</v>
      </c>
      <c r="W1" s="2049">
        <v>2021</v>
      </c>
      <c r="DA1" s="2050" t="s">
        <v>5732</v>
      </c>
    </row>
    <row r="3" spans="1:105" ht="15" customHeight="1">
      <c r="A3" s="2078" t="s">
        <v>5876</v>
      </c>
      <c r="B3" s="2079"/>
      <c r="C3" s="2079"/>
      <c r="D3" s="2079"/>
      <c r="E3" s="2079"/>
      <c r="F3" s="2079"/>
      <c r="G3" s="2079"/>
      <c r="H3" s="2079"/>
      <c r="I3" s="2079"/>
      <c r="J3" s="2079"/>
      <c r="K3" s="2079"/>
      <c r="L3" s="2079"/>
      <c r="M3" s="2079"/>
      <c r="N3" s="2079"/>
      <c r="O3" s="2079"/>
      <c r="P3" s="2079"/>
      <c r="Q3" s="2079"/>
      <c r="R3" s="2079"/>
      <c r="S3" s="2079"/>
      <c r="T3" s="2079"/>
      <c r="U3" s="2079"/>
      <c r="V3" s="2079"/>
      <c r="W3" s="2079"/>
      <c r="DA3" s="2080"/>
    </row>
    <row r="5" spans="1:105" ht="15" customHeight="1">
      <c r="A5" s="2081" t="s">
        <v>5877</v>
      </c>
      <c r="B5" s="2082">
        <v>791136.81568332796</v>
      </c>
      <c r="C5" s="2082">
        <v>768684.56591611402</v>
      </c>
      <c r="D5" s="2082">
        <v>762228.37765241158</v>
      </c>
      <c r="E5" s="2082">
        <v>778397.89100404619</v>
      </c>
      <c r="F5" s="2082">
        <v>774095.14807669329</v>
      </c>
      <c r="G5" s="2082">
        <v>764987.60836007237</v>
      </c>
      <c r="H5" s="2082">
        <v>755522.90525867674</v>
      </c>
      <c r="I5" s="2082">
        <v>760504.54001138883</v>
      </c>
      <c r="J5" s="2082">
        <v>723368.5949221442</v>
      </c>
      <c r="K5" s="2082">
        <v>587560.96930545848</v>
      </c>
      <c r="L5" s="2082">
        <v>631806.05618638801</v>
      </c>
      <c r="M5" s="2082">
        <v>631670.96366431948</v>
      </c>
      <c r="N5" s="2082">
        <v>605442.89660816977</v>
      </c>
      <c r="O5" s="2082">
        <v>594869.92967302154</v>
      </c>
      <c r="P5" s="2082">
        <v>591921.38851560326</v>
      </c>
      <c r="Q5" s="2082">
        <v>590383.46918205975</v>
      </c>
      <c r="R5" s="2082">
        <v>595311.76064644055</v>
      </c>
      <c r="S5" s="2082">
        <v>605113.37464162521</v>
      </c>
      <c r="T5" s="2082">
        <v>609050.4277643197</v>
      </c>
      <c r="U5" s="2082">
        <v>591843.951977922</v>
      </c>
      <c r="V5" s="2082">
        <v>562132.50971179572</v>
      </c>
      <c r="W5" s="2082">
        <v>600538.61450959416</v>
      </c>
      <c r="DA5" s="2083"/>
    </row>
    <row r="6" spans="1:105" ht="12" customHeight="1">
      <c r="A6" s="2084" t="s">
        <v>5878</v>
      </c>
      <c r="B6" s="2085">
        <v>0</v>
      </c>
      <c r="C6" s="2085">
        <v>0</v>
      </c>
      <c r="D6" s="2085">
        <v>0</v>
      </c>
      <c r="E6" s="2085">
        <v>0</v>
      </c>
      <c r="F6" s="2085">
        <v>0</v>
      </c>
      <c r="G6" s="2085">
        <v>0</v>
      </c>
      <c r="H6" s="2085">
        <v>0</v>
      </c>
      <c r="I6" s="2085">
        <v>0</v>
      </c>
      <c r="J6" s="2085">
        <v>0</v>
      </c>
      <c r="K6" s="2085">
        <v>0</v>
      </c>
      <c r="L6" s="2085">
        <v>0</v>
      </c>
      <c r="M6" s="2085">
        <v>0</v>
      </c>
      <c r="N6" s="2085">
        <v>0</v>
      </c>
      <c r="O6" s="2085">
        <v>0</v>
      </c>
      <c r="P6" s="2085">
        <v>0</v>
      </c>
      <c r="Q6" s="2085">
        <v>0</v>
      </c>
      <c r="R6" s="2085">
        <v>0</v>
      </c>
      <c r="S6" s="2085">
        <v>0</v>
      </c>
      <c r="T6" s="2085">
        <v>0</v>
      </c>
      <c r="U6" s="2085">
        <v>0</v>
      </c>
      <c r="V6" s="2085">
        <v>0</v>
      </c>
      <c r="W6" s="2085">
        <v>0</v>
      </c>
      <c r="DA6" s="2086"/>
    </row>
    <row r="7" spans="1:105" ht="12" customHeight="1">
      <c r="A7" s="2084" t="s">
        <v>5879</v>
      </c>
      <c r="B7" s="2085">
        <v>0</v>
      </c>
      <c r="C7" s="2085">
        <v>0</v>
      </c>
      <c r="D7" s="2085">
        <v>0</v>
      </c>
      <c r="E7" s="2085">
        <v>0</v>
      </c>
      <c r="F7" s="2085">
        <v>0</v>
      </c>
      <c r="G7" s="2085">
        <v>0</v>
      </c>
      <c r="H7" s="2085">
        <v>0</v>
      </c>
      <c r="I7" s="2085">
        <v>0</v>
      </c>
      <c r="J7" s="2085">
        <v>0</v>
      </c>
      <c r="K7" s="2085">
        <v>0</v>
      </c>
      <c r="L7" s="2085">
        <v>0</v>
      </c>
      <c r="M7" s="2085">
        <v>0</v>
      </c>
      <c r="N7" s="2085">
        <v>0</v>
      </c>
      <c r="O7" s="2085">
        <v>0</v>
      </c>
      <c r="P7" s="2085">
        <v>0</v>
      </c>
      <c r="Q7" s="2085">
        <v>0</v>
      </c>
      <c r="R7" s="2085">
        <v>0</v>
      </c>
      <c r="S7" s="2085">
        <v>0</v>
      </c>
      <c r="T7" s="2085">
        <v>0</v>
      </c>
      <c r="U7" s="2085">
        <v>0</v>
      </c>
      <c r="V7" s="2085">
        <v>0</v>
      </c>
      <c r="W7" s="2085">
        <v>0</v>
      </c>
      <c r="DA7" s="2086"/>
    </row>
    <row r="8" spans="1:105" ht="12" customHeight="1">
      <c r="A8" s="2084" t="s">
        <v>5880</v>
      </c>
      <c r="B8" s="2085">
        <v>0</v>
      </c>
      <c r="C8" s="2085">
        <v>0</v>
      </c>
      <c r="D8" s="2085">
        <v>0</v>
      </c>
      <c r="E8" s="2085">
        <v>0</v>
      </c>
      <c r="F8" s="2085">
        <v>0</v>
      </c>
      <c r="G8" s="2085">
        <v>0</v>
      </c>
      <c r="H8" s="2085">
        <v>0</v>
      </c>
      <c r="I8" s="2085">
        <v>0</v>
      </c>
      <c r="J8" s="2085">
        <v>0</v>
      </c>
      <c r="K8" s="2085">
        <v>0</v>
      </c>
      <c r="L8" s="2085">
        <v>0</v>
      </c>
      <c r="M8" s="2085">
        <v>0</v>
      </c>
      <c r="N8" s="2085">
        <v>0</v>
      </c>
      <c r="O8" s="2085">
        <v>0</v>
      </c>
      <c r="P8" s="2085">
        <v>0</v>
      </c>
      <c r="Q8" s="2085">
        <v>0</v>
      </c>
      <c r="R8" s="2085">
        <v>0</v>
      </c>
      <c r="S8" s="2085">
        <v>0</v>
      </c>
      <c r="T8" s="2085">
        <v>0</v>
      </c>
      <c r="U8" s="2085">
        <v>0</v>
      </c>
      <c r="V8" s="2085">
        <v>0</v>
      </c>
      <c r="W8" s="2085">
        <v>0</v>
      </c>
      <c r="DA8" s="2086"/>
    </row>
    <row r="9" spans="1:105" ht="12" customHeight="1">
      <c r="A9" s="2084" t="s">
        <v>5881</v>
      </c>
      <c r="B9" s="2085">
        <v>0</v>
      </c>
      <c r="C9" s="2085">
        <v>0</v>
      </c>
      <c r="D9" s="2085">
        <v>0</v>
      </c>
      <c r="E9" s="2085">
        <v>0</v>
      </c>
      <c r="F9" s="2085">
        <v>0</v>
      </c>
      <c r="G9" s="2085">
        <v>0</v>
      </c>
      <c r="H9" s="2085">
        <v>0</v>
      </c>
      <c r="I9" s="2085">
        <v>0</v>
      </c>
      <c r="J9" s="2085">
        <v>0</v>
      </c>
      <c r="K9" s="2085">
        <v>0</v>
      </c>
      <c r="L9" s="2085">
        <v>0</v>
      </c>
      <c r="M9" s="2085">
        <v>0</v>
      </c>
      <c r="N9" s="2085">
        <v>0</v>
      </c>
      <c r="O9" s="2085">
        <v>0</v>
      </c>
      <c r="P9" s="2085">
        <v>0</v>
      </c>
      <c r="Q9" s="2085">
        <v>0</v>
      </c>
      <c r="R9" s="2085">
        <v>0</v>
      </c>
      <c r="S9" s="2085">
        <v>0</v>
      </c>
      <c r="T9" s="2085">
        <v>0</v>
      </c>
      <c r="U9" s="2085">
        <v>0</v>
      </c>
      <c r="V9" s="2085">
        <v>0</v>
      </c>
      <c r="W9" s="2085">
        <v>0</v>
      </c>
      <c r="DA9" s="2086"/>
    </row>
    <row r="10" spans="1:105" ht="12" customHeight="1">
      <c r="A10" s="2087" t="s">
        <v>5882</v>
      </c>
      <c r="B10" s="2088">
        <v>8698.9249376237185</v>
      </c>
      <c r="C10" s="2088">
        <v>8624.1966594024871</v>
      </c>
      <c r="D10" s="2088">
        <v>8591.5541146195173</v>
      </c>
      <c r="E10" s="2088">
        <v>8964.8875846187257</v>
      </c>
      <c r="F10" s="2088">
        <v>8212.806865780718</v>
      </c>
      <c r="G10" s="2088">
        <v>7914.9957043339436</v>
      </c>
      <c r="H10" s="2088">
        <v>7198.242580883576</v>
      </c>
      <c r="I10" s="2088">
        <v>7397.5171718994325</v>
      </c>
      <c r="J10" s="2088">
        <v>6980.4565584475058</v>
      </c>
      <c r="K10" s="2088">
        <v>6167.8691532799648</v>
      </c>
      <c r="L10" s="2088">
        <v>6516.1654991739561</v>
      </c>
      <c r="M10" s="2088">
        <v>6480.3863125087164</v>
      </c>
      <c r="N10" s="2088">
        <v>6451.7493892691109</v>
      </c>
      <c r="O10" s="2088">
        <v>6371.6882289711648</v>
      </c>
      <c r="P10" s="2088">
        <v>5949.7100341712039</v>
      </c>
      <c r="Q10" s="2088">
        <v>5749.1815699502667</v>
      </c>
      <c r="R10" s="2088">
        <v>5934.8189532758915</v>
      </c>
      <c r="S10" s="2088">
        <v>6018.7455161808384</v>
      </c>
      <c r="T10" s="2088">
        <v>5958.7720509759984</v>
      </c>
      <c r="U10" s="2088">
        <v>5826.1385367368648</v>
      </c>
      <c r="V10" s="2088">
        <v>5710.766964746259</v>
      </c>
      <c r="W10" s="2088">
        <v>6502.8237767174005</v>
      </c>
      <c r="DA10" s="2089"/>
    </row>
    <row r="11" spans="1:105" ht="12" customHeight="1">
      <c r="A11" s="2090" t="s">
        <v>4610</v>
      </c>
      <c r="B11" s="2091">
        <v>1048.5680715714441</v>
      </c>
      <c r="C11" s="2091">
        <v>1142.2448629180637</v>
      </c>
      <c r="D11" s="2091">
        <v>1031.950379363009</v>
      </c>
      <c r="E11" s="2091">
        <v>1027.7407235534608</v>
      </c>
      <c r="F11" s="2091">
        <v>932.54037618367784</v>
      </c>
      <c r="G11" s="2091">
        <v>917.69898799248801</v>
      </c>
      <c r="H11" s="2091">
        <v>765.70856749046823</v>
      </c>
      <c r="I11" s="2091">
        <v>791.59571206766952</v>
      </c>
      <c r="J11" s="2091">
        <v>702.73771063482275</v>
      </c>
      <c r="K11" s="2091">
        <v>631.11721611916198</v>
      </c>
      <c r="L11" s="2091">
        <v>634.0348275652309</v>
      </c>
      <c r="M11" s="2091">
        <v>603.73653689252933</v>
      </c>
      <c r="N11" s="2091">
        <v>540.50306599331998</v>
      </c>
      <c r="O11" s="2091">
        <v>456.10445755402202</v>
      </c>
      <c r="P11" s="2091">
        <v>411.83139287230767</v>
      </c>
      <c r="Q11" s="2091">
        <v>398.80542490988967</v>
      </c>
      <c r="R11" s="2091">
        <v>398.28727200127537</v>
      </c>
      <c r="S11" s="2091">
        <v>378.9172775092992</v>
      </c>
      <c r="T11" s="2091">
        <v>495.09377084333346</v>
      </c>
      <c r="U11" s="2091">
        <v>480.44369914430081</v>
      </c>
      <c r="V11" s="2091">
        <v>481.54407288834273</v>
      </c>
      <c r="W11" s="2091">
        <v>490.98656461892813</v>
      </c>
      <c r="DA11" s="2092"/>
    </row>
    <row r="12" spans="1:105" ht="12" customHeight="1">
      <c r="A12" s="2090" t="s">
        <v>3875</v>
      </c>
      <c r="B12" s="2091">
        <v>7650.3568660522742</v>
      </c>
      <c r="C12" s="2091">
        <v>7481.9517964844226</v>
      </c>
      <c r="D12" s="2091">
        <v>7559.6037352565081</v>
      </c>
      <c r="E12" s="2091">
        <v>7937.1468610652646</v>
      </c>
      <c r="F12" s="2091">
        <v>7280.2664895970402</v>
      </c>
      <c r="G12" s="2091">
        <v>6997.296716341456</v>
      </c>
      <c r="H12" s="2091">
        <v>6432.5340133931077</v>
      </c>
      <c r="I12" s="2091">
        <v>6605.9214598317631</v>
      </c>
      <c r="J12" s="2091">
        <v>6277.7188478126827</v>
      </c>
      <c r="K12" s="2091">
        <v>5536.7519371608032</v>
      </c>
      <c r="L12" s="2091">
        <v>5882.1306716087247</v>
      </c>
      <c r="M12" s="2091">
        <v>5876.6497756161871</v>
      </c>
      <c r="N12" s="2091">
        <v>5911.2463232757909</v>
      </c>
      <c r="O12" s="2091">
        <v>5915.583771417143</v>
      </c>
      <c r="P12" s="2091">
        <v>5537.8786412988966</v>
      </c>
      <c r="Q12" s="2091">
        <v>5350.3761450403772</v>
      </c>
      <c r="R12" s="2091">
        <v>5536.5316812746159</v>
      </c>
      <c r="S12" s="2091">
        <v>5639.8282386715391</v>
      </c>
      <c r="T12" s="2091">
        <v>5463.6782801326653</v>
      </c>
      <c r="U12" s="2091">
        <v>5345.694837592564</v>
      </c>
      <c r="V12" s="2091">
        <v>5229.2228918579167</v>
      </c>
      <c r="W12" s="2091">
        <v>6011.8372120984723</v>
      </c>
      <c r="DA12" s="2092"/>
    </row>
    <row r="13" spans="1:105" ht="12" customHeight="1">
      <c r="A13" s="2090" t="s">
        <v>5883</v>
      </c>
      <c r="B13" s="2091">
        <v>0</v>
      </c>
      <c r="C13" s="2091">
        <v>0</v>
      </c>
      <c r="D13" s="2091">
        <v>0</v>
      </c>
      <c r="E13" s="2091">
        <v>0</v>
      </c>
      <c r="F13" s="2091">
        <v>0</v>
      </c>
      <c r="G13" s="2091">
        <v>0</v>
      </c>
      <c r="H13" s="2091">
        <v>0</v>
      </c>
      <c r="I13" s="2091">
        <v>0</v>
      </c>
      <c r="J13" s="2091">
        <v>0</v>
      </c>
      <c r="K13" s="2091">
        <v>0</v>
      </c>
      <c r="L13" s="2091">
        <v>0</v>
      </c>
      <c r="M13" s="2091">
        <v>0</v>
      </c>
      <c r="N13" s="2091">
        <v>0</v>
      </c>
      <c r="O13" s="2091">
        <v>0</v>
      </c>
      <c r="P13" s="2091">
        <v>0</v>
      </c>
      <c r="Q13" s="2091">
        <v>0</v>
      </c>
      <c r="R13" s="2091">
        <v>0</v>
      </c>
      <c r="S13" s="2091">
        <v>0</v>
      </c>
      <c r="T13" s="2091">
        <v>0</v>
      </c>
      <c r="U13" s="2091">
        <v>0</v>
      </c>
      <c r="V13" s="2091">
        <v>0</v>
      </c>
      <c r="W13" s="2091">
        <v>0</v>
      </c>
      <c r="DA13" s="2092"/>
    </row>
    <row r="14" spans="1:105" ht="12" customHeight="1">
      <c r="A14" s="2090" t="s">
        <v>5734</v>
      </c>
      <c r="B14" s="2091">
        <v>0</v>
      </c>
      <c r="C14" s="2091">
        <v>0</v>
      </c>
      <c r="D14" s="2091">
        <v>0</v>
      </c>
      <c r="E14" s="2091">
        <v>0</v>
      </c>
      <c r="F14" s="2091">
        <v>0</v>
      </c>
      <c r="G14" s="2091">
        <v>0</v>
      </c>
      <c r="H14" s="2091">
        <v>0</v>
      </c>
      <c r="I14" s="2091">
        <v>0</v>
      </c>
      <c r="J14" s="2091">
        <v>0</v>
      </c>
      <c r="K14" s="2091">
        <v>0</v>
      </c>
      <c r="L14" s="2091">
        <v>0</v>
      </c>
      <c r="M14" s="2091">
        <v>0</v>
      </c>
      <c r="N14" s="2091">
        <v>0</v>
      </c>
      <c r="O14" s="2091">
        <v>0</v>
      </c>
      <c r="P14" s="2091">
        <v>0</v>
      </c>
      <c r="Q14" s="2091">
        <v>0</v>
      </c>
      <c r="R14" s="2091">
        <v>0</v>
      </c>
      <c r="S14" s="2091">
        <v>0</v>
      </c>
      <c r="T14" s="2091">
        <v>0</v>
      </c>
      <c r="U14" s="2091">
        <v>0</v>
      </c>
      <c r="V14" s="2091">
        <v>0</v>
      </c>
      <c r="W14" s="2091">
        <v>0</v>
      </c>
      <c r="DA14" s="2092"/>
    </row>
    <row r="15" spans="1:105" ht="12" customHeight="1">
      <c r="A15" s="2093" t="s">
        <v>4282</v>
      </c>
      <c r="B15" s="2094">
        <v>0</v>
      </c>
      <c r="C15" s="2094">
        <v>0</v>
      </c>
      <c r="D15" s="2094">
        <v>0</v>
      </c>
      <c r="E15" s="2094">
        <v>0</v>
      </c>
      <c r="F15" s="2094">
        <v>0</v>
      </c>
      <c r="G15" s="2094">
        <v>0</v>
      </c>
      <c r="H15" s="2094">
        <v>0</v>
      </c>
      <c r="I15" s="2094">
        <v>0</v>
      </c>
      <c r="J15" s="2094">
        <v>0</v>
      </c>
      <c r="K15" s="2094">
        <v>0</v>
      </c>
      <c r="L15" s="2094">
        <v>0</v>
      </c>
      <c r="M15" s="2094">
        <v>0</v>
      </c>
      <c r="N15" s="2094">
        <v>0</v>
      </c>
      <c r="O15" s="2094">
        <v>0</v>
      </c>
      <c r="P15" s="2094">
        <v>0</v>
      </c>
      <c r="Q15" s="2094">
        <v>0</v>
      </c>
      <c r="R15" s="2094">
        <v>0</v>
      </c>
      <c r="S15" s="2094">
        <v>0</v>
      </c>
      <c r="T15" s="2094">
        <v>0</v>
      </c>
      <c r="U15" s="2094">
        <v>0</v>
      </c>
      <c r="V15" s="2094">
        <v>0</v>
      </c>
      <c r="W15" s="2094">
        <v>0</v>
      </c>
      <c r="DA15" s="2095"/>
    </row>
    <row r="16" spans="1:105" ht="12" customHeight="1">
      <c r="A16" s="2096" t="s">
        <v>5884</v>
      </c>
      <c r="B16" s="2097">
        <v>177023.1849043495</v>
      </c>
      <c r="C16" s="2097">
        <v>173694.36276453172</v>
      </c>
      <c r="D16" s="2097">
        <v>173331.72639869977</v>
      </c>
      <c r="E16" s="2097">
        <v>174510.07719804009</v>
      </c>
      <c r="F16" s="2097">
        <v>162183.59670759019</v>
      </c>
      <c r="G16" s="2097">
        <v>159332.57939056458</v>
      </c>
      <c r="H16" s="2097">
        <v>151529.3122839125</v>
      </c>
      <c r="I16" s="2097">
        <v>151507.37150827012</v>
      </c>
      <c r="J16" s="2097">
        <v>145595.63665164146</v>
      </c>
      <c r="K16" s="2097">
        <v>129220.56145772945</v>
      </c>
      <c r="L16" s="2097">
        <v>137097.49764498457</v>
      </c>
      <c r="M16" s="2097">
        <v>132406.77895651391</v>
      </c>
      <c r="N16" s="2097">
        <v>131815.66837844744</v>
      </c>
      <c r="O16" s="2097">
        <v>128966.90573214587</v>
      </c>
      <c r="P16" s="2097">
        <v>126665.63527767373</v>
      </c>
      <c r="Q16" s="2097">
        <v>124664.9341114812</v>
      </c>
      <c r="R16" s="2097">
        <v>125847.52214962192</v>
      </c>
      <c r="S16" s="2097">
        <v>126192.58275200197</v>
      </c>
      <c r="T16" s="2097">
        <v>126603.16459902785</v>
      </c>
      <c r="U16" s="2097">
        <v>123097.88163247475</v>
      </c>
      <c r="V16" s="2097">
        <v>120436.91246859732</v>
      </c>
      <c r="W16" s="2097">
        <v>130420.97116332936</v>
      </c>
      <c r="DA16" s="2098"/>
    </row>
    <row r="17" spans="1:105" ht="12" customHeight="1">
      <c r="A17" s="2099" t="s">
        <v>4605</v>
      </c>
      <c r="B17" s="2100">
        <v>27143.101563832013</v>
      </c>
      <c r="C17" s="2100">
        <v>24789.048534532143</v>
      </c>
      <c r="D17" s="2100">
        <v>23588.51424750865</v>
      </c>
      <c r="E17" s="2100">
        <v>22703.156359010281</v>
      </c>
      <c r="F17" s="2100">
        <v>22146.951673454892</v>
      </c>
      <c r="G17" s="2100">
        <v>21984.405148081121</v>
      </c>
      <c r="H17" s="2100">
        <v>20905.176958103355</v>
      </c>
      <c r="I17" s="2100">
        <v>19739.434049297422</v>
      </c>
      <c r="J17" s="2100">
        <v>19454.228678689029</v>
      </c>
      <c r="K17" s="2100">
        <v>17618.430109266337</v>
      </c>
      <c r="L17" s="2100">
        <v>17502.573941777977</v>
      </c>
      <c r="M17" s="2100">
        <v>17232.603858440158</v>
      </c>
      <c r="N17" s="2100">
        <v>17156.861974689476</v>
      </c>
      <c r="O17" s="2100">
        <v>16758.889542320245</v>
      </c>
      <c r="P17" s="2100">
        <v>16515.496643660666</v>
      </c>
      <c r="Q17" s="2100">
        <v>17428.843873665497</v>
      </c>
      <c r="R17" s="2100">
        <v>17057.098097999376</v>
      </c>
      <c r="S17" s="2100">
        <v>17116.898910626071</v>
      </c>
      <c r="T17" s="2100">
        <v>16121.387489948269</v>
      </c>
      <c r="U17" s="2100">
        <v>14352.869450197788</v>
      </c>
      <c r="V17" s="2100">
        <v>13109.434435090257</v>
      </c>
      <c r="W17" s="2100">
        <v>12505.128819938871</v>
      </c>
      <c r="DA17" s="2101"/>
    </row>
    <row r="18" spans="1:105" ht="12" customHeight="1">
      <c r="A18" s="2099" t="s">
        <v>4607</v>
      </c>
      <c r="B18" s="2100">
        <v>7019.4093004791466</v>
      </c>
      <c r="C18" s="2100">
        <v>7705.1927807994334</v>
      </c>
      <c r="D18" s="2100">
        <v>8384.5095321595527</v>
      </c>
      <c r="E18" s="2100">
        <v>10042.891038719028</v>
      </c>
      <c r="F18" s="2100">
        <v>8944.0837286390179</v>
      </c>
      <c r="G18" s="2100">
        <v>8320.7867327990734</v>
      </c>
      <c r="H18" s="2100">
        <v>9466.0972761590856</v>
      </c>
      <c r="I18" s="2100">
        <v>11292.834202557291</v>
      </c>
      <c r="J18" s="2100">
        <v>9940.5690739171405</v>
      </c>
      <c r="K18" s="2100">
        <v>8918.5737139179128</v>
      </c>
      <c r="L18" s="2100">
        <v>9303.43262975783</v>
      </c>
      <c r="M18" s="2100">
        <v>8194.541437438118</v>
      </c>
      <c r="N18" s="2100">
        <v>8633.1864268779937</v>
      </c>
      <c r="O18" s="2100">
        <v>7890.2682163184281</v>
      </c>
      <c r="P18" s="2100">
        <v>8125.0277299186873</v>
      </c>
      <c r="Q18" s="2100">
        <v>8331.9228287978549</v>
      </c>
      <c r="R18" s="2100">
        <v>8935.8281395177528</v>
      </c>
      <c r="S18" s="2100">
        <v>8893.3207910379097</v>
      </c>
      <c r="T18" s="2100">
        <v>9112.7140991979559</v>
      </c>
      <c r="U18" s="2100">
        <v>9356.8064716776607</v>
      </c>
      <c r="V18" s="2100">
        <v>9943.9743743970994</v>
      </c>
      <c r="W18" s="2100">
        <v>9545.7947500775226</v>
      </c>
      <c r="DA18" s="2101"/>
    </row>
    <row r="19" spans="1:105" ht="12" customHeight="1">
      <c r="A19" s="2099" t="s">
        <v>727</v>
      </c>
      <c r="B19" s="2100">
        <v>4920.7890332243805</v>
      </c>
      <c r="C19" s="2100">
        <v>5305.0819261466086</v>
      </c>
      <c r="D19" s="2100">
        <v>4728.7909059572412</v>
      </c>
      <c r="E19" s="2100">
        <v>4119.2899678780987</v>
      </c>
      <c r="F19" s="2100">
        <v>3638.4988676617713</v>
      </c>
      <c r="G19" s="2100">
        <v>3628.8724652644796</v>
      </c>
      <c r="H19" s="2100">
        <v>3664.0508772428807</v>
      </c>
      <c r="I19" s="2100">
        <v>3609.9961259902038</v>
      </c>
      <c r="J19" s="2100">
        <v>3407.2076138215734</v>
      </c>
      <c r="K19" s="2100">
        <v>3106.9024674736279</v>
      </c>
      <c r="L19" s="2100">
        <v>3223.6055015428838</v>
      </c>
      <c r="M19" s="2100">
        <v>3026.0593714627494</v>
      </c>
      <c r="N19" s="2100">
        <v>2976.9952923890992</v>
      </c>
      <c r="O19" s="2100">
        <v>2764.5199276266976</v>
      </c>
      <c r="P19" s="2100">
        <v>2892.3749180504587</v>
      </c>
      <c r="Q19" s="2100">
        <v>2657.9767220478107</v>
      </c>
      <c r="R19" s="2100">
        <v>2713.6158484506263</v>
      </c>
      <c r="S19" s="2100">
        <v>2764.3443550148872</v>
      </c>
      <c r="T19" s="2100">
        <v>2971.2044394787085</v>
      </c>
      <c r="U19" s="2100">
        <v>2999.2726732189544</v>
      </c>
      <c r="V19" s="2100">
        <v>2734.7769181348717</v>
      </c>
      <c r="W19" s="2100">
        <v>2844.4332482875516</v>
      </c>
      <c r="DA19" s="2101"/>
    </row>
    <row r="20" spans="1:105" ht="12" customHeight="1">
      <c r="A20" s="2099" t="s">
        <v>4610</v>
      </c>
      <c r="B20" s="2100">
        <v>10324.388289772063</v>
      </c>
      <c r="C20" s="2100">
        <v>11293.878075918808</v>
      </c>
      <c r="D20" s="2100">
        <v>10343.279396221342</v>
      </c>
      <c r="E20" s="2100">
        <v>10403.962456198931</v>
      </c>
      <c r="F20" s="2100">
        <v>10082.444415251528</v>
      </c>
      <c r="G20" s="2100">
        <v>10177.166062061107</v>
      </c>
      <c r="H20" s="2100">
        <v>8598.6728824686925</v>
      </c>
      <c r="I20" s="2100">
        <v>9025.5674893082269</v>
      </c>
      <c r="J20" s="2100">
        <v>8505.2575549804842</v>
      </c>
      <c r="K20" s="2100">
        <v>7137.1097103121147</v>
      </c>
      <c r="L20" s="2100">
        <v>7468.0230409322558</v>
      </c>
      <c r="M20" s="2100">
        <v>7047.1089709711832</v>
      </c>
      <c r="N20" s="2100">
        <v>6500.1446609466602</v>
      </c>
      <c r="O20" s="2100">
        <v>5744.5325822185287</v>
      </c>
      <c r="P20" s="2100">
        <v>5346.5715986350078</v>
      </c>
      <c r="Q20" s="2100">
        <v>5352.7361100128355</v>
      </c>
      <c r="R20" s="2100">
        <v>5260.1271239609468</v>
      </c>
      <c r="S20" s="2100">
        <v>5163.4493136902965</v>
      </c>
      <c r="T20" s="2100">
        <v>7032.4105795640571</v>
      </c>
      <c r="U20" s="2100">
        <v>6810.4663516269666</v>
      </c>
      <c r="V20" s="2100">
        <v>6746.4650155849222</v>
      </c>
      <c r="W20" s="2100">
        <v>6789.0932204414585</v>
      </c>
      <c r="DA20" s="2101"/>
    </row>
    <row r="21" spans="1:105" ht="12" customHeight="1">
      <c r="A21" s="2099" t="s">
        <v>4665</v>
      </c>
      <c r="B21" s="2100">
        <v>26410.140154994722</v>
      </c>
      <c r="C21" s="2100">
        <v>26521.436886211202</v>
      </c>
      <c r="D21" s="2100">
        <v>25346.069470922714</v>
      </c>
      <c r="E21" s="2100">
        <v>25953.793555064083</v>
      </c>
      <c r="F21" s="2100">
        <v>22236.104287119426</v>
      </c>
      <c r="G21" s="2100">
        <v>19399.76080456495</v>
      </c>
      <c r="H21" s="2100">
        <v>19808.687840928786</v>
      </c>
      <c r="I21" s="2100">
        <v>18033.790383208205</v>
      </c>
      <c r="J21" s="2100">
        <v>16661.425731801399</v>
      </c>
      <c r="K21" s="2100">
        <v>12865.876577641642</v>
      </c>
      <c r="L21" s="2100">
        <v>10972.290560906162</v>
      </c>
      <c r="M21" s="2100">
        <v>9778.3920822333039</v>
      </c>
      <c r="N21" s="2100">
        <v>8443.004076988922</v>
      </c>
      <c r="O21" s="2100">
        <v>7577.3723059915028</v>
      </c>
      <c r="P21" s="2100">
        <v>6613.4366134855463</v>
      </c>
      <c r="Q21" s="2100">
        <v>6867.7094294754952</v>
      </c>
      <c r="R21" s="2100">
        <v>5814.1591760552064</v>
      </c>
      <c r="S21" s="2100">
        <v>5082.9264626253471</v>
      </c>
      <c r="T21" s="2100">
        <v>4759.0357411495806</v>
      </c>
      <c r="U21" s="2100">
        <v>4050.656899238119</v>
      </c>
      <c r="V21" s="2100">
        <v>3667.2061853795221</v>
      </c>
      <c r="W21" s="2100">
        <v>4005.4862284197802</v>
      </c>
      <c r="DA21" s="2101"/>
    </row>
    <row r="22" spans="1:105" ht="12" customHeight="1">
      <c r="A22" s="2099" t="s">
        <v>4608</v>
      </c>
      <c r="B22" s="2100">
        <v>9700.9136424892822</v>
      </c>
      <c r="C22" s="2100">
        <v>6157.8345874546631</v>
      </c>
      <c r="D22" s="2100">
        <v>6379.8049351420796</v>
      </c>
      <c r="E22" s="2100">
        <v>7133.9182143470061</v>
      </c>
      <c r="F22" s="2100">
        <v>6604.0762239894157</v>
      </c>
      <c r="G22" s="2100">
        <v>6115.884691157451</v>
      </c>
      <c r="H22" s="2100">
        <v>6168.3558357304255</v>
      </c>
      <c r="I22" s="2100">
        <v>6014.5344753125264</v>
      </c>
      <c r="J22" s="2100">
        <v>5445.7123343648109</v>
      </c>
      <c r="K22" s="2100">
        <v>8199.1672844793047</v>
      </c>
      <c r="L22" s="2100">
        <v>8640.7709669360192</v>
      </c>
      <c r="M22" s="2100">
        <v>6951.5687973906752</v>
      </c>
      <c r="N22" s="2100">
        <v>8246.4880903371122</v>
      </c>
      <c r="O22" s="2100">
        <v>7092.332762006863</v>
      </c>
      <c r="P22" s="2100">
        <v>7501.2081533992559</v>
      </c>
      <c r="Q22" s="2100">
        <v>6689.4934850561112</v>
      </c>
      <c r="R22" s="2100">
        <v>6529.8540680226151</v>
      </c>
      <c r="S22" s="2100">
        <v>5989.0348017776714</v>
      </c>
      <c r="T22" s="2100">
        <v>6737.7859146589635</v>
      </c>
      <c r="U22" s="2100">
        <v>6176.3441149296805</v>
      </c>
      <c r="V22" s="2100">
        <v>6085.802498589579</v>
      </c>
      <c r="W22" s="2100">
        <v>7215.1021919806726</v>
      </c>
      <c r="DA22" s="2101"/>
    </row>
    <row r="23" spans="1:105" ht="12" customHeight="1">
      <c r="A23" s="2099" t="s">
        <v>3875</v>
      </c>
      <c r="B23" s="2100">
        <v>84173.25377115536</v>
      </c>
      <c r="C23" s="2100">
        <v>84553.259564405875</v>
      </c>
      <c r="D23" s="2100">
        <v>86943.491422390085</v>
      </c>
      <c r="E23" s="2100">
        <v>86539.849594917658</v>
      </c>
      <c r="F23" s="2100">
        <v>80687.924024472741</v>
      </c>
      <c r="G23" s="2100">
        <v>82801.30422388915</v>
      </c>
      <c r="H23" s="2100">
        <v>75496.380670975108</v>
      </c>
      <c r="I23" s="2100">
        <v>76936.95162824716</v>
      </c>
      <c r="J23" s="2100">
        <v>75557.391587771242</v>
      </c>
      <c r="K23" s="2100">
        <v>65812.184494943387</v>
      </c>
      <c r="L23" s="2100">
        <v>73237.981420922355</v>
      </c>
      <c r="M23" s="2100">
        <v>73196.900718698787</v>
      </c>
      <c r="N23" s="2100">
        <v>72958.39913838917</v>
      </c>
      <c r="O23" s="2100">
        <v>74098.384099589719</v>
      </c>
      <c r="P23" s="2100">
        <v>72472.378668792167</v>
      </c>
      <c r="Q23" s="2100">
        <v>69722.779131179006</v>
      </c>
      <c r="R23" s="2100">
        <v>71345.84906099709</v>
      </c>
      <c r="S23" s="2100">
        <v>73321.491452615694</v>
      </c>
      <c r="T23" s="2100">
        <v>71851.114011228026</v>
      </c>
      <c r="U23" s="2100">
        <v>71720.272317155759</v>
      </c>
      <c r="V23" s="2100">
        <v>70167.212258619445</v>
      </c>
      <c r="W23" s="2100">
        <v>79591.407526899915</v>
      </c>
      <c r="DA23" s="2101"/>
    </row>
    <row r="24" spans="1:105" ht="12" customHeight="1">
      <c r="A24" s="2099" t="s">
        <v>4609</v>
      </c>
      <c r="B24" s="2100">
        <v>5683.558618164232</v>
      </c>
      <c r="C24" s="2100">
        <v>5509.8762371396078</v>
      </c>
      <c r="D24" s="2100">
        <v>5430.9045537800193</v>
      </c>
      <c r="E24" s="2100">
        <v>4746.1748639817934</v>
      </c>
      <c r="F24" s="2100">
        <v>4780.6069331897588</v>
      </c>
      <c r="G24" s="2100">
        <v>4400.4101768323517</v>
      </c>
      <c r="H24" s="2100">
        <v>4647.7922770243204</v>
      </c>
      <c r="I24" s="2100">
        <v>4369.5785007009572</v>
      </c>
      <c r="J24" s="2100">
        <v>3960.6631848667434</v>
      </c>
      <c r="K24" s="2100">
        <v>2742.4966849726347</v>
      </c>
      <c r="L24" s="2100">
        <v>3477.7970942849038</v>
      </c>
      <c r="M24" s="2100">
        <v>3672.5647423520136</v>
      </c>
      <c r="N24" s="2100">
        <v>3399.378751537583</v>
      </c>
      <c r="O24" s="2100">
        <v>3440.5809252818208</v>
      </c>
      <c r="P24" s="2100">
        <v>3466.6193691456801</v>
      </c>
      <c r="Q24" s="2100">
        <v>3471.7033477347018</v>
      </c>
      <c r="R24" s="2100">
        <v>3330.8126102380365</v>
      </c>
      <c r="S24" s="2100">
        <v>3363.0379822330692</v>
      </c>
      <c r="T24" s="2100">
        <v>3616.0788322904182</v>
      </c>
      <c r="U24" s="2100">
        <v>3173.0674022084195</v>
      </c>
      <c r="V24" s="2100">
        <v>2884.9267401161078</v>
      </c>
      <c r="W24" s="2100">
        <v>3004.7546552374956</v>
      </c>
      <c r="DA24" s="2101"/>
    </row>
    <row r="25" spans="1:105" ht="12" customHeight="1">
      <c r="A25" s="2099" t="s">
        <v>5733</v>
      </c>
      <c r="B25" s="2100">
        <v>1647.6305302382946</v>
      </c>
      <c r="C25" s="2100">
        <v>1858.7541719233775</v>
      </c>
      <c r="D25" s="2100">
        <v>2186.361934618084</v>
      </c>
      <c r="E25" s="2100">
        <v>2867.0411479232253</v>
      </c>
      <c r="F25" s="2100">
        <v>3062.9065538116342</v>
      </c>
      <c r="G25" s="2100">
        <v>2503.9890859149054</v>
      </c>
      <c r="H25" s="2100">
        <v>2774.0976652798295</v>
      </c>
      <c r="I25" s="2100">
        <v>2484.6846536481271</v>
      </c>
      <c r="J25" s="2100">
        <v>2663.1808914290577</v>
      </c>
      <c r="K25" s="2100">
        <v>2819.8204147224869</v>
      </c>
      <c r="L25" s="2100">
        <v>3271.0224879241819</v>
      </c>
      <c r="M25" s="2100">
        <v>3307.0389775269277</v>
      </c>
      <c r="N25" s="2100">
        <v>3501.2099662914284</v>
      </c>
      <c r="O25" s="2100">
        <v>3600.0253707920829</v>
      </c>
      <c r="P25" s="2100">
        <v>3732.5215825862492</v>
      </c>
      <c r="Q25" s="2100">
        <v>4141.7691835118894</v>
      </c>
      <c r="R25" s="2100">
        <v>4860.1780243802641</v>
      </c>
      <c r="S25" s="2100">
        <v>4498.0786823810249</v>
      </c>
      <c r="T25" s="2100">
        <v>4401.4334915118816</v>
      </c>
      <c r="U25" s="2100">
        <v>4458.125952221415</v>
      </c>
      <c r="V25" s="2100">
        <v>5097.114042685509</v>
      </c>
      <c r="W25" s="2100">
        <v>4919.7705220460912</v>
      </c>
      <c r="DA25" s="2101"/>
    </row>
    <row r="26" spans="1:105" ht="12" customHeight="1">
      <c r="A26" s="2099" t="s">
        <v>5735</v>
      </c>
      <c r="B26" s="2100">
        <v>0</v>
      </c>
      <c r="C26" s="2100">
        <v>0</v>
      </c>
      <c r="D26" s="2100">
        <v>0</v>
      </c>
      <c r="E26" s="2100">
        <v>0</v>
      </c>
      <c r="F26" s="2100">
        <v>0</v>
      </c>
      <c r="G26" s="2100">
        <v>0</v>
      </c>
      <c r="H26" s="2100">
        <v>0</v>
      </c>
      <c r="I26" s="2100">
        <v>0</v>
      </c>
      <c r="J26" s="2100">
        <v>0</v>
      </c>
      <c r="K26" s="2100">
        <v>0</v>
      </c>
      <c r="L26" s="2100">
        <v>0</v>
      </c>
      <c r="M26" s="2100">
        <v>0</v>
      </c>
      <c r="N26" s="2100">
        <v>0</v>
      </c>
      <c r="O26" s="2100">
        <v>0</v>
      </c>
      <c r="P26" s="2100">
        <v>0</v>
      </c>
      <c r="Q26" s="2100">
        <v>0</v>
      </c>
      <c r="R26" s="2100">
        <v>0</v>
      </c>
      <c r="S26" s="2100">
        <v>0</v>
      </c>
      <c r="T26" s="2100">
        <v>0</v>
      </c>
      <c r="U26" s="2100">
        <v>0</v>
      </c>
      <c r="V26" s="2100">
        <v>0</v>
      </c>
      <c r="W26" s="2100">
        <v>0</v>
      </c>
      <c r="DA26" s="2101"/>
    </row>
    <row r="27" spans="1:105" ht="12" customHeight="1">
      <c r="A27" s="2096" t="s">
        <v>5885</v>
      </c>
      <c r="B27" s="2097">
        <v>316248.56448616629</v>
      </c>
      <c r="C27" s="2097">
        <v>307717.24598470586</v>
      </c>
      <c r="D27" s="2097">
        <v>301189.79752335721</v>
      </c>
      <c r="E27" s="2097">
        <v>307886.85153280443</v>
      </c>
      <c r="F27" s="2097">
        <v>304846.89309465868</v>
      </c>
      <c r="G27" s="2097">
        <v>301384.64170053054</v>
      </c>
      <c r="H27" s="2097">
        <v>294540.69963212108</v>
      </c>
      <c r="I27" s="2097">
        <v>295639.40245586832</v>
      </c>
      <c r="J27" s="2097">
        <v>284272.34955681534</v>
      </c>
      <c r="K27" s="2097">
        <v>229601.61343994961</v>
      </c>
      <c r="L27" s="2097">
        <v>243606.23806260628</v>
      </c>
      <c r="M27" s="2097">
        <v>248268.36175867211</v>
      </c>
      <c r="N27" s="2097">
        <v>236275.26306938671</v>
      </c>
      <c r="O27" s="2097">
        <v>230765.09947789571</v>
      </c>
      <c r="P27" s="2097">
        <v>225183.26374533551</v>
      </c>
      <c r="Q27" s="2097">
        <v>227296.90316892325</v>
      </c>
      <c r="R27" s="2097">
        <v>229365.98184791688</v>
      </c>
      <c r="S27" s="2097">
        <v>229954.82876898884</v>
      </c>
      <c r="T27" s="2097">
        <v>236041.45122130675</v>
      </c>
      <c r="U27" s="2097">
        <v>228871.29367208417</v>
      </c>
      <c r="V27" s="2097">
        <v>219153.88891985748</v>
      </c>
      <c r="W27" s="2097">
        <v>231571.37112759415</v>
      </c>
      <c r="DA27" s="2098"/>
    </row>
    <row r="28" spans="1:105" ht="12" customHeight="1">
      <c r="A28" s="2054" t="s">
        <v>4605</v>
      </c>
      <c r="B28" s="2102">
        <v>49703.641842437471</v>
      </c>
      <c r="C28" s="2102">
        <v>44872.258105745168</v>
      </c>
      <c r="D28" s="2102">
        <v>39486.052516781507</v>
      </c>
      <c r="E28" s="2102">
        <v>40876.265917623517</v>
      </c>
      <c r="F28" s="2102">
        <v>40968.751378369947</v>
      </c>
      <c r="G28" s="2102">
        <v>38176.342604833932</v>
      </c>
      <c r="H28" s="2102">
        <v>36859.283568695086</v>
      </c>
      <c r="I28" s="2102">
        <v>43086.14738834749</v>
      </c>
      <c r="J28" s="2102">
        <v>39791.424836854712</v>
      </c>
      <c r="K28" s="2102">
        <v>29816.999487750229</v>
      </c>
      <c r="L28" s="2102">
        <v>29902.865399933336</v>
      </c>
      <c r="M28" s="2102">
        <v>34864.928722012832</v>
      </c>
      <c r="N28" s="2102">
        <v>32455.621785579126</v>
      </c>
      <c r="O28" s="2102">
        <v>30225.409148666229</v>
      </c>
      <c r="P28" s="2102">
        <v>29839.735478696603</v>
      </c>
      <c r="Q28" s="2102">
        <v>29626.428498406611</v>
      </c>
      <c r="R28" s="2102">
        <v>29978.731067949335</v>
      </c>
      <c r="S28" s="2102">
        <v>30605.321796794673</v>
      </c>
      <c r="T28" s="2102">
        <v>29638.101718979833</v>
      </c>
      <c r="U28" s="2102">
        <v>28458.440148696744</v>
      </c>
      <c r="V28" s="2102">
        <v>27253.444566001948</v>
      </c>
      <c r="W28" s="2102">
        <v>27366.559608385458</v>
      </c>
      <c r="DA28" s="2055"/>
    </row>
    <row r="29" spans="1:105" ht="12" customHeight="1">
      <c r="A29" s="2054" t="s">
        <v>4606</v>
      </c>
      <c r="B29" s="2102">
        <v>17530.498004788129</v>
      </c>
      <c r="C29" s="2102">
        <v>14525.84536142795</v>
      </c>
      <c r="D29" s="2102">
        <v>16118.608851077901</v>
      </c>
      <c r="E29" s="2102">
        <v>18519.652177623469</v>
      </c>
      <c r="F29" s="2102">
        <v>13308.10588110125</v>
      </c>
      <c r="G29" s="2102">
        <v>13157.37317601651</v>
      </c>
      <c r="H29" s="2102">
        <v>15675.025908770789</v>
      </c>
      <c r="I29" s="2102">
        <v>12761.07647940133</v>
      </c>
      <c r="J29" s="2102">
        <v>10382.02788568454</v>
      </c>
      <c r="K29" s="2102">
        <v>7652.1000256039069</v>
      </c>
      <c r="L29" s="2102">
        <v>8445.0775019740777</v>
      </c>
      <c r="M29" s="2102">
        <v>9988.9543869555528</v>
      </c>
      <c r="N29" s="2102">
        <v>7967.5364832731411</v>
      </c>
      <c r="O29" s="2102">
        <v>7365.0091190505618</v>
      </c>
      <c r="P29" s="2102">
        <v>6771.5647828159199</v>
      </c>
      <c r="Q29" s="2102">
        <v>7471.6927310458486</v>
      </c>
      <c r="R29" s="2102">
        <v>7410.8152735051626</v>
      </c>
      <c r="S29" s="2102">
        <v>7500.3106364382465</v>
      </c>
      <c r="T29" s="2102">
        <v>6971.0956802087467</v>
      </c>
      <c r="U29" s="2102">
        <v>6126.5967052030628</v>
      </c>
      <c r="V29" s="2102">
        <v>5105.8107489493077</v>
      </c>
      <c r="W29" s="2102">
        <v>5345.2533483135976</v>
      </c>
      <c r="DA29" s="2055"/>
    </row>
    <row r="30" spans="1:105" ht="12" customHeight="1">
      <c r="A30" s="2054" t="s">
        <v>727</v>
      </c>
      <c r="B30" s="2102">
        <v>6990.6917586099853</v>
      </c>
      <c r="C30" s="2102">
        <v>6767.0446004089845</v>
      </c>
      <c r="D30" s="2102">
        <v>6145.0121021986306</v>
      </c>
      <c r="E30" s="2102">
        <v>5489.918544957729</v>
      </c>
      <c r="F30" s="2102">
        <v>4776.0411311768894</v>
      </c>
      <c r="G30" s="2102">
        <v>4675.8040983373712</v>
      </c>
      <c r="H30" s="2102">
        <v>5135.6064177189592</v>
      </c>
      <c r="I30" s="2102">
        <v>4761.5197688506396</v>
      </c>
      <c r="J30" s="2102">
        <v>4516.3887411788955</v>
      </c>
      <c r="K30" s="2102">
        <v>4147.7147294847782</v>
      </c>
      <c r="L30" s="2102">
        <v>4397.9918556568937</v>
      </c>
      <c r="M30" s="2102">
        <v>4129.8924696179529</v>
      </c>
      <c r="N30" s="2102">
        <v>4046.9077592092676</v>
      </c>
      <c r="O30" s="2102">
        <v>3678.3837154122893</v>
      </c>
      <c r="P30" s="2102">
        <v>3732.8491582697147</v>
      </c>
      <c r="Q30" s="2102">
        <v>3765.6812443115214</v>
      </c>
      <c r="R30" s="2102">
        <v>3816.3659460288159</v>
      </c>
      <c r="S30" s="2102">
        <v>3661.2814984267211</v>
      </c>
      <c r="T30" s="2102">
        <v>3898.3720142877146</v>
      </c>
      <c r="U30" s="2102">
        <v>3607.8317585488835</v>
      </c>
      <c r="V30" s="2102">
        <v>3448.0805445518527</v>
      </c>
      <c r="W30" s="2102">
        <v>3632.2097880808028</v>
      </c>
      <c r="DA30" s="2055"/>
    </row>
    <row r="31" spans="1:105" ht="12" customHeight="1">
      <c r="A31" s="2054" t="s">
        <v>4610</v>
      </c>
      <c r="B31" s="2102">
        <v>22554.279976042028</v>
      </c>
      <c r="C31" s="2102">
        <v>23571.661370161553</v>
      </c>
      <c r="D31" s="2102">
        <v>23659.284002851375</v>
      </c>
      <c r="E31" s="2102">
        <v>22790.346802729833</v>
      </c>
      <c r="F31" s="2102">
        <v>22292.276190372795</v>
      </c>
      <c r="G31" s="2102">
        <v>22791.857135901002</v>
      </c>
      <c r="H31" s="2102">
        <v>20785.338392982281</v>
      </c>
      <c r="I31" s="2102">
        <v>21141.475973909142</v>
      </c>
      <c r="J31" s="2102">
        <v>20435.330668453938</v>
      </c>
      <c r="K31" s="2102">
        <v>18347.320450487219</v>
      </c>
      <c r="L31" s="2102">
        <v>18070.278444265496</v>
      </c>
      <c r="M31" s="2102">
        <v>18525.718417373584</v>
      </c>
      <c r="N31" s="2102">
        <v>17445.673887142697</v>
      </c>
      <c r="O31" s="2102">
        <v>16776.057189596853</v>
      </c>
      <c r="P31" s="2102">
        <v>16099.554216894681</v>
      </c>
      <c r="Q31" s="2102">
        <v>16433.95667272398</v>
      </c>
      <c r="R31" s="2102">
        <v>16320.597166650601</v>
      </c>
      <c r="S31" s="2102">
        <v>16539.376915013796</v>
      </c>
      <c r="T31" s="2102">
        <v>18874.493915927262</v>
      </c>
      <c r="U31" s="2102">
        <v>18639.546967205468</v>
      </c>
      <c r="V31" s="2102">
        <v>18279.497015145767</v>
      </c>
      <c r="W31" s="2102">
        <v>19101.408371925951</v>
      </c>
      <c r="DA31" s="2055"/>
    </row>
    <row r="32" spans="1:105" ht="12" customHeight="1">
      <c r="A32" s="2054" t="s">
        <v>4665</v>
      </c>
      <c r="B32" s="2102">
        <v>27397.629560662426</v>
      </c>
      <c r="C32" s="2102">
        <v>25244.022559202826</v>
      </c>
      <c r="D32" s="2102">
        <v>24281.646340172912</v>
      </c>
      <c r="E32" s="2102">
        <v>23160.495176515891</v>
      </c>
      <c r="F32" s="2102">
        <v>20509.865293986441</v>
      </c>
      <c r="G32" s="2102">
        <v>18329.846726470376</v>
      </c>
      <c r="H32" s="2102">
        <v>19804.057974892832</v>
      </c>
      <c r="I32" s="2102">
        <v>18008.696251586585</v>
      </c>
      <c r="J32" s="2102">
        <v>16632.551484754269</v>
      </c>
      <c r="K32" s="2102">
        <v>13520.875845955499</v>
      </c>
      <c r="L32" s="2102">
        <v>10723.929168450515</v>
      </c>
      <c r="M32" s="2102">
        <v>9877.3391252087404</v>
      </c>
      <c r="N32" s="2102">
        <v>7888.0606881346994</v>
      </c>
      <c r="O32" s="2102">
        <v>7127.7974087317662</v>
      </c>
      <c r="P32" s="2102">
        <v>6308.333447157248</v>
      </c>
      <c r="Q32" s="2102">
        <v>6692.301155002614</v>
      </c>
      <c r="R32" s="2102">
        <v>6166.7483732258097</v>
      </c>
      <c r="S32" s="2102">
        <v>5086.4064703365957</v>
      </c>
      <c r="T32" s="2102">
        <v>4969.6213444528385</v>
      </c>
      <c r="U32" s="2102">
        <v>4272.0178550059072</v>
      </c>
      <c r="V32" s="2102">
        <v>4261.8505592656202</v>
      </c>
      <c r="W32" s="2102">
        <v>3641.4631200677572</v>
      </c>
      <c r="DA32" s="2055"/>
    </row>
    <row r="33" spans="1:105" ht="12" customHeight="1">
      <c r="A33" s="2054" t="s">
        <v>4608</v>
      </c>
      <c r="B33" s="2102">
        <v>24362.285444531626</v>
      </c>
      <c r="C33" s="2102">
        <v>27427.976315528926</v>
      </c>
      <c r="D33" s="2102">
        <v>28976.793880165591</v>
      </c>
      <c r="E33" s="2102">
        <v>31610.352128273993</v>
      </c>
      <c r="F33" s="2102">
        <v>35593.413014597085</v>
      </c>
      <c r="G33" s="2102">
        <v>36818.981379510587</v>
      </c>
      <c r="H33" s="2102">
        <v>35231.595413058298</v>
      </c>
      <c r="I33" s="2102">
        <v>33996.850617514508</v>
      </c>
      <c r="J33" s="2102">
        <v>33049.768186937661</v>
      </c>
      <c r="K33" s="2102">
        <v>27099.982162032193</v>
      </c>
      <c r="L33" s="2102">
        <v>26425.879610818105</v>
      </c>
      <c r="M33" s="2102">
        <v>25500.240969087135</v>
      </c>
      <c r="N33" s="2102">
        <v>22805.85197768642</v>
      </c>
      <c r="O33" s="2102">
        <v>20516.470860615191</v>
      </c>
      <c r="P33" s="2102">
        <v>19325.359823744984</v>
      </c>
      <c r="Q33" s="2102">
        <v>21333.232999289037</v>
      </c>
      <c r="R33" s="2102">
        <v>20263.842465726993</v>
      </c>
      <c r="S33" s="2102">
        <v>18037.320570455391</v>
      </c>
      <c r="T33" s="2102">
        <v>17934.868469822024</v>
      </c>
      <c r="U33" s="2102">
        <v>17636.006720392474</v>
      </c>
      <c r="V33" s="2102">
        <v>16523.673109730636</v>
      </c>
      <c r="W33" s="2102">
        <v>15955.520861061053</v>
      </c>
      <c r="DA33" s="2055"/>
    </row>
    <row r="34" spans="1:105" ht="12" customHeight="1">
      <c r="A34" s="2054" t="s">
        <v>3875</v>
      </c>
      <c r="B34" s="2102">
        <v>113784.65761226944</v>
      </c>
      <c r="C34" s="2102">
        <v>116257.83517202812</v>
      </c>
      <c r="D34" s="2102">
        <v>115123.6996584076</v>
      </c>
      <c r="E34" s="2102">
        <v>117926.56800977657</v>
      </c>
      <c r="F34" s="2102">
        <v>117987.07813684957</v>
      </c>
      <c r="G34" s="2102">
        <v>121047.41104684799</v>
      </c>
      <c r="H34" s="2102">
        <v>114034.82303738993</v>
      </c>
      <c r="I34" s="2102">
        <v>116489.50272721321</v>
      </c>
      <c r="J34" s="2102">
        <v>112918.86790194859</v>
      </c>
      <c r="K34" s="2102">
        <v>92377.18550830349</v>
      </c>
      <c r="L34" s="2102">
        <v>101813.85149360076</v>
      </c>
      <c r="M34" s="2102">
        <v>100177.18393455884</v>
      </c>
      <c r="N34" s="2102">
        <v>98985.708550892537</v>
      </c>
      <c r="O34" s="2102">
        <v>100285.26855658898</v>
      </c>
      <c r="P34" s="2102">
        <v>96898.019031793345</v>
      </c>
      <c r="Q34" s="2102">
        <v>95664.239106472844</v>
      </c>
      <c r="R34" s="2102">
        <v>99179.536762584612</v>
      </c>
      <c r="S34" s="2102">
        <v>101653.13428864327</v>
      </c>
      <c r="T34" s="2102">
        <v>101195.1423556127</v>
      </c>
      <c r="U34" s="2102">
        <v>100348.05174823329</v>
      </c>
      <c r="V34" s="2102">
        <v>97024.664207246271</v>
      </c>
      <c r="W34" s="2102">
        <v>106811.80636220056</v>
      </c>
      <c r="DA34" s="2055"/>
    </row>
    <row r="35" spans="1:105" ht="12" customHeight="1">
      <c r="A35" s="2054" t="s">
        <v>4609</v>
      </c>
      <c r="B35" s="2102">
        <v>51087.999527875574</v>
      </c>
      <c r="C35" s="2102">
        <v>46922.203394666853</v>
      </c>
      <c r="D35" s="2102">
        <v>45400.897021377779</v>
      </c>
      <c r="E35" s="2102">
        <v>44854.516565742379</v>
      </c>
      <c r="F35" s="2102">
        <v>46247.946761015184</v>
      </c>
      <c r="G35" s="2102">
        <v>42878.706073057365</v>
      </c>
      <c r="H35" s="2102">
        <v>42773.369665344646</v>
      </c>
      <c r="I35" s="2102">
        <v>40684.564275262135</v>
      </c>
      <c r="J35" s="2102">
        <v>38524.223855423887</v>
      </c>
      <c r="K35" s="2102">
        <v>27086.541929558975</v>
      </c>
      <c r="L35" s="2102">
        <v>32624.966393208048</v>
      </c>
      <c r="M35" s="2102">
        <v>31288.170477300362</v>
      </c>
      <c r="N35" s="2102">
        <v>31338.760533717385</v>
      </c>
      <c r="O35" s="2102">
        <v>29958.099138379232</v>
      </c>
      <c r="P35" s="2102">
        <v>30534.274994509582</v>
      </c>
      <c r="Q35" s="2102">
        <v>30618.951070161049</v>
      </c>
      <c r="R35" s="2102">
        <v>28716.73416910231</v>
      </c>
      <c r="S35" s="2102">
        <v>29123.154316463799</v>
      </c>
      <c r="T35" s="2102">
        <v>32240.058143369122</v>
      </c>
      <c r="U35" s="2102">
        <v>28899.083891056845</v>
      </c>
      <c r="V35" s="2102">
        <v>26007.128593461715</v>
      </c>
      <c r="W35" s="2102">
        <v>27976.664636256697</v>
      </c>
      <c r="DA35" s="2055"/>
    </row>
    <row r="36" spans="1:105" ht="12" customHeight="1">
      <c r="A36" s="2054" t="s">
        <v>5733</v>
      </c>
      <c r="B36" s="2102">
        <v>2836.88075894963</v>
      </c>
      <c r="C36" s="2102">
        <v>2128.3991055354718</v>
      </c>
      <c r="D36" s="2102">
        <v>1997.8031503238992</v>
      </c>
      <c r="E36" s="2102">
        <v>2658.7362095610442</v>
      </c>
      <c r="F36" s="2102">
        <v>3163.4153071895098</v>
      </c>
      <c r="G36" s="2102">
        <v>3508.3194595553719</v>
      </c>
      <c r="H36" s="2102">
        <v>4241.5992532682685</v>
      </c>
      <c r="I36" s="2102">
        <v>4709.568973783279</v>
      </c>
      <c r="J36" s="2102">
        <v>8021.7659955788422</v>
      </c>
      <c r="K36" s="2102">
        <v>9552.8933007733067</v>
      </c>
      <c r="L36" s="2102">
        <v>11201.398194699057</v>
      </c>
      <c r="M36" s="2102">
        <v>13915.933256557088</v>
      </c>
      <c r="N36" s="2102">
        <v>13341.141403751462</v>
      </c>
      <c r="O36" s="2102">
        <v>14832.604340854605</v>
      </c>
      <c r="P36" s="2102">
        <v>15673.572811453443</v>
      </c>
      <c r="Q36" s="2102">
        <v>15690.419691509742</v>
      </c>
      <c r="R36" s="2102">
        <v>17512.610623143224</v>
      </c>
      <c r="S36" s="2102">
        <v>17748.522276416377</v>
      </c>
      <c r="T36" s="2102">
        <v>20319.697578646508</v>
      </c>
      <c r="U36" s="2102">
        <v>20883.717877741456</v>
      </c>
      <c r="V36" s="2102">
        <v>21249.739575504362</v>
      </c>
      <c r="W36" s="2102">
        <v>21740.485031302254</v>
      </c>
      <c r="DA36" s="2055"/>
    </row>
    <row r="37" spans="1:105" ht="12" customHeight="1">
      <c r="A37" s="2103" t="s">
        <v>4282</v>
      </c>
      <c r="B37" s="2104">
        <v>0</v>
      </c>
      <c r="C37" s="2104">
        <v>0</v>
      </c>
      <c r="D37" s="2104">
        <v>0</v>
      </c>
      <c r="E37" s="2104">
        <v>0</v>
      </c>
      <c r="F37" s="2104">
        <v>0</v>
      </c>
      <c r="G37" s="2104">
        <v>0</v>
      </c>
      <c r="H37" s="2104">
        <v>0</v>
      </c>
      <c r="I37" s="2104">
        <v>0</v>
      </c>
      <c r="J37" s="2104">
        <v>0</v>
      </c>
      <c r="K37" s="2104">
        <v>0</v>
      </c>
      <c r="L37" s="2104">
        <v>0</v>
      </c>
      <c r="M37" s="2104">
        <v>0</v>
      </c>
      <c r="N37" s="2104">
        <v>0</v>
      </c>
      <c r="O37" s="2104">
        <v>0</v>
      </c>
      <c r="P37" s="2104">
        <v>0</v>
      </c>
      <c r="Q37" s="2104">
        <v>0</v>
      </c>
      <c r="R37" s="2104">
        <v>0</v>
      </c>
      <c r="S37" s="2104">
        <v>0</v>
      </c>
      <c r="T37" s="2104">
        <v>0</v>
      </c>
      <c r="U37" s="2104">
        <v>0</v>
      </c>
      <c r="V37" s="2104">
        <v>0</v>
      </c>
      <c r="W37" s="2104">
        <v>0</v>
      </c>
      <c r="DA37" s="2056"/>
    </row>
    <row r="38" spans="1:105" ht="12" customHeight="1">
      <c r="A38" s="2105" t="s">
        <v>5886</v>
      </c>
      <c r="B38" s="2106">
        <v>289166.14135518845</v>
      </c>
      <c r="C38" s="2106">
        <v>278648.76050747401</v>
      </c>
      <c r="D38" s="2106">
        <v>279115.29961573501</v>
      </c>
      <c r="E38" s="2106">
        <v>287036.07468858297</v>
      </c>
      <c r="F38" s="2106">
        <v>298851.85140866367</v>
      </c>
      <c r="G38" s="2106">
        <v>296355.3915646433</v>
      </c>
      <c r="H38" s="2106">
        <v>302254.65076175967</v>
      </c>
      <c r="I38" s="2106">
        <v>305960.24887535092</v>
      </c>
      <c r="J38" s="2106">
        <v>286520.15215523983</v>
      </c>
      <c r="K38" s="2106">
        <v>222570.92525449945</v>
      </c>
      <c r="L38" s="2106">
        <v>244586.15497962324</v>
      </c>
      <c r="M38" s="2106">
        <v>244515.43663662477</v>
      </c>
      <c r="N38" s="2106">
        <v>230900.21577106649</v>
      </c>
      <c r="O38" s="2106">
        <v>228766.23623400883</v>
      </c>
      <c r="P38" s="2106">
        <v>234122.77945842274</v>
      </c>
      <c r="Q38" s="2106">
        <v>232672.45033170507</v>
      </c>
      <c r="R38" s="2106">
        <v>234163.43769562585</v>
      </c>
      <c r="S38" s="2106">
        <v>242947.21760445353</v>
      </c>
      <c r="T38" s="2106">
        <v>240447.03989300915</v>
      </c>
      <c r="U38" s="2106">
        <v>234048.63813662619</v>
      </c>
      <c r="V38" s="2106">
        <v>216830.94135859466</v>
      </c>
      <c r="W38" s="2106">
        <v>232043.44844195325</v>
      </c>
      <c r="DA38" s="2107"/>
    </row>
    <row r="39" spans="1:105" ht="12" customHeight="1">
      <c r="A39" s="2108" t="s">
        <v>423</v>
      </c>
      <c r="B39" s="2109">
        <v>90315.432538353329</v>
      </c>
      <c r="C39" s="2109">
        <v>84641.092126330303</v>
      </c>
      <c r="D39" s="2109">
        <v>88131.319939774228</v>
      </c>
      <c r="E39" s="2109">
        <v>92048.890847622417</v>
      </c>
      <c r="F39" s="2109">
        <v>95319.396191750449</v>
      </c>
      <c r="G39" s="2109">
        <v>91226.752312817858</v>
      </c>
      <c r="H39" s="2109">
        <v>95954.007634671434</v>
      </c>
      <c r="I39" s="2109">
        <v>92038.127364606626</v>
      </c>
      <c r="J39" s="2109">
        <v>84039.875434721558</v>
      </c>
      <c r="K39" s="2109">
        <v>56989.733397204742</v>
      </c>
      <c r="L39" s="2109">
        <v>71746.160314052366</v>
      </c>
      <c r="M39" s="2109">
        <v>69387.957531313747</v>
      </c>
      <c r="N39" s="2109">
        <v>65257.271359945466</v>
      </c>
      <c r="O39" s="2109">
        <v>67529.982028425249</v>
      </c>
      <c r="P39" s="2109">
        <v>69905.173335971922</v>
      </c>
      <c r="Q39" s="2109">
        <v>70694.345743171041</v>
      </c>
      <c r="R39" s="2109">
        <v>73176.611383001262</v>
      </c>
      <c r="S39" s="2109">
        <v>75834.366801883763</v>
      </c>
      <c r="T39" s="2109">
        <v>73164.886500813707</v>
      </c>
      <c r="U39" s="2109">
        <v>69775.644478982911</v>
      </c>
      <c r="V39" s="2109">
        <v>59385.77737682766</v>
      </c>
      <c r="W39" s="2109">
        <v>69757.071782147061</v>
      </c>
      <c r="DA39" s="2051"/>
    </row>
    <row r="40" spans="1:105" ht="12" customHeight="1">
      <c r="A40" s="2110" t="s">
        <v>5887</v>
      </c>
      <c r="B40" s="2111">
        <v>6698.5750860964899</v>
      </c>
      <c r="C40" s="2111">
        <v>6696.3200070021812</v>
      </c>
      <c r="D40" s="2111">
        <v>6802.6470454607752</v>
      </c>
      <c r="E40" s="2111">
        <v>6777.8242823173305</v>
      </c>
      <c r="F40" s="2111">
        <v>6812.9801646595915</v>
      </c>
      <c r="G40" s="2111">
        <v>6723.525705444491</v>
      </c>
      <c r="H40" s="2111">
        <v>6332.6249788652422</v>
      </c>
      <c r="I40" s="2111">
        <v>6595.3933868679269</v>
      </c>
      <c r="J40" s="2111">
        <v>6559.4396644829849</v>
      </c>
      <c r="K40" s="2111">
        <v>4659.3365335498129</v>
      </c>
      <c r="L40" s="2111">
        <v>5096.7165830519098</v>
      </c>
      <c r="M40" s="2111">
        <v>5471.394142507982</v>
      </c>
      <c r="N40" s="2111">
        <v>5132.8046811931272</v>
      </c>
      <c r="O40" s="2111">
        <v>4988.6288383177107</v>
      </c>
      <c r="P40" s="2111">
        <v>4958.1874541840189</v>
      </c>
      <c r="Q40" s="2111">
        <v>5077.0482656286313</v>
      </c>
      <c r="R40" s="2111">
        <v>5090.5562707100335</v>
      </c>
      <c r="S40" s="2111">
        <v>5149.9211107721867</v>
      </c>
      <c r="T40" s="2111">
        <v>5131.6246717821832</v>
      </c>
      <c r="U40" s="2111">
        <v>4862.3561379820003</v>
      </c>
      <c r="V40" s="2111">
        <v>4694.287325604404</v>
      </c>
      <c r="W40" s="2111">
        <v>4678.9502938071028</v>
      </c>
      <c r="DA40" s="2112"/>
    </row>
    <row r="41" spans="1:105" ht="12" customHeight="1">
      <c r="A41" s="2110" t="s">
        <v>5888</v>
      </c>
      <c r="B41" s="2111">
        <v>52749.317731340998</v>
      </c>
      <c r="C41" s="2111">
        <v>50443.239832835876</v>
      </c>
      <c r="D41" s="2111">
        <v>48219.97646693061</v>
      </c>
      <c r="E41" s="2111">
        <v>50757.569902519834</v>
      </c>
      <c r="F41" s="2111">
        <v>52990.964684403603</v>
      </c>
      <c r="G41" s="2111">
        <v>54316.216732030138</v>
      </c>
      <c r="H41" s="2111">
        <v>51985.520694672385</v>
      </c>
      <c r="I41" s="2111">
        <v>54108.607291449458</v>
      </c>
      <c r="J41" s="2111">
        <v>51982.65765336778</v>
      </c>
      <c r="K41" s="2111">
        <v>43999.965468321221</v>
      </c>
      <c r="L41" s="2111">
        <v>49269.409383922575</v>
      </c>
      <c r="M41" s="2111">
        <v>50941.008362811226</v>
      </c>
      <c r="N41" s="2111">
        <v>48478.973868186833</v>
      </c>
      <c r="O41" s="2111">
        <v>48565.757565415275</v>
      </c>
      <c r="P41" s="2111">
        <v>48181.384345753366</v>
      </c>
      <c r="Q41" s="2111">
        <v>47084.701328247989</v>
      </c>
      <c r="R41" s="2111">
        <v>46176.163083347041</v>
      </c>
      <c r="S41" s="2111">
        <v>49114.050725935267</v>
      </c>
      <c r="T41" s="2111">
        <v>47819.204832051691</v>
      </c>
      <c r="U41" s="2111">
        <v>46748.139516097872</v>
      </c>
      <c r="V41" s="2111">
        <v>46445.679313210116</v>
      </c>
      <c r="W41" s="2111">
        <v>45566.143407604141</v>
      </c>
      <c r="DA41" s="2112"/>
    </row>
    <row r="42" spans="1:105" ht="12" customHeight="1">
      <c r="A42" s="2110" t="s">
        <v>5889</v>
      </c>
      <c r="B42" s="2111">
        <v>130502.33064180231</v>
      </c>
      <c r="C42" s="2111">
        <v>128198.65011896502</v>
      </c>
      <c r="D42" s="2111">
        <v>127669.88619971339</v>
      </c>
      <c r="E42" s="2111">
        <v>129323.03101054848</v>
      </c>
      <c r="F42" s="2111">
        <v>135014.62444134275</v>
      </c>
      <c r="G42" s="2111">
        <v>134942.12587387548</v>
      </c>
      <c r="H42" s="2111">
        <v>138917.77839306882</v>
      </c>
      <c r="I42" s="2111">
        <v>143960.99663949775</v>
      </c>
      <c r="J42" s="2111">
        <v>134868.80686955006</v>
      </c>
      <c r="K42" s="2111">
        <v>109190.03881959566</v>
      </c>
      <c r="L42" s="2111">
        <v>110165.06459867762</v>
      </c>
      <c r="M42" s="2111">
        <v>110550.37505667412</v>
      </c>
      <c r="N42" s="2111">
        <v>103992.96797681128</v>
      </c>
      <c r="O42" s="2111">
        <v>99750.137310648657</v>
      </c>
      <c r="P42" s="2111">
        <v>103206.71948113902</v>
      </c>
      <c r="Q42" s="2111">
        <v>102193.96713081159</v>
      </c>
      <c r="R42" s="2111">
        <v>101918.19862903545</v>
      </c>
      <c r="S42" s="2111">
        <v>104918.87177219354</v>
      </c>
      <c r="T42" s="2111">
        <v>106586.37021207801</v>
      </c>
      <c r="U42" s="2111">
        <v>105196.83609294516</v>
      </c>
      <c r="V42" s="2111">
        <v>99134.521520561946</v>
      </c>
      <c r="W42" s="2111">
        <v>104085.5379651796</v>
      </c>
      <c r="DA42" s="2112"/>
    </row>
    <row r="43" spans="1:105" ht="12" customHeight="1">
      <c r="A43" s="2113" t="s">
        <v>5890</v>
      </c>
      <c r="B43" s="2114">
        <v>8900.4853575953202</v>
      </c>
      <c r="C43" s="2114">
        <v>8669.4584223406</v>
      </c>
      <c r="D43" s="2114">
        <v>8291.469963855985</v>
      </c>
      <c r="E43" s="2114">
        <v>8128.7586455749106</v>
      </c>
      <c r="F43" s="2114">
        <v>8713.8859265072824</v>
      </c>
      <c r="G43" s="2114">
        <v>9146.7709404753168</v>
      </c>
      <c r="H43" s="2114">
        <v>9064.7190604818079</v>
      </c>
      <c r="I43" s="2114">
        <v>9257.1241929291464</v>
      </c>
      <c r="J43" s="2114">
        <v>9069.3725331174155</v>
      </c>
      <c r="K43" s="2114">
        <v>7731.8510358280364</v>
      </c>
      <c r="L43" s="2114">
        <v>8308.804099918787</v>
      </c>
      <c r="M43" s="2114">
        <v>8164.7015433177021</v>
      </c>
      <c r="N43" s="2114">
        <v>8038.1978849297784</v>
      </c>
      <c r="O43" s="2114">
        <v>7931.7304912019599</v>
      </c>
      <c r="P43" s="2114">
        <v>7871.314841374392</v>
      </c>
      <c r="Q43" s="2114">
        <v>7622.3878638458373</v>
      </c>
      <c r="R43" s="2114">
        <v>7801.9083295320452</v>
      </c>
      <c r="S43" s="2114">
        <v>7930.0071936687746</v>
      </c>
      <c r="T43" s="2114">
        <v>7744.953676283556</v>
      </c>
      <c r="U43" s="2114">
        <v>7465.6619106182543</v>
      </c>
      <c r="V43" s="2114">
        <v>7170.6758223905426</v>
      </c>
      <c r="W43" s="2114">
        <v>7955.7449932153277</v>
      </c>
      <c r="DA43" s="2052" t="s">
        <v>5891</v>
      </c>
    </row>
    <row r="45" spans="1:105" ht="15" customHeight="1">
      <c r="A45" s="2078" t="s">
        <v>5892</v>
      </c>
      <c r="B45" s="2079"/>
      <c r="C45" s="2079"/>
      <c r="D45" s="2079"/>
      <c r="E45" s="2079"/>
      <c r="F45" s="2079"/>
      <c r="G45" s="2079"/>
      <c r="H45" s="2079"/>
      <c r="I45" s="2079"/>
      <c r="J45" s="2079"/>
      <c r="K45" s="2079"/>
      <c r="L45" s="2079"/>
      <c r="M45" s="2079"/>
      <c r="N45" s="2079"/>
      <c r="O45" s="2079"/>
      <c r="P45" s="2079"/>
      <c r="Q45" s="2079"/>
      <c r="R45" s="2079"/>
      <c r="S45" s="2079"/>
      <c r="T45" s="2079"/>
      <c r="U45" s="2079"/>
      <c r="V45" s="2079"/>
      <c r="W45" s="2079"/>
      <c r="DA45" s="2080"/>
    </row>
    <row r="47" spans="1:105" ht="12" customHeight="1">
      <c r="A47" s="2115" t="s">
        <v>5877</v>
      </c>
      <c r="B47" s="2116">
        <v>1</v>
      </c>
      <c r="C47" s="2116">
        <v>1</v>
      </c>
      <c r="D47" s="2116">
        <v>1</v>
      </c>
      <c r="E47" s="2116">
        <v>1</v>
      </c>
      <c r="F47" s="2116">
        <v>1</v>
      </c>
      <c r="G47" s="2116">
        <v>1</v>
      </c>
      <c r="H47" s="2116">
        <v>1</v>
      </c>
      <c r="I47" s="2116">
        <v>1</v>
      </c>
      <c r="J47" s="2116">
        <v>1</v>
      </c>
      <c r="K47" s="2116">
        <v>1</v>
      </c>
      <c r="L47" s="2116">
        <v>1</v>
      </c>
      <c r="M47" s="2116">
        <v>1</v>
      </c>
      <c r="N47" s="2116">
        <v>1</v>
      </c>
      <c r="O47" s="2116">
        <v>1</v>
      </c>
      <c r="P47" s="2116">
        <v>0.99999999999999978</v>
      </c>
      <c r="Q47" s="2116">
        <v>1</v>
      </c>
      <c r="R47" s="2116">
        <v>1</v>
      </c>
      <c r="S47" s="2116">
        <v>1</v>
      </c>
      <c r="T47" s="2116">
        <v>1</v>
      </c>
      <c r="U47" s="2116">
        <v>1</v>
      </c>
      <c r="V47" s="2116">
        <v>1</v>
      </c>
      <c r="W47" s="2116">
        <v>1</v>
      </c>
      <c r="DA47" s="2117"/>
    </row>
    <row r="48" spans="1:105" ht="12" customHeight="1">
      <c r="A48" s="2084" t="s">
        <v>5878</v>
      </c>
      <c r="B48" s="2118">
        <v>0</v>
      </c>
      <c r="C48" s="2118">
        <v>0</v>
      </c>
      <c r="D48" s="2118">
        <v>0</v>
      </c>
      <c r="E48" s="2118">
        <v>0</v>
      </c>
      <c r="F48" s="2118">
        <v>0</v>
      </c>
      <c r="G48" s="2118">
        <v>0</v>
      </c>
      <c r="H48" s="2118">
        <v>0</v>
      </c>
      <c r="I48" s="2118">
        <v>0</v>
      </c>
      <c r="J48" s="2118">
        <v>0</v>
      </c>
      <c r="K48" s="2118">
        <v>0</v>
      </c>
      <c r="L48" s="2118">
        <v>0</v>
      </c>
      <c r="M48" s="2118">
        <v>0</v>
      </c>
      <c r="N48" s="2118">
        <v>0</v>
      </c>
      <c r="O48" s="2118">
        <v>0</v>
      </c>
      <c r="P48" s="2118">
        <v>0</v>
      </c>
      <c r="Q48" s="2118">
        <v>0</v>
      </c>
      <c r="R48" s="2118">
        <v>0</v>
      </c>
      <c r="S48" s="2118">
        <v>0</v>
      </c>
      <c r="T48" s="2118">
        <v>0</v>
      </c>
      <c r="U48" s="2118">
        <v>0</v>
      </c>
      <c r="V48" s="2118">
        <v>0</v>
      </c>
      <c r="W48" s="2118">
        <v>0</v>
      </c>
      <c r="DA48" s="2086"/>
    </row>
    <row r="49" spans="1:105" ht="12" customHeight="1">
      <c r="A49" s="2084" t="s">
        <v>5879</v>
      </c>
      <c r="B49" s="2118">
        <v>0</v>
      </c>
      <c r="C49" s="2118">
        <v>0</v>
      </c>
      <c r="D49" s="2118">
        <v>0</v>
      </c>
      <c r="E49" s="2118">
        <v>0</v>
      </c>
      <c r="F49" s="2118">
        <v>0</v>
      </c>
      <c r="G49" s="2118">
        <v>0</v>
      </c>
      <c r="H49" s="2118">
        <v>0</v>
      </c>
      <c r="I49" s="2118">
        <v>0</v>
      </c>
      <c r="J49" s="2118">
        <v>0</v>
      </c>
      <c r="K49" s="2118">
        <v>0</v>
      </c>
      <c r="L49" s="2118">
        <v>0</v>
      </c>
      <c r="M49" s="2118">
        <v>0</v>
      </c>
      <c r="N49" s="2118">
        <v>0</v>
      </c>
      <c r="O49" s="2118">
        <v>0</v>
      </c>
      <c r="P49" s="2118">
        <v>0</v>
      </c>
      <c r="Q49" s="2118">
        <v>0</v>
      </c>
      <c r="R49" s="2118">
        <v>0</v>
      </c>
      <c r="S49" s="2118">
        <v>0</v>
      </c>
      <c r="T49" s="2118">
        <v>0</v>
      </c>
      <c r="U49" s="2118">
        <v>0</v>
      </c>
      <c r="V49" s="2118">
        <v>0</v>
      </c>
      <c r="W49" s="2118">
        <v>0</v>
      </c>
      <c r="DA49" s="2086"/>
    </row>
    <row r="50" spans="1:105" ht="12" customHeight="1">
      <c r="A50" s="2084" t="s">
        <v>5880</v>
      </c>
      <c r="B50" s="2118">
        <v>0</v>
      </c>
      <c r="C50" s="2118">
        <v>0</v>
      </c>
      <c r="D50" s="2118">
        <v>0</v>
      </c>
      <c r="E50" s="2118">
        <v>0</v>
      </c>
      <c r="F50" s="2118">
        <v>0</v>
      </c>
      <c r="G50" s="2118">
        <v>0</v>
      </c>
      <c r="H50" s="2118">
        <v>0</v>
      </c>
      <c r="I50" s="2118">
        <v>0</v>
      </c>
      <c r="J50" s="2118">
        <v>0</v>
      </c>
      <c r="K50" s="2118">
        <v>0</v>
      </c>
      <c r="L50" s="2118">
        <v>0</v>
      </c>
      <c r="M50" s="2118">
        <v>0</v>
      </c>
      <c r="N50" s="2118">
        <v>0</v>
      </c>
      <c r="O50" s="2118">
        <v>0</v>
      </c>
      <c r="P50" s="2118">
        <v>0</v>
      </c>
      <c r="Q50" s="2118">
        <v>0</v>
      </c>
      <c r="R50" s="2118">
        <v>0</v>
      </c>
      <c r="S50" s="2118">
        <v>0</v>
      </c>
      <c r="T50" s="2118">
        <v>0</v>
      </c>
      <c r="U50" s="2118">
        <v>0</v>
      </c>
      <c r="V50" s="2118">
        <v>0</v>
      </c>
      <c r="W50" s="2118">
        <v>0</v>
      </c>
      <c r="DA50" s="2086"/>
    </row>
    <row r="51" spans="1:105" ht="12" customHeight="1">
      <c r="A51" s="2084" t="s">
        <v>5881</v>
      </c>
      <c r="B51" s="2118">
        <v>0</v>
      </c>
      <c r="C51" s="2118">
        <v>0</v>
      </c>
      <c r="D51" s="2118">
        <v>0</v>
      </c>
      <c r="E51" s="2118">
        <v>0</v>
      </c>
      <c r="F51" s="2118">
        <v>0</v>
      </c>
      <c r="G51" s="2118">
        <v>0</v>
      </c>
      <c r="H51" s="2118">
        <v>0</v>
      </c>
      <c r="I51" s="2118">
        <v>0</v>
      </c>
      <c r="J51" s="2118">
        <v>0</v>
      </c>
      <c r="K51" s="2118">
        <v>0</v>
      </c>
      <c r="L51" s="2118">
        <v>0</v>
      </c>
      <c r="M51" s="2118">
        <v>0</v>
      </c>
      <c r="N51" s="2118">
        <v>0</v>
      </c>
      <c r="O51" s="2118">
        <v>0</v>
      </c>
      <c r="P51" s="2118">
        <v>0</v>
      </c>
      <c r="Q51" s="2118">
        <v>0</v>
      </c>
      <c r="R51" s="2118">
        <v>0</v>
      </c>
      <c r="S51" s="2118">
        <v>0</v>
      </c>
      <c r="T51" s="2118">
        <v>0</v>
      </c>
      <c r="U51" s="2118">
        <v>0</v>
      </c>
      <c r="V51" s="2118">
        <v>0</v>
      </c>
      <c r="W51" s="2118">
        <v>0</v>
      </c>
      <c r="DA51" s="2086"/>
    </row>
    <row r="52" spans="1:105" ht="12" customHeight="1">
      <c r="A52" s="2084" t="s">
        <v>5882</v>
      </c>
      <c r="B52" s="2118">
        <v>1.0995474822025826E-2</v>
      </c>
      <c r="C52" s="2118">
        <v>1.1219422168473251E-2</v>
      </c>
      <c r="D52" s="2118">
        <v>1.1271627200604442E-2</v>
      </c>
      <c r="E52" s="2118">
        <v>1.1517101585482232E-2</v>
      </c>
      <c r="F52" s="2118">
        <v>1.0609557347292707E-2</v>
      </c>
      <c r="G52" s="2118">
        <v>1.0346567209502342E-2</v>
      </c>
      <c r="H52" s="2118">
        <v>9.5274974865507678E-3</v>
      </c>
      <c r="I52" s="2118">
        <v>9.7271176997689619E-3</v>
      </c>
      <c r="J52" s="2118">
        <v>9.6499303500987756E-3</v>
      </c>
      <c r="K52" s="2118">
        <v>1.0497411290901185E-2</v>
      </c>
      <c r="L52" s="2118">
        <v>1.0313553400399241E-2</v>
      </c>
      <c r="M52" s="2118">
        <v>1.0259116985393842E-2</v>
      </c>
      <c r="N52" s="2118">
        <v>1.0656247559288075E-2</v>
      </c>
      <c r="O52" s="2118">
        <v>1.0711061210428726E-2</v>
      </c>
      <c r="P52" s="2118">
        <v>1.0051520606632662E-2</v>
      </c>
      <c r="Q52" s="2118">
        <v>9.7380463208351798E-3</v>
      </c>
      <c r="R52" s="2118">
        <v>9.9692620667049415E-3</v>
      </c>
      <c r="S52" s="2118">
        <v>9.9464757653809997E-3</v>
      </c>
      <c r="T52" s="2118">
        <v>9.783708834832025E-3</v>
      </c>
      <c r="U52" s="2118">
        <v>9.8440450684105351E-3</v>
      </c>
      <c r="V52" s="2118">
        <v>1.0159111714912484E-2</v>
      </c>
      <c r="W52" s="2118">
        <v>1.0828319144852444E-2</v>
      </c>
      <c r="DA52" s="2086"/>
    </row>
    <row r="53" spans="1:105" ht="12" customHeight="1">
      <c r="A53" s="2119" t="s">
        <v>5884</v>
      </c>
      <c r="B53" s="2120">
        <v>0.22375799153203282</v>
      </c>
      <c r="C53" s="2120">
        <v>0.22596311994052298</v>
      </c>
      <c r="D53" s="2120">
        <v>0.22740130317969062</v>
      </c>
      <c r="E53" s="2120">
        <v>0.22419135408106208</v>
      </c>
      <c r="F53" s="2120">
        <v>0.20951377503211258</v>
      </c>
      <c r="G53" s="2120">
        <v>0.20828125534233263</v>
      </c>
      <c r="H53" s="2120">
        <v>0.20056216857122516</v>
      </c>
      <c r="I53" s="2120">
        <v>0.19921954904569175</v>
      </c>
      <c r="J53" s="2120">
        <v>0.20127447842453244</v>
      </c>
      <c r="K53" s="2120">
        <v>0.2199270683525455</v>
      </c>
      <c r="L53" s="2120">
        <v>0.2169930096468396</v>
      </c>
      <c r="M53" s="2120">
        <v>0.2096135275688833</v>
      </c>
      <c r="N53" s="2120">
        <v>0.21771775524481188</v>
      </c>
      <c r="O53" s="2120">
        <v>0.2167984954341772</v>
      </c>
      <c r="P53" s="2120">
        <v>0.2139906374988759</v>
      </c>
      <c r="Q53" s="2120">
        <v>0.21115925600728092</v>
      </c>
      <c r="R53" s="2120">
        <v>0.21139767508198709</v>
      </c>
      <c r="S53" s="2120">
        <v>0.20854370113160822</v>
      </c>
      <c r="T53" s="2120">
        <v>0.20786975729375673</v>
      </c>
      <c r="U53" s="2120">
        <v>0.20799043602808795</v>
      </c>
      <c r="V53" s="2120">
        <v>0.21425003960426536</v>
      </c>
      <c r="W53" s="2120">
        <v>0.21717333076047479</v>
      </c>
      <c r="DA53" s="2121"/>
    </row>
    <row r="54" spans="1:105" ht="12" customHeight="1">
      <c r="A54" s="2122" t="s">
        <v>5885</v>
      </c>
      <c r="B54" s="2123">
        <v>0.39973941070232355</v>
      </c>
      <c r="C54" s="2123">
        <v>0.40031667036005875</v>
      </c>
      <c r="D54" s="2123">
        <v>0.39514377364300207</v>
      </c>
      <c r="E54" s="2123">
        <v>0.39553916459828126</v>
      </c>
      <c r="F54" s="2123">
        <v>0.39381062373543779</v>
      </c>
      <c r="G54" s="2123">
        <v>0.39397323356206793</v>
      </c>
      <c r="H54" s="2123">
        <v>0.38985012576326317</v>
      </c>
      <c r="I54" s="2123">
        <v>0.38874114078456523</v>
      </c>
      <c r="J54" s="2123">
        <v>0.39298409075584961</v>
      </c>
      <c r="K54" s="2123">
        <v>0.39077070369625827</v>
      </c>
      <c r="L54" s="2123">
        <v>0.38557122977425279</v>
      </c>
      <c r="M54" s="2123">
        <v>0.39303431064563871</v>
      </c>
      <c r="N54" s="2123">
        <v>0.39025193687638426</v>
      </c>
      <c r="O54" s="2123">
        <v>0.38792530596518626</v>
      </c>
      <c r="P54" s="2123">
        <v>0.38042765156711278</v>
      </c>
      <c r="Q54" s="2123">
        <v>0.38499875933828098</v>
      </c>
      <c r="R54" s="2123">
        <v>0.38528716717917955</v>
      </c>
      <c r="S54" s="2123">
        <v>0.38001941190802174</v>
      </c>
      <c r="T54" s="2123">
        <v>0.38755649854439667</v>
      </c>
      <c r="U54" s="2123">
        <v>0.38670884936342464</v>
      </c>
      <c r="V54" s="2123">
        <v>0.38986161649362222</v>
      </c>
      <c r="W54" s="2123">
        <v>0.38560613011820671</v>
      </c>
      <c r="DA54" s="2124"/>
    </row>
    <row r="55" spans="1:105" ht="12" customHeight="1">
      <c r="A55" s="2105" t="s">
        <v>5886</v>
      </c>
      <c r="B55" s="2125">
        <v>0.36550712294361781</v>
      </c>
      <c r="C55" s="2125">
        <v>0.36250078753094511</v>
      </c>
      <c r="D55" s="2125">
        <v>0.36618329597670279</v>
      </c>
      <c r="E55" s="2125">
        <v>0.36875237973517444</v>
      </c>
      <c r="F55" s="2125">
        <v>0.38606604388515686</v>
      </c>
      <c r="G55" s="2125">
        <v>0.38739894388609708</v>
      </c>
      <c r="H55" s="2125">
        <v>0.40006020817896104</v>
      </c>
      <c r="I55" s="2125">
        <v>0.40231219246997402</v>
      </c>
      <c r="J55" s="2125">
        <v>0.39609150046951908</v>
      </c>
      <c r="K55" s="2125">
        <v>0.37880481666029509</v>
      </c>
      <c r="L55" s="2125">
        <v>0.38712220717850843</v>
      </c>
      <c r="M55" s="2125">
        <v>0.38709304480008416</v>
      </c>
      <c r="N55" s="2125">
        <v>0.38137406031951576</v>
      </c>
      <c r="O55" s="2125">
        <v>0.38456513739020787</v>
      </c>
      <c r="P55" s="2125">
        <v>0.39553019032737852</v>
      </c>
      <c r="Q55" s="2125">
        <v>0.39410393833360297</v>
      </c>
      <c r="R55" s="2125">
        <v>0.39334589567212835</v>
      </c>
      <c r="S55" s="2125">
        <v>0.40149041119498902</v>
      </c>
      <c r="T55" s="2125">
        <v>0.39479003532701462</v>
      </c>
      <c r="U55" s="2125">
        <v>0.3954566695400768</v>
      </c>
      <c r="V55" s="2125">
        <v>0.3857292321871999</v>
      </c>
      <c r="W55" s="2125">
        <v>0.38639221997646606</v>
      </c>
      <c r="DA55" s="2107"/>
    </row>
  </sheetData>
  <conditionalFormatting sqref="B6:W15">
    <cfRule type="cellIs" dxfId="7" priority="8" operator="lessThan">
      <formula>0</formula>
    </cfRule>
  </conditionalFormatting>
  <conditionalFormatting sqref="B17:W26">
    <cfRule type="cellIs" dxfId="6" priority="7" operator="lessThan">
      <formula>0</formula>
    </cfRule>
  </conditionalFormatting>
  <conditionalFormatting sqref="B28:W37">
    <cfRule type="cellIs" dxfId="5" priority="5" operator="lessThan">
      <formula>0</formula>
    </cfRule>
  </conditionalFormatting>
  <conditionalFormatting sqref="B48:W52">
    <cfRule type="cellIs" dxfId="4" priority="6" operator="lessThan">
      <formula>0</formula>
    </cfRule>
  </conditionalFormatting>
  <conditionalFormatting sqref="DA6:DA15">
    <cfRule type="cellIs" dxfId="3" priority="4" operator="lessThan">
      <formula>0</formula>
    </cfRule>
  </conditionalFormatting>
  <conditionalFormatting sqref="DA17:DA26">
    <cfRule type="cellIs" dxfId="2" priority="3" operator="lessThan">
      <formula>0</formula>
    </cfRule>
  </conditionalFormatting>
  <conditionalFormatting sqref="DA28:DA37">
    <cfRule type="cellIs" dxfId="1" priority="1" operator="lessThan">
      <formula>0</formula>
    </cfRule>
  </conditionalFormatting>
  <conditionalFormatting sqref="DA48:DA52">
    <cfRule type="cellIs" dxfId="0" priority="2" operator="lessThan">
      <formula>0</formula>
    </cfRule>
  </conditionalFormatting>
  <pageMargins left="0.39370078740157483" right="0.39370078740157483" top="0.39370078740157483" bottom="0.39370078740157483" header="0.31496062992125978" footer="0.31496062992125978"/>
  <pageSetup paperSize="9" scale="46"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8A5AA-9175-47FF-8D67-84C4002B3696}">
  <sheetPr codeName="Sheet94"/>
  <dimension ref="A1:AF17"/>
  <sheetViews>
    <sheetView workbookViewId="0"/>
  </sheetViews>
  <sheetFormatPr baseColWidth="10" defaultColWidth="8.83203125" defaultRowHeight="15"/>
  <cols>
    <col min="1" max="1" width="69" customWidth="1"/>
  </cols>
  <sheetData>
    <row r="1" spans="1:32">
      <c r="A1" t="s">
        <v>4396</v>
      </c>
      <c r="B1">
        <v>2020</v>
      </c>
      <c r="C1">
        <v>2021</v>
      </c>
      <c r="D1">
        <v>2022</v>
      </c>
      <c r="E1">
        <v>2023</v>
      </c>
      <c r="F1">
        <v>2024</v>
      </c>
      <c r="G1">
        <v>2025</v>
      </c>
      <c r="H1">
        <v>2026</v>
      </c>
      <c r="I1">
        <v>2027</v>
      </c>
      <c r="J1">
        <v>2028</v>
      </c>
      <c r="K1">
        <v>2029</v>
      </c>
      <c r="L1">
        <v>2030</v>
      </c>
      <c r="M1">
        <v>2031</v>
      </c>
      <c r="N1">
        <v>2032</v>
      </c>
      <c r="O1">
        <v>2033</v>
      </c>
      <c r="P1">
        <v>2034</v>
      </c>
      <c r="Q1">
        <v>2035</v>
      </c>
      <c r="R1">
        <v>2036</v>
      </c>
      <c r="S1">
        <v>2037</v>
      </c>
      <c r="T1">
        <v>2038</v>
      </c>
      <c r="U1">
        <v>2039</v>
      </c>
      <c r="V1">
        <v>2040</v>
      </c>
      <c r="W1">
        <v>2041</v>
      </c>
      <c r="X1">
        <v>2042</v>
      </c>
      <c r="Y1">
        <v>2043</v>
      </c>
      <c r="Z1">
        <v>2044</v>
      </c>
      <c r="AA1">
        <v>2045</v>
      </c>
      <c r="AB1">
        <v>2046</v>
      </c>
      <c r="AC1">
        <v>2047</v>
      </c>
      <c r="AD1">
        <v>2048</v>
      </c>
      <c r="AE1">
        <v>2049</v>
      </c>
      <c r="AF1">
        <v>2050</v>
      </c>
    </row>
    <row r="2" spans="1:32">
      <c r="A2" t="s">
        <v>4620</v>
      </c>
      <c r="B2">
        <v>210.982</v>
      </c>
      <c r="C2">
        <v>206.33799999999999</v>
      </c>
      <c r="D2">
        <v>201.69399999999999</v>
      </c>
      <c r="E2">
        <v>181.31200000000001</v>
      </c>
      <c r="F2">
        <v>171.25</v>
      </c>
      <c r="G2">
        <v>105.202</v>
      </c>
      <c r="H2">
        <v>101.074</v>
      </c>
      <c r="I2">
        <v>92.56</v>
      </c>
      <c r="J2">
        <v>89.463999999999999</v>
      </c>
      <c r="K2">
        <v>86.884</v>
      </c>
      <c r="L2">
        <v>84.304000000000002</v>
      </c>
      <c r="M2">
        <v>83.013999999999996</v>
      </c>
      <c r="N2">
        <v>80.176000000000002</v>
      </c>
      <c r="O2">
        <v>78.37</v>
      </c>
      <c r="P2">
        <v>76.305999999999997</v>
      </c>
      <c r="Q2">
        <v>74.757999999999996</v>
      </c>
      <c r="R2">
        <v>74.757999999999996</v>
      </c>
      <c r="S2">
        <v>74.5</v>
      </c>
      <c r="T2">
        <v>72.177999999999997</v>
      </c>
      <c r="U2">
        <v>71.92</v>
      </c>
      <c r="V2">
        <v>71.92</v>
      </c>
      <c r="W2">
        <v>71.662000000000006</v>
      </c>
      <c r="X2">
        <v>71.662000000000006</v>
      </c>
      <c r="Y2">
        <v>71.662000000000006</v>
      </c>
      <c r="Z2">
        <v>71.662000000000006</v>
      </c>
      <c r="AA2">
        <v>68.566000000000003</v>
      </c>
      <c r="AB2">
        <v>68.05</v>
      </c>
      <c r="AC2">
        <v>68.05</v>
      </c>
      <c r="AD2">
        <v>66.760000000000005</v>
      </c>
      <c r="AE2">
        <v>66.760000000000005</v>
      </c>
      <c r="AF2">
        <v>66.760000000000005</v>
      </c>
    </row>
    <row r="3" spans="1:32">
      <c r="A3" t="s">
        <v>4621</v>
      </c>
      <c r="B3">
        <v>264.85700000000003</v>
      </c>
      <c r="C3">
        <v>270.09300000000002</v>
      </c>
      <c r="D3">
        <v>273.01900000000001</v>
      </c>
      <c r="E3">
        <v>281.02699999999999</v>
      </c>
      <c r="F3">
        <v>285.95499999999998</v>
      </c>
      <c r="G3">
        <v>315.98500000000001</v>
      </c>
      <c r="H3">
        <v>325.995</v>
      </c>
      <c r="I3">
        <v>333.84899999999999</v>
      </c>
      <c r="J3">
        <v>337.85300000000001</v>
      </c>
      <c r="K3">
        <v>342.62700000000001</v>
      </c>
      <c r="L3">
        <v>343.70499999999998</v>
      </c>
      <c r="M3">
        <v>345.70699999999999</v>
      </c>
      <c r="N3">
        <v>348.47899999999998</v>
      </c>
      <c r="O3">
        <v>351.09699999999998</v>
      </c>
      <c r="P3">
        <v>353.86900000000003</v>
      </c>
      <c r="Q3">
        <v>356.48700000000002</v>
      </c>
      <c r="R3">
        <v>359.25900000000001</v>
      </c>
      <c r="S3">
        <v>362.339</v>
      </c>
      <c r="T3">
        <v>365.57299999999998</v>
      </c>
      <c r="U3">
        <v>367.88299999999998</v>
      </c>
      <c r="V3">
        <v>370.80900000000003</v>
      </c>
      <c r="W3">
        <v>373.58100000000002</v>
      </c>
      <c r="X3">
        <v>375.89100000000002</v>
      </c>
      <c r="Y3">
        <v>379.279</v>
      </c>
      <c r="Z3">
        <v>382.97500000000002</v>
      </c>
      <c r="AA3">
        <v>386.05500000000001</v>
      </c>
      <c r="AB3">
        <v>388.51900000000001</v>
      </c>
      <c r="AC3">
        <v>389.75099999999998</v>
      </c>
      <c r="AD3">
        <v>391.90699999999998</v>
      </c>
      <c r="AE3">
        <v>393.601</v>
      </c>
      <c r="AF3">
        <v>395.14100000000002</v>
      </c>
    </row>
    <row r="4" spans="1:32">
      <c r="A4" t="s">
        <v>4622</v>
      </c>
      <c r="B4">
        <v>96.619</v>
      </c>
      <c r="C4">
        <v>91.119</v>
      </c>
      <c r="D4">
        <v>91.119</v>
      </c>
      <c r="E4">
        <v>92.119</v>
      </c>
      <c r="F4">
        <v>92.119</v>
      </c>
      <c r="G4">
        <v>91.619</v>
      </c>
      <c r="H4">
        <v>78.119</v>
      </c>
      <c r="I4">
        <v>70.119</v>
      </c>
      <c r="J4">
        <v>67.619</v>
      </c>
      <c r="K4">
        <v>61.119</v>
      </c>
      <c r="L4">
        <v>61.119</v>
      </c>
      <c r="M4">
        <v>59.119</v>
      </c>
      <c r="N4">
        <v>57.619</v>
      </c>
      <c r="O4">
        <v>56.619</v>
      </c>
      <c r="P4">
        <v>54.619</v>
      </c>
      <c r="Q4">
        <v>54.619</v>
      </c>
      <c r="R4">
        <v>53.619</v>
      </c>
      <c r="S4">
        <v>51.619</v>
      </c>
      <c r="T4">
        <v>50.619</v>
      </c>
      <c r="U4">
        <v>50.619</v>
      </c>
      <c r="V4">
        <v>50.619</v>
      </c>
      <c r="W4">
        <v>50.619</v>
      </c>
      <c r="X4">
        <v>50.619</v>
      </c>
      <c r="Y4">
        <v>48.119</v>
      </c>
      <c r="Z4">
        <v>42.619</v>
      </c>
      <c r="AA4">
        <v>42.619</v>
      </c>
      <c r="AB4">
        <v>42.619</v>
      </c>
      <c r="AC4">
        <v>41.619</v>
      </c>
      <c r="AD4">
        <v>39.619</v>
      </c>
      <c r="AE4">
        <v>39.619</v>
      </c>
      <c r="AF4">
        <v>39.619</v>
      </c>
    </row>
    <row r="5" spans="1:32">
      <c r="A5" t="s">
        <v>4623</v>
      </c>
      <c r="B5">
        <v>79.501000000000005</v>
      </c>
      <c r="C5">
        <v>79.587999999999994</v>
      </c>
      <c r="D5">
        <v>79.575999999999993</v>
      </c>
      <c r="E5">
        <v>79.554000000000002</v>
      </c>
      <c r="F5">
        <v>79.918000000000006</v>
      </c>
      <c r="G5">
        <v>79.912999999999997</v>
      </c>
      <c r="H5">
        <v>79.912999999999997</v>
      </c>
      <c r="I5">
        <v>79.908000000000001</v>
      </c>
      <c r="J5">
        <v>79.736000000000004</v>
      </c>
      <c r="K5">
        <v>79.656999999999996</v>
      </c>
      <c r="L5">
        <v>79.656999999999996</v>
      </c>
      <c r="M5">
        <v>79.656999999999996</v>
      </c>
      <c r="N5">
        <v>79.656999999999996</v>
      </c>
      <c r="O5">
        <v>79.656999999999996</v>
      </c>
      <c r="P5">
        <v>79.656999999999996</v>
      </c>
      <c r="Q5">
        <v>79.656999999999996</v>
      </c>
      <c r="R5">
        <v>79.656999999999996</v>
      </c>
      <c r="S5">
        <v>79.656999999999996</v>
      </c>
      <c r="T5">
        <v>79.656999999999996</v>
      </c>
      <c r="U5">
        <v>79.656999999999996</v>
      </c>
      <c r="V5">
        <v>79.656999999999996</v>
      </c>
      <c r="W5">
        <v>79.656999999999996</v>
      </c>
      <c r="X5">
        <v>79.656999999999996</v>
      </c>
      <c r="Y5">
        <v>79.656999999999996</v>
      </c>
      <c r="Z5">
        <v>79.576999999999998</v>
      </c>
      <c r="AA5">
        <v>79.576999999999998</v>
      </c>
      <c r="AB5">
        <v>79.576999999999998</v>
      </c>
      <c r="AC5">
        <v>79.573999999999998</v>
      </c>
      <c r="AD5">
        <v>79.573999999999998</v>
      </c>
      <c r="AE5">
        <v>79.558999999999997</v>
      </c>
      <c r="AF5">
        <v>79.558999999999997</v>
      </c>
    </row>
    <row r="6" spans="1:32">
      <c r="A6" t="s">
        <v>4624</v>
      </c>
      <c r="B6">
        <v>107.81399999999999</v>
      </c>
      <c r="C6">
        <v>117.134</v>
      </c>
      <c r="D6">
        <v>124.774</v>
      </c>
      <c r="E6">
        <v>142.06899999999999</v>
      </c>
      <c r="F6">
        <v>156.73400000000001</v>
      </c>
      <c r="G6">
        <v>179.60900000000001</v>
      </c>
      <c r="H6">
        <v>194.309</v>
      </c>
      <c r="I6">
        <v>206.32400000000001</v>
      </c>
      <c r="J6">
        <v>213.04400000000001</v>
      </c>
      <c r="K6">
        <v>222.60400000000001</v>
      </c>
      <c r="L6">
        <v>227.79400000000001</v>
      </c>
      <c r="M6">
        <v>235.029</v>
      </c>
      <c r="N6">
        <v>242.209</v>
      </c>
      <c r="O6">
        <v>249.44900000000001</v>
      </c>
      <c r="P6">
        <v>257.98899999999998</v>
      </c>
      <c r="Q6">
        <v>266.05399999999997</v>
      </c>
      <c r="R6">
        <v>274.73899999999998</v>
      </c>
      <c r="S6">
        <v>284.60899999999998</v>
      </c>
      <c r="T6">
        <v>295.23399999999998</v>
      </c>
      <c r="U6">
        <v>305.10399999999998</v>
      </c>
      <c r="V6">
        <v>314.839</v>
      </c>
      <c r="W6">
        <v>324.74400000000003</v>
      </c>
      <c r="X6">
        <v>335.17399999999998</v>
      </c>
      <c r="Y6">
        <v>347.964</v>
      </c>
      <c r="Z6">
        <v>362.71899999999999</v>
      </c>
      <c r="AA6">
        <v>375.53899999999999</v>
      </c>
      <c r="AB6">
        <v>385.98399999999998</v>
      </c>
      <c r="AC6">
        <v>395.32900000000001</v>
      </c>
      <c r="AD6">
        <v>405.44400000000002</v>
      </c>
      <c r="AE6">
        <v>412.96899999999999</v>
      </c>
      <c r="AF6">
        <v>420.48399999999998</v>
      </c>
    </row>
    <row r="7" spans="1:32">
      <c r="A7" t="s">
        <v>4625</v>
      </c>
      <c r="B7">
        <v>37.765000000000001</v>
      </c>
      <c r="C7">
        <v>43.453000000000003</v>
      </c>
      <c r="D7">
        <v>50.395000000000003</v>
      </c>
      <c r="E7">
        <v>71.793000000000006</v>
      </c>
      <c r="F7">
        <v>92.631</v>
      </c>
      <c r="G7">
        <v>148.78100000000001</v>
      </c>
      <c r="H7">
        <v>179.00700000000001</v>
      </c>
      <c r="I7">
        <v>207.17500000000001</v>
      </c>
      <c r="J7">
        <v>225.46899999999999</v>
      </c>
      <c r="K7">
        <v>255.28299999999999</v>
      </c>
      <c r="L7">
        <v>273.89499999999998</v>
      </c>
      <c r="M7">
        <v>299.70699999999999</v>
      </c>
      <c r="N7">
        <v>325.11099999999999</v>
      </c>
      <c r="O7">
        <v>350.14299999999997</v>
      </c>
      <c r="P7">
        <v>379.59699999999998</v>
      </c>
      <c r="Q7">
        <v>406.92099999999999</v>
      </c>
      <c r="R7">
        <v>435.20100000000002</v>
      </c>
      <c r="S7">
        <v>466.197</v>
      </c>
      <c r="T7">
        <v>497.863</v>
      </c>
      <c r="U7">
        <v>525.90300000000002</v>
      </c>
      <c r="V7">
        <v>552.11300000000006</v>
      </c>
      <c r="W7">
        <v>577.59699999999998</v>
      </c>
      <c r="X7">
        <v>603.10500000000002</v>
      </c>
      <c r="Y7">
        <v>632.49099999999999</v>
      </c>
      <c r="Z7">
        <v>664.21500000000003</v>
      </c>
      <c r="AA7">
        <v>689.56899999999996</v>
      </c>
      <c r="AB7">
        <v>709.69100000000003</v>
      </c>
      <c r="AC7">
        <v>727.13900000000001</v>
      </c>
      <c r="AD7">
        <v>745.85699999999997</v>
      </c>
      <c r="AE7">
        <v>759.63099999999997</v>
      </c>
      <c r="AF7">
        <v>773.24099999999999</v>
      </c>
    </row>
    <row r="8" spans="1:32">
      <c r="A8" t="s">
        <v>4626</v>
      </c>
      <c r="B8">
        <v>1.758</v>
      </c>
      <c r="C8">
        <v>1.758</v>
      </c>
      <c r="D8">
        <v>1.758</v>
      </c>
      <c r="E8">
        <v>1.9139999999999999</v>
      </c>
      <c r="F8">
        <v>2.0699999999999998</v>
      </c>
      <c r="G8">
        <v>2.5379999999999998</v>
      </c>
      <c r="H8">
        <v>2.694</v>
      </c>
      <c r="I8">
        <v>2.85</v>
      </c>
      <c r="J8">
        <v>2.85</v>
      </c>
      <c r="K8">
        <v>3.0059999999999998</v>
      </c>
      <c r="L8">
        <v>3.0059999999999998</v>
      </c>
      <c r="M8">
        <v>3.0059999999999998</v>
      </c>
      <c r="N8">
        <v>3.0059999999999998</v>
      </c>
      <c r="O8">
        <v>3.0059999999999998</v>
      </c>
      <c r="P8">
        <v>3.1619999999999999</v>
      </c>
      <c r="Q8">
        <v>3.1619999999999999</v>
      </c>
      <c r="R8">
        <v>3.3180000000000001</v>
      </c>
      <c r="S8">
        <v>3.4740000000000002</v>
      </c>
      <c r="T8">
        <v>3.63</v>
      </c>
      <c r="U8">
        <v>3.786</v>
      </c>
      <c r="V8">
        <v>3.9420000000000002</v>
      </c>
      <c r="W8">
        <v>4.0979999999999999</v>
      </c>
      <c r="X8">
        <v>4.2539999999999996</v>
      </c>
      <c r="Y8">
        <v>4.41</v>
      </c>
      <c r="Z8">
        <v>4.5659999999999998</v>
      </c>
      <c r="AA8">
        <v>4.7220000000000004</v>
      </c>
      <c r="AB8">
        <v>4.7220000000000004</v>
      </c>
      <c r="AC8">
        <v>4.7220000000000004</v>
      </c>
      <c r="AD8">
        <v>4.7220000000000004</v>
      </c>
      <c r="AE8">
        <v>4.7220000000000004</v>
      </c>
      <c r="AF8">
        <v>4.7220000000000004</v>
      </c>
    </row>
    <row r="9" spans="1:32">
      <c r="A9" t="s">
        <v>4627</v>
      </c>
      <c r="B9">
        <v>5.0149999999999997</v>
      </c>
      <c r="C9">
        <v>5.069</v>
      </c>
      <c r="D9">
        <v>5.141</v>
      </c>
      <c r="E9">
        <v>5.2309999999999999</v>
      </c>
      <c r="F9">
        <v>5.2850000000000001</v>
      </c>
      <c r="G9">
        <v>5.4470000000000001</v>
      </c>
      <c r="H9">
        <v>5.5369999999999999</v>
      </c>
      <c r="I9">
        <v>5.609</v>
      </c>
      <c r="J9">
        <v>5.6449999999999996</v>
      </c>
      <c r="K9">
        <v>5.681</v>
      </c>
      <c r="L9">
        <v>5.6989999999999998</v>
      </c>
      <c r="M9">
        <v>5.7169999999999996</v>
      </c>
      <c r="N9">
        <v>5.7350000000000003</v>
      </c>
      <c r="O9">
        <v>5.7530000000000001</v>
      </c>
      <c r="P9">
        <v>5.7709999999999999</v>
      </c>
      <c r="Q9">
        <v>5.7889999999999997</v>
      </c>
      <c r="R9">
        <v>5.8070000000000004</v>
      </c>
      <c r="S9">
        <v>5.8250000000000002</v>
      </c>
      <c r="T9">
        <v>5.8609999999999998</v>
      </c>
      <c r="U9">
        <v>5.8789999999999996</v>
      </c>
      <c r="V9">
        <v>5.8970000000000002</v>
      </c>
      <c r="W9">
        <v>5.915</v>
      </c>
      <c r="X9">
        <v>5.9329999999999998</v>
      </c>
      <c r="Y9">
        <v>5.9690000000000003</v>
      </c>
      <c r="Z9">
        <v>6.0049999999999999</v>
      </c>
      <c r="AA9">
        <v>6.0229999999999997</v>
      </c>
      <c r="AB9">
        <v>6.0410000000000004</v>
      </c>
      <c r="AC9">
        <v>6.0590000000000002</v>
      </c>
      <c r="AD9">
        <v>6.077</v>
      </c>
      <c r="AE9">
        <v>6.077</v>
      </c>
      <c r="AF9">
        <v>6.077</v>
      </c>
    </row>
    <row r="10" spans="1:32">
      <c r="A10" t="s">
        <v>4628</v>
      </c>
      <c r="B10">
        <v>2.5059999999999998</v>
      </c>
      <c r="C10">
        <v>2.5059999999999998</v>
      </c>
      <c r="D10">
        <v>2.5960000000000001</v>
      </c>
      <c r="E10">
        <v>2.8559999999999999</v>
      </c>
      <c r="F10">
        <v>3.056</v>
      </c>
      <c r="G10">
        <v>3.6160000000000001</v>
      </c>
      <c r="H10">
        <v>3.956</v>
      </c>
      <c r="I10">
        <v>4.226</v>
      </c>
      <c r="J10">
        <v>4.3659999999999997</v>
      </c>
      <c r="K10">
        <v>4.5659999999999998</v>
      </c>
      <c r="L10">
        <v>4.6660000000000004</v>
      </c>
      <c r="M10">
        <v>4.8159999999999998</v>
      </c>
      <c r="N10">
        <v>4.9560000000000004</v>
      </c>
      <c r="O10">
        <v>5.0960000000000001</v>
      </c>
      <c r="P10">
        <v>5.2560000000000002</v>
      </c>
      <c r="Q10">
        <v>5.3959999999999999</v>
      </c>
      <c r="R10">
        <v>5.5460000000000003</v>
      </c>
      <c r="S10">
        <v>5.7060000000000004</v>
      </c>
      <c r="T10">
        <v>5.8760000000000003</v>
      </c>
      <c r="U10">
        <v>6.0259999999999998</v>
      </c>
      <c r="V10">
        <v>6.1760000000000002</v>
      </c>
      <c r="W10">
        <v>6.3159999999999998</v>
      </c>
      <c r="X10">
        <v>6.4660000000000002</v>
      </c>
      <c r="Y10">
        <v>6.6459999999999999</v>
      </c>
      <c r="Z10">
        <v>6.8460000000000001</v>
      </c>
      <c r="AA10">
        <v>7.016</v>
      </c>
      <c r="AB10">
        <v>7.1459999999999999</v>
      </c>
      <c r="AC10">
        <v>7.2560000000000002</v>
      </c>
      <c r="AD10">
        <v>7.3760000000000003</v>
      </c>
      <c r="AE10">
        <v>7.4560000000000004</v>
      </c>
      <c r="AF10">
        <v>7.5359999999999996</v>
      </c>
    </row>
    <row r="11" spans="1:32">
      <c r="A11" t="s">
        <v>4629</v>
      </c>
      <c r="B11">
        <v>26.997</v>
      </c>
      <c r="C11">
        <v>26.936</v>
      </c>
      <c r="D11">
        <v>26.689</v>
      </c>
      <c r="E11">
        <v>26.428999999999998</v>
      </c>
      <c r="F11">
        <v>26.141999999999999</v>
      </c>
      <c r="G11">
        <v>25.99</v>
      </c>
      <c r="H11">
        <v>25.722999999999999</v>
      </c>
      <c r="I11">
        <v>25.64</v>
      </c>
      <c r="J11">
        <v>25.556999999999999</v>
      </c>
      <c r="K11">
        <v>25.221</v>
      </c>
      <c r="L11">
        <v>25.201000000000001</v>
      </c>
      <c r="M11">
        <v>25.152000000000001</v>
      </c>
      <c r="N11">
        <v>25.132000000000001</v>
      </c>
      <c r="O11">
        <v>25.088999999999999</v>
      </c>
      <c r="P11">
        <v>25.062999999999999</v>
      </c>
      <c r="Q11">
        <v>25.013000000000002</v>
      </c>
      <c r="R11">
        <v>24.968</v>
      </c>
      <c r="S11">
        <v>24.968</v>
      </c>
      <c r="T11">
        <v>24.966999999999999</v>
      </c>
      <c r="U11">
        <v>24.960999999999999</v>
      </c>
      <c r="V11">
        <v>24.960999999999999</v>
      </c>
      <c r="W11">
        <v>24.95</v>
      </c>
      <c r="X11">
        <v>24.949000000000002</v>
      </c>
      <c r="Y11">
        <v>24.949000000000002</v>
      </c>
      <c r="Z11">
        <v>24.95</v>
      </c>
      <c r="AA11">
        <v>24.945</v>
      </c>
      <c r="AB11">
        <v>24.949000000000002</v>
      </c>
      <c r="AC11">
        <v>24.954000000000001</v>
      </c>
      <c r="AD11">
        <v>24.956</v>
      </c>
      <c r="AE11">
        <v>24.933</v>
      </c>
      <c r="AF11">
        <v>24.937000000000001</v>
      </c>
    </row>
    <row r="12" spans="1:32">
      <c r="A12" t="s">
        <v>4630</v>
      </c>
      <c r="B12">
        <v>194.89500000000001</v>
      </c>
      <c r="C12">
        <v>194.495</v>
      </c>
      <c r="D12">
        <v>190.04499999999999</v>
      </c>
      <c r="E12">
        <v>185.64500000000001</v>
      </c>
      <c r="F12">
        <v>180.595</v>
      </c>
      <c r="G12">
        <v>179.54499999999999</v>
      </c>
      <c r="H12">
        <v>175.14500000000001</v>
      </c>
      <c r="I12">
        <v>174.095</v>
      </c>
      <c r="J12">
        <v>172.79499999999999</v>
      </c>
      <c r="K12">
        <v>166.69499999999999</v>
      </c>
      <c r="L12">
        <v>167.39500000000001</v>
      </c>
      <c r="M12">
        <v>166.69499999999999</v>
      </c>
      <c r="N12">
        <v>166.495</v>
      </c>
      <c r="O12">
        <v>165.89500000000001</v>
      </c>
      <c r="P12">
        <v>165.595</v>
      </c>
      <c r="Q12">
        <v>164.845</v>
      </c>
      <c r="R12">
        <v>164.19499999999999</v>
      </c>
      <c r="S12">
        <v>164.39500000000001</v>
      </c>
      <c r="T12">
        <v>164.64500000000001</v>
      </c>
      <c r="U12">
        <v>164.69499999999999</v>
      </c>
      <c r="V12">
        <v>164.89500000000001</v>
      </c>
      <c r="W12">
        <v>164.89500000000001</v>
      </c>
      <c r="X12">
        <v>165.095</v>
      </c>
      <c r="Y12">
        <v>165.345</v>
      </c>
      <c r="Z12">
        <v>166.095</v>
      </c>
      <c r="AA12">
        <v>172.345</v>
      </c>
      <c r="AB12">
        <v>177.495</v>
      </c>
      <c r="AC12">
        <v>183.595</v>
      </c>
      <c r="AD12">
        <v>190.54499999999999</v>
      </c>
      <c r="AE12">
        <v>196.745</v>
      </c>
      <c r="AF12">
        <v>202.745</v>
      </c>
    </row>
    <row r="13" spans="1:32">
      <c r="A13" t="s">
        <v>4631</v>
      </c>
      <c r="B13">
        <v>6.798</v>
      </c>
      <c r="C13">
        <v>6.798</v>
      </c>
      <c r="D13">
        <v>6.798</v>
      </c>
      <c r="E13">
        <v>6.798</v>
      </c>
      <c r="F13">
        <v>6.798</v>
      </c>
      <c r="G13">
        <v>6.798</v>
      </c>
      <c r="H13">
        <v>6.798</v>
      </c>
      <c r="I13">
        <v>6.798</v>
      </c>
      <c r="J13">
        <v>6.798</v>
      </c>
      <c r="K13">
        <v>6.798</v>
      </c>
      <c r="L13">
        <v>6.798</v>
      </c>
      <c r="M13">
        <v>6.798</v>
      </c>
      <c r="N13">
        <v>6.798</v>
      </c>
      <c r="O13">
        <v>6.798</v>
      </c>
      <c r="P13">
        <v>6.798</v>
      </c>
      <c r="Q13">
        <v>6.798</v>
      </c>
      <c r="R13">
        <v>6.798</v>
      </c>
      <c r="S13">
        <v>6.798</v>
      </c>
      <c r="T13">
        <v>6.798</v>
      </c>
      <c r="U13">
        <v>6.798</v>
      </c>
      <c r="V13">
        <v>6.798</v>
      </c>
      <c r="W13">
        <v>6.798</v>
      </c>
      <c r="X13">
        <v>6.798</v>
      </c>
      <c r="Y13">
        <v>6.798</v>
      </c>
      <c r="Z13">
        <v>6.798</v>
      </c>
      <c r="AA13">
        <v>6.798</v>
      </c>
      <c r="AB13">
        <v>6.798</v>
      </c>
      <c r="AC13">
        <v>6.798</v>
      </c>
      <c r="AD13">
        <v>6.798</v>
      </c>
      <c r="AE13">
        <v>6.798</v>
      </c>
      <c r="AF13">
        <v>6.798</v>
      </c>
    </row>
    <row r="14" spans="1:32">
      <c r="A14" t="s">
        <v>4632</v>
      </c>
      <c r="B14">
        <v>2.9000000000000001E-2</v>
      </c>
      <c r="C14">
        <v>2.9000000000000001E-2</v>
      </c>
      <c r="D14">
        <v>0.23899999999999999</v>
      </c>
      <c r="E14">
        <v>0.94399999999999995</v>
      </c>
      <c r="F14">
        <v>1.6839999999999999</v>
      </c>
      <c r="G14">
        <v>4.3289999999999997</v>
      </c>
      <c r="H14">
        <v>6.649</v>
      </c>
      <c r="I14">
        <v>9.0039999999999996</v>
      </c>
      <c r="J14">
        <v>10.579000000000001</v>
      </c>
      <c r="K14">
        <v>11.654</v>
      </c>
      <c r="L14">
        <v>12.294</v>
      </c>
      <c r="M14">
        <v>13.263999999999999</v>
      </c>
      <c r="N14">
        <v>14.339</v>
      </c>
      <c r="O14">
        <v>15.529</v>
      </c>
      <c r="P14">
        <v>17.068999999999999</v>
      </c>
      <c r="Q14">
        <v>18.669</v>
      </c>
      <c r="R14">
        <v>20.449000000000002</v>
      </c>
      <c r="S14">
        <v>22.559000000000001</v>
      </c>
      <c r="T14">
        <v>24.884</v>
      </c>
      <c r="U14">
        <v>27.119</v>
      </c>
      <c r="V14">
        <v>29.344000000000001</v>
      </c>
      <c r="W14">
        <v>31.693999999999999</v>
      </c>
      <c r="X14">
        <v>34.234000000000002</v>
      </c>
      <c r="Y14">
        <v>37.418999999999997</v>
      </c>
      <c r="Z14">
        <v>41.198999999999998</v>
      </c>
      <c r="AA14">
        <v>44.554000000000002</v>
      </c>
      <c r="AB14">
        <v>47.359000000000002</v>
      </c>
      <c r="AC14">
        <v>49.863999999999997</v>
      </c>
      <c r="AD14">
        <v>52.584000000000003</v>
      </c>
      <c r="AE14">
        <v>54.628999999999998</v>
      </c>
      <c r="AF14">
        <v>56.649000000000001</v>
      </c>
    </row>
    <row r="15" spans="1:32">
      <c r="A15" t="s">
        <v>4633</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row>
    <row r="16" spans="1:32">
      <c r="A16" t="s">
        <v>4634</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row>
    <row r="17" spans="1:32">
      <c r="A17" t="s">
        <v>4635</v>
      </c>
      <c r="B17">
        <v>1.76</v>
      </c>
      <c r="C17">
        <v>1.76</v>
      </c>
      <c r="D17">
        <v>1.83</v>
      </c>
      <c r="E17">
        <v>1.8859999999999999</v>
      </c>
      <c r="F17">
        <v>1.9419999999999999</v>
      </c>
      <c r="G17">
        <v>1.998</v>
      </c>
      <c r="H17">
        <v>2.0539999999999998</v>
      </c>
      <c r="I17">
        <v>2.0960000000000001</v>
      </c>
      <c r="J17">
        <v>2.1379999999999999</v>
      </c>
      <c r="K17">
        <v>2.1800000000000002</v>
      </c>
      <c r="L17">
        <v>2.2080000000000002</v>
      </c>
      <c r="M17">
        <v>2.2360000000000002</v>
      </c>
      <c r="N17">
        <v>2.2639999999999998</v>
      </c>
      <c r="O17">
        <v>2.2919999999999998</v>
      </c>
      <c r="P17">
        <v>2.3199999999999998</v>
      </c>
      <c r="Q17">
        <v>2.3479999999999999</v>
      </c>
      <c r="R17">
        <v>2.3759999999999999</v>
      </c>
      <c r="S17">
        <v>2.4039999999999999</v>
      </c>
      <c r="T17">
        <v>2.4319999999999999</v>
      </c>
      <c r="U17">
        <v>2.46</v>
      </c>
      <c r="V17">
        <v>2.4740000000000002</v>
      </c>
      <c r="W17">
        <v>2.488</v>
      </c>
      <c r="X17">
        <v>2.5019999999999998</v>
      </c>
      <c r="Y17">
        <v>2.516</v>
      </c>
      <c r="Z17">
        <v>2.5299999999999998</v>
      </c>
      <c r="AA17">
        <v>2.544</v>
      </c>
      <c r="AB17">
        <v>2.5579999999999998</v>
      </c>
      <c r="AC17">
        <v>2.5720000000000001</v>
      </c>
      <c r="AD17">
        <v>2.5859999999999999</v>
      </c>
      <c r="AE17">
        <v>2.6</v>
      </c>
      <c r="AF17">
        <v>2.6139999999999999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B26DC-2DF9-4EC3-9D3C-4BDE85A529E9}">
  <sheetPr codeName="Sheet6">
    <tabColor rgb="FFFFFF00"/>
  </sheetPr>
  <dimension ref="A1:N52"/>
  <sheetViews>
    <sheetView zoomScaleNormal="100" workbookViewId="0"/>
  </sheetViews>
  <sheetFormatPr baseColWidth="10" defaultColWidth="8.83203125" defaultRowHeight="15"/>
  <cols>
    <col min="1" max="1" width="80" customWidth="1"/>
    <col min="2" max="6" width="14.6640625" customWidth="1"/>
    <col min="7" max="7" width="14.6640625" style="15" customWidth="1"/>
    <col min="8" max="12" width="14.33203125" style="15" customWidth="1"/>
    <col min="13" max="13" width="15.33203125" customWidth="1"/>
    <col min="14" max="14" width="31" customWidth="1"/>
  </cols>
  <sheetData>
    <row r="1" spans="1:14" s="3" customFormat="1">
      <c r="A1" s="1" t="s">
        <v>65</v>
      </c>
      <c r="B1" s="451" t="s">
        <v>2</v>
      </c>
      <c r="C1" s="451" t="s">
        <v>263</v>
      </c>
      <c r="D1" s="451" t="s">
        <v>3841</v>
      </c>
      <c r="E1" s="451" t="s">
        <v>264</v>
      </c>
      <c r="F1" s="451" t="s">
        <v>265</v>
      </c>
      <c r="G1" s="1956" t="s">
        <v>41</v>
      </c>
      <c r="H1" s="451" t="s">
        <v>266</v>
      </c>
      <c r="I1" s="451" t="s">
        <v>267</v>
      </c>
      <c r="J1" s="451" t="s">
        <v>268</v>
      </c>
      <c r="K1" s="451" t="s">
        <v>269</v>
      </c>
      <c r="L1" s="1956" t="s">
        <v>270</v>
      </c>
      <c r="M1" s="1959" t="s">
        <v>271</v>
      </c>
      <c r="N1" s="451" t="s">
        <v>48</v>
      </c>
    </row>
    <row r="2" spans="1:14">
      <c r="G2" s="1957"/>
      <c r="L2" s="1957"/>
      <c r="M2" s="1960"/>
    </row>
    <row r="3" spans="1:14">
      <c r="A3" t="s">
        <v>272</v>
      </c>
      <c r="B3" s="455">
        <f>SUM('U.S. Energy Demand'!$E$5:$E$16)*'Unit Conversions'!$E$6</f>
        <v>2.8380960513957705</v>
      </c>
      <c r="C3" s="455">
        <f>SUM('China Energy Demand'!E5:E35)*10^4*'Unit Conversions'!E16*'Unit Conversions'!E10</f>
        <v>15.555550175704999</v>
      </c>
      <c r="D3" s="455">
        <f ca="1">SUM('EU Energy Demand'!E5:E15)*'Unit Conversions'!E4</f>
        <v>3.2041727712000005</v>
      </c>
      <c r="E3" s="455">
        <f>SUM('India Energy Demand'!$E$5:$E$12)*'Unit Conversions'!$E$3</f>
        <v>1.2028510785688662</v>
      </c>
      <c r="F3" s="455">
        <f>SUM('World Energy Demand'!$E$5:$E$13)</f>
        <v>33.39154822319918</v>
      </c>
      <c r="G3" s="1957" t="s">
        <v>43</v>
      </c>
      <c r="H3" s="15">
        <v>1</v>
      </c>
      <c r="I3" s="15">
        <v>24</v>
      </c>
      <c r="J3" s="15">
        <v>32</v>
      </c>
      <c r="K3" s="15">
        <v>22</v>
      </c>
      <c r="L3" s="1957">
        <v>36</v>
      </c>
      <c r="M3" s="1961">
        <f>INDEX($B3:$F3,MATCH('Scenario Controls'!$B$6,$B$1:$F$1,0))</f>
        <v>2.8380960513957705</v>
      </c>
    </row>
    <row r="4" spans="1:14">
      <c r="A4" t="s">
        <v>273</v>
      </c>
      <c r="B4" s="455">
        <f>SUM('U.S. Energy Demand'!$E$17:$E$19)*'Unit Conversions'!$E$6</f>
        <v>0.81154797452747562</v>
      </c>
      <c r="C4" s="455">
        <f>SUM('China Energy Demand'!E36:E38)*10^4*'Unit Conversions'!E16*'Unit Conversions'!E10</f>
        <v>1.9881960430950365</v>
      </c>
      <c r="D4" s="455">
        <f ca="1">SUM('EU Energy Demand'!E16:E18)*'Unit Conversions'!E4</f>
        <v>0.33599019960000009</v>
      </c>
      <c r="E4" s="455">
        <f>SUM('India Energy Demand'!$E$13:$E$14)*'Unit Conversions'!$E$3</f>
        <v>0.69948971653669489</v>
      </c>
      <c r="F4" s="455">
        <f>SUM('World Energy Demand'!$E$14:$E$16)</f>
        <v>3.1027467759</v>
      </c>
      <c r="G4" s="1957" t="s">
        <v>43</v>
      </c>
      <c r="H4" s="15">
        <v>1</v>
      </c>
      <c r="I4" s="15">
        <v>24</v>
      </c>
      <c r="J4" s="15">
        <v>32</v>
      </c>
      <c r="K4" s="15">
        <v>22</v>
      </c>
      <c r="L4" s="1957">
        <v>36</v>
      </c>
      <c r="M4" s="1961">
        <f>INDEX($B4:$F4,MATCH('Scenario Controls'!$B$6,$B$1:$F$1,0))</f>
        <v>0.81154797452747562</v>
      </c>
    </row>
    <row r="5" spans="1:14">
      <c r="A5" t="s">
        <v>274</v>
      </c>
      <c r="B5" s="455">
        <f>'U.S. Energy Demand'!E39*'Unit Conversions'!$E$8</f>
        <v>10.339994138086674</v>
      </c>
      <c r="C5" s="455">
        <f>SUM('China Energy Demand'!E51:E55)*10^4*'Unit Conversions'!E16*'Unit Conversions'!E10</f>
        <v>11.822220349634238</v>
      </c>
      <c r="D5" s="455">
        <f ca="1">SUM('EU Energy Demand'!E32:E33)*'Unit Conversions'!E4</f>
        <v>5.4274358519999994</v>
      </c>
      <c r="E5" s="455">
        <f>SUM('India Energy Demand'!$E$34:$E$37)*'Unit Conversions'!$E$3</f>
        <v>2.064464348212887</v>
      </c>
      <c r="F5" s="455">
        <f>SUM('World Energy Demand'!$E$29:$E$29)</f>
        <v>48.107688802597032</v>
      </c>
      <c r="G5" s="1957" t="s">
        <v>43</v>
      </c>
      <c r="H5" s="15">
        <v>1</v>
      </c>
      <c r="I5" s="15">
        <v>24</v>
      </c>
      <c r="J5" s="15">
        <v>32</v>
      </c>
      <c r="K5" s="15">
        <v>22</v>
      </c>
      <c r="L5" s="1957">
        <v>36</v>
      </c>
      <c r="M5" s="1961">
        <f>INDEX($B5:$F5,MATCH('Scenario Controls'!$B$6,$B$1:$F$1,0))</f>
        <v>10.339994138086674</v>
      </c>
    </row>
    <row r="6" spans="1:14">
      <c r="G6" s="1957"/>
      <c r="L6" s="1957"/>
      <c r="M6" s="1961"/>
    </row>
    <row r="7" spans="1:14">
      <c r="A7" t="s">
        <v>275</v>
      </c>
      <c r="B7" s="455">
        <f>SUM('U.S. Energy Demand'!$C$5:$C$16)*'Unit Conversions'!$E$6</f>
        <v>10.230443272905827</v>
      </c>
      <c r="C7" s="455">
        <f>SUM('China Energy Demand'!C5:C35)*10^4*'Unit Conversions'!E16*'Unit Conversions'!E10</f>
        <v>56.104978793457057</v>
      </c>
      <c r="D7" s="455">
        <f ca="1">SUM('EU Energy Demand'!C5:C15)*'Unit Conversions'!E4</f>
        <v>4.8858491736000005</v>
      </c>
      <c r="E7" s="455">
        <f>SUM('India Energy Demand'!$C$5:$C$12)*'Unit Conversions'!$E$3</f>
        <v>10.289388902221447</v>
      </c>
      <c r="F7" s="455">
        <f>SUM('World Energy Demand'!$C$5:$C$13)</f>
        <v>113.55510749245479</v>
      </c>
      <c r="G7" s="1957" t="s">
        <v>43</v>
      </c>
      <c r="H7" s="15">
        <v>1</v>
      </c>
      <c r="I7" s="15">
        <v>24</v>
      </c>
      <c r="J7" s="15">
        <v>32</v>
      </c>
      <c r="K7" s="15">
        <v>22</v>
      </c>
      <c r="L7" s="1957">
        <v>36</v>
      </c>
      <c r="M7" s="1961">
        <f>INDEX($B7:$F7,MATCH('Scenario Controls'!$B$6,$B$1:$F$1,0))</f>
        <v>10.230443272905827</v>
      </c>
    </row>
    <row r="8" spans="1:14">
      <c r="A8" t="s">
        <v>276</v>
      </c>
      <c r="B8" s="455">
        <f>SUM('U.S. Energy Demand'!$C$17:$C$19)*'Unit Conversions'!$E$6</f>
        <v>5.6829987875250554</v>
      </c>
      <c r="C8" s="455">
        <f>SUM('China Energy Demand'!C36:C38)*10^4*'Unit Conversions'!E16*'Unit Conversions'!E10</f>
        <v>7.312920738762549</v>
      </c>
      <c r="D8" s="455">
        <f ca="1">SUM('EU Energy Demand'!C16:C18)*'Unit Conversions'!E4</f>
        <v>1.2426621875999999</v>
      </c>
      <c r="E8" s="455">
        <f>SUM('India Energy Demand'!$C$13:$C$14)*'Unit Conversions'!$E$3</f>
        <v>0.79953278101583669</v>
      </c>
      <c r="F8" s="455">
        <f>SUM('World Energy Demand'!$C$14:$C$16)</f>
        <v>9.0508187489309968</v>
      </c>
      <c r="G8" s="1957" t="s">
        <v>43</v>
      </c>
      <c r="H8" s="15">
        <v>1</v>
      </c>
      <c r="I8" s="15">
        <v>24</v>
      </c>
      <c r="J8" s="15">
        <v>32</v>
      </c>
      <c r="K8" s="15">
        <v>22</v>
      </c>
      <c r="L8" s="1957">
        <v>36</v>
      </c>
      <c r="M8" s="1961">
        <f>INDEX($B8:$F8,MATCH('Scenario Controls'!$B$6,$B$1:$F$1,0))</f>
        <v>5.6829987875250554</v>
      </c>
    </row>
    <row r="9" spans="1:14">
      <c r="G9" s="1957"/>
      <c r="L9" s="1957"/>
      <c r="M9" s="1961"/>
    </row>
    <row r="10" spans="1:14">
      <c r="A10" t="s">
        <v>277</v>
      </c>
      <c r="B10" s="455">
        <f>'U.S. BAU Bioenergy Use'!B69*'Unit Conversions'!$E$6</f>
        <v>1.1870127189742867</v>
      </c>
      <c r="C10" s="455">
        <f>SUM('China Bioenergy Data'!H19:'China Bioenergy Data'!H21)*'Unit Conversions'!E21</f>
        <v>0.40388393663313288</v>
      </c>
      <c r="D10" s="455">
        <f ca="1">SUM('EU Energy Demand'!D5:D15)*'Unit Conversions'!E4</f>
        <v>0.95925200087781093</v>
      </c>
      <c r="E10" s="455">
        <f>SUM('India Energy Demand'!$D$5:$D$12)*'Unit Conversions'!$E$3</f>
        <v>0.68115367553572703</v>
      </c>
      <c r="F10" s="455">
        <f>SUM('World Energy Demand'!$D$5:$D$13)</f>
        <v>15.84644494349898</v>
      </c>
      <c r="G10" s="1957" t="s">
        <v>43</v>
      </c>
      <c r="H10" s="15">
        <v>35</v>
      </c>
      <c r="I10" s="15">
        <v>52</v>
      </c>
      <c r="J10" s="15">
        <v>32</v>
      </c>
      <c r="K10" s="15">
        <v>22</v>
      </c>
      <c r="L10" s="1957">
        <v>36</v>
      </c>
      <c r="M10" s="1961">
        <f>INDEX($B10:$F10,MATCH('Scenario Controls'!$B$6,$B$1:$F$1,0))</f>
        <v>1.1870127189742867</v>
      </c>
    </row>
    <row r="11" spans="1:14">
      <c r="A11" t="s">
        <v>278</v>
      </c>
      <c r="B11" s="455">
        <f>'U.S. BAU Bioenergy Use'!B70*'Unit Conversions'!$E$6</f>
        <v>4.2471097284401085E-2</v>
      </c>
      <c r="C11" s="455">
        <f>SUM('China Bioenergy Data'!H23:'China Bioenergy Data'!H25)*'Unit Conversions'!E21</f>
        <v>8.0917412695937899E-2</v>
      </c>
      <c r="D11" s="455">
        <f ca="1">SUM('EU Energy Demand'!D16:D18)*'Unit Conversions'!E4</f>
        <v>0.15651206232218925</v>
      </c>
      <c r="E11">
        <f>SUM('India Energy Demand'!$D$13:$D$14)*'Unit Conversions'!$E$3</f>
        <v>0</v>
      </c>
      <c r="F11" s="455">
        <f>SUM('World Energy Demand'!$D$14:$D$16)</f>
        <v>0.43676453803999998</v>
      </c>
      <c r="G11" s="1957" t="s">
        <v>43</v>
      </c>
      <c r="H11" s="15">
        <v>35</v>
      </c>
      <c r="I11" s="15">
        <v>52</v>
      </c>
      <c r="J11" s="15">
        <v>32</v>
      </c>
      <c r="K11" s="15">
        <v>22</v>
      </c>
      <c r="L11" s="1957">
        <v>36</v>
      </c>
      <c r="M11" s="1961">
        <f>INDEX($B11:$F11,MATCH('Scenario Controls'!$B$6,$B$1:$F$1,0))</f>
        <v>4.2471097284401085E-2</v>
      </c>
    </row>
    <row r="12" spans="1:14">
      <c r="A12" t="s">
        <v>4973</v>
      </c>
      <c r="B12" s="455">
        <f>'U.S. BAU Bioenergy Use'!B71*'Unit Conversions'!$E$6</f>
        <v>3.2144288779488424</v>
      </c>
      <c r="C12" s="455">
        <f>SUM('China Bioenergy Data'!H27:'China Bioenergy Data'!H29)*'Unit Conversions'!E21</f>
        <v>0.76569491419092928</v>
      </c>
      <c r="D12" s="455">
        <f ca="1">SUM('EU Energy Demand'!D32:D33)*'Unit Conversions'!E4</f>
        <v>0.84053812319999988</v>
      </c>
      <c r="E12" s="455">
        <f>SUM('India Energy Demand'!D34:D37)*'Unit Conversions'!$E$3</f>
        <v>0.18526043762303593</v>
      </c>
      <c r="F12" s="455">
        <f>SUM('World Energy Demand'!D29:D29)</f>
        <v>27.523500919869218</v>
      </c>
      <c r="G12" s="1957" t="s">
        <v>43</v>
      </c>
      <c r="H12" s="15">
        <v>35</v>
      </c>
      <c r="I12" s="15">
        <v>52</v>
      </c>
      <c r="J12" s="15">
        <v>32</v>
      </c>
      <c r="K12" s="15">
        <v>22</v>
      </c>
      <c r="L12" s="1957">
        <v>36</v>
      </c>
      <c r="M12" s="1961">
        <f>INDEX($B12:$F12,MATCH('Scenario Controls'!$B$6,$B$1:$F$1,0))</f>
        <v>3.2144288779488424</v>
      </c>
    </row>
    <row r="13" spans="1:14">
      <c r="G13" s="1957"/>
      <c r="L13" s="1957"/>
      <c r="M13" s="1961"/>
    </row>
    <row r="14" spans="1:14">
      <c r="A14" t="s">
        <v>5501</v>
      </c>
      <c r="B14">
        <v>0</v>
      </c>
      <c r="C14" s="455">
        <f>SUM('China Energy Demand'!F5:F35)*10^4*'Unit Conversions'!E16*'Unit Conversions'!E10</f>
        <v>4.8905676838546519</v>
      </c>
      <c r="D14" s="455">
        <f ca="1">SUM('EU Energy Demand'!F5:F15)*'Unit Conversions'!$E$4</f>
        <v>0.61287357960000011</v>
      </c>
      <c r="E14">
        <v>0</v>
      </c>
      <c r="F14" s="455">
        <f>SUM('World Energy Demand'!F5:F13)</f>
        <v>6.0052096581999894</v>
      </c>
      <c r="G14" s="1957" t="s">
        <v>43</v>
      </c>
      <c r="H14" s="15">
        <v>1</v>
      </c>
      <c r="I14" s="15">
        <v>24</v>
      </c>
      <c r="J14" s="15">
        <v>32</v>
      </c>
      <c r="K14" s="15">
        <v>22</v>
      </c>
      <c r="L14" s="1957">
        <v>36</v>
      </c>
      <c r="M14" s="1961">
        <f>INDEX($B14:$F14,MATCH('Scenario Controls'!$B$6,$B$1:$F$1,0))</f>
        <v>0</v>
      </c>
    </row>
    <row r="15" spans="1:14">
      <c r="A15" t="s">
        <v>5502</v>
      </c>
      <c r="B15">
        <v>0</v>
      </c>
      <c r="C15" s="455">
        <f>SUM('China Energy Demand'!F36:F38)*10^4*'Unit Conversions'!E16*'Unit Conversions'!E10</f>
        <v>7.6379582297411097E-2</v>
      </c>
      <c r="D15" s="455">
        <f ca="1">SUM('EU Energy Demand'!F16:F18)*'Unit Conversions'!$E$4</f>
        <v>1.9440964799999998E-2</v>
      </c>
      <c r="E15">
        <v>0</v>
      </c>
      <c r="F15" s="455">
        <f>SUM('World Energy Demand'!F14:F16)</f>
        <v>0.22467104189999992</v>
      </c>
      <c r="G15" s="1957" t="s">
        <v>43</v>
      </c>
      <c r="H15" s="15">
        <v>1</v>
      </c>
      <c r="I15" s="15">
        <v>24</v>
      </c>
      <c r="J15" s="15">
        <v>32</v>
      </c>
      <c r="K15" s="15">
        <v>22</v>
      </c>
      <c r="L15" s="1957">
        <v>36</v>
      </c>
      <c r="M15" s="1961">
        <f>INDEX($B15:$F15,MATCH('Scenario Controls'!$B$6,$B$1:$F$1,0))</f>
        <v>0</v>
      </c>
    </row>
    <row r="16" spans="1:14">
      <c r="G16" s="1957"/>
      <c r="L16" s="1957"/>
      <c r="M16" s="1961"/>
    </row>
    <row r="17" spans="1:14">
      <c r="A17" t="s">
        <v>279</v>
      </c>
      <c r="B17" s="455">
        <v>0</v>
      </c>
      <c r="C17" s="455">
        <f>'China Energy Demand'!C42*'Unit Conversions'!$E$6</f>
        <v>1.1369748518009981</v>
      </c>
      <c r="D17" s="455">
        <f ca="1">'EU Energy Demand'!C22*'Unit Conversions'!E4</f>
        <v>2.620309881727631E-2</v>
      </c>
      <c r="E17">
        <v>0</v>
      </c>
      <c r="F17" s="455">
        <f>'World Energy Demand'!C20</f>
        <v>0.1362493659</v>
      </c>
      <c r="G17" s="1957" t="s">
        <v>43</v>
      </c>
      <c r="H17" s="15">
        <v>1</v>
      </c>
      <c r="I17" s="15">
        <v>25</v>
      </c>
      <c r="J17" s="15">
        <v>32</v>
      </c>
      <c r="K17" s="15">
        <v>22</v>
      </c>
      <c r="L17" s="1957">
        <v>36</v>
      </c>
      <c r="M17" s="1961">
        <f>INDEX($B17:$F17,MATCH('Scenario Controls'!$B$6,$B$1:$F$1,0))</f>
        <v>0</v>
      </c>
    </row>
    <row r="18" spans="1:14">
      <c r="A18" t="s">
        <v>280</v>
      </c>
      <c r="B18" s="455">
        <f>'U.S. Energy Demand'!$C$25*'Unit Conversions'!$E$6</f>
        <v>1.1670019626226005</v>
      </c>
      <c r="C18" s="455">
        <f>'China Energy Demand'!C43*'Unit Conversions'!$E$6</f>
        <v>0.44557399167388856</v>
      </c>
      <c r="D18" s="455">
        <f ca="1">'EU Energy Demand'!C25*'Unit Conversions'!E4</f>
        <v>0.58398997340834047</v>
      </c>
      <c r="E18" s="455">
        <f>SUM('India Energy Demand'!C18,'India Energy Demand'!C20:C22)*'Unit Conversions'!$E$3</f>
        <v>1.3749451200000002</v>
      </c>
      <c r="F18" s="455">
        <f>'World Energy Demand'!C21</f>
        <v>5.3108185929999996</v>
      </c>
      <c r="G18" s="1957" t="s">
        <v>43</v>
      </c>
      <c r="H18" s="15">
        <v>1</v>
      </c>
      <c r="I18" s="15">
        <v>25</v>
      </c>
      <c r="J18" s="15">
        <v>32</v>
      </c>
      <c r="K18" s="15">
        <v>22</v>
      </c>
      <c r="L18" s="1957">
        <v>36</v>
      </c>
      <c r="M18" s="1961">
        <f>INDEX($B18:$F18,MATCH('Scenario Controls'!$B$6,$B$1:$F$1,0))</f>
        <v>1.1670019626226005</v>
      </c>
    </row>
    <row r="19" spans="1:14">
      <c r="A19" t="s">
        <v>4863</v>
      </c>
      <c r="B19" s="455">
        <f>'U.S. Energy Demand'!$C$23*'Unit Conversions'!$E$6</f>
        <v>3.8704875875356901</v>
      </c>
      <c r="C19" s="455">
        <f>'China Energy Demand'!C44*'Unit Conversions'!$E$6</f>
        <v>2.6346536143084704</v>
      </c>
      <c r="D19" s="455">
        <f ca="1">'EU Energy Demand'!C23*'Unit Conversions'!E4</f>
        <v>0.45781748410877871</v>
      </c>
      <c r="E19" s="455">
        <v>0</v>
      </c>
      <c r="F19" s="455">
        <f>'World Energy Demand'!C22</f>
        <v>0</v>
      </c>
      <c r="G19" s="1957" t="s">
        <v>43</v>
      </c>
      <c r="H19" s="15">
        <v>1</v>
      </c>
      <c r="I19" s="15">
        <v>25</v>
      </c>
      <c r="J19" s="15">
        <v>32</v>
      </c>
      <c r="K19" s="15">
        <v>22</v>
      </c>
      <c r="L19" s="1957">
        <v>36</v>
      </c>
      <c r="M19" s="1961">
        <f>INDEX($B19:$F19,MATCH('Scenario Controls'!$B$6,$B$1:$F$1,0))</f>
        <v>3.8704875875356901</v>
      </c>
    </row>
    <row r="20" spans="1:14">
      <c r="A20" t="s">
        <v>282</v>
      </c>
      <c r="B20" s="455">
        <f>'U.S. Energy Demand'!$C$24*'Unit Conversions'!$E$6</f>
        <v>0.55316613903116374</v>
      </c>
      <c r="C20" s="455">
        <f>'China Energy Demand'!C45*'Unit Conversions'!$E$6</f>
        <v>0.71522516984883311</v>
      </c>
      <c r="D20" s="455">
        <f ca="1">'EU Energy Demand'!C24*'Unit Conversions'!E4</f>
        <v>1.9478210218275838</v>
      </c>
      <c r="E20" s="455">
        <f>'India Energy Demand'!C23*'Unit Conversions'!$E$3</f>
        <v>0.46193137406489049</v>
      </c>
      <c r="F20" s="455">
        <f>'World Energy Demand'!C23</f>
        <v>18.600763992089998</v>
      </c>
      <c r="G20" s="1957" t="s">
        <v>43</v>
      </c>
      <c r="H20" s="15">
        <v>1</v>
      </c>
      <c r="I20" s="15">
        <v>25</v>
      </c>
      <c r="J20" s="15">
        <v>32</v>
      </c>
      <c r="K20" s="15">
        <v>22</v>
      </c>
      <c r="L20" s="1957">
        <v>36</v>
      </c>
      <c r="M20" s="1961">
        <f>INDEX($B20:$F20,MATCH('Scenario Controls'!$B$6,$B$1:$F$1,0))</f>
        <v>0.55316613903116374</v>
      </c>
    </row>
    <row r="21" spans="1:14">
      <c r="B21" s="455"/>
      <c r="G21" s="1957"/>
      <c r="L21" s="1957"/>
      <c r="M21" s="1961"/>
    </row>
    <row r="22" spans="1:14">
      <c r="A22" t="s">
        <v>283</v>
      </c>
      <c r="B22" s="455">
        <f>'U.S. Energy Demand'!$C$26*'Unit Conversions'!$E$6</f>
        <v>0.41103895133788992</v>
      </c>
      <c r="C22" s="455">
        <f>'China Energy Demand'!C47*10^4*'Unit Conversions'!E16*'Unit Conversions'!E10</f>
        <v>11.109065291940693</v>
      </c>
      <c r="D22" s="455">
        <f ca="1">'EU Energy Demand'!C27*'Unit Conversions'!E4</f>
        <v>5.1246831600019603E-2</v>
      </c>
      <c r="E22" s="455">
        <f>'India Energy Demand'!C30</f>
        <v>3.0251802081258621</v>
      </c>
      <c r="F22" s="455">
        <f>'World Energy Demand'!C25</f>
        <v>16.822407499439159</v>
      </c>
      <c r="G22" s="1957" t="s">
        <v>43</v>
      </c>
      <c r="H22" s="15">
        <v>1</v>
      </c>
      <c r="I22" s="15">
        <v>24</v>
      </c>
      <c r="J22" s="15">
        <v>32</v>
      </c>
      <c r="K22" s="15">
        <v>22</v>
      </c>
      <c r="L22" s="1957">
        <v>36</v>
      </c>
      <c r="M22" s="1961">
        <f>INDEX($B22:$F22,MATCH('Scenario Controls'!$B$6,$B$1:$F$1,0))</f>
        <v>0.41103895133788992</v>
      </c>
    </row>
    <row r="23" spans="1:14">
      <c r="G23" s="1957"/>
      <c r="L23" s="1957"/>
      <c r="M23" s="1960"/>
    </row>
    <row r="24" spans="1:14">
      <c r="A24" t="s">
        <v>5908</v>
      </c>
      <c r="B24" s="1952">
        <f>SUM('MECS T5.2'!E25:I28)/SUM('MECS T5.2'!E24:I28,'MECS T5.2'!E20:I20)</f>
        <v>8.5835560446470685E-2</v>
      </c>
      <c r="C24" s="462">
        <f>'Heat by Temperature Range'!H85</f>
        <v>0.12712768949618264</v>
      </c>
      <c r="D24" s="462">
        <f ca="1">'Heat by Temperature Range'!H126</f>
        <v>0.11842265336013172</v>
      </c>
      <c r="E24" s="462">
        <f>'Heat by Temperature Range'!H104</f>
        <v>0.15139353265621169</v>
      </c>
      <c r="F24" s="462">
        <f>'Heat by Temperature Range'!H146</f>
        <v>0.14773658951727789</v>
      </c>
      <c r="G24" s="1957" t="s">
        <v>61</v>
      </c>
      <c r="H24" s="15">
        <v>2</v>
      </c>
      <c r="I24" s="15" t="s">
        <v>284</v>
      </c>
      <c r="J24" s="15" t="s">
        <v>285</v>
      </c>
      <c r="K24" s="15" t="s">
        <v>286</v>
      </c>
      <c r="L24" s="1957" t="s">
        <v>287</v>
      </c>
      <c r="M24" s="1962">
        <f>INDEX($B24:$F24,MATCH('Scenario Controls'!$B$6,$B$1:$F$1,0))</f>
        <v>8.5835560446470685E-2</v>
      </c>
    </row>
    <row r="25" spans="1:14">
      <c r="A25" t="s">
        <v>5909</v>
      </c>
      <c r="B25" s="1952">
        <f>(1-B24)*'Heat by Temperature Range'!D45</f>
        <v>0.25380442694415783</v>
      </c>
      <c r="C25" s="1952">
        <f>(1-C24)*'Heat by Temperature Range'!D87</f>
        <v>0.14505336012694359</v>
      </c>
      <c r="D25" s="1952">
        <f ca="1">(1-D24)*'Heat by Temperature Range'!D128</f>
        <v>0.20553467308318504</v>
      </c>
      <c r="E25" s="1952">
        <f>(1-E24)*'Heat by Temperature Range'!D106</f>
        <v>0.17991541496780214</v>
      </c>
      <c r="F25" s="1967">
        <f>(1-F24)*'Heat by Temperature Range'!D148</f>
        <v>0.20363618316415896</v>
      </c>
      <c r="G25" s="1957" t="s">
        <v>61</v>
      </c>
      <c r="H25" s="15" t="s">
        <v>288</v>
      </c>
      <c r="I25" s="15" t="s">
        <v>284</v>
      </c>
      <c r="J25" s="15" t="s">
        <v>285</v>
      </c>
      <c r="K25" s="15" t="s">
        <v>286</v>
      </c>
      <c r="L25" s="1957" t="s">
        <v>287</v>
      </c>
      <c r="M25" s="1962">
        <f>INDEX($B25:$F25,MATCH('Scenario Controls'!$B$6,$B$1:$F$1,0))</f>
        <v>0.25380442694415783</v>
      </c>
    </row>
    <row r="26" spans="1:14">
      <c r="A26" t="s">
        <v>5910</v>
      </c>
      <c r="B26" s="1952">
        <f>(1-B24)*'Heat by Temperature Range'!E45</f>
        <v>0.66036001260937149</v>
      </c>
      <c r="C26" s="1952">
        <f>(1-C24)*'Heat by Temperature Range'!E87</f>
        <v>0.72781895037687383</v>
      </c>
      <c r="D26" s="1952">
        <f ca="1">(1-D24)*'Heat by Temperature Range'!E128</f>
        <v>0.67604267355668324</v>
      </c>
      <c r="E26" s="1952">
        <f>(1-E24)*'Heat by Temperature Range'!E106</f>
        <v>0.66869105237598614</v>
      </c>
      <c r="F26" s="1967">
        <f>(1-F24)*'Heat by Temperature Range'!E148</f>
        <v>0.64862722731856315</v>
      </c>
      <c r="G26" s="1957" t="s">
        <v>61</v>
      </c>
      <c r="H26" s="15" t="s">
        <v>288</v>
      </c>
      <c r="I26" s="15" t="s">
        <v>284</v>
      </c>
      <c r="J26" s="15" t="s">
        <v>285</v>
      </c>
      <c r="K26" s="15" t="s">
        <v>286</v>
      </c>
      <c r="L26" s="1957" t="s">
        <v>287</v>
      </c>
      <c r="M26" s="1962">
        <f>INDEX($B26:$F26,MATCH('Scenario Controls'!$B$6,$B$1:$F$1,0))</f>
        <v>0.66036001260937149</v>
      </c>
    </row>
    <row r="27" spans="1:14">
      <c r="G27" s="1957"/>
      <c r="L27" s="1957"/>
      <c r="M27" s="1960"/>
    </row>
    <row r="28" spans="1:14">
      <c r="A28" t="s">
        <v>5535</v>
      </c>
      <c r="B28" s="455">
        <f>SUM('U.S. Process CO2 Emissions'!C48:C49,'U.S. Process CO2 Emissions'!C60)</f>
        <v>49.384124335116034</v>
      </c>
      <c r="C28">
        <f>SUMIFS('PRIMAP Process CO2 Emissions'!$I$26:$I$111,'PRIMAP Process CO2 Emissions'!$C$26:$C$111,"CHN",'PRIMAP Process CO2 Emissions'!$F$26:$F$111,"2.B")*'Unit Conversions'!$E$29</f>
        <v>161</v>
      </c>
      <c r="D28">
        <f>SUMIFS('PRIMAP Process CO2 Emissions'!$I$26:$I$111,'PRIMAP Process CO2 Emissions'!$C$26:$C$111,"EU27BX",'PRIMAP Process CO2 Emissions'!$F$26:$F$111,"2.B")*'Unit Conversions'!$E$29</f>
        <v>45.6</v>
      </c>
      <c r="E28">
        <f>SUMIFS('PRIMAP Process CO2 Emissions'!$I$26:$I$111,'PRIMAP Process CO2 Emissions'!$C$26:$C$111,"IND",'PRIMAP Process CO2 Emissions'!$F$26:$F$111,"2.B")*'Unit Conversions'!$E$29</f>
        <v>23.900000000000002</v>
      </c>
      <c r="F28">
        <f>SUMIFS('PRIMAP Process CO2 Emissions'!$I$26:$I$111,'PRIMAP Process CO2 Emissions'!$C$26:$C$111,"EARTH",'PRIMAP Process CO2 Emissions'!$F$26:$F$111,"2.B")*'Unit Conversions'!$E$29</f>
        <v>559</v>
      </c>
      <c r="G28" s="1957" t="s">
        <v>64</v>
      </c>
      <c r="H28" s="15">
        <v>8</v>
      </c>
      <c r="I28" s="15">
        <v>27</v>
      </c>
      <c r="J28" s="15">
        <v>27</v>
      </c>
      <c r="K28" s="15">
        <v>27</v>
      </c>
      <c r="L28" s="1957">
        <v>27</v>
      </c>
      <c r="M28" s="2000">
        <f>INDEX($B28:$F28,MATCH('Scenario Controls'!$B$6,$B$1:$F$1,0))</f>
        <v>49.384124335116034</v>
      </c>
    </row>
    <row r="29" spans="1:14">
      <c r="A29" t="s">
        <v>5534</v>
      </c>
      <c r="B29" s="455">
        <f>SUM('U.S. Process CO2 Emissions'!C47,'U.S. Process CO2 Emissions'!C50:C51,'U.S. Process CO2 Emissions'!C54:C55)</f>
        <v>68.413910865068146</v>
      </c>
      <c r="C29">
        <f>SUMIFS('PRIMAP Process CO2 Emissions'!$I$26:$I$111,'PRIMAP Process CO2 Emissions'!$C$26:$C$111,"CHN",'PRIMAP Process CO2 Emissions'!$F$26:$F$111,"2.A")*'Unit Conversions'!$E$29</f>
        <v>897</v>
      </c>
      <c r="D29">
        <f>SUMIFS('PRIMAP Process CO2 Emissions'!$I$26:$I$111,'PRIMAP Process CO2 Emissions'!$C$26:$C$111,"EU27BX",'PRIMAP Process CO2 Emissions'!$F$26:$F$111,"2.A")*'Unit Conversions'!$E$29</f>
        <v>103</v>
      </c>
      <c r="E29">
        <f>SUMIFS('PRIMAP Process CO2 Emissions'!$I$26:$I$111,'PRIMAP Process CO2 Emissions'!$C$26:$C$111,"IND",'PRIMAP Process CO2 Emissions'!$F$26:$F$111,"2.A")*'Unit Conversions'!$E$29</f>
        <v>181</v>
      </c>
      <c r="F29">
        <f>SUMIFS('PRIMAP Process CO2 Emissions'!$I$26:$I$111,'PRIMAP Process CO2 Emissions'!$C$26:$C$111,"EARTH",'PRIMAP Process CO2 Emissions'!$F$26:$F$111,"2.A")*'Unit Conversions'!$E$29</f>
        <v>1920</v>
      </c>
      <c r="G29" s="1957" t="s">
        <v>64</v>
      </c>
      <c r="H29" s="15">
        <v>8</v>
      </c>
      <c r="I29" s="15">
        <v>27</v>
      </c>
      <c r="J29" s="15">
        <v>27</v>
      </c>
      <c r="K29" s="15">
        <v>27</v>
      </c>
      <c r="L29" s="1957">
        <v>27</v>
      </c>
      <c r="M29" s="2000">
        <f>INDEX($B29:$F29,MATCH('Scenario Controls'!$B$6,$B$1:$F$1,0))</f>
        <v>68.413910865068146</v>
      </c>
    </row>
    <row r="30" spans="1:14">
      <c r="A30" t="s">
        <v>5533</v>
      </c>
      <c r="B30" s="455">
        <f>SUM('U.S. Process CO2 Emissions'!C46,'U.S. Process CO2 Emissions'!C56:C59,'U.S. Process CO2 Emissions'!C61:C62)</f>
        <v>49.52734834967977</v>
      </c>
      <c r="C30">
        <f>SUMIFS('PRIMAP Process CO2 Emissions'!$I$26:$I$111,'PRIMAP Process CO2 Emissions'!$C$26:$C$111,"CHN",'PRIMAP Process CO2 Emissions'!$F$26:$F$111,"2.C")*'Unit Conversions'!$E$29</f>
        <v>305</v>
      </c>
      <c r="D30">
        <f>SUMIFS('PRIMAP Process CO2 Emissions'!$I$26:$I$111,'PRIMAP Process CO2 Emissions'!$C$26:$C$111,"EU27BX",'PRIMAP Process CO2 Emissions'!$F$26:$F$111,"2.C")*'Unit Conversions'!$E$29</f>
        <v>70.400000000000006</v>
      </c>
      <c r="E30">
        <f>SUMIFS('PRIMAP Process CO2 Emissions'!$I$26:$I$111,'PRIMAP Process CO2 Emissions'!$C$26:$C$111,"IND",'PRIMAP Process CO2 Emissions'!$F$26:$F$111,"2.C")*'Unit Conversions'!$E$29</f>
        <v>7.72</v>
      </c>
      <c r="F30">
        <f>SUMIFS('PRIMAP Process CO2 Emissions'!$I$26:$I$111,'PRIMAP Process CO2 Emissions'!$C$26:$C$111,"EARTH",'PRIMAP Process CO2 Emissions'!$F$26:$F$111,"2.C")*'Unit Conversions'!$E$29</f>
        <v>842</v>
      </c>
      <c r="G30" s="1957" t="s">
        <v>64</v>
      </c>
      <c r="H30" s="15">
        <v>8</v>
      </c>
      <c r="I30" s="15">
        <v>27</v>
      </c>
      <c r="J30" s="15">
        <v>27</v>
      </c>
      <c r="K30" s="15">
        <v>27</v>
      </c>
      <c r="L30" s="1957">
        <v>27</v>
      </c>
      <c r="M30" s="2000">
        <f>INDEX($B30:$F30,MATCH('Scenario Controls'!$B$6,$B$1:$F$1,0))</f>
        <v>49.52734834967977</v>
      </c>
    </row>
    <row r="31" spans="1:14">
      <c r="G31" s="1957"/>
      <c r="L31" s="1957"/>
      <c r="M31" s="1960"/>
    </row>
    <row r="32" spans="1:14">
      <c r="A32" t="s">
        <v>289</v>
      </c>
      <c r="B32">
        <v>10</v>
      </c>
      <c r="C32" s="1953">
        <f>'BAU H2 Estimates'!C22</f>
        <v>15.197265270094228</v>
      </c>
      <c r="D32" s="1953">
        <f>'BAU H2 Estimates'!C23</f>
        <v>8.8782262899677455</v>
      </c>
      <c r="E32" s="1954">
        <f>'BAU H2 Estimates'!C24</f>
        <v>3.0988348534327326</v>
      </c>
      <c r="F32">
        <f>38+31+4</f>
        <v>73</v>
      </c>
      <c r="G32" s="1957" t="s">
        <v>55</v>
      </c>
      <c r="H32" s="15">
        <v>14</v>
      </c>
      <c r="I32" s="15" t="s">
        <v>4746</v>
      </c>
      <c r="J32" s="15" t="s">
        <v>4746</v>
      </c>
      <c r="K32" s="15" t="s">
        <v>4746</v>
      </c>
      <c r="L32" s="1957">
        <v>15</v>
      </c>
      <c r="M32" s="2000">
        <f>INDEX($B32:$F32,MATCH('Scenario Controls'!$B$6,$B$1:$F$1,0))</f>
        <v>10</v>
      </c>
      <c r="N32" t="s">
        <v>5964</v>
      </c>
    </row>
    <row r="33" spans="1:14">
      <c r="G33" s="1957"/>
      <c r="L33" s="1957"/>
      <c r="M33" s="1960"/>
    </row>
    <row r="34" spans="1:14">
      <c r="A34" t="s">
        <v>4893</v>
      </c>
      <c r="B34">
        <f>'Region-Independent Data'!$B$31</f>
        <v>12</v>
      </c>
      <c r="C34">
        <f>'Region-Independent Data'!$B$32</f>
        <v>19</v>
      </c>
      <c r="D34">
        <f>'Region-Independent Data'!$B$31</f>
        <v>12</v>
      </c>
      <c r="E34">
        <f>'Region-Independent Data'!$B$31</f>
        <v>12</v>
      </c>
      <c r="F34">
        <f>(0.76*'Region-Independent Data'!$B$31)+(0.22*'Region-Independent Data'!$B$32)</f>
        <v>13.3</v>
      </c>
      <c r="G34" s="1957" t="s">
        <v>4885</v>
      </c>
      <c r="H34" s="15">
        <v>41</v>
      </c>
      <c r="I34" s="15">
        <v>41</v>
      </c>
      <c r="J34" s="15">
        <v>41</v>
      </c>
      <c r="K34" s="15" t="s">
        <v>4894</v>
      </c>
      <c r="L34" s="1957" t="s">
        <v>4903</v>
      </c>
      <c r="M34" s="1963">
        <f>INDEX($B34:$F34,MATCH('Scenario Controls'!$B$6,$B$1:$F$1,0))</f>
        <v>12</v>
      </c>
    </row>
    <row r="35" spans="1:14">
      <c r="G35" s="1957"/>
      <c r="L35" s="1957"/>
      <c r="M35" s="1960"/>
    </row>
    <row r="36" spans="1:14">
      <c r="A36" t="s">
        <v>290</v>
      </c>
      <c r="B36" s="11">
        <f>SUM('U.S. Electrolyzer Installations'!F4:F6)/10^3</f>
        <v>67.08</v>
      </c>
      <c r="C36">
        <v>220</v>
      </c>
      <c r="D36">
        <f>135+80</f>
        <v>215</v>
      </c>
      <c r="E36">
        <v>0</v>
      </c>
      <c r="F36">
        <v>687</v>
      </c>
      <c r="G36" s="1957" t="s">
        <v>291</v>
      </c>
      <c r="H36" s="15">
        <v>16</v>
      </c>
      <c r="I36" s="15">
        <v>26</v>
      </c>
      <c r="J36" s="15" t="s">
        <v>292</v>
      </c>
      <c r="K36" s="15">
        <v>37</v>
      </c>
      <c r="L36" s="1957">
        <v>26</v>
      </c>
      <c r="M36" s="1964">
        <f>INDEX($B36:$F36,MATCH('Scenario Controls'!$B$6,$B$1:$F$1,0))</f>
        <v>67.08</v>
      </c>
    </row>
    <row r="37" spans="1:14">
      <c r="G37" s="1957"/>
      <c r="L37" s="1957"/>
      <c r="M37" s="1960"/>
    </row>
    <row r="38" spans="1:14">
      <c r="A38" t="s">
        <v>4970</v>
      </c>
      <c r="B38" s="11">
        <f>'Arable &amp; Ag Land by Country'!I265/10^6</f>
        <v>405.81035380000003</v>
      </c>
      <c r="C38" s="11">
        <f>'Arable &amp; Ag Land by Country'!I54/10^6</f>
        <v>520.69500000000005</v>
      </c>
      <c r="D38" s="11">
        <f>SUMPRODUCT('Arable &amp; Ag Land by Country'!I14:I279,'Arable &amp; Ag Land by Country'!J14:J279)/10^6</f>
        <v>162.90775289999996</v>
      </c>
      <c r="E38" s="11">
        <f>'Arable &amp; Ag Land by Country'!I123/10^6</f>
        <v>178.52794800000001</v>
      </c>
      <c r="F38" s="11">
        <f>'Arable &amp; Ag Land by Country'!I273/10^6</f>
        <v>4781.2049113000003</v>
      </c>
      <c r="G38" s="1957" t="s">
        <v>60</v>
      </c>
      <c r="H38" s="15">
        <v>18</v>
      </c>
      <c r="I38" s="15">
        <v>18</v>
      </c>
      <c r="J38" s="15">
        <v>18</v>
      </c>
      <c r="K38" s="15">
        <v>18</v>
      </c>
      <c r="L38" s="1957">
        <v>18</v>
      </c>
      <c r="M38" s="1964">
        <f>INDEX($B38:$F38,MATCH('Scenario Controls'!$B$6,$B$1:$F$1,0))</f>
        <v>405.81035380000003</v>
      </c>
      <c r="N38" t="s">
        <v>4971</v>
      </c>
    </row>
    <row r="39" spans="1:14">
      <c r="G39" s="1957"/>
      <c r="L39" s="1957"/>
      <c r="M39" s="1960"/>
    </row>
    <row r="40" spans="1:14">
      <c r="A40" t="s">
        <v>63</v>
      </c>
      <c r="B40" s="11">
        <v>775.6</v>
      </c>
      <c r="C40" s="11">
        <v>2887.53</v>
      </c>
      <c r="D40" s="11">
        <f>'JRC-IDEES Ind_Summary_emi'!W5/10^3</f>
        <v>600.53861450959414</v>
      </c>
      <c r="E40" s="11">
        <f>'IESS v3.0 XI'!I1166</f>
        <v>961.46176955532155</v>
      </c>
      <c r="F40">
        <v>6160</v>
      </c>
      <c r="G40" s="1957" t="s">
        <v>64</v>
      </c>
      <c r="H40" s="15">
        <v>8</v>
      </c>
      <c r="I40" s="15">
        <v>31</v>
      </c>
      <c r="J40" s="15">
        <v>32</v>
      </c>
      <c r="K40" s="15">
        <v>22</v>
      </c>
      <c r="L40" s="1957">
        <v>31</v>
      </c>
      <c r="M40" s="1964">
        <f>INDEX($B40:$F40,MATCH('Scenario Controls'!$B$6,$B$1:$F$1,0))</f>
        <v>775.6</v>
      </c>
    </row>
    <row r="41" spans="1:14">
      <c r="G41" s="1957"/>
      <c r="L41" s="1957"/>
      <c r="M41" s="1960"/>
    </row>
    <row r="42" spans="1:14">
      <c r="A42" t="s">
        <v>293</v>
      </c>
      <c r="B42" s="7">
        <f>'AEO T16'!C23</f>
        <v>143.965576</v>
      </c>
      <c r="C42" s="7">
        <f>'EPS China IGDP Capacity'!$E$6</f>
        <v>269.38</v>
      </c>
      <c r="D42" s="7">
        <f>'EPS EU Capacity'!$D$6</f>
        <v>124.774</v>
      </c>
      <c r="E42" s="7">
        <f>'IESS v3.0 Intermediate Output'!BC154</f>
        <v>40.36</v>
      </c>
      <c r="F42" s="7">
        <v>774.2</v>
      </c>
      <c r="G42" s="1957" t="s">
        <v>58</v>
      </c>
      <c r="H42" s="15">
        <v>1</v>
      </c>
      <c r="I42" s="15">
        <v>24</v>
      </c>
      <c r="J42" s="15">
        <v>28</v>
      </c>
      <c r="K42" s="15">
        <v>22</v>
      </c>
      <c r="L42" s="1957">
        <v>33</v>
      </c>
      <c r="M42" s="1965">
        <f>INDEX($B42:$F42,MATCH('Scenario Controls'!$B$6,$B$1:$F$1,0))</f>
        <v>143.965576</v>
      </c>
    </row>
    <row r="43" spans="1:14">
      <c r="A43" t="s">
        <v>294</v>
      </c>
      <c r="B43" s="7">
        <f>'AEO T16'!C24</f>
        <v>0.46200000000000002</v>
      </c>
      <c r="C43" s="7">
        <f>'EPS China IGDP Capacity'!$E$14</f>
        <v>3.63</v>
      </c>
      <c r="D43" s="7">
        <f>'EPS EU Capacity'!$D$14</f>
        <v>0.23899999999999999</v>
      </c>
      <c r="E43">
        <f>'IESS v3.0 Intermediate Output'!BC155</f>
        <v>0</v>
      </c>
      <c r="F43" s="7">
        <v>54.2</v>
      </c>
      <c r="G43" s="1957" t="s">
        <v>58</v>
      </c>
      <c r="H43" s="15">
        <v>1</v>
      </c>
      <c r="I43" s="15">
        <v>24</v>
      </c>
      <c r="J43" s="15">
        <v>28</v>
      </c>
      <c r="K43" s="15">
        <v>22</v>
      </c>
      <c r="L43" s="1957">
        <v>33</v>
      </c>
      <c r="M43" s="1965">
        <f>INDEX($B43:$F43,MATCH('Scenario Controls'!$B$6,$B$1:$F$1,0))</f>
        <v>0.46200000000000002</v>
      </c>
    </row>
    <row r="44" spans="1:14">
      <c r="A44" t="s">
        <v>295</v>
      </c>
      <c r="B44" s="7">
        <f>SUM('AEO T16'!C21:C22)</f>
        <v>76.461224000000001</v>
      </c>
      <c r="C44" s="7">
        <f>'EPS China IGDP Capacity'!$E$7+'EPS China IGDP Capacity'!$E$8</f>
        <v>170.93199999999999</v>
      </c>
      <c r="D44" s="7">
        <f>'EPS EU Capacity'!$D$7+'EPS EU Capacity'!$D$8</f>
        <v>52.153000000000006</v>
      </c>
      <c r="E44" s="7">
        <f>('IESS v3.0 Intermediate Output'!BC152)+'IESS v3.0 Intermediate Output'!BC153+'IESS v3.0 Intermediate Output'!BC157</f>
        <v>54.380369999999999</v>
      </c>
      <c r="F44" s="7">
        <v>853</v>
      </c>
      <c r="G44" s="1957" t="s">
        <v>58</v>
      </c>
      <c r="H44" s="15">
        <v>1</v>
      </c>
      <c r="I44" s="15">
        <v>24</v>
      </c>
      <c r="J44" s="15">
        <v>28</v>
      </c>
      <c r="K44" s="15">
        <v>22</v>
      </c>
      <c r="L44" s="1957">
        <v>34</v>
      </c>
      <c r="M44" s="1965">
        <f>INDEX($B44:$F44,MATCH('Scenario Controls'!$B$6,$B$1:$F$1,0))</f>
        <v>76.461224000000001</v>
      </c>
    </row>
    <row r="45" spans="1:14">
      <c r="A45" t="s">
        <v>296</v>
      </c>
      <c r="B45" s="7">
        <f>'AEO T16'!C18</f>
        <v>2.5406</v>
      </c>
      <c r="C45">
        <f>'EPS China IGDP Capacity'!$E$10</f>
        <v>2.7E-2</v>
      </c>
      <c r="D45" s="7">
        <f>'EPS EU Capacity'!$D$10</f>
        <v>2.5960000000000001</v>
      </c>
      <c r="E45">
        <v>0</v>
      </c>
      <c r="F45" s="7">
        <v>15</v>
      </c>
      <c r="G45" s="1957" t="s">
        <v>58</v>
      </c>
      <c r="H45" s="15">
        <v>1</v>
      </c>
      <c r="I45" s="15">
        <v>24</v>
      </c>
      <c r="J45" s="15">
        <v>28</v>
      </c>
      <c r="K45" s="15" t="s">
        <v>297</v>
      </c>
      <c r="L45" s="1957">
        <v>34</v>
      </c>
      <c r="M45" s="1965">
        <f>INDEX($B45:$F45,MATCH('Scenario Controls'!$B$6,$B$1:$F$1,0))</f>
        <v>2.5406</v>
      </c>
    </row>
    <row r="46" spans="1:14">
      <c r="A46" t="s">
        <v>298</v>
      </c>
      <c r="B46" s="7">
        <f>'AEO T16'!C17</f>
        <v>79.223099000000005</v>
      </c>
      <c r="C46" s="7">
        <f>'EPS China IGDP Capacity'!$E$5</f>
        <v>370.35399999999998</v>
      </c>
      <c r="D46" s="7">
        <f>'EPS EU Capacity'!$D$5</f>
        <v>79.575999999999993</v>
      </c>
      <c r="E46" s="7">
        <f>'IESS v3.0 Intermediate Output'!BC151+'IESS v3.0 Intermediate Output'!BC156</f>
        <v>51.572000000000003</v>
      </c>
      <c r="F46" s="7">
        <f>1186+175</f>
        <v>1361</v>
      </c>
      <c r="G46" s="1957" t="s">
        <v>58</v>
      </c>
      <c r="H46" s="15">
        <v>1</v>
      </c>
      <c r="I46" s="15">
        <v>24</v>
      </c>
      <c r="J46" s="15">
        <v>28</v>
      </c>
      <c r="K46" s="15">
        <v>22</v>
      </c>
      <c r="L46" s="1957">
        <v>34</v>
      </c>
      <c r="M46" s="1965">
        <f>INDEX($B46:$F46,MATCH('Scenario Controls'!$B$6,$B$1:$F$1,0))</f>
        <v>79.223099000000005</v>
      </c>
    </row>
    <row r="47" spans="1:14">
      <c r="A47" t="s">
        <v>299</v>
      </c>
      <c r="B47" s="7">
        <f>'AEO T16'!C20</f>
        <v>2.6773009999999999</v>
      </c>
      <c r="C47" s="7">
        <f>'EPS China IGDP Capacity'!$E$9</f>
        <v>9.49</v>
      </c>
      <c r="D47" s="7">
        <f>'EPS EU Capacity'!$D$9</f>
        <v>5.141</v>
      </c>
      <c r="E47" s="7">
        <f>'IESS v3.0 Intermediate Output'!BC158</f>
        <v>10.205</v>
      </c>
      <c r="F47" s="7">
        <v>149</v>
      </c>
      <c r="G47" s="1957" t="s">
        <v>58</v>
      </c>
      <c r="H47" s="15">
        <v>1</v>
      </c>
      <c r="I47" s="15">
        <v>24</v>
      </c>
      <c r="J47" s="15">
        <v>28</v>
      </c>
      <c r="K47" s="15">
        <v>22</v>
      </c>
      <c r="L47" s="1957">
        <v>34</v>
      </c>
      <c r="M47" s="1965">
        <f>INDEX($B47:$F47,MATCH('Scenario Controls'!$B$6,$B$1:$F$1,0))</f>
        <v>2.6773009999999999</v>
      </c>
    </row>
    <row r="48" spans="1:14">
      <c r="A48" t="s">
        <v>300</v>
      </c>
      <c r="B48" s="7">
        <f>'AEO T9'!C21</f>
        <v>94.776611000000003</v>
      </c>
      <c r="C48" s="7">
        <f>'EPS China IGDP Capacity'!$E$4</f>
        <v>49.66</v>
      </c>
      <c r="D48" s="7">
        <f>'EPS EU Capacity'!$D$4</f>
        <v>91.119</v>
      </c>
      <c r="E48" s="7">
        <f>'IESS v3.0 Intermediate Output'!BC150</f>
        <v>6.78</v>
      </c>
      <c r="F48" s="7">
        <v>376</v>
      </c>
      <c r="G48" s="1957" t="s">
        <v>58</v>
      </c>
      <c r="H48" s="15">
        <v>1</v>
      </c>
      <c r="I48" s="15">
        <v>24</v>
      </c>
      <c r="J48" s="15">
        <v>28</v>
      </c>
      <c r="K48" s="15">
        <v>22</v>
      </c>
      <c r="L48" s="1957">
        <v>34</v>
      </c>
      <c r="M48" s="1965">
        <f>INDEX($B48:$F48,MATCH('Scenario Controls'!$B$6,$B$1:$F$1,0))</f>
        <v>94.776611000000003</v>
      </c>
    </row>
    <row r="49" spans="1:13">
      <c r="A49" t="s">
        <v>301</v>
      </c>
      <c r="B49" s="7">
        <v>0</v>
      </c>
      <c r="C49">
        <v>0</v>
      </c>
      <c r="D49">
        <v>0</v>
      </c>
      <c r="E49">
        <f>'IESS v3.0 Intermediate Output'!BC147</f>
        <v>0</v>
      </c>
      <c r="F49">
        <v>0.115</v>
      </c>
      <c r="G49" s="1957" t="s">
        <v>58</v>
      </c>
      <c r="H49" s="15">
        <v>1</v>
      </c>
      <c r="I49" s="15">
        <v>24</v>
      </c>
      <c r="J49" s="15">
        <v>28</v>
      </c>
      <c r="K49" s="15">
        <v>22</v>
      </c>
      <c r="L49" s="1958" t="s">
        <v>4854</v>
      </c>
      <c r="M49" s="1965">
        <f>INDEX($B49:$F49,MATCH('Scenario Controls'!$B$6,$B$1:$F$1,0))</f>
        <v>0</v>
      </c>
    </row>
    <row r="50" spans="1:13">
      <c r="A50" t="s">
        <v>302</v>
      </c>
      <c r="B50" s="7">
        <f>SUM('AEO T9'!C17:C20,'AEO T9'!C26,'AEO T9'!C29:C32,'AEO T16'!C19)</f>
        <v>702.96152400000005</v>
      </c>
      <c r="C50" s="7">
        <f>SUM('EPS China IGDP Capacity'!$E$2:$E$17)-SUM(C42:C49)</f>
        <v>1228.5400000000004</v>
      </c>
      <c r="D50" s="7">
        <f>SUM('EPS EU Capacity'!$D$2:$D$17)-SUM(D42:D49)</f>
        <v>700.07500000000005</v>
      </c>
      <c r="E50" s="7">
        <f>'IESS v3.0 Intermediate Output'!BC145+'IESS v3.0 Intermediate Output'!BC146</f>
        <v>235.53399999999999</v>
      </c>
      <c r="F50" s="7">
        <v>4436</v>
      </c>
      <c r="G50" s="1957" t="s">
        <v>58</v>
      </c>
      <c r="H50" s="15">
        <v>1</v>
      </c>
      <c r="I50" s="15">
        <v>24</v>
      </c>
      <c r="J50" s="15">
        <v>28</v>
      </c>
      <c r="K50" s="15">
        <v>22</v>
      </c>
      <c r="L50" s="1957">
        <v>34</v>
      </c>
      <c r="M50" s="1965">
        <f>INDEX($B50:$F50,MATCH('Scenario Controls'!$B$6,$B$1:$F$1,0))</f>
        <v>702.96152400000005</v>
      </c>
    </row>
    <row r="51" spans="1:13">
      <c r="G51" s="1957"/>
      <c r="L51" s="1957"/>
      <c r="M51" s="1960"/>
    </row>
    <row r="52" spans="1:13">
      <c r="A52" t="s">
        <v>303</v>
      </c>
      <c r="B52" s="1955">
        <v>0.14119999999999999</v>
      </c>
      <c r="C52" s="1955">
        <v>0.15</v>
      </c>
      <c r="D52" s="1955">
        <v>0.14119999999999999</v>
      </c>
      <c r="E52" s="6">
        <v>0.05</v>
      </c>
      <c r="F52" s="1968">
        <v>0.15</v>
      </c>
      <c r="G52" s="1957" t="s">
        <v>61</v>
      </c>
      <c r="H52" s="15">
        <v>21</v>
      </c>
      <c r="I52" s="15">
        <v>25</v>
      </c>
      <c r="J52" s="15">
        <v>28</v>
      </c>
      <c r="K52" s="15">
        <v>23</v>
      </c>
      <c r="L52" s="1957">
        <v>38</v>
      </c>
      <c r="M52" s="1966">
        <f>INDEX($B52:$F52,MATCH('Scenario Controls'!$B$6,$B$1:$F$1,0))</f>
        <v>0.14119999999999999</v>
      </c>
    </row>
  </sheetData>
  <pageMargins left="0.7" right="0.7" top="0.75" bottom="0.75" header="0.3" footer="0.3"/>
  <ignoredErrors>
    <ignoredError sqref="B24 B44" formulaRange="1"/>
    <ignoredError sqref="C34" formula="1"/>
  </ignoredError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41A95-CF5D-40BD-B972-84F50AC0D30E}">
  <dimension ref="A1:Y81"/>
  <sheetViews>
    <sheetView workbookViewId="0">
      <pane ySplit="1" topLeftCell="A2" activePane="bottomLeft" state="frozen"/>
      <selection pane="bottomLeft"/>
    </sheetView>
  </sheetViews>
  <sheetFormatPr baseColWidth="10" defaultColWidth="8.83203125" defaultRowHeight="15"/>
  <cols>
    <col min="1" max="1" width="40.5" customWidth="1"/>
    <col min="2" max="2" width="36" customWidth="1"/>
    <col min="3" max="3" width="29.5" customWidth="1"/>
    <col min="4" max="7" width="0" hidden="1" customWidth="1"/>
    <col min="9" max="24" width="0" hidden="1" customWidth="1"/>
  </cols>
  <sheetData>
    <row r="1" spans="1:25" s="3" customFormat="1">
      <c r="A1" s="1" t="s">
        <v>5973</v>
      </c>
      <c r="B1" s="1" t="s">
        <v>5974</v>
      </c>
      <c r="C1" s="1" t="s">
        <v>5976</v>
      </c>
      <c r="D1" s="1">
        <v>1990</v>
      </c>
      <c r="E1" s="1">
        <v>2005</v>
      </c>
      <c r="F1" s="1">
        <v>2010</v>
      </c>
      <c r="G1" s="1">
        <v>2015</v>
      </c>
      <c r="H1" s="1">
        <v>2020</v>
      </c>
      <c r="I1" s="1">
        <v>2025</v>
      </c>
      <c r="J1" s="1">
        <v>2030</v>
      </c>
      <c r="K1" s="1">
        <v>2035</v>
      </c>
      <c r="L1" s="1">
        <v>2040</v>
      </c>
      <c r="M1" s="1">
        <v>2045</v>
      </c>
      <c r="N1" s="1">
        <v>2050</v>
      </c>
      <c r="O1" s="1">
        <v>2055</v>
      </c>
      <c r="P1" s="1">
        <v>2060</v>
      </c>
      <c r="Q1" s="1">
        <v>2065</v>
      </c>
      <c r="R1" s="1">
        <v>2070</v>
      </c>
      <c r="S1" s="1">
        <v>2075</v>
      </c>
      <c r="T1" s="1">
        <v>2080</v>
      </c>
      <c r="U1" s="1">
        <v>2085</v>
      </c>
      <c r="V1" s="1">
        <v>2090</v>
      </c>
      <c r="W1" s="1">
        <v>2095</v>
      </c>
      <c r="X1" s="1">
        <v>2100</v>
      </c>
      <c r="Y1" s="1" t="s">
        <v>840</v>
      </c>
    </row>
    <row r="2" spans="1:25">
      <c r="A2" t="s">
        <v>5978</v>
      </c>
      <c r="B2" t="s">
        <v>5979</v>
      </c>
      <c r="C2" t="s">
        <v>5984</v>
      </c>
      <c r="D2">
        <v>0</v>
      </c>
      <c r="E2">
        <v>0</v>
      </c>
      <c r="F2">
        <v>0</v>
      </c>
      <c r="G2">
        <v>0</v>
      </c>
      <c r="H2">
        <v>2.4825892531999999E-3</v>
      </c>
      <c r="I2">
        <v>9.40297637619999E-3</v>
      </c>
      <c r="J2">
        <v>4.8249162287100002E-2</v>
      </c>
      <c r="K2">
        <v>8.5839317449299998E-2</v>
      </c>
      <c r="L2">
        <v>0.1090898332057</v>
      </c>
      <c r="M2">
        <v>0.129463824339</v>
      </c>
      <c r="N2">
        <v>0.14593657406999999</v>
      </c>
      <c r="O2">
        <v>0.153112181244</v>
      </c>
      <c r="P2">
        <v>0.153821166254</v>
      </c>
      <c r="Q2">
        <v>0.15070169749000001</v>
      </c>
      <c r="R2">
        <v>0.14571146247299899</v>
      </c>
      <c r="S2">
        <v>0.140276099858999</v>
      </c>
      <c r="T2">
        <v>0.13488694556899999</v>
      </c>
      <c r="U2">
        <v>0.12981276733699901</v>
      </c>
      <c r="V2">
        <v>0.124664883619999</v>
      </c>
      <c r="W2">
        <v>0.118300200759</v>
      </c>
      <c r="X2">
        <v>0.111416361901</v>
      </c>
      <c r="Y2" t="s">
        <v>43</v>
      </c>
    </row>
    <row r="3" spans="1:25">
      <c r="A3" t="s">
        <v>5978</v>
      </c>
      <c r="B3" t="s">
        <v>5979</v>
      </c>
      <c r="C3" t="s">
        <v>5980</v>
      </c>
      <c r="D3">
        <v>0</v>
      </c>
      <c r="E3">
        <v>0</v>
      </c>
      <c r="F3">
        <v>0</v>
      </c>
      <c r="G3">
        <v>0</v>
      </c>
      <c r="H3">
        <v>0</v>
      </c>
      <c r="I3">
        <v>2.87797297309999E-2</v>
      </c>
      <c r="J3">
        <v>0.10471056241099901</v>
      </c>
      <c r="K3">
        <v>0.200187483753</v>
      </c>
      <c r="L3">
        <v>0.273789352303</v>
      </c>
      <c r="M3">
        <v>0.34631249086100002</v>
      </c>
      <c r="N3">
        <v>0.39745756988999997</v>
      </c>
      <c r="O3">
        <v>0.42062244739799998</v>
      </c>
      <c r="P3">
        <v>0.429312320631</v>
      </c>
      <c r="Q3">
        <v>0.431433189029999</v>
      </c>
      <c r="R3">
        <v>0.43146503602499903</v>
      </c>
      <c r="S3">
        <v>0.43078037008499998</v>
      </c>
      <c r="T3">
        <v>0.428113568783</v>
      </c>
      <c r="U3">
        <v>0.42361718981999902</v>
      </c>
      <c r="V3">
        <v>0.41701441709099901</v>
      </c>
      <c r="W3">
        <v>0.40792930837000002</v>
      </c>
      <c r="X3">
        <v>0.39747872239699999</v>
      </c>
      <c r="Y3" t="s">
        <v>43</v>
      </c>
    </row>
    <row r="4" spans="1:25">
      <c r="A4" t="s">
        <v>5978</v>
      </c>
      <c r="B4" t="s">
        <v>5979</v>
      </c>
      <c r="C4" t="s">
        <v>5985</v>
      </c>
      <c r="D4">
        <v>0.23445789380000001</v>
      </c>
      <c r="E4">
        <v>0.30122457999999902</v>
      </c>
      <c r="F4">
        <v>0.389340405</v>
      </c>
      <c r="G4">
        <v>0.405581472</v>
      </c>
      <c r="H4">
        <v>0.42219079980000002</v>
      </c>
      <c r="I4">
        <v>0.43687918120000002</v>
      </c>
      <c r="J4">
        <v>0.44381849480000002</v>
      </c>
      <c r="K4">
        <v>0.44695335889999999</v>
      </c>
      <c r="L4">
        <v>0.4534051362</v>
      </c>
      <c r="M4">
        <v>0.4537892261</v>
      </c>
      <c r="N4">
        <v>0.45485915554999901</v>
      </c>
      <c r="O4">
        <v>0.452606765419999</v>
      </c>
      <c r="P4">
        <v>0.45019682191999899</v>
      </c>
      <c r="Q4">
        <v>0.44588461207000002</v>
      </c>
      <c r="R4">
        <v>0.44035798979000002</v>
      </c>
      <c r="S4">
        <v>0.432398645349999</v>
      </c>
      <c r="T4">
        <v>0.42324169663</v>
      </c>
      <c r="U4">
        <v>0.41227717217999998</v>
      </c>
      <c r="V4">
        <v>0.40000583953000002</v>
      </c>
      <c r="W4">
        <v>0.38711388614999998</v>
      </c>
      <c r="X4">
        <v>0.37776575597999901</v>
      </c>
      <c r="Y4" t="s">
        <v>43</v>
      </c>
    </row>
    <row r="5" spans="1:25">
      <c r="A5" t="s">
        <v>5978</v>
      </c>
      <c r="B5" t="s">
        <v>5979</v>
      </c>
      <c r="C5" t="s">
        <v>5986</v>
      </c>
      <c r="D5">
        <v>0.59918419000000001</v>
      </c>
      <c r="E5">
        <v>0.51743109899999995</v>
      </c>
      <c r="F5">
        <v>0.5510454897</v>
      </c>
      <c r="G5">
        <v>0.64121190979999998</v>
      </c>
      <c r="H5">
        <v>0.649813190819999</v>
      </c>
      <c r="I5">
        <v>0.64434749065999997</v>
      </c>
      <c r="J5">
        <v>0.61811955989</v>
      </c>
      <c r="K5">
        <v>0.58443479566999901</v>
      </c>
      <c r="L5">
        <v>0.55783178840999903</v>
      </c>
      <c r="M5">
        <v>0.52949593708999898</v>
      </c>
      <c r="N5">
        <v>0.50232459594999901</v>
      </c>
      <c r="O5">
        <v>0.46927740243999899</v>
      </c>
      <c r="P5">
        <v>0.43335543081</v>
      </c>
      <c r="Q5">
        <v>0.39819481207000001</v>
      </c>
      <c r="R5">
        <v>0.36518960157000002</v>
      </c>
      <c r="S5">
        <v>0.33466580840999899</v>
      </c>
      <c r="T5">
        <v>0.31035998014999899</v>
      </c>
      <c r="U5">
        <v>0.29045435197999903</v>
      </c>
      <c r="V5">
        <v>0.27297873313999999</v>
      </c>
      <c r="W5">
        <v>0.25648582099</v>
      </c>
      <c r="X5">
        <v>0.24083313402000001</v>
      </c>
      <c r="Y5" t="s">
        <v>43</v>
      </c>
    </row>
    <row r="6" spans="1:25">
      <c r="A6" t="s">
        <v>5978</v>
      </c>
      <c r="B6" t="s">
        <v>5979</v>
      </c>
      <c r="C6" t="s">
        <v>5987</v>
      </c>
      <c r="D6">
        <v>8.0664299999999994E-2</v>
      </c>
      <c r="E6">
        <v>0.14642620000000001</v>
      </c>
      <c r="F6">
        <v>0.14973279989999999</v>
      </c>
      <c r="G6">
        <v>0.117417199</v>
      </c>
      <c r="H6">
        <v>0.1142167919</v>
      </c>
      <c r="I6">
        <v>0.1079079954</v>
      </c>
      <c r="J6">
        <v>9.9062286299999996E-2</v>
      </c>
      <c r="K6">
        <v>9.0523185199999995E-2</v>
      </c>
      <c r="L6">
        <v>8.5062598399999995E-2</v>
      </c>
      <c r="M6">
        <v>7.9163600700000003E-2</v>
      </c>
      <c r="N6">
        <v>7.4085452999999996E-2</v>
      </c>
      <c r="O6">
        <v>7.0001808060000004E-2</v>
      </c>
      <c r="P6">
        <v>6.6616901199999995E-2</v>
      </c>
      <c r="Q6">
        <v>6.3728376899999994E-2</v>
      </c>
      <c r="R6">
        <v>6.1150917079999999E-2</v>
      </c>
      <c r="S6">
        <v>5.8806960140000003E-2</v>
      </c>
      <c r="T6">
        <v>5.6625053329999897E-2</v>
      </c>
      <c r="U6">
        <v>5.4591508829999899E-2</v>
      </c>
      <c r="V6">
        <v>5.2450015650000001E-2</v>
      </c>
      <c r="W6">
        <v>5.006418587E-2</v>
      </c>
      <c r="X6">
        <v>4.7642607189999998E-2</v>
      </c>
      <c r="Y6" t="s">
        <v>43</v>
      </c>
    </row>
    <row r="7" spans="1:25">
      <c r="A7" t="s">
        <v>5978</v>
      </c>
      <c r="B7" t="s">
        <v>5979</v>
      </c>
      <c r="C7" t="s">
        <v>5981</v>
      </c>
      <c r="D7">
        <v>0.92467996099999905</v>
      </c>
      <c r="E7">
        <v>0.82953489989999996</v>
      </c>
      <c r="F7">
        <v>0.91865604599999995</v>
      </c>
      <c r="G7">
        <v>1.0649712</v>
      </c>
      <c r="H7">
        <v>1.1183228869999999</v>
      </c>
      <c r="I7">
        <v>1.217332460965</v>
      </c>
      <c r="J7">
        <v>1.3755019179350001</v>
      </c>
      <c r="K7">
        <v>1.5506351713740001</v>
      </c>
      <c r="L7">
        <v>1.6917468741984001</v>
      </c>
      <c r="M7">
        <v>1.88112484705599</v>
      </c>
      <c r="N7">
        <v>2.0814730866319899</v>
      </c>
      <c r="O7">
        <v>2.2021285214290001</v>
      </c>
      <c r="P7">
        <v>2.2682275361999999</v>
      </c>
      <c r="Q7">
        <v>2.2983662355999899</v>
      </c>
      <c r="R7">
        <v>2.3145230309999998</v>
      </c>
      <c r="S7">
        <v>2.3249958317499999</v>
      </c>
      <c r="T7">
        <v>2.31627475424999</v>
      </c>
      <c r="U7">
        <v>2.2888098264999899</v>
      </c>
      <c r="V7">
        <v>2.2460357521800001</v>
      </c>
      <c r="W7">
        <v>2.1955316383999999</v>
      </c>
      <c r="X7">
        <v>2.1420562919999999</v>
      </c>
      <c r="Y7" t="s">
        <v>43</v>
      </c>
    </row>
    <row r="8" spans="1:25">
      <c r="A8" t="s">
        <v>5978</v>
      </c>
      <c r="B8" t="s">
        <v>5979</v>
      </c>
      <c r="C8" t="s">
        <v>5982</v>
      </c>
      <c r="D8">
        <v>4.3861307260999904</v>
      </c>
      <c r="E8">
        <v>4.4842521594999996</v>
      </c>
      <c r="F8">
        <v>4.1950435200999996</v>
      </c>
      <c r="G8">
        <v>4.3845825890999999</v>
      </c>
      <c r="H8">
        <v>4.5374716941299997</v>
      </c>
      <c r="I8">
        <v>4.5366252391100002</v>
      </c>
      <c r="J8">
        <v>4.32928555241</v>
      </c>
      <c r="K8">
        <v>4.0393810998959898</v>
      </c>
      <c r="L8">
        <v>3.7840057401679998</v>
      </c>
      <c r="M8">
        <v>3.4270081863439898</v>
      </c>
      <c r="N8">
        <v>3.061424654623</v>
      </c>
      <c r="O8">
        <v>2.85206525065799</v>
      </c>
      <c r="P8">
        <v>2.7594978692539902</v>
      </c>
      <c r="Q8">
        <v>2.71867346259</v>
      </c>
      <c r="R8">
        <v>2.690258546415</v>
      </c>
      <c r="S8">
        <v>2.6519674409129901</v>
      </c>
      <c r="T8">
        <v>2.6170704862880001</v>
      </c>
      <c r="U8">
        <v>2.5914410568239901</v>
      </c>
      <c r="V8">
        <v>2.5742865355019999</v>
      </c>
      <c r="W8">
        <v>2.5612276350390002</v>
      </c>
      <c r="X8">
        <v>2.5524668165429998</v>
      </c>
      <c r="Y8" t="s">
        <v>43</v>
      </c>
    </row>
    <row r="9" spans="1:25">
      <c r="A9" t="s">
        <v>5978</v>
      </c>
      <c r="B9" t="s">
        <v>5979</v>
      </c>
      <c r="C9" t="s">
        <v>5988</v>
      </c>
      <c r="D9">
        <v>0.31495479999999898</v>
      </c>
      <c r="E9">
        <v>0.32772179099999899</v>
      </c>
      <c r="F9">
        <v>0.334670776</v>
      </c>
      <c r="G9">
        <v>0.38833520599999999</v>
      </c>
      <c r="H9">
        <v>0.39612507149999998</v>
      </c>
      <c r="I9">
        <v>0.37931775669999901</v>
      </c>
      <c r="J9">
        <v>0.34275128579999897</v>
      </c>
      <c r="K9">
        <v>0.30881025085999902</v>
      </c>
      <c r="L9">
        <v>0.29104288809999901</v>
      </c>
      <c r="M9">
        <v>0.27205362780999898</v>
      </c>
      <c r="N9">
        <v>0.25363557536999998</v>
      </c>
      <c r="O9">
        <v>0.23796209556</v>
      </c>
      <c r="P9">
        <v>0.22690475524000001</v>
      </c>
      <c r="Q9">
        <v>0.21792246772000001</v>
      </c>
      <c r="R9">
        <v>0.21012254514999901</v>
      </c>
      <c r="S9">
        <v>0.20203042908999999</v>
      </c>
      <c r="T9">
        <v>0.19364330490000001</v>
      </c>
      <c r="U9">
        <v>0.18622279225999999</v>
      </c>
      <c r="V9">
        <v>0.17944786874999999</v>
      </c>
      <c r="W9">
        <v>0.17167587005000001</v>
      </c>
      <c r="X9">
        <v>0.16285945499999999</v>
      </c>
      <c r="Y9" t="s">
        <v>43</v>
      </c>
    </row>
    <row r="10" spans="1:25">
      <c r="A10" t="s">
        <v>5978</v>
      </c>
      <c r="B10" t="s">
        <v>5990</v>
      </c>
      <c r="C10" t="s">
        <v>5985</v>
      </c>
      <c r="D10">
        <v>2.3735585999999898E-3</v>
      </c>
      <c r="E10">
        <v>7.0300470299999897E-3</v>
      </c>
      <c r="F10">
        <v>6.0609923999999898E-2</v>
      </c>
      <c r="G10">
        <v>3.01543425E-2</v>
      </c>
      <c r="H10">
        <v>3.1121436499999999E-2</v>
      </c>
      <c r="I10">
        <v>3.7023467147999901E-2</v>
      </c>
      <c r="J10">
        <v>4.3226519639999898E-2</v>
      </c>
      <c r="K10">
        <v>4.9661680492189997E-2</v>
      </c>
      <c r="L10">
        <v>5.6267822855256999E-2</v>
      </c>
      <c r="M10">
        <v>6.2792519316421894E-2</v>
      </c>
      <c r="N10">
        <v>6.8999486957060902E-2</v>
      </c>
      <c r="O10">
        <v>7.4751611580359006E-2</v>
      </c>
      <c r="P10">
        <v>7.9852197757764004E-2</v>
      </c>
      <c r="Q10">
        <v>8.3981979321708006E-2</v>
      </c>
      <c r="R10">
        <v>8.7080009524997004E-2</v>
      </c>
      <c r="S10">
        <v>8.9093561849448E-2</v>
      </c>
      <c r="T10">
        <v>9.00071513351519E-2</v>
      </c>
      <c r="U10">
        <v>8.9859127170814998E-2</v>
      </c>
      <c r="V10">
        <v>8.8765203577149898E-2</v>
      </c>
      <c r="W10">
        <v>8.6796181252521906E-2</v>
      </c>
      <c r="X10">
        <v>8.4136595976768994E-2</v>
      </c>
      <c r="Y10" t="s">
        <v>43</v>
      </c>
    </row>
    <row r="11" spans="1:25">
      <c r="A11" t="s">
        <v>5978</v>
      </c>
      <c r="B11" t="s">
        <v>5990</v>
      </c>
      <c r="C11" t="s">
        <v>5986</v>
      </c>
      <c r="D11">
        <v>5.4611875999999997E-2</v>
      </c>
      <c r="E11">
        <v>0.2347990915</v>
      </c>
      <c r="F11">
        <v>0.47287496838369902</v>
      </c>
      <c r="G11">
        <v>0.65941362000000003</v>
      </c>
      <c r="H11">
        <v>0.483705731999999</v>
      </c>
      <c r="I11">
        <v>0.59909728669999995</v>
      </c>
      <c r="J11">
        <v>0.69302968799999998</v>
      </c>
      <c r="K11">
        <v>0.76837823758907997</v>
      </c>
      <c r="L11">
        <v>0.83244874978699102</v>
      </c>
      <c r="M11">
        <v>0.88609052328017102</v>
      </c>
      <c r="N11">
        <v>0.92823086358368301</v>
      </c>
      <c r="O11">
        <v>0.96005742575067199</v>
      </c>
      <c r="P11">
        <v>0.98209974780155196</v>
      </c>
      <c r="Q11">
        <v>0.99394073839642705</v>
      </c>
      <c r="R11">
        <v>0.99647921265433803</v>
      </c>
      <c r="S11">
        <v>0.98952815543153205</v>
      </c>
      <c r="T11">
        <v>0.973404297432933</v>
      </c>
      <c r="U11">
        <v>0.94919311988811905</v>
      </c>
      <c r="V11">
        <v>0.91902287671236604</v>
      </c>
      <c r="W11">
        <v>0.88412984118177795</v>
      </c>
      <c r="X11">
        <v>0.84620128378267301</v>
      </c>
      <c r="Y11" t="s">
        <v>43</v>
      </c>
    </row>
    <row r="12" spans="1:25">
      <c r="A12" t="s">
        <v>5978</v>
      </c>
      <c r="B12" t="s">
        <v>5990</v>
      </c>
      <c r="C12" t="s">
        <v>5982</v>
      </c>
      <c r="D12">
        <v>0.140788196999999</v>
      </c>
      <c r="E12">
        <v>0.20359029989999899</v>
      </c>
      <c r="F12">
        <v>0.15787441390000001</v>
      </c>
      <c r="G12">
        <v>0.1220504895</v>
      </c>
      <c r="H12">
        <v>0.12508293046999899</v>
      </c>
      <c r="I12">
        <v>0.14899655724642899</v>
      </c>
      <c r="J12">
        <v>0.17541751994011201</v>
      </c>
      <c r="K12">
        <v>0.20063778857969</v>
      </c>
      <c r="L12">
        <v>0.224751290130217</v>
      </c>
      <c r="M12">
        <v>0.24700970232185801</v>
      </c>
      <c r="N12">
        <v>0.26667815461582101</v>
      </c>
      <c r="O12">
        <v>0.283401674241816</v>
      </c>
      <c r="P12">
        <v>0.29671222561709898</v>
      </c>
      <c r="Q12">
        <v>0.30615508175593398</v>
      </c>
      <c r="R12">
        <v>0.31158242252912499</v>
      </c>
      <c r="S12">
        <v>0.31306378864238599</v>
      </c>
      <c r="T12">
        <v>0.31093003926548801</v>
      </c>
      <c r="U12">
        <v>0.30573259853650098</v>
      </c>
      <c r="V12">
        <v>0.29816002016732002</v>
      </c>
      <c r="W12">
        <v>0.28866719288471099</v>
      </c>
      <c r="X12">
        <v>0.27784091232834202</v>
      </c>
      <c r="Y12" t="s">
        <v>43</v>
      </c>
    </row>
    <row r="13" spans="1:25">
      <c r="A13" t="s">
        <v>5978</v>
      </c>
      <c r="B13" t="s">
        <v>5990</v>
      </c>
      <c r="C13" t="s">
        <v>5988</v>
      </c>
      <c r="D13">
        <v>0.15930950399999999</v>
      </c>
      <c r="E13">
        <v>0.22350977720000001</v>
      </c>
      <c r="F13">
        <v>0.27609414866999898</v>
      </c>
      <c r="G13">
        <v>0.33212563403999901</v>
      </c>
      <c r="H13">
        <v>0.28889318593830698</v>
      </c>
      <c r="I13">
        <v>0.31785274075352898</v>
      </c>
      <c r="J13">
        <v>0.34186136525298499</v>
      </c>
      <c r="K13">
        <v>0.35973955395768198</v>
      </c>
      <c r="L13">
        <v>0.37367151357606798</v>
      </c>
      <c r="M13">
        <v>0.38525007030512098</v>
      </c>
      <c r="N13">
        <v>0.39428247790375998</v>
      </c>
      <c r="O13">
        <v>0.40115483934680601</v>
      </c>
      <c r="P13">
        <v>0.40650235796656398</v>
      </c>
      <c r="Q13">
        <v>0.40902939545946099</v>
      </c>
      <c r="R13">
        <v>0.40905692161673002</v>
      </c>
      <c r="S13">
        <v>0.406560630583164</v>
      </c>
      <c r="T13">
        <v>0.40134953965614101</v>
      </c>
      <c r="U13">
        <v>0.39344963992430898</v>
      </c>
      <c r="V13">
        <v>0.38281007852184501</v>
      </c>
      <c r="W13">
        <v>0.36944040198252598</v>
      </c>
      <c r="X13">
        <v>0.35378060828658198</v>
      </c>
      <c r="Y13" t="s">
        <v>43</v>
      </c>
    </row>
    <row r="14" spans="1:25">
      <c r="A14" t="s">
        <v>5978</v>
      </c>
      <c r="B14" t="s">
        <v>5991</v>
      </c>
      <c r="C14" t="s">
        <v>5981</v>
      </c>
      <c r="D14">
        <v>0.82692212999999903</v>
      </c>
      <c r="E14">
        <v>1.6978893239999999</v>
      </c>
      <c r="F14">
        <v>2.0320427799999998</v>
      </c>
      <c r="G14">
        <v>2.9257733500000001</v>
      </c>
      <c r="H14">
        <v>2.4562226439999999</v>
      </c>
      <c r="I14">
        <v>2.8991002049999999</v>
      </c>
      <c r="J14">
        <v>3.3018159009999999</v>
      </c>
      <c r="K14">
        <v>3.6468351289999998</v>
      </c>
      <c r="L14">
        <v>3.9564924619999999</v>
      </c>
      <c r="M14">
        <v>4.2305404869999901</v>
      </c>
      <c r="N14">
        <v>4.4631554872999999</v>
      </c>
      <c r="O14">
        <v>4.6578500843699997</v>
      </c>
      <c r="P14">
        <v>4.8143651152000002</v>
      </c>
      <c r="Q14">
        <v>4.9254841109000003</v>
      </c>
      <c r="R14">
        <v>4.99131898829999</v>
      </c>
      <c r="S14">
        <v>5.0093668053999902</v>
      </c>
      <c r="T14">
        <v>4.980489672</v>
      </c>
      <c r="U14">
        <v>4.9092589500999999</v>
      </c>
      <c r="V14">
        <v>4.8038983852999904</v>
      </c>
      <c r="W14">
        <v>4.6690914375999997</v>
      </c>
      <c r="X14">
        <v>4.5115768523000002</v>
      </c>
      <c r="Y14" t="s">
        <v>43</v>
      </c>
    </row>
    <row r="15" spans="1:25">
      <c r="A15" t="s">
        <v>5978</v>
      </c>
      <c r="B15" t="s">
        <v>5992</v>
      </c>
      <c r="C15" t="s">
        <v>5993</v>
      </c>
      <c r="D15">
        <v>0</v>
      </c>
      <c r="E15">
        <v>0</v>
      </c>
      <c r="F15">
        <v>0</v>
      </c>
      <c r="G15">
        <v>0</v>
      </c>
      <c r="H15">
        <v>0</v>
      </c>
      <c r="I15">
        <v>6.0393513849999999E-3</v>
      </c>
      <c r="J15">
        <v>5.5104897583999897E-2</v>
      </c>
      <c r="K15">
        <v>0.188285110417999</v>
      </c>
      <c r="L15">
        <v>0.37660955527200002</v>
      </c>
      <c r="M15">
        <v>0.538245308392999</v>
      </c>
      <c r="N15">
        <v>0.680414846086</v>
      </c>
      <c r="O15">
        <v>0.79879996443470003</v>
      </c>
      <c r="P15">
        <v>0.89844255163254005</v>
      </c>
      <c r="Q15">
        <v>0.96927882064299897</v>
      </c>
      <c r="R15">
        <v>1.0058649191090001</v>
      </c>
      <c r="S15">
        <v>1.0226498858519899</v>
      </c>
      <c r="T15">
        <v>1.02921100191399</v>
      </c>
      <c r="U15">
        <v>1.0309757975059901</v>
      </c>
      <c r="V15">
        <v>1.0280413335909999</v>
      </c>
      <c r="W15">
        <v>1.019265113134</v>
      </c>
      <c r="X15">
        <v>1.00709489250199</v>
      </c>
      <c r="Y15" t="s">
        <v>43</v>
      </c>
    </row>
    <row r="16" spans="1:25">
      <c r="A16" t="s">
        <v>5978</v>
      </c>
      <c r="B16" t="s">
        <v>5992</v>
      </c>
      <c r="C16" t="s">
        <v>5986</v>
      </c>
      <c r="D16">
        <v>0.67554349999999996</v>
      </c>
      <c r="E16">
        <v>1.2404906999999901</v>
      </c>
      <c r="F16">
        <v>1.4792713</v>
      </c>
      <c r="G16">
        <v>1.6188207999999999</v>
      </c>
      <c r="H16">
        <v>1.6742766899999999</v>
      </c>
      <c r="I16">
        <v>1.7284676400000001</v>
      </c>
      <c r="J16">
        <v>1.71458636</v>
      </c>
      <c r="K16">
        <v>1.5683252400000001</v>
      </c>
      <c r="L16">
        <v>1.39050462</v>
      </c>
      <c r="M16">
        <v>1.2944834059999999</v>
      </c>
      <c r="N16">
        <v>1.2343531379999999</v>
      </c>
      <c r="O16">
        <v>1.1583724613999999</v>
      </c>
      <c r="P16">
        <v>1.0756158897000001</v>
      </c>
      <c r="Q16">
        <v>1.0071377536999999</v>
      </c>
      <c r="R16">
        <v>0.95703232399999905</v>
      </c>
      <c r="S16">
        <v>0.91795497599999898</v>
      </c>
      <c r="T16">
        <v>0.884269101</v>
      </c>
      <c r="U16">
        <v>0.85176143500000001</v>
      </c>
      <c r="V16">
        <v>0.82288623299999897</v>
      </c>
      <c r="W16">
        <v>0.80236569199999996</v>
      </c>
      <c r="X16">
        <v>0.78164659599999897</v>
      </c>
      <c r="Y16" t="s">
        <v>43</v>
      </c>
    </row>
    <row r="17" spans="1:25">
      <c r="A17" t="s">
        <v>5978</v>
      </c>
      <c r="B17" t="s">
        <v>5992</v>
      </c>
      <c r="C17" t="s">
        <v>5982</v>
      </c>
      <c r="D17">
        <v>0.35939837899999999</v>
      </c>
      <c r="E17">
        <v>0.49844272000000001</v>
      </c>
      <c r="F17">
        <v>0.54575205000000004</v>
      </c>
      <c r="G17">
        <v>0.58034713999999998</v>
      </c>
      <c r="H17">
        <v>0.62016635899999994</v>
      </c>
      <c r="I17">
        <v>0.65365549280000002</v>
      </c>
      <c r="J17">
        <v>0.64112861429999901</v>
      </c>
      <c r="K17">
        <v>0.49088067989999901</v>
      </c>
      <c r="L17">
        <v>0.27249596980000002</v>
      </c>
      <c r="M17">
        <v>0.12634723349999999</v>
      </c>
      <c r="N17">
        <v>5.0066474499999999E-2</v>
      </c>
      <c r="O17">
        <v>1.396018445E-2</v>
      </c>
      <c r="P17">
        <v>3.0670714299999998E-3</v>
      </c>
      <c r="Q17" s="493">
        <v>5.5214853999999895E-4</v>
      </c>
      <c r="R17">
        <v>0</v>
      </c>
      <c r="S17">
        <v>0</v>
      </c>
      <c r="T17">
        <v>0</v>
      </c>
      <c r="U17">
        <v>0</v>
      </c>
      <c r="V17">
        <v>0</v>
      </c>
      <c r="W17">
        <v>0</v>
      </c>
      <c r="X17">
        <v>0</v>
      </c>
      <c r="Y17" t="s">
        <v>43</v>
      </c>
    </row>
    <row r="18" spans="1:25">
      <c r="A18" t="s">
        <v>5978</v>
      </c>
      <c r="B18" t="s">
        <v>5992</v>
      </c>
      <c r="C18" t="s">
        <v>5988</v>
      </c>
      <c r="D18">
        <v>2.7580394799999901</v>
      </c>
      <c r="E18">
        <v>2.8762931434999999</v>
      </c>
      <c r="F18">
        <v>3.09857121999999</v>
      </c>
      <c r="G18">
        <v>3.28949465799999</v>
      </c>
      <c r="H18">
        <v>3.5016782024999999</v>
      </c>
      <c r="I18">
        <v>3.7491939224389998</v>
      </c>
      <c r="J18">
        <v>3.9363764428879899</v>
      </c>
      <c r="K18">
        <v>3.9946929847370001</v>
      </c>
      <c r="L18">
        <v>4.0386288629899996</v>
      </c>
      <c r="M18">
        <v>4.1790863577171002</v>
      </c>
      <c r="N18">
        <v>4.2805683523185003</v>
      </c>
      <c r="O18">
        <v>4.2835522015688996</v>
      </c>
      <c r="P18">
        <v>4.2620765172108799</v>
      </c>
      <c r="Q18">
        <v>4.2559526769804901</v>
      </c>
      <c r="R18">
        <v>4.2681995179739998</v>
      </c>
      <c r="S18">
        <v>4.2952356485836001</v>
      </c>
      <c r="T18">
        <v>4.3182249767425001</v>
      </c>
      <c r="U18">
        <v>4.3341000625999904</v>
      </c>
      <c r="V18">
        <v>4.33871898685</v>
      </c>
      <c r="W18">
        <v>4.3262453610999998</v>
      </c>
      <c r="X18">
        <v>4.3092734756100004</v>
      </c>
      <c r="Y18" t="s">
        <v>43</v>
      </c>
    </row>
    <row r="19" spans="1:25">
      <c r="A19" t="s">
        <v>5978</v>
      </c>
      <c r="B19" t="s">
        <v>5994</v>
      </c>
      <c r="C19" t="s">
        <v>5993</v>
      </c>
      <c r="D19">
        <v>0</v>
      </c>
      <c r="E19">
        <v>0</v>
      </c>
      <c r="F19">
        <v>0</v>
      </c>
      <c r="G19">
        <v>0</v>
      </c>
      <c r="H19">
        <v>0</v>
      </c>
      <c r="I19">
        <v>3.453535693E-3</v>
      </c>
      <c r="J19">
        <v>4.73239288487E-2</v>
      </c>
      <c r="K19">
        <v>0.16749196521143001</v>
      </c>
      <c r="L19">
        <v>0.31034115910295001</v>
      </c>
      <c r="M19">
        <v>0.40733961100405902</v>
      </c>
      <c r="N19">
        <v>0.49875266914228999</v>
      </c>
      <c r="O19">
        <v>0.59750595773488802</v>
      </c>
      <c r="P19">
        <v>0.68578139829014595</v>
      </c>
      <c r="Q19">
        <v>0.74027465944198001</v>
      </c>
      <c r="R19">
        <v>0.77033502928768005</v>
      </c>
      <c r="S19">
        <v>0.79257750620739897</v>
      </c>
      <c r="T19">
        <v>0.80566606510060002</v>
      </c>
      <c r="U19">
        <v>0.80831977302039903</v>
      </c>
      <c r="V19">
        <v>0.79799972489019999</v>
      </c>
      <c r="W19">
        <v>0.76663429675009898</v>
      </c>
      <c r="X19">
        <v>0.72312152975389998</v>
      </c>
      <c r="Y19" t="s">
        <v>43</v>
      </c>
    </row>
    <row r="20" spans="1:25">
      <c r="A20" t="s">
        <v>5978</v>
      </c>
      <c r="B20" t="s">
        <v>5994</v>
      </c>
      <c r="C20" t="s">
        <v>5985</v>
      </c>
      <c r="D20">
        <v>0.34599266519999999</v>
      </c>
      <c r="E20">
        <v>0.43336714199999998</v>
      </c>
      <c r="F20">
        <v>0.53827452999999903</v>
      </c>
      <c r="G20">
        <v>0.55030583999999905</v>
      </c>
      <c r="H20">
        <v>0.55594955046000005</v>
      </c>
      <c r="I20">
        <v>0.60644024087999904</v>
      </c>
      <c r="J20">
        <v>0.68065911050000005</v>
      </c>
      <c r="K20">
        <v>0.77965768944999903</v>
      </c>
      <c r="L20">
        <v>0.86753347036999895</v>
      </c>
      <c r="M20">
        <v>0.916005235651</v>
      </c>
      <c r="N20">
        <v>0.93504421172799901</v>
      </c>
      <c r="O20">
        <v>0.93509809330409899</v>
      </c>
      <c r="P20">
        <v>0.92444744008099999</v>
      </c>
      <c r="Q20">
        <v>0.91438215251499899</v>
      </c>
      <c r="R20">
        <v>0.90852245517999897</v>
      </c>
      <c r="S20">
        <v>0.90263640723000005</v>
      </c>
      <c r="T20">
        <v>0.89352805137000002</v>
      </c>
      <c r="U20">
        <v>0.88139670286299898</v>
      </c>
      <c r="V20">
        <v>0.86760634472199905</v>
      </c>
      <c r="W20">
        <v>0.85333586469300005</v>
      </c>
      <c r="X20">
        <v>0.83814374000000003</v>
      </c>
      <c r="Y20" t="s">
        <v>43</v>
      </c>
    </row>
    <row r="21" spans="1:25">
      <c r="A21" t="s">
        <v>5978</v>
      </c>
      <c r="B21" t="s">
        <v>5994</v>
      </c>
      <c r="C21" t="s">
        <v>5986</v>
      </c>
      <c r="D21">
        <v>2.4563814549999998</v>
      </c>
      <c r="E21">
        <v>5.6906088299999897</v>
      </c>
      <c r="F21">
        <v>7.8406087299999996</v>
      </c>
      <c r="G21">
        <v>7.8285778299999897</v>
      </c>
      <c r="H21">
        <v>7.8312447446000002</v>
      </c>
      <c r="I21">
        <v>7.9885425189000001</v>
      </c>
      <c r="J21">
        <v>8.1767176678000002</v>
      </c>
      <c r="K21">
        <v>8.6228250981999892</v>
      </c>
      <c r="L21">
        <v>9.1788929482599908</v>
      </c>
      <c r="M21">
        <v>9.4863111099099999</v>
      </c>
      <c r="N21">
        <v>9.5351034525059895</v>
      </c>
      <c r="O21">
        <v>9.4421944236539908</v>
      </c>
      <c r="P21">
        <v>9.2619520949199998</v>
      </c>
      <c r="Q21">
        <v>9.0879642401599892</v>
      </c>
      <c r="R21">
        <v>8.93919823341</v>
      </c>
      <c r="S21">
        <v>8.7634331507799992</v>
      </c>
      <c r="T21">
        <v>8.5255300318899998</v>
      </c>
      <c r="U21">
        <v>8.2467394549399895</v>
      </c>
      <c r="V21">
        <v>7.9640160383599996</v>
      </c>
      <c r="W21">
        <v>7.69058748171999</v>
      </c>
      <c r="X21">
        <v>7.4141054729500002</v>
      </c>
      <c r="Y21" t="s">
        <v>43</v>
      </c>
    </row>
    <row r="22" spans="1:25">
      <c r="A22" t="s">
        <v>5978</v>
      </c>
      <c r="B22" t="s">
        <v>5994</v>
      </c>
      <c r="C22" t="s">
        <v>5981</v>
      </c>
      <c r="D22">
        <v>0.58112386399999905</v>
      </c>
      <c r="E22">
        <v>1.1364390499999999</v>
      </c>
      <c r="F22">
        <v>1.4667076299999999</v>
      </c>
      <c r="G22">
        <v>1.4667076299999999</v>
      </c>
      <c r="H22">
        <v>1.4039810197</v>
      </c>
      <c r="I22">
        <v>1.4526480946</v>
      </c>
      <c r="J22">
        <v>1.5230223242000001</v>
      </c>
      <c r="K22">
        <v>1.6625495673999999</v>
      </c>
      <c r="L22">
        <v>1.80681091762</v>
      </c>
      <c r="M22">
        <v>1.8904459087399901</v>
      </c>
      <c r="N22">
        <v>1.94207464238299</v>
      </c>
      <c r="O22">
        <v>1.99291213652699</v>
      </c>
      <c r="P22">
        <v>2.0405872851979998</v>
      </c>
      <c r="Q22">
        <v>2.0799084504799898</v>
      </c>
      <c r="R22">
        <v>2.1114957931</v>
      </c>
      <c r="S22">
        <v>2.1368654248999901</v>
      </c>
      <c r="T22">
        <v>2.1531520864199898</v>
      </c>
      <c r="U22">
        <v>2.1615163851999899</v>
      </c>
      <c r="V22">
        <v>2.1629047151099998</v>
      </c>
      <c r="W22">
        <v>2.1572331707000001</v>
      </c>
      <c r="X22">
        <v>2.1479404383</v>
      </c>
      <c r="Y22" t="s">
        <v>43</v>
      </c>
    </row>
    <row r="23" spans="1:25">
      <c r="A23" t="s">
        <v>5978</v>
      </c>
      <c r="B23" t="s">
        <v>5994</v>
      </c>
      <c r="C23" t="s">
        <v>5982</v>
      </c>
      <c r="D23">
        <v>1.2579864919999999</v>
      </c>
      <c r="E23">
        <v>1.63344046999999</v>
      </c>
      <c r="F23">
        <v>1.8800642699999901</v>
      </c>
      <c r="G23">
        <v>1.8800642699999901</v>
      </c>
      <c r="H23">
        <v>1.3981872745999899</v>
      </c>
      <c r="I23">
        <v>1.4838359248099899</v>
      </c>
      <c r="J23">
        <v>1.5912686709599999</v>
      </c>
      <c r="K23">
        <v>1.8319327728799999</v>
      </c>
      <c r="L23">
        <v>1.93902842171999</v>
      </c>
      <c r="M23">
        <v>1.94060779300399</v>
      </c>
      <c r="N23">
        <v>2.0140630525610002</v>
      </c>
      <c r="O23">
        <v>2.17338184446049</v>
      </c>
      <c r="P23">
        <v>2.3496727196859899</v>
      </c>
      <c r="Q23">
        <v>2.4844883764970001</v>
      </c>
      <c r="R23">
        <v>2.5882829533099998</v>
      </c>
      <c r="S23">
        <v>2.6884699001199901</v>
      </c>
      <c r="T23">
        <v>2.7867454426860001</v>
      </c>
      <c r="U23">
        <v>2.87807412004299</v>
      </c>
      <c r="V23">
        <v>2.9601678758999999</v>
      </c>
      <c r="W23">
        <v>3.0467725967699999</v>
      </c>
      <c r="X23">
        <v>3.1490210862499901</v>
      </c>
      <c r="Y23" t="s">
        <v>43</v>
      </c>
    </row>
    <row r="24" spans="1:25">
      <c r="A24" t="s">
        <v>5978</v>
      </c>
      <c r="B24" t="s">
        <v>5994</v>
      </c>
      <c r="C24" t="s">
        <v>5988</v>
      </c>
      <c r="D24">
        <v>0.60226794800000005</v>
      </c>
      <c r="E24">
        <v>0.59031635099999902</v>
      </c>
      <c r="F24">
        <v>0.70090534100000002</v>
      </c>
      <c r="G24">
        <v>0.70090534100000002</v>
      </c>
      <c r="H24">
        <v>0.75030660059999899</v>
      </c>
      <c r="I24">
        <v>0.84011603169999904</v>
      </c>
      <c r="J24">
        <v>0.94786666659999896</v>
      </c>
      <c r="K24">
        <v>1.0564002806999999</v>
      </c>
      <c r="L24">
        <v>1.1396299347999901</v>
      </c>
      <c r="M24">
        <v>1.19883723747</v>
      </c>
      <c r="N24">
        <v>1.2297985004400001</v>
      </c>
      <c r="O24">
        <v>1.2517722803410001</v>
      </c>
      <c r="P24">
        <v>1.2690173437629999</v>
      </c>
      <c r="Q24">
        <v>1.2815232615550001</v>
      </c>
      <c r="R24">
        <v>1.2967539836499899</v>
      </c>
      <c r="S24">
        <v>1.3160767832589999</v>
      </c>
      <c r="T24">
        <v>1.3294351607720001</v>
      </c>
      <c r="U24">
        <v>1.333255930922</v>
      </c>
      <c r="V24">
        <v>1.32144673149699</v>
      </c>
      <c r="W24">
        <v>1.2832950474060001</v>
      </c>
      <c r="X24">
        <v>1.2256324111619901</v>
      </c>
      <c r="Y24" t="s">
        <v>43</v>
      </c>
    </row>
    <row r="25" spans="1:25">
      <c r="A25" t="s">
        <v>5978</v>
      </c>
      <c r="B25" t="s">
        <v>5995</v>
      </c>
      <c r="C25" t="s">
        <v>5993</v>
      </c>
      <c r="D25">
        <v>0</v>
      </c>
      <c r="E25">
        <v>0</v>
      </c>
      <c r="F25">
        <v>0</v>
      </c>
      <c r="G25">
        <v>0</v>
      </c>
      <c r="H25">
        <v>0</v>
      </c>
      <c r="I25">
        <v>0</v>
      </c>
      <c r="J25">
        <v>0</v>
      </c>
      <c r="K25">
        <v>0</v>
      </c>
      <c r="L25">
        <v>0</v>
      </c>
      <c r="M25">
        <v>0</v>
      </c>
      <c r="N25">
        <v>0</v>
      </c>
      <c r="O25">
        <v>0.162363219999999</v>
      </c>
      <c r="P25">
        <v>0.37664634499999899</v>
      </c>
      <c r="Q25">
        <v>0.59602536699999997</v>
      </c>
      <c r="R25">
        <v>0.78321081979999996</v>
      </c>
      <c r="S25">
        <v>0.92693141670000001</v>
      </c>
      <c r="T25">
        <v>1.03595727379999</v>
      </c>
      <c r="U25">
        <v>1.1291240904299999</v>
      </c>
      <c r="V25">
        <v>1.20848827046999</v>
      </c>
      <c r="W25">
        <v>1.27234643761199</v>
      </c>
      <c r="X25">
        <v>1.3266347128419</v>
      </c>
      <c r="Y25" t="s">
        <v>43</v>
      </c>
    </row>
    <row r="26" spans="1:25">
      <c r="A26" t="s">
        <v>5978</v>
      </c>
      <c r="B26" t="s">
        <v>5995</v>
      </c>
      <c r="C26" t="s">
        <v>5985</v>
      </c>
      <c r="D26">
        <v>6.7478300000000005E-2</v>
      </c>
      <c r="E26">
        <v>6.8106299999999995E-2</v>
      </c>
      <c r="F26">
        <v>5.8185411999999999E-2</v>
      </c>
      <c r="G26">
        <v>7.4971186999999995E-2</v>
      </c>
      <c r="H26">
        <v>7.7896297039999896E-2</v>
      </c>
      <c r="I26">
        <v>8.0026383349999994E-2</v>
      </c>
      <c r="J26">
        <v>8.2604630179999902E-2</v>
      </c>
      <c r="K26">
        <v>8.5650759490000006E-2</v>
      </c>
      <c r="L26">
        <v>8.8013029965999995E-2</v>
      </c>
      <c r="M26">
        <v>8.8531267189999999E-2</v>
      </c>
      <c r="N26">
        <v>8.8083141014299995E-2</v>
      </c>
      <c r="O26">
        <v>8.4338600592999996E-2</v>
      </c>
      <c r="P26">
        <v>7.9017452306829994E-2</v>
      </c>
      <c r="Q26">
        <v>7.3668872668127897E-2</v>
      </c>
      <c r="R26">
        <v>6.9241230247965899E-2</v>
      </c>
      <c r="S26">
        <v>6.5648053517193994E-2</v>
      </c>
      <c r="T26">
        <v>6.2755674104081005E-2</v>
      </c>
      <c r="U26">
        <v>6.0261615841944997E-2</v>
      </c>
      <c r="V26">
        <v>5.8056298737659003E-2</v>
      </c>
      <c r="W26">
        <v>5.6143777352107897E-2</v>
      </c>
      <c r="X26">
        <v>5.4529559813433999E-2</v>
      </c>
      <c r="Y26" t="s">
        <v>43</v>
      </c>
    </row>
    <row r="27" spans="1:25">
      <c r="A27" t="s">
        <v>5978</v>
      </c>
      <c r="B27" t="s">
        <v>5995</v>
      </c>
      <c r="C27" t="s">
        <v>5986</v>
      </c>
      <c r="D27">
        <v>1.6023460899999999</v>
      </c>
      <c r="E27">
        <v>2.6556751999999899</v>
      </c>
      <c r="F27">
        <v>3.1496097999999901</v>
      </c>
      <c r="G27">
        <v>3.7419395151999999</v>
      </c>
      <c r="H27">
        <v>4.3548892952399996</v>
      </c>
      <c r="I27">
        <v>4.95377657431</v>
      </c>
      <c r="J27">
        <v>5.3927411501299902</v>
      </c>
      <c r="K27">
        <v>5.5586955877899902</v>
      </c>
      <c r="L27">
        <v>5.56693764056</v>
      </c>
      <c r="M27">
        <v>5.5390276176889897</v>
      </c>
      <c r="N27">
        <v>5.4389448122709902</v>
      </c>
      <c r="O27">
        <v>5.2123282686178003</v>
      </c>
      <c r="P27">
        <v>4.8904435964148796</v>
      </c>
      <c r="Q27">
        <v>4.5228674980674404</v>
      </c>
      <c r="R27">
        <v>4.16787534841023</v>
      </c>
      <c r="S27">
        <v>3.84291549758722</v>
      </c>
      <c r="T27">
        <v>3.5502953663626502</v>
      </c>
      <c r="U27">
        <v>3.28541394061171</v>
      </c>
      <c r="V27">
        <v>3.05153366609043</v>
      </c>
      <c r="W27">
        <v>2.8457753016330298</v>
      </c>
      <c r="X27">
        <v>2.66044736282814</v>
      </c>
      <c r="Y27" t="s">
        <v>43</v>
      </c>
    </row>
    <row r="28" spans="1:25">
      <c r="A28" t="s">
        <v>5978</v>
      </c>
      <c r="B28" t="s">
        <v>5995</v>
      </c>
      <c r="C28" t="s">
        <v>5987</v>
      </c>
      <c r="D28">
        <v>0.43676749999999998</v>
      </c>
      <c r="E28">
        <v>1.2086659099999999</v>
      </c>
      <c r="F28">
        <v>1.4695365899999999</v>
      </c>
      <c r="G28">
        <v>1.7299857000000001</v>
      </c>
      <c r="H28">
        <v>1.9691421819999899</v>
      </c>
      <c r="I28">
        <v>2.2169337269999998</v>
      </c>
      <c r="J28">
        <v>2.4423855080000001</v>
      </c>
      <c r="K28">
        <v>2.58244417</v>
      </c>
      <c r="L28">
        <v>2.661152381</v>
      </c>
      <c r="M28">
        <v>2.7015208763</v>
      </c>
      <c r="N28">
        <v>2.6915512393999999</v>
      </c>
      <c r="O28">
        <v>2.6169656551699898</v>
      </c>
      <c r="P28">
        <v>2.49738370104</v>
      </c>
      <c r="Q28">
        <v>2.347017008211</v>
      </c>
      <c r="R28">
        <v>2.1921622261393998</v>
      </c>
      <c r="S28">
        <v>2.0479991587091</v>
      </c>
      <c r="T28">
        <v>1.91601042105555</v>
      </c>
      <c r="U28">
        <v>1.7942113098060699</v>
      </c>
      <c r="V28">
        <v>1.6824932056389399</v>
      </c>
      <c r="W28">
        <v>1.5789361741838901</v>
      </c>
      <c r="X28">
        <v>1.4782561000243</v>
      </c>
      <c r="Y28" t="s">
        <v>43</v>
      </c>
    </row>
    <row r="29" spans="1:25">
      <c r="A29" t="s">
        <v>5978</v>
      </c>
      <c r="B29" t="s">
        <v>5995</v>
      </c>
      <c r="C29" t="s">
        <v>5981</v>
      </c>
      <c r="D29">
        <v>2.7391522209999999</v>
      </c>
      <c r="E29">
        <v>3.2367835899999999</v>
      </c>
      <c r="F29">
        <v>3.708673374</v>
      </c>
      <c r="G29">
        <v>4.2643580406000003</v>
      </c>
      <c r="H29">
        <v>4.5242761070000004</v>
      </c>
      <c r="I29">
        <v>5.0150922867999901</v>
      </c>
      <c r="J29">
        <v>5.6081809667999902</v>
      </c>
      <c r="K29">
        <v>6.2948738881999899</v>
      </c>
      <c r="L29">
        <v>6.9331248075599996</v>
      </c>
      <c r="M29">
        <v>7.3573101099399896</v>
      </c>
      <c r="N29">
        <v>7.6235408018650004</v>
      </c>
      <c r="O29">
        <v>7.7654039999769902</v>
      </c>
      <c r="P29">
        <v>7.8563381740266003</v>
      </c>
      <c r="Q29">
        <v>7.8879741058360997</v>
      </c>
      <c r="R29">
        <v>7.8993721702900501</v>
      </c>
      <c r="S29">
        <v>7.9201974758375</v>
      </c>
      <c r="T29">
        <v>7.9218392793524499</v>
      </c>
      <c r="U29">
        <v>7.8887948449865997</v>
      </c>
      <c r="V29">
        <v>7.81527477099318</v>
      </c>
      <c r="W29">
        <v>7.7173504666464003</v>
      </c>
      <c r="X29">
        <v>7.6152119445156297</v>
      </c>
      <c r="Y29" t="s">
        <v>43</v>
      </c>
    </row>
    <row r="30" spans="1:25">
      <c r="A30" t="s">
        <v>5978</v>
      </c>
      <c r="B30" t="s">
        <v>5995</v>
      </c>
      <c r="C30" t="s">
        <v>5982</v>
      </c>
      <c r="D30">
        <v>1.8116726489999899</v>
      </c>
      <c r="E30">
        <v>2.3910070809999899</v>
      </c>
      <c r="F30">
        <v>2.7132555225999999</v>
      </c>
      <c r="G30">
        <v>2.15961950479999</v>
      </c>
      <c r="H30">
        <v>2.2788417678999999</v>
      </c>
      <c r="I30">
        <v>2.40538016849999</v>
      </c>
      <c r="J30">
        <v>2.49347262879999</v>
      </c>
      <c r="K30">
        <v>2.5046060328599999</v>
      </c>
      <c r="L30">
        <v>2.50196810209999</v>
      </c>
      <c r="M30">
        <v>2.5394277867600001</v>
      </c>
      <c r="N30">
        <v>2.6122518374350001</v>
      </c>
      <c r="O30">
        <v>2.6672459492419902</v>
      </c>
      <c r="P30">
        <v>2.7149810202751001</v>
      </c>
      <c r="Q30">
        <v>2.7455745508327301</v>
      </c>
      <c r="R30">
        <v>2.7630485087482701</v>
      </c>
      <c r="S30">
        <v>2.7715413087327501</v>
      </c>
      <c r="T30">
        <v>2.7789288785022301</v>
      </c>
      <c r="U30">
        <v>2.7845862460288102</v>
      </c>
      <c r="V30">
        <v>2.7851073739475298</v>
      </c>
      <c r="W30">
        <v>2.7847104135918799</v>
      </c>
      <c r="X30">
        <v>2.79551878616074</v>
      </c>
      <c r="Y30" t="s">
        <v>43</v>
      </c>
    </row>
    <row r="31" spans="1:25">
      <c r="A31" t="s">
        <v>5978</v>
      </c>
      <c r="B31" t="s">
        <v>5995</v>
      </c>
      <c r="C31" t="s">
        <v>5988</v>
      </c>
      <c r="D31">
        <v>2.8363860299999999</v>
      </c>
      <c r="E31">
        <v>2.6464063399999902</v>
      </c>
      <c r="F31">
        <v>3.5576444500000002</v>
      </c>
      <c r="G31">
        <v>4.22674868</v>
      </c>
      <c r="H31">
        <v>4.5205177649999904</v>
      </c>
      <c r="I31">
        <v>4.7724615310000003</v>
      </c>
      <c r="J31">
        <v>5.0343293599999903</v>
      </c>
      <c r="K31">
        <v>5.22464948699999</v>
      </c>
      <c r="L31">
        <v>5.3789324950999902</v>
      </c>
      <c r="M31">
        <v>5.5602228461000003</v>
      </c>
      <c r="N31">
        <v>5.73841133137</v>
      </c>
      <c r="O31">
        <v>5.8503657277299999</v>
      </c>
      <c r="P31">
        <v>5.9436745634129897</v>
      </c>
      <c r="Q31">
        <v>6.0254179311366904</v>
      </c>
      <c r="R31">
        <v>6.0971717365074998</v>
      </c>
      <c r="S31">
        <v>6.1525198415507703</v>
      </c>
      <c r="T31">
        <v>6.1718275397480999</v>
      </c>
      <c r="U31">
        <v>6.1531240849827302</v>
      </c>
      <c r="V31">
        <v>6.12244019572368</v>
      </c>
      <c r="W31">
        <v>6.0678877979267503</v>
      </c>
      <c r="X31">
        <v>5.9953720100211596</v>
      </c>
      <c r="Y31" t="s">
        <v>43</v>
      </c>
    </row>
    <row r="32" spans="1:25">
      <c r="A32" t="s">
        <v>5978</v>
      </c>
      <c r="B32" t="s">
        <v>5996</v>
      </c>
      <c r="C32" t="s">
        <v>5986</v>
      </c>
      <c r="D32">
        <v>0.15144920000000001</v>
      </c>
      <c r="E32">
        <v>9.0710700000000005E-2</v>
      </c>
      <c r="F32">
        <v>0.12959850000000001</v>
      </c>
      <c r="G32">
        <v>0.13131480000000001</v>
      </c>
      <c r="H32">
        <v>0.1362493659</v>
      </c>
      <c r="I32">
        <v>0.14249162900000001</v>
      </c>
      <c r="J32">
        <v>0.151325396</v>
      </c>
      <c r="K32">
        <v>0.16459654000000001</v>
      </c>
      <c r="L32">
        <v>0.18085925999999999</v>
      </c>
      <c r="M32">
        <v>0.19347934</v>
      </c>
      <c r="N32">
        <v>0.20365610000000001</v>
      </c>
      <c r="O32">
        <v>0.215633089999999</v>
      </c>
      <c r="P32">
        <v>0.23058229999999999</v>
      </c>
      <c r="Q32">
        <v>0.24653876999999999</v>
      </c>
      <c r="R32">
        <v>0.26018261999999998</v>
      </c>
      <c r="S32">
        <v>0.2717967</v>
      </c>
      <c r="T32">
        <v>0.28300139999999901</v>
      </c>
      <c r="U32">
        <v>0.29266760000000003</v>
      </c>
      <c r="V32">
        <v>0.301271549999999</v>
      </c>
      <c r="W32">
        <v>0.30948751000000002</v>
      </c>
      <c r="X32">
        <v>0.31707493999999897</v>
      </c>
      <c r="Y32" t="s">
        <v>43</v>
      </c>
    </row>
    <row r="33" spans="1:25">
      <c r="A33" t="s">
        <v>5978</v>
      </c>
      <c r="B33" t="s">
        <v>5996</v>
      </c>
      <c r="C33" t="s">
        <v>5982</v>
      </c>
      <c r="D33">
        <v>8.8033154973999892</v>
      </c>
      <c r="E33">
        <v>14.4199923999999</v>
      </c>
      <c r="F33">
        <v>16.474564699999998</v>
      </c>
      <c r="G33">
        <v>17.557951499999898</v>
      </c>
      <c r="H33">
        <v>18.600763992089998</v>
      </c>
      <c r="I33">
        <v>19.8896645335</v>
      </c>
      <c r="J33">
        <v>21.109759678300001</v>
      </c>
      <c r="K33">
        <v>22.376361794999902</v>
      </c>
      <c r="L33">
        <v>23.617616127000002</v>
      </c>
      <c r="M33">
        <v>24.673219273999901</v>
      </c>
      <c r="N33">
        <v>25.633696580999999</v>
      </c>
      <c r="O33">
        <v>26.355366242999999</v>
      </c>
      <c r="P33">
        <v>26.923403019999999</v>
      </c>
      <c r="Q33">
        <v>27.347565489999901</v>
      </c>
      <c r="R33">
        <v>27.57995528</v>
      </c>
      <c r="S33">
        <v>27.621879270000001</v>
      </c>
      <c r="T33">
        <v>27.5341427299999</v>
      </c>
      <c r="U33">
        <v>27.284747929999899</v>
      </c>
      <c r="V33">
        <v>26.9973050299999</v>
      </c>
      <c r="W33">
        <v>26.753388899999901</v>
      </c>
      <c r="X33">
        <v>26.416046680000001</v>
      </c>
      <c r="Y33" t="s">
        <v>43</v>
      </c>
    </row>
    <row r="34" spans="1:25">
      <c r="A34" t="s">
        <v>5978</v>
      </c>
      <c r="B34" t="s">
        <v>5996</v>
      </c>
      <c r="C34" t="s">
        <v>5988</v>
      </c>
      <c r="D34">
        <v>2.2448733999999901</v>
      </c>
      <c r="E34">
        <v>3.3691081999999999</v>
      </c>
      <c r="F34">
        <v>4.0682751999999898</v>
      </c>
      <c r="G34">
        <v>4.8358801999999903</v>
      </c>
      <c r="H34">
        <v>5.3108185929999996</v>
      </c>
      <c r="I34">
        <v>5.7289624378999999</v>
      </c>
      <c r="J34">
        <v>6.3727251760000003</v>
      </c>
      <c r="K34">
        <v>6.8304636139999904</v>
      </c>
      <c r="L34">
        <v>7.1776762439999997</v>
      </c>
      <c r="M34">
        <v>7.5461829900000001</v>
      </c>
      <c r="N34">
        <v>7.7993257199999997</v>
      </c>
      <c r="O34">
        <v>8.0774892299999994</v>
      </c>
      <c r="P34">
        <v>8.3339970099999992</v>
      </c>
      <c r="Q34">
        <v>8.47977036999999</v>
      </c>
      <c r="R34">
        <v>8.5967097799999994</v>
      </c>
      <c r="S34">
        <v>8.7111261499999895</v>
      </c>
      <c r="T34">
        <v>8.7181274900000005</v>
      </c>
      <c r="U34">
        <v>8.6516497799999996</v>
      </c>
      <c r="V34">
        <v>8.4395357999999998</v>
      </c>
      <c r="W34">
        <v>8.0307735199999897</v>
      </c>
      <c r="X34">
        <v>7.6164634199999899</v>
      </c>
      <c r="Y34" t="s">
        <v>43</v>
      </c>
    </row>
    <row r="35" spans="1:25">
      <c r="A35" t="s">
        <v>5978</v>
      </c>
      <c r="B35" t="s">
        <v>5997</v>
      </c>
      <c r="C35" t="s">
        <v>5984</v>
      </c>
      <c r="D35">
        <v>0</v>
      </c>
      <c r="E35">
        <v>0</v>
      </c>
      <c r="F35">
        <v>0</v>
      </c>
      <c r="G35">
        <v>0</v>
      </c>
      <c r="H35">
        <v>3.8332883560000001E-3</v>
      </c>
      <c r="I35">
        <v>1.1144585417000001E-2</v>
      </c>
      <c r="J35">
        <v>4.1832722492700002E-2</v>
      </c>
      <c r="K35">
        <v>7.3499788715299996E-2</v>
      </c>
      <c r="L35">
        <v>9.4422761684999995E-2</v>
      </c>
      <c r="M35">
        <v>0.114116194339</v>
      </c>
      <c r="N35">
        <v>0.13072471207</v>
      </c>
      <c r="O35">
        <v>0.13971806276000001</v>
      </c>
      <c r="P35">
        <v>0.14333656215999999</v>
      </c>
      <c r="Q35">
        <v>0.14346418816999901</v>
      </c>
      <c r="R35">
        <v>0.14136723187</v>
      </c>
      <c r="S35">
        <v>0.13845448116</v>
      </c>
      <c r="T35">
        <v>0.13547405428000001</v>
      </c>
      <c r="U35">
        <v>0.13307268406</v>
      </c>
      <c r="V35">
        <v>0.13118784924999999</v>
      </c>
      <c r="W35">
        <v>0.129029611149999</v>
      </c>
      <c r="X35">
        <v>0.12648180906000001</v>
      </c>
      <c r="Y35" t="s">
        <v>43</v>
      </c>
    </row>
    <row r="36" spans="1:25">
      <c r="A36" t="s">
        <v>5978</v>
      </c>
      <c r="B36" t="s">
        <v>5997</v>
      </c>
      <c r="C36" t="s">
        <v>5980</v>
      </c>
      <c r="D36">
        <v>0</v>
      </c>
      <c r="E36">
        <v>0</v>
      </c>
      <c r="F36">
        <v>0</v>
      </c>
      <c r="G36">
        <v>0</v>
      </c>
      <c r="H36">
        <v>0</v>
      </c>
      <c r="I36">
        <v>1.0800851172E-2</v>
      </c>
      <c r="J36">
        <v>3.7572571928000002E-2</v>
      </c>
      <c r="K36">
        <v>7.1656594236999993E-2</v>
      </c>
      <c r="L36">
        <v>9.8814641355199906E-2</v>
      </c>
      <c r="M36">
        <v>0.12715457810199901</v>
      </c>
      <c r="N36">
        <v>0.149294639231</v>
      </c>
      <c r="O36">
        <v>0.15993786428099999</v>
      </c>
      <c r="P36">
        <v>0.16356715985499901</v>
      </c>
      <c r="Q36">
        <v>0.16370271521999899</v>
      </c>
      <c r="R36">
        <v>0.16245541880700001</v>
      </c>
      <c r="S36">
        <v>0.160743589283</v>
      </c>
      <c r="T36">
        <v>0.15841233368300001</v>
      </c>
      <c r="U36">
        <v>0.15564038994899901</v>
      </c>
      <c r="V36">
        <v>0.152446839699</v>
      </c>
      <c r="W36">
        <v>0.14875629165099999</v>
      </c>
      <c r="X36">
        <v>0.144832469493999</v>
      </c>
      <c r="Y36" t="s">
        <v>43</v>
      </c>
    </row>
    <row r="37" spans="1:25">
      <c r="A37" t="s">
        <v>5978</v>
      </c>
      <c r="B37" t="s">
        <v>5997</v>
      </c>
      <c r="C37" t="s">
        <v>5985</v>
      </c>
      <c r="D37" s="493">
        <v>2.930001E-4</v>
      </c>
      <c r="E37">
        <v>6.7811937999999999E-3</v>
      </c>
      <c r="F37">
        <v>6.65578989999999E-3</v>
      </c>
      <c r="G37">
        <v>9.4185897000000005E-3</v>
      </c>
      <c r="H37">
        <v>9.2544268499999902E-3</v>
      </c>
      <c r="I37">
        <v>9.2893129600000006E-3</v>
      </c>
      <c r="J37">
        <v>8.9824605299999999E-3</v>
      </c>
      <c r="K37">
        <v>8.5181977400000004E-3</v>
      </c>
      <c r="L37">
        <v>8.1286319800000003E-3</v>
      </c>
      <c r="M37">
        <v>7.4441034299999997E-3</v>
      </c>
      <c r="N37">
        <v>6.7757808299999901E-3</v>
      </c>
      <c r="O37">
        <v>6.1454198099999899E-3</v>
      </c>
      <c r="P37">
        <v>5.6227501399999996E-3</v>
      </c>
      <c r="Q37">
        <v>5.2285801400000003E-3</v>
      </c>
      <c r="R37">
        <v>4.9118881499999999E-3</v>
      </c>
      <c r="S37">
        <v>4.6345493700000002E-3</v>
      </c>
      <c r="T37">
        <v>4.4187355899999899E-3</v>
      </c>
      <c r="U37">
        <v>4.2240719000000001E-3</v>
      </c>
      <c r="V37">
        <v>4.0340325099999996E-3</v>
      </c>
      <c r="W37">
        <v>3.8553585299999902E-3</v>
      </c>
      <c r="X37">
        <v>3.7143999900000001E-3</v>
      </c>
      <c r="Y37" t="s">
        <v>43</v>
      </c>
    </row>
    <row r="38" spans="1:25">
      <c r="A38" t="s">
        <v>5978</v>
      </c>
      <c r="B38" t="s">
        <v>5997</v>
      </c>
      <c r="C38" t="s">
        <v>5986</v>
      </c>
      <c r="D38">
        <v>0.114528899</v>
      </c>
      <c r="E38">
        <v>0.13646360599999999</v>
      </c>
      <c r="F38">
        <v>0.16220800129999899</v>
      </c>
      <c r="G38">
        <v>0.19661609999999999</v>
      </c>
      <c r="H38">
        <v>0.201975979999999</v>
      </c>
      <c r="I38">
        <v>0.20211116270000001</v>
      </c>
      <c r="J38">
        <v>0.18728338886999901</v>
      </c>
      <c r="K38">
        <v>0.16850970613999899</v>
      </c>
      <c r="L38">
        <v>0.15501247753</v>
      </c>
      <c r="M38">
        <v>0.14163486236</v>
      </c>
      <c r="N38">
        <v>0.12980765737</v>
      </c>
      <c r="O38">
        <v>0.11775221365000001</v>
      </c>
      <c r="P38">
        <v>0.10588816461</v>
      </c>
      <c r="Q38">
        <v>9.5108103389999907E-2</v>
      </c>
      <c r="R38">
        <v>8.5633718019999902E-2</v>
      </c>
      <c r="S38">
        <v>7.7156976329999905E-2</v>
      </c>
      <c r="T38">
        <v>7.0728385690000006E-2</v>
      </c>
      <c r="U38">
        <v>6.5726476650000004E-2</v>
      </c>
      <c r="V38">
        <v>6.1497010839999998E-2</v>
      </c>
      <c r="W38">
        <v>5.754054602E-2</v>
      </c>
      <c r="X38">
        <v>5.3699483669999902E-2</v>
      </c>
      <c r="Y38" t="s">
        <v>43</v>
      </c>
    </row>
    <row r="39" spans="1:25">
      <c r="A39" t="s">
        <v>5978</v>
      </c>
      <c r="B39" t="s">
        <v>5997</v>
      </c>
      <c r="C39" t="s">
        <v>5987</v>
      </c>
      <c r="D39">
        <v>1.5320800000000001E-2</v>
      </c>
      <c r="E39">
        <v>4.8850709999999999E-2</v>
      </c>
      <c r="F39">
        <v>6.9738689999999895E-2</v>
      </c>
      <c r="G39">
        <v>3.9013600000000002E-2</v>
      </c>
      <c r="H39">
        <v>3.8158078999999998E-2</v>
      </c>
      <c r="I39">
        <v>3.6440133E-2</v>
      </c>
      <c r="J39">
        <v>3.3614893999999999E-2</v>
      </c>
      <c r="K39">
        <v>3.0703231399999999E-2</v>
      </c>
      <c r="L39">
        <v>2.87683958999999E-2</v>
      </c>
      <c r="M39">
        <v>2.6656099999999999E-2</v>
      </c>
      <c r="N39">
        <v>2.47805821E-2</v>
      </c>
      <c r="O39">
        <v>2.3102334499999998E-2</v>
      </c>
      <c r="P39">
        <v>2.16270012999999E-2</v>
      </c>
      <c r="Q39">
        <v>2.0316003199999998E-2</v>
      </c>
      <c r="R39">
        <v>1.9161584400000001E-2</v>
      </c>
      <c r="S39">
        <v>1.8108280800000001E-2</v>
      </c>
      <c r="T39">
        <v>1.7231208800000002E-2</v>
      </c>
      <c r="U39">
        <v>1.64751351E-2</v>
      </c>
      <c r="V39">
        <v>1.57632222E-2</v>
      </c>
      <c r="W39">
        <v>1.5060210399999999E-2</v>
      </c>
      <c r="X39">
        <v>1.4300613E-2</v>
      </c>
      <c r="Y39" t="s">
        <v>43</v>
      </c>
    </row>
    <row r="40" spans="1:25">
      <c r="A40" t="s">
        <v>5978</v>
      </c>
      <c r="B40" t="s">
        <v>5997</v>
      </c>
      <c r="C40" t="s">
        <v>5981</v>
      </c>
      <c r="D40">
        <v>0.235378905</v>
      </c>
      <c r="E40">
        <v>0.3739767806</v>
      </c>
      <c r="F40">
        <v>0.55841179819999998</v>
      </c>
      <c r="G40">
        <v>0.666117348</v>
      </c>
      <c r="H40">
        <v>0.68800961299999996</v>
      </c>
      <c r="I40">
        <v>0.71899703788189995</v>
      </c>
      <c r="J40">
        <v>0.75195437490539996</v>
      </c>
      <c r="K40">
        <v>0.78124400930719895</v>
      </c>
      <c r="L40">
        <v>0.79830969541600005</v>
      </c>
      <c r="M40">
        <v>0.82238042112319998</v>
      </c>
      <c r="N40">
        <v>0.84932504954399901</v>
      </c>
      <c r="O40">
        <v>0.86284200490100005</v>
      </c>
      <c r="P40">
        <v>0.86770305703999995</v>
      </c>
      <c r="Q40">
        <v>0.86644180372999902</v>
      </c>
      <c r="R40">
        <v>0.86306456203399895</v>
      </c>
      <c r="S40">
        <v>0.857804304936999</v>
      </c>
      <c r="T40">
        <v>0.84629301227099896</v>
      </c>
      <c r="U40">
        <v>0.82864540445599999</v>
      </c>
      <c r="V40">
        <v>0.80659565182699899</v>
      </c>
      <c r="W40">
        <v>0.78347621800400002</v>
      </c>
      <c r="X40">
        <v>0.76159108851399904</v>
      </c>
      <c r="Y40" t="s">
        <v>43</v>
      </c>
    </row>
    <row r="41" spans="1:25">
      <c r="A41" t="s">
        <v>5978</v>
      </c>
      <c r="B41" t="s">
        <v>5997</v>
      </c>
      <c r="C41" t="s">
        <v>5982</v>
      </c>
      <c r="D41">
        <v>1.00531026624</v>
      </c>
      <c r="E41">
        <v>0.74925229209999999</v>
      </c>
      <c r="F41">
        <v>0.77880551519999996</v>
      </c>
      <c r="G41">
        <v>1.2426548527199901</v>
      </c>
      <c r="H41">
        <v>1.2763529311399999</v>
      </c>
      <c r="I41">
        <v>1.2652413577099999</v>
      </c>
      <c r="J41">
        <v>1.1952720342550001</v>
      </c>
      <c r="K41">
        <v>1.10514482894399</v>
      </c>
      <c r="L41">
        <v>1.031741677024</v>
      </c>
      <c r="M41">
        <v>0.93319783940099998</v>
      </c>
      <c r="N41">
        <v>0.83208730849099899</v>
      </c>
      <c r="O41">
        <v>0.77389056386400001</v>
      </c>
      <c r="P41">
        <v>0.74647320656599903</v>
      </c>
      <c r="Q41">
        <v>0.73461579277399902</v>
      </c>
      <c r="R41">
        <v>0.72736043878599899</v>
      </c>
      <c r="S41">
        <v>0.71782110080899997</v>
      </c>
      <c r="T41">
        <v>0.70890356801900001</v>
      </c>
      <c r="U41">
        <v>0.70143858972099904</v>
      </c>
      <c r="V41">
        <v>0.69534680743199995</v>
      </c>
      <c r="W41">
        <v>0.68973098185799997</v>
      </c>
      <c r="X41">
        <v>0.68501037743229998</v>
      </c>
      <c r="Y41" t="s">
        <v>43</v>
      </c>
    </row>
    <row r="42" spans="1:25">
      <c r="A42" t="s">
        <v>5978</v>
      </c>
      <c r="B42" t="s">
        <v>5997</v>
      </c>
      <c r="C42" t="s">
        <v>5988</v>
      </c>
      <c r="D42">
        <v>0.1297660796</v>
      </c>
      <c r="E42">
        <v>0.37590261899999999</v>
      </c>
      <c r="F42">
        <v>0.17325858799999999</v>
      </c>
      <c r="G42">
        <v>0.27121119700000001</v>
      </c>
      <c r="H42">
        <v>0.27327633080000002</v>
      </c>
      <c r="I42">
        <v>0.26431236850000001</v>
      </c>
      <c r="J42">
        <v>0.2461700875</v>
      </c>
      <c r="K42">
        <v>0.22811156663000001</v>
      </c>
      <c r="L42">
        <v>0.21738020199999999</v>
      </c>
      <c r="M42">
        <v>0.20487406529999999</v>
      </c>
      <c r="N42">
        <v>0.19322476959999901</v>
      </c>
      <c r="O42">
        <v>0.18362739766</v>
      </c>
      <c r="P42">
        <v>0.17613443496</v>
      </c>
      <c r="Q42">
        <v>0.16913441781999899</v>
      </c>
      <c r="R42">
        <v>0.162802868469999</v>
      </c>
      <c r="S42">
        <v>0.15681810113</v>
      </c>
      <c r="T42">
        <v>0.15134622217999999</v>
      </c>
      <c r="U42">
        <v>0.14642960577</v>
      </c>
      <c r="V42">
        <v>0.14120012843999899</v>
      </c>
      <c r="W42">
        <v>0.13474115550999999</v>
      </c>
      <c r="X42">
        <v>0.12803410700000001</v>
      </c>
      <c r="Y42" t="s">
        <v>43</v>
      </c>
    </row>
    <row r="43" spans="1:25">
      <c r="A43" t="s">
        <v>5978</v>
      </c>
      <c r="B43" t="s">
        <v>5998</v>
      </c>
      <c r="C43" t="s">
        <v>5982</v>
      </c>
      <c r="D43">
        <v>3.10178459999999</v>
      </c>
      <c r="E43">
        <v>4.0000534999999999</v>
      </c>
      <c r="F43">
        <v>3.9075473999999999</v>
      </c>
      <c r="G43">
        <v>3.9434202999999899</v>
      </c>
      <c r="H43">
        <v>4.1357174080999997</v>
      </c>
      <c r="I43">
        <v>4.3109618346999898</v>
      </c>
      <c r="J43">
        <v>4.4758527845999998</v>
      </c>
      <c r="K43">
        <v>4.6324900223999999</v>
      </c>
      <c r="L43">
        <v>4.7694328490000002</v>
      </c>
      <c r="M43">
        <v>4.8959491120000003</v>
      </c>
      <c r="N43">
        <v>5.0185160669999904</v>
      </c>
      <c r="O43">
        <v>5.1153128529999998</v>
      </c>
      <c r="P43">
        <v>5.1963545299999998</v>
      </c>
      <c r="Q43">
        <v>5.2602247799999997</v>
      </c>
      <c r="R43">
        <v>5.3131191649999998</v>
      </c>
      <c r="S43">
        <v>5.3545283570000004</v>
      </c>
      <c r="T43">
        <v>5.3847419019999903</v>
      </c>
      <c r="U43">
        <v>5.4069457319999996</v>
      </c>
      <c r="V43">
        <v>5.4218710779999899</v>
      </c>
      <c r="W43">
        <v>5.4286599729999896</v>
      </c>
      <c r="X43">
        <v>5.4278259970000002</v>
      </c>
      <c r="Y43" t="s">
        <v>43</v>
      </c>
    </row>
    <row r="44" spans="1:25">
      <c r="A44" t="s">
        <v>5978</v>
      </c>
      <c r="B44" t="s">
        <v>5999</v>
      </c>
      <c r="C44" t="s">
        <v>5985</v>
      </c>
      <c r="D44">
        <v>1.1439704022999999</v>
      </c>
      <c r="E44">
        <v>1.7138928723</v>
      </c>
      <c r="F44">
        <v>1.9931272285999999</v>
      </c>
      <c r="G44">
        <v>2.2242203389999999</v>
      </c>
      <c r="H44">
        <v>2.4238946196699902</v>
      </c>
      <c r="I44">
        <v>2.6173661727947999</v>
      </c>
      <c r="J44">
        <v>2.8155712265571999</v>
      </c>
      <c r="K44">
        <v>2.9968291487726</v>
      </c>
      <c r="L44">
        <v>3.1656304336434999</v>
      </c>
      <c r="M44">
        <v>3.3214539499956999</v>
      </c>
      <c r="N44">
        <v>3.4536111128506999</v>
      </c>
      <c r="O44">
        <v>3.5469747842773098</v>
      </c>
      <c r="P44">
        <v>3.6082604644662202</v>
      </c>
      <c r="Q44">
        <v>3.6634724893514101</v>
      </c>
      <c r="R44">
        <v>3.7285479016509901</v>
      </c>
      <c r="S44">
        <v>3.7915957783568</v>
      </c>
      <c r="T44">
        <v>3.8395928661365999</v>
      </c>
      <c r="U44">
        <v>3.8689732226364999</v>
      </c>
      <c r="V44">
        <v>3.8852703984542898</v>
      </c>
      <c r="W44">
        <v>3.8946935517216001</v>
      </c>
      <c r="X44">
        <v>3.8980790976686999</v>
      </c>
      <c r="Y44" t="s">
        <v>43</v>
      </c>
    </row>
    <row r="45" spans="1:25">
      <c r="A45" t="s">
        <v>5978</v>
      </c>
      <c r="B45" t="s">
        <v>5999</v>
      </c>
      <c r="C45" t="s">
        <v>5986</v>
      </c>
      <c r="D45">
        <v>1.219194318</v>
      </c>
      <c r="E45">
        <v>1.4864427790000001</v>
      </c>
      <c r="F45">
        <v>1.97763455349999</v>
      </c>
      <c r="G45">
        <v>1.6877726448000001</v>
      </c>
      <c r="H45">
        <v>1.8228954369799999</v>
      </c>
      <c r="I45">
        <v>1.92648711310649</v>
      </c>
      <c r="J45">
        <v>2.0031487634498899</v>
      </c>
      <c r="K45">
        <v>2.0404832603679002</v>
      </c>
      <c r="L45">
        <v>2.0654854053632898</v>
      </c>
      <c r="M45">
        <v>2.0880339653115998</v>
      </c>
      <c r="N45">
        <v>2.0981031054446899</v>
      </c>
      <c r="O45">
        <v>2.0926379492610501</v>
      </c>
      <c r="P45">
        <v>2.0705540673365701</v>
      </c>
      <c r="Q45">
        <v>2.04220746175345</v>
      </c>
      <c r="R45">
        <v>2.0155681871045799</v>
      </c>
      <c r="S45">
        <v>1.9857999577222401</v>
      </c>
      <c r="T45">
        <v>1.95100891641805</v>
      </c>
      <c r="U45">
        <v>1.9086268657958301</v>
      </c>
      <c r="V45">
        <v>1.86232390829735</v>
      </c>
      <c r="W45">
        <v>1.816352860469</v>
      </c>
      <c r="X45">
        <v>1.7708850313143001</v>
      </c>
      <c r="Y45" t="s">
        <v>43</v>
      </c>
    </row>
    <row r="46" spans="1:25">
      <c r="A46" t="s">
        <v>5978</v>
      </c>
      <c r="B46" t="s">
        <v>5999</v>
      </c>
      <c r="C46" t="s">
        <v>5987</v>
      </c>
      <c r="D46">
        <v>0.12156632000000001</v>
      </c>
      <c r="E46">
        <v>0.33614572999999998</v>
      </c>
      <c r="F46">
        <v>0.39511162</v>
      </c>
      <c r="G46">
        <v>0.36806227000000002</v>
      </c>
      <c r="H46">
        <v>0.37776693300000003</v>
      </c>
      <c r="I46">
        <v>0.38754352599999897</v>
      </c>
      <c r="J46">
        <v>0.39614443599999899</v>
      </c>
      <c r="K46">
        <v>0.40157821299999902</v>
      </c>
      <c r="L46">
        <v>0.40639313999999999</v>
      </c>
      <c r="M46">
        <v>0.408632448899999</v>
      </c>
      <c r="N46">
        <v>0.40750242980000001</v>
      </c>
      <c r="O46">
        <v>0.40405825094999998</v>
      </c>
      <c r="P46">
        <v>0.39913109593999901</v>
      </c>
      <c r="Q46">
        <v>0.39462755382999998</v>
      </c>
      <c r="R46">
        <v>0.39023221759999999</v>
      </c>
      <c r="S46">
        <v>0.38587709260000003</v>
      </c>
      <c r="T46">
        <v>0.38104409727999999</v>
      </c>
      <c r="U46">
        <v>0.37516591186999998</v>
      </c>
      <c r="V46">
        <v>0.36863650919999902</v>
      </c>
      <c r="W46">
        <v>0.361983670899999</v>
      </c>
      <c r="X46">
        <v>0.3539253108</v>
      </c>
      <c r="Y46" t="s">
        <v>43</v>
      </c>
    </row>
    <row r="47" spans="1:25">
      <c r="A47" t="s">
        <v>5978</v>
      </c>
      <c r="B47" t="s">
        <v>5999</v>
      </c>
      <c r="C47" t="s">
        <v>5981</v>
      </c>
      <c r="D47">
        <v>1.0296397100000001</v>
      </c>
      <c r="E47">
        <v>1.5763521999999901</v>
      </c>
      <c r="F47">
        <v>1.8691872700000001</v>
      </c>
      <c r="G47">
        <v>2.1994500299999902</v>
      </c>
      <c r="H47">
        <v>2.3199910620000002</v>
      </c>
      <c r="I47">
        <v>2.4393969979679899</v>
      </c>
      <c r="J47">
        <v>2.5592548853729999</v>
      </c>
      <c r="K47">
        <v>2.6953349995989999</v>
      </c>
      <c r="L47">
        <v>2.8375652755109</v>
      </c>
      <c r="M47">
        <v>2.9525130874123899</v>
      </c>
      <c r="N47">
        <v>3.0531844893770002</v>
      </c>
      <c r="O47">
        <v>3.1496595606660001</v>
      </c>
      <c r="P47">
        <v>3.2388502287262</v>
      </c>
      <c r="Q47">
        <v>3.3071162777229901</v>
      </c>
      <c r="R47">
        <v>3.3497789550079902</v>
      </c>
      <c r="S47">
        <v>3.3743219385529999</v>
      </c>
      <c r="T47">
        <v>3.388223500998</v>
      </c>
      <c r="U47">
        <v>3.392459725298</v>
      </c>
      <c r="V47">
        <v>3.3857567811279998</v>
      </c>
      <c r="W47">
        <v>3.36954706609299</v>
      </c>
      <c r="X47">
        <v>3.3451146415499999</v>
      </c>
      <c r="Y47" t="s">
        <v>43</v>
      </c>
    </row>
    <row r="48" spans="1:25">
      <c r="A48" t="s">
        <v>5978</v>
      </c>
      <c r="B48" t="s">
        <v>5999</v>
      </c>
      <c r="C48" t="s">
        <v>6004</v>
      </c>
      <c r="D48">
        <v>0</v>
      </c>
      <c r="E48">
        <v>0</v>
      </c>
      <c r="F48">
        <v>0</v>
      </c>
      <c r="G48">
        <v>0</v>
      </c>
      <c r="H48">
        <v>0</v>
      </c>
      <c r="I48">
        <v>2.1786197305999899E-3</v>
      </c>
      <c r="J48">
        <v>1.03156602192999E-2</v>
      </c>
      <c r="K48">
        <v>3.3157167218699997E-2</v>
      </c>
      <c r="L48">
        <v>6.2575228579899903E-2</v>
      </c>
      <c r="M48">
        <v>8.0142534259809994E-2</v>
      </c>
      <c r="N48">
        <v>8.9852488124900001E-2</v>
      </c>
      <c r="O48">
        <v>0.104020725525</v>
      </c>
      <c r="P48">
        <v>0.12555563868899999</v>
      </c>
      <c r="Q48">
        <v>0.147067685673999</v>
      </c>
      <c r="R48">
        <v>0.161924882429999</v>
      </c>
      <c r="S48">
        <v>0.172858447483</v>
      </c>
      <c r="T48">
        <v>0.184741250122999</v>
      </c>
      <c r="U48">
        <v>0.19786309607200001</v>
      </c>
      <c r="V48">
        <v>0.20897480225199999</v>
      </c>
      <c r="W48">
        <v>0.216421362921</v>
      </c>
      <c r="X48">
        <v>0.221473212206999</v>
      </c>
      <c r="Y48" t="s">
        <v>43</v>
      </c>
    </row>
    <row r="49" spans="1:25">
      <c r="A49" t="s">
        <v>5978</v>
      </c>
      <c r="B49" t="s">
        <v>5999</v>
      </c>
      <c r="C49" t="s">
        <v>5982</v>
      </c>
      <c r="D49">
        <v>1.070905405</v>
      </c>
      <c r="E49">
        <v>1.0920473180000001</v>
      </c>
      <c r="F49">
        <v>0.91845672099999998</v>
      </c>
      <c r="G49">
        <v>0.88086231699999895</v>
      </c>
      <c r="H49">
        <v>0.83794030159999899</v>
      </c>
      <c r="I49">
        <v>0.83690535439000002</v>
      </c>
      <c r="J49">
        <v>0.87632534746499902</v>
      </c>
      <c r="K49">
        <v>0.92199642369000001</v>
      </c>
      <c r="L49">
        <v>0.95345251826800004</v>
      </c>
      <c r="M49">
        <v>0.989068881452</v>
      </c>
      <c r="N49">
        <v>1.06006837300999</v>
      </c>
      <c r="O49">
        <v>1.1500422340112</v>
      </c>
      <c r="P49">
        <v>1.2463163267161901</v>
      </c>
      <c r="Q49">
        <v>1.33528883632499</v>
      </c>
      <c r="R49">
        <v>1.4070661639919999</v>
      </c>
      <c r="S49">
        <v>1.4633232379429999</v>
      </c>
      <c r="T49">
        <v>1.50888090122799</v>
      </c>
      <c r="U49">
        <v>1.54925242651199</v>
      </c>
      <c r="V49">
        <v>1.5942449217000001</v>
      </c>
      <c r="W49">
        <v>1.6566518795059899</v>
      </c>
      <c r="X49">
        <v>1.7349711631989899</v>
      </c>
      <c r="Y49" t="s">
        <v>43</v>
      </c>
    </row>
    <row r="50" spans="1:25">
      <c r="A50" t="s">
        <v>5978</v>
      </c>
      <c r="B50" t="s">
        <v>5999</v>
      </c>
      <c r="C50" t="s">
        <v>5988</v>
      </c>
      <c r="D50">
        <v>0.77320845000000005</v>
      </c>
      <c r="E50">
        <v>1.8646403409999901</v>
      </c>
      <c r="F50">
        <v>2.1926528429999999</v>
      </c>
      <c r="G50">
        <v>2.5172004019999998</v>
      </c>
      <c r="H50">
        <v>2.7165433351999999</v>
      </c>
      <c r="I50">
        <v>2.9298101511199999</v>
      </c>
      <c r="J50">
        <v>3.0906096449419902</v>
      </c>
      <c r="K50">
        <v>3.229249617517</v>
      </c>
      <c r="L50">
        <v>3.3405969255949901</v>
      </c>
      <c r="M50">
        <v>3.4289191689415</v>
      </c>
      <c r="N50">
        <v>3.468392103457</v>
      </c>
      <c r="O50">
        <v>3.4797037726026998</v>
      </c>
      <c r="P50">
        <v>3.4813819889971001</v>
      </c>
      <c r="Q50">
        <v>3.4816129794539998</v>
      </c>
      <c r="R50">
        <v>3.4871646916829899</v>
      </c>
      <c r="S50">
        <v>3.4932227723419902</v>
      </c>
      <c r="T50">
        <v>3.489792706672</v>
      </c>
      <c r="U50">
        <v>3.47978986223599</v>
      </c>
      <c r="V50">
        <v>3.4605463347819998</v>
      </c>
      <c r="W50">
        <v>3.4137820586749998</v>
      </c>
      <c r="X50">
        <v>3.3394035018350001</v>
      </c>
      <c r="Y50" t="s">
        <v>43</v>
      </c>
    </row>
    <row r="51" spans="1:25">
      <c r="A51" t="s">
        <v>5978</v>
      </c>
      <c r="B51" t="s">
        <v>449</v>
      </c>
      <c r="C51" t="s">
        <v>5993</v>
      </c>
      <c r="D51">
        <v>0</v>
      </c>
      <c r="E51">
        <v>0</v>
      </c>
      <c r="F51">
        <v>0</v>
      </c>
      <c r="G51">
        <v>0</v>
      </c>
      <c r="H51">
        <v>0</v>
      </c>
      <c r="I51">
        <v>5.240160864E-2</v>
      </c>
      <c r="J51">
        <v>0.20163994246699901</v>
      </c>
      <c r="K51">
        <v>0.35279090085199899</v>
      </c>
      <c r="L51">
        <v>0.46123905385999903</v>
      </c>
      <c r="M51">
        <v>0.56385484023999999</v>
      </c>
      <c r="N51">
        <v>0.65384615703000004</v>
      </c>
      <c r="O51">
        <v>0.71070927351999902</v>
      </c>
      <c r="P51">
        <v>0.73905777619999902</v>
      </c>
      <c r="Q51">
        <v>0.74746900409999995</v>
      </c>
      <c r="R51">
        <v>0.74241837060000104</v>
      </c>
      <c r="S51">
        <v>0.72900900699999904</v>
      </c>
      <c r="T51">
        <v>0.70648607429999899</v>
      </c>
      <c r="U51">
        <v>0.67652334989999896</v>
      </c>
      <c r="V51">
        <v>0.64007633050000001</v>
      </c>
      <c r="W51">
        <v>0.59782064940000001</v>
      </c>
      <c r="X51">
        <v>0.55014339049999905</v>
      </c>
      <c r="Y51" t="s">
        <v>43</v>
      </c>
    </row>
    <row r="52" spans="1:25">
      <c r="A52" t="s">
        <v>5978</v>
      </c>
      <c r="B52" t="s">
        <v>449</v>
      </c>
      <c r="C52" t="s">
        <v>5985</v>
      </c>
      <c r="D52">
        <v>0</v>
      </c>
      <c r="E52">
        <v>0</v>
      </c>
      <c r="F52">
        <v>0</v>
      </c>
      <c r="G52">
        <v>0</v>
      </c>
      <c r="H52">
        <v>0</v>
      </c>
      <c r="I52">
        <v>0.59710159090000003</v>
      </c>
      <c r="J52">
        <v>1.3186916474999999</v>
      </c>
      <c r="K52">
        <v>1.9550450804999999</v>
      </c>
      <c r="L52">
        <v>2.3335141911099999</v>
      </c>
      <c r="M52">
        <v>2.6241106456999899</v>
      </c>
      <c r="N52">
        <v>2.8577386225999901</v>
      </c>
      <c r="O52">
        <v>2.9199918937999998</v>
      </c>
      <c r="P52">
        <v>2.866068812</v>
      </c>
      <c r="Q52">
        <v>2.7502970179999999</v>
      </c>
      <c r="R52">
        <v>2.61372604799999</v>
      </c>
      <c r="S52">
        <v>2.47070911</v>
      </c>
      <c r="T52">
        <v>2.3163918809999999</v>
      </c>
      <c r="U52">
        <v>2.1555340929999902</v>
      </c>
      <c r="V52">
        <v>1.9972956070000001</v>
      </c>
      <c r="W52">
        <v>1.847405577</v>
      </c>
      <c r="X52">
        <v>1.70799328099999</v>
      </c>
      <c r="Y52" t="s">
        <v>43</v>
      </c>
    </row>
    <row r="53" spans="1:25">
      <c r="A53" t="s">
        <v>5978</v>
      </c>
      <c r="B53" t="s">
        <v>449</v>
      </c>
      <c r="C53" t="s">
        <v>5986</v>
      </c>
      <c r="D53">
        <v>12.26410652583</v>
      </c>
      <c r="E53">
        <v>15.871570568339999</v>
      </c>
      <c r="F53">
        <v>22.335230676470001</v>
      </c>
      <c r="G53">
        <v>26.763845174989999</v>
      </c>
      <c r="H53">
        <v>31.366308645077702</v>
      </c>
      <c r="I53">
        <v>34.656205859434401</v>
      </c>
      <c r="J53">
        <v>36.405027961018902</v>
      </c>
      <c r="K53">
        <v>37.204202495939903</v>
      </c>
      <c r="L53">
        <v>37.747521462930003</v>
      </c>
      <c r="M53">
        <v>37.598624317599999</v>
      </c>
      <c r="N53">
        <v>36.838576377599999</v>
      </c>
      <c r="O53">
        <v>35.778345947599902</v>
      </c>
      <c r="P53">
        <v>34.486147451299999</v>
      </c>
      <c r="Q53">
        <v>33.018478875900001</v>
      </c>
      <c r="R53">
        <v>31.449219316099899</v>
      </c>
      <c r="S53">
        <v>29.772526595599999</v>
      </c>
      <c r="T53">
        <v>28.023619299700002</v>
      </c>
      <c r="U53">
        <v>26.223990757199999</v>
      </c>
      <c r="V53">
        <v>24.427372498299899</v>
      </c>
      <c r="W53">
        <v>22.6710580831</v>
      </c>
      <c r="X53">
        <v>20.972982540899999</v>
      </c>
      <c r="Y53" t="s">
        <v>43</v>
      </c>
    </row>
    <row r="54" spans="1:25">
      <c r="A54" t="s">
        <v>5978</v>
      </c>
      <c r="B54" t="s">
        <v>449</v>
      </c>
      <c r="C54" t="s">
        <v>5981</v>
      </c>
      <c r="D54">
        <v>1.9570435595619999</v>
      </c>
      <c r="E54">
        <v>2.8039199463559998</v>
      </c>
      <c r="F54">
        <v>3.6476048039989899</v>
      </c>
      <c r="G54">
        <v>3.9825012671568998</v>
      </c>
      <c r="H54">
        <v>4.4273841978091903</v>
      </c>
      <c r="I54">
        <v>5.0407528328264997</v>
      </c>
      <c r="J54">
        <v>5.5650573049213703</v>
      </c>
      <c r="K54">
        <v>5.9675386712400904</v>
      </c>
      <c r="L54">
        <v>6.2594816463824001</v>
      </c>
      <c r="M54">
        <v>6.459353656357</v>
      </c>
      <c r="N54">
        <v>6.5545604049919897</v>
      </c>
      <c r="O54">
        <v>6.560026008555</v>
      </c>
      <c r="P54">
        <v>6.4825903468110004</v>
      </c>
      <c r="Q54">
        <v>6.3279550833899902</v>
      </c>
      <c r="R54">
        <v>6.1195867138570001</v>
      </c>
      <c r="S54">
        <v>5.8686720976249998</v>
      </c>
      <c r="T54">
        <v>5.5767543313979999</v>
      </c>
      <c r="U54">
        <v>5.2594117459409899</v>
      </c>
      <c r="V54">
        <v>4.9274628073649902</v>
      </c>
      <c r="W54">
        <v>4.5917091864930004</v>
      </c>
      <c r="X54">
        <v>4.2629752780559897</v>
      </c>
      <c r="Y54" t="s">
        <v>43</v>
      </c>
    </row>
    <row r="55" spans="1:25">
      <c r="A55" t="s">
        <v>5978</v>
      </c>
      <c r="B55" t="s">
        <v>449</v>
      </c>
      <c r="C55" t="s">
        <v>5982</v>
      </c>
      <c r="D55">
        <v>0.33196839821799901</v>
      </c>
      <c r="E55">
        <v>0.55725185268599897</v>
      </c>
      <c r="F55">
        <v>0.48893088774399901</v>
      </c>
      <c r="G55">
        <v>0.38620482807599898</v>
      </c>
      <c r="H55">
        <v>0.37309950895205801</v>
      </c>
      <c r="I55">
        <v>0.46211828948619998</v>
      </c>
      <c r="J55">
        <v>0.56416875009031098</v>
      </c>
      <c r="K55">
        <v>0.66557774337201603</v>
      </c>
      <c r="L55">
        <v>0.75548935073338797</v>
      </c>
      <c r="M55">
        <v>0.848629648993525</v>
      </c>
      <c r="N55">
        <v>0.938080825412965</v>
      </c>
      <c r="O55">
        <v>1.0227234877860101</v>
      </c>
      <c r="P55">
        <v>1.0968407591631599</v>
      </c>
      <c r="Q55">
        <v>1.15125955427713</v>
      </c>
      <c r="R55">
        <v>1.1848605481905199</v>
      </c>
      <c r="S55">
        <v>1.2010918397699399</v>
      </c>
      <c r="T55">
        <v>1.20199144106541</v>
      </c>
      <c r="U55">
        <v>1.19189033579884</v>
      </c>
      <c r="V55">
        <v>1.171843462869</v>
      </c>
      <c r="W55">
        <v>1.14175573425635</v>
      </c>
      <c r="X55">
        <v>1.10538098602599</v>
      </c>
      <c r="Y55" t="s">
        <v>43</v>
      </c>
    </row>
    <row r="56" spans="1:25">
      <c r="A56" t="s">
        <v>5978</v>
      </c>
      <c r="B56" t="s">
        <v>449</v>
      </c>
      <c r="C56" t="s">
        <v>5988</v>
      </c>
      <c r="D56">
        <v>0.18427800774799999</v>
      </c>
      <c r="E56">
        <v>0.34725065158599999</v>
      </c>
      <c r="F56">
        <v>1.65304582376759</v>
      </c>
      <c r="G56">
        <v>1.428574801423</v>
      </c>
      <c r="H56">
        <v>1.3687260712160501</v>
      </c>
      <c r="I56">
        <v>1.70079079908972</v>
      </c>
      <c r="J56">
        <v>2.1323727716527299</v>
      </c>
      <c r="K56">
        <v>2.5566237330009902</v>
      </c>
      <c r="L56">
        <v>2.8478195752444901</v>
      </c>
      <c r="M56">
        <v>3.17245887332485</v>
      </c>
      <c r="N56">
        <v>3.4559579120939099</v>
      </c>
      <c r="O56">
        <v>3.7443213078401998</v>
      </c>
      <c r="P56">
        <v>3.9922050044254398</v>
      </c>
      <c r="Q56">
        <v>4.1268826967664003</v>
      </c>
      <c r="R56">
        <v>4.1888610659226702</v>
      </c>
      <c r="S56">
        <v>4.2266028059135303</v>
      </c>
      <c r="T56">
        <v>4.2188596901521196</v>
      </c>
      <c r="U56">
        <v>4.2042863954761804</v>
      </c>
      <c r="V56">
        <v>4.1627119763447</v>
      </c>
      <c r="W56">
        <v>4.0880547279617101</v>
      </c>
      <c r="X56">
        <v>4.0228348744410001</v>
      </c>
      <c r="Y56" t="s">
        <v>43</v>
      </c>
    </row>
    <row r="57" spans="1:25">
      <c r="A57" t="s">
        <v>5978</v>
      </c>
      <c r="B57" t="s">
        <v>6000</v>
      </c>
      <c r="C57" t="s">
        <v>5984</v>
      </c>
      <c r="D57">
        <v>0</v>
      </c>
      <c r="E57">
        <v>0</v>
      </c>
      <c r="F57">
        <v>0</v>
      </c>
      <c r="G57">
        <v>0</v>
      </c>
      <c r="H57">
        <v>4.0840516763999898E-3</v>
      </c>
      <c r="I57">
        <v>1.6200019117299898E-2</v>
      </c>
      <c r="J57">
        <v>8.2463428912199904E-2</v>
      </c>
      <c r="K57">
        <v>0.14619321963159901</v>
      </c>
      <c r="L57">
        <v>0.18353695929659999</v>
      </c>
      <c r="M57">
        <v>0.21685529362199901</v>
      </c>
      <c r="N57">
        <v>0.24354508051499901</v>
      </c>
      <c r="O57">
        <v>0.25461681295999899</v>
      </c>
      <c r="P57">
        <v>0.25377825068999998</v>
      </c>
      <c r="Q57">
        <v>0.24463760173999999</v>
      </c>
      <c r="R57">
        <v>0.23165234598499901</v>
      </c>
      <c r="S57">
        <v>0.218648120965</v>
      </c>
      <c r="T57">
        <v>0.206975986906</v>
      </c>
      <c r="U57">
        <v>0.19682990546199999</v>
      </c>
      <c r="V57">
        <v>0.18721804892900001</v>
      </c>
      <c r="W57">
        <v>0.17685369152899899</v>
      </c>
      <c r="X57">
        <v>0.166691470574999</v>
      </c>
      <c r="Y57" t="s">
        <v>43</v>
      </c>
    </row>
    <row r="58" spans="1:25">
      <c r="A58" t="s">
        <v>5978</v>
      </c>
      <c r="B58" t="s">
        <v>6000</v>
      </c>
      <c r="C58" t="s">
        <v>5980</v>
      </c>
      <c r="D58">
        <v>0</v>
      </c>
      <c r="E58">
        <v>0</v>
      </c>
      <c r="F58">
        <v>0</v>
      </c>
      <c r="G58">
        <v>0</v>
      </c>
      <c r="H58">
        <v>0</v>
      </c>
      <c r="I58">
        <v>8.0822419986999895E-3</v>
      </c>
      <c r="J58">
        <v>2.8865281083799901E-2</v>
      </c>
      <c r="K58">
        <v>5.54838548845E-2</v>
      </c>
      <c r="L58">
        <v>7.7305479547839895E-2</v>
      </c>
      <c r="M58">
        <v>0.100307021087099</v>
      </c>
      <c r="N58">
        <v>0.1185971249626</v>
      </c>
      <c r="O58">
        <v>0.128395061988999</v>
      </c>
      <c r="P58">
        <v>0.133172935081</v>
      </c>
      <c r="Q58">
        <v>0.13537136169899999</v>
      </c>
      <c r="R58">
        <v>0.13654470947899999</v>
      </c>
      <c r="S58">
        <v>0.13735882411299999</v>
      </c>
      <c r="T58">
        <v>0.13752365083899901</v>
      </c>
      <c r="U58">
        <v>0.137091645228999</v>
      </c>
      <c r="V58">
        <v>0.13601599648099899</v>
      </c>
      <c r="W58">
        <v>0.134282677548</v>
      </c>
      <c r="X58">
        <v>0.13226726279600001</v>
      </c>
      <c r="Y58" t="s">
        <v>43</v>
      </c>
    </row>
    <row r="59" spans="1:25">
      <c r="A59" t="s">
        <v>5978</v>
      </c>
      <c r="B59" t="s">
        <v>6000</v>
      </c>
      <c r="C59" t="s">
        <v>5985</v>
      </c>
      <c r="D59">
        <v>2.7209005999999998E-3</v>
      </c>
      <c r="E59">
        <v>2.0093997999999901E-3</v>
      </c>
      <c r="F59">
        <v>3.4324073999999999E-3</v>
      </c>
      <c r="G59">
        <v>5.4418959999999999E-3</v>
      </c>
      <c r="H59">
        <v>5.3193113899999899E-3</v>
      </c>
      <c r="I59">
        <v>5.0965851499999897E-3</v>
      </c>
      <c r="J59">
        <v>4.5583538699999898E-3</v>
      </c>
      <c r="K59">
        <v>4.0197865079999902E-3</v>
      </c>
      <c r="L59">
        <v>3.7438803299999898E-3</v>
      </c>
      <c r="M59">
        <v>3.33870662999999E-3</v>
      </c>
      <c r="N59">
        <v>2.9902194099999998E-3</v>
      </c>
      <c r="O59">
        <v>2.7009098949999999E-3</v>
      </c>
      <c r="P59">
        <v>2.4821189399999999E-3</v>
      </c>
      <c r="Q59">
        <v>2.3172336560000001E-3</v>
      </c>
      <c r="R59">
        <v>2.1738573760000002E-3</v>
      </c>
      <c r="S59">
        <v>2.0339469320000002E-3</v>
      </c>
      <c r="T59">
        <v>1.9224280660000001E-3</v>
      </c>
      <c r="U59">
        <v>1.834682977E-3</v>
      </c>
      <c r="V59">
        <v>1.760637012E-3</v>
      </c>
      <c r="W59">
        <v>1.6991866570000001E-3</v>
      </c>
      <c r="X59">
        <v>1.65530129E-3</v>
      </c>
      <c r="Y59" t="s">
        <v>43</v>
      </c>
    </row>
    <row r="60" spans="1:25">
      <c r="A60" t="s">
        <v>5978</v>
      </c>
      <c r="B60" t="s">
        <v>6000</v>
      </c>
      <c r="C60" t="s">
        <v>5986</v>
      </c>
      <c r="D60">
        <v>0.27016437499999901</v>
      </c>
      <c r="E60">
        <v>0.37251210200000001</v>
      </c>
      <c r="F60">
        <v>0.51349713900000005</v>
      </c>
      <c r="G60">
        <v>0.36711191799999898</v>
      </c>
      <c r="H60">
        <v>0.37145063833000003</v>
      </c>
      <c r="I60">
        <v>0.36366418658999999</v>
      </c>
      <c r="J60">
        <v>0.32888192431000002</v>
      </c>
      <c r="K60">
        <v>0.29109206964499901</v>
      </c>
      <c r="L60">
        <v>0.26818886859000002</v>
      </c>
      <c r="M60">
        <v>0.24631126740000001</v>
      </c>
      <c r="N60">
        <v>0.227783309099999</v>
      </c>
      <c r="O60">
        <v>0.209145947384999</v>
      </c>
      <c r="P60">
        <v>0.19073637036899899</v>
      </c>
      <c r="Q60">
        <v>0.1740824785</v>
      </c>
      <c r="R60">
        <v>0.15940363453799899</v>
      </c>
      <c r="S60">
        <v>0.146075079487999</v>
      </c>
      <c r="T60">
        <v>0.13601994891499999</v>
      </c>
      <c r="U60">
        <v>0.12829408450799901</v>
      </c>
      <c r="V60">
        <v>0.121867656771</v>
      </c>
      <c r="W60">
        <v>0.115891441128</v>
      </c>
      <c r="X60">
        <v>0.11001013052399999</v>
      </c>
      <c r="Y60" t="s">
        <v>43</v>
      </c>
    </row>
    <row r="61" spans="1:25">
      <c r="A61" t="s">
        <v>5978</v>
      </c>
      <c r="B61" t="s">
        <v>6000</v>
      </c>
      <c r="C61" t="s">
        <v>5987</v>
      </c>
      <c r="D61">
        <v>4.4455399999999999E-2</v>
      </c>
      <c r="E61">
        <v>9.539889E-2</v>
      </c>
      <c r="F61">
        <v>7.5682799999999995E-2</v>
      </c>
      <c r="G61">
        <v>7.35899E-2</v>
      </c>
      <c r="H61">
        <v>7.2296170999999895E-2</v>
      </c>
      <c r="I61">
        <v>6.8504572E-2</v>
      </c>
      <c r="J61">
        <v>6.0391997999999898E-2</v>
      </c>
      <c r="K61">
        <v>5.24160506E-2</v>
      </c>
      <c r="L61">
        <v>4.8010601E-2</v>
      </c>
      <c r="M61">
        <v>4.3766042999999998E-2</v>
      </c>
      <c r="N61">
        <v>4.0274542000000003E-2</v>
      </c>
      <c r="O61">
        <v>3.7076946299999997E-2</v>
      </c>
      <c r="P61">
        <v>3.4134115399999998E-2</v>
      </c>
      <c r="Q61">
        <v>3.15843019E-2</v>
      </c>
      <c r="R61">
        <v>2.9393796400000002E-2</v>
      </c>
      <c r="S61">
        <v>2.7450116399999999E-2</v>
      </c>
      <c r="T61">
        <v>2.60691747999999E-2</v>
      </c>
      <c r="U61">
        <v>2.5061662200000001E-2</v>
      </c>
      <c r="V61">
        <v>2.4214944299999999E-2</v>
      </c>
      <c r="W61">
        <v>2.33838764999999E-2</v>
      </c>
      <c r="X61">
        <v>2.23009928999999E-2</v>
      </c>
      <c r="Y61" t="s">
        <v>43</v>
      </c>
    </row>
    <row r="62" spans="1:25">
      <c r="A62" t="s">
        <v>5978</v>
      </c>
      <c r="B62" t="s">
        <v>6000</v>
      </c>
      <c r="C62" t="s">
        <v>5981</v>
      </c>
      <c r="D62">
        <v>0.65607167799999899</v>
      </c>
      <c r="E62">
        <v>0.80107564999999903</v>
      </c>
      <c r="F62">
        <v>1.0021698190999999</v>
      </c>
      <c r="G62">
        <v>1.2486837716000001</v>
      </c>
      <c r="H62">
        <v>1.2964142758999999</v>
      </c>
      <c r="I62">
        <v>1.35073124815389</v>
      </c>
      <c r="J62">
        <v>1.3815390755085999</v>
      </c>
      <c r="K62">
        <v>1.3999830543559699</v>
      </c>
      <c r="L62">
        <v>1.4093706872671601</v>
      </c>
      <c r="M62">
        <v>1.4238332305340899</v>
      </c>
      <c r="N62">
        <v>1.4416518981297901</v>
      </c>
      <c r="O62">
        <v>1.4530013097313901</v>
      </c>
      <c r="P62">
        <v>1.461482107917</v>
      </c>
      <c r="Q62">
        <v>1.4654835249439999</v>
      </c>
      <c r="R62">
        <v>1.4674291193709901</v>
      </c>
      <c r="S62">
        <v>1.46456072592799</v>
      </c>
      <c r="T62">
        <v>1.45052263793999</v>
      </c>
      <c r="U62">
        <v>1.42647149469899</v>
      </c>
      <c r="V62">
        <v>1.39557412856699</v>
      </c>
      <c r="W62">
        <v>1.36303181105299</v>
      </c>
      <c r="X62">
        <v>1.3313140625969899</v>
      </c>
      <c r="Y62" t="s">
        <v>43</v>
      </c>
    </row>
    <row r="63" spans="1:25">
      <c r="A63" t="s">
        <v>5978</v>
      </c>
      <c r="B63" t="s">
        <v>6000</v>
      </c>
      <c r="C63" t="s">
        <v>5982</v>
      </c>
      <c r="D63">
        <v>0.53467744499999903</v>
      </c>
      <c r="E63">
        <v>0.566951804</v>
      </c>
      <c r="F63">
        <v>0.64527181999999905</v>
      </c>
      <c r="G63">
        <v>0.961230849</v>
      </c>
      <c r="H63">
        <v>0.99916738261099902</v>
      </c>
      <c r="I63">
        <v>1.002308213372</v>
      </c>
      <c r="J63">
        <v>0.95984336126199998</v>
      </c>
      <c r="K63">
        <v>0.897018613666</v>
      </c>
      <c r="L63">
        <v>0.84385153856699902</v>
      </c>
      <c r="M63">
        <v>0.76915252467699902</v>
      </c>
      <c r="N63">
        <v>0.68893757634199904</v>
      </c>
      <c r="O63">
        <v>0.64405757219699999</v>
      </c>
      <c r="P63">
        <v>0.62568855527899903</v>
      </c>
      <c r="Q63">
        <v>0.619569064476999</v>
      </c>
      <c r="R63">
        <v>0.61695168588000004</v>
      </c>
      <c r="S63">
        <v>0.61236385399999904</v>
      </c>
      <c r="T63">
        <v>0.60807197315999995</v>
      </c>
      <c r="U63">
        <v>0.60497154986000001</v>
      </c>
      <c r="V63">
        <v>0.60279789434999898</v>
      </c>
      <c r="W63">
        <v>0.60068781307999997</v>
      </c>
      <c r="X63">
        <v>0.59893193201999895</v>
      </c>
      <c r="Y63" t="s">
        <v>43</v>
      </c>
    </row>
    <row r="64" spans="1:25">
      <c r="A64" t="s">
        <v>5978</v>
      </c>
      <c r="B64" t="s">
        <v>6000</v>
      </c>
      <c r="C64" t="s">
        <v>5988</v>
      </c>
      <c r="D64">
        <v>0.12972408999999999</v>
      </c>
      <c r="E64">
        <v>0.240611201</v>
      </c>
      <c r="F64">
        <v>0.293187529</v>
      </c>
      <c r="G64">
        <v>0.347437777</v>
      </c>
      <c r="H64">
        <v>0.34518552959999999</v>
      </c>
      <c r="I64">
        <v>0.32064902079999902</v>
      </c>
      <c r="J64">
        <v>0.2772918499</v>
      </c>
      <c r="K64">
        <v>0.23765434275</v>
      </c>
      <c r="L64">
        <v>0.21739419513</v>
      </c>
      <c r="M64">
        <v>0.19626050783999999</v>
      </c>
      <c r="N64">
        <v>0.17780292534</v>
      </c>
      <c r="O64">
        <v>0.16429801179</v>
      </c>
      <c r="P64">
        <v>0.15556273974999901</v>
      </c>
      <c r="Q64">
        <v>0.14900138841999999</v>
      </c>
      <c r="R64">
        <v>0.14292313963</v>
      </c>
      <c r="S64">
        <v>0.13669730526999899</v>
      </c>
      <c r="T64">
        <v>0.13037311092999901</v>
      </c>
      <c r="U64">
        <v>0.12505200325999999</v>
      </c>
      <c r="V64">
        <v>0.120656964949999</v>
      </c>
      <c r="W64">
        <v>0.11630524724999999</v>
      </c>
      <c r="X64">
        <v>0.11215317386</v>
      </c>
      <c r="Y64" t="s">
        <v>43</v>
      </c>
    </row>
    <row r="65" spans="1:25">
      <c r="A65" t="s">
        <v>5978</v>
      </c>
      <c r="B65" t="s">
        <v>6001</v>
      </c>
      <c r="C65" t="s">
        <v>5993</v>
      </c>
      <c r="D65">
        <v>0</v>
      </c>
      <c r="E65">
        <v>0</v>
      </c>
      <c r="F65">
        <v>0</v>
      </c>
      <c r="G65">
        <v>0</v>
      </c>
      <c r="H65">
        <v>0</v>
      </c>
      <c r="I65">
        <v>7.9541830500000008E-3</v>
      </c>
      <c r="J65">
        <v>5.8531558859999902E-2</v>
      </c>
      <c r="K65">
        <v>0.16281124848999901</v>
      </c>
      <c r="L65">
        <v>0.30184776269999902</v>
      </c>
      <c r="M65">
        <v>0.435942279819999</v>
      </c>
      <c r="N65">
        <v>0.57836690503699895</v>
      </c>
      <c r="O65">
        <v>0.75508557196499904</v>
      </c>
      <c r="P65">
        <v>0.97142229997129903</v>
      </c>
      <c r="Q65">
        <v>1.2154427812690001</v>
      </c>
      <c r="R65">
        <v>1.4787329171279999</v>
      </c>
      <c r="S65">
        <v>1.76305169607999</v>
      </c>
      <c r="T65">
        <v>2.0634947289809902</v>
      </c>
      <c r="U65">
        <v>2.3658688869120001</v>
      </c>
      <c r="V65">
        <v>2.654534858861</v>
      </c>
      <c r="W65">
        <v>2.9114273360699898</v>
      </c>
      <c r="X65">
        <v>3.14336756045999</v>
      </c>
      <c r="Y65" t="s">
        <v>43</v>
      </c>
    </row>
    <row r="66" spans="1:25">
      <c r="A66" t="s">
        <v>5978</v>
      </c>
      <c r="B66" t="s">
        <v>6001</v>
      </c>
      <c r="C66" t="s">
        <v>5984</v>
      </c>
      <c r="D66">
        <v>0</v>
      </c>
      <c r="E66">
        <v>0</v>
      </c>
      <c r="F66">
        <v>0</v>
      </c>
      <c r="G66">
        <v>0</v>
      </c>
      <c r="H66">
        <v>0</v>
      </c>
      <c r="I66" s="493">
        <v>5.0670496400000002E-4</v>
      </c>
      <c r="J66">
        <v>4.6759173539999898E-3</v>
      </c>
      <c r="K66">
        <v>1.30463560569999E-2</v>
      </c>
      <c r="L66">
        <v>2.40239150419999E-2</v>
      </c>
      <c r="M66">
        <v>3.44989602306E-2</v>
      </c>
      <c r="N66">
        <v>4.55126822885999E-2</v>
      </c>
      <c r="O66">
        <v>5.8977438806029903E-2</v>
      </c>
      <c r="P66">
        <v>7.542316002103E-2</v>
      </c>
      <c r="Q66">
        <v>9.3852801013000003E-2</v>
      </c>
      <c r="R66">
        <v>0.1135181262499</v>
      </c>
      <c r="S66">
        <v>0.13446214912339899</v>
      </c>
      <c r="T66">
        <v>0.15645086364379901</v>
      </c>
      <c r="U66">
        <v>0.178538979755199</v>
      </c>
      <c r="V66">
        <v>0.19969284281809899</v>
      </c>
      <c r="W66">
        <v>0.2182990811701</v>
      </c>
      <c r="X66">
        <v>0.23495194115099899</v>
      </c>
      <c r="Y66" t="s">
        <v>43</v>
      </c>
    </row>
    <row r="67" spans="1:25">
      <c r="A67" t="s">
        <v>5978</v>
      </c>
      <c r="B67" t="s">
        <v>6001</v>
      </c>
      <c r="C67" t="s">
        <v>5985</v>
      </c>
      <c r="D67">
        <v>5.0130480100000003</v>
      </c>
      <c r="E67">
        <v>5.2318251999999896</v>
      </c>
      <c r="F67">
        <v>5.7843663999999997</v>
      </c>
      <c r="G67">
        <v>6.7037388</v>
      </c>
      <c r="H67">
        <v>7.9043634335509898</v>
      </c>
      <c r="I67">
        <v>9.6464164807589992</v>
      </c>
      <c r="J67">
        <v>11.826730368687</v>
      </c>
      <c r="K67">
        <v>13.951364364378</v>
      </c>
      <c r="L67">
        <v>16.207521139026898</v>
      </c>
      <c r="M67">
        <v>18.700404850897002</v>
      </c>
      <c r="N67">
        <v>21.169760251400302</v>
      </c>
      <c r="O67">
        <v>23.229643133610701</v>
      </c>
      <c r="P67">
        <v>24.8228212541372</v>
      </c>
      <c r="Q67">
        <v>25.951595122103601</v>
      </c>
      <c r="R67">
        <v>26.622920847584801</v>
      </c>
      <c r="S67">
        <v>26.806293045243201</v>
      </c>
      <c r="T67">
        <v>26.538496160456202</v>
      </c>
      <c r="U67">
        <v>25.925810392784001</v>
      </c>
      <c r="V67">
        <v>25.0769985165416</v>
      </c>
      <c r="W67">
        <v>24.137125405975699</v>
      </c>
      <c r="X67">
        <v>23.217376931916</v>
      </c>
      <c r="Y67" t="s">
        <v>43</v>
      </c>
    </row>
    <row r="68" spans="1:25">
      <c r="A68" t="s">
        <v>5978</v>
      </c>
      <c r="B68" t="s">
        <v>6001</v>
      </c>
      <c r="C68" t="s">
        <v>5986</v>
      </c>
      <c r="D68">
        <v>9.7905673929999892</v>
      </c>
      <c r="E68">
        <v>11.67893289</v>
      </c>
      <c r="F68">
        <v>13.843020299999999</v>
      </c>
      <c r="G68">
        <v>11.2068715999999</v>
      </c>
      <c r="H68">
        <v>13.918375591899901</v>
      </c>
      <c r="I68">
        <v>16.634537483099901</v>
      </c>
      <c r="J68">
        <v>18.733722107599998</v>
      </c>
      <c r="K68">
        <v>19.939529006200001</v>
      </c>
      <c r="L68">
        <v>20.852127394189999</v>
      </c>
      <c r="M68">
        <v>21.89331766682</v>
      </c>
      <c r="N68">
        <v>22.918419406320901</v>
      </c>
      <c r="O68">
        <v>23.709608208688898</v>
      </c>
      <c r="P68">
        <v>24.270027531362899</v>
      </c>
      <c r="Q68">
        <v>24.6538475055</v>
      </c>
      <c r="R68">
        <v>24.915478207</v>
      </c>
      <c r="S68">
        <v>25.040858137019999</v>
      </c>
      <c r="T68">
        <v>25.0839601093599</v>
      </c>
      <c r="U68">
        <v>25.0093736102699</v>
      </c>
      <c r="V68">
        <v>24.830513895689901</v>
      </c>
      <c r="W68">
        <v>24.578962459109899</v>
      </c>
      <c r="X68">
        <v>24.270099293809999</v>
      </c>
      <c r="Y68" t="s">
        <v>43</v>
      </c>
    </row>
    <row r="69" spans="1:25">
      <c r="A69" t="s">
        <v>5978</v>
      </c>
      <c r="B69" t="s">
        <v>6001</v>
      </c>
      <c r="C69" t="s">
        <v>5987</v>
      </c>
      <c r="D69">
        <v>6.4623669999999898</v>
      </c>
      <c r="E69">
        <v>3.2148555999999999</v>
      </c>
      <c r="F69">
        <v>3.050211</v>
      </c>
      <c r="G69">
        <v>2.7960894999999999</v>
      </c>
      <c r="H69">
        <v>3.2514858599999998</v>
      </c>
      <c r="I69">
        <v>3.6734857299999999</v>
      </c>
      <c r="J69">
        <v>4.0136766999999898</v>
      </c>
      <c r="K69">
        <v>4.2047486399999903</v>
      </c>
      <c r="L69">
        <v>4.3260003999999901</v>
      </c>
      <c r="M69">
        <v>4.4315051299999997</v>
      </c>
      <c r="N69">
        <v>4.4944024440000003</v>
      </c>
      <c r="O69">
        <v>4.4948616737</v>
      </c>
      <c r="P69">
        <v>4.4535548449999904</v>
      </c>
      <c r="Q69">
        <v>4.3845805909999997</v>
      </c>
      <c r="R69">
        <v>4.3111457099999999</v>
      </c>
      <c r="S69">
        <v>4.2335785059999997</v>
      </c>
      <c r="T69">
        <v>4.1605827339999903</v>
      </c>
      <c r="U69">
        <v>4.0888088939999996</v>
      </c>
      <c r="V69">
        <v>4.0154154789999996</v>
      </c>
      <c r="W69">
        <v>3.9401069529999999</v>
      </c>
      <c r="X69">
        <v>3.852387469</v>
      </c>
      <c r="Y69" t="s">
        <v>43</v>
      </c>
    </row>
    <row r="70" spans="1:25">
      <c r="A70" t="s">
        <v>5978</v>
      </c>
      <c r="B70" t="s">
        <v>6001</v>
      </c>
      <c r="C70" t="s">
        <v>5981</v>
      </c>
      <c r="D70">
        <v>7.6919756030000004</v>
      </c>
      <c r="E70">
        <v>10.083751299999999</v>
      </c>
      <c r="F70">
        <v>11.9591496</v>
      </c>
      <c r="G70">
        <v>13.6895536</v>
      </c>
      <c r="H70">
        <v>15.602126315</v>
      </c>
      <c r="I70">
        <v>18.823529432999901</v>
      </c>
      <c r="J70">
        <v>22.844807717999899</v>
      </c>
      <c r="K70">
        <v>27.673098917000001</v>
      </c>
      <c r="L70">
        <v>32.949613110400001</v>
      </c>
      <c r="M70">
        <v>37.883969845499898</v>
      </c>
      <c r="N70">
        <v>42.673237078019902</v>
      </c>
      <c r="O70">
        <v>47.880751537329999</v>
      </c>
      <c r="P70">
        <v>53.557466453700002</v>
      </c>
      <c r="Q70">
        <v>59.528233993000001</v>
      </c>
      <c r="R70">
        <v>65.736711167999999</v>
      </c>
      <c r="S70">
        <v>72.055088016999903</v>
      </c>
      <c r="T70">
        <v>78.137119795999993</v>
      </c>
      <c r="U70">
        <v>83.766271732000007</v>
      </c>
      <c r="V70">
        <v>88.779703746999999</v>
      </c>
      <c r="W70">
        <v>93.175934965000096</v>
      </c>
      <c r="X70">
        <v>96.968482766999998</v>
      </c>
      <c r="Y70" t="s">
        <v>43</v>
      </c>
    </row>
    <row r="71" spans="1:25">
      <c r="A71" t="s">
        <v>5978</v>
      </c>
      <c r="B71" t="s">
        <v>6001</v>
      </c>
      <c r="C71" t="s">
        <v>5982</v>
      </c>
      <c r="D71">
        <v>8.8593599029999908</v>
      </c>
      <c r="E71">
        <v>8.8113512999999895</v>
      </c>
      <c r="F71">
        <v>8.4865021999999897</v>
      </c>
      <c r="G71">
        <v>7.8209503999999903</v>
      </c>
      <c r="H71">
        <v>9.0602713036499996</v>
      </c>
      <c r="I71">
        <v>10.550414347869999</v>
      </c>
      <c r="J71">
        <v>11.95658412923</v>
      </c>
      <c r="K71">
        <v>13.1309742798499</v>
      </c>
      <c r="L71">
        <v>14.330494906034</v>
      </c>
      <c r="M71">
        <v>15.820775801563</v>
      </c>
      <c r="N71">
        <v>17.6433623483296</v>
      </c>
      <c r="O71">
        <v>19.689978138034501</v>
      </c>
      <c r="P71">
        <v>21.853947674267499</v>
      </c>
      <c r="Q71">
        <v>23.983188470582999</v>
      </c>
      <c r="R71">
        <v>25.880852781151201</v>
      </c>
      <c r="S71">
        <v>27.468335162163399</v>
      </c>
      <c r="T71">
        <v>28.781885593740199</v>
      </c>
      <c r="U71">
        <v>29.929724272149699</v>
      </c>
      <c r="V71">
        <v>31.014029612286901</v>
      </c>
      <c r="W71">
        <v>32.140072037169297</v>
      </c>
      <c r="X71">
        <v>33.376033855040298</v>
      </c>
      <c r="Y71" t="s">
        <v>43</v>
      </c>
    </row>
    <row r="72" spans="1:25">
      <c r="A72" t="s">
        <v>5978</v>
      </c>
      <c r="B72" t="s">
        <v>6001</v>
      </c>
      <c r="C72" t="s">
        <v>5988</v>
      </c>
      <c r="D72">
        <v>14.858086699999999</v>
      </c>
      <c r="E72">
        <v>19.186451299999899</v>
      </c>
      <c r="F72">
        <v>20.716753099999998</v>
      </c>
      <c r="G72">
        <v>21.992627799999902</v>
      </c>
      <c r="H72">
        <v>25.264670369600001</v>
      </c>
      <c r="I72">
        <v>28.6339689341</v>
      </c>
      <c r="J72">
        <v>32.374660810500004</v>
      </c>
      <c r="K72">
        <v>35.5503119351999</v>
      </c>
      <c r="L72">
        <v>38.178344745699903</v>
      </c>
      <c r="M72">
        <v>40.787010177500001</v>
      </c>
      <c r="N72">
        <v>43.186332904879997</v>
      </c>
      <c r="O72">
        <v>45.330203768022997</v>
      </c>
      <c r="P72">
        <v>47.333060569360001</v>
      </c>
      <c r="Q72">
        <v>49.116315848879999</v>
      </c>
      <c r="R72">
        <v>50.749470682339897</v>
      </c>
      <c r="S72">
        <v>52.225951493529998</v>
      </c>
      <c r="T72">
        <v>53.452076783227</v>
      </c>
      <c r="U72">
        <v>54.448762053095997</v>
      </c>
      <c r="V72">
        <v>55.139103810927899</v>
      </c>
      <c r="W72">
        <v>55.307747813410998</v>
      </c>
      <c r="X72">
        <v>55.124711763302997</v>
      </c>
      <c r="Y72" t="s">
        <v>43</v>
      </c>
    </row>
    <row r="73" spans="1:25">
      <c r="A73" t="s">
        <v>5978</v>
      </c>
      <c r="B73" t="s">
        <v>6002</v>
      </c>
      <c r="C73" t="s">
        <v>5986</v>
      </c>
      <c r="D73">
        <v>0.65705548999999996</v>
      </c>
      <c r="E73">
        <v>0.64665988999999902</v>
      </c>
      <c r="F73">
        <v>0.77568971999999903</v>
      </c>
      <c r="G73">
        <v>1.50299731989999</v>
      </c>
      <c r="H73">
        <v>1.873653459</v>
      </c>
      <c r="I73">
        <v>2.260829754</v>
      </c>
      <c r="J73">
        <v>2.5460899119999998</v>
      </c>
      <c r="K73">
        <v>2.6876637649999999</v>
      </c>
      <c r="L73">
        <v>2.7499332399999998</v>
      </c>
      <c r="M73">
        <v>2.7610398429999998</v>
      </c>
      <c r="N73">
        <v>2.720846946</v>
      </c>
      <c r="O73">
        <v>2.6361965949999999</v>
      </c>
      <c r="P73">
        <v>2.5284460989999902</v>
      </c>
      <c r="Q73">
        <v>2.4157437849999899</v>
      </c>
      <c r="R73">
        <v>2.2967463179999998</v>
      </c>
      <c r="S73">
        <v>2.1793794489999998</v>
      </c>
      <c r="T73">
        <v>2.0615450229999999</v>
      </c>
      <c r="U73">
        <v>1.9382289859999899</v>
      </c>
      <c r="V73">
        <v>1.8163284879999899</v>
      </c>
      <c r="W73">
        <v>1.7017222080000001</v>
      </c>
      <c r="X73">
        <v>1.594826971</v>
      </c>
      <c r="Y73" t="s">
        <v>43</v>
      </c>
    </row>
    <row r="74" spans="1:25">
      <c r="A74" t="s">
        <v>5978</v>
      </c>
      <c r="B74" t="s">
        <v>6002</v>
      </c>
      <c r="C74" t="s">
        <v>5982</v>
      </c>
      <c r="D74">
        <v>3.0646644099999998</v>
      </c>
      <c r="E74">
        <v>4.3845872999999997</v>
      </c>
      <c r="F74">
        <v>3.8231996000000001</v>
      </c>
      <c r="G74">
        <v>3.84730832999999</v>
      </c>
      <c r="H74">
        <v>4.5026739999999998</v>
      </c>
      <c r="I74">
        <v>5.2482382999999997</v>
      </c>
      <c r="J74">
        <v>6.0350646000000001</v>
      </c>
      <c r="K74">
        <v>6.7911522899999897</v>
      </c>
      <c r="L74">
        <v>7.5233398999999999</v>
      </c>
      <c r="M74">
        <v>8.2778185000000004</v>
      </c>
      <c r="N74">
        <v>9.0458745999999994</v>
      </c>
      <c r="O74">
        <v>9.8141469000000008</v>
      </c>
      <c r="P74">
        <v>10.580007200000001</v>
      </c>
      <c r="Q74">
        <v>11.3214684999999</v>
      </c>
      <c r="R74">
        <v>12.049333999999901</v>
      </c>
      <c r="S74">
        <v>12.738015499999999</v>
      </c>
      <c r="T74">
        <v>13.372983499999901</v>
      </c>
      <c r="U74">
        <v>13.9550161</v>
      </c>
      <c r="V74">
        <v>14.4856303999999</v>
      </c>
      <c r="W74">
        <v>14.9629365</v>
      </c>
      <c r="X74">
        <v>15.373054399999999</v>
      </c>
      <c r="Y74" t="s">
        <v>43</v>
      </c>
    </row>
    <row r="75" spans="1:25">
      <c r="A75" t="s">
        <v>5978</v>
      </c>
      <c r="B75" t="s">
        <v>6002</v>
      </c>
      <c r="C75" t="s">
        <v>5988</v>
      </c>
      <c r="D75">
        <v>4.1780599999999897E-2</v>
      </c>
      <c r="E75">
        <v>0.18887959000000001</v>
      </c>
      <c r="F75">
        <v>0.17703838</v>
      </c>
      <c r="G75">
        <v>0.10725208999999999</v>
      </c>
      <c r="H75">
        <v>0.13381194199999999</v>
      </c>
      <c r="I75">
        <v>0.17337693300000001</v>
      </c>
      <c r="J75">
        <v>0.229195333</v>
      </c>
      <c r="K75">
        <v>0.29052012500000002</v>
      </c>
      <c r="L75">
        <v>0.35642718899999998</v>
      </c>
      <c r="M75">
        <v>0.42782754899999997</v>
      </c>
      <c r="N75">
        <v>0.50330733900000002</v>
      </c>
      <c r="O75">
        <v>0.58811497400000001</v>
      </c>
      <c r="P75">
        <v>0.67921492399999905</v>
      </c>
      <c r="Q75">
        <v>0.76968214499999899</v>
      </c>
      <c r="R75">
        <v>0.85715696899999905</v>
      </c>
      <c r="S75">
        <v>0.94747678399999902</v>
      </c>
      <c r="T75">
        <v>1.0305304309999901</v>
      </c>
      <c r="U75">
        <v>1.1072173679999999</v>
      </c>
      <c r="V75">
        <v>1.1679031959999999</v>
      </c>
      <c r="W75">
        <v>1.2101194229999901</v>
      </c>
      <c r="X75">
        <v>1.251453744</v>
      </c>
      <c r="Y75" t="s">
        <v>43</v>
      </c>
    </row>
    <row r="76" spans="1:25">
      <c r="A76" t="s">
        <v>5978</v>
      </c>
      <c r="B76" t="s">
        <v>6003</v>
      </c>
      <c r="C76" t="s">
        <v>5986</v>
      </c>
      <c r="D76">
        <v>0.842774284199999</v>
      </c>
      <c r="E76">
        <v>0.951562245299999</v>
      </c>
      <c r="F76">
        <v>1.1200508309999999</v>
      </c>
      <c r="G76">
        <v>0.76055276100000002</v>
      </c>
      <c r="H76">
        <v>0.84172034092000003</v>
      </c>
      <c r="I76">
        <v>0.89024976323000005</v>
      </c>
      <c r="J76">
        <v>0.90863589485999996</v>
      </c>
      <c r="K76">
        <v>0.88987715449999905</v>
      </c>
      <c r="L76">
        <v>0.86800221018000001</v>
      </c>
      <c r="M76">
        <v>0.86497821936099994</v>
      </c>
      <c r="N76">
        <v>0.86575145580400004</v>
      </c>
      <c r="O76">
        <v>0.86364773938889905</v>
      </c>
      <c r="P76">
        <v>0.85597281246370005</v>
      </c>
      <c r="Q76">
        <v>0.842878394058999</v>
      </c>
      <c r="R76">
        <v>0.82655959568579895</v>
      </c>
      <c r="S76">
        <v>0.8077835584784</v>
      </c>
      <c r="T76">
        <v>0.78763097525460002</v>
      </c>
      <c r="U76">
        <v>0.76604767499229998</v>
      </c>
      <c r="V76">
        <v>0.74370596619949902</v>
      </c>
      <c r="W76">
        <v>0.72190584300969995</v>
      </c>
      <c r="X76">
        <v>0.70140609671229903</v>
      </c>
      <c r="Y76" t="s">
        <v>43</v>
      </c>
    </row>
    <row r="77" spans="1:25">
      <c r="A77" t="s">
        <v>5978</v>
      </c>
      <c r="B77" t="s">
        <v>6003</v>
      </c>
      <c r="C77" t="s">
        <v>5987</v>
      </c>
      <c r="D77">
        <v>6.8399330999999994E-2</v>
      </c>
      <c r="E77">
        <v>0.30126600999999997</v>
      </c>
      <c r="F77">
        <v>0.33726623299999903</v>
      </c>
      <c r="G77">
        <v>0.38322744600000003</v>
      </c>
      <c r="H77">
        <v>0.40681468320000003</v>
      </c>
      <c r="I77">
        <v>0.42765649259999999</v>
      </c>
      <c r="J77">
        <v>0.43907489449999898</v>
      </c>
      <c r="K77">
        <v>0.43961534149999998</v>
      </c>
      <c r="L77">
        <v>0.43716087860000002</v>
      </c>
      <c r="M77">
        <v>0.43639501923000001</v>
      </c>
      <c r="N77">
        <v>0.43513108137999901</v>
      </c>
      <c r="O77">
        <v>0.43056603069100002</v>
      </c>
      <c r="P77">
        <v>0.42236316591099998</v>
      </c>
      <c r="Q77">
        <v>0.41238357308099999</v>
      </c>
      <c r="R77">
        <v>0.40255588000999998</v>
      </c>
      <c r="S77">
        <v>0.39298977567999999</v>
      </c>
      <c r="T77">
        <v>0.38230083455999903</v>
      </c>
      <c r="U77">
        <v>0.37029647033000002</v>
      </c>
      <c r="V77">
        <v>0.35764982431999998</v>
      </c>
      <c r="W77">
        <v>0.34496282471999901</v>
      </c>
      <c r="X77">
        <v>0.331748090659999</v>
      </c>
      <c r="Y77" t="s">
        <v>43</v>
      </c>
    </row>
    <row r="78" spans="1:25">
      <c r="A78" t="s">
        <v>5978</v>
      </c>
      <c r="B78" t="s">
        <v>6003</v>
      </c>
      <c r="C78" t="s">
        <v>5981</v>
      </c>
      <c r="D78">
        <v>1.3243620064999999</v>
      </c>
      <c r="E78">
        <v>1.611367005</v>
      </c>
      <c r="F78">
        <v>1.5524159683999901</v>
      </c>
      <c r="G78">
        <v>1.5807147673999999</v>
      </c>
      <c r="H78">
        <v>1.6683183800499899</v>
      </c>
      <c r="I78">
        <v>1.7388815270489499</v>
      </c>
      <c r="J78">
        <v>1.8088117673844499</v>
      </c>
      <c r="K78">
        <v>1.88085677301319</v>
      </c>
      <c r="L78">
        <v>1.94171097640891</v>
      </c>
      <c r="M78">
        <v>1.9777385583199001</v>
      </c>
      <c r="N78">
        <v>1.9968377551049901</v>
      </c>
      <c r="O78">
        <v>2.0134071115064001</v>
      </c>
      <c r="P78">
        <v>2.0285998792846001</v>
      </c>
      <c r="Q78">
        <v>2.0364280358092199</v>
      </c>
      <c r="R78">
        <v>2.0361639827518099</v>
      </c>
      <c r="S78">
        <v>2.0294210000252701</v>
      </c>
      <c r="T78">
        <v>2.0174506926846201</v>
      </c>
      <c r="U78">
        <v>2.00172092250402</v>
      </c>
      <c r="V78">
        <v>1.98065633945065</v>
      </c>
      <c r="W78">
        <v>1.95514115673454</v>
      </c>
      <c r="X78">
        <v>1.92665689632685</v>
      </c>
      <c r="Y78" t="s">
        <v>43</v>
      </c>
    </row>
    <row r="79" spans="1:25">
      <c r="A79" t="s">
        <v>5978</v>
      </c>
      <c r="B79" t="s">
        <v>6003</v>
      </c>
      <c r="C79" t="s">
        <v>5982</v>
      </c>
      <c r="D79">
        <v>0.52609668399999998</v>
      </c>
      <c r="E79">
        <v>0.61752037299999896</v>
      </c>
      <c r="F79">
        <v>0.35070335789999901</v>
      </c>
      <c r="G79">
        <v>0.1561798734</v>
      </c>
      <c r="H79">
        <v>6.6699901404669901E-2</v>
      </c>
      <c r="I79">
        <v>8.2087562942930001E-2</v>
      </c>
      <c r="J79">
        <v>9.4062229627399893E-2</v>
      </c>
      <c r="K79">
        <v>0.102765154312999</v>
      </c>
      <c r="L79">
        <v>0.106744667192</v>
      </c>
      <c r="M79">
        <v>0.10692591908799901</v>
      </c>
      <c r="N79">
        <v>0.11426478920410001</v>
      </c>
      <c r="O79">
        <v>0.12543629202797901</v>
      </c>
      <c r="P79">
        <v>0.135842318986199</v>
      </c>
      <c r="Q79">
        <v>0.14296984674719901</v>
      </c>
      <c r="R79">
        <v>0.14808859092070001</v>
      </c>
      <c r="S79">
        <v>0.152453358021299</v>
      </c>
      <c r="T79">
        <v>0.15699435199099901</v>
      </c>
      <c r="U79">
        <v>0.160802854060899</v>
      </c>
      <c r="V79">
        <v>0.16408153711249901</v>
      </c>
      <c r="W79">
        <v>0.16769901677499999</v>
      </c>
      <c r="X79">
        <v>0.17233731275200001</v>
      </c>
      <c r="Y79" t="s">
        <v>43</v>
      </c>
    </row>
    <row r="80" spans="1:25">
      <c r="A80" t="s">
        <v>5978</v>
      </c>
      <c r="B80" t="s">
        <v>6003</v>
      </c>
      <c r="C80" t="s">
        <v>6005</v>
      </c>
      <c r="D80">
        <v>2.0922638025999998</v>
      </c>
      <c r="E80">
        <v>3.600402474</v>
      </c>
      <c r="F80">
        <v>4.2438676846999899</v>
      </c>
      <c r="G80">
        <v>4.4986749871690002</v>
      </c>
      <c r="H80">
        <v>4.8532196062780004</v>
      </c>
      <c r="I80">
        <v>5.1263051435399998</v>
      </c>
      <c r="J80">
        <v>5.4067554365439996</v>
      </c>
      <c r="K80">
        <v>5.7052939270489897</v>
      </c>
      <c r="L80">
        <v>5.9695119381357999</v>
      </c>
      <c r="M80">
        <v>6.1564238020141904</v>
      </c>
      <c r="N80">
        <v>6.2908134309956498</v>
      </c>
      <c r="O80">
        <v>6.4002928884129897</v>
      </c>
      <c r="P80">
        <v>6.4870704897958102</v>
      </c>
      <c r="Q80">
        <v>6.5495304741223999</v>
      </c>
      <c r="R80">
        <v>6.5901715804179002</v>
      </c>
      <c r="S80">
        <v>6.6087162153717998</v>
      </c>
      <c r="T80">
        <v>6.6024301324274903</v>
      </c>
      <c r="U80">
        <v>6.5768631440575902</v>
      </c>
      <c r="V80">
        <v>6.5337506291093996</v>
      </c>
      <c r="W80">
        <v>6.476094497888</v>
      </c>
      <c r="X80">
        <v>6.4054663750199898</v>
      </c>
      <c r="Y80" t="s">
        <v>43</v>
      </c>
    </row>
    <row r="81" spans="1:25">
      <c r="A81" t="s">
        <v>5978</v>
      </c>
      <c r="B81" t="s">
        <v>6003</v>
      </c>
      <c r="C81" t="s">
        <v>5988</v>
      </c>
      <c r="D81">
        <v>0.41077002000000001</v>
      </c>
      <c r="E81">
        <v>0.98182583999999995</v>
      </c>
      <c r="F81">
        <v>0.92774517400000001</v>
      </c>
      <c r="G81">
        <v>0.96897773870000004</v>
      </c>
      <c r="H81">
        <v>1.14271425114429</v>
      </c>
      <c r="I81">
        <v>1.18493619998567</v>
      </c>
      <c r="J81">
        <v>1.25231319379873</v>
      </c>
      <c r="K81">
        <v>1.35540770848923</v>
      </c>
      <c r="L81">
        <v>1.4353469503954499</v>
      </c>
      <c r="M81">
        <v>1.4670190883944401</v>
      </c>
      <c r="N81">
        <v>1.46925560831131</v>
      </c>
      <c r="O81">
        <v>1.45026740378564</v>
      </c>
      <c r="P81">
        <v>1.42028868988446</v>
      </c>
      <c r="Q81">
        <v>1.3938745502294001</v>
      </c>
      <c r="R81">
        <v>1.3787129858870999</v>
      </c>
      <c r="S81">
        <v>1.36729907974189</v>
      </c>
      <c r="T81">
        <v>1.3479529177440901</v>
      </c>
      <c r="U81">
        <v>1.32575465802709</v>
      </c>
      <c r="V81">
        <v>1.30711057479</v>
      </c>
      <c r="W81">
        <v>1.28953338682399</v>
      </c>
      <c r="X81">
        <v>1.2688465544080001</v>
      </c>
      <c r="Y81" t="s">
        <v>43</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65C6D-2579-42C6-BBF9-EBA4B9432EE7}">
  <dimension ref="A1:X10"/>
  <sheetViews>
    <sheetView zoomScale="130" zoomScaleNormal="130" workbookViewId="0">
      <selection activeCell="G7" sqref="G7"/>
    </sheetView>
  </sheetViews>
  <sheetFormatPr baseColWidth="10" defaultColWidth="8.83203125" defaultRowHeight="15"/>
  <cols>
    <col min="1" max="1" width="43.6640625" customWidth="1"/>
    <col min="2" max="2" width="23.5" customWidth="1"/>
    <col min="3" max="6" width="0" hidden="1" customWidth="1"/>
    <col min="8" max="23" width="0" hidden="1" customWidth="1"/>
  </cols>
  <sheetData>
    <row r="1" spans="1:24" s="3" customFormat="1">
      <c r="A1" s="1" t="s">
        <v>5973</v>
      </c>
      <c r="B1" s="1" t="s">
        <v>5976</v>
      </c>
      <c r="C1" s="1">
        <v>1990</v>
      </c>
      <c r="D1" s="1">
        <v>2005</v>
      </c>
      <c r="E1" s="1">
        <v>2010</v>
      </c>
      <c r="F1" s="1">
        <v>2015</v>
      </c>
      <c r="G1" s="1">
        <v>2020</v>
      </c>
      <c r="H1" s="1">
        <v>2025</v>
      </c>
      <c r="I1" s="1">
        <v>2030</v>
      </c>
      <c r="J1" s="1">
        <v>2035</v>
      </c>
      <c r="K1" s="1">
        <v>2040</v>
      </c>
      <c r="L1" s="1">
        <v>2045</v>
      </c>
      <c r="M1" s="1">
        <v>2050</v>
      </c>
      <c r="N1" s="1">
        <v>2055</v>
      </c>
      <c r="O1" s="1">
        <v>2060</v>
      </c>
      <c r="P1" s="1">
        <v>2065</v>
      </c>
      <c r="Q1" s="1">
        <v>2070</v>
      </c>
      <c r="R1" s="1">
        <v>2075</v>
      </c>
      <c r="S1" s="1">
        <v>2080</v>
      </c>
      <c r="T1" s="1">
        <v>2085</v>
      </c>
      <c r="U1" s="1">
        <v>2090</v>
      </c>
      <c r="V1" s="1">
        <v>2095</v>
      </c>
      <c r="W1" s="1">
        <v>2100</v>
      </c>
      <c r="X1" s="1" t="s">
        <v>840</v>
      </c>
    </row>
    <row r="2" spans="1:24">
      <c r="A2" t="s">
        <v>5978</v>
      </c>
      <c r="B2" t="s">
        <v>35</v>
      </c>
      <c r="C2">
        <v>10.9484659729653</v>
      </c>
      <c r="D2">
        <v>13.342590077065299</v>
      </c>
      <c r="E2">
        <v>15.3088016345411</v>
      </c>
      <c r="F2">
        <v>17.167362026245101</v>
      </c>
      <c r="G2">
        <v>18.9419009507662</v>
      </c>
      <c r="H2">
        <v>22.310651025984999</v>
      </c>
      <c r="I2">
        <v>26.338529151103199</v>
      </c>
      <c r="J2">
        <v>30.199258384322299</v>
      </c>
      <c r="K2">
        <v>33.8808251005321</v>
      </c>
      <c r="L2">
        <v>37.489526323760501</v>
      </c>
      <c r="M2">
        <v>40.933811488769202</v>
      </c>
      <c r="N2">
        <v>43.480301160654399</v>
      </c>
      <c r="O2">
        <v>45.390789344473603</v>
      </c>
      <c r="P2">
        <v>46.657732218298101</v>
      </c>
      <c r="Q2">
        <v>47.299993204714802</v>
      </c>
      <c r="R2">
        <v>47.272180007364902</v>
      </c>
      <c r="S2">
        <v>46.631852724908697</v>
      </c>
      <c r="T2">
        <v>45.588292187831101</v>
      </c>
      <c r="U2">
        <v>44.177481239078404</v>
      </c>
      <c r="V2">
        <v>42.643100463471697</v>
      </c>
      <c r="W2">
        <v>41.1630467695676</v>
      </c>
      <c r="X2" t="s">
        <v>43</v>
      </c>
    </row>
    <row r="3" spans="1:24">
      <c r="A3" t="s">
        <v>5978</v>
      </c>
      <c r="B3" t="s">
        <v>141</v>
      </c>
      <c r="C3">
        <v>41.267121980688103</v>
      </c>
      <c r="D3">
        <v>46.929410782478897</v>
      </c>
      <c r="E3">
        <v>60.235203798787701</v>
      </c>
      <c r="F3">
        <v>62.893144915043898</v>
      </c>
      <c r="G3">
        <v>71.259922779843706</v>
      </c>
      <c r="H3">
        <v>78.837663808574902</v>
      </c>
      <c r="I3">
        <v>83.493054573273696</v>
      </c>
      <c r="J3">
        <v>85.944416614247899</v>
      </c>
      <c r="K3">
        <v>87.736971225529203</v>
      </c>
      <c r="L3">
        <v>88.594506714571807</v>
      </c>
      <c r="M3">
        <v>88.427545360744205</v>
      </c>
      <c r="N3">
        <v>87.322681434766295</v>
      </c>
      <c r="O3">
        <v>85.541683737034603</v>
      </c>
      <c r="P3">
        <v>83.409498347217095</v>
      </c>
      <c r="Q3">
        <v>81.114318568841796</v>
      </c>
      <c r="R3">
        <v>78.590547537833402</v>
      </c>
      <c r="S3">
        <v>75.924033124764193</v>
      </c>
      <c r="T3">
        <v>73.068546881825895</v>
      </c>
      <c r="U3">
        <v>70.146534444365599</v>
      </c>
      <c r="V3">
        <v>67.251867925217596</v>
      </c>
      <c r="W3">
        <v>64.400484887832306</v>
      </c>
      <c r="X3" t="s">
        <v>43</v>
      </c>
    </row>
    <row r="4" spans="1:24">
      <c r="A4" t="s">
        <v>5978</v>
      </c>
      <c r="B4" t="s">
        <v>5987</v>
      </c>
      <c r="C4">
        <v>12.814380415199899</v>
      </c>
      <c r="D4">
        <v>9.3010542884999996</v>
      </c>
      <c r="E4">
        <v>9.6292118103999993</v>
      </c>
      <c r="F4">
        <v>9.6332928979000005</v>
      </c>
      <c r="G4">
        <v>10.380912846599999</v>
      </c>
      <c r="H4">
        <v>11.347069788300001</v>
      </c>
      <c r="I4">
        <v>12.068150017599899</v>
      </c>
      <c r="J4">
        <v>12.410848768299999</v>
      </c>
      <c r="K4">
        <v>12.5944276717</v>
      </c>
      <c r="L4">
        <v>12.612441553529999</v>
      </c>
      <c r="M4">
        <v>12.469750572780001</v>
      </c>
      <c r="N4">
        <v>12.161480486971</v>
      </c>
      <c r="O4">
        <v>11.771883950691</v>
      </c>
      <c r="P4">
        <v>11.340895180121899</v>
      </c>
      <c r="Q4">
        <v>10.8978450174294</v>
      </c>
      <c r="R4">
        <v>10.4587389346291</v>
      </c>
      <c r="S4">
        <v>10.0630036726255</v>
      </c>
      <c r="T4">
        <v>9.6612110005360794</v>
      </c>
      <c r="U4">
        <v>9.2635287779089506</v>
      </c>
      <c r="V4">
        <v>8.8795825412738907</v>
      </c>
      <c r="W4">
        <v>8.4437301559743005</v>
      </c>
      <c r="X4" t="s">
        <v>43</v>
      </c>
    </row>
    <row r="5" spans="1:24">
      <c r="A5" t="s">
        <v>5978</v>
      </c>
      <c r="B5" t="s">
        <v>70</v>
      </c>
      <c r="C5">
        <v>36.094893474076002</v>
      </c>
      <c r="D5">
        <v>55.636147048355397</v>
      </c>
      <c r="E5">
        <v>65.968726764327101</v>
      </c>
      <c r="F5">
        <v>74.636940174994905</v>
      </c>
      <c r="G5">
        <v>84.601983801696207</v>
      </c>
      <c r="H5">
        <v>100.284626435554</v>
      </c>
      <c r="I5">
        <v>119.34468810546601</v>
      </c>
      <c r="J5">
        <v>138.14510002604101</v>
      </c>
      <c r="K5">
        <v>156.802047593075</v>
      </c>
      <c r="L5">
        <v>174.43584799315599</v>
      </c>
      <c r="M5">
        <v>191.16453899104999</v>
      </c>
      <c r="N5">
        <v>207.73560479239001</v>
      </c>
      <c r="O5">
        <v>224.68939115229699</v>
      </c>
      <c r="P5">
        <v>241.70016925738199</v>
      </c>
      <c r="Q5">
        <v>258.70013706835101</v>
      </c>
      <c r="R5">
        <v>275.01911763337398</v>
      </c>
      <c r="S5">
        <v>289.50815911131099</v>
      </c>
      <c r="T5">
        <v>301.96644862299303</v>
      </c>
      <c r="U5">
        <v>312.11333725859498</v>
      </c>
      <c r="V5">
        <v>319.965571412803</v>
      </c>
      <c r="W5">
        <v>326.32365533224402</v>
      </c>
      <c r="X5" t="s">
        <v>43</v>
      </c>
    </row>
    <row r="6" spans="1:24">
      <c r="A6" t="s">
        <v>5978</v>
      </c>
      <c r="B6" t="s">
        <v>5989</v>
      </c>
      <c r="C6">
        <v>43.7685710934838</v>
      </c>
      <c r="D6">
        <v>57.662977535385799</v>
      </c>
      <c r="E6">
        <v>65.373963250884998</v>
      </c>
      <c r="F6">
        <v>69.407527756297497</v>
      </c>
      <c r="G6">
        <v>75.219086009078197</v>
      </c>
      <c r="H6">
        <v>80.865326029956194</v>
      </c>
      <c r="I6">
        <v>87.761402749337506</v>
      </c>
      <c r="J6">
        <v>93.167494225846895</v>
      </c>
      <c r="K6">
        <v>97.0986930282494</v>
      </c>
      <c r="L6">
        <v>101.02014496874899</v>
      </c>
      <c r="M6">
        <v>104.08000606880501</v>
      </c>
      <c r="N6">
        <v>107.08905119297199</v>
      </c>
      <c r="O6">
        <v>109.79987778095401</v>
      </c>
      <c r="P6">
        <v>111.56961960930801</v>
      </c>
      <c r="Q6">
        <v>112.964754717613</v>
      </c>
      <c r="R6">
        <v>114.19099120578301</v>
      </c>
      <c r="S6">
        <v>114.857970601133</v>
      </c>
      <c r="T6">
        <v>115.256868685158</v>
      </c>
      <c r="U6">
        <v>114.99423712873801</v>
      </c>
      <c r="V6">
        <v>113.416360173545</v>
      </c>
      <c r="W6">
        <v>111.538639410288</v>
      </c>
      <c r="X6" t="s">
        <v>43</v>
      </c>
    </row>
    <row r="7" spans="1:24">
      <c r="A7" t="s">
        <v>5978</v>
      </c>
      <c r="B7" t="s">
        <v>93</v>
      </c>
      <c r="C7">
        <v>0</v>
      </c>
      <c r="D7">
        <v>0</v>
      </c>
      <c r="E7">
        <v>0</v>
      </c>
      <c r="F7">
        <v>0</v>
      </c>
      <c r="G7">
        <v>1.0399929285600001E-2</v>
      </c>
      <c r="H7">
        <v>0.37145560630763302</v>
      </c>
      <c r="I7">
        <v>2.1939022455314001</v>
      </c>
      <c r="J7">
        <v>5.1235703425865902</v>
      </c>
      <c r="K7">
        <v>8.19626403929575</v>
      </c>
      <c r="L7">
        <v>11.1300777473226</v>
      </c>
      <c r="M7">
        <v>14.0069649017332</v>
      </c>
      <c r="N7">
        <v>16.485050880089499</v>
      </c>
      <c r="O7">
        <v>18.795740807990899</v>
      </c>
      <c r="P7">
        <v>20.948120894848199</v>
      </c>
      <c r="Q7">
        <v>22.942346428273101</v>
      </c>
      <c r="R7">
        <v>24.8324743251444</v>
      </c>
      <c r="S7">
        <v>26.521150734540399</v>
      </c>
      <c r="T7">
        <v>28.065162866296198</v>
      </c>
      <c r="U7">
        <v>29.405696904154102</v>
      </c>
      <c r="V7">
        <v>30.4500734143515</v>
      </c>
      <c r="W7">
        <v>31.308900245105399</v>
      </c>
      <c r="X7" t="s">
        <v>43</v>
      </c>
    </row>
    <row r="8" spans="1:24">
      <c r="A8" t="s">
        <v>5978</v>
      </c>
      <c r="B8" t="s">
        <v>5983</v>
      </c>
      <c r="C8">
        <v>111.952664142568</v>
      </c>
      <c r="D8">
        <v>149.86746981574299</v>
      </c>
      <c r="E8">
        <v>158.81225873514401</v>
      </c>
      <c r="F8">
        <v>169.636626415536</v>
      </c>
      <c r="G8">
        <v>180.781603125798</v>
      </c>
      <c r="H8">
        <v>188.401241060026</v>
      </c>
      <c r="I8">
        <v>189.95559400023299</v>
      </c>
      <c r="J8">
        <v>189.611772097434</v>
      </c>
      <c r="K8">
        <v>191.18664862786</v>
      </c>
      <c r="L8">
        <v>195.34218032045499</v>
      </c>
      <c r="M8">
        <v>200.62221738237201</v>
      </c>
      <c r="N8">
        <v>208.16781272213299</v>
      </c>
      <c r="O8">
        <v>216.88646802624399</v>
      </c>
      <c r="P8">
        <v>226.00107021191701</v>
      </c>
      <c r="Q8">
        <v>235.04356651463399</v>
      </c>
      <c r="R8">
        <v>243.43737802516401</v>
      </c>
      <c r="S8">
        <v>251.843968209427</v>
      </c>
      <c r="T8">
        <v>260.21403596958902</v>
      </c>
      <c r="U8">
        <v>268.70821579784501</v>
      </c>
      <c r="V8">
        <v>277.37410326915602</v>
      </c>
      <c r="W8">
        <v>285.84955916198197</v>
      </c>
      <c r="X8" t="s">
        <v>43</v>
      </c>
    </row>
    <row r="9" spans="1:24">
      <c r="A9" t="s">
        <v>5978</v>
      </c>
      <c r="B9" t="s">
        <v>6010</v>
      </c>
      <c r="C9">
        <v>0</v>
      </c>
      <c r="D9">
        <v>0</v>
      </c>
      <c r="E9">
        <v>0</v>
      </c>
      <c r="F9">
        <v>0</v>
      </c>
      <c r="G9">
        <v>0</v>
      </c>
      <c r="H9">
        <v>2.1786197305999899E-3</v>
      </c>
      <c r="I9">
        <v>1.03156602192999E-2</v>
      </c>
      <c r="J9">
        <v>3.3157167218699997E-2</v>
      </c>
      <c r="K9">
        <v>6.2575228579899903E-2</v>
      </c>
      <c r="L9">
        <v>8.0142534259809994E-2</v>
      </c>
      <c r="M9">
        <v>8.9852488124900001E-2</v>
      </c>
      <c r="N9">
        <v>0.104020725525</v>
      </c>
      <c r="O9">
        <v>0.12555563868899999</v>
      </c>
      <c r="P9">
        <v>0.147067685673999</v>
      </c>
      <c r="Q9">
        <v>0.161924882429999</v>
      </c>
      <c r="R9">
        <v>0.172858447483</v>
      </c>
      <c r="S9">
        <v>0.184741250122999</v>
      </c>
      <c r="T9">
        <v>0.19786309607200001</v>
      </c>
      <c r="U9">
        <v>0.20897480225199999</v>
      </c>
      <c r="V9">
        <v>0.216421362921</v>
      </c>
      <c r="W9">
        <v>0.221473212206999</v>
      </c>
      <c r="X9" t="s">
        <v>43</v>
      </c>
    </row>
    <row r="10" spans="1:24">
      <c r="A10" t="s">
        <v>5978</v>
      </c>
      <c r="B10" t="s">
        <v>6011</v>
      </c>
      <c r="C10">
        <v>25.922597665363899</v>
      </c>
      <c r="D10">
        <v>28.860759747755001</v>
      </c>
      <c r="E10">
        <v>29.0524692164899</v>
      </c>
      <c r="F10">
        <v>27.917732422893899</v>
      </c>
      <c r="G10">
        <v>24.864809450641999</v>
      </c>
      <c r="H10">
        <v>22.38956792874</v>
      </c>
      <c r="I10">
        <v>19.883343558290001</v>
      </c>
      <c r="J10">
        <v>18.495179192089999</v>
      </c>
      <c r="K10">
        <v>17.267011418069998</v>
      </c>
      <c r="L10">
        <v>16.1638127927399</v>
      </c>
      <c r="M10">
        <v>15.194235874579901</v>
      </c>
      <c r="N10">
        <v>14.36520098367</v>
      </c>
      <c r="O10">
        <v>13.662648663119899</v>
      </c>
      <c r="P10">
        <v>13.0670627036799</v>
      </c>
      <c r="Q10">
        <v>12.578999852140001</v>
      </c>
      <c r="R10">
        <v>12.161332632840001</v>
      </c>
      <c r="S10">
        <v>11.79885334902</v>
      </c>
      <c r="T10">
        <v>11.501077395979999</v>
      </c>
      <c r="U10">
        <v>11.23821357233</v>
      </c>
      <c r="V10">
        <v>11.007835183899999</v>
      </c>
      <c r="W10">
        <v>10.897308345800001</v>
      </c>
      <c r="X10" t="s">
        <v>43</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DF153-C6E7-4F07-A087-3300FC2B352B}">
  <dimension ref="A1:AA42"/>
  <sheetViews>
    <sheetView topLeftCell="A10" workbookViewId="0"/>
  </sheetViews>
  <sheetFormatPr baseColWidth="10" defaultColWidth="8.83203125" defaultRowHeight="15"/>
  <cols>
    <col min="1" max="1" width="38" customWidth="1"/>
    <col min="2" max="2" width="26.33203125" customWidth="1"/>
    <col min="3" max="3" width="26.5" customWidth="1"/>
    <col min="4" max="5" width="25.6640625" customWidth="1"/>
  </cols>
  <sheetData>
    <row r="1" spans="1:27">
      <c r="A1" s="24" t="s">
        <v>6043</v>
      </c>
      <c r="B1" s="25"/>
      <c r="C1" s="25"/>
      <c r="D1" s="25"/>
      <c r="E1" s="25"/>
      <c r="F1" s="25"/>
      <c r="G1" s="25"/>
      <c r="H1" s="25"/>
      <c r="I1" s="25"/>
      <c r="J1" s="25"/>
      <c r="K1" s="25"/>
      <c r="L1" s="25"/>
      <c r="M1" s="25"/>
      <c r="N1" s="25"/>
      <c r="O1" s="25"/>
      <c r="P1" s="25"/>
      <c r="Q1" s="25"/>
      <c r="R1" s="25"/>
      <c r="S1" s="25"/>
      <c r="T1" s="25"/>
      <c r="U1" s="25"/>
      <c r="V1" s="25"/>
      <c r="W1" s="25"/>
      <c r="X1" s="25"/>
      <c r="Y1" s="25"/>
      <c r="Z1" s="25"/>
      <c r="AA1" s="25"/>
    </row>
    <row r="2" spans="1:27">
      <c r="A2" s="1" t="s">
        <v>5973</v>
      </c>
      <c r="B2" s="1" t="s">
        <v>5974</v>
      </c>
      <c r="C2" s="1" t="s">
        <v>5975</v>
      </c>
      <c r="D2" s="1" t="s">
        <v>5977</v>
      </c>
      <c r="E2" s="1" t="s">
        <v>5976</v>
      </c>
      <c r="F2" s="1">
        <v>1990</v>
      </c>
      <c r="G2" s="1">
        <v>2005</v>
      </c>
      <c r="H2" s="1">
        <v>2010</v>
      </c>
      <c r="I2" s="1">
        <v>2015</v>
      </c>
      <c r="J2" s="1">
        <v>2020</v>
      </c>
      <c r="K2" s="1">
        <v>2025</v>
      </c>
      <c r="L2" s="1">
        <v>2030</v>
      </c>
      <c r="M2" s="1">
        <v>2035</v>
      </c>
      <c r="N2" s="1">
        <v>2040</v>
      </c>
      <c r="O2" s="1">
        <v>2045</v>
      </c>
      <c r="P2" s="1">
        <v>2050</v>
      </c>
      <c r="Q2" s="1">
        <v>2055</v>
      </c>
      <c r="R2" s="1">
        <v>2060</v>
      </c>
      <c r="S2" s="1">
        <v>2065</v>
      </c>
      <c r="T2" s="1">
        <v>2070</v>
      </c>
      <c r="U2" s="1">
        <v>2075</v>
      </c>
      <c r="V2" s="1">
        <v>2080</v>
      </c>
      <c r="W2" s="1">
        <v>2085</v>
      </c>
      <c r="X2" s="1">
        <v>2090</v>
      </c>
      <c r="Y2" s="1">
        <v>2095</v>
      </c>
      <c r="Z2" s="1">
        <v>2100</v>
      </c>
      <c r="AA2" s="1" t="s">
        <v>840</v>
      </c>
    </row>
    <row r="3" spans="1:27">
      <c r="A3" t="s">
        <v>5978</v>
      </c>
      <c r="B3" t="s">
        <v>6014</v>
      </c>
      <c r="C3" t="s">
        <v>6015</v>
      </c>
      <c r="D3" t="s">
        <v>6016</v>
      </c>
      <c r="E3" t="s">
        <v>5993</v>
      </c>
      <c r="F3">
        <v>0</v>
      </c>
      <c r="G3">
        <v>0</v>
      </c>
      <c r="H3">
        <v>0</v>
      </c>
      <c r="I3">
        <v>0</v>
      </c>
      <c r="J3">
        <v>0</v>
      </c>
      <c r="K3">
        <v>3.4252786997000001E-3</v>
      </c>
      <c r="L3">
        <v>2.4002875350000001E-2</v>
      </c>
      <c r="M3">
        <v>3.1613777259999899E-2</v>
      </c>
      <c r="N3">
        <v>5.9731445999999903E-2</v>
      </c>
      <c r="O3">
        <v>0.10530874029999999</v>
      </c>
      <c r="P3">
        <v>0.10952344039999901</v>
      </c>
      <c r="Q3">
        <v>8.4825122699999894E-2</v>
      </c>
      <c r="R3">
        <v>5.6726198209999898E-2</v>
      </c>
      <c r="S3">
        <v>4.9863393619999898E-2</v>
      </c>
      <c r="T3">
        <v>4.635510692E-2</v>
      </c>
      <c r="U3">
        <v>6.2705445299999996E-2</v>
      </c>
      <c r="V3">
        <v>7.3864099599999997E-2</v>
      </c>
      <c r="W3">
        <v>7.1570234400000002E-2</v>
      </c>
      <c r="X3">
        <v>5.99757608E-2</v>
      </c>
      <c r="Y3">
        <v>4.7473965039999899E-2</v>
      </c>
      <c r="Z3">
        <v>4.1135798709999997E-2</v>
      </c>
      <c r="AA3" t="s">
        <v>43</v>
      </c>
    </row>
    <row r="4" spans="1:27">
      <c r="A4" t="s">
        <v>5978</v>
      </c>
      <c r="B4" t="s">
        <v>6014</v>
      </c>
      <c r="C4" t="s">
        <v>6015</v>
      </c>
      <c r="D4" t="s">
        <v>6016</v>
      </c>
      <c r="E4" t="s">
        <v>6017</v>
      </c>
      <c r="F4">
        <v>0</v>
      </c>
      <c r="G4">
        <v>0</v>
      </c>
      <c r="H4">
        <v>0</v>
      </c>
      <c r="I4">
        <v>0</v>
      </c>
      <c r="J4">
        <v>0</v>
      </c>
      <c r="K4">
        <v>4.33039841179999E-3</v>
      </c>
      <c r="L4">
        <v>3.0345630389999899E-2</v>
      </c>
      <c r="M4">
        <v>3.9967712449999998E-2</v>
      </c>
      <c r="N4">
        <v>7.5515455120000005E-2</v>
      </c>
      <c r="O4">
        <v>0.1331363901</v>
      </c>
      <c r="P4">
        <v>0.13846481939999999</v>
      </c>
      <c r="Q4">
        <v>0.10724001159999901</v>
      </c>
      <c r="R4">
        <v>7.1715952999999999E-2</v>
      </c>
      <c r="S4">
        <v>6.3039679969999998E-2</v>
      </c>
      <c r="T4">
        <v>5.8604363899999901E-2</v>
      </c>
      <c r="U4">
        <v>7.9275164799999895E-2</v>
      </c>
      <c r="V4">
        <v>9.3382630600000002E-2</v>
      </c>
      <c r="W4">
        <v>9.0482597299999995E-2</v>
      </c>
      <c r="X4">
        <v>7.5824250499999996E-2</v>
      </c>
      <c r="Y4">
        <v>6.0018874370000003E-2</v>
      </c>
      <c r="Z4">
        <v>5.2005869059999897E-2</v>
      </c>
      <c r="AA4" t="s">
        <v>43</v>
      </c>
    </row>
    <row r="5" spans="1:27">
      <c r="A5" t="s">
        <v>5978</v>
      </c>
      <c r="B5" t="s">
        <v>6014</v>
      </c>
      <c r="C5" t="s">
        <v>6015</v>
      </c>
      <c r="D5" t="s">
        <v>6018</v>
      </c>
      <c r="E5" t="s">
        <v>6017</v>
      </c>
      <c r="F5">
        <v>0</v>
      </c>
      <c r="G5">
        <v>0</v>
      </c>
      <c r="H5">
        <v>0</v>
      </c>
      <c r="I5">
        <v>0</v>
      </c>
      <c r="J5">
        <v>0.50417079060000003</v>
      </c>
      <c r="K5">
        <v>0.75181487869999997</v>
      </c>
      <c r="L5">
        <v>1.06871633789999</v>
      </c>
      <c r="M5">
        <v>1.5184009034999899</v>
      </c>
      <c r="N5">
        <v>2.4668935621999899</v>
      </c>
      <c r="O5">
        <v>4.1388258744000002</v>
      </c>
      <c r="P5">
        <v>5.7948975625000001</v>
      </c>
      <c r="Q5">
        <v>6.93600511045</v>
      </c>
      <c r="R5">
        <v>7.5740157911899901</v>
      </c>
      <c r="S5">
        <v>7.9786515969899998</v>
      </c>
      <c r="T5">
        <v>8.0431105199000008</v>
      </c>
      <c r="U5">
        <v>7.9547827350599896</v>
      </c>
      <c r="V5">
        <v>7.7890652042399999</v>
      </c>
      <c r="W5">
        <v>7.6225981877999898</v>
      </c>
      <c r="X5">
        <v>7.5094228949000001</v>
      </c>
      <c r="Y5">
        <v>7.4456231413999996</v>
      </c>
      <c r="Z5">
        <v>7.4145948843999898</v>
      </c>
      <c r="AA5" t="s">
        <v>43</v>
      </c>
    </row>
    <row r="6" spans="1:27">
      <c r="A6" t="s">
        <v>5978</v>
      </c>
      <c r="B6" t="s">
        <v>6014</v>
      </c>
      <c r="C6" t="s">
        <v>6015</v>
      </c>
      <c r="D6" t="s">
        <v>1153</v>
      </c>
      <c r="E6" t="s">
        <v>6019</v>
      </c>
      <c r="F6" s="493">
        <v>3.0203700000000001E-4</v>
      </c>
      <c r="G6">
        <v>0.12634548700000001</v>
      </c>
      <c r="H6">
        <v>0.69437849899999904</v>
      </c>
      <c r="I6">
        <v>1.0998900309999999</v>
      </c>
      <c r="J6">
        <v>1.5592715560085999</v>
      </c>
      <c r="K6">
        <v>1.8379928414869899</v>
      </c>
      <c r="L6">
        <v>2.1126544393505999</v>
      </c>
      <c r="M6">
        <v>2.4467015303997899</v>
      </c>
      <c r="N6">
        <v>3.1741634566697998</v>
      </c>
      <c r="O6">
        <v>4.2799467300511997</v>
      </c>
      <c r="P6">
        <v>5.30800409283591</v>
      </c>
      <c r="Q6">
        <v>6.0108946792366096</v>
      </c>
      <c r="R6">
        <v>6.38611917041246</v>
      </c>
      <c r="S6">
        <v>6.6508526478904901</v>
      </c>
      <c r="T6">
        <v>6.6979131917556902</v>
      </c>
      <c r="U6">
        <v>6.7106398711458901</v>
      </c>
      <c r="V6">
        <v>6.7712533876504999</v>
      </c>
      <c r="W6">
        <v>6.8626073798789999</v>
      </c>
      <c r="X6">
        <v>6.9573565832959998</v>
      </c>
      <c r="Y6">
        <v>7.0271133814570002</v>
      </c>
      <c r="Z6">
        <v>7.0642067304309997</v>
      </c>
      <c r="AA6" t="s">
        <v>43</v>
      </c>
    </row>
    <row r="7" spans="1:27">
      <c r="A7" t="s">
        <v>5978</v>
      </c>
      <c r="B7" t="s">
        <v>6014</v>
      </c>
      <c r="C7" t="s">
        <v>6015</v>
      </c>
      <c r="D7" t="s">
        <v>1153</v>
      </c>
      <c r="E7" t="s">
        <v>5988</v>
      </c>
      <c r="F7" s="493">
        <v>1.68964E-5</v>
      </c>
      <c r="G7">
        <v>7.0679367999999998E-3</v>
      </c>
      <c r="H7">
        <v>3.8844566099999998E-2</v>
      </c>
      <c r="I7">
        <v>6.152940573E-2</v>
      </c>
      <c r="J7">
        <v>8.7227898919310001E-2</v>
      </c>
      <c r="K7">
        <v>0.10286613464892</v>
      </c>
      <c r="L7">
        <v>0.11834246006104</v>
      </c>
      <c r="M7">
        <v>0.137241774903089</v>
      </c>
      <c r="N7">
        <v>0.17849969275079899</v>
      </c>
      <c r="O7">
        <v>0.24139527632809599</v>
      </c>
      <c r="P7">
        <v>0.30011344850948202</v>
      </c>
      <c r="Q7">
        <v>0.34051828345081397</v>
      </c>
      <c r="R7">
        <v>0.36236088293956098</v>
      </c>
      <c r="S7">
        <v>0.377983984956132</v>
      </c>
      <c r="T7">
        <v>0.38136538919305701</v>
      </c>
      <c r="U7">
        <v>0.38307246627461</v>
      </c>
      <c r="V7">
        <v>0.38773107618661001</v>
      </c>
      <c r="W7">
        <v>0.39416018939429898</v>
      </c>
      <c r="X7">
        <v>0.40065051147830999</v>
      </c>
      <c r="Y7">
        <v>0.40556644094191902</v>
      </c>
      <c r="Z7">
        <v>0.40855736720751001</v>
      </c>
      <c r="AA7" t="s">
        <v>43</v>
      </c>
    </row>
    <row r="8" spans="1:27">
      <c r="A8" t="s">
        <v>5978</v>
      </c>
      <c r="B8" t="s">
        <v>6014</v>
      </c>
      <c r="C8" t="s">
        <v>6015</v>
      </c>
      <c r="D8" t="s">
        <v>6020</v>
      </c>
      <c r="E8" t="s">
        <v>6017</v>
      </c>
      <c r="F8">
        <v>0</v>
      </c>
      <c r="G8">
        <v>0</v>
      </c>
      <c r="H8">
        <v>0</v>
      </c>
      <c r="I8">
        <v>0</v>
      </c>
      <c r="J8">
        <v>0</v>
      </c>
      <c r="K8">
        <v>1.1577471678</v>
      </c>
      <c r="L8">
        <v>2.5908542048999998</v>
      </c>
      <c r="M8">
        <v>4.5292681556999996</v>
      </c>
      <c r="N8">
        <v>8.5431043338000006</v>
      </c>
      <c r="O8">
        <v>15.583284379699901</v>
      </c>
      <c r="P8">
        <v>22.7648267261999</v>
      </c>
      <c r="Q8">
        <v>27.795728602600001</v>
      </c>
      <c r="R8">
        <v>30.448484025199999</v>
      </c>
      <c r="S8">
        <v>31.962116680649999</v>
      </c>
      <c r="T8">
        <v>32.014428651099998</v>
      </c>
      <c r="U8">
        <v>31.374714687499999</v>
      </c>
      <c r="V8">
        <v>30.3984704306</v>
      </c>
      <c r="W8">
        <v>29.456019699300001</v>
      </c>
      <c r="X8">
        <v>28.800867320999899</v>
      </c>
      <c r="Y8">
        <v>28.39080384</v>
      </c>
      <c r="Z8">
        <v>28.1625276689999</v>
      </c>
      <c r="AA8" t="s">
        <v>43</v>
      </c>
    </row>
    <row r="9" spans="1:27">
      <c r="A9" t="s">
        <v>5978</v>
      </c>
      <c r="B9" t="s">
        <v>6014</v>
      </c>
      <c r="C9" t="s">
        <v>6015</v>
      </c>
      <c r="D9" t="s">
        <v>6021</v>
      </c>
      <c r="E9" t="s">
        <v>5981</v>
      </c>
      <c r="F9" s="493">
        <v>1.6324299999999999E-5</v>
      </c>
      <c r="G9">
        <v>1.02131683399999E-2</v>
      </c>
      <c r="H9">
        <v>2.9952780700000001E-2</v>
      </c>
      <c r="I9">
        <v>4.1364652509999898E-2</v>
      </c>
      <c r="J9">
        <v>5.2150144289999999E-2</v>
      </c>
      <c r="K9">
        <v>5.3264489791999999E-2</v>
      </c>
      <c r="L9">
        <v>5.1667917971999898E-2</v>
      </c>
      <c r="M9">
        <v>4.96208414479999E-2</v>
      </c>
      <c r="N9">
        <v>5.6387482766999897E-2</v>
      </c>
      <c r="O9">
        <v>8.0406866731000004E-2</v>
      </c>
      <c r="P9">
        <v>0.101791719404</v>
      </c>
      <c r="Q9">
        <v>0.1163106793343</v>
      </c>
      <c r="R9">
        <v>0.1247800238337</v>
      </c>
      <c r="S9">
        <v>0.13279400253592899</v>
      </c>
      <c r="T9">
        <v>0.135592068727999</v>
      </c>
      <c r="U9">
        <v>0.13743892482699999</v>
      </c>
      <c r="V9">
        <v>0.14028882447400001</v>
      </c>
      <c r="W9">
        <v>0.14473436444000001</v>
      </c>
      <c r="X9">
        <v>0.14960696966000001</v>
      </c>
      <c r="Y9">
        <v>0.15404680481999899</v>
      </c>
      <c r="Z9">
        <v>0.15811328298999899</v>
      </c>
      <c r="AA9" t="s">
        <v>43</v>
      </c>
    </row>
    <row r="10" spans="1:27">
      <c r="A10" t="s">
        <v>5978</v>
      </c>
      <c r="B10" t="s">
        <v>6014</v>
      </c>
      <c r="C10" t="s">
        <v>6015</v>
      </c>
      <c r="D10" t="s">
        <v>6021</v>
      </c>
      <c r="E10" t="s">
        <v>6022</v>
      </c>
      <c r="F10" s="493">
        <v>6.2785800000000002E-4</v>
      </c>
      <c r="G10">
        <v>0.39281385149999898</v>
      </c>
      <c r="H10">
        <v>1.1520314730000001</v>
      </c>
      <c r="I10">
        <v>1.5909512939999899</v>
      </c>
      <c r="J10">
        <v>2.0057744309999999</v>
      </c>
      <c r="K10">
        <v>2.04863728075</v>
      </c>
      <c r="L10">
        <v>1.9872299224500001</v>
      </c>
      <c r="M10">
        <v>1.9084920435499999</v>
      </c>
      <c r="N10">
        <v>2.1687508959700001</v>
      </c>
      <c r="O10">
        <v>3.0925710633599901</v>
      </c>
      <c r="P10">
        <v>3.9150663369599901</v>
      </c>
      <c r="Q10">
        <v>4.4734896382000002</v>
      </c>
      <c r="R10">
        <v>4.7992297399699897</v>
      </c>
      <c r="S10">
        <v>5.1074589461819899</v>
      </c>
      <c r="T10">
        <v>5.2150828185399902</v>
      </c>
      <c r="U10">
        <v>5.2861140042999999</v>
      </c>
      <c r="V10">
        <v>5.3957213307999901</v>
      </c>
      <c r="W10">
        <v>5.5667059509999897</v>
      </c>
      <c r="X10">
        <v>5.7541147189000004</v>
      </c>
      <c r="Y10">
        <v>5.9248766836</v>
      </c>
      <c r="Z10">
        <v>6.0812802880000003</v>
      </c>
      <c r="AA10" t="s">
        <v>43</v>
      </c>
    </row>
    <row r="11" spans="1:27">
      <c r="A11" t="s">
        <v>5978</v>
      </c>
      <c r="B11" t="s">
        <v>6014</v>
      </c>
      <c r="C11" t="s">
        <v>6015</v>
      </c>
      <c r="D11" t="s">
        <v>6021</v>
      </c>
      <c r="E11" t="s">
        <v>5988</v>
      </c>
      <c r="F11" s="493">
        <v>1.9965900000000001E-4</v>
      </c>
      <c r="G11">
        <v>0.12491483339999999</v>
      </c>
      <c r="H11">
        <v>0.36634631979999899</v>
      </c>
      <c r="I11">
        <v>0.50592206749999902</v>
      </c>
      <c r="J11">
        <v>0.63783696979999904</v>
      </c>
      <c r="K11">
        <v>0.65146611272999999</v>
      </c>
      <c r="L11">
        <v>0.63193870397999996</v>
      </c>
      <c r="M11">
        <v>0.60690100469999997</v>
      </c>
      <c r="N11">
        <v>0.68966271024000003</v>
      </c>
      <c r="O11">
        <v>0.98343746764999995</v>
      </c>
      <c r="P11">
        <v>1.2449902288899899</v>
      </c>
      <c r="Q11">
        <v>1.4225696295700001</v>
      </c>
      <c r="R11">
        <v>1.5261555734129999</v>
      </c>
      <c r="S11">
        <v>1.6241714361154</v>
      </c>
      <c r="T11">
        <v>1.6583948415200001</v>
      </c>
      <c r="U11">
        <v>1.68098422456999</v>
      </c>
      <c r="V11">
        <v>1.7158399434</v>
      </c>
      <c r="W11">
        <v>1.7702124286000001</v>
      </c>
      <c r="X11">
        <v>1.82980783779999</v>
      </c>
      <c r="Y11">
        <v>1.8841112291</v>
      </c>
      <c r="Z11">
        <v>1.9338468598</v>
      </c>
      <c r="AA11" t="s">
        <v>43</v>
      </c>
    </row>
    <row r="12" spans="1:27">
      <c r="A12" t="s">
        <v>5978</v>
      </c>
      <c r="B12" t="s">
        <v>6014</v>
      </c>
      <c r="C12" t="s">
        <v>6015</v>
      </c>
      <c r="D12" t="s">
        <v>6023</v>
      </c>
      <c r="E12" t="s">
        <v>6024</v>
      </c>
      <c r="F12">
        <v>0.2985254</v>
      </c>
      <c r="G12">
        <v>0.32838257879999999</v>
      </c>
      <c r="H12">
        <v>0.54581079699999902</v>
      </c>
      <c r="I12">
        <v>0.71111678379999999</v>
      </c>
      <c r="J12">
        <v>0.80739507200000005</v>
      </c>
      <c r="K12">
        <v>0.88271136529999905</v>
      </c>
      <c r="L12">
        <v>0.95400468129999905</v>
      </c>
      <c r="M12">
        <v>1.0318593978999999</v>
      </c>
      <c r="N12">
        <v>1.2660750222999999</v>
      </c>
      <c r="O12">
        <v>1.67587351916</v>
      </c>
      <c r="P12">
        <v>2.0612004190746598</v>
      </c>
      <c r="Q12">
        <v>2.3246198365842998</v>
      </c>
      <c r="R12">
        <v>2.4495984854206299</v>
      </c>
      <c r="S12">
        <v>2.5271037955756301</v>
      </c>
      <c r="T12">
        <v>2.4858321255726499</v>
      </c>
      <c r="U12">
        <v>2.38637756407535</v>
      </c>
      <c r="V12">
        <v>2.2568222365591799</v>
      </c>
      <c r="W12">
        <v>2.1300255352401498</v>
      </c>
      <c r="X12">
        <v>2.0218126243805901</v>
      </c>
      <c r="Y12">
        <v>1.93109039509561</v>
      </c>
      <c r="Z12">
        <v>1.8477532105718799</v>
      </c>
      <c r="AA12" t="s">
        <v>43</v>
      </c>
    </row>
    <row r="13" spans="1:27">
      <c r="A13" t="s">
        <v>5978</v>
      </c>
      <c r="B13" t="s">
        <v>6014</v>
      </c>
      <c r="C13" t="s">
        <v>6025</v>
      </c>
      <c r="D13" t="s">
        <v>6025</v>
      </c>
      <c r="E13" t="s">
        <v>6026</v>
      </c>
      <c r="F13">
        <v>0.34838748899999999</v>
      </c>
      <c r="G13">
        <v>0.2116294</v>
      </c>
      <c r="H13">
        <v>0.30038719999999902</v>
      </c>
      <c r="I13">
        <v>0.58026820000000001</v>
      </c>
      <c r="J13">
        <v>0.56983139999999999</v>
      </c>
      <c r="K13">
        <v>0.65470696194</v>
      </c>
      <c r="L13">
        <v>0.81050110374999995</v>
      </c>
      <c r="M13">
        <v>1.13719575754</v>
      </c>
      <c r="N13">
        <v>2.2168060416399902</v>
      </c>
      <c r="O13">
        <v>5.0503843336599896</v>
      </c>
      <c r="P13">
        <v>8.8207811413999995</v>
      </c>
      <c r="Q13">
        <v>12.41252519317</v>
      </c>
      <c r="R13">
        <v>15.217467671049899</v>
      </c>
      <c r="S13">
        <v>17.913701093051898</v>
      </c>
      <c r="T13">
        <v>20.230595987049899</v>
      </c>
      <c r="U13">
        <v>23.0821795783</v>
      </c>
      <c r="V13">
        <v>26.437851114839901</v>
      </c>
      <c r="W13">
        <v>29.7667874989999</v>
      </c>
      <c r="X13">
        <v>32.699285864999901</v>
      </c>
      <c r="Y13">
        <v>35.225417249000003</v>
      </c>
      <c r="Z13">
        <v>37.573878954000001</v>
      </c>
      <c r="AA13" t="s">
        <v>43</v>
      </c>
    </row>
    <row r="14" spans="1:27">
      <c r="A14" t="s">
        <v>5978</v>
      </c>
      <c r="B14" t="s">
        <v>6014</v>
      </c>
      <c r="C14" t="s">
        <v>6027</v>
      </c>
      <c r="D14" t="s">
        <v>6027</v>
      </c>
      <c r="E14" t="s">
        <v>6028</v>
      </c>
      <c r="F14">
        <v>0.1049534</v>
      </c>
      <c r="G14">
        <v>0.16843759999999999</v>
      </c>
      <c r="H14">
        <v>0.25137399999999999</v>
      </c>
      <c r="I14">
        <v>0.54312509999999903</v>
      </c>
      <c r="J14">
        <v>0.53311729999999902</v>
      </c>
      <c r="K14">
        <v>0.64568804824999904</v>
      </c>
      <c r="L14">
        <v>0.87300520821000005</v>
      </c>
      <c r="M14">
        <v>1.3285624621800001</v>
      </c>
      <c r="N14">
        <v>2.6273738383799898</v>
      </c>
      <c r="O14">
        <v>5.7705920052500002</v>
      </c>
      <c r="P14">
        <v>9.7483781878599896</v>
      </c>
      <c r="Q14">
        <v>13.41968245286</v>
      </c>
      <c r="R14">
        <v>16.156105470227999</v>
      </c>
      <c r="S14">
        <v>18.5537593414819</v>
      </c>
      <c r="T14">
        <v>20.383872096979999</v>
      </c>
      <c r="U14">
        <v>22.664017831700001</v>
      </c>
      <c r="V14">
        <v>25.274456055439899</v>
      </c>
      <c r="W14">
        <v>27.783298526999999</v>
      </c>
      <c r="X14">
        <v>29.750288025</v>
      </c>
      <c r="Y14">
        <v>30.900673561599898</v>
      </c>
      <c r="Z14">
        <v>31.388817041199999</v>
      </c>
      <c r="AA14" t="s">
        <v>43</v>
      </c>
    </row>
    <row r="15" spans="1:27">
      <c r="A15" t="s">
        <v>5978</v>
      </c>
      <c r="B15" t="s">
        <v>6014</v>
      </c>
      <c r="C15" t="s">
        <v>6029</v>
      </c>
      <c r="D15" t="s">
        <v>6029</v>
      </c>
      <c r="E15" t="s">
        <v>5981</v>
      </c>
      <c r="F15">
        <v>0.43452172299999903</v>
      </c>
      <c r="G15">
        <v>0.69461782999999999</v>
      </c>
      <c r="H15">
        <v>0.84794016999999899</v>
      </c>
      <c r="I15">
        <v>0.96207556000000005</v>
      </c>
      <c r="J15">
        <v>0.989248497639999</v>
      </c>
      <c r="K15">
        <v>1.0263796812499999</v>
      </c>
      <c r="L15">
        <v>1.0302242129099899</v>
      </c>
      <c r="M15">
        <v>1.0193623172699899</v>
      </c>
      <c r="N15">
        <v>0.99673893896999999</v>
      </c>
      <c r="O15">
        <v>0.95548394118000002</v>
      </c>
      <c r="P15">
        <v>0.91792070124000003</v>
      </c>
      <c r="Q15">
        <v>0.90933347144800003</v>
      </c>
      <c r="R15">
        <v>0.92724603897999902</v>
      </c>
      <c r="S15">
        <v>0.9514801247911</v>
      </c>
      <c r="T15">
        <v>0.98647912952000005</v>
      </c>
      <c r="U15">
        <v>1.0169254133100001</v>
      </c>
      <c r="V15">
        <v>1.044961899107</v>
      </c>
      <c r="W15">
        <v>1.0719943207</v>
      </c>
      <c r="X15">
        <v>1.1011356738</v>
      </c>
      <c r="Y15">
        <v>1.1338183829999899</v>
      </c>
      <c r="Z15">
        <v>1.1730103548999999</v>
      </c>
      <c r="AA15" t="s">
        <v>43</v>
      </c>
    </row>
    <row r="16" spans="1:27">
      <c r="A16" t="s">
        <v>5978</v>
      </c>
      <c r="B16" t="s">
        <v>6014</v>
      </c>
      <c r="C16" t="s">
        <v>6029</v>
      </c>
      <c r="D16" t="s">
        <v>6029</v>
      </c>
      <c r="E16" t="s">
        <v>6030</v>
      </c>
      <c r="F16">
        <v>136.50787399999899</v>
      </c>
      <c r="G16">
        <v>170.258374</v>
      </c>
      <c r="H16">
        <v>176.529709</v>
      </c>
      <c r="I16">
        <v>187.10090099999999</v>
      </c>
      <c r="J16">
        <v>196.7558038</v>
      </c>
      <c r="K16">
        <v>203.96239865799899</v>
      </c>
      <c r="L16">
        <v>204.78489971099901</v>
      </c>
      <c r="M16">
        <v>203.28938273899999</v>
      </c>
      <c r="N16">
        <v>200.35728863</v>
      </c>
      <c r="O16">
        <v>194.35954210099999</v>
      </c>
      <c r="P16">
        <v>188.89327785299901</v>
      </c>
      <c r="Q16">
        <v>188.501443725999</v>
      </c>
      <c r="R16">
        <v>192.77762904150001</v>
      </c>
      <c r="S16">
        <v>198.08263723829899</v>
      </c>
      <c r="T16">
        <v>205.08442258700001</v>
      </c>
      <c r="U16">
        <v>211.00750702400001</v>
      </c>
      <c r="V16">
        <v>216.30266705369999</v>
      </c>
      <c r="W16">
        <v>221.33795423000001</v>
      </c>
      <c r="X16">
        <v>226.83020167999999</v>
      </c>
      <c r="Y16">
        <v>233.09084686</v>
      </c>
      <c r="Z16">
        <v>240.69097490999999</v>
      </c>
      <c r="AA16" t="s">
        <v>43</v>
      </c>
    </row>
    <row r="17" spans="1:27">
      <c r="A17" t="s">
        <v>5978</v>
      </c>
      <c r="B17" t="s">
        <v>6014</v>
      </c>
      <c r="C17" t="s">
        <v>6029</v>
      </c>
      <c r="D17" t="s">
        <v>6029</v>
      </c>
      <c r="E17" t="s">
        <v>5988</v>
      </c>
      <c r="F17">
        <v>1.1177123519999901</v>
      </c>
      <c r="G17">
        <v>1.5027433859999899</v>
      </c>
      <c r="H17">
        <v>1.7994223899999999</v>
      </c>
      <c r="I17">
        <v>2.4217074300000001</v>
      </c>
      <c r="J17">
        <v>2.6492432764</v>
      </c>
      <c r="K17">
        <v>2.7794923014299902</v>
      </c>
      <c r="L17">
        <v>2.8116952594899902</v>
      </c>
      <c r="M17">
        <v>2.8347876374099998</v>
      </c>
      <c r="N17">
        <v>2.8924568911299899</v>
      </c>
      <c r="O17">
        <v>2.9605935525799998</v>
      </c>
      <c r="P17">
        <v>3.0463933624999902</v>
      </c>
      <c r="Q17">
        <v>3.1592269611499999</v>
      </c>
      <c r="R17">
        <v>3.29251309363999</v>
      </c>
      <c r="S17">
        <v>3.4253292342420001</v>
      </c>
      <c r="T17">
        <v>3.5513260999999998</v>
      </c>
      <c r="U17">
        <v>3.66093144394</v>
      </c>
      <c r="V17">
        <v>3.7618618554199998</v>
      </c>
      <c r="W17">
        <v>3.8591789661</v>
      </c>
      <c r="X17">
        <v>3.9640876369999898</v>
      </c>
      <c r="Y17">
        <v>4.0817470051999996</v>
      </c>
      <c r="Z17">
        <v>4.2228384871999998</v>
      </c>
      <c r="AA17" t="s">
        <v>43</v>
      </c>
    </row>
    <row r="18" spans="1:27">
      <c r="A18" t="s">
        <v>5978</v>
      </c>
      <c r="B18" t="s">
        <v>6019</v>
      </c>
      <c r="C18" t="s">
        <v>6019</v>
      </c>
      <c r="D18" t="s">
        <v>6031</v>
      </c>
      <c r="E18" t="s">
        <v>6032</v>
      </c>
      <c r="F18">
        <v>1.11637E-2</v>
      </c>
      <c r="G18">
        <v>4.0908854000000003</v>
      </c>
      <c r="H18">
        <v>17.9502208</v>
      </c>
      <c r="I18">
        <v>20.271916690000001</v>
      </c>
      <c r="J18">
        <v>24.981783316529999</v>
      </c>
      <c r="K18">
        <v>25.338978971700001</v>
      </c>
      <c r="L18">
        <v>24.522911508699998</v>
      </c>
      <c r="M18">
        <v>25.2393993817</v>
      </c>
      <c r="N18">
        <v>32.125977198999998</v>
      </c>
      <c r="O18">
        <v>44.900130417</v>
      </c>
      <c r="P18">
        <v>57.696343194000001</v>
      </c>
      <c r="Q18">
        <v>68.082585292000005</v>
      </c>
      <c r="R18">
        <v>75.504296704999902</v>
      </c>
      <c r="S18">
        <v>82.853805992999995</v>
      </c>
      <c r="T18">
        <v>87.982575112999996</v>
      </c>
      <c r="U18">
        <v>93.702377587999905</v>
      </c>
      <c r="V18">
        <v>100.931102657</v>
      </c>
      <c r="W18">
        <v>108.962117550999</v>
      </c>
      <c r="X18">
        <v>116.858258327</v>
      </c>
      <c r="Y18">
        <v>123.93192657100001</v>
      </c>
      <c r="Z18">
        <v>130.52043558299999</v>
      </c>
      <c r="AA18" t="s">
        <v>5602</v>
      </c>
    </row>
    <row r="19" spans="1:27">
      <c r="A19" t="s">
        <v>5978</v>
      </c>
      <c r="B19" t="s">
        <v>6019</v>
      </c>
      <c r="C19" t="s">
        <v>6019</v>
      </c>
      <c r="D19" t="s">
        <v>6033</v>
      </c>
      <c r="E19" t="s">
        <v>6034</v>
      </c>
      <c r="F19">
        <v>7.5385799999999996E-3</v>
      </c>
      <c r="G19">
        <v>2.7517551999999998</v>
      </c>
      <c r="H19">
        <v>15.345480299999901</v>
      </c>
      <c r="I19">
        <v>24.295121999999999</v>
      </c>
      <c r="J19">
        <v>59.096466999999997</v>
      </c>
      <c r="K19">
        <v>89.391401999999999</v>
      </c>
      <c r="L19">
        <v>124.60657999999999</v>
      </c>
      <c r="M19">
        <v>164.450524</v>
      </c>
      <c r="N19">
        <v>228.21568300000001</v>
      </c>
      <c r="O19">
        <v>313.3693293</v>
      </c>
      <c r="P19">
        <v>393.05689669999998</v>
      </c>
      <c r="Q19">
        <v>446.32916799999998</v>
      </c>
      <c r="R19">
        <v>471.94513799999999</v>
      </c>
      <c r="S19">
        <v>484.60519099999999</v>
      </c>
      <c r="T19">
        <v>480.43347199999903</v>
      </c>
      <c r="U19">
        <v>469.51946199999998</v>
      </c>
      <c r="V19">
        <v>456.89591000000001</v>
      </c>
      <c r="W19">
        <v>443.67293100000001</v>
      </c>
      <c r="X19">
        <v>431.65941099999998</v>
      </c>
      <c r="Y19">
        <v>420.67545599999897</v>
      </c>
      <c r="Z19">
        <v>409.747319</v>
      </c>
      <c r="AA19" t="s">
        <v>5602</v>
      </c>
    </row>
    <row r="20" spans="1:27">
      <c r="A20" t="s">
        <v>5978</v>
      </c>
      <c r="B20" t="s">
        <v>6019</v>
      </c>
      <c r="C20" t="s">
        <v>6019</v>
      </c>
      <c r="D20" t="s">
        <v>6035</v>
      </c>
      <c r="E20" t="s">
        <v>6036</v>
      </c>
      <c r="F20">
        <v>7.6881700000000002E-3</v>
      </c>
      <c r="G20">
        <v>5.0641344999999998</v>
      </c>
      <c r="H20">
        <v>38.635988399999903</v>
      </c>
      <c r="I20">
        <v>80.932259900000005</v>
      </c>
      <c r="J20">
        <v>96.551514499999897</v>
      </c>
      <c r="K20">
        <v>101.809238499999</v>
      </c>
      <c r="L20">
        <v>103.8516671</v>
      </c>
      <c r="M20">
        <v>105.66215769999999</v>
      </c>
      <c r="N20">
        <v>122.43205500000001</v>
      </c>
      <c r="O20">
        <v>155.417867</v>
      </c>
      <c r="P20">
        <v>183.34926200000001</v>
      </c>
      <c r="Q20">
        <v>199.96954899999901</v>
      </c>
      <c r="R20">
        <v>207.64466299999901</v>
      </c>
      <c r="S20">
        <v>214.14433500000001</v>
      </c>
      <c r="T20">
        <v>213.63471299999901</v>
      </c>
      <c r="U20">
        <v>214.41786200000001</v>
      </c>
      <c r="V20">
        <v>220.41762499999899</v>
      </c>
      <c r="W20">
        <v>229.56193199999899</v>
      </c>
      <c r="X20">
        <v>238.11866899999899</v>
      </c>
      <c r="Y20">
        <v>243.85921099999999</v>
      </c>
      <c r="Z20">
        <v>246.00471099999999</v>
      </c>
      <c r="AA20" t="s">
        <v>5602</v>
      </c>
    </row>
    <row r="21" spans="1:27">
      <c r="A21" t="s">
        <v>5978</v>
      </c>
      <c r="B21" t="s">
        <v>6022</v>
      </c>
      <c r="C21" t="s">
        <v>6022</v>
      </c>
      <c r="D21" t="s">
        <v>6022</v>
      </c>
      <c r="E21" t="s">
        <v>6037</v>
      </c>
      <c r="F21">
        <v>7.0188200000000006E-2</v>
      </c>
      <c r="G21">
        <v>43.91266392</v>
      </c>
      <c r="H21">
        <v>128.7861245</v>
      </c>
      <c r="I21">
        <v>177.85229709999999</v>
      </c>
      <c r="J21">
        <v>224.2256065</v>
      </c>
      <c r="K21">
        <v>229.01635010000001</v>
      </c>
      <c r="L21">
        <v>222.152019999999</v>
      </c>
      <c r="M21">
        <v>213.35007879999901</v>
      </c>
      <c r="N21">
        <v>242.445222999999</v>
      </c>
      <c r="O21">
        <v>345.717917</v>
      </c>
      <c r="P21">
        <v>437.66534399999898</v>
      </c>
      <c r="Q21">
        <v>500.091535999999</v>
      </c>
      <c r="R21">
        <v>536.50630100000001</v>
      </c>
      <c r="S21">
        <v>570.96329799999899</v>
      </c>
      <c r="T21">
        <v>582.99348099999997</v>
      </c>
      <c r="U21">
        <v>590.93452699999898</v>
      </c>
      <c r="V21">
        <v>603.187804999999</v>
      </c>
      <c r="W21">
        <v>622.30229999999995</v>
      </c>
      <c r="X21">
        <v>643.25215000000003</v>
      </c>
      <c r="Y21">
        <v>662.34213999999997</v>
      </c>
      <c r="Z21">
        <v>679.82676000000004</v>
      </c>
      <c r="AA21" t="s">
        <v>5602</v>
      </c>
    </row>
    <row r="22" spans="1:27">
      <c r="A22" t="s">
        <v>5978</v>
      </c>
      <c r="B22" t="s">
        <v>6030</v>
      </c>
      <c r="C22" t="s">
        <v>6038</v>
      </c>
      <c r="D22" t="s">
        <v>6038</v>
      </c>
      <c r="E22" t="s">
        <v>6039</v>
      </c>
      <c r="F22">
        <v>72.701345419999896</v>
      </c>
      <c r="G22">
        <v>80.231216250000003</v>
      </c>
      <c r="H22">
        <v>88.2539662759999</v>
      </c>
      <c r="I22">
        <v>90.389454323300001</v>
      </c>
      <c r="J22">
        <v>91.184573510000007</v>
      </c>
      <c r="K22">
        <v>89.845114599999903</v>
      </c>
      <c r="L22">
        <v>86.581862900000004</v>
      </c>
      <c r="M22">
        <v>84.748956399999997</v>
      </c>
      <c r="N22">
        <v>83.329222900000005</v>
      </c>
      <c r="O22">
        <v>80.934554399999996</v>
      </c>
      <c r="P22">
        <v>78.904508899999996</v>
      </c>
      <c r="Q22">
        <v>79.416666500000005</v>
      </c>
      <c r="R22">
        <v>81.399632689999905</v>
      </c>
      <c r="S22">
        <v>85.034954759999906</v>
      </c>
      <c r="T22">
        <v>87.007683259999993</v>
      </c>
      <c r="U22">
        <v>88.212195229999907</v>
      </c>
      <c r="V22">
        <v>88.601752629999893</v>
      </c>
      <c r="W22">
        <v>89.178223540000005</v>
      </c>
      <c r="X22">
        <v>90.384286470000006</v>
      </c>
      <c r="Y22">
        <v>92.501391104999996</v>
      </c>
      <c r="Z22">
        <v>95.254051909999902</v>
      </c>
      <c r="AA22" t="s">
        <v>43</v>
      </c>
    </row>
    <row r="23" spans="1:27">
      <c r="A23" t="s">
        <v>5978</v>
      </c>
      <c r="B23" t="s">
        <v>6030</v>
      </c>
      <c r="C23" t="s">
        <v>6040</v>
      </c>
      <c r="D23" t="s">
        <v>6040</v>
      </c>
      <c r="E23" t="s">
        <v>6041</v>
      </c>
      <c r="F23">
        <v>63.806584999999998</v>
      </c>
      <c r="G23">
        <v>90.027069999999995</v>
      </c>
      <c r="H23">
        <v>88.275755000000004</v>
      </c>
      <c r="I23">
        <v>96.711438869953994</v>
      </c>
      <c r="J23">
        <v>105.57134339999899</v>
      </c>
      <c r="K23">
        <v>114.1172498</v>
      </c>
      <c r="L23">
        <v>118.20292269999899</v>
      </c>
      <c r="M23">
        <v>118.540357499999</v>
      </c>
      <c r="N23">
        <v>117.028021699999</v>
      </c>
      <c r="O23">
        <v>113.425032</v>
      </c>
      <c r="P23">
        <v>109.988761</v>
      </c>
      <c r="Q23">
        <v>109.08483</v>
      </c>
      <c r="R23">
        <v>111.37797599999899</v>
      </c>
      <c r="S23">
        <v>113.047677999999</v>
      </c>
      <c r="T23">
        <v>118.076774999999</v>
      </c>
      <c r="U23">
        <v>122.79508800000001</v>
      </c>
      <c r="V23">
        <v>127.70095000000001</v>
      </c>
      <c r="W23">
        <v>132.15973099999999</v>
      </c>
      <c r="X23">
        <v>136.445798999999</v>
      </c>
      <c r="Y23">
        <v>140.58942999999999</v>
      </c>
      <c r="Z23">
        <v>145.43689699999999</v>
      </c>
      <c r="AA23" t="s">
        <v>43</v>
      </c>
    </row>
    <row r="24" spans="1:27">
      <c r="A24" t="s">
        <v>5978</v>
      </c>
      <c r="B24" t="s">
        <v>6024</v>
      </c>
      <c r="C24" t="s">
        <v>6024</v>
      </c>
      <c r="D24" t="s">
        <v>6024</v>
      </c>
      <c r="E24" t="s">
        <v>6042</v>
      </c>
      <c r="F24">
        <v>173.88499999999999</v>
      </c>
      <c r="G24">
        <v>191.27592910000001</v>
      </c>
      <c r="H24">
        <v>317.92342300000001</v>
      </c>
      <c r="I24">
        <v>414.2115215</v>
      </c>
      <c r="J24">
        <v>470.29170800000003</v>
      </c>
      <c r="K24">
        <v>514.16137800000001</v>
      </c>
      <c r="L24">
        <v>555.68890599999997</v>
      </c>
      <c r="M24">
        <v>601.037499999999</v>
      </c>
      <c r="N24">
        <v>737.46419000000003</v>
      </c>
      <c r="O24">
        <v>976.16329553999901</v>
      </c>
      <c r="P24">
        <v>1200.60910171</v>
      </c>
      <c r="Q24">
        <v>1354.04475738</v>
      </c>
      <c r="R24">
        <v>1426.8425334399999</v>
      </c>
      <c r="S24">
        <v>1471.98695249</v>
      </c>
      <c r="T24">
        <v>1447.94713864</v>
      </c>
      <c r="U24">
        <v>1390.0155628299999</v>
      </c>
      <c r="V24">
        <v>1314.5537878099999</v>
      </c>
      <c r="W24">
        <v>1240.69723527</v>
      </c>
      <c r="X24">
        <v>1177.6650394599999</v>
      </c>
      <c r="Y24">
        <v>1124.82150028</v>
      </c>
      <c r="Z24">
        <v>1076.27997878</v>
      </c>
      <c r="AA24" t="s">
        <v>5602</v>
      </c>
    </row>
    <row r="26" spans="1:27">
      <c r="A26" s="24" t="s">
        <v>6045</v>
      </c>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row>
    <row r="27" spans="1:27">
      <c r="A27" s="1" t="s">
        <v>5973</v>
      </c>
      <c r="B27" s="1" t="s">
        <v>5974</v>
      </c>
      <c r="C27" s="1" t="s">
        <v>5975</v>
      </c>
      <c r="D27" s="1" t="s">
        <v>6044</v>
      </c>
      <c r="E27" s="1" t="s">
        <v>5977</v>
      </c>
      <c r="F27" s="1">
        <v>1990</v>
      </c>
      <c r="G27" s="1">
        <v>2005</v>
      </c>
      <c r="H27" s="1">
        <v>2010</v>
      </c>
      <c r="I27" s="1">
        <v>2015</v>
      </c>
      <c r="J27" s="1">
        <v>2020</v>
      </c>
      <c r="K27" s="1">
        <v>2025</v>
      </c>
      <c r="L27" s="1">
        <v>2030</v>
      </c>
      <c r="M27" s="1">
        <v>2035</v>
      </c>
      <c r="N27" s="1">
        <v>2040</v>
      </c>
      <c r="O27" s="1">
        <v>2045</v>
      </c>
      <c r="P27" s="1">
        <v>2050</v>
      </c>
      <c r="Q27" s="1">
        <v>2055</v>
      </c>
      <c r="R27" s="1">
        <v>2060</v>
      </c>
      <c r="S27" s="1">
        <v>2065</v>
      </c>
      <c r="T27" s="1">
        <v>2070</v>
      </c>
      <c r="U27" s="1">
        <v>2075</v>
      </c>
      <c r="V27" s="1">
        <v>2080</v>
      </c>
      <c r="W27" s="1">
        <v>2085</v>
      </c>
      <c r="X27" s="1">
        <v>2090</v>
      </c>
      <c r="Y27" s="1">
        <v>2095</v>
      </c>
      <c r="Z27" s="1">
        <v>2100</v>
      </c>
      <c r="AA27" s="1" t="s">
        <v>840</v>
      </c>
    </row>
    <row r="28" spans="1:27">
      <c r="A28" t="s">
        <v>5978</v>
      </c>
      <c r="B28" t="s">
        <v>6014</v>
      </c>
      <c r="C28" t="s">
        <v>6015</v>
      </c>
      <c r="D28" t="s">
        <v>6014</v>
      </c>
      <c r="E28" t="s">
        <v>6016</v>
      </c>
      <c r="F28">
        <v>0</v>
      </c>
      <c r="G28">
        <v>0</v>
      </c>
      <c r="H28">
        <v>0</v>
      </c>
      <c r="I28">
        <v>0</v>
      </c>
      <c r="J28">
        <v>0</v>
      </c>
      <c r="K28">
        <v>4.1964695106000002E-3</v>
      </c>
      <c r="L28">
        <v>2.940708807E-2</v>
      </c>
      <c r="M28">
        <v>3.8731578079999898E-2</v>
      </c>
      <c r="N28">
        <v>7.3179924990000006E-2</v>
      </c>
      <c r="O28">
        <v>0.12901877439999901</v>
      </c>
      <c r="P28">
        <v>0.1341822574</v>
      </c>
      <c r="Q28">
        <v>0.1039233218</v>
      </c>
      <c r="R28">
        <v>6.9497878700000001E-2</v>
      </c>
      <c r="S28">
        <v>6.1090022559999901E-2</v>
      </c>
      <c r="T28">
        <v>5.6791850200000001E-2</v>
      </c>
      <c r="U28">
        <v>7.6823394599999997E-2</v>
      </c>
      <c r="V28">
        <v>9.04944154E-2</v>
      </c>
      <c r="W28">
        <v>8.7684048999999903E-2</v>
      </c>
      <c r="X28">
        <v>7.3479252099999906E-2</v>
      </c>
      <c r="Y28">
        <v>5.8162625719999902E-2</v>
      </c>
      <c r="Z28">
        <v>5.0397425090000003E-2</v>
      </c>
      <c r="AA28" t="s">
        <v>43</v>
      </c>
    </row>
    <row r="29" spans="1:27">
      <c r="A29" t="s">
        <v>5978</v>
      </c>
      <c r="B29" t="s">
        <v>6014</v>
      </c>
      <c r="C29" t="s">
        <v>6015</v>
      </c>
      <c r="D29" t="s">
        <v>6014</v>
      </c>
      <c r="E29" t="s">
        <v>6018</v>
      </c>
      <c r="F29">
        <v>0</v>
      </c>
      <c r="G29">
        <v>0</v>
      </c>
      <c r="H29">
        <v>0</v>
      </c>
      <c r="I29">
        <v>0</v>
      </c>
      <c r="J29">
        <v>0.25709872548000001</v>
      </c>
      <c r="K29">
        <v>0.38429100495000001</v>
      </c>
      <c r="L29">
        <v>0.54825311596000004</v>
      </c>
      <c r="M29">
        <v>0.78258779299000003</v>
      </c>
      <c r="N29">
        <v>1.28058299161</v>
      </c>
      <c r="O29">
        <v>2.1659077970099898</v>
      </c>
      <c r="P29">
        <v>3.0523823655800002</v>
      </c>
      <c r="Q29">
        <v>3.6719592771999898</v>
      </c>
      <c r="R29">
        <v>4.0254540829809997</v>
      </c>
      <c r="S29">
        <v>4.2577641831749897</v>
      </c>
      <c r="T29">
        <v>4.3122916455200002</v>
      </c>
      <c r="U29">
        <v>4.2942290886499901</v>
      </c>
      <c r="V29">
        <v>4.2422096545399999</v>
      </c>
      <c r="W29">
        <v>4.1905584592999903</v>
      </c>
      <c r="X29">
        <v>4.1632193381999896</v>
      </c>
      <c r="Y29">
        <v>4.1575904753000001</v>
      </c>
      <c r="Z29">
        <v>4.1679979190799896</v>
      </c>
      <c r="AA29" t="s">
        <v>43</v>
      </c>
    </row>
    <row r="30" spans="1:27">
      <c r="A30" t="s">
        <v>5978</v>
      </c>
      <c r="B30" t="s">
        <v>6014</v>
      </c>
      <c r="C30" t="s">
        <v>6015</v>
      </c>
      <c r="D30" t="s">
        <v>6014</v>
      </c>
      <c r="E30" t="s">
        <v>1153</v>
      </c>
      <c r="F30" s="493">
        <v>2.9298399999999999E-4</v>
      </c>
      <c r="G30">
        <v>0.122557821</v>
      </c>
      <c r="H30">
        <v>0.673565619</v>
      </c>
      <c r="I30">
        <v>1.0669223240000001</v>
      </c>
      <c r="J30">
        <v>1.51253303890889</v>
      </c>
      <c r="K30">
        <v>1.7829172347516999</v>
      </c>
      <c r="L30">
        <v>2.0493864131800898</v>
      </c>
      <c r="M30">
        <v>2.3735005516892</v>
      </c>
      <c r="N30">
        <v>3.0793645010456898</v>
      </c>
      <c r="O30">
        <v>4.1523802508785996</v>
      </c>
      <c r="P30">
        <v>5.1500691358205799</v>
      </c>
      <c r="Q30">
        <v>5.8322883757985302</v>
      </c>
      <c r="R30">
        <v>6.1965778800609996</v>
      </c>
      <c r="S30">
        <v>6.45367477538095</v>
      </c>
      <c r="T30">
        <v>6.4995987530299004</v>
      </c>
      <c r="U30">
        <v>6.5123096412616901</v>
      </c>
      <c r="V30">
        <v>6.5715720036537002</v>
      </c>
      <c r="W30">
        <v>6.6606667873529997</v>
      </c>
      <c r="X30">
        <v>6.753014026972</v>
      </c>
      <c r="Y30">
        <v>6.8210551434109998</v>
      </c>
      <c r="Z30">
        <v>6.8573737523249996</v>
      </c>
      <c r="AA30" t="s">
        <v>43</v>
      </c>
    </row>
    <row r="31" spans="1:27">
      <c r="A31" t="s">
        <v>5978</v>
      </c>
      <c r="B31" t="s">
        <v>6014</v>
      </c>
      <c r="C31" t="s">
        <v>6015</v>
      </c>
      <c r="D31" t="s">
        <v>6014</v>
      </c>
      <c r="E31" t="s">
        <v>6020</v>
      </c>
      <c r="F31">
        <v>0</v>
      </c>
      <c r="G31">
        <v>0</v>
      </c>
      <c r="H31">
        <v>0</v>
      </c>
      <c r="I31">
        <v>0</v>
      </c>
      <c r="J31">
        <v>0</v>
      </c>
      <c r="K31">
        <v>0.56776685120000003</v>
      </c>
      <c r="L31">
        <v>1.2767988508999999</v>
      </c>
      <c r="M31">
        <v>2.2444094833000001</v>
      </c>
      <c r="N31">
        <v>4.2661772921000001</v>
      </c>
      <c r="O31">
        <v>7.8452362901999901</v>
      </c>
      <c r="P31">
        <v>11.5335628785</v>
      </c>
      <c r="Q31">
        <v>14.1546134979999</v>
      </c>
      <c r="R31">
        <v>15.575388580859901</v>
      </c>
      <c r="S31">
        <v>16.430825069349901</v>
      </c>
      <c r="T31">
        <v>16.554524143899901</v>
      </c>
      <c r="U31">
        <v>16.361874448599899</v>
      </c>
      <c r="V31">
        <v>16.0277936731</v>
      </c>
      <c r="W31">
        <v>15.713077843400001</v>
      </c>
      <c r="X31">
        <v>15.5272001989999</v>
      </c>
      <c r="Y31">
        <v>15.445968878999899</v>
      </c>
      <c r="Z31">
        <v>15.4525542644</v>
      </c>
      <c r="AA31" t="s">
        <v>43</v>
      </c>
    </row>
    <row r="32" spans="1:27">
      <c r="A32" t="s">
        <v>5978</v>
      </c>
      <c r="B32" t="s">
        <v>6014</v>
      </c>
      <c r="C32" t="s">
        <v>6015</v>
      </c>
      <c r="D32" t="s">
        <v>6014</v>
      </c>
      <c r="E32" t="s">
        <v>6021</v>
      </c>
      <c r="F32" s="493">
        <v>6.2785800000000002E-4</v>
      </c>
      <c r="G32">
        <v>0.39281385149999898</v>
      </c>
      <c r="H32">
        <v>1.1520314730000001</v>
      </c>
      <c r="I32">
        <v>1.5909512939999899</v>
      </c>
      <c r="J32">
        <v>2.0057744309999999</v>
      </c>
      <c r="K32">
        <v>2.04863728075</v>
      </c>
      <c r="L32">
        <v>1.9872299224500001</v>
      </c>
      <c r="M32">
        <v>1.9084920435499999</v>
      </c>
      <c r="N32">
        <v>2.1687508959700001</v>
      </c>
      <c r="O32">
        <v>3.0925710633599901</v>
      </c>
      <c r="P32">
        <v>3.9150663369599901</v>
      </c>
      <c r="Q32">
        <v>4.4734896382000002</v>
      </c>
      <c r="R32">
        <v>4.7992297399699897</v>
      </c>
      <c r="S32">
        <v>5.1074589461819899</v>
      </c>
      <c r="T32">
        <v>5.2150828185399902</v>
      </c>
      <c r="U32">
        <v>5.2861140042999999</v>
      </c>
      <c r="V32">
        <v>5.3957213307999901</v>
      </c>
      <c r="W32">
        <v>5.5667059509999897</v>
      </c>
      <c r="X32">
        <v>5.7541147189000004</v>
      </c>
      <c r="Y32">
        <v>5.9248766836</v>
      </c>
      <c r="Z32">
        <v>6.0812802880000003</v>
      </c>
      <c r="AA32" t="s">
        <v>43</v>
      </c>
    </row>
    <row r="33" spans="1:27">
      <c r="A33" t="s">
        <v>5978</v>
      </c>
      <c r="B33" t="s">
        <v>6014</v>
      </c>
      <c r="C33" t="s">
        <v>6015</v>
      </c>
      <c r="D33" t="s">
        <v>6014</v>
      </c>
      <c r="E33" t="s">
        <v>6023</v>
      </c>
      <c r="F33">
        <v>0.2985254</v>
      </c>
      <c r="G33">
        <v>0.32838257879999999</v>
      </c>
      <c r="H33">
        <v>0.54581079699999902</v>
      </c>
      <c r="I33">
        <v>0.71111678379999999</v>
      </c>
      <c r="J33">
        <v>0.80739507200000005</v>
      </c>
      <c r="K33">
        <v>0.88271136529999905</v>
      </c>
      <c r="L33">
        <v>0.95400468129999905</v>
      </c>
      <c r="M33">
        <v>1.0318593978999999</v>
      </c>
      <c r="N33">
        <v>1.2660750222999999</v>
      </c>
      <c r="O33">
        <v>1.67587351916</v>
      </c>
      <c r="P33">
        <v>2.0612004190746598</v>
      </c>
      <c r="Q33">
        <v>2.3246198365842998</v>
      </c>
      <c r="R33">
        <v>2.4495984854206299</v>
      </c>
      <c r="S33">
        <v>2.5271037955756301</v>
      </c>
      <c r="T33">
        <v>2.4858321255726499</v>
      </c>
      <c r="U33">
        <v>2.38637756407535</v>
      </c>
      <c r="V33">
        <v>2.2568222365591799</v>
      </c>
      <c r="W33">
        <v>2.1300255352401498</v>
      </c>
      <c r="X33">
        <v>2.0218126243805901</v>
      </c>
      <c r="Y33">
        <v>1.93109039509561</v>
      </c>
      <c r="Z33">
        <v>1.8477532105718799</v>
      </c>
      <c r="AA33" t="s">
        <v>43</v>
      </c>
    </row>
    <row r="34" spans="1:27">
      <c r="A34" t="s">
        <v>5978</v>
      </c>
      <c r="B34" t="s">
        <v>6014</v>
      </c>
      <c r="C34" t="s">
        <v>6025</v>
      </c>
      <c r="D34" t="s">
        <v>6014</v>
      </c>
      <c r="E34" t="s">
        <v>6025</v>
      </c>
      <c r="F34">
        <v>0.16495612100000001</v>
      </c>
      <c r="G34">
        <v>0.1002034</v>
      </c>
      <c r="H34">
        <v>0.14222859999999901</v>
      </c>
      <c r="I34">
        <v>0.2747484</v>
      </c>
      <c r="J34">
        <v>0.26980689999999902</v>
      </c>
      <c r="K34">
        <v>0.31021336249999998</v>
      </c>
      <c r="L34">
        <v>0.38483777746999998</v>
      </c>
      <c r="M34">
        <v>0.54221534846999997</v>
      </c>
      <c r="N34">
        <v>1.0640016434799899</v>
      </c>
      <c r="O34">
        <v>2.4382536489599902</v>
      </c>
      <c r="P34">
        <v>4.2747324509699904</v>
      </c>
      <c r="Q34">
        <v>6.0326484881979896</v>
      </c>
      <c r="R34">
        <v>7.41374382673499</v>
      </c>
      <c r="S34">
        <v>8.7507495542720903</v>
      </c>
      <c r="T34">
        <v>9.9139277518499895</v>
      </c>
      <c r="U34">
        <v>11.362952293909901</v>
      </c>
      <c r="V34">
        <v>13.086298756450001</v>
      </c>
      <c r="W34">
        <v>14.812956223499899</v>
      </c>
      <c r="X34">
        <v>16.348467665000001</v>
      </c>
      <c r="Y34">
        <v>17.6839532609999</v>
      </c>
      <c r="Z34">
        <v>18.9385070149999</v>
      </c>
      <c r="AA34" t="s">
        <v>43</v>
      </c>
    </row>
    <row r="35" spans="1:27">
      <c r="A35" t="s">
        <v>5978</v>
      </c>
      <c r="B35" t="s">
        <v>6014</v>
      </c>
      <c r="C35" t="s">
        <v>6027</v>
      </c>
      <c r="D35" t="s">
        <v>6014</v>
      </c>
      <c r="E35" t="s">
        <v>6027</v>
      </c>
      <c r="F35">
        <v>6.3454300000000005E-2</v>
      </c>
      <c r="G35">
        <v>0.10183639999999999</v>
      </c>
      <c r="H35">
        <v>0.15197929999999901</v>
      </c>
      <c r="I35">
        <v>0.32837123000000001</v>
      </c>
      <c r="J35">
        <v>0.32231977000000001</v>
      </c>
      <c r="K35">
        <v>0.39073379134000003</v>
      </c>
      <c r="L35">
        <v>0.52964223883999995</v>
      </c>
      <c r="M35">
        <v>0.80954802720999897</v>
      </c>
      <c r="N35">
        <v>1.61072565762999</v>
      </c>
      <c r="O35">
        <v>3.5570281662899901</v>
      </c>
      <c r="P35">
        <v>6.0310495603199898</v>
      </c>
      <c r="Q35">
        <v>8.3258530168299991</v>
      </c>
      <c r="R35">
        <v>10.047395695307999</v>
      </c>
      <c r="S35">
        <v>11.5683677245329</v>
      </c>
      <c r="T35">
        <v>12.7484639146499</v>
      </c>
      <c r="U35">
        <v>14.23932451734</v>
      </c>
      <c r="V35">
        <v>15.9678769640099</v>
      </c>
      <c r="W35">
        <v>17.649223396</v>
      </c>
      <c r="X35">
        <v>18.988189770799998</v>
      </c>
      <c r="Y35">
        <v>19.800275326800001</v>
      </c>
      <c r="Z35">
        <v>20.186493385599899</v>
      </c>
      <c r="AA35" t="s">
        <v>43</v>
      </c>
    </row>
    <row r="36" spans="1:27">
      <c r="A36" t="s">
        <v>5978</v>
      </c>
      <c r="B36" t="s">
        <v>6014</v>
      </c>
      <c r="C36" t="s">
        <v>6029</v>
      </c>
      <c r="D36" t="s">
        <v>6014</v>
      </c>
      <c r="E36" t="s">
        <v>6029</v>
      </c>
      <c r="F36">
        <v>126.953693</v>
      </c>
      <c r="G36">
        <v>160.35646699999899</v>
      </c>
      <c r="H36">
        <v>166.59769600000001</v>
      </c>
      <c r="I36">
        <v>176.25740099999899</v>
      </c>
      <c r="J36">
        <v>185.63528768999899</v>
      </c>
      <c r="K36">
        <v>192.45453882499999</v>
      </c>
      <c r="L36">
        <v>193.27139427999899</v>
      </c>
      <c r="M36">
        <v>191.97676834499899</v>
      </c>
      <c r="N36">
        <v>189.52077758599901</v>
      </c>
      <c r="O36">
        <v>184.42534145799999</v>
      </c>
      <c r="P36">
        <v>179.98562109599999</v>
      </c>
      <c r="Q36">
        <v>180.27347874999899</v>
      </c>
      <c r="R36">
        <v>184.81355613289901</v>
      </c>
      <c r="S36">
        <v>190.29609834039999</v>
      </c>
      <c r="T36">
        <v>197.29586064499901</v>
      </c>
      <c r="U36">
        <v>203.38505722899899</v>
      </c>
      <c r="V36">
        <v>208.992308441299</v>
      </c>
      <c r="W36">
        <v>214.39887456999901</v>
      </c>
      <c r="X36">
        <v>220.22708272</v>
      </c>
      <c r="Y36">
        <v>226.76373666000001</v>
      </c>
      <c r="Z36">
        <v>234.602091889999</v>
      </c>
      <c r="AA36" t="s">
        <v>43</v>
      </c>
    </row>
    <row r="38" spans="1:27">
      <c r="A38" s="2128" t="s">
        <v>6046</v>
      </c>
      <c r="B38" s="2129"/>
      <c r="C38" s="2129"/>
      <c r="D38" s="2129"/>
      <c r="E38" s="2129"/>
      <c r="F38" s="2129"/>
      <c r="G38" s="2129"/>
      <c r="H38" s="2129"/>
      <c r="I38" s="2129"/>
      <c r="J38" s="2129"/>
      <c r="K38" s="2129"/>
      <c r="L38" s="2129"/>
      <c r="M38" s="2129"/>
      <c r="N38" s="2129"/>
      <c r="O38" s="2129"/>
      <c r="P38" s="2129"/>
      <c r="Q38" s="2129"/>
      <c r="R38" s="2129"/>
      <c r="S38" s="2129"/>
      <c r="T38" s="2129"/>
      <c r="U38" s="2129"/>
      <c r="V38" s="2129"/>
      <c r="W38" s="2129"/>
      <c r="X38" s="2129"/>
      <c r="Y38" s="2129"/>
      <c r="Z38" s="2129"/>
      <c r="AA38" s="2129"/>
    </row>
    <row r="39" spans="1:27">
      <c r="A39" s="1" t="s">
        <v>5973</v>
      </c>
      <c r="B39" s="1" t="s">
        <v>5974</v>
      </c>
      <c r="C39" s="1" t="s">
        <v>5975</v>
      </c>
      <c r="D39" s="1" t="s">
        <v>5977</v>
      </c>
      <c r="E39" s="1" t="s">
        <v>5976</v>
      </c>
      <c r="F39" s="1">
        <v>1990</v>
      </c>
      <c r="G39" s="1">
        <v>2005</v>
      </c>
      <c r="H39" s="1">
        <v>2010</v>
      </c>
      <c r="I39" s="1">
        <v>2015</v>
      </c>
      <c r="J39" s="1">
        <v>2020</v>
      </c>
      <c r="K39" s="1">
        <v>2025</v>
      </c>
      <c r="L39" s="1">
        <v>2030</v>
      </c>
      <c r="M39" s="1">
        <v>2035</v>
      </c>
      <c r="N39" s="1">
        <v>2040</v>
      </c>
      <c r="O39" s="1">
        <v>2045</v>
      </c>
      <c r="P39" s="1">
        <v>2050</v>
      </c>
      <c r="Q39" s="1">
        <v>2055</v>
      </c>
      <c r="R39" s="1">
        <v>2060</v>
      </c>
      <c r="S39" s="1">
        <v>2065</v>
      </c>
      <c r="T39" s="1">
        <v>2070</v>
      </c>
      <c r="U39" s="1">
        <v>2075</v>
      </c>
      <c r="V39" s="1">
        <v>2080</v>
      </c>
      <c r="W39" s="1">
        <v>2085</v>
      </c>
      <c r="X39" s="1">
        <v>2090</v>
      </c>
      <c r="Y39" s="1">
        <v>2095</v>
      </c>
      <c r="Z39" s="1">
        <v>2100</v>
      </c>
      <c r="AA39" s="1" t="s">
        <v>840</v>
      </c>
    </row>
    <row r="40" spans="1:27">
      <c r="A40" t="str">
        <f>A15</f>
        <v>Reference,date=2025-13-3T13:09:47-07:00</v>
      </c>
      <c r="B40" t="str">
        <f t="shared" ref="B40:F40" si="0">B15</f>
        <v>refining</v>
      </c>
      <c r="C40" t="str">
        <f t="shared" si="0"/>
        <v>oil refining</v>
      </c>
      <c r="D40" t="str">
        <f t="shared" si="0"/>
        <v>oil refining</v>
      </c>
      <c r="E40" t="str">
        <f t="shared" si="0"/>
        <v>elect_td_ind</v>
      </c>
      <c r="F40">
        <f t="shared" si="0"/>
        <v>0.43452172299999903</v>
      </c>
      <c r="G40">
        <f t="shared" ref="G40:Z40" si="1">G15</f>
        <v>0.69461782999999999</v>
      </c>
      <c r="H40">
        <f t="shared" si="1"/>
        <v>0.84794016999999899</v>
      </c>
      <c r="I40">
        <f t="shared" si="1"/>
        <v>0.96207556000000005</v>
      </c>
      <c r="J40">
        <f t="shared" si="1"/>
        <v>0.989248497639999</v>
      </c>
      <c r="K40">
        <f t="shared" si="1"/>
        <v>1.0263796812499999</v>
      </c>
      <c r="L40">
        <f t="shared" si="1"/>
        <v>1.0302242129099899</v>
      </c>
      <c r="M40">
        <f t="shared" si="1"/>
        <v>1.0193623172699899</v>
      </c>
      <c r="N40">
        <f t="shared" si="1"/>
        <v>0.99673893896999999</v>
      </c>
      <c r="O40">
        <f t="shared" si="1"/>
        <v>0.95548394118000002</v>
      </c>
      <c r="P40">
        <f t="shared" si="1"/>
        <v>0.91792070124000003</v>
      </c>
      <c r="Q40">
        <f t="shared" si="1"/>
        <v>0.90933347144800003</v>
      </c>
      <c r="R40">
        <f t="shared" si="1"/>
        <v>0.92724603897999902</v>
      </c>
      <c r="S40">
        <f t="shared" si="1"/>
        <v>0.9514801247911</v>
      </c>
      <c r="T40">
        <f t="shared" si="1"/>
        <v>0.98647912952000005</v>
      </c>
      <c r="U40">
        <f t="shared" si="1"/>
        <v>1.0169254133100001</v>
      </c>
      <c r="V40">
        <f t="shared" si="1"/>
        <v>1.044961899107</v>
      </c>
      <c r="W40">
        <f t="shared" si="1"/>
        <v>1.0719943207</v>
      </c>
      <c r="X40">
        <f t="shared" si="1"/>
        <v>1.1011356738</v>
      </c>
      <c r="Y40">
        <f t="shared" si="1"/>
        <v>1.1338183829999899</v>
      </c>
      <c r="Z40">
        <f t="shared" si="1"/>
        <v>1.1730103548999999</v>
      </c>
      <c r="AA40" t="s">
        <v>43</v>
      </c>
    </row>
    <row r="41" spans="1:27">
      <c r="A41" t="str">
        <f t="shared" ref="A41:F42" si="2">A16</f>
        <v>Reference,date=2025-13-3T13:09:47-07:00</v>
      </c>
      <c r="B41" t="str">
        <f t="shared" si="2"/>
        <v>refining</v>
      </c>
      <c r="C41" t="str">
        <f t="shared" si="2"/>
        <v>oil refining</v>
      </c>
      <c r="D41" t="str">
        <f t="shared" si="2"/>
        <v>oil refining</v>
      </c>
      <c r="E41" t="str">
        <f t="shared" si="2"/>
        <v>regional oil</v>
      </c>
      <c r="F41">
        <f>F16-F36</f>
        <v>9.5541809999989908</v>
      </c>
      <c r="G41">
        <f t="shared" ref="G41:Z41" si="3">G16-G36</f>
        <v>9.9019070000010174</v>
      </c>
      <c r="H41">
        <f t="shared" si="3"/>
        <v>9.9320129999999835</v>
      </c>
      <c r="I41">
        <f t="shared" si="3"/>
        <v>10.843500000001001</v>
      </c>
      <c r="J41">
        <f t="shared" si="3"/>
        <v>11.120516110001006</v>
      </c>
      <c r="K41">
        <f t="shared" si="3"/>
        <v>11.507859832999003</v>
      </c>
      <c r="L41">
        <f t="shared" si="3"/>
        <v>11.513505431000027</v>
      </c>
      <c r="M41">
        <f t="shared" si="3"/>
        <v>11.312614394001002</v>
      </c>
      <c r="N41">
        <f t="shared" si="3"/>
        <v>10.836511044000986</v>
      </c>
      <c r="O41">
        <f t="shared" si="3"/>
        <v>9.9342006429999969</v>
      </c>
      <c r="P41">
        <f t="shared" si="3"/>
        <v>8.9076567569990175</v>
      </c>
      <c r="Q41">
        <f t="shared" si="3"/>
        <v>8.2279649760000098</v>
      </c>
      <c r="R41">
        <f t="shared" si="3"/>
        <v>7.9640729086009969</v>
      </c>
      <c r="S41">
        <f t="shared" si="3"/>
        <v>7.7865388978989927</v>
      </c>
      <c r="T41">
        <f t="shared" si="3"/>
        <v>7.7885619420009959</v>
      </c>
      <c r="U41">
        <f t="shared" si="3"/>
        <v>7.6224497950010175</v>
      </c>
      <c r="V41">
        <f t="shared" si="3"/>
        <v>7.3103586124009894</v>
      </c>
      <c r="W41">
        <f t="shared" si="3"/>
        <v>6.9390796600009992</v>
      </c>
      <c r="X41">
        <f t="shared" si="3"/>
        <v>6.6031189599999891</v>
      </c>
      <c r="Y41">
        <f t="shared" si="3"/>
        <v>6.3271101999999928</v>
      </c>
      <c r="Z41">
        <f t="shared" si="3"/>
        <v>6.088883020000992</v>
      </c>
      <c r="AA41" t="s">
        <v>43</v>
      </c>
    </row>
    <row r="42" spans="1:27">
      <c r="A42" t="str">
        <f t="shared" si="2"/>
        <v>Reference,date=2025-13-3T13:09:47-07:00</v>
      </c>
      <c r="B42" t="str">
        <f t="shared" si="2"/>
        <v>refining</v>
      </c>
      <c r="C42" t="str">
        <f t="shared" si="2"/>
        <v>oil refining</v>
      </c>
      <c r="D42" t="str">
        <f t="shared" si="2"/>
        <v>oil refining</v>
      </c>
      <c r="E42" t="str">
        <f t="shared" si="2"/>
        <v>wholesale gas</v>
      </c>
      <c r="F42">
        <f t="shared" si="2"/>
        <v>1.1177123519999901</v>
      </c>
      <c r="G42">
        <f t="shared" ref="G42:Z42" si="4">G17</f>
        <v>1.5027433859999899</v>
      </c>
      <c r="H42">
        <f t="shared" si="4"/>
        <v>1.7994223899999999</v>
      </c>
      <c r="I42">
        <f t="shared" si="4"/>
        <v>2.4217074300000001</v>
      </c>
      <c r="J42">
        <f t="shared" si="4"/>
        <v>2.6492432764</v>
      </c>
      <c r="K42">
        <f t="shared" si="4"/>
        <v>2.7794923014299902</v>
      </c>
      <c r="L42">
        <f t="shared" si="4"/>
        <v>2.8116952594899902</v>
      </c>
      <c r="M42">
        <f t="shared" si="4"/>
        <v>2.8347876374099998</v>
      </c>
      <c r="N42">
        <f t="shared" si="4"/>
        <v>2.8924568911299899</v>
      </c>
      <c r="O42">
        <f t="shared" si="4"/>
        <v>2.9605935525799998</v>
      </c>
      <c r="P42">
        <f t="shared" si="4"/>
        <v>3.0463933624999902</v>
      </c>
      <c r="Q42">
        <f t="shared" si="4"/>
        <v>3.1592269611499999</v>
      </c>
      <c r="R42">
        <f t="shared" si="4"/>
        <v>3.29251309363999</v>
      </c>
      <c r="S42">
        <f t="shared" si="4"/>
        <v>3.4253292342420001</v>
      </c>
      <c r="T42">
        <f t="shared" si="4"/>
        <v>3.5513260999999998</v>
      </c>
      <c r="U42">
        <f t="shared" si="4"/>
        <v>3.66093144394</v>
      </c>
      <c r="V42">
        <f t="shared" si="4"/>
        <v>3.7618618554199998</v>
      </c>
      <c r="W42">
        <f t="shared" si="4"/>
        <v>3.8591789661</v>
      </c>
      <c r="X42">
        <f t="shared" si="4"/>
        <v>3.9640876369999898</v>
      </c>
      <c r="Y42">
        <f t="shared" si="4"/>
        <v>4.0817470051999996</v>
      </c>
      <c r="Z42">
        <f t="shared" si="4"/>
        <v>4.2228384871999998</v>
      </c>
      <c r="AA42" t="s">
        <v>43</v>
      </c>
    </row>
  </sheetData>
  <pageMargins left="0.7" right="0.7" top="0.75" bottom="0.75" header="0.3" footer="0.3"/>
  <ignoredErrors>
    <ignoredError sqref="F41:Z4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B3CAE-3AC7-4AD5-B999-83BC40C2DCAC}">
  <sheetPr codeName="Sheet7">
    <tabColor rgb="FFFFC000"/>
  </sheetPr>
  <dimension ref="A1:F53"/>
  <sheetViews>
    <sheetView workbookViewId="0"/>
  </sheetViews>
  <sheetFormatPr baseColWidth="10" defaultColWidth="8.83203125" defaultRowHeight="15"/>
  <cols>
    <col min="1" max="1" width="21.33203125" style="15" customWidth="1"/>
    <col min="2" max="2" width="44.5" customWidth="1"/>
    <col min="3" max="3" width="16.5" style="15" customWidth="1"/>
    <col min="4" max="4" width="49.33203125" customWidth="1"/>
    <col min="5" max="5" width="58.5" customWidth="1"/>
    <col min="6" max="6" width="44" customWidth="1"/>
  </cols>
  <sheetData>
    <row r="1" spans="1:6" s="3" customFormat="1" ht="16">
      <c r="A1" s="458" t="s">
        <v>304</v>
      </c>
      <c r="B1" s="1" t="s">
        <v>305</v>
      </c>
      <c r="C1" s="451" t="s">
        <v>306</v>
      </c>
      <c r="D1" s="1" t="s">
        <v>307</v>
      </c>
      <c r="E1" s="1" t="s">
        <v>308</v>
      </c>
      <c r="F1" s="1" t="s">
        <v>309</v>
      </c>
    </row>
    <row r="2" spans="1:6">
      <c r="A2" s="15">
        <v>1</v>
      </c>
      <c r="B2" t="s">
        <v>310</v>
      </c>
      <c r="C2" s="15">
        <v>2023</v>
      </c>
      <c r="D2" t="s">
        <v>311</v>
      </c>
      <c r="E2" t="s">
        <v>312</v>
      </c>
      <c r="F2" t="s">
        <v>313</v>
      </c>
    </row>
    <row r="3" spans="1:6">
      <c r="A3" s="15">
        <v>2</v>
      </c>
      <c r="B3" t="s">
        <v>310</v>
      </c>
      <c r="C3" s="15">
        <v>2021</v>
      </c>
      <c r="D3" t="s">
        <v>314</v>
      </c>
      <c r="E3" t="s">
        <v>315</v>
      </c>
      <c r="F3" t="s">
        <v>316</v>
      </c>
    </row>
    <row r="4" spans="1:6">
      <c r="A4" s="15">
        <v>3</v>
      </c>
      <c r="B4" t="s">
        <v>317</v>
      </c>
      <c r="C4" s="15">
        <v>2020</v>
      </c>
      <c r="D4" t="s">
        <v>318</v>
      </c>
      <c r="E4" t="s">
        <v>319</v>
      </c>
      <c r="F4" t="s">
        <v>320</v>
      </c>
    </row>
    <row r="5" spans="1:6">
      <c r="A5" s="15">
        <v>4</v>
      </c>
      <c r="B5" t="s">
        <v>321</v>
      </c>
      <c r="C5" s="15">
        <v>2015</v>
      </c>
      <c r="D5" t="s">
        <v>322</v>
      </c>
      <c r="E5" t="s">
        <v>323</v>
      </c>
      <c r="F5" t="s">
        <v>324</v>
      </c>
    </row>
    <row r="6" spans="1:6">
      <c r="A6" s="15">
        <v>5</v>
      </c>
      <c r="B6" t="s">
        <v>325</v>
      </c>
      <c r="C6" s="15">
        <v>2019</v>
      </c>
      <c r="D6" t="s">
        <v>326</v>
      </c>
      <c r="E6" t="s">
        <v>327</v>
      </c>
      <c r="F6" t="s">
        <v>324</v>
      </c>
    </row>
    <row r="7" spans="1:6">
      <c r="A7" s="15">
        <v>6</v>
      </c>
      <c r="B7" t="s">
        <v>328</v>
      </c>
      <c r="C7" s="15">
        <v>2018</v>
      </c>
      <c r="D7" t="s">
        <v>329</v>
      </c>
      <c r="E7" t="s">
        <v>330</v>
      </c>
      <c r="F7" t="s">
        <v>331</v>
      </c>
    </row>
    <row r="8" spans="1:6">
      <c r="A8" s="15">
        <v>7</v>
      </c>
      <c r="B8" t="s">
        <v>332</v>
      </c>
      <c r="C8" s="15">
        <v>2023</v>
      </c>
      <c r="D8" t="s">
        <v>333</v>
      </c>
      <c r="E8" t="s">
        <v>334</v>
      </c>
    </row>
    <row r="9" spans="1:6">
      <c r="A9" s="15">
        <v>8</v>
      </c>
      <c r="B9" t="s">
        <v>335</v>
      </c>
      <c r="C9" s="15">
        <v>2023</v>
      </c>
      <c r="D9" t="s">
        <v>336</v>
      </c>
      <c r="E9" t="s">
        <v>337</v>
      </c>
      <c r="F9" t="s">
        <v>338</v>
      </c>
    </row>
    <row r="10" spans="1:6">
      <c r="A10" s="15">
        <v>9</v>
      </c>
      <c r="B10" t="s">
        <v>335</v>
      </c>
      <c r="C10" s="15">
        <v>2023</v>
      </c>
      <c r="D10" t="s">
        <v>339</v>
      </c>
      <c r="E10" t="s">
        <v>340</v>
      </c>
    </row>
    <row r="11" spans="1:6">
      <c r="A11" s="15">
        <v>10</v>
      </c>
      <c r="B11" t="s">
        <v>341</v>
      </c>
      <c r="C11" s="15">
        <v>2018</v>
      </c>
      <c r="D11" t="s">
        <v>342</v>
      </c>
      <c r="E11" t="s">
        <v>343</v>
      </c>
    </row>
    <row r="12" spans="1:6">
      <c r="A12" s="15">
        <v>11</v>
      </c>
      <c r="B12" t="s">
        <v>344</v>
      </c>
      <c r="C12" s="15">
        <v>2018</v>
      </c>
      <c r="D12" t="s">
        <v>345</v>
      </c>
      <c r="E12" t="s">
        <v>346</v>
      </c>
    </row>
    <row r="13" spans="1:6">
      <c r="A13" s="15">
        <v>12</v>
      </c>
      <c r="B13" t="s">
        <v>347</v>
      </c>
      <c r="C13" s="15">
        <v>2019</v>
      </c>
      <c r="D13" t="s">
        <v>348</v>
      </c>
      <c r="E13" t="s">
        <v>349</v>
      </c>
    </row>
    <row r="14" spans="1:6">
      <c r="A14" s="15">
        <v>13</v>
      </c>
      <c r="B14" t="s">
        <v>350</v>
      </c>
      <c r="C14" s="15">
        <v>2022</v>
      </c>
      <c r="D14" t="s">
        <v>351</v>
      </c>
      <c r="E14" t="s">
        <v>352</v>
      </c>
      <c r="F14" t="s">
        <v>5660</v>
      </c>
    </row>
    <row r="15" spans="1:6">
      <c r="A15" s="15">
        <v>14</v>
      </c>
      <c r="B15" t="s">
        <v>353</v>
      </c>
      <c r="C15" s="15" t="s">
        <v>354</v>
      </c>
      <c r="D15" t="s">
        <v>54</v>
      </c>
      <c r="E15" t="s">
        <v>355</v>
      </c>
    </row>
    <row r="16" spans="1:6">
      <c r="A16" s="15">
        <v>15</v>
      </c>
      <c r="B16" t="s">
        <v>356</v>
      </c>
      <c r="C16" s="15">
        <v>2024</v>
      </c>
      <c r="D16" t="s">
        <v>357</v>
      </c>
      <c r="E16" t="s">
        <v>358</v>
      </c>
      <c r="F16" t="s">
        <v>4747</v>
      </c>
    </row>
    <row r="17" spans="1:6">
      <c r="A17" s="15">
        <v>16</v>
      </c>
      <c r="B17" t="s">
        <v>353</v>
      </c>
      <c r="C17" s="15">
        <v>2023</v>
      </c>
      <c r="D17" t="s">
        <v>359</v>
      </c>
      <c r="E17" t="s">
        <v>4732</v>
      </c>
      <c r="F17" t="s">
        <v>360</v>
      </c>
    </row>
    <row r="18" spans="1:6">
      <c r="A18" s="15">
        <v>17</v>
      </c>
      <c r="B18" t="s">
        <v>361</v>
      </c>
      <c r="C18" s="15">
        <v>2019</v>
      </c>
      <c r="D18" t="s">
        <v>362</v>
      </c>
      <c r="E18" t="s">
        <v>363</v>
      </c>
      <c r="F18" t="s">
        <v>364</v>
      </c>
    </row>
    <row r="19" spans="1:6">
      <c r="A19" s="15">
        <v>18</v>
      </c>
      <c r="B19" t="s">
        <v>365</v>
      </c>
      <c r="C19" s="15">
        <v>2023</v>
      </c>
      <c r="D19" t="s">
        <v>4969</v>
      </c>
      <c r="E19" t="s">
        <v>4968</v>
      </c>
      <c r="F19" t="s">
        <v>4967</v>
      </c>
    </row>
    <row r="20" spans="1:6">
      <c r="A20" s="15">
        <v>19</v>
      </c>
      <c r="B20" t="s">
        <v>366</v>
      </c>
      <c r="C20" s="15">
        <v>2017</v>
      </c>
      <c r="D20" t="s">
        <v>367</v>
      </c>
      <c r="E20" t="s">
        <v>368</v>
      </c>
    </row>
    <row r="21" spans="1:6">
      <c r="A21" s="15">
        <v>20</v>
      </c>
      <c r="B21" t="s">
        <v>369</v>
      </c>
      <c r="C21" s="15">
        <v>2023</v>
      </c>
      <c r="D21" t="s">
        <v>370</v>
      </c>
      <c r="E21" t="s">
        <v>371</v>
      </c>
      <c r="F21" t="s">
        <v>372</v>
      </c>
    </row>
    <row r="22" spans="1:6">
      <c r="A22" s="15">
        <v>21</v>
      </c>
      <c r="B22" t="s">
        <v>373</v>
      </c>
      <c r="C22" s="15">
        <v>2015</v>
      </c>
      <c r="D22" s="16" t="s">
        <v>374</v>
      </c>
      <c r="E22" t="s">
        <v>375</v>
      </c>
      <c r="F22" t="s">
        <v>376</v>
      </c>
    </row>
    <row r="23" spans="1:6">
      <c r="A23" s="15">
        <v>22</v>
      </c>
      <c r="B23" t="s">
        <v>377</v>
      </c>
      <c r="C23" s="15">
        <v>2022</v>
      </c>
      <c r="D23" s="480" t="s">
        <v>4850</v>
      </c>
      <c r="E23" t="s">
        <v>378</v>
      </c>
      <c r="F23" t="s">
        <v>379</v>
      </c>
    </row>
    <row r="24" spans="1:6">
      <c r="A24" s="15">
        <v>23</v>
      </c>
      <c r="B24" t="s">
        <v>380</v>
      </c>
      <c r="C24" s="15">
        <v>2015</v>
      </c>
      <c r="D24" t="s">
        <v>381</v>
      </c>
      <c r="E24" t="s">
        <v>382</v>
      </c>
      <c r="F24" t="s">
        <v>383</v>
      </c>
    </row>
    <row r="25" spans="1:6">
      <c r="A25" s="15">
        <v>24</v>
      </c>
      <c r="B25" t="s">
        <v>4672</v>
      </c>
      <c r="C25" s="15">
        <v>2022</v>
      </c>
      <c r="D25" t="s">
        <v>4673</v>
      </c>
      <c r="E25" t="s">
        <v>4674</v>
      </c>
      <c r="F25" t="s">
        <v>384</v>
      </c>
    </row>
    <row r="26" spans="1:6">
      <c r="A26" s="15">
        <v>25</v>
      </c>
      <c r="B26" t="s">
        <v>369</v>
      </c>
      <c r="C26" s="15">
        <v>2023</v>
      </c>
      <c r="D26" t="s">
        <v>385</v>
      </c>
      <c r="E26" t="s">
        <v>4675</v>
      </c>
      <c r="F26" t="s">
        <v>386</v>
      </c>
    </row>
    <row r="27" spans="1:6">
      <c r="A27" s="15">
        <v>26</v>
      </c>
      <c r="B27" t="s">
        <v>4935</v>
      </c>
      <c r="C27" s="15">
        <v>2022</v>
      </c>
      <c r="D27" t="s">
        <v>388</v>
      </c>
      <c r="E27" t="s">
        <v>389</v>
      </c>
      <c r="F27" t="s">
        <v>390</v>
      </c>
    </row>
    <row r="28" spans="1:6">
      <c r="A28" s="15">
        <v>27</v>
      </c>
      <c r="B28" t="s">
        <v>391</v>
      </c>
      <c r="C28" s="15">
        <v>2023</v>
      </c>
      <c r="D28" t="s">
        <v>5538</v>
      </c>
      <c r="E28" t="s">
        <v>392</v>
      </c>
      <c r="F28" t="s">
        <v>5537</v>
      </c>
    </row>
    <row r="29" spans="1:6">
      <c r="A29" s="15">
        <v>28</v>
      </c>
      <c r="B29" t="s">
        <v>369</v>
      </c>
      <c r="C29" s="15">
        <v>2023</v>
      </c>
      <c r="D29" t="s">
        <v>393</v>
      </c>
    </row>
    <row r="30" spans="1:6">
      <c r="A30" s="15">
        <v>29</v>
      </c>
      <c r="B30" t="s">
        <v>369</v>
      </c>
      <c r="C30" s="15">
        <v>2023</v>
      </c>
      <c r="D30" t="s">
        <v>394</v>
      </c>
      <c r="E30" t="s">
        <v>4676</v>
      </c>
    </row>
    <row r="31" spans="1:6">
      <c r="A31" s="15">
        <v>30</v>
      </c>
      <c r="B31" t="s">
        <v>395</v>
      </c>
      <c r="C31" s="15">
        <v>2022</v>
      </c>
      <c r="D31" t="s">
        <v>396</v>
      </c>
      <c r="E31" t="s">
        <v>397</v>
      </c>
    </row>
    <row r="32" spans="1:6">
      <c r="A32" s="15">
        <v>31</v>
      </c>
      <c r="B32" t="s">
        <v>4733</v>
      </c>
      <c r="C32" s="15">
        <v>2023</v>
      </c>
      <c r="D32" t="s">
        <v>4734</v>
      </c>
      <c r="E32" t="s">
        <v>4735</v>
      </c>
      <c r="F32" t="s">
        <v>4736</v>
      </c>
    </row>
    <row r="33" spans="1:6">
      <c r="A33" s="15">
        <v>32</v>
      </c>
      <c r="B33" t="s">
        <v>398</v>
      </c>
      <c r="C33" s="15">
        <v>2024</v>
      </c>
      <c r="D33" t="s">
        <v>5893</v>
      </c>
      <c r="E33" t="s">
        <v>5894</v>
      </c>
      <c r="F33" t="s">
        <v>5895</v>
      </c>
    </row>
    <row r="34" spans="1:6">
      <c r="A34" s="15">
        <v>33</v>
      </c>
      <c r="B34" t="s">
        <v>4935</v>
      </c>
      <c r="C34" s="15">
        <v>2021</v>
      </c>
      <c r="D34" t="s">
        <v>399</v>
      </c>
      <c r="E34" t="s">
        <v>400</v>
      </c>
      <c r="F34" t="s">
        <v>401</v>
      </c>
    </row>
    <row r="35" spans="1:6">
      <c r="A35" s="15">
        <v>34</v>
      </c>
      <c r="B35" t="s">
        <v>310</v>
      </c>
      <c r="C35" s="15">
        <v>2021</v>
      </c>
      <c r="D35" t="s">
        <v>4853</v>
      </c>
      <c r="E35" t="s">
        <v>402</v>
      </c>
      <c r="F35" t="s">
        <v>403</v>
      </c>
    </row>
    <row r="36" spans="1:6">
      <c r="A36" s="15">
        <v>35</v>
      </c>
      <c r="B36" t="s">
        <v>353</v>
      </c>
      <c r="C36" s="15">
        <v>2024</v>
      </c>
      <c r="D36" t="s">
        <v>5690</v>
      </c>
      <c r="E36" t="s">
        <v>5691</v>
      </c>
      <c r="F36" t="s">
        <v>5723</v>
      </c>
    </row>
    <row r="37" spans="1:6">
      <c r="A37" s="15">
        <v>36</v>
      </c>
      <c r="B37" t="s">
        <v>6051</v>
      </c>
      <c r="C37" s="15">
        <v>2024</v>
      </c>
      <c r="D37" t="s">
        <v>6052</v>
      </c>
      <c r="E37" t="s">
        <v>6053</v>
      </c>
    </row>
    <row r="38" spans="1:6">
      <c r="A38" s="15">
        <v>37</v>
      </c>
      <c r="B38" t="s">
        <v>4846</v>
      </c>
      <c r="C38" s="15">
        <v>2023</v>
      </c>
      <c r="D38" t="s">
        <v>4847</v>
      </c>
      <c r="E38" t="s">
        <v>4848</v>
      </c>
      <c r="F38" t="s">
        <v>4849</v>
      </c>
    </row>
    <row r="39" spans="1:6">
      <c r="A39" s="15">
        <v>38</v>
      </c>
      <c r="B39" t="s">
        <v>373</v>
      </c>
      <c r="C39" s="15" t="s">
        <v>354</v>
      </c>
      <c r="D39" t="s">
        <v>4851</v>
      </c>
      <c r="E39" t="s">
        <v>4852</v>
      </c>
      <c r="F39" t="s">
        <v>5965</v>
      </c>
    </row>
    <row r="40" spans="1:6">
      <c r="A40" s="15">
        <v>39</v>
      </c>
      <c r="B40" t="s">
        <v>4855</v>
      </c>
      <c r="C40" s="15">
        <v>2022</v>
      </c>
      <c r="D40" t="s">
        <v>4856</v>
      </c>
      <c r="E40" t="s">
        <v>4857</v>
      </c>
      <c r="F40" t="s">
        <v>4858</v>
      </c>
    </row>
    <row r="41" spans="1:6">
      <c r="A41" s="15">
        <v>40</v>
      </c>
      <c r="B41" t="s">
        <v>4859</v>
      </c>
      <c r="C41" s="15" t="s">
        <v>354</v>
      </c>
      <c r="D41" t="s">
        <v>4860</v>
      </c>
      <c r="E41" t="s">
        <v>4861</v>
      </c>
      <c r="F41" t="s">
        <v>4862</v>
      </c>
    </row>
    <row r="42" spans="1:6">
      <c r="A42" s="15">
        <v>41</v>
      </c>
      <c r="B42" t="s">
        <v>4886</v>
      </c>
      <c r="C42" s="15">
        <v>2022</v>
      </c>
      <c r="D42" t="s">
        <v>4892</v>
      </c>
      <c r="E42" t="s">
        <v>4890</v>
      </c>
      <c r="F42" t="s">
        <v>4891</v>
      </c>
    </row>
    <row r="43" spans="1:6">
      <c r="A43" s="15">
        <v>42</v>
      </c>
      <c r="B43" t="s">
        <v>4895</v>
      </c>
      <c r="C43" s="15">
        <v>2023</v>
      </c>
      <c r="D43" t="s">
        <v>4896</v>
      </c>
      <c r="E43" t="s">
        <v>4897</v>
      </c>
      <c r="F43" t="s">
        <v>4898</v>
      </c>
    </row>
    <row r="44" spans="1:6">
      <c r="A44" s="15">
        <v>43</v>
      </c>
      <c r="B44" t="s">
        <v>4899</v>
      </c>
      <c r="C44" s="15">
        <v>2021</v>
      </c>
      <c r="D44" t="s">
        <v>4900</v>
      </c>
      <c r="E44" t="s">
        <v>4901</v>
      </c>
      <c r="F44" t="s">
        <v>4902</v>
      </c>
    </row>
    <row r="45" spans="1:6">
      <c r="A45" s="15">
        <v>44</v>
      </c>
      <c r="B45" t="s">
        <v>4935</v>
      </c>
      <c r="C45" s="15">
        <v>2019</v>
      </c>
      <c r="D45" t="s">
        <v>4936</v>
      </c>
      <c r="E45" t="s">
        <v>5475</v>
      </c>
      <c r="F45" t="s">
        <v>4950</v>
      </c>
    </row>
    <row r="46" spans="1:6">
      <c r="A46" s="15">
        <v>45</v>
      </c>
      <c r="B46" t="s">
        <v>4939</v>
      </c>
      <c r="C46" s="15">
        <v>2011</v>
      </c>
      <c r="D46" t="s">
        <v>4938</v>
      </c>
      <c r="E46" t="s">
        <v>4937</v>
      </c>
    </row>
    <row r="47" spans="1:6">
      <c r="A47" s="15">
        <v>46</v>
      </c>
      <c r="B47" t="s">
        <v>4935</v>
      </c>
      <c r="C47" s="15">
        <v>2020</v>
      </c>
      <c r="D47" t="s">
        <v>4940</v>
      </c>
      <c r="E47" t="s">
        <v>4941</v>
      </c>
    </row>
    <row r="48" spans="1:6">
      <c r="A48" s="15">
        <v>47</v>
      </c>
      <c r="B48" t="s">
        <v>4942</v>
      </c>
      <c r="C48" s="15">
        <v>2017</v>
      </c>
      <c r="D48" t="s">
        <v>4943</v>
      </c>
      <c r="E48" t="s">
        <v>4944</v>
      </c>
    </row>
    <row r="49" spans="1:6">
      <c r="A49" s="15">
        <v>48</v>
      </c>
      <c r="B49" t="s">
        <v>4947</v>
      </c>
      <c r="C49" s="15">
        <v>2014</v>
      </c>
      <c r="D49" t="s">
        <v>4948</v>
      </c>
      <c r="E49" t="s">
        <v>4949</v>
      </c>
    </row>
    <row r="50" spans="1:6">
      <c r="A50" s="15">
        <v>49</v>
      </c>
      <c r="B50" t="s">
        <v>4935</v>
      </c>
      <c r="C50" s="15">
        <v>2023</v>
      </c>
      <c r="D50" t="s">
        <v>4954</v>
      </c>
      <c r="E50" t="s">
        <v>4955</v>
      </c>
      <c r="F50" t="s">
        <v>4956</v>
      </c>
    </row>
    <row r="51" spans="1:6">
      <c r="A51" s="15">
        <v>50</v>
      </c>
      <c r="B51" t="s">
        <v>310</v>
      </c>
      <c r="C51" s="15">
        <v>2024</v>
      </c>
      <c r="D51" t="s">
        <v>5429</v>
      </c>
      <c r="E51" t="s">
        <v>5430</v>
      </c>
      <c r="F51" t="s">
        <v>5431</v>
      </c>
    </row>
    <row r="52" spans="1:6">
      <c r="A52" s="15">
        <v>51</v>
      </c>
      <c r="B52" t="s">
        <v>5555</v>
      </c>
      <c r="C52" s="15">
        <v>2018</v>
      </c>
      <c r="D52" t="s">
        <v>5556</v>
      </c>
      <c r="E52" t="s">
        <v>5557</v>
      </c>
      <c r="F52" t="s">
        <v>5558</v>
      </c>
    </row>
    <row r="53" spans="1:6">
      <c r="A53" s="15">
        <v>52</v>
      </c>
      <c r="B53" t="s">
        <v>5627</v>
      </c>
      <c r="C53" s="15">
        <v>2024</v>
      </c>
      <c r="D53" t="s">
        <v>5628</v>
      </c>
      <c r="E53" t="s">
        <v>5629</v>
      </c>
    </row>
  </sheetData>
  <pageMargins left="0.7" right="0.7" top="0.75" bottom="0.75" header="0.3" footer="0.3"/>
  <pageSetup orientation="portrait" horizontalDpi="300" verticalDpi="300" r:id="rId1"/>
</worksheet>
</file>

<file path=docMetadata/LabelInfo.xml><?xml version="1.0" encoding="utf-8"?>
<clbl:labelList xmlns:clbl="http://schemas.microsoft.com/office/2020/mipLabelMetadata">
  <clbl:label id="{c7ef1c8b-ba63-4702-8e74-5094387a97de}" enabled="0" method="" siteId="{c7ef1c8b-ba63-4702-8e74-5094387a97de}" removed="1"/>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82</vt:i4>
      </vt:variant>
      <vt:variant>
        <vt:lpstr>Named Ranges</vt:lpstr>
      </vt:variant>
      <vt:variant>
        <vt:i4>10</vt:i4>
      </vt:variant>
    </vt:vector>
  </HeadingPairs>
  <TitlesOfParts>
    <vt:vector size="92" baseType="lpstr">
      <vt:lpstr>About</vt:lpstr>
      <vt:lpstr>Scenario Controls</vt:lpstr>
      <vt:lpstr>Output Graphs</vt:lpstr>
      <vt:lpstr>Output Graphs excl. Custom</vt:lpstr>
      <vt:lpstr>Time Series Graphs</vt:lpstr>
      <vt:lpstr>Calculations</vt:lpstr>
      <vt:lpstr>Region-Independent Data</vt:lpstr>
      <vt:lpstr>Region-Specific Data</vt:lpstr>
      <vt:lpstr>References</vt:lpstr>
      <vt:lpstr>Unit Conversions</vt:lpstr>
      <vt:lpstr>U.S. Energy Demand</vt:lpstr>
      <vt:lpstr>China Energy Demand</vt:lpstr>
      <vt:lpstr>EU Energy Demand</vt:lpstr>
      <vt:lpstr>India Energy Demand</vt:lpstr>
      <vt:lpstr>World Energy Demand</vt:lpstr>
      <vt:lpstr>Heat by Temperature Range</vt:lpstr>
      <vt:lpstr>EPA EF Hub 2023</vt:lpstr>
      <vt:lpstr>Direct Air Capture Data</vt:lpstr>
      <vt:lpstr>Global oil CO2 volume and CapEx</vt:lpstr>
      <vt:lpstr>Bioenergy land use requirements</vt:lpstr>
      <vt:lpstr>U.S. Electrolyzer Installations</vt:lpstr>
      <vt:lpstr>MECS T5.2</vt:lpstr>
      <vt:lpstr>Arable &amp; Ag Land by Country</vt:lpstr>
      <vt:lpstr>PRIMAP Process CO2 Emissions</vt:lpstr>
      <vt:lpstr>BAU H2 Estimates</vt:lpstr>
      <vt:lpstr>Drop Down Menu Options</vt:lpstr>
      <vt:lpstr>U.S. Process CO2 Emissions</vt:lpstr>
      <vt:lpstr>U.S. BAU Bioenergy Use</vt:lpstr>
      <vt:lpstr>AEO T2</vt:lpstr>
      <vt:lpstr>AEO T4</vt:lpstr>
      <vt:lpstr>AEO T5</vt:lpstr>
      <vt:lpstr>AEO T6</vt:lpstr>
      <vt:lpstr>AEO T9</vt:lpstr>
      <vt:lpstr>AEO T11</vt:lpstr>
      <vt:lpstr>AEO T16</vt:lpstr>
      <vt:lpstr>AEO T23</vt:lpstr>
      <vt:lpstr>AEO T24</vt:lpstr>
      <vt:lpstr>AEO T25</vt:lpstr>
      <vt:lpstr>AEO T26</vt:lpstr>
      <vt:lpstr>AEO T27</vt:lpstr>
      <vt:lpstr>AEO T28</vt:lpstr>
      <vt:lpstr>AEO T29</vt:lpstr>
      <vt:lpstr>AEO T30</vt:lpstr>
      <vt:lpstr>AEO T31</vt:lpstr>
      <vt:lpstr>AEO T32</vt:lpstr>
      <vt:lpstr>AEO T33</vt:lpstr>
      <vt:lpstr>AEO T34</vt:lpstr>
      <vt:lpstr>IESS v3.0 v3 Results</vt:lpstr>
      <vt:lpstr>IESS v3.0 Intermediate Output</vt:lpstr>
      <vt:lpstr>IESS 2022 Energy Balance</vt:lpstr>
      <vt:lpstr>IESS v3.0 XI</vt:lpstr>
      <vt:lpstr>EPS India Capacity</vt:lpstr>
      <vt:lpstr>EPS India Non-Energy Fuel Use</vt:lpstr>
      <vt:lpstr>EPS India Coal Mines Energy Use</vt:lpstr>
      <vt:lpstr>CESY NEBS 5-2</vt:lpstr>
      <vt:lpstr>CESY EC 4-3</vt:lpstr>
      <vt:lpstr>China Bioenergy Data</vt:lpstr>
      <vt:lpstr>EPS China IGDP Capacity</vt:lpstr>
      <vt:lpstr>EPS China Non-Energy Fuel Use</vt:lpstr>
      <vt:lpstr>JRC-IDEES FC_IND_IS_E</vt:lpstr>
      <vt:lpstr>JRC-IDEES FC_IND_NFM_E</vt:lpstr>
      <vt:lpstr>JRC-IDEES FC_IND_CPC_E</vt:lpstr>
      <vt:lpstr>JRC-IDEES FC_IND_NMM_E</vt:lpstr>
      <vt:lpstr>JRC-IDEES FC_IND_PPP_E</vt:lpstr>
      <vt:lpstr>JRC-IDEES FC_IND_FBT_E</vt:lpstr>
      <vt:lpstr>JRC-IDEES FC_IND_TE_E</vt:lpstr>
      <vt:lpstr>JRC-IDEES FC_IND_MAC_E</vt:lpstr>
      <vt:lpstr>JRC-IDEES FC_IND_TL_E</vt:lpstr>
      <vt:lpstr>JRC-IDEES FC_IND_WP_E</vt:lpstr>
      <vt:lpstr>JRC-IDEES FC_IND_MQ_E</vt:lpstr>
      <vt:lpstr>JRC-IDEES FC_IND_CON_E</vt:lpstr>
      <vt:lpstr>JRC-IDEES FC_IND_NSP_E</vt:lpstr>
      <vt:lpstr>JRC-IDEES FC_OTH_AFF_E</vt:lpstr>
      <vt:lpstr>JRC-IDEES FC_IND_CPC_NE</vt:lpstr>
      <vt:lpstr>JRC-IDEES FC_IND_NE</vt:lpstr>
      <vt:lpstr>JRC-IDEES FC_TRA_E</vt:lpstr>
      <vt:lpstr>JRC-IDEES FC_OTH_E</vt:lpstr>
      <vt:lpstr>JRC-IDEES Ind_Summary_emi</vt:lpstr>
      <vt:lpstr>EPS EU Capacity</vt:lpstr>
      <vt:lpstr>PNNL GCAM Industry</vt:lpstr>
      <vt:lpstr>PNNL GCAM Total</vt:lpstr>
      <vt:lpstr>PNNL GCAM Refining</vt:lpstr>
      <vt:lpstr>'JRC-IDEES Ind_Summary_emi'!Print_Titles</vt:lpstr>
      <vt:lpstr>'IESS 2022 Energy Balance'!this.year</vt:lpstr>
      <vt:lpstr>'IESS 2022 Energy Balance'!year.emissions</vt:lpstr>
      <vt:lpstr>'IESS 2022 Energy Balance'!year.emissionsBySector</vt:lpstr>
      <vt:lpstr>'IESS 2022 Energy Balance'!year.GHG</vt:lpstr>
      <vt:lpstr>'IESS 2022 Energy Balance'!year.IPCC</vt:lpstr>
      <vt:lpstr>'IESS 2022 Energy Balance'!year.matrix</vt:lpstr>
      <vt:lpstr>'IESS 2022 Energy Balance'!year.Modules</vt:lpstr>
      <vt:lpstr>'IESS 2022 Energy Balance'!year.Netbalance</vt:lpstr>
      <vt:lpstr>'IESS 2022 Energy Balance'!year.vectors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Jeff Rissman</dc:creator>
  <cp:keywords/>
  <dc:description/>
  <cp:lastModifiedBy>Greg Alvarez</cp:lastModifiedBy>
  <cp:revision/>
  <dcterms:created xsi:type="dcterms:W3CDTF">2021-10-01T20:54:52Z</dcterms:created>
  <dcterms:modified xsi:type="dcterms:W3CDTF">2025-05-08T15:48:23Z</dcterms:modified>
  <cp:category/>
  <cp:contentStatus/>
</cp:coreProperties>
</file>